
<file path=[Content_Types].xml><?xml version="1.0" encoding="utf-8"?>
<Types xmlns="http://schemas.openxmlformats.org/package/2006/content-types">
  <Default Extension="bin" ContentType="application/vnd.openxmlformats-officedocument.oleObject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drawings/drawing5.xml" ContentType="application/vnd.openxmlformats-officedocument.drawingml.chartshapes+xml"/>
  <Override PartName="/xl/charts/chart15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drawings/drawing10.xml" ContentType="application/vnd.openxmlformats-officedocument.drawingml.chartshapes+xml"/>
  <Override PartName="/xl/charts/chart17.xml" ContentType="application/vnd.openxmlformats-officedocument.drawingml.char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18.xml" ContentType="application/vnd.openxmlformats-officedocument.drawingml.chart+xml"/>
  <Override PartName="/xl/drawings/drawing13.xml" ContentType="application/vnd.openxmlformats-officedocument.drawing+xml"/>
  <Override PartName="/xl/charts/chart19.xml" ContentType="application/vnd.openxmlformats-officedocument.drawingml.chart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David\DMG\Bioclimático\Software\"/>
    </mc:Choice>
  </mc:AlternateContent>
  <bookViews>
    <workbookView xWindow="0" yWindow="0" windowWidth="25605" windowHeight="15480" tabRatio="667"/>
  </bookViews>
  <sheets>
    <sheet name="Datos Entrada" sheetId="20" r:id="rId1"/>
    <sheet name="Temp" sheetId="1" state="hidden" r:id="rId2"/>
    <sheet name="HR" sheetId="2" state="hidden" r:id="rId3"/>
    <sheet name="Tn" sheetId="3" state="hidden" r:id="rId4"/>
    <sheet name="Olgyay" sheetId="4" state="hidden" r:id="rId5"/>
    <sheet name="Olgyay datos" sheetId="8" state="hidden" r:id="rId6"/>
    <sheet name="Isorreq" sheetId="5" r:id="rId7"/>
    <sheet name="Control Solar 1er Sem" sheetId="12" r:id="rId8"/>
    <sheet name="CS 1er sem datos" sheetId="10" state="hidden" r:id="rId9"/>
    <sheet name="CS 1er sem datos (2)" sheetId="19" state="hidden" r:id="rId10"/>
    <sheet name="Control Solar 2do Sem" sheetId="15" r:id="rId11"/>
    <sheet name="CS 2do sem datos" sheetId="16" state="hidden" r:id="rId12"/>
    <sheet name="Eficiencia Alero" sheetId="25" r:id="rId13"/>
    <sheet name="Eficiencia Partesol" sheetId="26" r:id="rId14"/>
    <sheet name="Irradiancia Horizontal" sheetId="13" r:id="rId15"/>
    <sheet name="Irradiancia Sup Inclinadas" sheetId="21" r:id="rId16"/>
    <sheet name="Cálculos irradiancia" sheetId="18" state="hidden" r:id="rId17"/>
    <sheet name="Cálculos iluminancia" sheetId="14" state="hidden" r:id="rId18"/>
    <sheet name="Eficacia Luminosa" sheetId="22" r:id="rId19"/>
    <sheet name="Iluminancia Horizontal" sheetId="9" r:id="rId20"/>
    <sheet name="Iluminancia Sup Inclinadas" sheetId="23" r:id="rId21"/>
  </sheets>
  <definedNames>
    <definedName name="_xlnm.Print_Area" localSheetId="17">'Cálculos iluminancia'!$A$4:$C$38</definedName>
    <definedName name="_xlnm.Print_Area" localSheetId="8">'Control Solar 1er Sem'!$A$6:$K$38</definedName>
    <definedName name="_xlnm.Print_Area" localSheetId="9">'Control Solar 1er Sem'!$A$6:$K$38</definedName>
    <definedName name="_xlnm.Print_Area" localSheetId="11">'Control Solar 2do Sem'!$B$6:$L$38</definedName>
  </definedNames>
  <calcPr calcId="152511"/>
  <fileRecoveryPr repairLoad="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6" i="26" l="1"/>
  <c r="K12" i="26"/>
  <c r="K11" i="26"/>
  <c r="K10" i="26"/>
  <c r="K9" i="26"/>
  <c r="K8" i="26"/>
  <c r="K7" i="26"/>
  <c r="H12" i="26"/>
  <c r="H11" i="26"/>
  <c r="H10" i="26"/>
  <c r="H9" i="26"/>
  <c r="H8" i="26"/>
  <c r="H7" i="26"/>
  <c r="AB42" i="15"/>
  <c r="AB41" i="15"/>
  <c r="AB40" i="15"/>
  <c r="AB39" i="15"/>
  <c r="AB38" i="15"/>
  <c r="AB37" i="15"/>
  <c r="AB34" i="15"/>
  <c r="AB33" i="15"/>
  <c r="AB32" i="15"/>
  <c r="AB31" i="15"/>
  <c r="AB30" i="15"/>
  <c r="AB29" i="15"/>
  <c r="AB42" i="12"/>
  <c r="AB41" i="12"/>
  <c r="AB40" i="12"/>
  <c r="AB39" i="12"/>
  <c r="AB38" i="12"/>
  <c r="AB37" i="12"/>
  <c r="AB34" i="12"/>
  <c r="AB33" i="12"/>
  <c r="AB32" i="12"/>
  <c r="AB31" i="12"/>
  <c r="AB30" i="12"/>
  <c r="AB29" i="12"/>
  <c r="AB11" i="12"/>
  <c r="B6" i="25"/>
  <c r="K12" i="25"/>
  <c r="K11" i="25"/>
  <c r="K10" i="25"/>
  <c r="K9" i="25"/>
  <c r="K8" i="25"/>
  <c r="K7" i="25"/>
  <c r="H12" i="25"/>
  <c r="H11" i="25"/>
  <c r="H10" i="25"/>
  <c r="H9" i="25"/>
  <c r="H8" i="25"/>
  <c r="H7" i="25"/>
  <c r="AB20" i="12"/>
  <c r="AB21" i="12"/>
  <c r="AB22" i="12"/>
  <c r="AB23" i="12"/>
  <c r="AB24" i="12"/>
  <c r="AB19" i="12"/>
  <c r="AB20" i="15"/>
  <c r="AB21" i="15"/>
  <c r="AB22" i="15"/>
  <c r="AB23" i="15"/>
  <c r="AB24" i="15"/>
  <c r="AB19" i="15"/>
  <c r="AB12" i="12"/>
  <c r="AB13" i="12"/>
  <c r="AB14" i="12"/>
  <c r="AB15" i="12"/>
  <c r="AB16" i="12"/>
  <c r="AB12" i="15"/>
  <c r="AB13" i="15"/>
  <c r="AB14" i="15"/>
  <c r="AB15" i="15"/>
  <c r="AB16" i="15"/>
  <c r="AB11" i="15"/>
  <c r="D2" i="1"/>
  <c r="M7" i="1"/>
  <c r="M5" i="1"/>
  <c r="M4" i="1"/>
  <c r="M6" i="3"/>
  <c r="M7" i="3" s="1"/>
  <c r="B327" i="8" s="1"/>
  <c r="F311" i="8"/>
  <c r="M18" i="1"/>
  <c r="M319" i="8" s="1"/>
  <c r="M19" i="1"/>
  <c r="M320" i="8" s="1"/>
  <c r="D2" i="2"/>
  <c r="G5" i="2"/>
  <c r="G7" i="2"/>
  <c r="M15" i="2" s="1"/>
  <c r="M12" i="2"/>
  <c r="M9" i="2"/>
  <c r="G311" i="8"/>
  <c r="L7" i="1"/>
  <c r="L5" i="1"/>
  <c r="L4" i="1"/>
  <c r="L6" i="1"/>
  <c r="F283" i="8"/>
  <c r="L12" i="2"/>
  <c r="L15" i="2"/>
  <c r="G283" i="8"/>
  <c r="L22" i="1"/>
  <c r="M295" i="8" s="1"/>
  <c r="L26" i="1"/>
  <c r="M299" i="8" s="1"/>
  <c r="L28" i="1"/>
  <c r="M301" i="8" s="1"/>
  <c r="K7" i="1"/>
  <c r="K5" i="1"/>
  <c r="K4" i="1"/>
  <c r="K6" i="1" s="1"/>
  <c r="K16" i="1"/>
  <c r="M261" i="8" s="1"/>
  <c r="K6" i="3"/>
  <c r="K7" i="3" s="1"/>
  <c r="B271" i="8"/>
  <c r="F255" i="8"/>
  <c r="K18" i="1"/>
  <c r="M263" i="8" s="1"/>
  <c r="K12" i="2"/>
  <c r="K15" i="2"/>
  <c r="K9" i="2"/>
  <c r="G255" i="8"/>
  <c r="K22" i="1"/>
  <c r="M267" i="8" s="1"/>
  <c r="K23" i="1"/>
  <c r="M268" i="8" s="1"/>
  <c r="K24" i="1"/>
  <c r="M269" i="8"/>
  <c r="K26" i="1"/>
  <c r="M271" i="8" s="1"/>
  <c r="J7" i="1"/>
  <c r="J5" i="1"/>
  <c r="J4" i="1"/>
  <c r="J6" i="3" s="1"/>
  <c r="J7" i="3" s="1"/>
  <c r="J6" i="1"/>
  <c r="B243" i="8"/>
  <c r="F227" i="8"/>
  <c r="J18" i="2"/>
  <c r="J12" i="2"/>
  <c r="J15" i="2"/>
  <c r="J9" i="2"/>
  <c r="G227" i="8"/>
  <c r="I5" i="1"/>
  <c r="I4" i="1"/>
  <c r="I6" i="3"/>
  <c r="I7" i="3"/>
  <c r="B215" i="8" s="1"/>
  <c r="I18" i="2"/>
  <c r="I12" i="2"/>
  <c r="I15" i="2"/>
  <c r="I9" i="2"/>
  <c r="H7" i="1"/>
  <c r="H5" i="1"/>
  <c r="H4" i="1"/>
  <c r="F171" i="8"/>
  <c r="H18" i="2"/>
  <c r="H12" i="2"/>
  <c r="H15" i="2"/>
  <c r="H9" i="2"/>
  <c r="H14" i="2"/>
  <c r="H13" i="2"/>
  <c r="G171" i="8"/>
  <c r="B7" i="1"/>
  <c r="B5" i="1"/>
  <c r="B6" i="1" s="1"/>
  <c r="B4" i="1"/>
  <c r="F3" i="8"/>
  <c r="B20" i="1"/>
  <c r="M13" i="8" s="1"/>
  <c r="B12" i="2"/>
  <c r="B15" i="2"/>
  <c r="B9" i="2"/>
  <c r="B18" i="2"/>
  <c r="B22" i="1"/>
  <c r="M15" i="8" s="1"/>
  <c r="G3" i="8"/>
  <c r="C7" i="1"/>
  <c r="C5" i="1"/>
  <c r="C26" i="1" s="1"/>
  <c r="M47" i="8" s="1"/>
  <c r="C4" i="1"/>
  <c r="C16" i="1"/>
  <c r="M37" i="8" s="1"/>
  <c r="C6" i="3"/>
  <c r="C7" i="3" s="1"/>
  <c r="B47" i="8" s="1"/>
  <c r="F31" i="8"/>
  <c r="C17" i="1"/>
  <c r="M38" i="8" s="1"/>
  <c r="C19" i="1"/>
  <c r="M40" i="8" s="1"/>
  <c r="C18" i="2"/>
  <c r="C21" i="1"/>
  <c r="M42" i="8" s="1"/>
  <c r="C12" i="2"/>
  <c r="C15" i="2" s="1"/>
  <c r="C9" i="2"/>
  <c r="G31" i="8"/>
  <c r="C22" i="1"/>
  <c r="M43" i="8"/>
  <c r="C24" i="1"/>
  <c r="M45" i="8" s="1"/>
  <c r="C25" i="1"/>
  <c r="M46" i="8" s="1"/>
  <c r="C28" i="1"/>
  <c r="M49" i="8"/>
  <c r="D7" i="1"/>
  <c r="D5" i="1"/>
  <c r="D21" i="1" s="1"/>
  <c r="D4" i="1"/>
  <c r="D16" i="1"/>
  <c r="M65" i="8" s="1"/>
  <c r="D6" i="3"/>
  <c r="D7" i="3" s="1"/>
  <c r="B75" i="8" s="1"/>
  <c r="F60" i="8"/>
  <c r="D17" i="1"/>
  <c r="M66" i="8" s="1"/>
  <c r="D19" i="1"/>
  <c r="M68" i="8" s="1"/>
  <c r="D18" i="2"/>
  <c r="D20" i="1"/>
  <c r="M69" i="8" s="1"/>
  <c r="D12" i="2"/>
  <c r="D15" i="2"/>
  <c r="D9" i="2"/>
  <c r="G60" i="8"/>
  <c r="M70" i="8"/>
  <c r="D22" i="1"/>
  <c r="M71" i="8" s="1"/>
  <c r="D26" i="1"/>
  <c r="M75" i="8" s="1"/>
  <c r="D27" i="1"/>
  <c r="M76" i="8" s="1"/>
  <c r="D28" i="1"/>
  <c r="M77" i="8"/>
  <c r="E7" i="1"/>
  <c r="E5" i="1"/>
  <c r="E4" i="1"/>
  <c r="E6" i="3" s="1"/>
  <c r="E16" i="1"/>
  <c r="M93" i="8" s="1"/>
  <c r="E6" i="1"/>
  <c r="E4" i="3"/>
  <c r="E5" i="3" s="1"/>
  <c r="B102" i="8" s="1"/>
  <c r="E7" i="3"/>
  <c r="B103" i="8" s="1"/>
  <c r="I95" i="8" s="1"/>
  <c r="F88" i="8"/>
  <c r="I89" i="8"/>
  <c r="E18" i="1"/>
  <c r="M95" i="8"/>
  <c r="E18" i="2"/>
  <c r="E12" i="2"/>
  <c r="E15" i="2" s="1"/>
  <c r="E10" i="2"/>
  <c r="E16" i="2" s="1"/>
  <c r="E9" i="2"/>
  <c r="G88" i="8"/>
  <c r="E20" i="1"/>
  <c r="M97" i="8" s="1"/>
  <c r="E28" i="1"/>
  <c r="M105" i="8" s="1"/>
  <c r="F7" i="1"/>
  <c r="F5" i="1"/>
  <c r="F4" i="1"/>
  <c r="F116" i="8"/>
  <c r="F18" i="2"/>
  <c r="F12" i="2"/>
  <c r="F15" i="2"/>
  <c r="G116" i="8"/>
  <c r="G7" i="1"/>
  <c r="G5" i="1"/>
  <c r="G4" i="1"/>
  <c r="G16" i="1"/>
  <c r="M149" i="8" s="1"/>
  <c r="F144" i="8"/>
  <c r="G18" i="2"/>
  <c r="G12" i="2"/>
  <c r="G15" i="2" s="1"/>
  <c r="G9" i="2"/>
  <c r="G144" i="8"/>
  <c r="G18" i="1"/>
  <c r="M151" i="8" s="1"/>
  <c r="G20" i="1"/>
  <c r="M153" i="8" s="1"/>
  <c r="G27" i="1"/>
  <c r="M160" i="8"/>
  <c r="B21" i="20"/>
  <c r="M9" i="21"/>
  <c r="M5" i="23"/>
  <c r="M35" i="23"/>
  <c r="M65" i="23" s="1"/>
  <c r="N3" i="23"/>
  <c r="N33" i="23"/>
  <c r="N63" i="23" s="1"/>
  <c r="K3" i="23"/>
  <c r="K33" i="23" s="1"/>
  <c r="K63" i="23" s="1"/>
  <c r="H3" i="23"/>
  <c r="H33" i="23" s="1"/>
  <c r="H63" i="23"/>
  <c r="D3" i="23"/>
  <c r="D33" i="23" s="1"/>
  <c r="D63" i="23" s="1"/>
  <c r="N3" i="9"/>
  <c r="N32" i="9"/>
  <c r="N61" i="9"/>
  <c r="K3" i="9"/>
  <c r="K32" i="9"/>
  <c r="K61" i="9" s="1"/>
  <c r="H3" i="9"/>
  <c r="H32" i="9"/>
  <c r="H61" i="9" s="1"/>
  <c r="D3" i="9"/>
  <c r="D32" i="9"/>
  <c r="D61" i="9" s="1"/>
  <c r="C4" i="14"/>
  <c r="BM15" i="14"/>
  <c r="BN15" i="14" s="1"/>
  <c r="DT15" i="14"/>
  <c r="DU15" i="14"/>
  <c r="GA15" i="14"/>
  <c r="GB15" i="14" s="1"/>
  <c r="IH15" i="14"/>
  <c r="II15" i="14" s="1"/>
  <c r="KO15" i="14"/>
  <c r="KP15" i="14" s="1"/>
  <c r="F46" i="14"/>
  <c r="G46" i="14"/>
  <c r="BM46" i="14"/>
  <c r="BN46" i="14"/>
  <c r="DT46" i="14"/>
  <c r="DU46" i="14"/>
  <c r="GA46" i="14"/>
  <c r="GB46" i="14"/>
  <c r="IH46" i="14"/>
  <c r="II46" i="14"/>
  <c r="KO46" i="14"/>
  <c r="KP46" i="14"/>
  <c r="F14" i="1"/>
  <c r="H2" i="1"/>
  <c r="J15" i="14"/>
  <c r="J46" i="14"/>
  <c r="K46" i="14" s="1"/>
  <c r="E15" i="1"/>
  <c r="H15" i="1"/>
  <c r="E29" i="1"/>
  <c r="H29" i="1"/>
  <c r="H30" i="1"/>
  <c r="H15" i="14"/>
  <c r="G18" i="14" s="1"/>
  <c r="E7" i="18" s="1"/>
  <c r="H7" i="18" s="1"/>
  <c r="C9" i="13" s="1"/>
  <c r="F15" i="14"/>
  <c r="G15" i="14"/>
  <c r="G20" i="14"/>
  <c r="E9" i="18" s="1"/>
  <c r="J9" i="18" s="1"/>
  <c r="C43" i="13" s="1"/>
  <c r="G23" i="14"/>
  <c r="E12" i="18" s="1"/>
  <c r="F4" i="18"/>
  <c r="G36" i="14"/>
  <c r="E25" i="18" s="1"/>
  <c r="H25" i="18" s="1"/>
  <c r="C27" i="13" s="1"/>
  <c r="G38" i="14"/>
  <c r="E27" i="18" s="1"/>
  <c r="G41" i="14"/>
  <c r="E30" i="18" s="1"/>
  <c r="J30" i="18" s="1"/>
  <c r="C64" i="13" s="1"/>
  <c r="J7" i="18"/>
  <c r="C41" i="13" s="1"/>
  <c r="N3" i="22"/>
  <c r="N32" i="22" s="1"/>
  <c r="N61" i="22" s="1"/>
  <c r="K3" i="22"/>
  <c r="K32" i="22"/>
  <c r="K61" i="22" s="1"/>
  <c r="H3" i="22"/>
  <c r="H32" i="22"/>
  <c r="H61" i="22"/>
  <c r="D3" i="22"/>
  <c r="D32" i="22"/>
  <c r="D61" i="22"/>
  <c r="N3" i="21"/>
  <c r="N37" i="21" s="1"/>
  <c r="N67" i="21" s="1"/>
  <c r="K3" i="21"/>
  <c r="K37" i="21"/>
  <c r="K67" i="21" s="1"/>
  <c r="H3" i="21"/>
  <c r="H37" i="21"/>
  <c r="H67" i="21" s="1"/>
  <c r="D3" i="21"/>
  <c r="D37" i="21" s="1"/>
  <c r="D67" i="21" s="1"/>
  <c r="M69" i="21"/>
  <c r="G69" i="21" s="1"/>
  <c r="M39" i="21"/>
  <c r="G39" i="21"/>
  <c r="G9" i="21"/>
  <c r="G5" i="23"/>
  <c r="G35" i="23" s="1"/>
  <c r="G65" i="23" s="1"/>
  <c r="N3" i="13"/>
  <c r="N35" i="13" s="1"/>
  <c r="N67" i="13" s="1"/>
  <c r="K3" i="13"/>
  <c r="K35" i="13"/>
  <c r="K67" i="13" s="1"/>
  <c r="H3" i="13"/>
  <c r="H35" i="13"/>
  <c r="H67" i="13"/>
  <c r="D3" i="13"/>
  <c r="D35" i="13"/>
  <c r="D67" i="13"/>
  <c r="H4" i="15"/>
  <c r="H41" i="15" s="1"/>
  <c r="H4" i="12"/>
  <c r="H41" i="12" s="1"/>
  <c r="N36" i="15"/>
  <c r="N22" i="15"/>
  <c r="N4" i="15"/>
  <c r="N41" i="15" s="1"/>
  <c r="K4" i="15"/>
  <c r="K41" i="15"/>
  <c r="D4" i="15"/>
  <c r="D41" i="15"/>
  <c r="N36" i="12"/>
  <c r="N22" i="12"/>
  <c r="N4" i="12"/>
  <c r="N41" i="12" s="1"/>
  <c r="K4" i="12"/>
  <c r="K41" i="12"/>
  <c r="D4" i="12"/>
  <c r="D41" i="12"/>
  <c r="N3" i="5"/>
  <c r="K3" i="5"/>
  <c r="H3" i="5"/>
  <c r="D3" i="5"/>
  <c r="B14" i="2"/>
  <c r="C14" i="2"/>
  <c r="D14" i="2"/>
  <c r="E14" i="2"/>
  <c r="F14" i="2"/>
  <c r="G14" i="2"/>
  <c r="I14" i="2"/>
  <c r="J14" i="2"/>
  <c r="K14" i="2"/>
  <c r="L14" i="2"/>
  <c r="M14" i="2"/>
  <c r="C13" i="2"/>
  <c r="D13" i="2"/>
  <c r="E13" i="2"/>
  <c r="F13" i="2"/>
  <c r="G13" i="2"/>
  <c r="I13" i="2"/>
  <c r="J13" i="2"/>
  <c r="K13" i="2"/>
  <c r="L13" i="2"/>
  <c r="M13" i="2"/>
  <c r="B13" i="2"/>
  <c r="F2" i="1"/>
  <c r="F2" i="2" s="1"/>
  <c r="B2" i="1"/>
  <c r="B2" i="2" s="1"/>
  <c r="J18" i="20"/>
  <c r="J14" i="20"/>
  <c r="AM526" i="19"/>
  <c r="AM527" i="19" s="1"/>
  <c r="AM528" i="19"/>
  <c r="AM529" i="19"/>
  <c r="AM530" i="19" s="1"/>
  <c r="AM531" i="19" s="1"/>
  <c r="AM532" i="19" s="1"/>
  <c r="AM533" i="19" s="1"/>
  <c r="AM534" i="19" s="1"/>
  <c r="AM535" i="19" s="1"/>
  <c r="AM536" i="19" s="1"/>
  <c r="AM537" i="19" s="1"/>
  <c r="AM538" i="19" s="1"/>
  <c r="AM539" i="19" s="1"/>
  <c r="AM540" i="19" s="1"/>
  <c r="AM541" i="19" s="1"/>
  <c r="AM542" i="19" s="1"/>
  <c r="AM543" i="19" s="1"/>
  <c r="AM544" i="19" s="1"/>
  <c r="AM545" i="19" s="1"/>
  <c r="AM546" i="19" s="1"/>
  <c r="AM547" i="19" s="1"/>
  <c r="AM548" i="19" s="1"/>
  <c r="AM549" i="19" s="1"/>
  <c r="AM550" i="19" s="1"/>
  <c r="AM551" i="19" s="1"/>
  <c r="AM552" i="19" s="1"/>
  <c r="AM553" i="19" s="1"/>
  <c r="AM554" i="19" s="1"/>
  <c r="AM555" i="19" s="1"/>
  <c r="AM556" i="19" s="1"/>
  <c r="AM557" i="19" s="1"/>
  <c r="AM558" i="19" s="1"/>
  <c r="AM559" i="19" s="1"/>
  <c r="AM560" i="19" s="1"/>
  <c r="AM561" i="19" s="1"/>
  <c r="AM562" i="19"/>
  <c r="AM563" i="19" s="1"/>
  <c r="AM564" i="19" s="1"/>
  <c r="AM565" i="19" s="1"/>
  <c r="AM566" i="19" s="1"/>
  <c r="AM567" i="19" s="1"/>
  <c r="AM568" i="19" s="1"/>
  <c r="AM569" i="19" s="1"/>
  <c r="AG526" i="19"/>
  <c r="AG527" i="19" s="1"/>
  <c r="AG528" i="19" s="1"/>
  <c r="AG529" i="19" s="1"/>
  <c r="AG530" i="19" s="1"/>
  <c r="AG531" i="19" s="1"/>
  <c r="AG532" i="19" s="1"/>
  <c r="AG533" i="19" s="1"/>
  <c r="AG534" i="19" s="1"/>
  <c r="AG535" i="19" s="1"/>
  <c r="AG536" i="19" s="1"/>
  <c r="AG537" i="19" s="1"/>
  <c r="AG538" i="19" s="1"/>
  <c r="AG539" i="19" s="1"/>
  <c r="AG540" i="19" s="1"/>
  <c r="AG541" i="19" s="1"/>
  <c r="AG542" i="19" s="1"/>
  <c r="AG543" i="19" s="1"/>
  <c r="AG544" i="19" s="1"/>
  <c r="AG545" i="19" s="1"/>
  <c r="AG546" i="19" s="1"/>
  <c r="AG547" i="19" s="1"/>
  <c r="AG548" i="19" s="1"/>
  <c r="AG549" i="19" s="1"/>
  <c r="AG550" i="19" s="1"/>
  <c r="AG551" i="19" s="1"/>
  <c r="AG552" i="19" s="1"/>
  <c r="AG553" i="19" s="1"/>
  <c r="AG554" i="19" s="1"/>
  <c r="AG555" i="19" s="1"/>
  <c r="AG556" i="19" s="1"/>
  <c r="AG557" i="19" s="1"/>
  <c r="AG558" i="19" s="1"/>
  <c r="AG559" i="19" s="1"/>
  <c r="AG560" i="19" s="1"/>
  <c r="AG561" i="19" s="1"/>
  <c r="AG562" i="19" s="1"/>
  <c r="AG563" i="19" s="1"/>
  <c r="AG564" i="19" s="1"/>
  <c r="AG565" i="19" s="1"/>
  <c r="AG566" i="19" s="1"/>
  <c r="AG567" i="19" s="1"/>
  <c r="AG568" i="19" s="1"/>
  <c r="AG569" i="19" s="1"/>
  <c r="AA526" i="19"/>
  <c r="AA527" i="19" s="1"/>
  <c r="AA528" i="19" s="1"/>
  <c r="AA529" i="19" s="1"/>
  <c r="AA530" i="19" s="1"/>
  <c r="AA531" i="19" s="1"/>
  <c r="AA532" i="19" s="1"/>
  <c r="AA533" i="19" s="1"/>
  <c r="AA534" i="19"/>
  <c r="AA535" i="19" s="1"/>
  <c r="AA536" i="19" s="1"/>
  <c r="AA537" i="19" s="1"/>
  <c r="AA538" i="19" s="1"/>
  <c r="AA539" i="19" s="1"/>
  <c r="AA540" i="19" s="1"/>
  <c r="AA541" i="19" s="1"/>
  <c r="AA542" i="19" s="1"/>
  <c r="AA543" i="19" s="1"/>
  <c r="AA544" i="19" s="1"/>
  <c r="AA545" i="19" s="1"/>
  <c r="AA546" i="19" s="1"/>
  <c r="AA547" i="19" s="1"/>
  <c r="AA548" i="19" s="1"/>
  <c r="AA549" i="19" s="1"/>
  <c r="AA550" i="19" s="1"/>
  <c r="AA551" i="19" s="1"/>
  <c r="AA552" i="19" s="1"/>
  <c r="AA553" i="19" s="1"/>
  <c r="AA554" i="19" s="1"/>
  <c r="AA555" i="19" s="1"/>
  <c r="AA556" i="19" s="1"/>
  <c r="AA557" i="19" s="1"/>
  <c r="AA558" i="19" s="1"/>
  <c r="AA559" i="19" s="1"/>
  <c r="AA560" i="19" s="1"/>
  <c r="AA561" i="19" s="1"/>
  <c r="AA562" i="19" s="1"/>
  <c r="AA563" i="19" s="1"/>
  <c r="AA564" i="19" s="1"/>
  <c r="AA565" i="19" s="1"/>
  <c r="AA566" i="19" s="1"/>
  <c r="AA567" i="19" s="1"/>
  <c r="AA568" i="19" s="1"/>
  <c r="AA569" i="19" s="1"/>
  <c r="U526" i="19"/>
  <c r="U527" i="19"/>
  <c r="U528" i="19" s="1"/>
  <c r="U529" i="19"/>
  <c r="U530" i="19" s="1"/>
  <c r="U531" i="19" s="1"/>
  <c r="U532" i="19"/>
  <c r="U533" i="19" s="1"/>
  <c r="U534" i="19" s="1"/>
  <c r="U535" i="19" s="1"/>
  <c r="U536" i="19" s="1"/>
  <c r="U537" i="19" s="1"/>
  <c r="U538" i="19" s="1"/>
  <c r="U539" i="19" s="1"/>
  <c r="U540" i="19" s="1"/>
  <c r="U541" i="19" s="1"/>
  <c r="U542" i="19" s="1"/>
  <c r="U543" i="19" s="1"/>
  <c r="U544" i="19" s="1"/>
  <c r="U545" i="19" s="1"/>
  <c r="U546" i="19" s="1"/>
  <c r="U547" i="19" s="1"/>
  <c r="U548" i="19" s="1"/>
  <c r="U549" i="19" s="1"/>
  <c r="U550" i="19" s="1"/>
  <c r="U551" i="19" s="1"/>
  <c r="U552" i="19" s="1"/>
  <c r="U553" i="19" s="1"/>
  <c r="U554" i="19" s="1"/>
  <c r="U555" i="19" s="1"/>
  <c r="U556" i="19" s="1"/>
  <c r="U557" i="19" s="1"/>
  <c r="U558" i="19" s="1"/>
  <c r="U559" i="19" s="1"/>
  <c r="U560" i="19" s="1"/>
  <c r="U561" i="19" s="1"/>
  <c r="U562" i="19" s="1"/>
  <c r="U563" i="19" s="1"/>
  <c r="U564" i="19" s="1"/>
  <c r="U565" i="19" s="1"/>
  <c r="U566" i="19" s="1"/>
  <c r="U567" i="19" s="1"/>
  <c r="U568" i="19" s="1"/>
  <c r="U569" i="19" s="1"/>
  <c r="O526" i="19"/>
  <c r="O527" i="19" s="1"/>
  <c r="O528" i="19"/>
  <c r="O529" i="19" s="1"/>
  <c r="O530" i="19" s="1"/>
  <c r="O531" i="19" s="1"/>
  <c r="O532" i="19" s="1"/>
  <c r="O533" i="19" s="1"/>
  <c r="O534" i="19"/>
  <c r="O535" i="19" s="1"/>
  <c r="O536" i="19" s="1"/>
  <c r="O537" i="19" s="1"/>
  <c r="O538" i="19" s="1"/>
  <c r="O539" i="19" s="1"/>
  <c r="O540" i="19" s="1"/>
  <c r="O541" i="19" s="1"/>
  <c r="O542" i="19" s="1"/>
  <c r="O543" i="19" s="1"/>
  <c r="O544" i="19" s="1"/>
  <c r="O545" i="19" s="1"/>
  <c r="O546" i="19" s="1"/>
  <c r="O547" i="19" s="1"/>
  <c r="O548" i="19" s="1"/>
  <c r="O549" i="19" s="1"/>
  <c r="O550" i="19" s="1"/>
  <c r="O551" i="19" s="1"/>
  <c r="O552" i="19" s="1"/>
  <c r="O553" i="19" s="1"/>
  <c r="O554" i="19" s="1"/>
  <c r="O555" i="19" s="1"/>
  <c r="O556" i="19" s="1"/>
  <c r="O557" i="19" s="1"/>
  <c r="O558" i="19" s="1"/>
  <c r="O559" i="19" s="1"/>
  <c r="O560" i="19" s="1"/>
  <c r="O561" i="19" s="1"/>
  <c r="O562" i="19" s="1"/>
  <c r="O563" i="19" s="1"/>
  <c r="O564" i="19" s="1"/>
  <c r="O565" i="19" s="1"/>
  <c r="O566" i="19" s="1"/>
  <c r="O567" i="19" s="1"/>
  <c r="O568" i="19" s="1"/>
  <c r="O569" i="19" s="1"/>
  <c r="I526" i="19"/>
  <c r="I527" i="19" s="1"/>
  <c r="I528" i="19" s="1"/>
  <c r="I529" i="19" s="1"/>
  <c r="I530" i="19" s="1"/>
  <c r="I531" i="19" s="1"/>
  <c r="I532" i="19" s="1"/>
  <c r="I533" i="19" s="1"/>
  <c r="I534" i="19" s="1"/>
  <c r="I535" i="19" s="1"/>
  <c r="I536" i="19" s="1"/>
  <c r="I537" i="19" s="1"/>
  <c r="I538" i="19" s="1"/>
  <c r="I539" i="19" s="1"/>
  <c r="I540" i="19" s="1"/>
  <c r="I541" i="19" s="1"/>
  <c r="I542" i="19" s="1"/>
  <c r="I543" i="19" s="1"/>
  <c r="I544" i="19" s="1"/>
  <c r="I545" i="19" s="1"/>
  <c r="I546" i="19" s="1"/>
  <c r="I547" i="19" s="1"/>
  <c r="I548" i="19" s="1"/>
  <c r="I549" i="19" s="1"/>
  <c r="I550" i="19" s="1"/>
  <c r="I551" i="19" s="1"/>
  <c r="I552" i="19" s="1"/>
  <c r="I553" i="19" s="1"/>
  <c r="I554" i="19" s="1"/>
  <c r="I555" i="19" s="1"/>
  <c r="I556" i="19" s="1"/>
  <c r="I557" i="19" s="1"/>
  <c r="I558" i="19" s="1"/>
  <c r="I559" i="19" s="1"/>
  <c r="I560" i="19" s="1"/>
  <c r="I561" i="19"/>
  <c r="I562" i="19" s="1"/>
  <c r="I563" i="19" s="1"/>
  <c r="I564" i="19" s="1"/>
  <c r="I565" i="19"/>
  <c r="I566" i="19" s="1"/>
  <c r="I567" i="19" s="1"/>
  <c r="I568" i="19" s="1"/>
  <c r="I569" i="19" s="1"/>
  <c r="C526" i="19"/>
  <c r="C527" i="19" s="1"/>
  <c r="C528" i="19"/>
  <c r="C529" i="19" s="1"/>
  <c r="C530" i="19" s="1"/>
  <c r="C531" i="19" s="1"/>
  <c r="C532" i="19" s="1"/>
  <c r="C533" i="19" s="1"/>
  <c r="C534" i="19" s="1"/>
  <c r="C535" i="19" s="1"/>
  <c r="C536" i="19" s="1"/>
  <c r="C537" i="19" s="1"/>
  <c r="C538" i="19" s="1"/>
  <c r="C539" i="19" s="1"/>
  <c r="C540" i="19" s="1"/>
  <c r="C541" i="19" s="1"/>
  <c r="C542" i="19" s="1"/>
  <c r="C543" i="19" s="1"/>
  <c r="C544" i="19" s="1"/>
  <c r="C545" i="19" s="1"/>
  <c r="C546" i="19" s="1"/>
  <c r="C547" i="19" s="1"/>
  <c r="C548" i="19" s="1"/>
  <c r="C549" i="19" s="1"/>
  <c r="C550" i="19"/>
  <c r="C551" i="19" s="1"/>
  <c r="C552" i="19" s="1"/>
  <c r="C553" i="19" s="1"/>
  <c r="C554" i="19" s="1"/>
  <c r="C555" i="19" s="1"/>
  <c r="C556" i="19" s="1"/>
  <c r="C557" i="19" s="1"/>
  <c r="C558" i="19" s="1"/>
  <c r="C559" i="19" s="1"/>
  <c r="C560" i="19" s="1"/>
  <c r="C561" i="19" s="1"/>
  <c r="C562" i="19" s="1"/>
  <c r="C563" i="19" s="1"/>
  <c r="C564" i="19" s="1"/>
  <c r="C565" i="19" s="1"/>
  <c r="C566" i="19" s="1"/>
  <c r="C567" i="19" s="1"/>
  <c r="C568" i="19" s="1"/>
  <c r="C569" i="19" s="1"/>
  <c r="AG481" i="19"/>
  <c r="AG482" i="19" s="1"/>
  <c r="AG483" i="19" s="1"/>
  <c r="AG484" i="19" s="1"/>
  <c r="AG485" i="19" s="1"/>
  <c r="AG486" i="19" s="1"/>
  <c r="AG487" i="19" s="1"/>
  <c r="AG488" i="19" s="1"/>
  <c r="AG489" i="19" s="1"/>
  <c r="AG490" i="19" s="1"/>
  <c r="AG491" i="19" s="1"/>
  <c r="AG492" i="19" s="1"/>
  <c r="AG493" i="19"/>
  <c r="AG494" i="19" s="1"/>
  <c r="AG495" i="19" s="1"/>
  <c r="AG496" i="19" s="1"/>
  <c r="AG497" i="19" s="1"/>
  <c r="AG498" i="19" s="1"/>
  <c r="AG499" i="19" s="1"/>
  <c r="AG500" i="19" s="1"/>
  <c r="AG501" i="19" s="1"/>
  <c r="AG502" i="19" s="1"/>
  <c r="AG503" i="19" s="1"/>
  <c r="AG504" i="19" s="1"/>
  <c r="AG505" i="19" s="1"/>
  <c r="AG506" i="19" s="1"/>
  <c r="AG507" i="19" s="1"/>
  <c r="AG508" i="19" s="1"/>
  <c r="AG509" i="19" s="1"/>
  <c r="AG510" i="19" s="1"/>
  <c r="AG511" i="19" s="1"/>
  <c r="AG512" i="19" s="1"/>
  <c r="AG513" i="19" s="1"/>
  <c r="AG514" i="19" s="1"/>
  <c r="AG515" i="19" s="1"/>
  <c r="AG516" i="19" s="1"/>
  <c r="AG517" i="19" s="1"/>
  <c r="AG518" i="19" s="1"/>
  <c r="AG519" i="19" s="1"/>
  <c r="AG520" i="19" s="1"/>
  <c r="AG521" i="19" s="1"/>
  <c r="AG522" i="19" s="1"/>
  <c r="AG523" i="19" s="1"/>
  <c r="AG524" i="19" s="1"/>
  <c r="U481" i="19"/>
  <c r="U482" i="19" s="1"/>
  <c r="U483" i="19"/>
  <c r="U484" i="19" s="1"/>
  <c r="U485" i="19" s="1"/>
  <c r="U486" i="19" s="1"/>
  <c r="U487" i="19" s="1"/>
  <c r="U488" i="19" s="1"/>
  <c r="U489" i="19" s="1"/>
  <c r="U490" i="19" s="1"/>
  <c r="U491" i="19" s="1"/>
  <c r="U492" i="19" s="1"/>
  <c r="U493" i="19" s="1"/>
  <c r="U494" i="19" s="1"/>
  <c r="U495" i="19" s="1"/>
  <c r="U496" i="19" s="1"/>
  <c r="U497" i="19" s="1"/>
  <c r="U498" i="19" s="1"/>
  <c r="U499" i="19" s="1"/>
  <c r="U500" i="19" s="1"/>
  <c r="U501" i="19"/>
  <c r="U502" i="19"/>
  <c r="U503" i="19" s="1"/>
  <c r="U504" i="19" s="1"/>
  <c r="U505" i="19"/>
  <c r="U506" i="19" s="1"/>
  <c r="U507" i="19" s="1"/>
  <c r="U508" i="19" s="1"/>
  <c r="U509" i="19" s="1"/>
  <c r="U510" i="19" s="1"/>
  <c r="U511" i="19" s="1"/>
  <c r="U512" i="19" s="1"/>
  <c r="U513" i="19" s="1"/>
  <c r="U514" i="19" s="1"/>
  <c r="U515" i="19" s="1"/>
  <c r="U516" i="19" s="1"/>
  <c r="U517" i="19" s="1"/>
  <c r="U518" i="19" s="1"/>
  <c r="U519" i="19" s="1"/>
  <c r="U520" i="19" s="1"/>
  <c r="U521" i="19" s="1"/>
  <c r="U522" i="19" s="1"/>
  <c r="U523" i="19" s="1"/>
  <c r="U524" i="19" s="1"/>
  <c r="I481" i="19"/>
  <c r="I482" i="19" s="1"/>
  <c r="I483" i="19" s="1"/>
  <c r="I484" i="19" s="1"/>
  <c r="I485" i="19" s="1"/>
  <c r="I486" i="19" s="1"/>
  <c r="I487" i="19" s="1"/>
  <c r="I488" i="19" s="1"/>
  <c r="I489" i="19" s="1"/>
  <c r="I490" i="19"/>
  <c r="I491" i="19" s="1"/>
  <c r="I492" i="19" s="1"/>
  <c r="I493" i="19" s="1"/>
  <c r="I494" i="19" s="1"/>
  <c r="I495" i="19" s="1"/>
  <c r="I496" i="19" s="1"/>
  <c r="I497" i="19"/>
  <c r="I498" i="19" s="1"/>
  <c r="I499" i="19" s="1"/>
  <c r="I500" i="19" s="1"/>
  <c r="I501" i="19" s="1"/>
  <c r="I502" i="19" s="1"/>
  <c r="I503" i="19" s="1"/>
  <c r="I504" i="19" s="1"/>
  <c r="I505" i="19" s="1"/>
  <c r="I506" i="19" s="1"/>
  <c r="I507" i="19" s="1"/>
  <c r="I508" i="19" s="1"/>
  <c r="I509" i="19" s="1"/>
  <c r="I510" i="19" s="1"/>
  <c r="I511" i="19" s="1"/>
  <c r="I512" i="19" s="1"/>
  <c r="I513" i="19" s="1"/>
  <c r="I514" i="19" s="1"/>
  <c r="I515" i="19" s="1"/>
  <c r="I516" i="19" s="1"/>
  <c r="I517" i="19" s="1"/>
  <c r="I518" i="19" s="1"/>
  <c r="I519" i="19" s="1"/>
  <c r="I520" i="19" s="1"/>
  <c r="I521" i="19" s="1"/>
  <c r="I522" i="19" s="1"/>
  <c r="I523" i="19" s="1"/>
  <c r="I524" i="19"/>
  <c r="AM481" i="19"/>
  <c r="AM482" i="19" s="1"/>
  <c r="AM483" i="19" s="1"/>
  <c r="AM484" i="19" s="1"/>
  <c r="AM485" i="19"/>
  <c r="AM486" i="19" s="1"/>
  <c r="AM487" i="19" s="1"/>
  <c r="AM488" i="19" s="1"/>
  <c r="AM489" i="19" s="1"/>
  <c r="AM490" i="19" s="1"/>
  <c r="AM491" i="19" s="1"/>
  <c r="AM492" i="19" s="1"/>
  <c r="AM493" i="19" s="1"/>
  <c r="AM494" i="19" s="1"/>
  <c r="AM495" i="19" s="1"/>
  <c r="AM496" i="19" s="1"/>
  <c r="AM497" i="19" s="1"/>
  <c r="AM498" i="19" s="1"/>
  <c r="AM499" i="19" s="1"/>
  <c r="AM500" i="19" s="1"/>
  <c r="AM501" i="19" s="1"/>
  <c r="AM502" i="19" s="1"/>
  <c r="AM503" i="19" s="1"/>
  <c r="AM504" i="19" s="1"/>
  <c r="AM505" i="19" s="1"/>
  <c r="AM506" i="19" s="1"/>
  <c r="AM507" i="19" s="1"/>
  <c r="AM508" i="19" s="1"/>
  <c r="AM509" i="19" s="1"/>
  <c r="AM510" i="19" s="1"/>
  <c r="AM511" i="19" s="1"/>
  <c r="AM512" i="19" s="1"/>
  <c r="AM513" i="19" s="1"/>
  <c r="AM514" i="19" s="1"/>
  <c r="AM515" i="19" s="1"/>
  <c r="AM516" i="19" s="1"/>
  <c r="AM517" i="19" s="1"/>
  <c r="AM518" i="19" s="1"/>
  <c r="AM519" i="19" s="1"/>
  <c r="AM520" i="19" s="1"/>
  <c r="AM521" i="19" s="1"/>
  <c r="AM522" i="19" s="1"/>
  <c r="AM523" i="19" s="1"/>
  <c r="AM524" i="19" s="1"/>
  <c r="AA481" i="19"/>
  <c r="AA482" i="19"/>
  <c r="AA483" i="19" s="1"/>
  <c r="AA484" i="19"/>
  <c r="AA485" i="19" s="1"/>
  <c r="AA486" i="19" s="1"/>
  <c r="AA487" i="19"/>
  <c r="AA488" i="19"/>
  <c r="AA489" i="19" s="1"/>
  <c r="AA490" i="19" s="1"/>
  <c r="AA491" i="19" s="1"/>
  <c r="AA492" i="19" s="1"/>
  <c r="AA493" i="19" s="1"/>
  <c r="AA494" i="19" s="1"/>
  <c r="AA495" i="19" s="1"/>
  <c r="AA496" i="19" s="1"/>
  <c r="AA497" i="19" s="1"/>
  <c r="AA498" i="19" s="1"/>
  <c r="AA499" i="19" s="1"/>
  <c r="AA500" i="19" s="1"/>
  <c r="AA501" i="19" s="1"/>
  <c r="AA502" i="19" s="1"/>
  <c r="AA503" i="19" s="1"/>
  <c r="AA504" i="19" s="1"/>
  <c r="AA505" i="19" s="1"/>
  <c r="AA506" i="19" s="1"/>
  <c r="AA507" i="19" s="1"/>
  <c r="AA508" i="19" s="1"/>
  <c r="AA509" i="19" s="1"/>
  <c r="AA510" i="19" s="1"/>
  <c r="AA511" i="19" s="1"/>
  <c r="AA512" i="19" s="1"/>
  <c r="AA513" i="19" s="1"/>
  <c r="AA514" i="19" s="1"/>
  <c r="AA515" i="19" s="1"/>
  <c r="AA516" i="19" s="1"/>
  <c r="AA517" i="19" s="1"/>
  <c r="AA518" i="19" s="1"/>
  <c r="AA519" i="19" s="1"/>
  <c r="AA520" i="19"/>
  <c r="AA521" i="19" s="1"/>
  <c r="AA522" i="19" s="1"/>
  <c r="AA523" i="19" s="1"/>
  <c r="AA524" i="19" s="1"/>
  <c r="O481" i="19"/>
  <c r="O482" i="19" s="1"/>
  <c r="O483" i="19"/>
  <c r="O484" i="19" s="1"/>
  <c r="O485" i="19"/>
  <c r="O486" i="19" s="1"/>
  <c r="O487" i="19" s="1"/>
  <c r="O488" i="19" s="1"/>
  <c r="O489" i="19" s="1"/>
  <c r="O490" i="19" s="1"/>
  <c r="O491" i="19" s="1"/>
  <c r="O492" i="19" s="1"/>
  <c r="O493" i="19"/>
  <c r="O494" i="19" s="1"/>
  <c r="O495" i="19" s="1"/>
  <c r="O496" i="19" s="1"/>
  <c r="O497" i="19" s="1"/>
  <c r="O498" i="19" s="1"/>
  <c r="O499" i="19" s="1"/>
  <c r="O500" i="19" s="1"/>
  <c r="O501" i="19" s="1"/>
  <c r="O502" i="19" s="1"/>
  <c r="O503" i="19" s="1"/>
  <c r="O504" i="19" s="1"/>
  <c r="O505" i="19" s="1"/>
  <c r="O506" i="19" s="1"/>
  <c r="O507" i="19" s="1"/>
  <c r="O508" i="19" s="1"/>
  <c r="O509" i="19" s="1"/>
  <c r="O510" i="19" s="1"/>
  <c r="O511" i="19" s="1"/>
  <c r="O512" i="19" s="1"/>
  <c r="O513" i="19" s="1"/>
  <c r="O514" i="19" s="1"/>
  <c r="O515" i="19" s="1"/>
  <c r="O516" i="19" s="1"/>
  <c r="O517" i="19" s="1"/>
  <c r="O518" i="19" s="1"/>
  <c r="O519" i="19" s="1"/>
  <c r="O520" i="19" s="1"/>
  <c r="O521" i="19" s="1"/>
  <c r="O522" i="19" s="1"/>
  <c r="O523" i="19" s="1"/>
  <c r="O524" i="19" s="1"/>
  <c r="C481" i="19"/>
  <c r="C482" i="19" s="1"/>
  <c r="C483" i="19" s="1"/>
  <c r="C484" i="19"/>
  <c r="C485" i="19" s="1"/>
  <c r="C486" i="19" s="1"/>
  <c r="C487" i="19" s="1"/>
  <c r="C488" i="19" s="1"/>
  <c r="C489" i="19" s="1"/>
  <c r="C490" i="19" s="1"/>
  <c r="C491" i="19" s="1"/>
  <c r="C492" i="19" s="1"/>
  <c r="C493" i="19" s="1"/>
  <c r="C494" i="19" s="1"/>
  <c r="C495" i="19" s="1"/>
  <c r="C496" i="19" s="1"/>
  <c r="C497" i="19" s="1"/>
  <c r="C498" i="19" s="1"/>
  <c r="C499" i="19" s="1"/>
  <c r="C500" i="19" s="1"/>
  <c r="C501" i="19" s="1"/>
  <c r="C502" i="19" s="1"/>
  <c r="C503" i="19" s="1"/>
  <c r="C504" i="19" s="1"/>
  <c r="C505" i="19" s="1"/>
  <c r="C506" i="19" s="1"/>
  <c r="C507" i="19" s="1"/>
  <c r="C508" i="19" s="1"/>
  <c r="C509" i="19" s="1"/>
  <c r="C510" i="19" s="1"/>
  <c r="C511" i="19" s="1"/>
  <c r="C512" i="19" s="1"/>
  <c r="C513" i="19" s="1"/>
  <c r="C514" i="19" s="1"/>
  <c r="C515" i="19" s="1"/>
  <c r="C516" i="19" s="1"/>
  <c r="C517" i="19" s="1"/>
  <c r="C518" i="19" s="1"/>
  <c r="C519" i="19" s="1"/>
  <c r="C520" i="19" s="1"/>
  <c r="C521" i="19" s="1"/>
  <c r="C522" i="19" s="1"/>
  <c r="C523" i="19" s="1"/>
  <c r="C524" i="19" s="1"/>
  <c r="AM477" i="19"/>
  <c r="AN477" i="19" s="1"/>
  <c r="AG477" i="19"/>
  <c r="AH477" i="19"/>
  <c r="AA477" i="19"/>
  <c r="AB477" i="19" s="1"/>
  <c r="U477" i="19"/>
  <c r="V477" i="19"/>
  <c r="O477" i="19"/>
  <c r="P477" i="19" s="1"/>
  <c r="I477" i="19"/>
  <c r="J477" i="19"/>
  <c r="C477" i="19"/>
  <c r="D477" i="19" s="1"/>
  <c r="Y472" i="19"/>
  <c r="Y471" i="19"/>
  <c r="Y470" i="19"/>
  <c r="Y469" i="19"/>
  <c r="Y468" i="19"/>
  <c r="Y467" i="19"/>
  <c r="Y466" i="19"/>
  <c r="Y465" i="19"/>
  <c r="Y464" i="19"/>
  <c r="Y463" i="19"/>
  <c r="Y462" i="19"/>
  <c r="Y461" i="19"/>
  <c r="Y460" i="19"/>
  <c r="Y459" i="19"/>
  <c r="Y458" i="19"/>
  <c r="Y457" i="19"/>
  <c r="Y456" i="19"/>
  <c r="Y455" i="19"/>
  <c r="Y454" i="19"/>
  <c r="Y453" i="19"/>
  <c r="Y452" i="19"/>
  <c r="Y451" i="19"/>
  <c r="Y450" i="19"/>
  <c r="Y449" i="19"/>
  <c r="Y448" i="19"/>
  <c r="Y447" i="19"/>
  <c r="Y446" i="19"/>
  <c r="Y445" i="19"/>
  <c r="Y444" i="19"/>
  <c r="Y443" i="19"/>
  <c r="Y442" i="19"/>
  <c r="Y441" i="19"/>
  <c r="Y440" i="19"/>
  <c r="Y439" i="19"/>
  <c r="Y438" i="19"/>
  <c r="Y437" i="19"/>
  <c r="Y436" i="19"/>
  <c r="Y435" i="19"/>
  <c r="Y434" i="19"/>
  <c r="Y433" i="19"/>
  <c r="Y432" i="19"/>
  <c r="Y431" i="19"/>
  <c r="Y430" i="19"/>
  <c r="Y429" i="19"/>
  <c r="Y428" i="19"/>
  <c r="Y427" i="19"/>
  <c r="Y426" i="19"/>
  <c r="Y425" i="19"/>
  <c r="Y424" i="19"/>
  <c r="Y423" i="19"/>
  <c r="Y422" i="19"/>
  <c r="Y421" i="19"/>
  <c r="Y420" i="19"/>
  <c r="Y419" i="19"/>
  <c r="Y418" i="19"/>
  <c r="Y417" i="19"/>
  <c r="Y416" i="19"/>
  <c r="Y415" i="19"/>
  <c r="Y414" i="19"/>
  <c r="Y413" i="19"/>
  <c r="Y412" i="19"/>
  <c r="Y411" i="19"/>
  <c r="Y410" i="19"/>
  <c r="Y409" i="19"/>
  <c r="Y408" i="19"/>
  <c r="Y407" i="19"/>
  <c r="Y406" i="19"/>
  <c r="Y405" i="19"/>
  <c r="Y404" i="19"/>
  <c r="Y403" i="19"/>
  <c r="Y402" i="19"/>
  <c r="Y401" i="19"/>
  <c r="Y400" i="19"/>
  <c r="Y399" i="19"/>
  <c r="Y398" i="19"/>
  <c r="Y397" i="19"/>
  <c r="Y396" i="19"/>
  <c r="Y395" i="19"/>
  <c r="Y394" i="19"/>
  <c r="Y393" i="19"/>
  <c r="Y392" i="19"/>
  <c r="Y391" i="19"/>
  <c r="Y390" i="19"/>
  <c r="Y389" i="19"/>
  <c r="Y388" i="19"/>
  <c r="Y387" i="19"/>
  <c r="Y386" i="19"/>
  <c r="Y385" i="19"/>
  <c r="Y384" i="19"/>
  <c r="Y383" i="19"/>
  <c r="P355" i="19"/>
  <c r="E355" i="19"/>
  <c r="N346" i="19"/>
  <c r="O346" i="19"/>
  <c r="O360" i="19"/>
  <c r="C346" i="19"/>
  <c r="D346" i="19" s="1"/>
  <c r="P335" i="19"/>
  <c r="E335" i="19"/>
  <c r="N326" i="19"/>
  <c r="O326" i="19"/>
  <c r="O340" i="19" s="1"/>
  <c r="C326" i="19"/>
  <c r="D326" i="19"/>
  <c r="P315" i="19"/>
  <c r="E315" i="19"/>
  <c r="AL310" i="19"/>
  <c r="AK310" i="19"/>
  <c r="AH310" i="19"/>
  <c r="AG310" i="19"/>
  <c r="AL309" i="19"/>
  <c r="AK309" i="19"/>
  <c r="AH309" i="19"/>
  <c r="AG309" i="19"/>
  <c r="AL308" i="19"/>
  <c r="AK308" i="19"/>
  <c r="AH308" i="19"/>
  <c r="AG308" i="19"/>
  <c r="AL307" i="19"/>
  <c r="AK307" i="19"/>
  <c r="AH307" i="19"/>
  <c r="AG307" i="19"/>
  <c r="AL306" i="19"/>
  <c r="AK306" i="19"/>
  <c r="AH306" i="19"/>
  <c r="AG306" i="19"/>
  <c r="N306" i="19"/>
  <c r="O306" i="19"/>
  <c r="C306" i="19"/>
  <c r="D306" i="19"/>
  <c r="AL305" i="19"/>
  <c r="AK305" i="19"/>
  <c r="AH305" i="19"/>
  <c r="AG305" i="19"/>
  <c r="AL304" i="19"/>
  <c r="AK304" i="19"/>
  <c r="AH304" i="19"/>
  <c r="AG304" i="19"/>
  <c r="AL303" i="19"/>
  <c r="AK303" i="19"/>
  <c r="AH303" i="19"/>
  <c r="AG303" i="19"/>
  <c r="AL302" i="19"/>
  <c r="AK302" i="19"/>
  <c r="AH302" i="19"/>
  <c r="AG302" i="19"/>
  <c r="AL301" i="19"/>
  <c r="AK301" i="19"/>
  <c r="AH301" i="19"/>
  <c r="AG301" i="19"/>
  <c r="AL300" i="19"/>
  <c r="AK300" i="19"/>
  <c r="AH300" i="19"/>
  <c r="AG300" i="19"/>
  <c r="AL299" i="19"/>
  <c r="AK299" i="19"/>
  <c r="AH299" i="19"/>
  <c r="AG299" i="19"/>
  <c r="C286" i="19"/>
  <c r="D286" i="19"/>
  <c r="AL298" i="19"/>
  <c r="AK298" i="19"/>
  <c r="AH298" i="19"/>
  <c r="AG298" i="19"/>
  <c r="AL297" i="19"/>
  <c r="AK297" i="19"/>
  <c r="AH297" i="19"/>
  <c r="AG297" i="19"/>
  <c r="AL296" i="19"/>
  <c r="AK296" i="19"/>
  <c r="AH296" i="19"/>
  <c r="AG296" i="19"/>
  <c r="AL295" i="19"/>
  <c r="AK295" i="19"/>
  <c r="AH295" i="19"/>
  <c r="AG295" i="19"/>
  <c r="P295" i="19"/>
  <c r="E295" i="19"/>
  <c r="H295" i="19" s="1"/>
  <c r="AL294" i="19"/>
  <c r="AK294" i="19"/>
  <c r="AH294" i="19"/>
  <c r="AG294" i="19"/>
  <c r="AL293" i="19"/>
  <c r="AK293" i="19"/>
  <c r="AH293" i="19"/>
  <c r="AG293" i="19"/>
  <c r="AL292" i="19"/>
  <c r="AK292" i="19"/>
  <c r="AH292" i="19"/>
  <c r="AG292" i="19"/>
  <c r="Y292" i="19"/>
  <c r="N286" i="19"/>
  <c r="O286" i="19" s="1"/>
  <c r="C266" i="19"/>
  <c r="D266" i="19"/>
  <c r="D280" i="19" s="1"/>
  <c r="E280" i="19" s="1"/>
  <c r="D281" i="19"/>
  <c r="D277" i="19"/>
  <c r="G277" i="19" s="1"/>
  <c r="P275" i="19"/>
  <c r="E275" i="19"/>
  <c r="D275" i="19"/>
  <c r="G275" i="19" s="1"/>
  <c r="D273" i="19"/>
  <c r="D271" i="19"/>
  <c r="N266" i="19"/>
  <c r="O266" i="19"/>
  <c r="D269" i="19"/>
  <c r="E269" i="19" s="1"/>
  <c r="H269" i="19" s="1"/>
  <c r="C246" i="19"/>
  <c r="D246" i="19" s="1"/>
  <c r="D259" i="19" s="1"/>
  <c r="G259" i="19" s="1"/>
  <c r="D261" i="19"/>
  <c r="D257" i="19"/>
  <c r="G257" i="19" s="1"/>
  <c r="P255" i="19"/>
  <c r="E255" i="19"/>
  <c r="D249" i="19"/>
  <c r="N246" i="19"/>
  <c r="O246" i="19" s="1"/>
  <c r="AC242" i="19"/>
  <c r="AC243" i="19"/>
  <c r="AC244" i="19" s="1"/>
  <c r="AG237" i="19"/>
  <c r="P235" i="19"/>
  <c r="E235" i="19"/>
  <c r="N226" i="19"/>
  <c r="O226" i="19"/>
  <c r="C226" i="19"/>
  <c r="D226" i="19" s="1"/>
  <c r="D231" i="19" s="1"/>
  <c r="G231" i="19" s="1"/>
  <c r="P215" i="19"/>
  <c r="E215" i="19"/>
  <c r="CJ209" i="19"/>
  <c r="CI209" i="19"/>
  <c r="CJ207" i="19"/>
  <c r="CI207" i="19"/>
  <c r="N206" i="19"/>
  <c r="O206" i="19" s="1"/>
  <c r="C206" i="19"/>
  <c r="D206" i="19" s="1"/>
  <c r="D220" i="19" s="1"/>
  <c r="CJ204" i="19"/>
  <c r="CI204" i="19"/>
  <c r="CJ202" i="19"/>
  <c r="CI202" i="19"/>
  <c r="CJ199" i="19"/>
  <c r="CI199" i="19"/>
  <c r="CJ197" i="19"/>
  <c r="CI197" i="19"/>
  <c r="P195" i="19"/>
  <c r="E195" i="19"/>
  <c r="CJ194" i="19"/>
  <c r="CI194" i="19"/>
  <c r="CJ192" i="19"/>
  <c r="CI192" i="19"/>
  <c r="CJ189" i="19"/>
  <c r="CI189" i="19"/>
  <c r="CJ187" i="19"/>
  <c r="CI187" i="19"/>
  <c r="N186" i="19"/>
  <c r="O186" i="19"/>
  <c r="C186" i="19"/>
  <c r="D186" i="19" s="1"/>
  <c r="CJ184" i="19"/>
  <c r="CI184" i="19"/>
  <c r="AC184" i="19"/>
  <c r="AC185" i="19"/>
  <c r="AC186" i="19"/>
  <c r="AC187" i="19"/>
  <c r="AD187" i="19" s="1"/>
  <c r="AC188" i="19"/>
  <c r="CJ182" i="19"/>
  <c r="CI182" i="19"/>
  <c r="B182" i="19"/>
  <c r="B181" i="19"/>
  <c r="B180" i="19"/>
  <c r="Z470" i="19" s="1"/>
  <c r="B179" i="19"/>
  <c r="B178" i="19"/>
  <c r="AG177" i="19"/>
  <c r="B177" i="19"/>
  <c r="B176" i="19"/>
  <c r="B175" i="19"/>
  <c r="AE174" i="19"/>
  <c r="AC174" i="19"/>
  <c r="AD174" i="19" s="1"/>
  <c r="AD185" i="19" s="1"/>
  <c r="AE185" i="19" s="1"/>
  <c r="AH185" i="19" s="1"/>
  <c r="B174" i="19"/>
  <c r="C174" i="19"/>
  <c r="AA464" i="19" s="1"/>
  <c r="Z464" i="19"/>
  <c r="B173" i="19"/>
  <c r="Z463" i="19" s="1"/>
  <c r="C173" i="19"/>
  <c r="AA463" i="19" s="1"/>
  <c r="AH172" i="19"/>
  <c r="D172" i="19"/>
  <c r="E172" i="19" s="1"/>
  <c r="B172" i="19"/>
  <c r="D171" i="19"/>
  <c r="E171" i="19" s="1"/>
  <c r="B171" i="19"/>
  <c r="D170" i="19"/>
  <c r="E170" i="19"/>
  <c r="B170" i="19"/>
  <c r="D169" i="19"/>
  <c r="E169" i="19"/>
  <c r="B169" i="19"/>
  <c r="C169" i="19" s="1"/>
  <c r="AA459" i="19" s="1"/>
  <c r="D168" i="19"/>
  <c r="E168" i="19"/>
  <c r="B168" i="19"/>
  <c r="D167" i="19"/>
  <c r="E167" i="19"/>
  <c r="B167" i="19"/>
  <c r="D166" i="19"/>
  <c r="E166" i="19"/>
  <c r="B166" i="19"/>
  <c r="D165" i="19"/>
  <c r="E165" i="19" s="1"/>
  <c r="B165" i="19"/>
  <c r="D164" i="19"/>
  <c r="E164" i="19" s="1"/>
  <c r="B164" i="19"/>
  <c r="D163" i="19"/>
  <c r="E163" i="19" s="1"/>
  <c r="B163" i="19"/>
  <c r="F162" i="19"/>
  <c r="G162" i="19"/>
  <c r="D162" i="19"/>
  <c r="E162" i="19" s="1"/>
  <c r="B162" i="19"/>
  <c r="F161" i="19"/>
  <c r="G161" i="19" s="1"/>
  <c r="D161" i="19"/>
  <c r="E161" i="19" s="1"/>
  <c r="B161" i="19"/>
  <c r="F160" i="19"/>
  <c r="G160" i="19" s="1"/>
  <c r="D160" i="19"/>
  <c r="E160" i="19"/>
  <c r="B160" i="19"/>
  <c r="F159" i="19"/>
  <c r="G159" i="19" s="1"/>
  <c r="D159" i="19"/>
  <c r="E159" i="19"/>
  <c r="B159" i="19"/>
  <c r="F158" i="19"/>
  <c r="G158" i="19"/>
  <c r="D158" i="19"/>
  <c r="E158" i="19" s="1"/>
  <c r="B158" i="19"/>
  <c r="F157" i="19"/>
  <c r="G157" i="19"/>
  <c r="D157" i="19"/>
  <c r="E157" i="19"/>
  <c r="B157" i="19"/>
  <c r="F156" i="19"/>
  <c r="G156" i="19" s="1"/>
  <c r="D156" i="19"/>
  <c r="E156" i="19"/>
  <c r="B156" i="19"/>
  <c r="F155" i="19"/>
  <c r="G155" i="19"/>
  <c r="D155" i="19"/>
  <c r="E155" i="19"/>
  <c r="B155" i="19"/>
  <c r="F154" i="19"/>
  <c r="G154" i="19"/>
  <c r="D154" i="19"/>
  <c r="E154" i="19" s="1"/>
  <c r="B154" i="19"/>
  <c r="F153" i="19"/>
  <c r="G153" i="19"/>
  <c r="D153" i="19"/>
  <c r="E153" i="19" s="1"/>
  <c r="B153" i="19"/>
  <c r="H152" i="19"/>
  <c r="I152" i="19" s="1"/>
  <c r="F152" i="19"/>
  <c r="G152" i="19"/>
  <c r="D152" i="19"/>
  <c r="E152" i="19" s="1"/>
  <c r="B152" i="19"/>
  <c r="Z442" i="19"/>
  <c r="H151" i="19"/>
  <c r="I151" i="19" s="1"/>
  <c r="F151" i="19"/>
  <c r="G151" i="19" s="1"/>
  <c r="D151" i="19"/>
  <c r="E151" i="19"/>
  <c r="B151" i="19"/>
  <c r="Z441" i="19"/>
  <c r="H150" i="19"/>
  <c r="I150" i="19" s="1"/>
  <c r="F150" i="19"/>
  <c r="G150" i="19"/>
  <c r="D150" i="19"/>
  <c r="E150" i="19" s="1"/>
  <c r="B150" i="19"/>
  <c r="Z440" i="19"/>
  <c r="H149" i="19"/>
  <c r="I149" i="19" s="1"/>
  <c r="F149" i="19"/>
  <c r="G149" i="19" s="1"/>
  <c r="D149" i="19"/>
  <c r="E149" i="19" s="1"/>
  <c r="B149" i="19"/>
  <c r="H148" i="19"/>
  <c r="I148" i="19"/>
  <c r="F148" i="19"/>
  <c r="G148" i="19"/>
  <c r="D148" i="19"/>
  <c r="E148" i="19"/>
  <c r="B148" i="19"/>
  <c r="H147" i="19"/>
  <c r="I147" i="19"/>
  <c r="F147" i="19"/>
  <c r="G147" i="19"/>
  <c r="D147" i="19"/>
  <c r="E147" i="19" s="1"/>
  <c r="B147" i="19"/>
  <c r="H146" i="19"/>
  <c r="I146" i="19"/>
  <c r="F146" i="19"/>
  <c r="G146" i="19"/>
  <c r="D146" i="19"/>
  <c r="E146" i="19"/>
  <c r="B146" i="19"/>
  <c r="Z436" i="19" s="1"/>
  <c r="H145" i="19"/>
  <c r="I145" i="19"/>
  <c r="F145" i="19"/>
  <c r="G145" i="19"/>
  <c r="D145" i="19"/>
  <c r="E145" i="19"/>
  <c r="B145" i="19"/>
  <c r="Z435" i="19" s="1"/>
  <c r="H144" i="19"/>
  <c r="I144" i="19"/>
  <c r="F144" i="19"/>
  <c r="G144" i="19"/>
  <c r="D144" i="19"/>
  <c r="E144" i="19" s="1"/>
  <c r="B144" i="19"/>
  <c r="Z434" i="19" s="1"/>
  <c r="H143" i="19"/>
  <c r="I143" i="19"/>
  <c r="F143" i="19"/>
  <c r="G143" i="19"/>
  <c r="D143" i="19"/>
  <c r="E143" i="19" s="1"/>
  <c r="B143" i="19"/>
  <c r="Z433" i="19" s="1"/>
  <c r="J142" i="19"/>
  <c r="K142" i="19"/>
  <c r="H142" i="19"/>
  <c r="I142" i="19"/>
  <c r="F142" i="19"/>
  <c r="G142" i="19"/>
  <c r="D142" i="19"/>
  <c r="E142" i="19" s="1"/>
  <c r="B142" i="19"/>
  <c r="Z432" i="19"/>
  <c r="J141" i="19"/>
  <c r="K141" i="19"/>
  <c r="H141" i="19"/>
  <c r="I141" i="19"/>
  <c r="F141" i="19"/>
  <c r="G141" i="19" s="1"/>
  <c r="D141" i="19"/>
  <c r="E141" i="19"/>
  <c r="B141" i="19"/>
  <c r="C141" i="19"/>
  <c r="AA431" i="19" s="1"/>
  <c r="Z431" i="19"/>
  <c r="J140" i="19"/>
  <c r="K140" i="19" s="1"/>
  <c r="H140" i="19"/>
  <c r="I140" i="19"/>
  <c r="F140" i="19"/>
  <c r="G140" i="19"/>
  <c r="D140" i="19"/>
  <c r="E140" i="19" s="1"/>
  <c r="B140" i="19"/>
  <c r="C140" i="19" s="1"/>
  <c r="AA430" i="19" s="1"/>
  <c r="Z430" i="19"/>
  <c r="J139" i="19"/>
  <c r="K139" i="19"/>
  <c r="H139" i="19"/>
  <c r="I139" i="19"/>
  <c r="F139" i="19"/>
  <c r="G139" i="19" s="1"/>
  <c r="D139" i="19"/>
  <c r="E139" i="19"/>
  <c r="B139" i="19"/>
  <c r="Z429" i="19"/>
  <c r="J138" i="19"/>
  <c r="K138" i="19" s="1"/>
  <c r="H138" i="19"/>
  <c r="I138" i="19" s="1"/>
  <c r="F138" i="19"/>
  <c r="G138" i="19"/>
  <c r="D138" i="19"/>
  <c r="E138" i="19"/>
  <c r="B138" i="19"/>
  <c r="J137" i="19"/>
  <c r="K137" i="19" s="1"/>
  <c r="H137" i="19"/>
  <c r="I137" i="19"/>
  <c r="F137" i="19"/>
  <c r="G137" i="19"/>
  <c r="D137" i="19"/>
  <c r="E137" i="19"/>
  <c r="B137" i="19"/>
  <c r="Z427" i="19" s="1"/>
  <c r="J136" i="19"/>
  <c r="K136" i="19"/>
  <c r="H136" i="19"/>
  <c r="I136" i="19"/>
  <c r="F136" i="19"/>
  <c r="G136" i="19"/>
  <c r="D136" i="19"/>
  <c r="E136" i="19" s="1"/>
  <c r="B136" i="19"/>
  <c r="Z426" i="19"/>
  <c r="J135" i="19"/>
  <c r="K135" i="19"/>
  <c r="H135" i="19"/>
  <c r="I135" i="19"/>
  <c r="F135" i="19"/>
  <c r="G135" i="19" s="1"/>
  <c r="D135" i="19"/>
  <c r="E135" i="19"/>
  <c r="B135" i="19"/>
  <c r="Z425" i="19"/>
  <c r="J134" i="19"/>
  <c r="K134" i="19" s="1"/>
  <c r="H134" i="19"/>
  <c r="I134" i="19" s="1"/>
  <c r="F134" i="19"/>
  <c r="G134" i="19"/>
  <c r="D134" i="19"/>
  <c r="E134" i="19"/>
  <c r="B134" i="19"/>
  <c r="Z424" i="19"/>
  <c r="J133" i="19"/>
  <c r="K133" i="19" s="1"/>
  <c r="H133" i="19"/>
  <c r="I133" i="19"/>
  <c r="F133" i="19"/>
  <c r="G133" i="19"/>
  <c r="D133" i="19"/>
  <c r="E133" i="19"/>
  <c r="B133" i="19"/>
  <c r="Z423" i="19" s="1"/>
  <c r="L132" i="19"/>
  <c r="M132" i="19"/>
  <c r="J132" i="19"/>
  <c r="K132" i="19"/>
  <c r="H132" i="19"/>
  <c r="I132" i="19" s="1"/>
  <c r="F132" i="19"/>
  <c r="G132" i="19" s="1"/>
  <c r="D132" i="19"/>
  <c r="E132" i="19"/>
  <c r="B132" i="19"/>
  <c r="Z422" i="19"/>
  <c r="L131" i="19"/>
  <c r="M131" i="19"/>
  <c r="J131" i="19"/>
  <c r="K131" i="19" s="1"/>
  <c r="H131" i="19"/>
  <c r="I131" i="19"/>
  <c r="F131" i="19"/>
  <c r="G131" i="19"/>
  <c r="D131" i="19"/>
  <c r="E131" i="19" s="1"/>
  <c r="B131" i="19"/>
  <c r="L130" i="19"/>
  <c r="M130" i="19"/>
  <c r="J130" i="19"/>
  <c r="K130" i="19"/>
  <c r="H130" i="19"/>
  <c r="I130" i="19" s="1"/>
  <c r="F130" i="19"/>
  <c r="G130" i="19" s="1"/>
  <c r="D130" i="19"/>
  <c r="E130" i="19"/>
  <c r="B130" i="19"/>
  <c r="Z420" i="19"/>
  <c r="L129" i="19"/>
  <c r="M129" i="19"/>
  <c r="J129" i="19"/>
  <c r="K129" i="19" s="1"/>
  <c r="H129" i="19"/>
  <c r="I129" i="19"/>
  <c r="F129" i="19"/>
  <c r="G129" i="19"/>
  <c r="D129" i="19"/>
  <c r="E129" i="19" s="1"/>
  <c r="B129" i="19"/>
  <c r="L128" i="19"/>
  <c r="M128" i="19"/>
  <c r="J128" i="19"/>
  <c r="K128" i="19"/>
  <c r="H128" i="19"/>
  <c r="I128" i="19"/>
  <c r="F128" i="19"/>
  <c r="G128" i="19" s="1"/>
  <c r="D128" i="19"/>
  <c r="E128" i="19"/>
  <c r="B128" i="19"/>
  <c r="Z418" i="19"/>
  <c r="L127" i="19"/>
  <c r="M127" i="19"/>
  <c r="J127" i="19"/>
  <c r="K127" i="19" s="1"/>
  <c r="H127" i="19"/>
  <c r="I127" i="19"/>
  <c r="F127" i="19"/>
  <c r="G127" i="19"/>
  <c r="D127" i="19"/>
  <c r="E127" i="19" s="1"/>
  <c r="B127" i="19"/>
  <c r="Z417" i="19" s="1"/>
  <c r="L126" i="19"/>
  <c r="M126" i="19"/>
  <c r="J126" i="19"/>
  <c r="K126" i="19"/>
  <c r="H126" i="19"/>
  <c r="I126" i="19" s="1"/>
  <c r="F126" i="19"/>
  <c r="G126" i="19" s="1"/>
  <c r="D126" i="19"/>
  <c r="E126" i="19"/>
  <c r="B126" i="19"/>
  <c r="Z416" i="19"/>
  <c r="L125" i="19"/>
  <c r="M125" i="19" s="1"/>
  <c r="J125" i="19"/>
  <c r="K125" i="19" s="1"/>
  <c r="H125" i="19"/>
  <c r="I125" i="19"/>
  <c r="F125" i="19"/>
  <c r="G125" i="19"/>
  <c r="D125" i="19"/>
  <c r="E125" i="19" s="1"/>
  <c r="B125" i="19"/>
  <c r="Z415" i="19" s="1"/>
  <c r="L124" i="19"/>
  <c r="M124" i="19"/>
  <c r="J124" i="19"/>
  <c r="K124" i="19"/>
  <c r="H124" i="19"/>
  <c r="I124" i="19"/>
  <c r="F124" i="19"/>
  <c r="G124" i="19" s="1"/>
  <c r="D124" i="19"/>
  <c r="E124" i="19"/>
  <c r="B124" i="19"/>
  <c r="Z414" i="19"/>
  <c r="L123" i="19"/>
  <c r="M123" i="19" s="1"/>
  <c r="J123" i="19"/>
  <c r="K123" i="19" s="1"/>
  <c r="H123" i="19"/>
  <c r="I123" i="19"/>
  <c r="F123" i="19"/>
  <c r="G123" i="19"/>
  <c r="D123" i="19"/>
  <c r="E123" i="19"/>
  <c r="B123" i="19"/>
  <c r="Z413" i="19" s="1"/>
  <c r="N122" i="19"/>
  <c r="O122" i="19"/>
  <c r="L122" i="19"/>
  <c r="M122" i="19"/>
  <c r="J122" i="19"/>
  <c r="K122" i="19"/>
  <c r="H122" i="19"/>
  <c r="I122" i="19" s="1"/>
  <c r="F122" i="19"/>
  <c r="G122" i="19"/>
  <c r="D122" i="19"/>
  <c r="E122" i="19"/>
  <c r="B122" i="19"/>
  <c r="N121" i="19"/>
  <c r="O121" i="19" s="1"/>
  <c r="L121" i="19"/>
  <c r="M121" i="19"/>
  <c r="J121" i="19"/>
  <c r="K121" i="19"/>
  <c r="H121" i="19"/>
  <c r="I121" i="19" s="1"/>
  <c r="F121" i="19"/>
  <c r="G121" i="19" s="1"/>
  <c r="D121" i="19"/>
  <c r="E121" i="19"/>
  <c r="B121" i="19"/>
  <c r="Z411" i="19"/>
  <c r="N120" i="19"/>
  <c r="O120" i="19"/>
  <c r="L120" i="19"/>
  <c r="M120" i="19" s="1"/>
  <c r="J120" i="19"/>
  <c r="K120" i="19"/>
  <c r="H120" i="19"/>
  <c r="I120" i="19"/>
  <c r="F120" i="19"/>
  <c r="G120" i="19" s="1"/>
  <c r="D120" i="19"/>
  <c r="E120" i="19" s="1"/>
  <c r="B120" i="19"/>
  <c r="Z410" i="19"/>
  <c r="N119" i="19"/>
  <c r="O119" i="19"/>
  <c r="L119" i="19"/>
  <c r="M119" i="19"/>
  <c r="J119" i="19"/>
  <c r="K119" i="19" s="1"/>
  <c r="H119" i="19"/>
  <c r="I119" i="19"/>
  <c r="F119" i="19"/>
  <c r="G119" i="19"/>
  <c r="D119" i="19"/>
  <c r="E119" i="19" s="1"/>
  <c r="B119" i="19"/>
  <c r="N118" i="19"/>
  <c r="O118" i="19"/>
  <c r="L118" i="19"/>
  <c r="M118" i="19"/>
  <c r="J118" i="19"/>
  <c r="K118" i="19"/>
  <c r="H118" i="19"/>
  <c r="I118" i="19" s="1"/>
  <c r="F118" i="19"/>
  <c r="G118" i="19"/>
  <c r="D118" i="19"/>
  <c r="E118" i="19"/>
  <c r="B118" i="19"/>
  <c r="Z408" i="19"/>
  <c r="DD117" i="19"/>
  <c r="DE117" i="19" s="1"/>
  <c r="CS117" i="19"/>
  <c r="CT117" i="19"/>
  <c r="CH117" i="19"/>
  <c r="CI117" i="19"/>
  <c r="BW117" i="19"/>
  <c r="BX117" i="19" s="1"/>
  <c r="BL117" i="19"/>
  <c r="BM117" i="19" s="1"/>
  <c r="BA117" i="19"/>
  <c r="BB117" i="19"/>
  <c r="AP117" i="19"/>
  <c r="AQ117" i="19"/>
  <c r="N117" i="19"/>
  <c r="O117" i="19" s="1"/>
  <c r="L117" i="19"/>
  <c r="M117" i="19" s="1"/>
  <c r="J117" i="19"/>
  <c r="K117" i="19"/>
  <c r="H117" i="19"/>
  <c r="I117" i="19"/>
  <c r="F117" i="19"/>
  <c r="G117" i="19" s="1"/>
  <c r="D117" i="19"/>
  <c r="E117" i="19" s="1"/>
  <c r="B117" i="19"/>
  <c r="C117" i="19"/>
  <c r="AA407" i="19" s="1"/>
  <c r="Z407" i="19"/>
  <c r="N116" i="19"/>
  <c r="O116" i="19"/>
  <c r="L116" i="19"/>
  <c r="M116" i="19" s="1"/>
  <c r="J116" i="19"/>
  <c r="K116" i="19"/>
  <c r="H116" i="19"/>
  <c r="I116" i="19"/>
  <c r="F116" i="19"/>
  <c r="G116" i="19" s="1"/>
  <c r="D116" i="19"/>
  <c r="E116" i="19" s="1"/>
  <c r="B116" i="19"/>
  <c r="C116" i="19"/>
  <c r="AA406" i="19" s="1"/>
  <c r="Z406" i="19"/>
  <c r="N115" i="19"/>
  <c r="O115" i="19"/>
  <c r="L115" i="19"/>
  <c r="M115" i="19" s="1"/>
  <c r="J115" i="19"/>
  <c r="K115" i="19"/>
  <c r="H115" i="19"/>
  <c r="I115" i="19"/>
  <c r="F115" i="19"/>
  <c r="G115" i="19" s="1"/>
  <c r="D115" i="19"/>
  <c r="E115" i="19" s="1"/>
  <c r="B115" i="19"/>
  <c r="C115" i="19"/>
  <c r="AA405" i="19" s="1"/>
  <c r="Z405" i="19"/>
  <c r="N114" i="19"/>
  <c r="O114" i="19" s="1"/>
  <c r="L114" i="19"/>
  <c r="M114" i="19" s="1"/>
  <c r="J114" i="19"/>
  <c r="K114" i="19"/>
  <c r="H114" i="19"/>
  <c r="I114" i="19"/>
  <c r="F114" i="19"/>
  <c r="G114" i="19" s="1"/>
  <c r="D114" i="19"/>
  <c r="E114" i="19" s="1"/>
  <c r="B114" i="19"/>
  <c r="C114" i="19"/>
  <c r="AA404" i="19" s="1"/>
  <c r="Z404" i="19"/>
  <c r="N113" i="19"/>
  <c r="O113" i="19" s="1"/>
  <c r="L113" i="19"/>
  <c r="M113" i="19" s="1"/>
  <c r="J113" i="19"/>
  <c r="K113" i="19"/>
  <c r="H113" i="19"/>
  <c r="I113" i="19"/>
  <c r="F113" i="19"/>
  <c r="G113" i="19"/>
  <c r="D113" i="19"/>
  <c r="E113" i="19" s="1"/>
  <c r="B113" i="19"/>
  <c r="C113" i="19"/>
  <c r="AA403" i="19" s="1"/>
  <c r="Z403" i="19"/>
  <c r="P112" i="19"/>
  <c r="Q112" i="19" s="1"/>
  <c r="N112" i="19"/>
  <c r="O112" i="19" s="1"/>
  <c r="L112" i="19"/>
  <c r="M112" i="19"/>
  <c r="J112" i="19"/>
  <c r="K112" i="19"/>
  <c r="H112" i="19"/>
  <c r="I112" i="19" s="1"/>
  <c r="F112" i="19"/>
  <c r="G112" i="19" s="1"/>
  <c r="D112" i="19"/>
  <c r="E112" i="19"/>
  <c r="B112" i="19"/>
  <c r="C112" i="19"/>
  <c r="AA402" i="19" s="1"/>
  <c r="Z402" i="19"/>
  <c r="AF111" i="19"/>
  <c r="P111" i="19"/>
  <c r="Q111" i="19"/>
  <c r="N111" i="19"/>
  <c r="O111" i="19"/>
  <c r="L111" i="19"/>
  <c r="M111" i="19" s="1"/>
  <c r="J111" i="19"/>
  <c r="K111" i="19" s="1"/>
  <c r="H111" i="19"/>
  <c r="I111" i="19"/>
  <c r="F111" i="19"/>
  <c r="G111" i="19"/>
  <c r="D111" i="19"/>
  <c r="E111" i="19"/>
  <c r="B111" i="19"/>
  <c r="Z401" i="19" s="1"/>
  <c r="AF110" i="19"/>
  <c r="P110" i="19"/>
  <c r="Q110" i="19" s="1"/>
  <c r="N110" i="19"/>
  <c r="O110" i="19"/>
  <c r="L110" i="19"/>
  <c r="M110" i="19" s="1"/>
  <c r="J110" i="19"/>
  <c r="K110" i="19"/>
  <c r="H110" i="19"/>
  <c r="I110" i="19" s="1"/>
  <c r="F110" i="19"/>
  <c r="G110" i="19" s="1"/>
  <c r="D110" i="19"/>
  <c r="E110" i="19"/>
  <c r="B110" i="19"/>
  <c r="C110" i="19"/>
  <c r="AA400" i="19"/>
  <c r="Z400" i="19"/>
  <c r="P109" i="19"/>
  <c r="Q109" i="19" s="1"/>
  <c r="N109" i="19"/>
  <c r="O109" i="19"/>
  <c r="L109" i="19"/>
  <c r="M109" i="19"/>
  <c r="J109" i="19"/>
  <c r="K109" i="19" s="1"/>
  <c r="H109" i="19"/>
  <c r="I109" i="19"/>
  <c r="F109" i="19"/>
  <c r="G109" i="19"/>
  <c r="D109" i="19"/>
  <c r="E109" i="19"/>
  <c r="B109" i="19"/>
  <c r="P108" i="19"/>
  <c r="Q108" i="19" s="1"/>
  <c r="N108" i="19"/>
  <c r="O108" i="19"/>
  <c r="L108" i="19"/>
  <c r="M108" i="19" s="1"/>
  <c r="J108" i="19"/>
  <c r="K108" i="19"/>
  <c r="H108" i="19"/>
  <c r="I108" i="19" s="1"/>
  <c r="F108" i="19"/>
  <c r="G108" i="19"/>
  <c r="D108" i="19"/>
  <c r="E108" i="19" s="1"/>
  <c r="B108" i="19"/>
  <c r="C108" i="19"/>
  <c r="AA398" i="19"/>
  <c r="Z398" i="19"/>
  <c r="P107" i="19"/>
  <c r="Q107" i="19"/>
  <c r="N107" i="19"/>
  <c r="O107" i="19" s="1"/>
  <c r="L107" i="19"/>
  <c r="M107" i="19" s="1"/>
  <c r="J107" i="19"/>
  <c r="K107" i="19" s="1"/>
  <c r="H107" i="19"/>
  <c r="I107" i="19"/>
  <c r="F107" i="19"/>
  <c r="G107" i="19" s="1"/>
  <c r="D107" i="19"/>
  <c r="E107" i="19"/>
  <c r="B107" i="19"/>
  <c r="C107" i="19"/>
  <c r="AA397" i="19" s="1"/>
  <c r="Z397" i="19"/>
  <c r="P106" i="19"/>
  <c r="Q106" i="19" s="1"/>
  <c r="N106" i="19"/>
  <c r="O106" i="19" s="1"/>
  <c r="L106" i="19"/>
  <c r="M106" i="19"/>
  <c r="J106" i="19"/>
  <c r="K106" i="19"/>
  <c r="H106" i="19"/>
  <c r="I106" i="19" s="1"/>
  <c r="F106" i="19"/>
  <c r="G106" i="19"/>
  <c r="D106" i="19"/>
  <c r="E106" i="19"/>
  <c r="B106" i="19"/>
  <c r="Z396" i="19" s="1"/>
  <c r="C106" i="19"/>
  <c r="AA396" i="19"/>
  <c r="P105" i="19"/>
  <c r="Q105" i="19" s="1"/>
  <c r="N105" i="19"/>
  <c r="O105" i="19" s="1"/>
  <c r="L105" i="19"/>
  <c r="M105" i="19"/>
  <c r="J105" i="19"/>
  <c r="K105" i="19" s="1"/>
  <c r="H105" i="19"/>
  <c r="I105" i="19" s="1"/>
  <c r="F105" i="19"/>
  <c r="G105" i="19" s="1"/>
  <c r="D105" i="19"/>
  <c r="E105" i="19"/>
  <c r="B105" i="19"/>
  <c r="C105" i="19" s="1"/>
  <c r="AA395" i="19" s="1"/>
  <c r="Z395" i="19"/>
  <c r="AB104" i="19"/>
  <c r="AA104" i="19"/>
  <c r="X104" i="19"/>
  <c r="W104" i="19"/>
  <c r="P104" i="19"/>
  <c r="Q104" i="19" s="1"/>
  <c r="N104" i="19"/>
  <c r="O104" i="19" s="1"/>
  <c r="L104" i="19"/>
  <c r="M104" i="19"/>
  <c r="J104" i="19"/>
  <c r="K104" i="19"/>
  <c r="H104" i="19"/>
  <c r="I104" i="19" s="1"/>
  <c r="F104" i="19"/>
  <c r="G104" i="19"/>
  <c r="D104" i="19"/>
  <c r="E104" i="19"/>
  <c r="B104" i="19"/>
  <c r="Z394" i="19" s="1"/>
  <c r="C104" i="19"/>
  <c r="AA394" i="19" s="1"/>
  <c r="AB103" i="19"/>
  <c r="AA103" i="19"/>
  <c r="X103" i="19"/>
  <c r="W103" i="19"/>
  <c r="P103" i="19"/>
  <c r="Q103" i="19"/>
  <c r="N103" i="19"/>
  <c r="O103" i="19" s="1"/>
  <c r="L103" i="19"/>
  <c r="M103" i="19" s="1"/>
  <c r="J103" i="19"/>
  <c r="K103" i="19"/>
  <c r="H103" i="19"/>
  <c r="I103" i="19"/>
  <c r="F103" i="19"/>
  <c r="G103" i="19" s="1"/>
  <c r="D103" i="19"/>
  <c r="E103" i="19"/>
  <c r="B103" i="19"/>
  <c r="C103" i="19"/>
  <c r="AA393" i="19" s="1"/>
  <c r="Z393" i="19"/>
  <c r="AB102" i="19"/>
  <c r="AA102" i="19"/>
  <c r="X102" i="19"/>
  <c r="W102" i="19"/>
  <c r="R102" i="19"/>
  <c r="S102" i="19" s="1"/>
  <c r="P102" i="19"/>
  <c r="Q102" i="19"/>
  <c r="N102" i="19"/>
  <c r="O102" i="19" s="1"/>
  <c r="L102" i="19"/>
  <c r="M102" i="19"/>
  <c r="J102" i="19"/>
  <c r="K102" i="19"/>
  <c r="H102" i="19"/>
  <c r="I102" i="19"/>
  <c r="F102" i="19"/>
  <c r="G102" i="19" s="1"/>
  <c r="D102" i="19"/>
  <c r="E102" i="19"/>
  <c r="B102" i="19"/>
  <c r="AB101" i="19"/>
  <c r="AA101" i="19"/>
  <c r="X101" i="19"/>
  <c r="W101" i="19"/>
  <c r="R101" i="19"/>
  <c r="S101" i="19"/>
  <c r="P101" i="19"/>
  <c r="Q101" i="19" s="1"/>
  <c r="N101" i="19"/>
  <c r="O101" i="19"/>
  <c r="L101" i="19"/>
  <c r="M101" i="19" s="1"/>
  <c r="J101" i="19"/>
  <c r="K101" i="19" s="1"/>
  <c r="H101" i="19"/>
  <c r="I101" i="19"/>
  <c r="F101" i="19"/>
  <c r="G101" i="19"/>
  <c r="D101" i="19"/>
  <c r="E101" i="19" s="1"/>
  <c r="B101" i="19"/>
  <c r="Z391" i="19"/>
  <c r="AB100" i="19"/>
  <c r="AA100" i="19"/>
  <c r="X100" i="19"/>
  <c r="W100" i="19"/>
  <c r="R100" i="19"/>
  <c r="S100" i="19" s="1"/>
  <c r="P100" i="19"/>
  <c r="Q100" i="19"/>
  <c r="N100" i="19"/>
  <c r="O100" i="19" s="1"/>
  <c r="L100" i="19"/>
  <c r="M100" i="19"/>
  <c r="J100" i="19"/>
  <c r="K100" i="19" s="1"/>
  <c r="H100" i="19"/>
  <c r="I100" i="19" s="1"/>
  <c r="F100" i="19"/>
  <c r="G100" i="19"/>
  <c r="D100" i="19"/>
  <c r="E100" i="19"/>
  <c r="B100" i="19"/>
  <c r="AB99" i="19"/>
  <c r="AA99" i="19"/>
  <c r="X99" i="19"/>
  <c r="W99" i="19"/>
  <c r="R99" i="19"/>
  <c r="S99" i="19"/>
  <c r="P99" i="19"/>
  <c r="Q99" i="19" s="1"/>
  <c r="N99" i="19"/>
  <c r="O99" i="19" s="1"/>
  <c r="L99" i="19"/>
  <c r="M99" i="19" s="1"/>
  <c r="J99" i="19"/>
  <c r="K99" i="19"/>
  <c r="H99" i="19"/>
  <c r="I99" i="19" s="1"/>
  <c r="F99" i="19"/>
  <c r="G99" i="19" s="1"/>
  <c r="D99" i="19"/>
  <c r="E99" i="19" s="1"/>
  <c r="B99" i="19"/>
  <c r="Z389" i="19"/>
  <c r="AB98" i="19"/>
  <c r="AA98" i="19"/>
  <c r="X98" i="19"/>
  <c r="W98" i="19"/>
  <c r="R98" i="19"/>
  <c r="S98" i="19" s="1"/>
  <c r="P98" i="19"/>
  <c r="Q98" i="19"/>
  <c r="N98" i="19"/>
  <c r="O98" i="19" s="1"/>
  <c r="L98" i="19"/>
  <c r="M98" i="19"/>
  <c r="J98" i="19"/>
  <c r="K98" i="19" s="1"/>
  <c r="H98" i="19"/>
  <c r="I98" i="19"/>
  <c r="F98" i="19"/>
  <c r="G98" i="19" s="1"/>
  <c r="D98" i="19"/>
  <c r="E98" i="19" s="1"/>
  <c r="B98" i="19"/>
  <c r="C98" i="19" s="1"/>
  <c r="AA388" i="19" s="1"/>
  <c r="Z388" i="19"/>
  <c r="AB97" i="19"/>
  <c r="AA97" i="19"/>
  <c r="X97" i="19"/>
  <c r="W97" i="19"/>
  <c r="R97" i="19"/>
  <c r="S97" i="19" s="1"/>
  <c r="P97" i="19"/>
  <c r="Q97" i="19"/>
  <c r="N97" i="19"/>
  <c r="O97" i="19"/>
  <c r="L97" i="19"/>
  <c r="M97" i="19" s="1"/>
  <c r="J97" i="19"/>
  <c r="K97" i="19"/>
  <c r="H97" i="19"/>
  <c r="I97" i="19"/>
  <c r="F97" i="19"/>
  <c r="G97" i="19"/>
  <c r="D97" i="19"/>
  <c r="E97" i="19" s="1"/>
  <c r="B97" i="19"/>
  <c r="Z387" i="19"/>
  <c r="AB96" i="19"/>
  <c r="AA96" i="19"/>
  <c r="X96" i="19"/>
  <c r="W96" i="19"/>
  <c r="R96" i="19"/>
  <c r="S96" i="19" s="1"/>
  <c r="P96" i="19"/>
  <c r="Q96" i="19" s="1"/>
  <c r="N96" i="19"/>
  <c r="O96" i="19"/>
  <c r="L96" i="19"/>
  <c r="M96" i="19"/>
  <c r="J96" i="19"/>
  <c r="K96" i="19" s="1"/>
  <c r="H96" i="19"/>
  <c r="I96" i="19"/>
  <c r="F96" i="19"/>
  <c r="G96" i="19"/>
  <c r="D96" i="19"/>
  <c r="E96" i="19"/>
  <c r="B96" i="19"/>
  <c r="AB95" i="19"/>
  <c r="AA95" i="19"/>
  <c r="X95" i="19"/>
  <c r="W95" i="19"/>
  <c r="R95" i="19"/>
  <c r="S95" i="19"/>
  <c r="P95" i="19"/>
  <c r="Q95" i="19" s="1"/>
  <c r="N95" i="19"/>
  <c r="O95" i="19" s="1"/>
  <c r="L95" i="19"/>
  <c r="M95" i="19"/>
  <c r="J95" i="19"/>
  <c r="K95" i="19"/>
  <c r="H95" i="19"/>
  <c r="I95" i="19" s="1"/>
  <c r="F95" i="19"/>
  <c r="G95" i="19"/>
  <c r="D95" i="19"/>
  <c r="E95" i="19"/>
  <c r="B95" i="19"/>
  <c r="Z385" i="19"/>
  <c r="AB94" i="19"/>
  <c r="AA94" i="19"/>
  <c r="X94" i="19"/>
  <c r="W94" i="19"/>
  <c r="R94" i="19"/>
  <c r="S94" i="19"/>
  <c r="P94" i="19"/>
  <c r="Q94" i="19"/>
  <c r="N94" i="19"/>
  <c r="O94" i="19" s="1"/>
  <c r="L94" i="19"/>
  <c r="M94" i="19" s="1"/>
  <c r="J94" i="19"/>
  <c r="K94" i="19"/>
  <c r="H94" i="19"/>
  <c r="I94" i="19"/>
  <c r="F94" i="19"/>
  <c r="G94" i="19" s="1"/>
  <c r="D94" i="19"/>
  <c r="E94" i="19"/>
  <c r="B94" i="19"/>
  <c r="Z384" i="19"/>
  <c r="AB93" i="19"/>
  <c r="AA93" i="19"/>
  <c r="X93" i="19"/>
  <c r="W93" i="19"/>
  <c r="R93" i="19"/>
  <c r="S93" i="19"/>
  <c r="P93" i="19"/>
  <c r="Q93" i="19"/>
  <c r="N93" i="19"/>
  <c r="O93" i="19"/>
  <c r="L93" i="19"/>
  <c r="M93" i="19" s="1"/>
  <c r="J93" i="19"/>
  <c r="K93" i="19"/>
  <c r="H93" i="19"/>
  <c r="I93" i="19" s="1"/>
  <c r="F93" i="19"/>
  <c r="G93" i="19"/>
  <c r="D93" i="19"/>
  <c r="E93" i="19" s="1"/>
  <c r="B93" i="19"/>
  <c r="Z383" i="19" s="1"/>
  <c r="AB92" i="19"/>
  <c r="AA92" i="19"/>
  <c r="X92" i="19"/>
  <c r="W92" i="19"/>
  <c r="R92" i="19"/>
  <c r="S92" i="19" s="1"/>
  <c r="P92" i="19"/>
  <c r="Q92" i="19"/>
  <c r="N92" i="19"/>
  <c r="O92" i="19"/>
  <c r="L92" i="19"/>
  <c r="M92" i="19"/>
  <c r="J92" i="19"/>
  <c r="K92" i="19" s="1"/>
  <c r="H92" i="19"/>
  <c r="I92" i="19"/>
  <c r="F92" i="19"/>
  <c r="G92" i="19" s="1"/>
  <c r="D92" i="19"/>
  <c r="E92" i="19"/>
  <c r="B92" i="19"/>
  <c r="Z382" i="19" s="1"/>
  <c r="AB91" i="19"/>
  <c r="AA91" i="19"/>
  <c r="X91" i="19"/>
  <c r="W91" i="19"/>
  <c r="R91" i="19"/>
  <c r="S91" i="19"/>
  <c r="P91" i="19"/>
  <c r="Q91" i="19" s="1"/>
  <c r="N91" i="19"/>
  <c r="O91" i="19"/>
  <c r="L91" i="19"/>
  <c r="M91" i="19" s="1"/>
  <c r="J91" i="19"/>
  <c r="K91" i="19"/>
  <c r="H91" i="19"/>
  <c r="I91" i="19" s="1"/>
  <c r="F91" i="19"/>
  <c r="G91" i="19" s="1"/>
  <c r="D91" i="19"/>
  <c r="E91" i="19" s="1"/>
  <c r="B91" i="19"/>
  <c r="Z381" i="19"/>
  <c r="AB90" i="19"/>
  <c r="AA90" i="19"/>
  <c r="X90" i="19"/>
  <c r="W90" i="19"/>
  <c r="R90" i="19"/>
  <c r="S90" i="19" s="1"/>
  <c r="P90" i="19"/>
  <c r="Q90" i="19"/>
  <c r="N90" i="19"/>
  <c r="O90" i="19" s="1"/>
  <c r="L90" i="19"/>
  <c r="M90" i="19"/>
  <c r="J90" i="19"/>
  <c r="K90" i="19"/>
  <c r="H90" i="19"/>
  <c r="I90" i="19"/>
  <c r="F90" i="19"/>
  <c r="G90" i="19" s="1"/>
  <c r="D90" i="19"/>
  <c r="E90" i="19"/>
  <c r="B90" i="19"/>
  <c r="Z380" i="19" s="1"/>
  <c r="AB89" i="19"/>
  <c r="AA89" i="19"/>
  <c r="X89" i="19"/>
  <c r="W89" i="19"/>
  <c r="R89" i="19"/>
  <c r="S89" i="19"/>
  <c r="P89" i="19"/>
  <c r="Q89" i="19" s="1"/>
  <c r="N89" i="19"/>
  <c r="O89" i="19"/>
  <c r="L89" i="19"/>
  <c r="M89" i="19" s="1"/>
  <c r="J89" i="19"/>
  <c r="K89" i="19" s="1"/>
  <c r="H89" i="19"/>
  <c r="I89" i="19"/>
  <c r="F89" i="19"/>
  <c r="G89" i="19"/>
  <c r="D89" i="19"/>
  <c r="E89" i="19" s="1"/>
  <c r="B89" i="19"/>
  <c r="Z379" i="19"/>
  <c r="AB88" i="19"/>
  <c r="AA88" i="19"/>
  <c r="X88" i="19"/>
  <c r="W88" i="19"/>
  <c r="R88" i="19"/>
  <c r="S88" i="19" s="1"/>
  <c r="P88" i="19"/>
  <c r="Q88" i="19"/>
  <c r="N88" i="19"/>
  <c r="O88" i="19" s="1"/>
  <c r="L88" i="19"/>
  <c r="M88" i="19"/>
  <c r="J88" i="19"/>
  <c r="K88" i="19" s="1"/>
  <c r="H88" i="19"/>
  <c r="I88" i="19" s="1"/>
  <c r="F88" i="19"/>
  <c r="G88" i="19"/>
  <c r="D88" i="19"/>
  <c r="E88" i="19"/>
  <c r="B88" i="19"/>
  <c r="Z378" i="19" s="1"/>
  <c r="AB87" i="19"/>
  <c r="AA87" i="19"/>
  <c r="X87" i="19"/>
  <c r="W87" i="19"/>
  <c r="R87" i="19"/>
  <c r="S87" i="19"/>
  <c r="P87" i="19"/>
  <c r="Q87" i="19" s="1"/>
  <c r="N87" i="19"/>
  <c r="O87" i="19" s="1"/>
  <c r="L87" i="19"/>
  <c r="M87" i="19"/>
  <c r="J87" i="19"/>
  <c r="K87" i="19"/>
  <c r="H87" i="19"/>
  <c r="I87" i="19" s="1"/>
  <c r="F87" i="19"/>
  <c r="G87" i="19"/>
  <c r="D87" i="19"/>
  <c r="E87" i="19"/>
  <c r="B87" i="19"/>
  <c r="Z377" i="19"/>
  <c r="AB86" i="19"/>
  <c r="AA86" i="19"/>
  <c r="X86" i="19"/>
  <c r="W86" i="19"/>
  <c r="R86" i="19"/>
  <c r="S86" i="19"/>
  <c r="P86" i="19"/>
  <c r="Q86" i="19"/>
  <c r="N86" i="19"/>
  <c r="O86" i="19" s="1"/>
  <c r="L86" i="19"/>
  <c r="M86" i="19"/>
  <c r="J86" i="19"/>
  <c r="K86" i="19" s="1"/>
  <c r="H86" i="19"/>
  <c r="I86" i="19"/>
  <c r="F86" i="19"/>
  <c r="G86" i="19" s="1"/>
  <c r="D86" i="19"/>
  <c r="E86" i="19" s="1"/>
  <c r="B86" i="19"/>
  <c r="Z376" i="19"/>
  <c r="DD85" i="19"/>
  <c r="DE85" i="19"/>
  <c r="CS85" i="19"/>
  <c r="CT85" i="19" s="1"/>
  <c r="CH85" i="19"/>
  <c r="CI85" i="19"/>
  <c r="BW85" i="19"/>
  <c r="BX85" i="19"/>
  <c r="BL85" i="19"/>
  <c r="BM85" i="19"/>
  <c r="BA85" i="19"/>
  <c r="BB85" i="19" s="1"/>
  <c r="AP85" i="19"/>
  <c r="AQ85" i="19" s="1"/>
  <c r="R85" i="19"/>
  <c r="S85" i="19" s="1"/>
  <c r="P85" i="19"/>
  <c r="Q85" i="19"/>
  <c r="N85" i="19"/>
  <c r="O85" i="19" s="1"/>
  <c r="L85" i="19"/>
  <c r="M85" i="19" s="1"/>
  <c r="J85" i="19"/>
  <c r="K85" i="19" s="1"/>
  <c r="H85" i="19"/>
  <c r="I85" i="19"/>
  <c r="F85" i="19"/>
  <c r="G85" i="19" s="1"/>
  <c r="D85" i="19"/>
  <c r="E85" i="19"/>
  <c r="B85" i="19"/>
  <c r="C85" i="19" s="1"/>
  <c r="AA375" i="19" s="1"/>
  <c r="R84" i="19"/>
  <c r="S84" i="19" s="1"/>
  <c r="P84" i="19"/>
  <c r="Q84" i="19"/>
  <c r="N84" i="19"/>
  <c r="O84" i="19"/>
  <c r="L84" i="19"/>
  <c r="M84" i="19"/>
  <c r="J84" i="19"/>
  <c r="K84" i="19" s="1"/>
  <c r="H84" i="19"/>
  <c r="I84" i="19"/>
  <c r="F84" i="19"/>
  <c r="G84" i="19" s="1"/>
  <c r="D84" i="19"/>
  <c r="E84" i="19"/>
  <c r="B84" i="19"/>
  <c r="R83" i="19"/>
  <c r="S83" i="19"/>
  <c r="P83" i="19"/>
  <c r="Q83" i="19"/>
  <c r="N83" i="19"/>
  <c r="O83" i="19" s="1"/>
  <c r="L83" i="19"/>
  <c r="M83" i="19" s="1"/>
  <c r="J83" i="19"/>
  <c r="K83" i="19"/>
  <c r="H83" i="19"/>
  <c r="I83" i="19"/>
  <c r="F83" i="19"/>
  <c r="G83" i="19" s="1"/>
  <c r="D83" i="19"/>
  <c r="E83" i="19"/>
  <c r="B83" i="19"/>
  <c r="R82" i="19"/>
  <c r="S82" i="19" s="1"/>
  <c r="P82" i="19"/>
  <c r="Q82" i="19"/>
  <c r="N82" i="19"/>
  <c r="O82" i="19" s="1"/>
  <c r="L82" i="19"/>
  <c r="M82" i="19"/>
  <c r="J82" i="19"/>
  <c r="K82" i="19" s="1"/>
  <c r="H82" i="19"/>
  <c r="I82" i="19" s="1"/>
  <c r="F82" i="19"/>
  <c r="G82" i="19"/>
  <c r="D82" i="19"/>
  <c r="E82" i="19"/>
  <c r="B82" i="19"/>
  <c r="C82" i="19" s="1"/>
  <c r="AA372" i="19"/>
  <c r="Z372" i="19"/>
  <c r="P81" i="19"/>
  <c r="Q81" i="19"/>
  <c r="N81" i="19"/>
  <c r="O81" i="19"/>
  <c r="L81" i="19"/>
  <c r="M81" i="19" s="1"/>
  <c r="J81" i="19"/>
  <c r="K81" i="19"/>
  <c r="H81" i="19"/>
  <c r="I81" i="19" s="1"/>
  <c r="F81" i="19"/>
  <c r="G81" i="19"/>
  <c r="D81" i="19"/>
  <c r="E81" i="19" s="1"/>
  <c r="B81" i="19"/>
  <c r="P80" i="19"/>
  <c r="Q80" i="19"/>
  <c r="N80" i="19"/>
  <c r="O80" i="19" s="1"/>
  <c r="L80" i="19"/>
  <c r="M80" i="19" s="1"/>
  <c r="J80" i="19"/>
  <c r="K80" i="19"/>
  <c r="H80" i="19"/>
  <c r="I80" i="19"/>
  <c r="F80" i="19"/>
  <c r="G80" i="19" s="1"/>
  <c r="D80" i="19"/>
  <c r="E80" i="19" s="1"/>
  <c r="B80" i="19"/>
  <c r="P79" i="19"/>
  <c r="Q79" i="19" s="1"/>
  <c r="N79" i="19"/>
  <c r="O79" i="19"/>
  <c r="L79" i="19"/>
  <c r="M79" i="19"/>
  <c r="J79" i="19"/>
  <c r="K79" i="19"/>
  <c r="H79" i="19"/>
  <c r="I79" i="19" s="1"/>
  <c r="F79" i="19"/>
  <c r="G79" i="19" s="1"/>
  <c r="D79" i="19"/>
  <c r="E79" i="19"/>
  <c r="B79" i="19"/>
  <c r="Z369" i="19" s="1"/>
  <c r="C79" i="19"/>
  <c r="AA369" i="19" s="1"/>
  <c r="P78" i="19"/>
  <c r="Q78" i="19"/>
  <c r="N78" i="19"/>
  <c r="O78" i="19"/>
  <c r="L78" i="19"/>
  <c r="M78" i="19"/>
  <c r="J78" i="19"/>
  <c r="K78" i="19" s="1"/>
  <c r="H78" i="19"/>
  <c r="I78" i="19"/>
  <c r="F78" i="19"/>
  <c r="G78" i="19" s="1"/>
  <c r="D78" i="19"/>
  <c r="E78" i="19"/>
  <c r="B78" i="19"/>
  <c r="P77" i="19"/>
  <c r="Q77" i="19"/>
  <c r="N77" i="19"/>
  <c r="O77" i="19"/>
  <c r="L77" i="19"/>
  <c r="M77" i="19" s="1"/>
  <c r="J77" i="19"/>
  <c r="K77" i="19"/>
  <c r="H77" i="19"/>
  <c r="I77" i="19"/>
  <c r="F77" i="19"/>
  <c r="G77" i="19"/>
  <c r="D77" i="19"/>
  <c r="E77" i="19" s="1"/>
  <c r="B77" i="19"/>
  <c r="Z367" i="19" s="1"/>
  <c r="P76" i="19"/>
  <c r="Q76" i="19"/>
  <c r="N76" i="19"/>
  <c r="O76" i="19" s="1"/>
  <c r="L76" i="19"/>
  <c r="M76" i="19" s="1"/>
  <c r="J76" i="19"/>
  <c r="K76" i="19" s="1"/>
  <c r="H76" i="19"/>
  <c r="I76" i="19"/>
  <c r="F76" i="19"/>
  <c r="G76" i="19" s="1"/>
  <c r="D76" i="19"/>
  <c r="E76" i="19"/>
  <c r="B76" i="19"/>
  <c r="C76" i="19" s="1"/>
  <c r="AA366" i="19" s="1"/>
  <c r="P75" i="19"/>
  <c r="Q75" i="19" s="1"/>
  <c r="N75" i="19"/>
  <c r="O75" i="19"/>
  <c r="L75" i="19"/>
  <c r="M75" i="19"/>
  <c r="J75" i="19"/>
  <c r="K75" i="19"/>
  <c r="H75" i="19"/>
  <c r="I75" i="19" s="1"/>
  <c r="F75" i="19"/>
  <c r="G75" i="19"/>
  <c r="D75" i="19"/>
  <c r="E75" i="19" s="1"/>
  <c r="B75" i="19"/>
  <c r="Z365" i="19" s="1"/>
  <c r="C75" i="19"/>
  <c r="AA365" i="19" s="1"/>
  <c r="P74" i="19"/>
  <c r="Q74" i="19" s="1"/>
  <c r="N74" i="19"/>
  <c r="O74" i="19"/>
  <c r="L74" i="19"/>
  <c r="M74" i="19"/>
  <c r="J74" i="19"/>
  <c r="K74" i="19" s="1"/>
  <c r="H74" i="19"/>
  <c r="I74" i="19" s="1"/>
  <c r="F74" i="19"/>
  <c r="G74" i="19"/>
  <c r="D74" i="19"/>
  <c r="E74" i="19"/>
  <c r="B74" i="19"/>
  <c r="C74" i="19" s="1"/>
  <c r="AA364" i="19"/>
  <c r="Z364" i="19"/>
  <c r="P73" i="19"/>
  <c r="Q73" i="19" s="1"/>
  <c r="N73" i="19"/>
  <c r="O73" i="19"/>
  <c r="L73" i="19"/>
  <c r="M73" i="19" s="1"/>
  <c r="J73" i="19"/>
  <c r="K73" i="19" s="1"/>
  <c r="H73" i="19"/>
  <c r="I73" i="19" s="1"/>
  <c r="F73" i="19"/>
  <c r="G73" i="19"/>
  <c r="D73" i="19"/>
  <c r="E73" i="19" s="1"/>
  <c r="B73" i="19"/>
  <c r="C73" i="19"/>
  <c r="AA363" i="19" s="1"/>
  <c r="Z363" i="19"/>
  <c r="P72" i="19"/>
  <c r="Q72" i="19"/>
  <c r="N72" i="19"/>
  <c r="O72" i="19" s="1"/>
  <c r="L72" i="19"/>
  <c r="M72" i="19" s="1"/>
  <c r="J72" i="19"/>
  <c r="K72" i="19" s="1"/>
  <c r="H72" i="19"/>
  <c r="I72" i="19"/>
  <c r="F72" i="19"/>
  <c r="G72" i="19" s="1"/>
  <c r="D72" i="19"/>
  <c r="E72" i="19"/>
  <c r="B72" i="19"/>
  <c r="C72" i="19"/>
  <c r="AA362" i="19" s="1"/>
  <c r="Z362" i="19"/>
  <c r="N71" i="19"/>
  <c r="O71" i="19" s="1"/>
  <c r="L71" i="19"/>
  <c r="M71" i="19" s="1"/>
  <c r="J71" i="19"/>
  <c r="K71" i="19"/>
  <c r="H71" i="19"/>
  <c r="I71" i="19"/>
  <c r="F71" i="19"/>
  <c r="G71" i="19" s="1"/>
  <c r="D71" i="19"/>
  <c r="E71" i="19" s="1"/>
  <c r="B71" i="19"/>
  <c r="C71" i="19"/>
  <c r="AA361" i="19" s="1"/>
  <c r="Z361" i="19"/>
  <c r="N70" i="19"/>
  <c r="O70" i="19" s="1"/>
  <c r="L70" i="19"/>
  <c r="M70" i="19"/>
  <c r="J70" i="19"/>
  <c r="K70" i="19" s="1"/>
  <c r="H70" i="19"/>
  <c r="I70" i="19"/>
  <c r="F70" i="19"/>
  <c r="G70" i="19" s="1"/>
  <c r="D70" i="19"/>
  <c r="E70" i="19"/>
  <c r="B70" i="19"/>
  <c r="Z360" i="19" s="1"/>
  <c r="C70" i="19"/>
  <c r="AA360" i="19" s="1"/>
  <c r="N69" i="19"/>
  <c r="O69" i="19" s="1"/>
  <c r="L69" i="19"/>
  <c r="M69" i="19"/>
  <c r="J69" i="19"/>
  <c r="K69" i="19"/>
  <c r="H69" i="19"/>
  <c r="I69" i="19"/>
  <c r="F69" i="19"/>
  <c r="G69" i="19" s="1"/>
  <c r="D69" i="19"/>
  <c r="E69" i="19"/>
  <c r="B69" i="19"/>
  <c r="C69" i="19" s="1"/>
  <c r="AA359" i="19" s="1"/>
  <c r="Z359" i="19"/>
  <c r="N68" i="19"/>
  <c r="O68" i="19" s="1"/>
  <c r="L68" i="19"/>
  <c r="M68" i="19" s="1"/>
  <c r="J68" i="19"/>
  <c r="K68" i="19"/>
  <c r="H68" i="19"/>
  <c r="I68" i="19" s="1"/>
  <c r="F68" i="19"/>
  <c r="G68" i="19" s="1"/>
  <c r="D68" i="19"/>
  <c r="E68" i="19" s="1"/>
  <c r="B68" i="19"/>
  <c r="N67" i="19"/>
  <c r="O67" i="19" s="1"/>
  <c r="L67" i="19"/>
  <c r="M67" i="19"/>
  <c r="J67" i="19"/>
  <c r="K67" i="19" s="1"/>
  <c r="H67" i="19"/>
  <c r="I67" i="19"/>
  <c r="F67" i="19"/>
  <c r="G67" i="19" s="1"/>
  <c r="D67" i="19"/>
  <c r="E67" i="19"/>
  <c r="B67" i="19"/>
  <c r="Z357" i="19" s="1"/>
  <c r="C67" i="19"/>
  <c r="AA357" i="19" s="1"/>
  <c r="N66" i="19"/>
  <c r="O66" i="19" s="1"/>
  <c r="L66" i="19"/>
  <c r="M66" i="19" s="1"/>
  <c r="J66" i="19"/>
  <c r="K66" i="19" s="1"/>
  <c r="H66" i="19"/>
  <c r="I66" i="19"/>
  <c r="F66" i="19"/>
  <c r="G66" i="19" s="1"/>
  <c r="D66" i="19"/>
  <c r="E66" i="19"/>
  <c r="B66" i="19"/>
  <c r="C66" i="19"/>
  <c r="AA356" i="19" s="1"/>
  <c r="Z356" i="19"/>
  <c r="N65" i="19"/>
  <c r="O65" i="19" s="1"/>
  <c r="L65" i="19"/>
  <c r="M65" i="19"/>
  <c r="J65" i="19"/>
  <c r="K65" i="19" s="1"/>
  <c r="H65" i="19"/>
  <c r="I65" i="19"/>
  <c r="F65" i="19"/>
  <c r="G65" i="19" s="1"/>
  <c r="D65" i="19"/>
  <c r="E65" i="19" s="1"/>
  <c r="B65" i="19"/>
  <c r="C65" i="19"/>
  <c r="AA355" i="19" s="1"/>
  <c r="Z355" i="19"/>
  <c r="AU64" i="19"/>
  <c r="N64" i="19"/>
  <c r="O64" i="19"/>
  <c r="L64" i="19"/>
  <c r="M64" i="19"/>
  <c r="J64" i="19"/>
  <c r="K64" i="19" s="1"/>
  <c r="H64" i="19"/>
  <c r="I64" i="19" s="1"/>
  <c r="F64" i="19"/>
  <c r="G64" i="19"/>
  <c r="D64" i="19"/>
  <c r="E64" i="19"/>
  <c r="B64" i="19"/>
  <c r="Z354" i="19" s="1"/>
  <c r="N63" i="19"/>
  <c r="O63" i="19" s="1"/>
  <c r="L63" i="19"/>
  <c r="M63" i="19"/>
  <c r="J63" i="19"/>
  <c r="K63" i="19"/>
  <c r="H63" i="19"/>
  <c r="I63" i="19" s="1"/>
  <c r="F63" i="19"/>
  <c r="G63" i="19"/>
  <c r="D63" i="19"/>
  <c r="E63" i="19"/>
  <c r="B63" i="19"/>
  <c r="Z353" i="19"/>
  <c r="N62" i="19"/>
  <c r="O62" i="19" s="1"/>
  <c r="L62" i="19"/>
  <c r="M62" i="19" s="1"/>
  <c r="J62" i="19"/>
  <c r="K62" i="19"/>
  <c r="H62" i="19"/>
  <c r="I62" i="19"/>
  <c r="F62" i="19"/>
  <c r="G62" i="19" s="1"/>
  <c r="D62" i="19"/>
  <c r="E62" i="19" s="1"/>
  <c r="B62" i="19"/>
  <c r="C62" i="19" s="1"/>
  <c r="AA352" i="19" s="1"/>
  <c r="Z352" i="19"/>
  <c r="L61" i="19"/>
  <c r="M61" i="19"/>
  <c r="J61" i="19"/>
  <c r="K61" i="19" s="1"/>
  <c r="H61" i="19"/>
  <c r="I61" i="19"/>
  <c r="F61" i="19"/>
  <c r="G61" i="19" s="1"/>
  <c r="D61" i="19"/>
  <c r="E61" i="19"/>
  <c r="B61" i="19"/>
  <c r="Z351" i="19" s="1"/>
  <c r="L60" i="19"/>
  <c r="M60" i="19" s="1"/>
  <c r="J60" i="19"/>
  <c r="K60" i="19"/>
  <c r="H60" i="19"/>
  <c r="I60" i="19"/>
  <c r="F60" i="19"/>
  <c r="G60" i="19" s="1"/>
  <c r="D60" i="19"/>
  <c r="E60" i="19" s="1"/>
  <c r="B60" i="19"/>
  <c r="Z350" i="19"/>
  <c r="L59" i="19"/>
  <c r="M59" i="19"/>
  <c r="J59" i="19"/>
  <c r="K59" i="19" s="1"/>
  <c r="H59" i="19"/>
  <c r="I59" i="19" s="1"/>
  <c r="F59" i="19"/>
  <c r="G59" i="19" s="1"/>
  <c r="D59" i="19"/>
  <c r="E59" i="19"/>
  <c r="B59" i="19"/>
  <c r="Z349" i="19" s="1"/>
  <c r="L58" i="19"/>
  <c r="M58" i="19"/>
  <c r="J58" i="19"/>
  <c r="K58" i="19" s="1"/>
  <c r="H58" i="19"/>
  <c r="I58" i="19"/>
  <c r="F58" i="19"/>
  <c r="G58" i="19" s="1"/>
  <c r="D58" i="19"/>
  <c r="E58" i="19"/>
  <c r="B58" i="19"/>
  <c r="L57" i="19"/>
  <c r="M57" i="19"/>
  <c r="J57" i="19"/>
  <c r="K57" i="19" s="1"/>
  <c r="H57" i="19"/>
  <c r="I57" i="19" s="1"/>
  <c r="F57" i="19"/>
  <c r="G57" i="19" s="1"/>
  <c r="D57" i="19"/>
  <c r="E57" i="19"/>
  <c r="B57" i="19"/>
  <c r="Z347" i="19" s="1"/>
  <c r="L56" i="19"/>
  <c r="M56" i="19" s="1"/>
  <c r="J56" i="19"/>
  <c r="K56" i="19"/>
  <c r="H56" i="19"/>
  <c r="I56" i="19"/>
  <c r="F56" i="19"/>
  <c r="G56" i="19" s="1"/>
  <c r="D56" i="19"/>
  <c r="E56" i="19"/>
  <c r="B56" i="19"/>
  <c r="Z346" i="19" s="1"/>
  <c r="L55" i="19"/>
  <c r="M55" i="19"/>
  <c r="J55" i="19"/>
  <c r="K55" i="19" s="1"/>
  <c r="H55" i="19"/>
  <c r="I55" i="19" s="1"/>
  <c r="F55" i="19"/>
  <c r="G55" i="19"/>
  <c r="D55" i="19"/>
  <c r="E55" i="19"/>
  <c r="B55" i="19"/>
  <c r="Z345" i="19" s="1"/>
  <c r="L54" i="19"/>
  <c r="M54" i="19" s="1"/>
  <c r="J54" i="19"/>
  <c r="K54" i="19"/>
  <c r="H54" i="19"/>
  <c r="I54" i="19"/>
  <c r="F54" i="19"/>
  <c r="G54" i="19" s="1"/>
  <c r="D54" i="19"/>
  <c r="E54" i="19" s="1"/>
  <c r="B54" i="19"/>
  <c r="C54" i="19" s="1"/>
  <c r="AA344" i="19" s="1"/>
  <c r="L53" i="19"/>
  <c r="M53" i="19"/>
  <c r="J53" i="19"/>
  <c r="K53" i="19" s="1"/>
  <c r="H53" i="19"/>
  <c r="I53" i="19"/>
  <c r="F53" i="19"/>
  <c r="G53" i="19"/>
  <c r="D53" i="19"/>
  <c r="E53" i="19"/>
  <c r="B53" i="19"/>
  <c r="Z343" i="19" s="1"/>
  <c r="L52" i="19"/>
  <c r="M52" i="19"/>
  <c r="J52" i="19"/>
  <c r="K52" i="19" s="1"/>
  <c r="H52" i="19"/>
  <c r="I52" i="19"/>
  <c r="F52" i="19"/>
  <c r="G52" i="19" s="1"/>
  <c r="D52" i="19"/>
  <c r="E52" i="19" s="1"/>
  <c r="B52" i="19"/>
  <c r="Z342" i="19" s="1"/>
  <c r="AE51" i="19"/>
  <c r="AF330" i="19" s="1"/>
  <c r="J51" i="19"/>
  <c r="K51" i="19"/>
  <c r="H51" i="19"/>
  <c r="I51" i="19"/>
  <c r="F51" i="19"/>
  <c r="G51" i="19" s="1"/>
  <c r="D51" i="19"/>
  <c r="E51" i="19"/>
  <c r="B51" i="19"/>
  <c r="Z341" i="19"/>
  <c r="J50" i="19"/>
  <c r="K50" i="19"/>
  <c r="H50" i="19"/>
  <c r="I50" i="19" s="1"/>
  <c r="F50" i="19"/>
  <c r="G50" i="19"/>
  <c r="D50" i="19"/>
  <c r="E50" i="19"/>
  <c r="B50" i="19"/>
  <c r="Z340" i="19" s="1"/>
  <c r="J49" i="19"/>
  <c r="K49" i="19" s="1"/>
  <c r="H49" i="19"/>
  <c r="I49" i="19"/>
  <c r="F49" i="19"/>
  <c r="G49" i="19"/>
  <c r="D49" i="19"/>
  <c r="E49" i="19" s="1"/>
  <c r="B49" i="19"/>
  <c r="AE48" i="19"/>
  <c r="AG48" i="19"/>
  <c r="AK48" i="19" s="1"/>
  <c r="AM48" i="19" s="1"/>
  <c r="J48" i="19"/>
  <c r="K48" i="19"/>
  <c r="H48" i="19"/>
  <c r="I48" i="19"/>
  <c r="F48" i="19"/>
  <c r="G48" i="19" s="1"/>
  <c r="D48" i="19"/>
  <c r="E48" i="19"/>
  <c r="B48" i="19"/>
  <c r="Z338" i="19" s="1"/>
  <c r="C48" i="19"/>
  <c r="AA338" i="19" s="1"/>
  <c r="J47" i="19"/>
  <c r="K47" i="19" s="1"/>
  <c r="H47" i="19"/>
  <c r="I47" i="19" s="1"/>
  <c r="F47" i="19"/>
  <c r="G47" i="19"/>
  <c r="D47" i="19"/>
  <c r="E47" i="19"/>
  <c r="B47" i="19"/>
  <c r="C47" i="19" s="1"/>
  <c r="AA337" i="19" s="1"/>
  <c r="Z337" i="19"/>
  <c r="J46" i="19"/>
  <c r="K46" i="19" s="1"/>
  <c r="H46" i="19"/>
  <c r="I46" i="19"/>
  <c r="F46" i="19"/>
  <c r="G46" i="19" s="1"/>
  <c r="D46" i="19"/>
  <c r="E46" i="19"/>
  <c r="B46" i="19"/>
  <c r="Z336" i="19" s="1"/>
  <c r="J45" i="19"/>
  <c r="K45" i="19" s="1"/>
  <c r="H45" i="19"/>
  <c r="I45" i="19" s="1"/>
  <c r="F45" i="19"/>
  <c r="G45" i="19"/>
  <c r="D45" i="19"/>
  <c r="E45" i="19"/>
  <c r="B45" i="19"/>
  <c r="C45" i="19" s="1"/>
  <c r="AA335" i="19" s="1"/>
  <c r="Z335" i="19"/>
  <c r="J44" i="19"/>
  <c r="K44" i="19" s="1"/>
  <c r="H44" i="19"/>
  <c r="I44" i="19"/>
  <c r="F44" i="19"/>
  <c r="G44" i="19" s="1"/>
  <c r="D44" i="19"/>
  <c r="E44" i="19" s="1"/>
  <c r="B44" i="19"/>
  <c r="Z334" i="19" s="1"/>
  <c r="J43" i="19"/>
  <c r="K43" i="19" s="1"/>
  <c r="H43" i="19"/>
  <c r="I43" i="19" s="1"/>
  <c r="F43" i="19"/>
  <c r="G43" i="19" s="1"/>
  <c r="D43" i="19"/>
  <c r="E43" i="19"/>
  <c r="B43" i="19"/>
  <c r="C43" i="19" s="1"/>
  <c r="AA333" i="19" s="1"/>
  <c r="Z333" i="19"/>
  <c r="J42" i="19"/>
  <c r="K42" i="19" s="1"/>
  <c r="H42" i="19"/>
  <c r="I42" i="19"/>
  <c r="F42" i="19"/>
  <c r="G42" i="19" s="1"/>
  <c r="D42" i="19"/>
  <c r="E42" i="19" s="1"/>
  <c r="B42" i="19"/>
  <c r="Z332" i="19" s="1"/>
  <c r="C42" i="19"/>
  <c r="AA332" i="19" s="1"/>
  <c r="H41" i="19"/>
  <c r="I41" i="19" s="1"/>
  <c r="F41" i="19"/>
  <c r="G41" i="19" s="1"/>
  <c r="D41" i="19"/>
  <c r="E41" i="19" s="1"/>
  <c r="B41" i="19"/>
  <c r="Z331" i="19" s="1"/>
  <c r="C41" i="19"/>
  <c r="AA331" i="19"/>
  <c r="H40" i="19"/>
  <c r="I40" i="19" s="1"/>
  <c r="F40" i="19"/>
  <c r="G40" i="19"/>
  <c r="D40" i="19"/>
  <c r="E40" i="19"/>
  <c r="B40" i="19"/>
  <c r="C40" i="19" s="1"/>
  <c r="AA330" i="19" s="1"/>
  <c r="Z330" i="19"/>
  <c r="H39" i="19"/>
  <c r="I39" i="19" s="1"/>
  <c r="F39" i="19"/>
  <c r="G39" i="19"/>
  <c r="D39" i="19"/>
  <c r="E39" i="19" s="1"/>
  <c r="B39" i="19"/>
  <c r="H38" i="19"/>
  <c r="I38" i="19"/>
  <c r="F38" i="19"/>
  <c r="G38" i="19" s="1"/>
  <c r="D38" i="19"/>
  <c r="E38" i="19"/>
  <c r="B38" i="19"/>
  <c r="H37" i="19"/>
  <c r="I37" i="19" s="1"/>
  <c r="F37" i="19"/>
  <c r="G37" i="19"/>
  <c r="D37" i="19"/>
  <c r="E37" i="19" s="1"/>
  <c r="B37" i="19"/>
  <c r="Z327" i="19" s="1"/>
  <c r="C37" i="19"/>
  <c r="AA327" i="19"/>
  <c r="H36" i="19"/>
  <c r="I36" i="19" s="1"/>
  <c r="F36" i="19"/>
  <c r="G36" i="19" s="1"/>
  <c r="D36" i="19"/>
  <c r="E36" i="19"/>
  <c r="B36" i="19"/>
  <c r="C36" i="19" s="1"/>
  <c r="AA326" i="19" s="1"/>
  <c r="Z326" i="19"/>
  <c r="H35" i="19"/>
  <c r="I35" i="19"/>
  <c r="F35" i="19"/>
  <c r="G35" i="19"/>
  <c r="D35" i="19"/>
  <c r="E35" i="19" s="1"/>
  <c r="B35" i="19"/>
  <c r="H34" i="19"/>
  <c r="I34" i="19"/>
  <c r="F34" i="19"/>
  <c r="G34" i="19" s="1"/>
  <c r="D34" i="19"/>
  <c r="E34" i="19"/>
  <c r="B34" i="19"/>
  <c r="Z324" i="19" s="1"/>
  <c r="H33" i="19"/>
  <c r="I33" i="19" s="1"/>
  <c r="F33" i="19"/>
  <c r="G33" i="19"/>
  <c r="D33" i="19"/>
  <c r="E33" i="19"/>
  <c r="B33" i="19"/>
  <c r="Z323" i="19" s="1"/>
  <c r="C33" i="19"/>
  <c r="AA323" i="19"/>
  <c r="H32" i="19"/>
  <c r="I32" i="19"/>
  <c r="F32" i="19"/>
  <c r="G32" i="19" s="1"/>
  <c r="D32" i="19"/>
  <c r="E32" i="19"/>
  <c r="B32" i="19"/>
  <c r="C32" i="19" s="1"/>
  <c r="AA322" i="19" s="1"/>
  <c r="Z322" i="19"/>
  <c r="F31" i="19"/>
  <c r="G31" i="19" s="1"/>
  <c r="D31" i="19"/>
  <c r="E31" i="19"/>
  <c r="B31" i="19"/>
  <c r="C31" i="19" s="1"/>
  <c r="AA321" i="19" s="1"/>
  <c r="Z321" i="19"/>
  <c r="F30" i="19"/>
  <c r="G30" i="19"/>
  <c r="D30" i="19"/>
  <c r="E30" i="19"/>
  <c r="B30" i="19"/>
  <c r="C30" i="19" s="1"/>
  <c r="AA320" i="19"/>
  <c r="Z320" i="19"/>
  <c r="F29" i="19"/>
  <c r="G29" i="19" s="1"/>
  <c r="D29" i="19"/>
  <c r="E29" i="19"/>
  <c r="B29" i="19"/>
  <c r="C29" i="19" s="1"/>
  <c r="AA319" i="19"/>
  <c r="Z319" i="19"/>
  <c r="F28" i="19"/>
  <c r="G28" i="19"/>
  <c r="D28" i="19"/>
  <c r="E28" i="19"/>
  <c r="B28" i="19"/>
  <c r="C28" i="19" s="1"/>
  <c r="AA318" i="19" s="1"/>
  <c r="Z318" i="19"/>
  <c r="F27" i="19"/>
  <c r="G27" i="19" s="1"/>
  <c r="D27" i="19"/>
  <c r="E27" i="19"/>
  <c r="B27" i="19"/>
  <c r="C27" i="19" s="1"/>
  <c r="AA317" i="19"/>
  <c r="Z317" i="19"/>
  <c r="F26" i="19"/>
  <c r="G26" i="19"/>
  <c r="D26" i="19"/>
  <c r="E26" i="19"/>
  <c r="B26" i="19"/>
  <c r="C26" i="19" s="1"/>
  <c r="AA316" i="19"/>
  <c r="Z316" i="19"/>
  <c r="F25" i="19"/>
  <c r="G25" i="19"/>
  <c r="D25" i="19"/>
  <c r="E25" i="19"/>
  <c r="B25" i="19"/>
  <c r="C25" i="19" s="1"/>
  <c r="AA315" i="19" s="1"/>
  <c r="Z315" i="19"/>
  <c r="F24" i="19"/>
  <c r="G24" i="19" s="1"/>
  <c r="D24" i="19"/>
  <c r="E24" i="19"/>
  <c r="B24" i="19"/>
  <c r="C24" i="19" s="1"/>
  <c r="AA314" i="19"/>
  <c r="Z314" i="19"/>
  <c r="F23" i="19"/>
  <c r="G23" i="19"/>
  <c r="D23" i="19"/>
  <c r="E23" i="19"/>
  <c r="B23" i="19"/>
  <c r="C23" i="19" s="1"/>
  <c r="AA313" i="19" s="1"/>
  <c r="Z313" i="19"/>
  <c r="F22" i="19"/>
  <c r="G22" i="19"/>
  <c r="D22" i="19"/>
  <c r="E22" i="19"/>
  <c r="B22" i="19"/>
  <c r="C22" i="19" s="1"/>
  <c r="AA312" i="19"/>
  <c r="Z312" i="19"/>
  <c r="D21" i="19"/>
  <c r="E21" i="19" s="1"/>
  <c r="B21" i="19"/>
  <c r="Z311" i="19" s="1"/>
  <c r="C21" i="19"/>
  <c r="AA311" i="19"/>
  <c r="D20" i="19"/>
  <c r="E20" i="19" s="1"/>
  <c r="B20" i="19"/>
  <c r="Z310" i="19" s="1"/>
  <c r="C20" i="19"/>
  <c r="AA310" i="19" s="1"/>
  <c r="D19" i="19"/>
  <c r="E19" i="19" s="1"/>
  <c r="B19" i="19"/>
  <c r="D18" i="19"/>
  <c r="E18" i="19"/>
  <c r="B18" i="19"/>
  <c r="C18" i="19" s="1"/>
  <c r="AA308" i="19" s="1"/>
  <c r="Z308" i="19"/>
  <c r="D17" i="19"/>
  <c r="E17" i="19" s="1"/>
  <c r="B17" i="19"/>
  <c r="Z307" i="19" s="1"/>
  <c r="C17" i="19"/>
  <c r="AA307" i="19"/>
  <c r="D16" i="19"/>
  <c r="E16" i="19" s="1"/>
  <c r="B16" i="19"/>
  <c r="Z306" i="19" s="1"/>
  <c r="C16" i="19"/>
  <c r="AA306" i="19" s="1"/>
  <c r="D15" i="19"/>
  <c r="E15" i="19" s="1"/>
  <c r="B15" i="19"/>
  <c r="C15" i="19" s="1"/>
  <c r="AA305" i="19" s="1"/>
  <c r="Z305" i="19"/>
  <c r="D14" i="19"/>
  <c r="E14" i="19"/>
  <c r="B14" i="19"/>
  <c r="C14" i="19" s="1"/>
  <c r="Z304" i="19"/>
  <c r="D13" i="19"/>
  <c r="E13" i="19" s="1"/>
  <c r="B13" i="19"/>
  <c r="C13" i="19" s="1"/>
  <c r="AA303" i="19" s="1"/>
  <c r="Z303" i="19"/>
  <c r="BE12" i="19"/>
  <c r="BF12" i="19" s="1"/>
  <c r="D12" i="19"/>
  <c r="E12" i="19"/>
  <c r="B12" i="19"/>
  <c r="Z302" i="19" s="1"/>
  <c r="BE11" i="19"/>
  <c r="BF11" i="19" s="1"/>
  <c r="B11" i="19"/>
  <c r="C11" i="19" s="1"/>
  <c r="AA301" i="19" s="1"/>
  <c r="Z301" i="19"/>
  <c r="BE10" i="19"/>
  <c r="BF10" i="19"/>
  <c r="B10" i="19"/>
  <c r="Z300" i="19" s="1"/>
  <c r="BE9" i="19"/>
  <c r="BF9" i="19"/>
  <c r="B9" i="19"/>
  <c r="C9" i="19" s="1"/>
  <c r="AA299" i="19" s="1"/>
  <c r="Z299" i="19"/>
  <c r="BE8" i="19"/>
  <c r="BF8" i="19"/>
  <c r="B8" i="19"/>
  <c r="Z298" i="19" s="1"/>
  <c r="BE7" i="19"/>
  <c r="BF7" i="19"/>
  <c r="B7" i="19"/>
  <c r="Z297" i="19" s="1"/>
  <c r="BE6" i="19"/>
  <c r="BF6" i="19"/>
  <c r="B6" i="19"/>
  <c r="Z296" i="19" s="1"/>
  <c r="BE5" i="19"/>
  <c r="BF5" i="19" s="1"/>
  <c r="B5" i="19"/>
  <c r="BE4" i="19"/>
  <c r="BF4" i="19"/>
  <c r="B4" i="19"/>
  <c r="Z294" i="19" s="1"/>
  <c r="BE3" i="19"/>
  <c r="BF3" i="19"/>
  <c r="B3" i="19"/>
  <c r="Z293" i="19"/>
  <c r="BE2" i="19"/>
  <c r="BF2" i="19"/>
  <c r="B2" i="19"/>
  <c r="Z292" i="19" s="1"/>
  <c r="AF48" i="19"/>
  <c r="AF52" i="19"/>
  <c r="AG49" i="19"/>
  <c r="AK49" i="19" s="1"/>
  <c r="H195" i="19"/>
  <c r="H215" i="19"/>
  <c r="S195" i="19"/>
  <c r="AL48" i="19"/>
  <c r="AI331" i="19"/>
  <c r="AE331" i="19"/>
  <c r="AI329" i="19"/>
  <c r="AE325" i="19"/>
  <c r="AI323" i="19"/>
  <c r="AE323" i="19"/>
  <c r="AI321" i="19"/>
  <c r="AE317" i="19"/>
  <c r="AI315" i="19"/>
  <c r="AE315" i="19"/>
  <c r="AI313" i="19"/>
  <c r="AE328" i="19"/>
  <c r="AI326" i="19"/>
  <c r="AE326" i="19"/>
  <c r="AI324" i="19"/>
  <c r="AE320" i="19"/>
  <c r="AI318" i="19"/>
  <c r="AE318" i="19"/>
  <c r="AI316" i="19"/>
  <c r="Z439" i="19"/>
  <c r="C149" i="19"/>
  <c r="AA439" i="19" s="1"/>
  <c r="T301" i="19"/>
  <c r="C50" i="19"/>
  <c r="AA340" i="19" s="1"/>
  <c r="C51" i="19"/>
  <c r="AA341" i="19"/>
  <c r="AG52" i="19"/>
  <c r="C53" i="19"/>
  <c r="AA343" i="19"/>
  <c r="C55" i="19"/>
  <c r="AA345" i="19" s="1"/>
  <c r="C56" i="19"/>
  <c r="AA346" i="19"/>
  <c r="C57" i="19"/>
  <c r="AA347" i="19"/>
  <c r="C59" i="19"/>
  <c r="AA349" i="19" s="1"/>
  <c r="C60" i="19"/>
  <c r="AA350" i="19"/>
  <c r="C61" i="19"/>
  <c r="AA351" i="19"/>
  <c r="C63" i="19"/>
  <c r="AA353" i="19" s="1"/>
  <c r="C64" i="19"/>
  <c r="AA354" i="19"/>
  <c r="C86" i="19"/>
  <c r="AA376" i="19" s="1"/>
  <c r="C87" i="19"/>
  <c r="AA377" i="19"/>
  <c r="C88" i="19"/>
  <c r="AA378" i="19" s="1"/>
  <c r="C89" i="19"/>
  <c r="AA379" i="19" s="1"/>
  <c r="C90" i="19"/>
  <c r="AA380" i="19"/>
  <c r="C91" i="19"/>
  <c r="AA381" i="19"/>
  <c r="C92" i="19"/>
  <c r="AA382" i="19" s="1"/>
  <c r="C93" i="19"/>
  <c r="AA383" i="19"/>
  <c r="C94" i="19"/>
  <c r="AA384" i="19"/>
  <c r="C95" i="19"/>
  <c r="AA385" i="19"/>
  <c r="C97" i="19"/>
  <c r="AA387" i="19" s="1"/>
  <c r="C99" i="19"/>
  <c r="AA389" i="19"/>
  <c r="C101" i="19"/>
  <c r="AA391" i="19" s="1"/>
  <c r="AF326" i="19"/>
  <c r="AF322" i="19"/>
  <c r="AF320" i="19"/>
  <c r="AF318" i="19"/>
  <c r="AJ316" i="19"/>
  <c r="AF314" i="19"/>
  <c r="AF329" i="19"/>
  <c r="AF327" i="19"/>
  <c r="AF325" i="19"/>
  <c r="AF323" i="19"/>
  <c r="AF317" i="19"/>
  <c r="AF315" i="19"/>
  <c r="AJ313" i="19"/>
  <c r="AF313" i="19"/>
  <c r="E220" i="19"/>
  <c r="H220" i="19"/>
  <c r="G220" i="19"/>
  <c r="C3" i="19"/>
  <c r="AA293" i="19"/>
  <c r="C4" i="19"/>
  <c r="AA294" i="19" s="1"/>
  <c r="C7" i="19"/>
  <c r="AA297" i="19" s="1"/>
  <c r="C8" i="19"/>
  <c r="AA298" i="19" s="1"/>
  <c r="C12" i="19"/>
  <c r="AA302" i="19" s="1"/>
  <c r="AA304" i="19"/>
  <c r="C111" i="19"/>
  <c r="AA401" i="19" s="1"/>
  <c r="C118" i="19"/>
  <c r="AA408" i="19"/>
  <c r="C120" i="19"/>
  <c r="AA410" i="19"/>
  <c r="C121" i="19"/>
  <c r="AA411" i="19" s="1"/>
  <c r="C123" i="19"/>
  <c r="AA413" i="19"/>
  <c r="C124" i="19"/>
  <c r="AA414" i="19" s="1"/>
  <c r="C125" i="19"/>
  <c r="AA415" i="19" s="1"/>
  <c r="C126" i="19"/>
  <c r="AA416" i="19"/>
  <c r="C127" i="19"/>
  <c r="AA417" i="19"/>
  <c r="C128" i="19"/>
  <c r="AA418" i="19"/>
  <c r="C130" i="19"/>
  <c r="AA420" i="19"/>
  <c r="C132" i="19"/>
  <c r="AA422" i="19"/>
  <c r="C133" i="19"/>
  <c r="AA423" i="19" s="1"/>
  <c r="C134" i="19"/>
  <c r="AA424" i="19"/>
  <c r="C135" i="19"/>
  <c r="AA425" i="19"/>
  <c r="C136" i="19"/>
  <c r="AA426" i="19" s="1"/>
  <c r="C137" i="19"/>
  <c r="AA427" i="19" s="1"/>
  <c r="C139" i="19"/>
  <c r="AA429" i="19"/>
  <c r="C142" i="19"/>
  <c r="AA432" i="19"/>
  <c r="C143" i="19"/>
  <c r="AA433" i="19" s="1"/>
  <c r="C144" i="19"/>
  <c r="AA434" i="19"/>
  <c r="C145" i="19"/>
  <c r="AA435" i="19"/>
  <c r="C146" i="19"/>
  <c r="AA436" i="19" s="1"/>
  <c r="Z443" i="19"/>
  <c r="C153" i="19"/>
  <c r="AA443" i="19" s="1"/>
  <c r="Z445" i="19"/>
  <c r="C155" i="19"/>
  <c r="AA445" i="19" s="1"/>
  <c r="Z447" i="19"/>
  <c r="C157" i="19"/>
  <c r="AA447" i="19" s="1"/>
  <c r="Z449" i="19"/>
  <c r="C159" i="19"/>
  <c r="AA449" i="19"/>
  <c r="Z451" i="19"/>
  <c r="C161" i="19"/>
  <c r="AA451" i="19"/>
  <c r="Z455" i="19"/>
  <c r="C165" i="19"/>
  <c r="AA455" i="19"/>
  <c r="Z456" i="19"/>
  <c r="C166" i="19"/>
  <c r="AA456" i="19" s="1"/>
  <c r="Z457" i="19"/>
  <c r="C167" i="19"/>
  <c r="AA457" i="19" s="1"/>
  <c r="Z458" i="19"/>
  <c r="C168" i="19"/>
  <c r="AA458" i="19" s="1"/>
  <c r="Z459" i="19"/>
  <c r="Z461" i="19"/>
  <c r="C171" i="19"/>
  <c r="AA461" i="19" s="1"/>
  <c r="AD289" i="19"/>
  <c r="AD288" i="19"/>
  <c r="AD287" i="19"/>
  <c r="AD286" i="19"/>
  <c r="AD285" i="19"/>
  <c r="AD284" i="19"/>
  <c r="AD283" i="19"/>
  <c r="AD282" i="19"/>
  <c r="AD281" i="19"/>
  <c r="AD280" i="19"/>
  <c r="AD279" i="19"/>
  <c r="AD278" i="19"/>
  <c r="AD277" i="19"/>
  <c r="AD276" i="19"/>
  <c r="AD275" i="19"/>
  <c r="AD274" i="19"/>
  <c r="AD273" i="19"/>
  <c r="AD272" i="19"/>
  <c r="AD271" i="19"/>
  <c r="AD270" i="19"/>
  <c r="AD269" i="19"/>
  <c r="AD268" i="19"/>
  <c r="AD267" i="19"/>
  <c r="AD266" i="19"/>
  <c r="AD265" i="19"/>
  <c r="AD264" i="19"/>
  <c r="AD263" i="19"/>
  <c r="AD262" i="19"/>
  <c r="AD261" i="19"/>
  <c r="AD260" i="19"/>
  <c r="AD259" i="19"/>
  <c r="AD258" i="19"/>
  <c r="AD257" i="19"/>
  <c r="AD256" i="19"/>
  <c r="AD255" i="19"/>
  <c r="AD254" i="19"/>
  <c r="AD253" i="19"/>
  <c r="AD252" i="19"/>
  <c r="AD251" i="19"/>
  <c r="AD250" i="19"/>
  <c r="AD249" i="19"/>
  <c r="AD248" i="19"/>
  <c r="AD247" i="19"/>
  <c r="AD246" i="19"/>
  <c r="AD245" i="19"/>
  <c r="AD244" i="19"/>
  <c r="AD243" i="19"/>
  <c r="AG243" i="19"/>
  <c r="AD242" i="19"/>
  <c r="AG242" i="19" s="1"/>
  <c r="AD241" i="19"/>
  <c r="AG241" i="19"/>
  <c r="AH237" i="19"/>
  <c r="AJ237" i="19" s="1"/>
  <c r="AH177" i="19"/>
  <c r="AJ177" i="19" s="1"/>
  <c r="Z465" i="19"/>
  <c r="C175" i="19"/>
  <c r="AA465" i="19" s="1"/>
  <c r="Z467" i="19"/>
  <c r="C177" i="19"/>
  <c r="AA467" i="19" s="1"/>
  <c r="O219" i="19"/>
  <c r="O217" i="19"/>
  <c r="O215" i="19"/>
  <c r="R215" i="19" s="1"/>
  <c r="D240" i="19"/>
  <c r="D238" i="19"/>
  <c r="D232" i="19"/>
  <c r="D230" i="19"/>
  <c r="G230" i="19" s="1"/>
  <c r="O237" i="19"/>
  <c r="O235" i="19"/>
  <c r="R235" i="19" s="1"/>
  <c r="O229" i="19"/>
  <c r="R229" i="19" s="1"/>
  <c r="E249" i="19"/>
  <c r="H249" i="19" s="1"/>
  <c r="I249" i="19"/>
  <c r="G249" i="19"/>
  <c r="E259" i="19"/>
  <c r="H259" i="19" s="1"/>
  <c r="I259" i="19"/>
  <c r="G269" i="19"/>
  <c r="T270" i="19"/>
  <c r="E273" i="19"/>
  <c r="H273" i="19"/>
  <c r="G273" i="19"/>
  <c r="I279" i="19"/>
  <c r="T290" i="19"/>
  <c r="I299" i="19"/>
  <c r="C150" i="19"/>
  <c r="AA440" i="19"/>
  <c r="C151" i="19"/>
  <c r="AA441" i="19"/>
  <c r="C152" i="19"/>
  <c r="AA442" i="19"/>
  <c r="AD178" i="19"/>
  <c r="AD183" i="19"/>
  <c r="AE183" i="19"/>
  <c r="AH183" i="19" s="1"/>
  <c r="O210" i="19"/>
  <c r="D212" i="19"/>
  <c r="S215" i="19"/>
  <c r="D216" i="19"/>
  <c r="D229" i="19"/>
  <c r="O231" i="19"/>
  <c r="S235" i="19"/>
  <c r="T235" i="19"/>
  <c r="O256" i="19"/>
  <c r="H280" i="19"/>
  <c r="Z448" i="19"/>
  <c r="C158" i="19"/>
  <c r="AA448" i="19" s="1"/>
  <c r="Z450" i="19"/>
  <c r="C160" i="19"/>
  <c r="AA450" i="19" s="1"/>
  <c r="Z452" i="19"/>
  <c r="C162" i="19"/>
  <c r="AA452" i="19"/>
  <c r="Z466" i="19"/>
  <c r="C176" i="19"/>
  <c r="AA466" i="19"/>
  <c r="Z468" i="19"/>
  <c r="C178" i="19"/>
  <c r="AA468" i="19"/>
  <c r="Z469" i="19"/>
  <c r="C179" i="19"/>
  <c r="AA469" i="19"/>
  <c r="C180" i="19"/>
  <c r="AA470" i="19"/>
  <c r="Z471" i="19"/>
  <c r="C181" i="19"/>
  <c r="AA471" i="19" s="1"/>
  <c r="Z472" i="19"/>
  <c r="C182" i="19"/>
  <c r="AA472" i="19" s="1"/>
  <c r="D195" i="19"/>
  <c r="G195" i="19" s="1"/>
  <c r="D219" i="19"/>
  <c r="D217" i="19"/>
  <c r="E217" i="19" s="1"/>
  <c r="H217" i="19" s="1"/>
  <c r="D215" i="19"/>
  <c r="G215" i="19"/>
  <c r="D213" i="19"/>
  <c r="D211" i="19"/>
  <c r="D209" i="19"/>
  <c r="O259" i="19"/>
  <c r="O257" i="19"/>
  <c r="R257" i="19" s="1"/>
  <c r="O253" i="19"/>
  <c r="O251" i="19"/>
  <c r="E257" i="19"/>
  <c r="H257" i="19" s="1"/>
  <c r="I257" i="19"/>
  <c r="E261" i="19"/>
  <c r="H261" i="19"/>
  <c r="G261" i="19"/>
  <c r="E271" i="19"/>
  <c r="H271" i="19"/>
  <c r="J271" i="19"/>
  <c r="G271" i="19"/>
  <c r="E277" i="19"/>
  <c r="H277" i="19" s="1"/>
  <c r="I281" i="19"/>
  <c r="D320" i="19"/>
  <c r="D318" i="19"/>
  <c r="D316" i="19"/>
  <c r="G316" i="19" s="1"/>
  <c r="D314" i="19"/>
  <c r="D312" i="19"/>
  <c r="D310" i="19"/>
  <c r="D321" i="19"/>
  <c r="D319" i="19"/>
  <c r="E319" i="19" s="1"/>
  <c r="D317" i="19"/>
  <c r="D315" i="19"/>
  <c r="G315" i="19" s="1"/>
  <c r="D313" i="19"/>
  <c r="D311" i="19"/>
  <c r="D309" i="19"/>
  <c r="D335" i="19"/>
  <c r="G335" i="19"/>
  <c r="D333" i="19"/>
  <c r="D331" i="19"/>
  <c r="D190" i="19"/>
  <c r="O194" i="19"/>
  <c r="D210" i="19"/>
  <c r="O212" i="19"/>
  <c r="D214" i="19"/>
  <c r="G214" i="19" s="1"/>
  <c r="O216" i="19"/>
  <c r="D218" i="19"/>
  <c r="D221" i="19"/>
  <c r="H235" i="19"/>
  <c r="O278" i="19"/>
  <c r="G280" i="19"/>
  <c r="H315" i="19"/>
  <c r="S335" i="19"/>
  <c r="U335" i="19"/>
  <c r="I360" i="19"/>
  <c r="T340" i="19"/>
  <c r="U301" i="19"/>
  <c r="J299" i="19"/>
  <c r="U292" i="19"/>
  <c r="U290" i="19"/>
  <c r="J273" i="19"/>
  <c r="U270" i="19"/>
  <c r="J269" i="19"/>
  <c r="J260" i="19"/>
  <c r="AD235" i="19"/>
  <c r="AD234" i="19"/>
  <c r="AH234" i="19" s="1"/>
  <c r="AD233" i="19"/>
  <c r="AD232" i="19"/>
  <c r="D296" i="19"/>
  <c r="E296" i="19" s="1"/>
  <c r="H296" i="19" s="1"/>
  <c r="D294" i="19"/>
  <c r="AD184" i="19"/>
  <c r="AG184" i="19" s="1"/>
  <c r="D250" i="19"/>
  <c r="D252" i="19"/>
  <c r="D254" i="19"/>
  <c r="H255" i="19"/>
  <c r="J255" i="19"/>
  <c r="S255" i="19"/>
  <c r="U255" i="19"/>
  <c r="D256" i="19"/>
  <c r="D258" i="19"/>
  <c r="D270" i="19"/>
  <c r="D272" i="19"/>
  <c r="D274" i="19"/>
  <c r="H275" i="19"/>
  <c r="J275" i="19"/>
  <c r="S275" i="19"/>
  <c r="D276" i="19"/>
  <c r="D278" i="19"/>
  <c r="D293" i="19"/>
  <c r="G293" i="19" s="1"/>
  <c r="S295" i="19"/>
  <c r="D297" i="19"/>
  <c r="D301" i="19"/>
  <c r="S355" i="19"/>
  <c r="O314" i="19"/>
  <c r="O312" i="19"/>
  <c r="O310" i="19"/>
  <c r="S315" i="19"/>
  <c r="H335" i="19"/>
  <c r="H355" i="19"/>
  <c r="J355" i="19"/>
  <c r="O329" i="19"/>
  <c r="O331" i="19"/>
  <c r="P331" i="19" s="1"/>
  <c r="S331" i="19" s="1"/>
  <c r="O333" i="19"/>
  <c r="O335" i="19"/>
  <c r="R335" i="19"/>
  <c r="O337" i="19"/>
  <c r="O339" i="19"/>
  <c r="O341" i="19"/>
  <c r="D349" i="19"/>
  <c r="O349" i="19"/>
  <c r="O351" i="19"/>
  <c r="O353" i="19"/>
  <c r="D355" i="19"/>
  <c r="G355" i="19"/>
  <c r="O355" i="19"/>
  <c r="R355" i="19"/>
  <c r="O357" i="19"/>
  <c r="O359" i="19"/>
  <c r="O361" i="19"/>
  <c r="O330" i="19"/>
  <c r="O332" i="19"/>
  <c r="O334" i="19"/>
  <c r="O336" i="19"/>
  <c r="O338" i="19"/>
  <c r="P338" i="19" s="1"/>
  <c r="O350" i="19"/>
  <c r="P350" i="19" s="1"/>
  <c r="S350" i="19" s="1"/>
  <c r="O352" i="19"/>
  <c r="P352" i="19" s="1"/>
  <c r="S352" i="19" s="1"/>
  <c r="D354" i="19"/>
  <c r="O354" i="19"/>
  <c r="O356" i="19"/>
  <c r="R356" i="19" s="1"/>
  <c r="O358" i="19"/>
  <c r="R358" i="19" s="1"/>
  <c r="T295" i="19"/>
  <c r="T275" i="19"/>
  <c r="I355" i="19"/>
  <c r="U235" i="19"/>
  <c r="I295" i="19"/>
  <c r="J249" i="19"/>
  <c r="J253" i="19"/>
  <c r="J261" i="19"/>
  <c r="I271" i="19"/>
  <c r="I275" i="19"/>
  <c r="U260" i="19"/>
  <c r="J277" i="19"/>
  <c r="T255" i="19"/>
  <c r="AJ317" i="19"/>
  <c r="AJ318" i="19"/>
  <c r="AK318" i="19"/>
  <c r="AG185" i="19"/>
  <c r="AG183" i="19"/>
  <c r="J215" i="19"/>
  <c r="P358" i="19"/>
  <c r="S358" i="19"/>
  <c r="P356" i="19"/>
  <c r="S356" i="19" s="1"/>
  <c r="R354" i="19"/>
  <c r="P354" i="19"/>
  <c r="S354" i="19" s="1"/>
  <c r="R350" i="19"/>
  <c r="S338" i="19"/>
  <c r="R334" i="19"/>
  <c r="P334" i="19"/>
  <c r="S334" i="19"/>
  <c r="R331" i="19"/>
  <c r="E276" i="19"/>
  <c r="H276" i="19" s="1"/>
  <c r="G276" i="19"/>
  <c r="E274" i="19"/>
  <c r="H274" i="19" s="1"/>
  <c r="G274" i="19"/>
  <c r="E270" i="19"/>
  <c r="H270" i="19"/>
  <c r="G270" i="19"/>
  <c r="E258" i="19"/>
  <c r="H258" i="19"/>
  <c r="G258" i="19"/>
  <c r="E252" i="19"/>
  <c r="H252" i="19"/>
  <c r="G252" i="19"/>
  <c r="AG232" i="19"/>
  <c r="AH232" i="19"/>
  <c r="AE232" i="19"/>
  <c r="AG234" i="19"/>
  <c r="AE234" i="19"/>
  <c r="E214" i="19"/>
  <c r="H214" i="19" s="1"/>
  <c r="E311" i="19"/>
  <c r="H311" i="19" s="1"/>
  <c r="G311" i="19"/>
  <c r="H319" i="19"/>
  <c r="G310" i="19"/>
  <c r="E310" i="19"/>
  <c r="H310" i="19"/>
  <c r="G314" i="19"/>
  <c r="E314" i="19"/>
  <c r="H314" i="19" s="1"/>
  <c r="P259" i="19"/>
  <c r="S259" i="19" s="1"/>
  <c r="R259" i="19"/>
  <c r="G209" i="19"/>
  <c r="E209" i="19"/>
  <c r="H209" i="19"/>
  <c r="I209" i="19" s="1"/>
  <c r="G213" i="19"/>
  <c r="E213" i="19"/>
  <c r="H213" i="19"/>
  <c r="G217" i="19"/>
  <c r="P231" i="19"/>
  <c r="S231" i="19" s="1"/>
  <c r="R231" i="19"/>
  <c r="E216" i="19"/>
  <c r="H216" i="19" s="1"/>
  <c r="G216" i="19"/>
  <c r="E230" i="19"/>
  <c r="H230" i="19" s="1"/>
  <c r="R219" i="19"/>
  <c r="P219" i="19"/>
  <c r="S219" i="19"/>
  <c r="I215" i="19"/>
  <c r="R336" i="19"/>
  <c r="P336" i="19"/>
  <c r="S336" i="19" s="1"/>
  <c r="P359" i="19"/>
  <c r="S359" i="19" s="1"/>
  <c r="R359" i="19"/>
  <c r="P357" i="19"/>
  <c r="S357" i="19" s="1"/>
  <c r="R357" i="19"/>
  <c r="U355" i="19"/>
  <c r="T355" i="19"/>
  <c r="P353" i="19"/>
  <c r="S353" i="19" s="1"/>
  <c r="R353" i="19"/>
  <c r="P351" i="19"/>
  <c r="S351" i="19" s="1"/>
  <c r="R351" i="19"/>
  <c r="P349" i="19"/>
  <c r="S349" i="19"/>
  <c r="R349" i="19"/>
  <c r="P337" i="19"/>
  <c r="S337" i="19"/>
  <c r="R337" i="19"/>
  <c r="P333" i="19"/>
  <c r="S333" i="19" s="1"/>
  <c r="R333" i="19"/>
  <c r="E293" i="19"/>
  <c r="H293" i="19" s="1"/>
  <c r="E278" i="19"/>
  <c r="H278" i="19"/>
  <c r="G278" i="19"/>
  <c r="E272" i="19"/>
  <c r="H272" i="19"/>
  <c r="G272" i="19"/>
  <c r="E254" i="19"/>
  <c r="H254" i="19"/>
  <c r="G254" i="19"/>
  <c r="E250" i="19"/>
  <c r="H250" i="19"/>
  <c r="G250" i="19"/>
  <c r="G296" i="19"/>
  <c r="AG233" i="19"/>
  <c r="AH233" i="19"/>
  <c r="AE233" i="19"/>
  <c r="AG235" i="19"/>
  <c r="AH235" i="19"/>
  <c r="AE235" i="19"/>
  <c r="E218" i="19"/>
  <c r="H218" i="19" s="1"/>
  <c r="G218" i="19"/>
  <c r="P216" i="19"/>
  <c r="S216" i="19" s="1"/>
  <c r="R216" i="19"/>
  <c r="P212" i="19"/>
  <c r="S212" i="19" s="1"/>
  <c r="R212" i="19"/>
  <c r="E210" i="19"/>
  <c r="H210" i="19"/>
  <c r="G210" i="19"/>
  <c r="I210" i="19" s="1"/>
  <c r="E309" i="19"/>
  <c r="H309" i="19" s="1"/>
  <c r="G309" i="19"/>
  <c r="E313" i="19"/>
  <c r="H313" i="19" s="1"/>
  <c r="G313" i="19"/>
  <c r="E317" i="19"/>
  <c r="H317" i="19"/>
  <c r="G317" i="19"/>
  <c r="E321" i="19"/>
  <c r="H321" i="19" s="1"/>
  <c r="G321" i="19"/>
  <c r="G312" i="19"/>
  <c r="E312" i="19"/>
  <c r="H312" i="19" s="1"/>
  <c r="E316" i="19"/>
  <c r="H316" i="19" s="1"/>
  <c r="G320" i="19"/>
  <c r="E320" i="19"/>
  <c r="H320" i="19" s="1"/>
  <c r="P251" i="19"/>
  <c r="S251" i="19"/>
  <c r="R251" i="19"/>
  <c r="P257" i="19"/>
  <c r="S257" i="19" s="1"/>
  <c r="G211" i="19"/>
  <c r="E211" i="19"/>
  <c r="H211" i="19" s="1"/>
  <c r="AL316" i="19"/>
  <c r="AK316" i="19"/>
  <c r="AK313" i="19"/>
  <c r="AL313" i="19"/>
  <c r="E229" i="19"/>
  <c r="H229" i="19"/>
  <c r="G229" i="19"/>
  <c r="E212" i="19"/>
  <c r="H212" i="19" s="1"/>
  <c r="G212" i="19"/>
  <c r="AH178" i="19"/>
  <c r="AE178" i="19"/>
  <c r="AG178" i="19"/>
  <c r="P229" i="19"/>
  <c r="S229" i="19" s="1"/>
  <c r="E231" i="19"/>
  <c r="H231" i="19"/>
  <c r="G232" i="19"/>
  <c r="E232" i="19"/>
  <c r="H232" i="19" s="1"/>
  <c r="R217" i="19"/>
  <c r="P217" i="19"/>
  <c r="S217" i="19" s="1"/>
  <c r="AL49" i="19"/>
  <c r="AM49" i="19"/>
  <c r="AH318" i="19"/>
  <c r="AG318" i="19"/>
  <c r="AH320" i="19"/>
  <c r="AG320" i="19"/>
  <c r="AH326" i="19"/>
  <c r="AG326" i="19"/>
  <c r="AG315" i="19"/>
  <c r="AH315" i="19"/>
  <c r="AG317" i="19"/>
  <c r="AH317" i="19"/>
  <c r="U300" i="19"/>
  <c r="T300" i="19"/>
  <c r="T296" i="19"/>
  <c r="U296" i="19"/>
  <c r="I320" i="19"/>
  <c r="J320" i="19"/>
  <c r="I316" i="19"/>
  <c r="J316" i="19"/>
  <c r="I312" i="19"/>
  <c r="J312" i="19"/>
  <c r="I338" i="19"/>
  <c r="J338" i="19"/>
  <c r="I334" i="19"/>
  <c r="J334" i="19"/>
  <c r="I330" i="19"/>
  <c r="J330" i="19"/>
  <c r="T321" i="19"/>
  <c r="U321" i="19"/>
  <c r="T317" i="19"/>
  <c r="U317" i="19"/>
  <c r="T313" i="19"/>
  <c r="U313" i="19"/>
  <c r="T309" i="19"/>
  <c r="U309" i="19"/>
  <c r="T329" i="19"/>
  <c r="U329" i="19"/>
  <c r="T333" i="19"/>
  <c r="U333" i="19"/>
  <c r="T337" i="19"/>
  <c r="U337" i="19"/>
  <c r="T341" i="19"/>
  <c r="U341" i="19"/>
  <c r="T298" i="19"/>
  <c r="U298" i="19"/>
  <c r="T294" i="19"/>
  <c r="U294" i="19"/>
  <c r="I318" i="19"/>
  <c r="J318" i="19"/>
  <c r="I314" i="19"/>
  <c r="J314" i="19"/>
  <c r="I310" i="19"/>
  <c r="J310" i="19"/>
  <c r="I340" i="19"/>
  <c r="J340" i="19"/>
  <c r="I336" i="19"/>
  <c r="J336" i="19"/>
  <c r="I332" i="19"/>
  <c r="J332" i="19"/>
  <c r="T319" i="19"/>
  <c r="U319" i="19"/>
  <c r="T311" i="19"/>
  <c r="U311" i="19"/>
  <c r="T331" i="19"/>
  <c r="U331" i="19"/>
  <c r="T339" i="19"/>
  <c r="U339" i="19"/>
  <c r="J349" i="19"/>
  <c r="I349" i="19"/>
  <c r="J351" i="19"/>
  <c r="I351" i="19"/>
  <c r="J353" i="19"/>
  <c r="I353" i="19"/>
  <c r="J357" i="19"/>
  <c r="I357" i="19"/>
  <c r="J359" i="19"/>
  <c r="I359" i="19"/>
  <c r="J361" i="19"/>
  <c r="I361" i="19"/>
  <c r="U299" i="19"/>
  <c r="T299" i="19"/>
  <c r="J321" i="19"/>
  <c r="I321" i="19"/>
  <c r="J317" i="19"/>
  <c r="I317" i="19"/>
  <c r="J313" i="19"/>
  <c r="I313" i="19"/>
  <c r="J309" i="19"/>
  <c r="I309" i="19"/>
  <c r="J339" i="19"/>
  <c r="I339" i="19"/>
  <c r="J331" i="19"/>
  <c r="I331" i="19"/>
  <c r="T291" i="19"/>
  <c r="U291" i="19"/>
  <c r="U320" i="19"/>
  <c r="T320" i="19"/>
  <c r="U316" i="19"/>
  <c r="T316" i="19"/>
  <c r="U312" i="19"/>
  <c r="T312" i="19"/>
  <c r="U332" i="19"/>
  <c r="T332" i="19"/>
  <c r="U336" i="19"/>
  <c r="T336" i="19"/>
  <c r="J350" i="19"/>
  <c r="I350" i="19"/>
  <c r="J352" i="19"/>
  <c r="I352" i="19"/>
  <c r="J354" i="19"/>
  <c r="I354" i="19"/>
  <c r="J356" i="19"/>
  <c r="I356" i="19"/>
  <c r="J358" i="19"/>
  <c r="I358" i="19"/>
  <c r="T289" i="19"/>
  <c r="U289" i="19"/>
  <c r="J319" i="19"/>
  <c r="I319" i="19"/>
  <c r="J311" i="19"/>
  <c r="I311" i="19"/>
  <c r="J341" i="19"/>
  <c r="I341" i="19"/>
  <c r="J337" i="19"/>
  <c r="I337" i="19"/>
  <c r="J333" i="19"/>
  <c r="I333" i="19"/>
  <c r="J329" i="19"/>
  <c r="I329" i="19"/>
  <c r="T293" i="19"/>
  <c r="U293" i="19"/>
  <c r="T297" i="19"/>
  <c r="U297" i="19"/>
  <c r="U318" i="19"/>
  <c r="T318" i="19"/>
  <c r="U314" i="19"/>
  <c r="T314" i="19"/>
  <c r="U310" i="19"/>
  <c r="T310" i="19"/>
  <c r="U330" i="19"/>
  <c r="T330" i="19"/>
  <c r="U334" i="19"/>
  <c r="T334" i="19"/>
  <c r="U338" i="19"/>
  <c r="T338" i="19"/>
  <c r="T274" i="19"/>
  <c r="U274" i="19"/>
  <c r="U276" i="19"/>
  <c r="T276" i="19"/>
  <c r="J290" i="19"/>
  <c r="I290" i="19"/>
  <c r="J291" i="19"/>
  <c r="I291" i="19"/>
  <c r="J292" i="19"/>
  <c r="I292" i="19"/>
  <c r="J293" i="19"/>
  <c r="I293" i="19"/>
  <c r="J297" i="19"/>
  <c r="I297" i="19"/>
  <c r="U279" i="19"/>
  <c r="T279" i="19"/>
  <c r="U273" i="19"/>
  <c r="T273" i="19"/>
  <c r="U269" i="19"/>
  <c r="T269" i="19"/>
  <c r="T272" i="19"/>
  <c r="U272" i="19"/>
  <c r="I298" i="19"/>
  <c r="J298" i="19"/>
  <c r="I294" i="19"/>
  <c r="J294" i="19"/>
  <c r="T281" i="19"/>
  <c r="U281" i="19"/>
  <c r="T277" i="19"/>
  <c r="U277" i="19"/>
  <c r="U271" i="19"/>
  <c r="T271" i="19"/>
  <c r="U278" i="19"/>
  <c r="T278" i="19"/>
  <c r="I300" i="19"/>
  <c r="J300" i="19"/>
  <c r="I296" i="19"/>
  <c r="J296" i="19"/>
  <c r="J301" i="19"/>
  <c r="I301" i="19"/>
  <c r="AL318" i="19"/>
  <c r="J272" i="19"/>
  <c r="I272" i="19"/>
  <c r="J278" i="19"/>
  <c r="I278" i="19"/>
  <c r="J270" i="19"/>
  <c r="I270" i="19"/>
  <c r="J274" i="19"/>
  <c r="I274" i="19"/>
  <c r="J276" i="19"/>
  <c r="I276" i="19"/>
  <c r="U240" i="19"/>
  <c r="T240" i="19"/>
  <c r="T238" i="19"/>
  <c r="U238" i="19"/>
  <c r="U236" i="19"/>
  <c r="T236" i="19"/>
  <c r="T234" i="19"/>
  <c r="U234" i="19"/>
  <c r="T232" i="19"/>
  <c r="U232" i="19"/>
  <c r="U254" i="19"/>
  <c r="T254" i="19"/>
  <c r="T256" i="19"/>
  <c r="U256" i="19"/>
  <c r="U261" i="19"/>
  <c r="T261" i="19"/>
  <c r="U257" i="19"/>
  <c r="T257" i="19"/>
  <c r="U251" i="19"/>
  <c r="T251" i="19"/>
  <c r="U252" i="19"/>
  <c r="T252" i="19"/>
  <c r="U241" i="19"/>
  <c r="T241" i="19"/>
  <c r="T239" i="19"/>
  <c r="U239" i="19"/>
  <c r="T237" i="19"/>
  <c r="U237" i="19"/>
  <c r="T233" i="19"/>
  <c r="U233" i="19"/>
  <c r="U230" i="19"/>
  <c r="T230" i="19"/>
  <c r="I252" i="19"/>
  <c r="J252" i="19"/>
  <c r="I258" i="19"/>
  <c r="J258" i="19"/>
  <c r="T229" i="19"/>
  <c r="U229" i="19"/>
  <c r="J250" i="19"/>
  <c r="I250" i="19"/>
  <c r="J254" i="19"/>
  <c r="I254" i="19"/>
  <c r="J256" i="19"/>
  <c r="I256" i="19"/>
  <c r="T231" i="19"/>
  <c r="U231" i="19"/>
  <c r="U250" i="19"/>
  <c r="T250" i="19"/>
  <c r="U259" i="19"/>
  <c r="T259" i="19"/>
  <c r="U253" i="19"/>
  <c r="T253" i="19"/>
  <c r="U249" i="19"/>
  <c r="T249" i="19"/>
  <c r="U258" i="19"/>
  <c r="T258" i="19"/>
  <c r="AJ178" i="19"/>
  <c r="AI178" i="19"/>
  <c r="J232" i="19"/>
  <c r="I232" i="19"/>
  <c r="I212" i="19"/>
  <c r="J212" i="19"/>
  <c r="I229" i="19"/>
  <c r="J229" i="19"/>
  <c r="I218" i="19"/>
  <c r="J218" i="19"/>
  <c r="AI232" i="19"/>
  <c r="AJ232" i="19"/>
  <c r="T350" i="19"/>
  <c r="U350" i="19"/>
  <c r="T358" i="19"/>
  <c r="U358" i="19"/>
  <c r="AI235" i="19"/>
  <c r="AJ235" i="19"/>
  <c r="U351" i="19"/>
  <c r="T351" i="19"/>
  <c r="U359" i="19"/>
  <c r="T359" i="19"/>
  <c r="U219" i="19"/>
  <c r="T219" i="19"/>
  <c r="J209" i="19"/>
  <c r="AI234" i="19"/>
  <c r="AJ234" i="19"/>
  <c r="AM477" i="10"/>
  <c r="AN477" i="10"/>
  <c r="AG477" i="10"/>
  <c r="AH477" i="10" s="1"/>
  <c r="AA477" i="10"/>
  <c r="AB477" i="10"/>
  <c r="U477" i="10"/>
  <c r="V477" i="10"/>
  <c r="O477" i="10"/>
  <c r="P477" i="10" s="1"/>
  <c r="I477" i="10"/>
  <c r="J477" i="10" s="1"/>
  <c r="C477" i="10"/>
  <c r="D477" i="10"/>
  <c r="C481" i="10"/>
  <c r="I481" i="10"/>
  <c r="I482" i="10" s="1"/>
  <c r="I483" i="10" s="1"/>
  <c r="I484" i="10" s="1"/>
  <c r="I485" i="10" s="1"/>
  <c r="I486" i="10" s="1"/>
  <c r="I487" i="10" s="1"/>
  <c r="I488" i="10" s="1"/>
  <c r="I489" i="10" s="1"/>
  <c r="I490" i="10" s="1"/>
  <c r="I491" i="10" s="1"/>
  <c r="I492" i="10" s="1"/>
  <c r="I493" i="10" s="1"/>
  <c r="I494" i="10" s="1"/>
  <c r="O481" i="10"/>
  <c r="O482" i="10" s="1"/>
  <c r="O483" i="10" s="1"/>
  <c r="O484" i="10" s="1"/>
  <c r="O485" i="10" s="1"/>
  <c r="O486" i="10" s="1"/>
  <c r="O487" i="10" s="1"/>
  <c r="O488" i="10" s="1"/>
  <c r="O489" i="10" s="1"/>
  <c r="O490" i="10" s="1"/>
  <c r="O491" i="10" s="1"/>
  <c r="O492" i="10" s="1"/>
  <c r="O493" i="10" s="1"/>
  <c r="O494" i="10" s="1"/>
  <c r="O495" i="10" s="1"/>
  <c r="O496" i="10" s="1"/>
  <c r="O497" i="10" s="1"/>
  <c r="O498" i="10" s="1"/>
  <c r="O499" i="10" s="1"/>
  <c r="O500" i="10" s="1"/>
  <c r="O501" i="10" s="1"/>
  <c r="U481" i="10"/>
  <c r="AA481" i="10"/>
  <c r="AG481" i="10"/>
  <c r="AG482" i="10" s="1"/>
  <c r="AM481" i="10"/>
  <c r="C482" i="10"/>
  <c r="C483" i="10" s="1"/>
  <c r="U482" i="10"/>
  <c r="AA482" i="10"/>
  <c r="AA483" i="10" s="1"/>
  <c r="AA484" i="10" s="1"/>
  <c r="AA485" i="10" s="1"/>
  <c r="AA486" i="10" s="1"/>
  <c r="AA487" i="10" s="1"/>
  <c r="AA488" i="10" s="1"/>
  <c r="AA489" i="10" s="1"/>
  <c r="AA490" i="10" s="1"/>
  <c r="AA491" i="10" s="1"/>
  <c r="AA492" i="10" s="1"/>
  <c r="AA493" i="10" s="1"/>
  <c r="AA494" i="10" s="1"/>
  <c r="AA495" i="10" s="1"/>
  <c r="AA496" i="10" s="1"/>
  <c r="AA497" i="10" s="1"/>
  <c r="AA498" i="10" s="1"/>
  <c r="AA499" i="10" s="1"/>
  <c r="AA500" i="10" s="1"/>
  <c r="AA501" i="10" s="1"/>
  <c r="AA502" i="10" s="1"/>
  <c r="AA503" i="10" s="1"/>
  <c r="AA504" i="10" s="1"/>
  <c r="AA505" i="10" s="1"/>
  <c r="AA506" i="10" s="1"/>
  <c r="AA507" i="10" s="1"/>
  <c r="AA508" i="10" s="1"/>
  <c r="AA509" i="10" s="1"/>
  <c r="AA510" i="10" s="1"/>
  <c r="AA511" i="10" s="1"/>
  <c r="AA512" i="10" s="1"/>
  <c r="AA513" i="10" s="1"/>
  <c r="AA514" i="10" s="1"/>
  <c r="AM482" i="10"/>
  <c r="AM483" i="10"/>
  <c r="AM484" i="10"/>
  <c r="AM485" i="10"/>
  <c r="AM486" i="10" s="1"/>
  <c r="AM487" i="10" s="1"/>
  <c r="AM488" i="10" s="1"/>
  <c r="AM489" i="10" s="1"/>
  <c r="AM490" i="10" s="1"/>
  <c r="AM491" i="10" s="1"/>
  <c r="AM492" i="10" s="1"/>
  <c r="AM493" i="10" s="1"/>
  <c r="AM494" i="10" s="1"/>
  <c r="AM495" i="10" s="1"/>
  <c r="AM496" i="10" s="1"/>
  <c r="AM497" i="10" s="1"/>
  <c r="AM498" i="10" s="1"/>
  <c r="AM499" i="10" s="1"/>
  <c r="AM500" i="10" s="1"/>
  <c r="AM501" i="10" s="1"/>
  <c r="AM502" i="10" s="1"/>
  <c r="AM503" i="10" s="1"/>
  <c r="AM504" i="10" s="1"/>
  <c r="AM505" i="10" s="1"/>
  <c r="AM506" i="10" s="1"/>
  <c r="AM507" i="10" s="1"/>
  <c r="AG483" i="10"/>
  <c r="AG484" i="10" s="1"/>
  <c r="AG485" i="10" s="1"/>
  <c r="AG486" i="10" s="1"/>
  <c r="C484" i="10"/>
  <c r="C485" i="10" s="1"/>
  <c r="C486" i="10" s="1"/>
  <c r="C487" i="10" s="1"/>
  <c r="C488" i="10" s="1"/>
  <c r="C489" i="10" s="1"/>
  <c r="C490" i="10" s="1"/>
  <c r="C491" i="10" s="1"/>
  <c r="C492" i="10" s="1"/>
  <c r="C493" i="10" s="1"/>
  <c r="C494" i="10" s="1"/>
  <c r="C495" i="10" s="1"/>
  <c r="C496" i="10"/>
  <c r="C497" i="10" s="1"/>
  <c r="C498" i="10" s="1"/>
  <c r="C499" i="10" s="1"/>
  <c r="C500" i="10" s="1"/>
  <c r="C501" i="10" s="1"/>
  <c r="C502" i="10" s="1"/>
  <c r="C503" i="10" s="1"/>
  <c r="C504" i="10" s="1"/>
  <c r="C505" i="10" s="1"/>
  <c r="C506" i="10" s="1"/>
  <c r="C507" i="10" s="1"/>
  <c r="C508" i="10" s="1"/>
  <c r="C509" i="10" s="1"/>
  <c r="C510" i="10" s="1"/>
  <c r="C511" i="10" s="1"/>
  <c r="C512" i="10" s="1"/>
  <c r="C513" i="10" s="1"/>
  <c r="C514" i="10" s="1"/>
  <c r="C515" i="10" s="1"/>
  <c r="C516" i="10" s="1"/>
  <c r="C517" i="10" s="1"/>
  <c r="C518" i="10" s="1"/>
  <c r="C519" i="10" s="1"/>
  <c r="C520" i="10" s="1"/>
  <c r="O502" i="10"/>
  <c r="O503" i="10" s="1"/>
  <c r="O504" i="10" s="1"/>
  <c r="O505" i="10" s="1"/>
  <c r="O506" i="10" s="1"/>
  <c r="O507" i="10" s="1"/>
  <c r="C526" i="10"/>
  <c r="C527" i="10" s="1"/>
  <c r="C528" i="10" s="1"/>
  <c r="C529" i="10" s="1"/>
  <c r="C530" i="10" s="1"/>
  <c r="C531" i="10" s="1"/>
  <c r="I526" i="10"/>
  <c r="O526" i="10"/>
  <c r="O527" i="10" s="1"/>
  <c r="O528" i="10" s="1"/>
  <c r="U526" i="10"/>
  <c r="U527" i="10" s="1"/>
  <c r="AA526" i="10"/>
  <c r="AA527" i="10" s="1"/>
  <c r="AA528" i="10" s="1"/>
  <c r="AG526" i="10"/>
  <c r="AG527" i="10" s="1"/>
  <c r="AM526" i="10"/>
  <c r="AM527" i="10"/>
  <c r="AM528" i="10" s="1"/>
  <c r="AM529" i="10" s="1"/>
  <c r="AM530" i="10" s="1"/>
  <c r="H2" i="3"/>
  <c r="F2" i="3"/>
  <c r="B2" i="3"/>
  <c r="B8" i="14"/>
  <c r="A8" i="14"/>
  <c r="C7" i="13"/>
  <c r="D7" i="13"/>
  <c r="E7" i="13"/>
  <c r="F7" i="13"/>
  <c r="G7" i="13"/>
  <c r="H7" i="13"/>
  <c r="I7" i="13"/>
  <c r="J7" i="13"/>
  <c r="K7" i="13"/>
  <c r="L7" i="13"/>
  <c r="M7" i="13"/>
  <c r="N7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B2" i="14"/>
  <c r="I527" i="10"/>
  <c r="DX15" i="14"/>
  <c r="KS46" i="14"/>
  <c r="KT46" i="14" s="1"/>
  <c r="GE46" i="14"/>
  <c r="BQ15" i="14"/>
  <c r="IL46" i="14"/>
  <c r="IM46" i="14"/>
  <c r="DX46" i="14"/>
  <c r="BG40" i="18"/>
  <c r="BG41" i="18"/>
  <c r="BG42" i="18"/>
  <c r="BG43" i="18"/>
  <c r="BG44" i="18"/>
  <c r="BG45" i="18"/>
  <c r="BG46" i="18"/>
  <c r="BG47" i="18"/>
  <c r="BG48" i="18"/>
  <c r="BG49" i="18"/>
  <c r="BG50" i="18"/>
  <c r="BG51" i="18"/>
  <c r="BG52" i="18"/>
  <c r="BG53" i="18"/>
  <c r="BG54" i="18"/>
  <c r="BG55" i="18"/>
  <c r="BG56" i="18"/>
  <c r="BG57" i="18"/>
  <c r="BG58" i="18"/>
  <c r="BG59" i="18"/>
  <c r="BG60" i="18"/>
  <c r="BG61" i="18"/>
  <c r="BG62" i="18"/>
  <c r="BF40" i="18"/>
  <c r="BF41" i="18"/>
  <c r="BF42" i="18"/>
  <c r="BF43" i="18"/>
  <c r="BF44" i="18"/>
  <c r="BF45" i="18"/>
  <c r="BF46" i="18"/>
  <c r="BF47" i="18"/>
  <c r="BF48" i="18"/>
  <c r="BF49" i="18"/>
  <c r="BF50" i="18"/>
  <c r="BF51" i="18"/>
  <c r="BF52" i="18"/>
  <c r="BF53" i="18"/>
  <c r="BF54" i="18"/>
  <c r="BF55" i="18"/>
  <c r="BF56" i="18"/>
  <c r="BF57" i="18"/>
  <c r="BF58" i="18"/>
  <c r="BF59" i="18"/>
  <c r="BF60" i="18"/>
  <c r="BF61" i="18"/>
  <c r="BF62" i="18"/>
  <c r="BE35" i="18"/>
  <c r="BF35" i="18"/>
  <c r="BF34" i="18"/>
  <c r="BG39" i="18"/>
  <c r="BF39" i="18"/>
  <c r="BE34" i="18"/>
  <c r="AV40" i="18"/>
  <c r="AV41" i="18"/>
  <c r="AV42" i="18"/>
  <c r="AV43" i="18"/>
  <c r="AV44" i="18"/>
  <c r="AV45" i="18"/>
  <c r="AV46" i="18"/>
  <c r="AV47" i="18"/>
  <c r="AV48" i="18"/>
  <c r="AV49" i="18"/>
  <c r="AV50" i="18"/>
  <c r="AV51" i="18"/>
  <c r="AV52" i="18"/>
  <c r="AV53" i="18"/>
  <c r="AV54" i="18"/>
  <c r="AV55" i="18"/>
  <c r="AV56" i="18"/>
  <c r="AV57" i="18"/>
  <c r="AV58" i="18"/>
  <c r="AV59" i="18"/>
  <c r="AV60" i="18"/>
  <c r="AV61" i="18"/>
  <c r="AV62" i="18"/>
  <c r="AU40" i="18"/>
  <c r="AU41" i="18"/>
  <c r="AU42" i="18"/>
  <c r="AU43" i="18"/>
  <c r="AU44" i="18"/>
  <c r="AU45" i="18"/>
  <c r="AU46" i="18"/>
  <c r="AU47" i="18"/>
  <c r="AU48" i="18"/>
  <c r="AU49" i="18"/>
  <c r="AU50" i="18"/>
  <c r="AU51" i="18"/>
  <c r="AU52" i="18"/>
  <c r="AU53" i="18"/>
  <c r="AU54" i="18"/>
  <c r="AU55" i="18"/>
  <c r="AU56" i="18"/>
  <c r="AU57" i="18"/>
  <c r="AU58" i="18"/>
  <c r="AU59" i="18"/>
  <c r="AU60" i="18"/>
  <c r="AU61" i="18"/>
  <c r="AU62" i="18"/>
  <c r="AT35" i="18"/>
  <c r="AU35" i="18"/>
  <c r="AU34" i="18"/>
  <c r="AV39" i="18"/>
  <c r="AU39" i="18"/>
  <c r="AT34" i="18"/>
  <c r="AK40" i="18"/>
  <c r="AK41" i="18"/>
  <c r="AK42" i="18"/>
  <c r="AK43" i="18"/>
  <c r="AK44" i="18"/>
  <c r="AK45" i="18"/>
  <c r="AK46" i="18"/>
  <c r="AK47" i="18"/>
  <c r="AK48" i="18"/>
  <c r="AK49" i="18"/>
  <c r="AK50" i="18"/>
  <c r="AK51" i="18"/>
  <c r="AK52" i="18"/>
  <c r="AK53" i="18"/>
  <c r="AK54" i="18"/>
  <c r="AK55" i="18"/>
  <c r="AK56" i="18"/>
  <c r="AK57" i="18"/>
  <c r="AK58" i="18"/>
  <c r="AK59" i="18"/>
  <c r="AK60" i="18"/>
  <c r="AK61" i="18"/>
  <c r="AK62" i="18"/>
  <c r="AK39" i="18"/>
  <c r="AJ40" i="18"/>
  <c r="AJ41" i="18"/>
  <c r="AJ42" i="18"/>
  <c r="AJ43" i="18"/>
  <c r="AJ44" i="18"/>
  <c r="AJ45" i="18"/>
  <c r="AJ46" i="18"/>
  <c r="AJ47" i="18"/>
  <c r="AJ48" i="18"/>
  <c r="AJ49" i="18"/>
  <c r="AJ50" i="18"/>
  <c r="AJ51" i="18"/>
  <c r="AJ52" i="18"/>
  <c r="AJ53" i="18"/>
  <c r="AJ54" i="18"/>
  <c r="AJ55" i="18"/>
  <c r="AJ56" i="18"/>
  <c r="AJ57" i="18"/>
  <c r="AJ58" i="18"/>
  <c r="AJ59" i="18"/>
  <c r="AJ60" i="18"/>
  <c r="AJ61" i="18"/>
  <c r="AJ62" i="18"/>
  <c r="AJ39" i="18"/>
  <c r="AI35" i="18"/>
  <c r="AJ35" i="18"/>
  <c r="AJ34" i="18"/>
  <c r="AI34" i="18"/>
  <c r="Z40" i="18"/>
  <c r="Z41" i="18"/>
  <c r="Z42" i="18"/>
  <c r="Z43" i="18"/>
  <c r="Z44" i="18"/>
  <c r="Z45" i="18"/>
  <c r="Z46" i="18"/>
  <c r="Z47" i="18"/>
  <c r="Z48" i="18"/>
  <c r="Z49" i="18"/>
  <c r="Z50" i="18"/>
  <c r="Z51" i="18"/>
  <c r="Z52" i="18"/>
  <c r="Z53" i="18"/>
  <c r="Z54" i="18"/>
  <c r="Z55" i="18"/>
  <c r="Z56" i="18"/>
  <c r="Z57" i="18"/>
  <c r="Z58" i="18"/>
  <c r="Z59" i="18"/>
  <c r="Z60" i="18"/>
  <c r="Z61" i="18"/>
  <c r="Z62" i="18"/>
  <c r="Z39" i="18"/>
  <c r="Y40" i="18"/>
  <c r="Y41" i="18"/>
  <c r="Y42" i="18"/>
  <c r="Y43" i="18"/>
  <c r="Y44" i="18"/>
  <c r="Y45" i="18"/>
  <c r="Y46" i="18"/>
  <c r="Y47" i="18"/>
  <c r="Y48" i="18"/>
  <c r="Y49" i="18"/>
  <c r="Y50" i="18"/>
  <c r="Y51" i="18"/>
  <c r="Y52" i="18"/>
  <c r="Y53" i="18"/>
  <c r="Y54" i="18"/>
  <c r="Y55" i="18"/>
  <c r="Y56" i="18"/>
  <c r="Y57" i="18"/>
  <c r="Y58" i="18"/>
  <c r="Y59" i="18"/>
  <c r="Y60" i="18"/>
  <c r="Y61" i="18"/>
  <c r="Y62" i="18"/>
  <c r="Y39" i="18"/>
  <c r="X35" i="18"/>
  <c r="Y35" i="18"/>
  <c r="Y34" i="18"/>
  <c r="X34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39" i="18"/>
  <c r="M35" i="18"/>
  <c r="N35" i="18"/>
  <c r="N34" i="18"/>
  <c r="M34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39" i="18"/>
  <c r="B35" i="18"/>
  <c r="C35" i="18"/>
  <c r="C34" i="18"/>
  <c r="B34" i="18"/>
  <c r="BG8" i="18"/>
  <c r="BG9" i="18"/>
  <c r="BG10" i="18"/>
  <c r="BG11" i="18"/>
  <c r="BG12" i="18"/>
  <c r="BG13" i="18"/>
  <c r="BG14" i="18"/>
  <c r="BG15" i="18"/>
  <c r="BG16" i="18"/>
  <c r="BG17" i="18"/>
  <c r="BG18" i="18"/>
  <c r="BG19" i="18"/>
  <c r="BG20" i="18"/>
  <c r="BG21" i="18"/>
  <c r="BG22" i="18"/>
  <c r="BG23" i="18"/>
  <c r="BG24" i="18"/>
  <c r="BG25" i="18"/>
  <c r="BG26" i="18"/>
  <c r="BG27" i="18"/>
  <c r="BG28" i="18"/>
  <c r="BG29" i="18"/>
  <c r="BG30" i="18"/>
  <c r="BG7" i="18"/>
  <c r="BF8" i="18"/>
  <c r="BF9" i="18"/>
  <c r="BF10" i="18"/>
  <c r="BF11" i="18"/>
  <c r="BF12" i="18"/>
  <c r="BF13" i="18"/>
  <c r="BF14" i="18"/>
  <c r="BF15" i="18"/>
  <c r="BF16" i="18"/>
  <c r="BF17" i="18"/>
  <c r="BF18" i="18"/>
  <c r="BF19" i="18"/>
  <c r="BF20" i="18"/>
  <c r="BF21" i="18"/>
  <c r="BF22" i="18"/>
  <c r="BF23" i="18"/>
  <c r="BF24" i="18"/>
  <c r="BF25" i="18"/>
  <c r="BF26" i="18"/>
  <c r="BF27" i="18"/>
  <c r="BF28" i="18"/>
  <c r="BF29" i="18"/>
  <c r="BF30" i="18"/>
  <c r="BF7" i="18"/>
  <c r="BE3" i="18"/>
  <c r="BF3" i="18"/>
  <c r="BF2" i="18"/>
  <c r="BE2" i="18"/>
  <c r="AV8" i="18"/>
  <c r="AV9" i="18"/>
  <c r="AV10" i="18"/>
  <c r="AV11" i="18"/>
  <c r="AV12" i="18"/>
  <c r="AV13" i="18"/>
  <c r="AV14" i="18"/>
  <c r="AV15" i="18"/>
  <c r="AV16" i="18"/>
  <c r="AV17" i="18"/>
  <c r="AV18" i="18"/>
  <c r="AV19" i="18"/>
  <c r="AV20" i="18"/>
  <c r="AV21" i="18"/>
  <c r="AV22" i="18"/>
  <c r="AV23" i="18"/>
  <c r="AV24" i="18"/>
  <c r="AV25" i="18"/>
  <c r="AV26" i="18"/>
  <c r="AV27" i="18"/>
  <c r="AV28" i="18"/>
  <c r="AV29" i="18"/>
  <c r="AV30" i="18"/>
  <c r="AV7" i="18"/>
  <c r="AU8" i="18"/>
  <c r="AU9" i="18"/>
  <c r="AU10" i="18"/>
  <c r="AU11" i="18"/>
  <c r="AU12" i="18"/>
  <c r="AU13" i="18"/>
  <c r="AU14" i="18"/>
  <c r="AU15" i="18"/>
  <c r="AU16" i="18"/>
  <c r="AU17" i="18"/>
  <c r="AU18" i="18"/>
  <c r="AU19" i="18"/>
  <c r="AU20" i="18"/>
  <c r="AU21" i="18"/>
  <c r="AU22" i="18"/>
  <c r="AU23" i="18"/>
  <c r="AU24" i="18"/>
  <c r="AU25" i="18"/>
  <c r="AU26" i="18"/>
  <c r="AU27" i="18"/>
  <c r="AU28" i="18"/>
  <c r="AU29" i="18"/>
  <c r="AU30" i="18"/>
  <c r="AU7" i="18"/>
  <c r="AT3" i="18"/>
  <c r="AU3" i="18"/>
  <c r="AU2" i="18"/>
  <c r="AT2" i="18"/>
  <c r="AK8" i="18"/>
  <c r="AK9" i="18"/>
  <c r="AK10" i="18"/>
  <c r="AK11" i="18"/>
  <c r="AK12" i="18"/>
  <c r="AK13" i="18"/>
  <c r="AK14" i="18"/>
  <c r="AK15" i="18"/>
  <c r="AK16" i="18"/>
  <c r="AK17" i="18"/>
  <c r="AK18" i="18"/>
  <c r="AK19" i="18"/>
  <c r="AK20" i="18"/>
  <c r="AK21" i="18"/>
  <c r="AK22" i="18"/>
  <c r="AK23" i="18"/>
  <c r="AK24" i="18"/>
  <c r="AK25" i="18"/>
  <c r="AK26" i="18"/>
  <c r="AK27" i="18"/>
  <c r="AK28" i="18"/>
  <c r="AK29" i="18"/>
  <c r="AK30" i="18"/>
  <c r="AK7" i="18"/>
  <c r="AJ8" i="18"/>
  <c r="AJ9" i="18"/>
  <c r="AJ10" i="18"/>
  <c r="AJ11" i="18"/>
  <c r="AJ12" i="18"/>
  <c r="AJ13" i="18"/>
  <c r="AJ14" i="18"/>
  <c r="AJ15" i="18"/>
  <c r="AJ16" i="18"/>
  <c r="AJ17" i="18"/>
  <c r="AJ18" i="18"/>
  <c r="AJ19" i="18"/>
  <c r="AJ20" i="18"/>
  <c r="AJ21" i="18"/>
  <c r="AJ22" i="18"/>
  <c r="AJ23" i="18"/>
  <c r="AJ24" i="18"/>
  <c r="AJ25" i="18"/>
  <c r="AJ26" i="18"/>
  <c r="AJ27" i="18"/>
  <c r="AJ28" i="18"/>
  <c r="AJ29" i="18"/>
  <c r="AJ30" i="18"/>
  <c r="AJ7" i="18"/>
  <c r="AI3" i="18"/>
  <c r="AJ3" i="18"/>
  <c r="AJ2" i="18"/>
  <c r="AI2" i="18"/>
  <c r="Z8" i="18"/>
  <c r="Z9" i="18"/>
  <c r="Z10" i="18"/>
  <c r="Z11" i="18"/>
  <c r="Z12" i="18"/>
  <c r="Z13" i="18"/>
  <c r="Z14" i="18"/>
  <c r="Z15" i="18"/>
  <c r="Z16" i="18"/>
  <c r="Z17" i="18"/>
  <c r="Z18" i="18"/>
  <c r="Z19" i="18"/>
  <c r="Z20" i="18"/>
  <c r="Z21" i="18"/>
  <c r="Z22" i="18"/>
  <c r="Z23" i="18"/>
  <c r="Z24" i="18"/>
  <c r="Z25" i="18"/>
  <c r="Z26" i="18"/>
  <c r="Z27" i="18"/>
  <c r="Z28" i="18"/>
  <c r="Z29" i="18"/>
  <c r="Z30" i="18"/>
  <c r="Z7" i="18"/>
  <c r="Y8" i="18"/>
  <c r="Y9" i="18"/>
  <c r="Y10" i="18"/>
  <c r="Y11" i="18"/>
  <c r="Y12" i="18"/>
  <c r="Y13" i="18"/>
  <c r="Y14" i="18"/>
  <c r="Y15" i="18"/>
  <c r="Y16" i="18"/>
  <c r="Y17" i="18"/>
  <c r="Y18" i="18"/>
  <c r="Y19" i="18"/>
  <c r="Y20" i="18"/>
  <c r="Y21" i="18"/>
  <c r="Y22" i="18"/>
  <c r="Y23" i="18"/>
  <c r="Y24" i="18"/>
  <c r="Y25" i="18"/>
  <c r="Y26" i="18"/>
  <c r="Y27" i="18"/>
  <c r="Y28" i="18"/>
  <c r="Y29" i="18"/>
  <c r="Y30" i="18"/>
  <c r="Y7" i="18"/>
  <c r="X3" i="18"/>
  <c r="Y3" i="18"/>
  <c r="Y2" i="18"/>
  <c r="X2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7" i="18"/>
  <c r="M3" i="18"/>
  <c r="N3" i="18"/>
  <c r="N2" i="18"/>
  <c r="M2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7" i="18"/>
  <c r="C3" i="18"/>
  <c r="B3" i="18"/>
  <c r="C2" i="18"/>
  <c r="B2" i="18"/>
  <c r="L91" i="14"/>
  <c r="Y472" i="16"/>
  <c r="Y471" i="16"/>
  <c r="Y470" i="16"/>
  <c r="Y469" i="16"/>
  <c r="Y468" i="16"/>
  <c r="Y467" i="16"/>
  <c r="Y466" i="16"/>
  <c r="Y465" i="16"/>
  <c r="Y464" i="16"/>
  <c r="Y463" i="16"/>
  <c r="Y462" i="16"/>
  <c r="Y461" i="16"/>
  <c r="Y460" i="16"/>
  <c r="Y459" i="16"/>
  <c r="Y458" i="16"/>
  <c r="Y457" i="16"/>
  <c r="Y456" i="16"/>
  <c r="Y455" i="16"/>
  <c r="Y454" i="16"/>
  <c r="Y453" i="16"/>
  <c r="Y452" i="16"/>
  <c r="Y451" i="16"/>
  <c r="Y450" i="16"/>
  <c r="Y449" i="16"/>
  <c r="Y448" i="16"/>
  <c r="Y447" i="16"/>
  <c r="Y446" i="16"/>
  <c r="Y445" i="16"/>
  <c r="Y444" i="16"/>
  <c r="Y443" i="16"/>
  <c r="Y442" i="16"/>
  <c r="Y441" i="16"/>
  <c r="Y440" i="16"/>
  <c r="Y439" i="16"/>
  <c r="Y438" i="16"/>
  <c r="Y437" i="16"/>
  <c r="Y436" i="16"/>
  <c r="Y435" i="16"/>
  <c r="Y434" i="16"/>
  <c r="Y433" i="16"/>
  <c r="Y432" i="16"/>
  <c r="Y431" i="16"/>
  <c r="Y430" i="16"/>
  <c r="Y429" i="16"/>
  <c r="Y428" i="16"/>
  <c r="Y427" i="16"/>
  <c r="Y426" i="16"/>
  <c r="Y425" i="16"/>
  <c r="Y424" i="16"/>
  <c r="Y423" i="16"/>
  <c r="Y422" i="16"/>
  <c r="Y421" i="16"/>
  <c r="Y420" i="16"/>
  <c r="Y419" i="16"/>
  <c r="Y418" i="16"/>
  <c r="Y417" i="16"/>
  <c r="Y416" i="16"/>
  <c r="Y415" i="16"/>
  <c r="Y414" i="16"/>
  <c r="Y413" i="16"/>
  <c r="Y412" i="16"/>
  <c r="Y411" i="16"/>
  <c r="Y410" i="16"/>
  <c r="Y409" i="16"/>
  <c r="Y408" i="16"/>
  <c r="Y407" i="16"/>
  <c r="Y406" i="16"/>
  <c r="Y405" i="16"/>
  <c r="Y404" i="16"/>
  <c r="Y403" i="16"/>
  <c r="Y402" i="16"/>
  <c r="Y401" i="16"/>
  <c r="Y400" i="16"/>
  <c r="Y399" i="16"/>
  <c r="Y398" i="16"/>
  <c r="Y397" i="16"/>
  <c r="Y396" i="16"/>
  <c r="Y395" i="16"/>
  <c r="Y394" i="16"/>
  <c r="Y393" i="16"/>
  <c r="Y392" i="16"/>
  <c r="Y391" i="16"/>
  <c r="Y390" i="16"/>
  <c r="Y389" i="16"/>
  <c r="Y388" i="16"/>
  <c r="Y387" i="16"/>
  <c r="Y386" i="16"/>
  <c r="Y385" i="16"/>
  <c r="Y384" i="16"/>
  <c r="Y383" i="16"/>
  <c r="P355" i="16"/>
  <c r="E355" i="16"/>
  <c r="N346" i="16"/>
  <c r="O346" i="16"/>
  <c r="C346" i="16"/>
  <c r="D346" i="16"/>
  <c r="P335" i="16"/>
  <c r="E335" i="16"/>
  <c r="N326" i="16"/>
  <c r="O326" i="16" s="1"/>
  <c r="C326" i="16"/>
  <c r="D326" i="16"/>
  <c r="P315" i="16"/>
  <c r="S315" i="16" s="1"/>
  <c r="E315" i="16"/>
  <c r="H315" i="16" s="1"/>
  <c r="AL310" i="16"/>
  <c r="AK310" i="16"/>
  <c r="AH310" i="16"/>
  <c r="AG310" i="16"/>
  <c r="AL309" i="16"/>
  <c r="AK309" i="16"/>
  <c r="AH309" i="16"/>
  <c r="AG309" i="16"/>
  <c r="AL308" i="16"/>
  <c r="AK308" i="16"/>
  <c r="AH308" i="16"/>
  <c r="AG308" i="16"/>
  <c r="AL307" i="16"/>
  <c r="AK307" i="16"/>
  <c r="AH307" i="16"/>
  <c r="AG307" i="16"/>
  <c r="AL306" i="16"/>
  <c r="AK306" i="16"/>
  <c r="AH306" i="16"/>
  <c r="AG306" i="16"/>
  <c r="N306" i="16"/>
  <c r="O306" i="16"/>
  <c r="C306" i="16"/>
  <c r="D306" i="16" s="1"/>
  <c r="AL305" i="16"/>
  <c r="AK305" i="16"/>
  <c r="AH305" i="16"/>
  <c r="AG305" i="16"/>
  <c r="AL304" i="16"/>
  <c r="AK304" i="16"/>
  <c r="AH304" i="16"/>
  <c r="AG304" i="16"/>
  <c r="AL303" i="16"/>
  <c r="AK303" i="16"/>
  <c r="AH303" i="16"/>
  <c r="AG303" i="16"/>
  <c r="AL302" i="16"/>
  <c r="AK302" i="16"/>
  <c r="AH302" i="16"/>
  <c r="AG302" i="16"/>
  <c r="AL301" i="16"/>
  <c r="AK301" i="16"/>
  <c r="AH301" i="16"/>
  <c r="AG301" i="16"/>
  <c r="AL300" i="16"/>
  <c r="AK300" i="16"/>
  <c r="AH300" i="16"/>
  <c r="AG300" i="16"/>
  <c r="AL299" i="16"/>
  <c r="AK299" i="16"/>
  <c r="AH299" i="16"/>
  <c r="AG299" i="16"/>
  <c r="AL298" i="16"/>
  <c r="AK298" i="16"/>
  <c r="AH298" i="16"/>
  <c r="AG298" i="16"/>
  <c r="AL297" i="16"/>
  <c r="AK297" i="16"/>
  <c r="AH297" i="16"/>
  <c r="AG297" i="16"/>
  <c r="AL296" i="16"/>
  <c r="AK296" i="16"/>
  <c r="AH296" i="16"/>
  <c r="AG296" i="16"/>
  <c r="AL295" i="16"/>
  <c r="AK295" i="16"/>
  <c r="AH295" i="16"/>
  <c r="AG295" i="16"/>
  <c r="P295" i="16"/>
  <c r="E295" i="16"/>
  <c r="AL294" i="16"/>
  <c r="AK294" i="16"/>
  <c r="AH294" i="16"/>
  <c r="AG294" i="16"/>
  <c r="AL293" i="16"/>
  <c r="AK293" i="16"/>
  <c r="AH293" i="16"/>
  <c r="AG293" i="16"/>
  <c r="AL292" i="16"/>
  <c r="AK292" i="16"/>
  <c r="AH292" i="16"/>
  <c r="AG292" i="16"/>
  <c r="Y292" i="16"/>
  <c r="N286" i="16"/>
  <c r="O286" i="16" s="1"/>
  <c r="C286" i="16"/>
  <c r="D286" i="16"/>
  <c r="P275" i="16"/>
  <c r="S275" i="16" s="1"/>
  <c r="E275" i="16"/>
  <c r="H275" i="16" s="1"/>
  <c r="N266" i="16"/>
  <c r="O266" i="16"/>
  <c r="C266" i="16"/>
  <c r="D266" i="16" s="1"/>
  <c r="P255" i="16"/>
  <c r="E255" i="16"/>
  <c r="N246" i="16"/>
  <c r="O246" i="16" s="1"/>
  <c r="C246" i="16"/>
  <c r="D246" i="16" s="1"/>
  <c r="AC242" i="16"/>
  <c r="AC243" i="16" s="1"/>
  <c r="AG243" i="16" s="1"/>
  <c r="AG237" i="16"/>
  <c r="P235" i="16"/>
  <c r="S235" i="16" s="1"/>
  <c r="E235" i="16"/>
  <c r="N226" i="16"/>
  <c r="O226" i="16"/>
  <c r="C226" i="16"/>
  <c r="D226" i="16" s="1"/>
  <c r="P215" i="16"/>
  <c r="E215" i="16"/>
  <c r="CJ209" i="16"/>
  <c r="CI209" i="16"/>
  <c r="CJ207" i="16"/>
  <c r="CI207" i="16"/>
  <c r="N206" i="16"/>
  <c r="O206" i="16" s="1"/>
  <c r="C206" i="16"/>
  <c r="D206" i="16"/>
  <c r="CJ204" i="16"/>
  <c r="CI204" i="16"/>
  <c r="CJ202" i="16"/>
  <c r="CI202" i="16"/>
  <c r="CJ199" i="16"/>
  <c r="CI199" i="16"/>
  <c r="CJ197" i="16"/>
  <c r="CI197" i="16"/>
  <c r="P195" i="16"/>
  <c r="S195" i="16" s="1"/>
  <c r="E195" i="16"/>
  <c r="CJ194" i="16"/>
  <c r="CI194" i="16"/>
  <c r="CJ192" i="16"/>
  <c r="CI192" i="16"/>
  <c r="CJ189" i="16"/>
  <c r="CI189" i="16"/>
  <c r="CJ187" i="16"/>
  <c r="CI187" i="16"/>
  <c r="N186" i="16"/>
  <c r="O186" i="16" s="1"/>
  <c r="C186" i="16"/>
  <c r="D186" i="16" s="1"/>
  <c r="CJ184" i="16"/>
  <c r="CI184" i="16"/>
  <c r="AC184" i="16"/>
  <c r="AC185" i="16"/>
  <c r="AC186" i="16" s="1"/>
  <c r="AC187" i="16"/>
  <c r="AC188" i="16"/>
  <c r="AC189" i="16" s="1"/>
  <c r="AC190" i="16" s="1"/>
  <c r="AC191" i="16" s="1"/>
  <c r="AC192" i="16" s="1"/>
  <c r="AC193" i="16" s="1"/>
  <c r="AC194" i="16"/>
  <c r="AC195" i="16" s="1"/>
  <c r="AC196" i="16" s="1"/>
  <c r="AC197" i="16" s="1"/>
  <c r="AC198" i="16" s="1"/>
  <c r="AC199" i="16" s="1"/>
  <c r="AC200" i="16" s="1"/>
  <c r="AC201" i="16" s="1"/>
  <c r="AC202" i="16" s="1"/>
  <c r="AC203" i="16" s="1"/>
  <c r="AC204" i="16" s="1"/>
  <c r="AC205" i="16" s="1"/>
  <c r="AC206" i="16" s="1"/>
  <c r="AC207" i="16" s="1"/>
  <c r="AC208" i="16" s="1"/>
  <c r="AC209" i="16" s="1"/>
  <c r="CJ182" i="16"/>
  <c r="CI182" i="16"/>
  <c r="B182" i="16"/>
  <c r="C182" i="16" s="1"/>
  <c r="AA472" i="16" s="1"/>
  <c r="Z472" i="16"/>
  <c r="B181" i="16"/>
  <c r="Z471" i="16" s="1"/>
  <c r="B180" i="16"/>
  <c r="Z470" i="16"/>
  <c r="B179" i="16"/>
  <c r="C179" i="16" s="1"/>
  <c r="AA469" i="16" s="1"/>
  <c r="Z469" i="16"/>
  <c r="B178" i="16"/>
  <c r="AG177" i="16"/>
  <c r="B177" i="16"/>
  <c r="Z467" i="16" s="1"/>
  <c r="B176" i="16"/>
  <c r="Z466" i="16"/>
  <c r="B175" i="16"/>
  <c r="C175" i="16" s="1"/>
  <c r="AA465" i="16" s="1"/>
  <c r="Z465" i="16"/>
  <c r="AE174" i="16"/>
  <c r="I333" i="16" s="1"/>
  <c r="AC174" i="16"/>
  <c r="AD174" i="16" s="1"/>
  <c r="B174" i="16"/>
  <c r="C174" i="16"/>
  <c r="AA464" i="16"/>
  <c r="Z464" i="16"/>
  <c r="B173" i="16"/>
  <c r="Z463" i="16" s="1"/>
  <c r="C173" i="16"/>
  <c r="AA463" i="16"/>
  <c r="AH172" i="16"/>
  <c r="D172" i="16"/>
  <c r="E172" i="16"/>
  <c r="B172" i="16"/>
  <c r="Z462" i="16" s="1"/>
  <c r="D171" i="16"/>
  <c r="E171" i="16"/>
  <c r="B171" i="16"/>
  <c r="Z461" i="16" s="1"/>
  <c r="D170" i="16"/>
  <c r="E170" i="16"/>
  <c r="B170" i="16"/>
  <c r="Z460" i="16"/>
  <c r="D169" i="16"/>
  <c r="E169" i="16"/>
  <c r="B169" i="16"/>
  <c r="Z459" i="16" s="1"/>
  <c r="D168" i="16"/>
  <c r="E168" i="16"/>
  <c r="B168" i="16"/>
  <c r="Z458" i="16" s="1"/>
  <c r="D167" i="16"/>
  <c r="E167" i="16" s="1"/>
  <c r="B167" i="16"/>
  <c r="Z457" i="16" s="1"/>
  <c r="D166" i="16"/>
  <c r="E166" i="16"/>
  <c r="B166" i="16"/>
  <c r="Z456" i="16"/>
  <c r="D165" i="16"/>
  <c r="E165" i="16"/>
  <c r="B165" i="16"/>
  <c r="Z455" i="16" s="1"/>
  <c r="D164" i="16"/>
  <c r="E164" i="16"/>
  <c r="B164" i="16"/>
  <c r="D163" i="16"/>
  <c r="E163" i="16" s="1"/>
  <c r="B163" i="16"/>
  <c r="Z453" i="16" s="1"/>
  <c r="F162" i="16"/>
  <c r="G162" i="16"/>
  <c r="D162" i="16"/>
  <c r="E162" i="16" s="1"/>
  <c r="B162" i="16"/>
  <c r="Z452" i="16"/>
  <c r="F161" i="16"/>
  <c r="G161" i="16" s="1"/>
  <c r="D161" i="16"/>
  <c r="E161" i="16"/>
  <c r="B161" i="16"/>
  <c r="F160" i="16"/>
  <c r="G160" i="16" s="1"/>
  <c r="D160" i="16"/>
  <c r="E160" i="16" s="1"/>
  <c r="B160" i="16"/>
  <c r="Z450" i="16"/>
  <c r="F159" i="16"/>
  <c r="G159" i="16" s="1"/>
  <c r="D159" i="16"/>
  <c r="E159" i="16" s="1"/>
  <c r="B159" i="16"/>
  <c r="Z449" i="16" s="1"/>
  <c r="F158" i="16"/>
  <c r="G158" i="16"/>
  <c r="D158" i="16"/>
  <c r="E158" i="16"/>
  <c r="B158" i="16"/>
  <c r="F157" i="16"/>
  <c r="G157" i="16" s="1"/>
  <c r="D157" i="16"/>
  <c r="E157" i="16"/>
  <c r="B157" i="16"/>
  <c r="C157" i="16" s="1"/>
  <c r="AA447" i="16" s="1"/>
  <c r="Z447" i="16"/>
  <c r="F156" i="16"/>
  <c r="G156" i="16"/>
  <c r="D156" i="16"/>
  <c r="E156" i="16" s="1"/>
  <c r="B156" i="16"/>
  <c r="Z446" i="16"/>
  <c r="F155" i="16"/>
  <c r="G155" i="16" s="1"/>
  <c r="D155" i="16"/>
  <c r="E155" i="16"/>
  <c r="B155" i="16"/>
  <c r="Z445" i="16" s="1"/>
  <c r="F154" i="16"/>
  <c r="G154" i="16"/>
  <c r="D154" i="16"/>
  <c r="E154" i="16"/>
  <c r="B154" i="16"/>
  <c r="Z444" i="16"/>
  <c r="F153" i="16"/>
  <c r="G153" i="16" s="1"/>
  <c r="D153" i="16"/>
  <c r="E153" i="16"/>
  <c r="B153" i="16"/>
  <c r="H152" i="16"/>
  <c r="I152" i="16" s="1"/>
  <c r="F152" i="16"/>
  <c r="G152" i="16" s="1"/>
  <c r="D152" i="16"/>
  <c r="E152" i="16"/>
  <c r="B152" i="16"/>
  <c r="C152" i="16" s="1"/>
  <c r="AA442" i="16" s="1"/>
  <c r="Z442" i="16"/>
  <c r="H151" i="16"/>
  <c r="I151" i="16"/>
  <c r="F151" i="16"/>
  <c r="G151" i="16" s="1"/>
  <c r="D151" i="16"/>
  <c r="E151" i="16"/>
  <c r="B151" i="16"/>
  <c r="Z441" i="16"/>
  <c r="H150" i="16"/>
  <c r="I150" i="16" s="1"/>
  <c r="F150" i="16"/>
  <c r="G150" i="16" s="1"/>
  <c r="D150" i="16"/>
  <c r="E150" i="16"/>
  <c r="B150" i="16"/>
  <c r="C150" i="16" s="1"/>
  <c r="Z440" i="16"/>
  <c r="H149" i="16"/>
  <c r="I149" i="16"/>
  <c r="F149" i="16"/>
  <c r="G149" i="16" s="1"/>
  <c r="D149" i="16"/>
  <c r="E149" i="16"/>
  <c r="B149" i="16"/>
  <c r="H148" i="16"/>
  <c r="I148" i="16"/>
  <c r="F148" i="16"/>
  <c r="G148" i="16" s="1"/>
  <c r="D148" i="16"/>
  <c r="E148" i="16"/>
  <c r="B148" i="16"/>
  <c r="H147" i="16"/>
  <c r="I147" i="16"/>
  <c r="F147" i="16"/>
  <c r="G147" i="16"/>
  <c r="D147" i="16"/>
  <c r="E147" i="16" s="1"/>
  <c r="B147" i="16"/>
  <c r="H146" i="16"/>
  <c r="I146" i="16"/>
  <c r="F146" i="16"/>
  <c r="G146" i="16"/>
  <c r="D146" i="16"/>
  <c r="E146" i="16" s="1"/>
  <c r="B146" i="16"/>
  <c r="H145" i="16"/>
  <c r="I145" i="16"/>
  <c r="F145" i="16"/>
  <c r="G145" i="16"/>
  <c r="D145" i="16"/>
  <c r="E145" i="16"/>
  <c r="B145" i="16"/>
  <c r="H144" i="16"/>
  <c r="I144" i="16"/>
  <c r="F144" i="16"/>
  <c r="G144" i="16" s="1"/>
  <c r="D144" i="16"/>
  <c r="E144" i="16" s="1"/>
  <c r="B144" i="16"/>
  <c r="H143" i="16"/>
  <c r="I143" i="16" s="1"/>
  <c r="F143" i="16"/>
  <c r="G143" i="16"/>
  <c r="D143" i="16"/>
  <c r="E143" i="16" s="1"/>
  <c r="B143" i="16"/>
  <c r="J142" i="16"/>
  <c r="K142" i="16" s="1"/>
  <c r="H142" i="16"/>
  <c r="I142" i="16"/>
  <c r="F142" i="16"/>
  <c r="G142" i="16" s="1"/>
  <c r="D142" i="16"/>
  <c r="E142" i="16" s="1"/>
  <c r="B142" i="16"/>
  <c r="J141" i="16"/>
  <c r="K141" i="16"/>
  <c r="H141" i="16"/>
  <c r="I141" i="16"/>
  <c r="F141" i="16"/>
  <c r="G141" i="16" s="1"/>
  <c r="D141" i="16"/>
  <c r="E141" i="16"/>
  <c r="B141" i="16"/>
  <c r="C141" i="16" s="1"/>
  <c r="AA431" i="16"/>
  <c r="Z431" i="16"/>
  <c r="J140" i="16"/>
  <c r="K140" i="16" s="1"/>
  <c r="H140" i="16"/>
  <c r="I140" i="16"/>
  <c r="F140" i="16"/>
  <c r="G140" i="16"/>
  <c r="D140" i="16"/>
  <c r="E140" i="16"/>
  <c r="B140" i="16"/>
  <c r="J139" i="16"/>
  <c r="K139" i="16"/>
  <c r="H139" i="16"/>
  <c r="I139" i="16" s="1"/>
  <c r="F139" i="16"/>
  <c r="G139" i="16" s="1"/>
  <c r="D139" i="16"/>
  <c r="E139" i="16"/>
  <c r="B139" i="16"/>
  <c r="C139" i="16" s="1"/>
  <c r="AA429" i="16"/>
  <c r="J138" i="16"/>
  <c r="K138" i="16" s="1"/>
  <c r="H138" i="16"/>
  <c r="I138" i="16"/>
  <c r="F138" i="16"/>
  <c r="G138" i="16"/>
  <c r="D138" i="16"/>
  <c r="E138" i="16"/>
  <c r="B138" i="16"/>
  <c r="J137" i="16"/>
  <c r="K137" i="16"/>
  <c r="H137" i="16"/>
  <c r="I137" i="16"/>
  <c r="F137" i="16"/>
  <c r="G137" i="16" s="1"/>
  <c r="D137" i="16"/>
  <c r="E137" i="16"/>
  <c r="B137" i="16"/>
  <c r="J136" i="16"/>
  <c r="K136" i="16" s="1"/>
  <c r="H136" i="16"/>
  <c r="I136" i="16" s="1"/>
  <c r="F136" i="16"/>
  <c r="G136" i="16"/>
  <c r="D136" i="16"/>
  <c r="E136" i="16" s="1"/>
  <c r="B136" i="16"/>
  <c r="Z426" i="16"/>
  <c r="J135" i="16"/>
  <c r="K135" i="16" s="1"/>
  <c r="H135" i="16"/>
  <c r="I135" i="16"/>
  <c r="F135" i="16"/>
  <c r="G135" i="16"/>
  <c r="D135" i="16"/>
  <c r="E135" i="16" s="1"/>
  <c r="B135" i="16"/>
  <c r="Z425" i="16" s="1"/>
  <c r="J134" i="16"/>
  <c r="K134" i="16"/>
  <c r="H134" i="16"/>
  <c r="I134" i="16" s="1"/>
  <c r="F134" i="16"/>
  <c r="G134" i="16"/>
  <c r="D134" i="16"/>
  <c r="E134" i="16" s="1"/>
  <c r="B134" i="16"/>
  <c r="Z424" i="16"/>
  <c r="J133" i="16"/>
  <c r="K133" i="16" s="1"/>
  <c r="H133" i="16"/>
  <c r="I133" i="16"/>
  <c r="F133" i="16"/>
  <c r="G133" i="16" s="1"/>
  <c r="D133" i="16"/>
  <c r="E133" i="16"/>
  <c r="B133" i="16"/>
  <c r="Z423" i="16"/>
  <c r="L132" i="16"/>
  <c r="M132" i="16" s="1"/>
  <c r="J132" i="16"/>
  <c r="K132" i="16" s="1"/>
  <c r="H132" i="16"/>
  <c r="I132" i="16"/>
  <c r="F132" i="16"/>
  <c r="G132" i="16" s="1"/>
  <c r="D132" i="16"/>
  <c r="E132" i="16" s="1"/>
  <c r="B132" i="16"/>
  <c r="Z422" i="16" s="1"/>
  <c r="L131" i="16"/>
  <c r="M131" i="16"/>
  <c r="J131" i="16"/>
  <c r="K131" i="16"/>
  <c r="H131" i="16"/>
  <c r="I131" i="16"/>
  <c r="F131" i="16"/>
  <c r="G131" i="16" s="1"/>
  <c r="D131" i="16"/>
  <c r="E131" i="16"/>
  <c r="B131" i="16"/>
  <c r="L130" i="16"/>
  <c r="M130" i="16" s="1"/>
  <c r="J130" i="16"/>
  <c r="K130" i="16" s="1"/>
  <c r="H130" i="16"/>
  <c r="I130" i="16"/>
  <c r="F130" i="16"/>
  <c r="G130" i="16" s="1"/>
  <c r="D130" i="16"/>
  <c r="E130" i="16"/>
  <c r="B130" i="16"/>
  <c r="L129" i="16"/>
  <c r="M129" i="16"/>
  <c r="J129" i="16"/>
  <c r="K129" i="16"/>
  <c r="H129" i="16"/>
  <c r="I129" i="16" s="1"/>
  <c r="F129" i="16"/>
  <c r="G129" i="16" s="1"/>
  <c r="D129" i="16"/>
  <c r="E129" i="16"/>
  <c r="B129" i="16"/>
  <c r="C129" i="16" s="1"/>
  <c r="AA419" i="16" s="1"/>
  <c r="Z419" i="16"/>
  <c r="L128" i="16"/>
  <c r="M128" i="16"/>
  <c r="J128" i="16"/>
  <c r="K128" i="16" s="1"/>
  <c r="H128" i="16"/>
  <c r="I128" i="16"/>
  <c r="F128" i="16"/>
  <c r="G128" i="16" s="1"/>
  <c r="D128" i="16"/>
  <c r="E128" i="16"/>
  <c r="B128" i="16"/>
  <c r="L127" i="16"/>
  <c r="M127" i="16"/>
  <c r="J127" i="16"/>
  <c r="K127" i="16"/>
  <c r="H127" i="16"/>
  <c r="I127" i="16"/>
  <c r="F127" i="16"/>
  <c r="G127" i="16" s="1"/>
  <c r="D127" i="16"/>
  <c r="E127" i="16"/>
  <c r="B127" i="16"/>
  <c r="Z417" i="16" s="1"/>
  <c r="L126" i="16"/>
  <c r="M126" i="16"/>
  <c r="J126" i="16"/>
  <c r="K126" i="16" s="1"/>
  <c r="H126" i="16"/>
  <c r="I126" i="16"/>
  <c r="F126" i="16"/>
  <c r="G126" i="16"/>
  <c r="D126" i="16"/>
  <c r="E126" i="16"/>
  <c r="B126" i="16"/>
  <c r="L125" i="16"/>
  <c r="M125" i="16"/>
  <c r="J125" i="16"/>
  <c r="K125" i="16" s="1"/>
  <c r="H125" i="16"/>
  <c r="I125" i="16" s="1"/>
  <c r="F125" i="16"/>
  <c r="G125" i="16" s="1"/>
  <c r="D125" i="16"/>
  <c r="E125" i="16"/>
  <c r="B125" i="16"/>
  <c r="L124" i="16"/>
  <c r="M124" i="16"/>
  <c r="J124" i="16"/>
  <c r="K124" i="16" s="1"/>
  <c r="H124" i="16"/>
  <c r="I124" i="16"/>
  <c r="F124" i="16"/>
  <c r="G124" i="16"/>
  <c r="D124" i="16"/>
  <c r="E124" i="16" s="1"/>
  <c r="B124" i="16"/>
  <c r="Z414" i="16" s="1"/>
  <c r="L123" i="16"/>
  <c r="M123" i="16"/>
  <c r="J123" i="16"/>
  <c r="K123" i="16" s="1"/>
  <c r="H123" i="16"/>
  <c r="I123" i="16"/>
  <c r="F123" i="16"/>
  <c r="G123" i="16" s="1"/>
  <c r="D123" i="16"/>
  <c r="E123" i="16"/>
  <c r="B123" i="16"/>
  <c r="N122" i="16"/>
  <c r="O122" i="16"/>
  <c r="L122" i="16"/>
  <c r="M122" i="16" s="1"/>
  <c r="J122" i="16"/>
  <c r="K122" i="16"/>
  <c r="H122" i="16"/>
  <c r="I122" i="16"/>
  <c r="F122" i="16"/>
  <c r="G122" i="16" s="1"/>
  <c r="D122" i="16"/>
  <c r="E122" i="16" s="1"/>
  <c r="B122" i="16"/>
  <c r="Z412" i="16"/>
  <c r="N121" i="16"/>
  <c r="O121" i="16" s="1"/>
  <c r="L121" i="16"/>
  <c r="M121" i="16" s="1"/>
  <c r="J121" i="16"/>
  <c r="K121" i="16" s="1"/>
  <c r="H121" i="16"/>
  <c r="I121" i="16"/>
  <c r="F121" i="16"/>
  <c r="G121" i="16"/>
  <c r="D121" i="16"/>
  <c r="E121" i="16"/>
  <c r="B121" i="16"/>
  <c r="Z411" i="16" s="1"/>
  <c r="N120" i="16"/>
  <c r="O120" i="16"/>
  <c r="L120" i="16"/>
  <c r="M120" i="16" s="1"/>
  <c r="J120" i="16"/>
  <c r="K120" i="16" s="1"/>
  <c r="H120" i="16"/>
  <c r="I120" i="16" s="1"/>
  <c r="F120" i="16"/>
  <c r="G120" i="16"/>
  <c r="D120" i="16"/>
  <c r="E120" i="16" s="1"/>
  <c r="B120" i="16"/>
  <c r="Z410" i="16"/>
  <c r="N119" i="16"/>
  <c r="O119" i="16" s="1"/>
  <c r="L119" i="16"/>
  <c r="M119" i="16"/>
  <c r="J119" i="16"/>
  <c r="K119" i="16"/>
  <c r="H119" i="16"/>
  <c r="I119" i="16" s="1"/>
  <c r="F119" i="16"/>
  <c r="G119" i="16" s="1"/>
  <c r="D119" i="16"/>
  <c r="E119" i="16"/>
  <c r="B119" i="16"/>
  <c r="C119" i="16" s="1"/>
  <c r="AA409" i="16" s="1"/>
  <c r="Z409" i="16"/>
  <c r="N118" i="16"/>
  <c r="O118" i="16"/>
  <c r="L118" i="16"/>
  <c r="M118" i="16" s="1"/>
  <c r="J118" i="16"/>
  <c r="K118" i="16"/>
  <c r="H118" i="16"/>
  <c r="I118" i="16" s="1"/>
  <c r="F118" i="16"/>
  <c r="G118" i="16"/>
  <c r="D118" i="16"/>
  <c r="E118" i="16" s="1"/>
  <c r="B118" i="16"/>
  <c r="Z408" i="16"/>
  <c r="DD117" i="16"/>
  <c r="DE117" i="16"/>
  <c r="CS117" i="16"/>
  <c r="CT117" i="16"/>
  <c r="CH117" i="16"/>
  <c r="CI117" i="16" s="1"/>
  <c r="BW117" i="16"/>
  <c r="BX117" i="16"/>
  <c r="BL117" i="16"/>
  <c r="BM117" i="16" s="1"/>
  <c r="BA117" i="16"/>
  <c r="BB117" i="16"/>
  <c r="AP117" i="16"/>
  <c r="AQ117" i="16" s="1"/>
  <c r="N117" i="16"/>
  <c r="O117" i="16"/>
  <c r="L117" i="16"/>
  <c r="M117" i="16"/>
  <c r="J117" i="16"/>
  <c r="K117" i="16"/>
  <c r="H117" i="16"/>
  <c r="I117" i="16" s="1"/>
  <c r="F117" i="16"/>
  <c r="G117" i="16"/>
  <c r="D117" i="16"/>
  <c r="E117" i="16" s="1"/>
  <c r="B117" i="16"/>
  <c r="Z407" i="16" s="1"/>
  <c r="N116" i="16"/>
  <c r="O116" i="16"/>
  <c r="L116" i="16"/>
  <c r="M116" i="16"/>
  <c r="J116" i="16"/>
  <c r="K116" i="16"/>
  <c r="H116" i="16"/>
  <c r="I116" i="16" s="1"/>
  <c r="F116" i="16"/>
  <c r="G116" i="16"/>
  <c r="D116" i="16"/>
  <c r="E116" i="16"/>
  <c r="B116" i="16"/>
  <c r="N115" i="16"/>
  <c r="O115" i="16"/>
  <c r="L115" i="16"/>
  <c r="M115" i="16" s="1"/>
  <c r="J115" i="16"/>
  <c r="K115" i="16"/>
  <c r="H115" i="16"/>
  <c r="I115" i="16" s="1"/>
  <c r="F115" i="16"/>
  <c r="G115" i="16"/>
  <c r="D115" i="16"/>
  <c r="E115" i="16"/>
  <c r="B115" i="16"/>
  <c r="Z405" i="16" s="1"/>
  <c r="N114" i="16"/>
  <c r="O114" i="16"/>
  <c r="L114" i="16"/>
  <c r="M114" i="16"/>
  <c r="J114" i="16"/>
  <c r="K114" i="16" s="1"/>
  <c r="H114" i="16"/>
  <c r="I114" i="16" s="1"/>
  <c r="F114" i="16"/>
  <c r="G114" i="16"/>
  <c r="D114" i="16"/>
  <c r="E114" i="16" s="1"/>
  <c r="B114" i="16"/>
  <c r="Z404" i="16" s="1"/>
  <c r="C114" i="16"/>
  <c r="AA404" i="16"/>
  <c r="N113" i="16"/>
  <c r="O113" i="16"/>
  <c r="L113" i="16"/>
  <c r="M113" i="16"/>
  <c r="J113" i="16"/>
  <c r="K113" i="16"/>
  <c r="H113" i="16"/>
  <c r="I113" i="16" s="1"/>
  <c r="F113" i="16"/>
  <c r="G113" i="16"/>
  <c r="D113" i="16"/>
  <c r="E113" i="16" s="1"/>
  <c r="B113" i="16"/>
  <c r="Z403" i="16" s="1"/>
  <c r="P112" i="16"/>
  <c r="Q112" i="16"/>
  <c r="N112" i="16"/>
  <c r="O112" i="16"/>
  <c r="L112" i="16"/>
  <c r="M112" i="16"/>
  <c r="J112" i="16"/>
  <c r="K112" i="16" s="1"/>
  <c r="H112" i="16"/>
  <c r="I112" i="16"/>
  <c r="F112" i="16"/>
  <c r="G112" i="16"/>
  <c r="D112" i="16"/>
  <c r="E112" i="16" s="1"/>
  <c r="B112" i="16"/>
  <c r="AF111" i="16"/>
  <c r="AF53" i="16"/>
  <c r="P111" i="16"/>
  <c r="Q111" i="16"/>
  <c r="N111" i="16"/>
  <c r="O111" i="16" s="1"/>
  <c r="L111" i="16"/>
  <c r="M111" i="16"/>
  <c r="J111" i="16"/>
  <c r="K111" i="16" s="1"/>
  <c r="H111" i="16"/>
  <c r="I111" i="16"/>
  <c r="F111" i="16"/>
  <c r="G111" i="16" s="1"/>
  <c r="D111" i="16"/>
  <c r="E111" i="16"/>
  <c r="B111" i="16"/>
  <c r="Z401" i="16"/>
  <c r="AF110" i="16"/>
  <c r="P110" i="16"/>
  <c r="Q110" i="16"/>
  <c r="N110" i="16"/>
  <c r="O110" i="16" s="1"/>
  <c r="L110" i="16"/>
  <c r="M110" i="16"/>
  <c r="J110" i="16"/>
  <c r="K110" i="16"/>
  <c r="H110" i="16"/>
  <c r="I110" i="16"/>
  <c r="F110" i="16"/>
  <c r="G110" i="16" s="1"/>
  <c r="D110" i="16"/>
  <c r="E110" i="16"/>
  <c r="B110" i="16"/>
  <c r="P109" i="16"/>
  <c r="Q109" i="16" s="1"/>
  <c r="N109" i="16"/>
  <c r="O109" i="16"/>
  <c r="L109" i="16"/>
  <c r="M109" i="16"/>
  <c r="J109" i="16"/>
  <c r="K109" i="16"/>
  <c r="H109" i="16"/>
  <c r="I109" i="16" s="1"/>
  <c r="F109" i="16"/>
  <c r="G109" i="16"/>
  <c r="D109" i="16"/>
  <c r="E109" i="16" s="1"/>
  <c r="B109" i="16"/>
  <c r="P108" i="16"/>
  <c r="Q108" i="16"/>
  <c r="N108" i="16"/>
  <c r="O108" i="16" s="1"/>
  <c r="L108" i="16"/>
  <c r="M108" i="16" s="1"/>
  <c r="J108" i="16"/>
  <c r="K108" i="16" s="1"/>
  <c r="H108" i="16"/>
  <c r="I108" i="16"/>
  <c r="F108" i="16"/>
  <c r="G108" i="16"/>
  <c r="D108" i="16"/>
  <c r="E108" i="16" s="1"/>
  <c r="B108" i="16"/>
  <c r="C108" i="16" s="1"/>
  <c r="AA398" i="16" s="1"/>
  <c r="Z398" i="16"/>
  <c r="P107" i="16"/>
  <c r="Q107" i="16"/>
  <c r="N107" i="16"/>
  <c r="O107" i="16"/>
  <c r="L107" i="16"/>
  <c r="M107" i="16" s="1"/>
  <c r="J107" i="16"/>
  <c r="K107" i="16"/>
  <c r="H107" i="16"/>
  <c r="I107" i="16" s="1"/>
  <c r="F107" i="16"/>
  <c r="G107" i="16" s="1"/>
  <c r="D107" i="16"/>
  <c r="E107" i="16" s="1"/>
  <c r="B107" i="16"/>
  <c r="C107" i="16"/>
  <c r="AA397" i="16"/>
  <c r="Z397" i="16"/>
  <c r="P106" i="16"/>
  <c r="Q106" i="16"/>
  <c r="N106" i="16"/>
  <c r="O106" i="16" s="1"/>
  <c r="L106" i="16"/>
  <c r="M106" i="16"/>
  <c r="J106" i="16"/>
  <c r="K106" i="16"/>
  <c r="H106" i="16"/>
  <c r="I106" i="16" s="1"/>
  <c r="F106" i="16"/>
  <c r="G106" i="16" s="1"/>
  <c r="D106" i="16"/>
  <c r="E106" i="16"/>
  <c r="B106" i="16"/>
  <c r="C106" i="16"/>
  <c r="AA396" i="16" s="1"/>
  <c r="Z396" i="16"/>
  <c r="P105" i="16"/>
  <c r="Q105" i="16" s="1"/>
  <c r="N105" i="16"/>
  <c r="O105" i="16"/>
  <c r="L105" i="16"/>
  <c r="M105" i="16"/>
  <c r="J105" i="16"/>
  <c r="K105" i="16" s="1"/>
  <c r="H105" i="16"/>
  <c r="I105" i="16" s="1"/>
  <c r="F105" i="16"/>
  <c r="G105" i="16"/>
  <c r="D105" i="16"/>
  <c r="E105" i="16"/>
  <c r="B105" i="16"/>
  <c r="Z395" i="16" s="1"/>
  <c r="C105" i="16"/>
  <c r="AA395" i="16" s="1"/>
  <c r="AB104" i="16"/>
  <c r="AA104" i="16"/>
  <c r="X104" i="16"/>
  <c r="W104" i="16"/>
  <c r="P104" i="16"/>
  <c r="Q104" i="16"/>
  <c r="N104" i="16"/>
  <c r="O104" i="16" s="1"/>
  <c r="L104" i="16"/>
  <c r="M104" i="16"/>
  <c r="J104" i="16"/>
  <c r="K104" i="16" s="1"/>
  <c r="H104" i="16"/>
  <c r="I104" i="16" s="1"/>
  <c r="F104" i="16"/>
  <c r="G104" i="16" s="1"/>
  <c r="D104" i="16"/>
  <c r="E104" i="16"/>
  <c r="B104" i="16"/>
  <c r="Z394" i="16" s="1"/>
  <c r="C104" i="16"/>
  <c r="AA394" i="16" s="1"/>
  <c r="AB103" i="16"/>
  <c r="AA103" i="16"/>
  <c r="X103" i="16"/>
  <c r="W103" i="16"/>
  <c r="P103" i="16"/>
  <c r="Q103" i="16"/>
  <c r="N103" i="16"/>
  <c r="O103" i="16"/>
  <c r="L103" i="16"/>
  <c r="M103" i="16" s="1"/>
  <c r="J103" i="16"/>
  <c r="K103" i="16"/>
  <c r="H103" i="16"/>
  <c r="I103" i="16" s="1"/>
  <c r="F103" i="16"/>
  <c r="G103" i="16" s="1"/>
  <c r="D103" i="16"/>
  <c r="E103" i="16" s="1"/>
  <c r="B103" i="16"/>
  <c r="C103" i="16"/>
  <c r="AA393" i="16" s="1"/>
  <c r="Z393" i="16"/>
  <c r="AB102" i="16"/>
  <c r="AA102" i="16"/>
  <c r="X102" i="16"/>
  <c r="W102" i="16"/>
  <c r="R102" i="16"/>
  <c r="S102" i="16"/>
  <c r="P102" i="16"/>
  <c r="Q102" i="16"/>
  <c r="N102" i="16"/>
  <c r="O102" i="16" s="1"/>
  <c r="L102" i="16"/>
  <c r="M102" i="16" s="1"/>
  <c r="J102" i="16"/>
  <c r="K102" i="16"/>
  <c r="H102" i="16"/>
  <c r="I102" i="16"/>
  <c r="F102" i="16"/>
  <c r="G102" i="16" s="1"/>
  <c r="D102" i="16"/>
  <c r="E102" i="16" s="1"/>
  <c r="B102" i="16"/>
  <c r="C102" i="16"/>
  <c r="AA392" i="16" s="1"/>
  <c r="Z392" i="16"/>
  <c r="AB101" i="16"/>
  <c r="AA101" i="16"/>
  <c r="X101" i="16"/>
  <c r="W101" i="16"/>
  <c r="R101" i="16"/>
  <c r="S101" i="16"/>
  <c r="P101" i="16"/>
  <c r="Q101" i="16"/>
  <c r="N101" i="16"/>
  <c r="O101" i="16" s="1"/>
  <c r="L101" i="16"/>
  <c r="M101" i="16" s="1"/>
  <c r="J101" i="16"/>
  <c r="K101" i="16"/>
  <c r="H101" i="16"/>
  <c r="I101" i="16" s="1"/>
  <c r="F101" i="16"/>
  <c r="G101" i="16"/>
  <c r="D101" i="16"/>
  <c r="E101" i="16" s="1"/>
  <c r="B101" i="16"/>
  <c r="C101" i="16"/>
  <c r="AA391" i="16" s="1"/>
  <c r="Z391" i="16"/>
  <c r="AB100" i="16"/>
  <c r="AA100" i="16"/>
  <c r="X100" i="16"/>
  <c r="W100" i="16"/>
  <c r="R100" i="16"/>
  <c r="S100" i="16"/>
  <c r="P100" i="16"/>
  <c r="Q100" i="16"/>
  <c r="N100" i="16"/>
  <c r="O100" i="16"/>
  <c r="L100" i="16"/>
  <c r="M100" i="16" s="1"/>
  <c r="J100" i="16"/>
  <c r="K100" i="16"/>
  <c r="H100" i="16"/>
  <c r="I100" i="16" s="1"/>
  <c r="F100" i="16"/>
  <c r="G100" i="16" s="1"/>
  <c r="D100" i="16"/>
  <c r="E100" i="16" s="1"/>
  <c r="B100" i="16"/>
  <c r="C100" i="16"/>
  <c r="AA390" i="16"/>
  <c r="Z390" i="16"/>
  <c r="AB99" i="16"/>
  <c r="AA99" i="16"/>
  <c r="X99" i="16"/>
  <c r="W99" i="16"/>
  <c r="R99" i="16"/>
  <c r="S99" i="16"/>
  <c r="P99" i="16"/>
  <c r="Q99" i="16"/>
  <c r="N99" i="16"/>
  <c r="O99" i="16"/>
  <c r="L99" i="16"/>
  <c r="M99" i="16" s="1"/>
  <c r="J99" i="16"/>
  <c r="K99" i="16"/>
  <c r="H99" i="16"/>
  <c r="I99" i="16"/>
  <c r="F99" i="16"/>
  <c r="G99" i="16" s="1"/>
  <c r="D99" i="16"/>
  <c r="E99" i="16" s="1"/>
  <c r="B99" i="16"/>
  <c r="Z389" i="16"/>
  <c r="AB98" i="16"/>
  <c r="AA98" i="16"/>
  <c r="X98" i="16"/>
  <c r="W98" i="16"/>
  <c r="R98" i="16"/>
  <c r="S98" i="16" s="1"/>
  <c r="P98" i="16"/>
  <c r="Q98" i="16"/>
  <c r="N98" i="16"/>
  <c r="O98" i="16" s="1"/>
  <c r="L98" i="16"/>
  <c r="M98" i="16"/>
  <c r="J98" i="16"/>
  <c r="K98" i="16" s="1"/>
  <c r="H98" i="16"/>
  <c r="I98" i="16"/>
  <c r="F98" i="16"/>
  <c r="G98" i="16"/>
  <c r="D98" i="16"/>
  <c r="E98" i="16" s="1"/>
  <c r="B98" i="16"/>
  <c r="Z388" i="16" s="1"/>
  <c r="AB97" i="16"/>
  <c r="AA97" i="16"/>
  <c r="X97" i="16"/>
  <c r="W97" i="16"/>
  <c r="R97" i="16"/>
  <c r="S97" i="16" s="1"/>
  <c r="P97" i="16"/>
  <c r="Q97" i="16" s="1"/>
  <c r="N97" i="16"/>
  <c r="O97" i="16"/>
  <c r="L97" i="16"/>
  <c r="M97" i="16"/>
  <c r="J97" i="16"/>
  <c r="K97" i="16"/>
  <c r="H97" i="16"/>
  <c r="I97" i="16" s="1"/>
  <c r="F97" i="16"/>
  <c r="G97" i="16"/>
  <c r="D97" i="16"/>
  <c r="E97" i="16" s="1"/>
  <c r="B97" i="16"/>
  <c r="Z387" i="16" s="1"/>
  <c r="AB96" i="16"/>
  <c r="AA96" i="16"/>
  <c r="X96" i="16"/>
  <c r="W96" i="16"/>
  <c r="R96" i="16"/>
  <c r="S96" i="16" s="1"/>
  <c r="P96" i="16"/>
  <c r="Q96" i="16" s="1"/>
  <c r="N96" i="16"/>
  <c r="O96" i="16" s="1"/>
  <c r="L96" i="16"/>
  <c r="M96" i="16"/>
  <c r="J96" i="16"/>
  <c r="K96" i="16"/>
  <c r="H96" i="16"/>
  <c r="I96" i="16"/>
  <c r="F96" i="16"/>
  <c r="G96" i="16" s="1"/>
  <c r="D96" i="16"/>
  <c r="E96" i="16"/>
  <c r="B96" i="16"/>
  <c r="C96" i="16" s="1"/>
  <c r="AA386" i="16" s="1"/>
  <c r="Z386" i="16"/>
  <c r="AB95" i="16"/>
  <c r="AA95" i="16"/>
  <c r="X95" i="16"/>
  <c r="W95" i="16"/>
  <c r="R95" i="16"/>
  <c r="S95" i="16"/>
  <c r="P95" i="16"/>
  <c r="Q95" i="16"/>
  <c r="N95" i="16"/>
  <c r="O95" i="16" s="1"/>
  <c r="L95" i="16"/>
  <c r="M95" i="16" s="1"/>
  <c r="J95" i="16"/>
  <c r="K95" i="16"/>
  <c r="H95" i="16"/>
  <c r="I95" i="16" s="1"/>
  <c r="F95" i="16"/>
  <c r="G95" i="16"/>
  <c r="D95" i="16"/>
  <c r="E95" i="16" s="1"/>
  <c r="B95" i="16"/>
  <c r="Z385" i="16"/>
  <c r="AB94" i="16"/>
  <c r="AA94" i="16"/>
  <c r="X94" i="16"/>
  <c r="W94" i="16"/>
  <c r="R94" i="16"/>
  <c r="S94" i="16" s="1"/>
  <c r="P94" i="16"/>
  <c r="Q94" i="16"/>
  <c r="N94" i="16"/>
  <c r="O94" i="16"/>
  <c r="L94" i="16"/>
  <c r="M94" i="16" s="1"/>
  <c r="J94" i="16"/>
  <c r="K94" i="16" s="1"/>
  <c r="H94" i="16"/>
  <c r="I94" i="16"/>
  <c r="F94" i="16"/>
  <c r="G94" i="16" s="1"/>
  <c r="D94" i="16"/>
  <c r="E94" i="16"/>
  <c r="B94" i="16"/>
  <c r="Z384" i="16" s="1"/>
  <c r="AB93" i="16"/>
  <c r="AA93" i="16"/>
  <c r="X93" i="16"/>
  <c r="W93" i="16"/>
  <c r="R93" i="16"/>
  <c r="S93" i="16"/>
  <c r="P93" i="16"/>
  <c r="Q93" i="16" s="1"/>
  <c r="N93" i="16"/>
  <c r="O93" i="16"/>
  <c r="L93" i="16"/>
  <c r="M93" i="16" s="1"/>
  <c r="J93" i="16"/>
  <c r="K93" i="16" s="1"/>
  <c r="H93" i="16"/>
  <c r="I93" i="16" s="1"/>
  <c r="F93" i="16"/>
  <c r="G93" i="16"/>
  <c r="D93" i="16"/>
  <c r="E93" i="16"/>
  <c r="B93" i="16"/>
  <c r="Z383" i="16"/>
  <c r="AB92" i="16"/>
  <c r="AA92" i="16"/>
  <c r="X92" i="16"/>
  <c r="W92" i="16"/>
  <c r="R92" i="16"/>
  <c r="S92" i="16"/>
  <c r="P92" i="16"/>
  <c r="Q92" i="16"/>
  <c r="N92" i="16"/>
  <c r="O92" i="16" s="1"/>
  <c r="L92" i="16"/>
  <c r="M92" i="16"/>
  <c r="J92" i="16"/>
  <c r="K92" i="16"/>
  <c r="H92" i="16"/>
  <c r="I92" i="16" s="1"/>
  <c r="F92" i="16"/>
  <c r="G92" i="16" s="1"/>
  <c r="D92" i="16"/>
  <c r="E92" i="16"/>
  <c r="B92" i="16"/>
  <c r="AB91" i="16"/>
  <c r="AA91" i="16"/>
  <c r="X91" i="16"/>
  <c r="W91" i="16"/>
  <c r="R91" i="16"/>
  <c r="S91" i="16"/>
  <c r="P91" i="16"/>
  <c r="Q91" i="16" s="1"/>
  <c r="N91" i="16"/>
  <c r="O91" i="16"/>
  <c r="L91" i="16"/>
  <c r="M91" i="16" s="1"/>
  <c r="J91" i="16"/>
  <c r="K91" i="16"/>
  <c r="H91" i="16"/>
  <c r="I91" i="16" s="1"/>
  <c r="F91" i="16"/>
  <c r="G91" i="16" s="1"/>
  <c r="D91" i="16"/>
  <c r="E91" i="16" s="1"/>
  <c r="B91" i="16"/>
  <c r="Z381" i="16"/>
  <c r="AB90" i="16"/>
  <c r="AA90" i="16"/>
  <c r="X90" i="16"/>
  <c r="W90" i="16"/>
  <c r="R90" i="16"/>
  <c r="S90" i="16" s="1"/>
  <c r="P90" i="16"/>
  <c r="Q90" i="16"/>
  <c r="N90" i="16"/>
  <c r="O90" i="16" s="1"/>
  <c r="L90" i="16"/>
  <c r="M90" i="16" s="1"/>
  <c r="J90" i="16"/>
  <c r="K90" i="16" s="1"/>
  <c r="H90" i="16"/>
  <c r="I90" i="16"/>
  <c r="F90" i="16"/>
  <c r="G90" i="16"/>
  <c r="D90" i="16"/>
  <c r="E90" i="16"/>
  <c r="B90" i="16"/>
  <c r="Z380" i="16" s="1"/>
  <c r="AB89" i="16"/>
  <c r="AA89" i="16"/>
  <c r="X89" i="16"/>
  <c r="W89" i="16"/>
  <c r="R89" i="16"/>
  <c r="S89" i="16" s="1"/>
  <c r="P89" i="16"/>
  <c r="Q89" i="16" s="1"/>
  <c r="N89" i="16"/>
  <c r="O89" i="16"/>
  <c r="L89" i="16"/>
  <c r="M89" i="16" s="1"/>
  <c r="J89" i="16"/>
  <c r="K89" i="16"/>
  <c r="H89" i="16"/>
  <c r="I89" i="16"/>
  <c r="F89" i="16"/>
  <c r="G89" i="16"/>
  <c r="D89" i="16"/>
  <c r="E89" i="16" s="1"/>
  <c r="B89" i="16"/>
  <c r="Z379" i="16"/>
  <c r="AB88" i="16"/>
  <c r="AA88" i="16"/>
  <c r="X88" i="16"/>
  <c r="W88" i="16"/>
  <c r="R88" i="16"/>
  <c r="S88" i="16" s="1"/>
  <c r="P88" i="16"/>
  <c r="Q88" i="16"/>
  <c r="N88" i="16"/>
  <c r="O88" i="16" s="1"/>
  <c r="L88" i="16"/>
  <c r="M88" i="16"/>
  <c r="J88" i="16"/>
  <c r="K88" i="16" s="1"/>
  <c r="H88" i="16"/>
  <c r="I88" i="16" s="1"/>
  <c r="F88" i="16"/>
  <c r="G88" i="16" s="1"/>
  <c r="D88" i="16"/>
  <c r="E88" i="16"/>
  <c r="B88" i="16"/>
  <c r="C88" i="16" s="1"/>
  <c r="Z378" i="16"/>
  <c r="AB87" i="16"/>
  <c r="AA87" i="16"/>
  <c r="X87" i="16"/>
  <c r="W87" i="16"/>
  <c r="R87" i="16"/>
  <c r="S87" i="16"/>
  <c r="P87" i="16"/>
  <c r="Q87" i="16"/>
  <c r="N87" i="16"/>
  <c r="O87" i="16" s="1"/>
  <c r="L87" i="16"/>
  <c r="M87" i="16" s="1"/>
  <c r="J87" i="16"/>
  <c r="K87" i="16"/>
  <c r="H87" i="16"/>
  <c r="I87" i="16"/>
  <c r="F87" i="16"/>
  <c r="G87" i="16"/>
  <c r="D87" i="16"/>
  <c r="E87" i="16" s="1"/>
  <c r="B87" i="16"/>
  <c r="Z377" i="16"/>
  <c r="AB86" i="16"/>
  <c r="AA86" i="16"/>
  <c r="X86" i="16"/>
  <c r="W86" i="16"/>
  <c r="R86" i="16"/>
  <c r="S86" i="16" s="1"/>
  <c r="P86" i="16"/>
  <c r="Q86" i="16"/>
  <c r="N86" i="16"/>
  <c r="O86" i="16" s="1"/>
  <c r="L86" i="16"/>
  <c r="M86" i="16"/>
  <c r="J86" i="16"/>
  <c r="K86" i="16" s="1"/>
  <c r="H86" i="16"/>
  <c r="I86" i="16"/>
  <c r="F86" i="16"/>
  <c r="G86" i="16"/>
  <c r="D86" i="16"/>
  <c r="E86" i="16"/>
  <c r="B86" i="16"/>
  <c r="Z376" i="16" s="1"/>
  <c r="DD85" i="16"/>
  <c r="DE85" i="16"/>
  <c r="CS85" i="16"/>
  <c r="CT85" i="16" s="1"/>
  <c r="CH85" i="16"/>
  <c r="CI85" i="16" s="1"/>
  <c r="BW85" i="16"/>
  <c r="BX85" i="16" s="1"/>
  <c r="BL85" i="16"/>
  <c r="BM85" i="16"/>
  <c r="BA85" i="16"/>
  <c r="BB85" i="16"/>
  <c r="AP85" i="16"/>
  <c r="AQ85" i="16"/>
  <c r="R85" i="16"/>
  <c r="S85" i="16" s="1"/>
  <c r="P85" i="16"/>
  <c r="Q85" i="16"/>
  <c r="N85" i="16"/>
  <c r="O85" i="16"/>
  <c r="L85" i="16"/>
  <c r="M85" i="16" s="1"/>
  <c r="J85" i="16"/>
  <c r="K85" i="16" s="1"/>
  <c r="H85" i="16"/>
  <c r="I85" i="16"/>
  <c r="F85" i="16"/>
  <c r="G85" i="16" s="1"/>
  <c r="D85" i="16"/>
  <c r="E85" i="16"/>
  <c r="B85" i="16"/>
  <c r="C85" i="16" s="1"/>
  <c r="AA375" i="16" s="1"/>
  <c r="Z375" i="16"/>
  <c r="R84" i="16"/>
  <c r="S84" i="16"/>
  <c r="P84" i="16"/>
  <c r="Q84" i="16" s="1"/>
  <c r="N84" i="16"/>
  <c r="O84" i="16" s="1"/>
  <c r="L84" i="16"/>
  <c r="M84" i="16"/>
  <c r="J84" i="16"/>
  <c r="K84" i="16" s="1"/>
  <c r="H84" i="16"/>
  <c r="I84" i="16"/>
  <c r="F84" i="16"/>
  <c r="G84" i="16" s="1"/>
  <c r="D84" i="16"/>
  <c r="E84" i="16"/>
  <c r="B84" i="16"/>
  <c r="C84" i="16"/>
  <c r="AA374" i="16" s="1"/>
  <c r="Z374" i="16"/>
  <c r="R83" i="16"/>
  <c r="S83" i="16" s="1"/>
  <c r="P83" i="16"/>
  <c r="Q83" i="16"/>
  <c r="N83" i="16"/>
  <c r="O83" i="16" s="1"/>
  <c r="L83" i="16"/>
  <c r="M83" i="16" s="1"/>
  <c r="J83" i="16"/>
  <c r="K83" i="16" s="1"/>
  <c r="H83" i="16"/>
  <c r="I83" i="16"/>
  <c r="F83" i="16"/>
  <c r="G83" i="16"/>
  <c r="D83" i="16"/>
  <c r="E83" i="16"/>
  <c r="B83" i="16"/>
  <c r="C83" i="16" s="1"/>
  <c r="AA373" i="16" s="1"/>
  <c r="Z373" i="16"/>
  <c r="R82" i="16"/>
  <c r="S82" i="16" s="1"/>
  <c r="P82" i="16"/>
  <c r="Q82" i="16"/>
  <c r="N82" i="16"/>
  <c r="O82" i="16" s="1"/>
  <c r="L82" i="16"/>
  <c r="M82" i="16"/>
  <c r="J82" i="16"/>
  <c r="K82" i="16"/>
  <c r="H82" i="16"/>
  <c r="I82" i="16"/>
  <c r="F82" i="16"/>
  <c r="G82" i="16" s="1"/>
  <c r="D82" i="16"/>
  <c r="E82" i="16"/>
  <c r="B82" i="16"/>
  <c r="C82" i="16"/>
  <c r="AA372" i="16"/>
  <c r="Z372" i="16"/>
  <c r="P81" i="16"/>
  <c r="Q81" i="16" s="1"/>
  <c r="N81" i="16"/>
  <c r="O81" i="16"/>
  <c r="L81" i="16"/>
  <c r="M81" i="16" s="1"/>
  <c r="J81" i="16"/>
  <c r="K81" i="16"/>
  <c r="H81" i="16"/>
  <c r="I81" i="16" s="1"/>
  <c r="F81" i="16"/>
  <c r="G81" i="16"/>
  <c r="D81" i="16"/>
  <c r="E81" i="16"/>
  <c r="B81" i="16"/>
  <c r="Z371" i="16" s="1"/>
  <c r="C81" i="16"/>
  <c r="AA371" i="16" s="1"/>
  <c r="P80" i="16"/>
  <c r="Q80" i="16"/>
  <c r="N80" i="16"/>
  <c r="O80" i="16"/>
  <c r="L80" i="16"/>
  <c r="M80" i="16"/>
  <c r="J80" i="16"/>
  <c r="K80" i="16" s="1"/>
  <c r="H80" i="16"/>
  <c r="I80" i="16"/>
  <c r="F80" i="16"/>
  <c r="G80" i="16" s="1"/>
  <c r="D80" i="16"/>
  <c r="E80" i="16" s="1"/>
  <c r="B80" i="16"/>
  <c r="C80" i="16" s="1"/>
  <c r="AA370" i="16" s="1"/>
  <c r="Z370" i="16"/>
  <c r="P79" i="16"/>
  <c r="Q79" i="16"/>
  <c r="N79" i="16"/>
  <c r="O79" i="16" s="1"/>
  <c r="L79" i="16"/>
  <c r="M79" i="16" s="1"/>
  <c r="J79" i="16"/>
  <c r="K79" i="16"/>
  <c r="H79" i="16"/>
  <c r="I79" i="16"/>
  <c r="F79" i="16"/>
  <c r="G79" i="16"/>
  <c r="D79" i="16"/>
  <c r="E79" i="16" s="1"/>
  <c r="B79" i="16"/>
  <c r="C79" i="16"/>
  <c r="AA369" i="16"/>
  <c r="Z369" i="16"/>
  <c r="P78" i="16"/>
  <c r="Q78" i="16"/>
  <c r="N78" i="16"/>
  <c r="O78" i="16" s="1"/>
  <c r="L78" i="16"/>
  <c r="M78" i="16"/>
  <c r="J78" i="16"/>
  <c r="K78" i="16"/>
  <c r="H78" i="16"/>
  <c r="I78" i="16"/>
  <c r="F78" i="16"/>
  <c r="G78" i="16" s="1"/>
  <c r="D78" i="16"/>
  <c r="E78" i="16"/>
  <c r="B78" i="16"/>
  <c r="P77" i="16"/>
  <c r="Q77" i="16" s="1"/>
  <c r="N77" i="16"/>
  <c r="O77" i="16"/>
  <c r="L77" i="16"/>
  <c r="M77" i="16"/>
  <c r="J77" i="16"/>
  <c r="K77" i="16"/>
  <c r="H77" i="16"/>
  <c r="I77" i="16" s="1"/>
  <c r="F77" i="16"/>
  <c r="G77" i="16"/>
  <c r="D77" i="16"/>
  <c r="E77" i="16" s="1"/>
  <c r="B77" i="16"/>
  <c r="P76" i="16"/>
  <c r="Q76" i="16"/>
  <c r="N76" i="16"/>
  <c r="O76" i="16" s="1"/>
  <c r="L76" i="16"/>
  <c r="M76" i="16" s="1"/>
  <c r="J76" i="16"/>
  <c r="K76" i="16" s="1"/>
  <c r="H76" i="16"/>
  <c r="I76" i="16"/>
  <c r="F76" i="16"/>
  <c r="G76" i="16"/>
  <c r="D76" i="16"/>
  <c r="E76" i="16" s="1"/>
  <c r="B76" i="16"/>
  <c r="C76" i="16" s="1"/>
  <c r="AA366" i="16" s="1"/>
  <c r="Z366" i="16"/>
  <c r="P75" i="16"/>
  <c r="Q75" i="16"/>
  <c r="N75" i="16"/>
  <c r="O75" i="16"/>
  <c r="L75" i="16"/>
  <c r="M75" i="16" s="1"/>
  <c r="J75" i="16"/>
  <c r="K75" i="16"/>
  <c r="H75" i="16"/>
  <c r="I75" i="16" s="1"/>
  <c r="F75" i="16"/>
  <c r="G75" i="16" s="1"/>
  <c r="D75" i="16"/>
  <c r="E75" i="16" s="1"/>
  <c r="B75" i="16"/>
  <c r="C75" i="16"/>
  <c r="AA365" i="16"/>
  <c r="Z365" i="16"/>
  <c r="P74" i="16"/>
  <c r="Q74" i="16"/>
  <c r="N74" i="16"/>
  <c r="O74" i="16" s="1"/>
  <c r="L74" i="16"/>
  <c r="M74" i="16"/>
  <c r="J74" i="16"/>
  <c r="K74" i="16"/>
  <c r="H74" i="16"/>
  <c r="I74" i="16" s="1"/>
  <c r="F74" i="16"/>
  <c r="G74" i="16" s="1"/>
  <c r="D74" i="16"/>
  <c r="E74" i="16"/>
  <c r="B74" i="16"/>
  <c r="C74" i="16"/>
  <c r="AA364" i="16" s="1"/>
  <c r="Z364" i="16"/>
  <c r="P73" i="16"/>
  <c r="Q73" i="16" s="1"/>
  <c r="N73" i="16"/>
  <c r="O73" i="16"/>
  <c r="L73" i="16"/>
  <c r="M73" i="16"/>
  <c r="J73" i="16"/>
  <c r="K73" i="16" s="1"/>
  <c r="H73" i="16"/>
  <c r="I73" i="16" s="1"/>
  <c r="F73" i="16"/>
  <c r="G73" i="16"/>
  <c r="D73" i="16"/>
  <c r="E73" i="16"/>
  <c r="B73" i="16"/>
  <c r="Z363" i="16" s="1"/>
  <c r="C73" i="16"/>
  <c r="AA363" i="16" s="1"/>
  <c r="P72" i="16"/>
  <c r="Q72" i="16"/>
  <c r="N72" i="16"/>
  <c r="O72" i="16"/>
  <c r="L72" i="16"/>
  <c r="M72" i="16"/>
  <c r="J72" i="16"/>
  <c r="K72" i="16" s="1"/>
  <c r="H72" i="16"/>
  <c r="I72" i="16"/>
  <c r="F72" i="16"/>
  <c r="G72" i="16" s="1"/>
  <c r="D72" i="16"/>
  <c r="E72" i="16" s="1"/>
  <c r="B72" i="16"/>
  <c r="C72" i="16" s="1"/>
  <c r="AA362" i="16" s="1"/>
  <c r="Z362" i="16"/>
  <c r="N71" i="16"/>
  <c r="O71" i="16"/>
  <c r="L71" i="16"/>
  <c r="M71" i="16" s="1"/>
  <c r="J71" i="16"/>
  <c r="K71" i="16" s="1"/>
  <c r="H71" i="16"/>
  <c r="I71" i="16"/>
  <c r="F71" i="16"/>
  <c r="G71" i="16" s="1"/>
  <c r="D71" i="16"/>
  <c r="E71" i="16"/>
  <c r="B71" i="16"/>
  <c r="C71" i="16" s="1"/>
  <c r="AA361" i="16" s="1"/>
  <c r="Z361" i="16"/>
  <c r="N70" i="16"/>
  <c r="O70" i="16"/>
  <c r="L70" i="16"/>
  <c r="M70" i="16" s="1"/>
  <c r="J70" i="16"/>
  <c r="K70" i="16" s="1"/>
  <c r="H70" i="16"/>
  <c r="I70" i="16"/>
  <c r="F70" i="16"/>
  <c r="G70" i="16" s="1"/>
  <c r="D70" i="16"/>
  <c r="E70" i="16" s="1"/>
  <c r="B70" i="16"/>
  <c r="C70" i="16" s="1"/>
  <c r="AA360" i="16" s="1"/>
  <c r="Z360" i="16"/>
  <c r="N69" i="16"/>
  <c r="O69" i="16" s="1"/>
  <c r="L69" i="16"/>
  <c r="M69" i="16" s="1"/>
  <c r="J69" i="16"/>
  <c r="K69" i="16" s="1"/>
  <c r="H69" i="16"/>
  <c r="I69" i="16"/>
  <c r="F69" i="16"/>
  <c r="G69" i="16" s="1"/>
  <c r="D69" i="16"/>
  <c r="E69" i="16"/>
  <c r="B69" i="16"/>
  <c r="C69" i="16" s="1"/>
  <c r="AA359" i="16" s="1"/>
  <c r="Z359" i="16"/>
  <c r="N68" i="16"/>
  <c r="O68" i="16" s="1"/>
  <c r="L68" i="16"/>
  <c r="M68" i="16" s="1"/>
  <c r="J68" i="16"/>
  <c r="K68" i="16" s="1"/>
  <c r="H68" i="16"/>
  <c r="I68" i="16"/>
  <c r="F68" i="16"/>
  <c r="G68" i="16"/>
  <c r="D68" i="16"/>
  <c r="E68" i="16" s="1"/>
  <c r="B68" i="16"/>
  <c r="C68" i="16" s="1"/>
  <c r="AA358" i="16" s="1"/>
  <c r="Z358" i="16"/>
  <c r="N67" i="16"/>
  <c r="O67" i="16" s="1"/>
  <c r="L67" i="16"/>
  <c r="M67" i="16"/>
  <c r="J67" i="16"/>
  <c r="K67" i="16" s="1"/>
  <c r="H67" i="16"/>
  <c r="I67" i="16"/>
  <c r="F67" i="16"/>
  <c r="G67" i="16"/>
  <c r="D67" i="16"/>
  <c r="E67" i="16"/>
  <c r="B67" i="16"/>
  <c r="C67" i="16" s="1"/>
  <c r="AA357" i="16" s="1"/>
  <c r="Z357" i="16"/>
  <c r="N66" i="16"/>
  <c r="O66" i="16" s="1"/>
  <c r="L66" i="16"/>
  <c r="M66" i="16"/>
  <c r="J66" i="16"/>
  <c r="K66" i="16" s="1"/>
  <c r="H66" i="16"/>
  <c r="I66" i="16"/>
  <c r="F66" i="16"/>
  <c r="G66" i="16"/>
  <c r="D66" i="16"/>
  <c r="E66" i="16" s="1"/>
  <c r="B66" i="16"/>
  <c r="C66" i="16" s="1"/>
  <c r="AA356" i="16" s="1"/>
  <c r="Z356" i="16"/>
  <c r="N65" i="16"/>
  <c r="O65" i="16"/>
  <c r="L65" i="16"/>
  <c r="M65" i="16"/>
  <c r="J65" i="16"/>
  <c r="K65" i="16" s="1"/>
  <c r="H65" i="16"/>
  <c r="I65" i="16"/>
  <c r="F65" i="16"/>
  <c r="G65" i="16"/>
  <c r="D65" i="16"/>
  <c r="E65" i="16"/>
  <c r="B65" i="16"/>
  <c r="C65" i="16" s="1"/>
  <c r="AA355" i="16" s="1"/>
  <c r="Z355" i="16"/>
  <c r="AU64" i="16"/>
  <c r="N64" i="16"/>
  <c r="O64" i="16" s="1"/>
  <c r="L64" i="16"/>
  <c r="M64" i="16" s="1"/>
  <c r="J64" i="16"/>
  <c r="K64" i="16"/>
  <c r="H64" i="16"/>
  <c r="I64" i="16"/>
  <c r="F64" i="16"/>
  <c r="G64" i="16"/>
  <c r="D64" i="16"/>
  <c r="E64" i="16" s="1"/>
  <c r="B64" i="16"/>
  <c r="Z354" i="16"/>
  <c r="N63" i="16"/>
  <c r="O63" i="16"/>
  <c r="L63" i="16"/>
  <c r="M63" i="16" s="1"/>
  <c r="J63" i="16"/>
  <c r="K63" i="16" s="1"/>
  <c r="H63" i="16"/>
  <c r="I63" i="16"/>
  <c r="F63" i="16"/>
  <c r="G63" i="16"/>
  <c r="D63" i="16"/>
  <c r="E63" i="16"/>
  <c r="B63" i="16"/>
  <c r="N62" i="16"/>
  <c r="O62" i="16"/>
  <c r="L62" i="16"/>
  <c r="M62" i="16" s="1"/>
  <c r="J62" i="16"/>
  <c r="K62" i="16"/>
  <c r="H62" i="16"/>
  <c r="I62" i="16" s="1"/>
  <c r="F62" i="16"/>
  <c r="G62" i="16"/>
  <c r="D62" i="16"/>
  <c r="E62" i="16"/>
  <c r="B62" i="16"/>
  <c r="C62" i="16" s="1"/>
  <c r="AA352" i="16" s="1"/>
  <c r="Z352" i="16"/>
  <c r="L61" i="16"/>
  <c r="M61" i="16" s="1"/>
  <c r="J61" i="16"/>
  <c r="K61" i="16"/>
  <c r="H61" i="16"/>
  <c r="I61" i="16" s="1"/>
  <c r="F61" i="16"/>
  <c r="G61" i="16" s="1"/>
  <c r="D61" i="16"/>
  <c r="E61" i="16" s="1"/>
  <c r="B61" i="16"/>
  <c r="Z351" i="16"/>
  <c r="L60" i="16"/>
  <c r="M60" i="16"/>
  <c r="J60" i="16"/>
  <c r="K60" i="16"/>
  <c r="H60" i="16"/>
  <c r="I60" i="16" s="1"/>
  <c r="F60" i="16"/>
  <c r="G60" i="16"/>
  <c r="D60" i="16"/>
  <c r="E60" i="16" s="1"/>
  <c r="B60" i="16"/>
  <c r="Z350" i="16" s="1"/>
  <c r="L59" i="16"/>
  <c r="M59" i="16" s="1"/>
  <c r="J59" i="16"/>
  <c r="K59" i="16"/>
  <c r="H59" i="16"/>
  <c r="I59" i="16" s="1"/>
  <c r="F59" i="16"/>
  <c r="G59" i="16"/>
  <c r="D59" i="16"/>
  <c r="E59" i="16" s="1"/>
  <c r="B59" i="16"/>
  <c r="Z349" i="16"/>
  <c r="L58" i="16"/>
  <c r="M58" i="16" s="1"/>
  <c r="J58" i="16"/>
  <c r="K58" i="16" s="1"/>
  <c r="H58" i="16"/>
  <c r="I58" i="16" s="1"/>
  <c r="F58" i="16"/>
  <c r="G58" i="16"/>
  <c r="D58" i="16"/>
  <c r="E58" i="16" s="1"/>
  <c r="B58" i="16"/>
  <c r="L57" i="16"/>
  <c r="M57" i="16" s="1"/>
  <c r="J57" i="16"/>
  <c r="K57" i="16"/>
  <c r="H57" i="16"/>
  <c r="I57" i="16"/>
  <c r="F57" i="16"/>
  <c r="G57" i="16" s="1"/>
  <c r="D57" i="16"/>
  <c r="E57" i="16" s="1"/>
  <c r="B57" i="16"/>
  <c r="Z347" i="16"/>
  <c r="L56" i="16"/>
  <c r="M56" i="16"/>
  <c r="J56" i="16"/>
  <c r="K56" i="16"/>
  <c r="H56" i="16"/>
  <c r="I56" i="16" s="1"/>
  <c r="F56" i="16"/>
  <c r="G56" i="16"/>
  <c r="D56" i="16"/>
  <c r="E56" i="16" s="1"/>
  <c r="B56" i="16"/>
  <c r="L55" i="16"/>
  <c r="M55" i="16" s="1"/>
  <c r="J55" i="16"/>
  <c r="K55" i="16"/>
  <c r="H55" i="16"/>
  <c r="I55" i="16"/>
  <c r="F55" i="16"/>
  <c r="G55" i="16"/>
  <c r="D55" i="16"/>
  <c r="E55" i="16" s="1"/>
  <c r="B55" i="16"/>
  <c r="Z345" i="16"/>
  <c r="L54" i="16"/>
  <c r="M54" i="16" s="1"/>
  <c r="J54" i="16"/>
  <c r="K54" i="16" s="1"/>
  <c r="H54" i="16"/>
  <c r="I54" i="16" s="1"/>
  <c r="F54" i="16"/>
  <c r="G54" i="16"/>
  <c r="D54" i="16"/>
  <c r="E54" i="16"/>
  <c r="B54" i="16"/>
  <c r="C54" i="16" s="1"/>
  <c r="AA344" i="16" s="1"/>
  <c r="Z344" i="16"/>
  <c r="L53" i="16"/>
  <c r="M53" i="16" s="1"/>
  <c r="J53" i="16"/>
  <c r="K53" i="16"/>
  <c r="H53" i="16"/>
  <c r="I53" i="16" s="1"/>
  <c r="F53" i="16"/>
  <c r="G53" i="16" s="1"/>
  <c r="D53" i="16"/>
  <c r="E53" i="16" s="1"/>
  <c r="B53" i="16"/>
  <c r="Z343" i="16"/>
  <c r="L52" i="16"/>
  <c r="M52" i="16"/>
  <c r="J52" i="16"/>
  <c r="K52" i="16" s="1"/>
  <c r="H52" i="16"/>
  <c r="I52" i="16" s="1"/>
  <c r="F52" i="16"/>
  <c r="G52" i="16" s="1"/>
  <c r="D52" i="16"/>
  <c r="E52" i="16"/>
  <c r="B52" i="16"/>
  <c r="Z342" i="16" s="1"/>
  <c r="C52" i="16"/>
  <c r="AA342" i="16"/>
  <c r="AE51" i="16"/>
  <c r="J51" i="16"/>
  <c r="K51" i="16"/>
  <c r="H51" i="16"/>
  <c r="I51" i="16"/>
  <c r="F51" i="16"/>
  <c r="G51" i="16"/>
  <c r="D51" i="16"/>
  <c r="E51" i="16"/>
  <c r="B51" i="16"/>
  <c r="Z341" i="16"/>
  <c r="J50" i="16"/>
  <c r="K50" i="16"/>
  <c r="H50" i="16"/>
  <c r="I50" i="16"/>
  <c r="F50" i="16"/>
  <c r="G50" i="16"/>
  <c r="D50" i="16"/>
  <c r="E50" i="16"/>
  <c r="B50" i="16"/>
  <c r="Z340" i="16"/>
  <c r="J49" i="16"/>
  <c r="K49" i="16"/>
  <c r="H49" i="16"/>
  <c r="I49" i="16"/>
  <c r="F49" i="16"/>
  <c r="G49" i="16"/>
  <c r="D49" i="16"/>
  <c r="E49" i="16"/>
  <c r="B49" i="16"/>
  <c r="Z339" i="16" s="1"/>
  <c r="C49" i="16"/>
  <c r="AA339" i="16" s="1"/>
  <c r="AE48" i="16"/>
  <c r="AG48" i="16"/>
  <c r="J48" i="16"/>
  <c r="K48" i="16" s="1"/>
  <c r="H48" i="16"/>
  <c r="I48" i="16" s="1"/>
  <c r="F48" i="16"/>
  <c r="G48" i="16"/>
  <c r="D48" i="16"/>
  <c r="E48" i="16"/>
  <c r="B48" i="16"/>
  <c r="Z338" i="16" s="1"/>
  <c r="C48" i="16"/>
  <c r="AA338" i="16" s="1"/>
  <c r="J47" i="16"/>
  <c r="K47" i="16"/>
  <c r="H47" i="16"/>
  <c r="I47" i="16" s="1"/>
  <c r="F47" i="16"/>
  <c r="G47" i="16" s="1"/>
  <c r="D47" i="16"/>
  <c r="E47" i="16" s="1"/>
  <c r="B47" i="16"/>
  <c r="C47" i="16"/>
  <c r="AA337" i="16"/>
  <c r="Z337" i="16"/>
  <c r="J46" i="16"/>
  <c r="K46" i="16" s="1"/>
  <c r="H46" i="16"/>
  <c r="I46" i="16" s="1"/>
  <c r="F46" i="16"/>
  <c r="G46" i="16" s="1"/>
  <c r="D46" i="16"/>
  <c r="E46" i="16"/>
  <c r="B46" i="16"/>
  <c r="J45" i="16"/>
  <c r="K45" i="16" s="1"/>
  <c r="H45" i="16"/>
  <c r="I45" i="16"/>
  <c r="F45" i="16"/>
  <c r="G45" i="16"/>
  <c r="D45" i="16"/>
  <c r="E45" i="16" s="1"/>
  <c r="B45" i="16"/>
  <c r="C45" i="16" s="1"/>
  <c r="AA335" i="16"/>
  <c r="Z335" i="16"/>
  <c r="J44" i="16"/>
  <c r="K44" i="16"/>
  <c r="H44" i="16"/>
  <c r="I44" i="16" s="1"/>
  <c r="F44" i="16"/>
  <c r="G44" i="16" s="1"/>
  <c r="D44" i="16"/>
  <c r="E44" i="16" s="1"/>
  <c r="B44" i="16"/>
  <c r="J43" i="16"/>
  <c r="K43" i="16" s="1"/>
  <c r="H43" i="16"/>
  <c r="I43" i="16"/>
  <c r="F43" i="16"/>
  <c r="G43" i="16"/>
  <c r="D43" i="16"/>
  <c r="E43" i="16" s="1"/>
  <c r="B43" i="16"/>
  <c r="C43" i="16" s="1"/>
  <c r="AA333" i="16" s="1"/>
  <c r="Z333" i="16"/>
  <c r="J42" i="16"/>
  <c r="K42" i="16"/>
  <c r="H42" i="16"/>
  <c r="I42" i="16" s="1"/>
  <c r="F42" i="16"/>
  <c r="G42" i="16" s="1"/>
  <c r="D42" i="16"/>
  <c r="E42" i="16" s="1"/>
  <c r="B42" i="16"/>
  <c r="Z332" i="16" s="1"/>
  <c r="C42" i="16"/>
  <c r="AA332" i="16" s="1"/>
  <c r="H41" i="16"/>
  <c r="I41" i="16" s="1"/>
  <c r="F41" i="16"/>
  <c r="G41" i="16"/>
  <c r="D41" i="16"/>
  <c r="E41" i="16"/>
  <c r="B41" i="16"/>
  <c r="H40" i="16"/>
  <c r="I40" i="16" s="1"/>
  <c r="F40" i="16"/>
  <c r="G40" i="16" s="1"/>
  <c r="D40" i="16"/>
  <c r="E40" i="16" s="1"/>
  <c r="B40" i="16"/>
  <c r="C40" i="16" s="1"/>
  <c r="AA330" i="16" s="1"/>
  <c r="Z330" i="16"/>
  <c r="H39" i="16"/>
  <c r="I39" i="16" s="1"/>
  <c r="F39" i="16"/>
  <c r="G39" i="16" s="1"/>
  <c r="D39" i="16"/>
  <c r="E39" i="16" s="1"/>
  <c r="B39" i="16"/>
  <c r="Z329" i="16" s="1"/>
  <c r="C39" i="16"/>
  <c r="AA329" i="16"/>
  <c r="H38" i="16"/>
  <c r="I38" i="16" s="1"/>
  <c r="F38" i="16"/>
  <c r="G38" i="16" s="1"/>
  <c r="D38" i="16"/>
  <c r="E38" i="16"/>
  <c r="B38" i="16"/>
  <c r="Z328" i="16" s="1"/>
  <c r="H37" i="16"/>
  <c r="I37" i="16" s="1"/>
  <c r="F37" i="16"/>
  <c r="G37" i="16" s="1"/>
  <c r="D37" i="16"/>
  <c r="E37" i="16" s="1"/>
  <c r="B37" i="16"/>
  <c r="H36" i="16"/>
  <c r="I36" i="16" s="1"/>
  <c r="F36" i="16"/>
  <c r="G36" i="16"/>
  <c r="D36" i="16"/>
  <c r="E36" i="16" s="1"/>
  <c r="B36" i="16"/>
  <c r="C36" i="16" s="1"/>
  <c r="AA326" i="16"/>
  <c r="Z326" i="16"/>
  <c r="H35" i="16"/>
  <c r="I35" i="16" s="1"/>
  <c r="F35" i="16"/>
  <c r="G35" i="16" s="1"/>
  <c r="D35" i="16"/>
  <c r="E35" i="16" s="1"/>
  <c r="B35" i="16"/>
  <c r="C35" i="16"/>
  <c r="AA325" i="16" s="1"/>
  <c r="Z325" i="16"/>
  <c r="H34" i="16"/>
  <c r="I34" i="16" s="1"/>
  <c r="F34" i="16"/>
  <c r="G34" i="16" s="1"/>
  <c r="D34" i="16"/>
  <c r="E34" i="16"/>
  <c r="B34" i="16"/>
  <c r="Z324" i="16" s="1"/>
  <c r="C34" i="16"/>
  <c r="AA324" i="16" s="1"/>
  <c r="H33" i="16"/>
  <c r="I33" i="16" s="1"/>
  <c r="F33" i="16"/>
  <c r="G33" i="16" s="1"/>
  <c r="D33" i="16"/>
  <c r="E33" i="16"/>
  <c r="B33" i="16"/>
  <c r="H32" i="16"/>
  <c r="I32" i="16"/>
  <c r="F32" i="16"/>
  <c r="G32" i="16" s="1"/>
  <c r="D32" i="16"/>
  <c r="E32" i="16" s="1"/>
  <c r="B32" i="16"/>
  <c r="C32" i="16" s="1"/>
  <c r="AA322" i="16"/>
  <c r="Z322" i="16"/>
  <c r="F31" i="16"/>
  <c r="G31" i="16" s="1"/>
  <c r="D31" i="16"/>
  <c r="E31" i="16" s="1"/>
  <c r="B31" i="16"/>
  <c r="C31" i="16" s="1"/>
  <c r="AA321" i="16" s="1"/>
  <c r="Z321" i="16"/>
  <c r="F30" i="16"/>
  <c r="G30" i="16" s="1"/>
  <c r="D30" i="16"/>
  <c r="E30" i="16" s="1"/>
  <c r="B30" i="16"/>
  <c r="C30" i="16" s="1"/>
  <c r="AA320" i="16"/>
  <c r="Z320" i="16"/>
  <c r="F29" i="16"/>
  <c r="G29" i="16" s="1"/>
  <c r="D29" i="16"/>
  <c r="E29" i="16" s="1"/>
  <c r="B29" i="16"/>
  <c r="C29" i="16" s="1"/>
  <c r="AA319" i="16"/>
  <c r="Z319" i="16"/>
  <c r="F28" i="16"/>
  <c r="G28" i="16"/>
  <c r="D28" i="16"/>
  <c r="E28" i="16" s="1"/>
  <c r="B28" i="16"/>
  <c r="C28" i="16" s="1"/>
  <c r="AA318" i="16"/>
  <c r="Z318" i="16"/>
  <c r="F27" i="16"/>
  <c r="G27" i="16"/>
  <c r="D27" i="16"/>
  <c r="E27" i="16" s="1"/>
  <c r="B27" i="16"/>
  <c r="C27" i="16" s="1"/>
  <c r="AA317" i="16" s="1"/>
  <c r="Z317" i="16"/>
  <c r="F26" i="16"/>
  <c r="G26" i="16" s="1"/>
  <c r="D26" i="16"/>
  <c r="E26" i="16" s="1"/>
  <c r="B26" i="16"/>
  <c r="C26" i="16" s="1"/>
  <c r="AA316" i="16"/>
  <c r="Z316" i="16"/>
  <c r="F25" i="16"/>
  <c r="G25" i="16" s="1"/>
  <c r="D25" i="16"/>
  <c r="E25" i="16" s="1"/>
  <c r="B25" i="16"/>
  <c r="C25" i="16" s="1"/>
  <c r="AA315" i="16"/>
  <c r="Z315" i="16"/>
  <c r="F24" i="16"/>
  <c r="G24" i="16"/>
  <c r="D24" i="16"/>
  <c r="E24" i="16" s="1"/>
  <c r="B24" i="16"/>
  <c r="C24" i="16" s="1"/>
  <c r="AA314" i="16"/>
  <c r="Z314" i="16"/>
  <c r="F23" i="16"/>
  <c r="G23" i="16"/>
  <c r="D23" i="16"/>
  <c r="E23" i="16" s="1"/>
  <c r="B23" i="16"/>
  <c r="C23" i="16" s="1"/>
  <c r="AA313" i="16"/>
  <c r="Z313" i="16"/>
  <c r="F22" i="16"/>
  <c r="G22" i="16" s="1"/>
  <c r="D22" i="16"/>
  <c r="E22" i="16" s="1"/>
  <c r="B22" i="16"/>
  <c r="C22" i="16" s="1"/>
  <c r="AA312" i="16"/>
  <c r="Z312" i="16"/>
  <c r="D21" i="16"/>
  <c r="E21" i="16" s="1"/>
  <c r="B21" i="16"/>
  <c r="D20" i="16"/>
  <c r="E20" i="16"/>
  <c r="B20" i="16"/>
  <c r="Z310" i="16" s="1"/>
  <c r="D19" i="16"/>
  <c r="E19" i="16" s="1"/>
  <c r="B19" i="16"/>
  <c r="C19" i="16"/>
  <c r="AA309" i="16" s="1"/>
  <c r="Z309" i="16"/>
  <c r="D18" i="16"/>
  <c r="E18" i="16" s="1"/>
  <c r="B18" i="16"/>
  <c r="C18" i="16" s="1"/>
  <c r="AA308" i="16" s="1"/>
  <c r="Z308" i="16"/>
  <c r="D17" i="16"/>
  <c r="E17" i="16"/>
  <c r="B17" i="16"/>
  <c r="D16" i="16"/>
  <c r="E16" i="16"/>
  <c r="B16" i="16"/>
  <c r="Z306" i="16" s="1"/>
  <c r="D15" i="16"/>
  <c r="E15" i="16" s="1"/>
  <c r="B15" i="16"/>
  <c r="C15" i="16" s="1"/>
  <c r="AA305" i="16"/>
  <c r="Z305" i="16"/>
  <c r="D14" i="16"/>
  <c r="E14" i="16" s="1"/>
  <c r="B14" i="16"/>
  <c r="C14" i="16" s="1"/>
  <c r="AA304" i="16" s="1"/>
  <c r="Z304" i="16"/>
  <c r="D13" i="16"/>
  <c r="E13" i="16" s="1"/>
  <c r="B13" i="16"/>
  <c r="BE12" i="16"/>
  <c r="BF12" i="16"/>
  <c r="D12" i="16"/>
  <c r="E12" i="16" s="1"/>
  <c r="B12" i="16"/>
  <c r="BE11" i="16"/>
  <c r="BF11" i="16" s="1"/>
  <c r="B11" i="16"/>
  <c r="Z301" i="16" s="1"/>
  <c r="C11" i="16"/>
  <c r="AA301" i="16"/>
  <c r="BE10" i="16"/>
  <c r="BF10" i="16" s="1"/>
  <c r="B10" i="16"/>
  <c r="BE9" i="16"/>
  <c r="BF9" i="16" s="1"/>
  <c r="B9" i="16"/>
  <c r="C9" i="16" s="1"/>
  <c r="AA299" i="16"/>
  <c r="Z299" i="16"/>
  <c r="BE8" i="16"/>
  <c r="BF8" i="16" s="1"/>
  <c r="B8" i="16"/>
  <c r="BE7" i="16"/>
  <c r="BF7" i="16"/>
  <c r="B7" i="16"/>
  <c r="Z297" i="16" s="1"/>
  <c r="BE6" i="16"/>
  <c r="BF6" i="16" s="1"/>
  <c r="B6" i="16"/>
  <c r="C6" i="16"/>
  <c r="AA296" i="16" s="1"/>
  <c r="Z296" i="16"/>
  <c r="BE5" i="16"/>
  <c r="BF5" i="16" s="1"/>
  <c r="B5" i="16"/>
  <c r="C5" i="16" s="1"/>
  <c r="AA295" i="16" s="1"/>
  <c r="Z295" i="16"/>
  <c r="BE4" i="16"/>
  <c r="BF4" i="16"/>
  <c r="B4" i="16"/>
  <c r="BE3" i="16"/>
  <c r="BF3" i="16"/>
  <c r="B3" i="16"/>
  <c r="Z293" i="16" s="1"/>
  <c r="BE2" i="16"/>
  <c r="BF2" i="16" s="1"/>
  <c r="B2" i="16"/>
  <c r="C2" i="16" s="1"/>
  <c r="AA292" i="16"/>
  <c r="Z292" i="16"/>
  <c r="N46" i="14"/>
  <c r="M46" i="14"/>
  <c r="BU46" i="14"/>
  <c r="BT46" i="14"/>
  <c r="EB46" i="14"/>
  <c r="EA46" i="14"/>
  <c r="GI46" i="14"/>
  <c r="GH46" i="14"/>
  <c r="IP46" i="14"/>
  <c r="IO46" i="14"/>
  <c r="KW46" i="14"/>
  <c r="KV46" i="14"/>
  <c r="KW15" i="14"/>
  <c r="KV15" i="14"/>
  <c r="IP15" i="14"/>
  <c r="IO15" i="14"/>
  <c r="GI15" i="14"/>
  <c r="GH15" i="14"/>
  <c r="EB15" i="14"/>
  <c r="EA15" i="14"/>
  <c r="BU15" i="14"/>
  <c r="BT15" i="14"/>
  <c r="N15" i="14"/>
  <c r="M15" i="14"/>
  <c r="AF49" i="16"/>
  <c r="I528" i="10"/>
  <c r="U528" i="10"/>
  <c r="AG528" i="10"/>
  <c r="AA529" i="10"/>
  <c r="O508" i="10"/>
  <c r="O509" i="10" s="1"/>
  <c r="O510" i="10" s="1"/>
  <c r="O511" i="10" s="1"/>
  <c r="O512" i="10" s="1"/>
  <c r="O513" i="10" s="1"/>
  <c r="O514" i="10" s="1"/>
  <c r="AM508" i="10"/>
  <c r="AM509" i="10" s="1"/>
  <c r="AM510" i="10" s="1"/>
  <c r="AM511" i="10" s="1"/>
  <c r="AM512" i="10" s="1"/>
  <c r="AM513" i="10" s="1"/>
  <c r="AM514" i="10" s="1"/>
  <c r="AM515" i="10" s="1"/>
  <c r="AM516" i="10" s="1"/>
  <c r="AN516" i="10" s="1"/>
  <c r="AO516" i="10" s="1"/>
  <c r="O529" i="10"/>
  <c r="O530" i="10" s="1"/>
  <c r="AF48" i="16"/>
  <c r="AG49" i="16"/>
  <c r="AK49" i="16" s="1"/>
  <c r="AM49" i="16" s="1"/>
  <c r="Z433" i="16"/>
  <c r="C143" i="16"/>
  <c r="AA433" i="16" s="1"/>
  <c r="O193" i="16"/>
  <c r="C111" i="16"/>
  <c r="AA401" i="16" s="1"/>
  <c r="C118" i="16"/>
  <c r="AA408" i="16" s="1"/>
  <c r="C120" i="16"/>
  <c r="AA410" i="16"/>
  <c r="C121" i="16"/>
  <c r="AA411" i="16" s="1"/>
  <c r="C122" i="16"/>
  <c r="AA412" i="16" s="1"/>
  <c r="C124" i="16"/>
  <c r="AA414" i="16"/>
  <c r="C127" i="16"/>
  <c r="AA417" i="16" s="1"/>
  <c r="C132" i="16"/>
  <c r="AA422" i="16"/>
  <c r="C133" i="16"/>
  <c r="AA423" i="16" s="1"/>
  <c r="C134" i="16"/>
  <c r="AA424" i="16" s="1"/>
  <c r="C135" i="16"/>
  <c r="AA425" i="16"/>
  <c r="C136" i="16"/>
  <c r="AA426" i="16"/>
  <c r="AF331" i="16"/>
  <c r="AF330" i="16"/>
  <c r="AF328" i="16"/>
  <c r="AF326" i="16"/>
  <c r="AF324" i="16"/>
  <c r="AF322" i="16"/>
  <c r="AF320" i="16"/>
  <c r="AF318" i="16"/>
  <c r="AF329" i="16"/>
  <c r="AF325" i="16"/>
  <c r="AF321" i="16"/>
  <c r="AF317" i="16"/>
  <c r="AF315" i="16"/>
  <c r="AE52" i="16"/>
  <c r="AJ328" i="16" s="1"/>
  <c r="AJ313" i="16"/>
  <c r="AF313" i="16"/>
  <c r="AF327" i="16"/>
  <c r="AF323" i="16"/>
  <c r="AF319" i="16"/>
  <c r="AF316" i="16"/>
  <c r="AJ314" i="16"/>
  <c r="AF314" i="16"/>
  <c r="AI331" i="16"/>
  <c r="AK331" i="16" s="1"/>
  <c r="AI327" i="16"/>
  <c r="AE327" i="16"/>
  <c r="AI325" i="16"/>
  <c r="AE325" i="16"/>
  <c r="AI323" i="16"/>
  <c r="AI319" i="16"/>
  <c r="AE319" i="16"/>
  <c r="AI317" i="16"/>
  <c r="AE317" i="16"/>
  <c r="AG317" i="16" s="1"/>
  <c r="AI330" i="16"/>
  <c r="AI322" i="16"/>
  <c r="AK322" i="16" s="1"/>
  <c r="AE322" i="16"/>
  <c r="AH322" i="16" s="1"/>
  <c r="AI318" i="16"/>
  <c r="AE318" i="16"/>
  <c r="AI316" i="16"/>
  <c r="AI328" i="16"/>
  <c r="AE328" i="16"/>
  <c r="AI324" i="16"/>
  <c r="AE324" i="16"/>
  <c r="AI320" i="16"/>
  <c r="AI313" i="16"/>
  <c r="AE313" i="16"/>
  <c r="Z435" i="16"/>
  <c r="C145" i="16"/>
  <c r="AA435" i="16" s="1"/>
  <c r="Z436" i="16"/>
  <c r="C146" i="16"/>
  <c r="AA436" i="16"/>
  <c r="Z437" i="16"/>
  <c r="C147" i="16"/>
  <c r="AA437" i="16" s="1"/>
  <c r="Z439" i="16"/>
  <c r="C149" i="16"/>
  <c r="AA439" i="16"/>
  <c r="D199" i="16"/>
  <c r="G199" i="16" s="1"/>
  <c r="D190" i="16"/>
  <c r="C50" i="16"/>
  <c r="AA340" i="16" s="1"/>
  <c r="C51" i="16"/>
  <c r="AA341" i="16"/>
  <c r="AG52" i="16"/>
  <c r="C53" i="16"/>
  <c r="AA343" i="16" s="1"/>
  <c r="AG53" i="16"/>
  <c r="C55" i="16"/>
  <c r="AA345" i="16"/>
  <c r="C57" i="16"/>
  <c r="AA347" i="16" s="1"/>
  <c r="C59" i="16"/>
  <c r="AA349" i="16"/>
  <c r="C61" i="16"/>
  <c r="AA351" i="16" s="1"/>
  <c r="C64" i="16"/>
  <c r="AA354" i="16" s="1"/>
  <c r="C86" i="16"/>
  <c r="AA376" i="16" s="1"/>
  <c r="C87" i="16"/>
  <c r="AA377" i="16"/>
  <c r="AA378" i="16"/>
  <c r="C89" i="16"/>
  <c r="AA379" i="16"/>
  <c r="C90" i="16"/>
  <c r="AA380" i="16"/>
  <c r="C91" i="16"/>
  <c r="AA381" i="16"/>
  <c r="C93" i="16"/>
  <c r="AA383" i="16"/>
  <c r="C94" i="16"/>
  <c r="AA384" i="16" s="1"/>
  <c r="C95" i="16"/>
  <c r="AA385" i="16"/>
  <c r="C97" i="16"/>
  <c r="AA387" i="16"/>
  <c r="C98" i="16"/>
  <c r="AA388" i="16" s="1"/>
  <c r="C99" i="16"/>
  <c r="AA389" i="16"/>
  <c r="AD289" i="16"/>
  <c r="AD288" i="16"/>
  <c r="AD287" i="16"/>
  <c r="AD286" i="16"/>
  <c r="AD285" i="16"/>
  <c r="AD284" i="16"/>
  <c r="AD283" i="16"/>
  <c r="AD282" i="16"/>
  <c r="AD281" i="16"/>
  <c r="AD280" i="16"/>
  <c r="AD279" i="16"/>
  <c r="AD278" i="16"/>
  <c r="AD277" i="16"/>
  <c r="AD276" i="16"/>
  <c r="AD275" i="16"/>
  <c r="AD274" i="16"/>
  <c r="AD273" i="16"/>
  <c r="AD272" i="16"/>
  <c r="AD271" i="16"/>
  <c r="AD270" i="16"/>
  <c r="AD269" i="16"/>
  <c r="AD268" i="16"/>
  <c r="AD267" i="16"/>
  <c r="AD266" i="16"/>
  <c r="AD265" i="16"/>
  <c r="AD264" i="16"/>
  <c r="AD263" i="16"/>
  <c r="AD262" i="16"/>
  <c r="AD261" i="16"/>
  <c r="AD260" i="16"/>
  <c r="AD259" i="16"/>
  <c r="AD258" i="16"/>
  <c r="AD257" i="16"/>
  <c r="AD256" i="16"/>
  <c r="AD255" i="16"/>
  <c r="AD254" i="16"/>
  <c r="AD253" i="16"/>
  <c r="AD252" i="16"/>
  <c r="AD251" i="16"/>
  <c r="AD250" i="16"/>
  <c r="AD249" i="16"/>
  <c r="AD248" i="16"/>
  <c r="AD247" i="16"/>
  <c r="AD246" i="16"/>
  <c r="AD245" i="16"/>
  <c r="AD244" i="16"/>
  <c r="AD243" i="16"/>
  <c r="AD242" i="16"/>
  <c r="AD241" i="16"/>
  <c r="AG241" i="16"/>
  <c r="AH237" i="16"/>
  <c r="AI237" i="16" s="1"/>
  <c r="AJ237" i="16"/>
  <c r="O214" i="16"/>
  <c r="S215" i="16"/>
  <c r="AG242" i="16"/>
  <c r="I361" i="16"/>
  <c r="J359" i="16"/>
  <c r="I358" i="16"/>
  <c r="J353" i="16"/>
  <c r="T337" i="16"/>
  <c r="U337" i="16"/>
  <c r="J337" i="16"/>
  <c r="U333" i="16"/>
  <c r="J319" i="16"/>
  <c r="I315" i="16"/>
  <c r="T291" i="16"/>
  <c r="T290" i="16"/>
  <c r="U330" i="16"/>
  <c r="I329" i="16"/>
  <c r="U301" i="16"/>
  <c r="T235" i="16"/>
  <c r="AD234" i="16"/>
  <c r="AD195" i="16"/>
  <c r="AD191" i="16"/>
  <c r="AD196" i="16"/>
  <c r="D220" i="16"/>
  <c r="D218" i="16"/>
  <c r="D216" i="16"/>
  <c r="D214" i="16"/>
  <c r="D212" i="16"/>
  <c r="D210" i="16"/>
  <c r="D221" i="16"/>
  <c r="D219" i="16"/>
  <c r="D217" i="16"/>
  <c r="D215" i="16"/>
  <c r="G215" i="16" s="1"/>
  <c r="D213" i="16"/>
  <c r="D211" i="16"/>
  <c r="D209" i="16"/>
  <c r="D234" i="16"/>
  <c r="AA440" i="16"/>
  <c r="C151" i="16"/>
  <c r="AA441" i="16" s="1"/>
  <c r="C154" i="16"/>
  <c r="AA444" i="16" s="1"/>
  <c r="C155" i="16"/>
  <c r="AA445" i="16" s="1"/>
  <c r="C156" i="16"/>
  <c r="AA446" i="16" s="1"/>
  <c r="C159" i="16"/>
  <c r="AA449" i="16" s="1"/>
  <c r="C160" i="16"/>
  <c r="AA450" i="16" s="1"/>
  <c r="C162" i="16"/>
  <c r="AA452" i="16" s="1"/>
  <c r="C163" i="16"/>
  <c r="AA453" i="16"/>
  <c r="C165" i="16"/>
  <c r="AA455" i="16"/>
  <c r="C166" i="16"/>
  <c r="AA456" i="16"/>
  <c r="C167" i="16"/>
  <c r="AA457" i="16"/>
  <c r="C168" i="16"/>
  <c r="AA458" i="16" s="1"/>
  <c r="C169" i="16"/>
  <c r="AA459" i="16"/>
  <c r="C170" i="16"/>
  <c r="AA460" i="16" s="1"/>
  <c r="C171" i="16"/>
  <c r="AA461" i="16" s="1"/>
  <c r="C172" i="16"/>
  <c r="AA462" i="16" s="1"/>
  <c r="C176" i="16"/>
  <c r="AA466" i="16"/>
  <c r="C177" i="16"/>
  <c r="AA467" i="16" s="1"/>
  <c r="AH177" i="16"/>
  <c r="C180" i="16"/>
  <c r="AA470" i="16"/>
  <c r="C181" i="16"/>
  <c r="AA471" i="16" s="1"/>
  <c r="H195" i="16"/>
  <c r="H215" i="16"/>
  <c r="H235" i="16"/>
  <c r="D256" i="16"/>
  <c r="D255" i="16"/>
  <c r="G255" i="16"/>
  <c r="D254" i="16"/>
  <c r="E254" i="16" s="1"/>
  <c r="H254" i="16" s="1"/>
  <c r="D253" i="16"/>
  <c r="D249" i="16"/>
  <c r="AC244" i="16"/>
  <c r="AC245" i="16" s="1"/>
  <c r="H255" i="16"/>
  <c r="S255" i="16"/>
  <c r="D281" i="16"/>
  <c r="D280" i="16"/>
  <c r="D279" i="16"/>
  <c r="D278" i="16"/>
  <c r="D277" i="16"/>
  <c r="D276" i="16"/>
  <c r="D275" i="16"/>
  <c r="G275" i="16" s="1"/>
  <c r="D274" i="16"/>
  <c r="D273" i="16"/>
  <c r="G273" i="16" s="1"/>
  <c r="D272" i="16"/>
  <c r="D271" i="16"/>
  <c r="D270" i="16"/>
  <c r="D269" i="16"/>
  <c r="O320" i="16"/>
  <c r="O318" i="16"/>
  <c r="P318" i="16" s="1"/>
  <c r="S318" i="16" s="1"/>
  <c r="O321" i="16"/>
  <c r="R321" i="16" s="1"/>
  <c r="O317" i="16"/>
  <c r="P317" i="16" s="1"/>
  <c r="S317" i="16" s="1"/>
  <c r="O315" i="16"/>
  <c r="R315" i="16"/>
  <c r="O313" i="16"/>
  <c r="O311" i="16"/>
  <c r="O309" i="16"/>
  <c r="O319" i="16"/>
  <c r="P319" i="16" s="1"/>
  <c r="S319" i="16" s="1"/>
  <c r="O316" i="16"/>
  <c r="P316" i="16" s="1"/>
  <c r="S316" i="16" s="1"/>
  <c r="O314" i="16"/>
  <c r="R314" i="16" s="1"/>
  <c r="O312" i="16"/>
  <c r="O310" i="16"/>
  <c r="P310" i="16" s="1"/>
  <c r="S310" i="16" s="1"/>
  <c r="S295" i="16"/>
  <c r="O281" i="16"/>
  <c r="O280" i="16"/>
  <c r="O279" i="16"/>
  <c r="O278" i="16"/>
  <c r="R278" i="16" s="1"/>
  <c r="O277" i="16"/>
  <c r="R277" i="16" s="1"/>
  <c r="O276" i="16"/>
  <c r="O275" i="16"/>
  <c r="R275" i="16"/>
  <c r="O274" i="16"/>
  <c r="O273" i="16"/>
  <c r="P273" i="16" s="1"/>
  <c r="S273" i="16" s="1"/>
  <c r="O272" i="16"/>
  <c r="O271" i="16"/>
  <c r="O270" i="16"/>
  <c r="O269" i="16"/>
  <c r="P269" i="16" s="1"/>
  <c r="S269" i="16" s="1"/>
  <c r="O299" i="16"/>
  <c r="O293" i="16"/>
  <c r="O289" i="16"/>
  <c r="O300" i="16"/>
  <c r="O298" i="16"/>
  <c r="O296" i="16"/>
  <c r="P296" i="16" s="1"/>
  <c r="D313" i="16"/>
  <c r="D311" i="16"/>
  <c r="D309" i="16"/>
  <c r="G309" i="16" s="1"/>
  <c r="D314" i="16"/>
  <c r="D312" i="16"/>
  <c r="E312" i="16" s="1"/>
  <c r="H295" i="16"/>
  <c r="D341" i="16"/>
  <c r="D339" i="16"/>
  <c r="E339" i="16" s="1"/>
  <c r="H339" i="16" s="1"/>
  <c r="D337" i="16"/>
  <c r="E337" i="16" s="1"/>
  <c r="H337" i="16" s="1"/>
  <c r="D335" i="16"/>
  <c r="G335" i="16" s="1"/>
  <c r="D333" i="16"/>
  <c r="D331" i="16"/>
  <c r="D340" i="16"/>
  <c r="D338" i="16"/>
  <c r="D336" i="16"/>
  <c r="D334" i="16"/>
  <c r="G334" i="16" s="1"/>
  <c r="D332" i="16"/>
  <c r="E332" i="16" s="1"/>
  <c r="H332" i="16" s="1"/>
  <c r="D330" i="16"/>
  <c r="O333" i="16"/>
  <c r="R333" i="16" s="1"/>
  <c r="O331" i="16"/>
  <c r="O340" i="16"/>
  <c r="R340" i="16" s="1"/>
  <c r="O332" i="16"/>
  <c r="O330" i="16"/>
  <c r="O361" i="16"/>
  <c r="O359" i="16"/>
  <c r="O357" i="16"/>
  <c r="O355" i="16"/>
  <c r="R355" i="16" s="1"/>
  <c r="O353" i="16"/>
  <c r="O351" i="16"/>
  <c r="R351" i="16" s="1"/>
  <c r="O349" i="16"/>
  <c r="P349" i="16" s="1"/>
  <c r="S349" i="16" s="1"/>
  <c r="O360" i="16"/>
  <c r="P360" i="16" s="1"/>
  <c r="S360" i="16" s="1"/>
  <c r="O358" i="16"/>
  <c r="P358" i="16" s="1"/>
  <c r="O356" i="16"/>
  <c r="R356" i="16" s="1"/>
  <c r="O354" i="16"/>
  <c r="O352" i="16"/>
  <c r="O350" i="16"/>
  <c r="D329" i="16"/>
  <c r="S335" i="16"/>
  <c r="D361" i="16"/>
  <c r="G361" i="16" s="1"/>
  <c r="D359" i="16"/>
  <c r="D357" i="16"/>
  <c r="G357" i="16" s="1"/>
  <c r="D355" i="16"/>
  <c r="G355" i="16" s="1"/>
  <c r="D353" i="16"/>
  <c r="D351" i="16"/>
  <c r="D349" i="16"/>
  <c r="D360" i="16"/>
  <c r="E360" i="16" s="1"/>
  <c r="H360" i="16" s="1"/>
  <c r="D358" i="16"/>
  <c r="D356" i="16"/>
  <c r="D354" i="16"/>
  <c r="D352" i="16"/>
  <c r="D350" i="16"/>
  <c r="O329" i="16"/>
  <c r="P329" i="16" s="1"/>
  <c r="H335" i="16"/>
  <c r="S355" i="16"/>
  <c r="H355" i="16"/>
  <c r="AL49" i="16"/>
  <c r="AA530" i="10"/>
  <c r="AG529" i="10"/>
  <c r="U529" i="10"/>
  <c r="I529" i="10"/>
  <c r="AJ316" i="16"/>
  <c r="AJ319" i="16"/>
  <c r="AK319" i="16" s="1"/>
  <c r="AJ315" i="16"/>
  <c r="AJ317" i="16"/>
  <c r="AK317" i="16"/>
  <c r="AJ318" i="16"/>
  <c r="AJ320" i="16"/>
  <c r="S329" i="16"/>
  <c r="R329" i="16"/>
  <c r="E352" i="16"/>
  <c r="H352" i="16" s="1"/>
  <c r="G352" i="16"/>
  <c r="G360" i="16"/>
  <c r="G351" i="16"/>
  <c r="E351" i="16"/>
  <c r="H351" i="16" s="1"/>
  <c r="P350" i="16"/>
  <c r="S350" i="16" s="1"/>
  <c r="R350" i="16"/>
  <c r="P354" i="16"/>
  <c r="S354" i="16" s="1"/>
  <c r="R354" i="16"/>
  <c r="S358" i="16"/>
  <c r="R358" i="16"/>
  <c r="R349" i="16"/>
  <c r="R353" i="16"/>
  <c r="P353" i="16"/>
  <c r="S353" i="16" s="1"/>
  <c r="U353" i="16" s="1"/>
  <c r="R357" i="16"/>
  <c r="P357" i="16"/>
  <c r="S357" i="16" s="1"/>
  <c r="U357" i="16" s="1"/>
  <c r="R361" i="16"/>
  <c r="P361" i="16"/>
  <c r="S361" i="16" s="1"/>
  <c r="P340" i="16"/>
  <c r="S340" i="16" s="1"/>
  <c r="P333" i="16"/>
  <c r="S333" i="16"/>
  <c r="G332" i="16"/>
  <c r="E340" i="16"/>
  <c r="H340" i="16" s="1"/>
  <c r="G340" i="16"/>
  <c r="G333" i="16"/>
  <c r="E333" i="16"/>
  <c r="H333" i="16"/>
  <c r="E309" i="16"/>
  <c r="H309" i="16" s="1"/>
  <c r="S296" i="16"/>
  <c r="R296" i="16"/>
  <c r="R299" i="16"/>
  <c r="P299" i="16"/>
  <c r="S299" i="16" s="1"/>
  <c r="R269" i="16"/>
  <c r="R273" i="16"/>
  <c r="P277" i="16"/>
  <c r="S277" i="16"/>
  <c r="R310" i="16"/>
  <c r="P314" i="16"/>
  <c r="S314" i="16" s="1"/>
  <c r="R319" i="16"/>
  <c r="R311" i="16"/>
  <c r="P311" i="16"/>
  <c r="S311" i="16"/>
  <c r="P321" i="16"/>
  <c r="S321" i="16" s="1"/>
  <c r="R320" i="16"/>
  <c r="P320" i="16"/>
  <c r="S320" i="16" s="1"/>
  <c r="G271" i="16"/>
  <c r="E271" i="16"/>
  <c r="H271" i="16" s="1"/>
  <c r="E273" i="16"/>
  <c r="H273" i="16"/>
  <c r="G277" i="16"/>
  <c r="E277" i="16"/>
  <c r="H277" i="16" s="1"/>
  <c r="G279" i="16"/>
  <c r="E279" i="16"/>
  <c r="H279" i="16" s="1"/>
  <c r="G281" i="16"/>
  <c r="E281" i="16"/>
  <c r="H281" i="16"/>
  <c r="E209" i="16"/>
  <c r="H209" i="16" s="1"/>
  <c r="J209" i="16" s="1"/>
  <c r="G209" i="16"/>
  <c r="E213" i="16"/>
  <c r="H213" i="16" s="1"/>
  <c r="G213" i="16"/>
  <c r="E221" i="16"/>
  <c r="H221" i="16" s="1"/>
  <c r="G221" i="16"/>
  <c r="G212" i="16"/>
  <c r="E212" i="16"/>
  <c r="H212" i="16" s="1"/>
  <c r="G216" i="16"/>
  <c r="E216" i="16"/>
  <c r="H216" i="16" s="1"/>
  <c r="AH313" i="16"/>
  <c r="AG313" i="16"/>
  <c r="AH318" i="16"/>
  <c r="AG318" i="16"/>
  <c r="AG322" i="16"/>
  <c r="AH317" i="16"/>
  <c r="AG327" i="16"/>
  <c r="AH327" i="16"/>
  <c r="AI177" i="16"/>
  <c r="AJ323" i="16"/>
  <c r="AK323" i="16" s="1"/>
  <c r="AL323" i="16"/>
  <c r="AJ325" i="16"/>
  <c r="AJ322" i="16"/>
  <c r="AJ326" i="16"/>
  <c r="AJ330" i="16"/>
  <c r="AK330" i="16"/>
  <c r="AJ331" i="16"/>
  <c r="E350" i="16"/>
  <c r="H350" i="16"/>
  <c r="G350" i="16"/>
  <c r="E354" i="16"/>
  <c r="H354" i="16"/>
  <c r="G354" i="16"/>
  <c r="G353" i="16"/>
  <c r="E353" i="16"/>
  <c r="H353" i="16" s="1"/>
  <c r="E357" i="16"/>
  <c r="H357" i="16"/>
  <c r="E361" i="16"/>
  <c r="H361" i="16" s="1"/>
  <c r="P352" i="16"/>
  <c r="S352" i="16" s="1"/>
  <c r="U352" i="16" s="1"/>
  <c r="R352" i="16"/>
  <c r="P356" i="16"/>
  <c r="S356" i="16"/>
  <c r="T356" i="16" s="1"/>
  <c r="R360" i="16"/>
  <c r="U360" i="16" s="1"/>
  <c r="P351" i="16"/>
  <c r="S351" i="16" s="1"/>
  <c r="G330" i="16"/>
  <c r="E330" i="16"/>
  <c r="H330" i="16" s="1"/>
  <c r="E334" i="16"/>
  <c r="H334" i="16" s="1"/>
  <c r="G331" i="16"/>
  <c r="E331" i="16"/>
  <c r="H331" i="16"/>
  <c r="G339" i="16"/>
  <c r="H312" i="16"/>
  <c r="G312" i="16"/>
  <c r="R293" i="16"/>
  <c r="P293" i="16"/>
  <c r="S293" i="16" s="1"/>
  <c r="R270" i="16"/>
  <c r="P270" i="16"/>
  <c r="S270" i="16" s="1"/>
  <c r="R274" i="16"/>
  <c r="P274" i="16"/>
  <c r="S274" i="16" s="1"/>
  <c r="R276" i="16"/>
  <c r="P276" i="16"/>
  <c r="S276" i="16" s="1"/>
  <c r="P278" i="16"/>
  <c r="S278" i="16" s="1"/>
  <c r="R280" i="16"/>
  <c r="P280" i="16"/>
  <c r="S280" i="16" s="1"/>
  <c r="R316" i="16"/>
  <c r="R309" i="16"/>
  <c r="P309" i="16"/>
  <c r="S309" i="16" s="1"/>
  <c r="R313" i="16"/>
  <c r="P313" i="16"/>
  <c r="S313" i="16"/>
  <c r="R318" i="16"/>
  <c r="G270" i="16"/>
  <c r="E270" i="16"/>
  <c r="H270" i="16" s="1"/>
  <c r="G272" i="16"/>
  <c r="E272" i="16"/>
  <c r="H272" i="16"/>
  <c r="G274" i="16"/>
  <c r="E274" i="16"/>
  <c r="H274" i="16"/>
  <c r="G278" i="16"/>
  <c r="E278" i="16"/>
  <c r="H278" i="16" s="1"/>
  <c r="AG244" i="16"/>
  <c r="G256" i="16"/>
  <c r="E256" i="16"/>
  <c r="H256" i="16" s="1"/>
  <c r="E211" i="16"/>
  <c r="H211" i="16" s="1"/>
  <c r="G211" i="16"/>
  <c r="E219" i="16"/>
  <c r="H219" i="16" s="1"/>
  <c r="G219" i="16"/>
  <c r="G210" i="16"/>
  <c r="E210" i="16"/>
  <c r="H210" i="16" s="1"/>
  <c r="G214" i="16"/>
  <c r="E214" i="16"/>
  <c r="H214" i="16"/>
  <c r="G218" i="16"/>
  <c r="I218" i="16" s="1"/>
  <c r="E218" i="16"/>
  <c r="H218" i="16" s="1"/>
  <c r="E199" i="16"/>
  <c r="H199" i="16" s="1"/>
  <c r="AJ327" i="16"/>
  <c r="AJ321" i="16"/>
  <c r="AJ329" i="16"/>
  <c r="AJ324" i="16"/>
  <c r="AL319" i="16"/>
  <c r="T259" i="16"/>
  <c r="T251" i="16"/>
  <c r="U251" i="16"/>
  <c r="T249" i="16"/>
  <c r="J276" i="16"/>
  <c r="J301" i="16"/>
  <c r="I297" i="16"/>
  <c r="I293" i="16"/>
  <c r="J293" i="16"/>
  <c r="T278" i="16"/>
  <c r="T270" i="16"/>
  <c r="U270" i="16"/>
  <c r="U260" i="16"/>
  <c r="U254" i="16"/>
  <c r="T252" i="16"/>
  <c r="J277" i="16"/>
  <c r="J273" i="16"/>
  <c r="I271" i="16"/>
  <c r="J299" i="16"/>
  <c r="I290" i="16"/>
  <c r="T273" i="16"/>
  <c r="U273" i="16"/>
  <c r="I298" i="16"/>
  <c r="J294" i="16"/>
  <c r="I300" i="16"/>
  <c r="AG487" i="10"/>
  <c r="I530" i="10"/>
  <c r="I531" i="10" s="1"/>
  <c r="I532" i="10" s="1"/>
  <c r="I533" i="10" s="1"/>
  <c r="AG530" i="10"/>
  <c r="AG531" i="10" s="1"/>
  <c r="AG532" i="10" s="1"/>
  <c r="AG533" i="10" s="1"/>
  <c r="AG534" i="10" s="1"/>
  <c r="AG535" i="10" s="1"/>
  <c r="AG536" i="10" s="1"/>
  <c r="AG537" i="10" s="1"/>
  <c r="AG538" i="10" s="1"/>
  <c r="AG539" i="10" s="1"/>
  <c r="AG540" i="10" s="1"/>
  <c r="AG541" i="10" s="1"/>
  <c r="AG542" i="10" s="1"/>
  <c r="O531" i="10"/>
  <c r="O532" i="10" s="1"/>
  <c r="AM531" i="10"/>
  <c r="AA531" i="10"/>
  <c r="AL331" i="16"/>
  <c r="AL317" i="16"/>
  <c r="AL330" i="16"/>
  <c r="T218" i="16"/>
  <c r="U218" i="16"/>
  <c r="U241" i="16"/>
  <c r="U239" i="16"/>
  <c r="T237" i="16"/>
  <c r="U213" i="16"/>
  <c r="T213" i="16"/>
  <c r="AL322" i="16"/>
  <c r="U356" i="16"/>
  <c r="T352" i="16"/>
  <c r="U231" i="16"/>
  <c r="J231" i="16"/>
  <c r="I231" i="16"/>
  <c r="I199" i="16"/>
  <c r="T211" i="16"/>
  <c r="U229" i="16"/>
  <c r="T229" i="16"/>
  <c r="J241" i="16"/>
  <c r="I239" i="16"/>
  <c r="J237" i="16"/>
  <c r="I230" i="16"/>
  <c r="I260" i="16"/>
  <c r="J252" i="16"/>
  <c r="I252" i="16"/>
  <c r="J250" i="16"/>
  <c r="T212" i="16"/>
  <c r="U212" i="16"/>
  <c r="U240" i="16"/>
  <c r="T238" i="16"/>
  <c r="T232" i="16"/>
  <c r="I240" i="16"/>
  <c r="I238" i="16"/>
  <c r="J232" i="16"/>
  <c r="I261" i="16"/>
  <c r="J259" i="16"/>
  <c r="J253" i="16"/>
  <c r="I251" i="16"/>
  <c r="T353" i="16"/>
  <c r="AA532" i="10"/>
  <c r="AA533" i="10" s="1"/>
  <c r="AM532" i="10"/>
  <c r="C532" i="10"/>
  <c r="AG488" i="10"/>
  <c r="AG489" i="10"/>
  <c r="AG490" i="10" s="1"/>
  <c r="AG491" i="10" s="1"/>
  <c r="AG492" i="10" s="1"/>
  <c r="C533" i="10"/>
  <c r="C534" i="10" s="1"/>
  <c r="O533" i="10"/>
  <c r="O534" i="10" s="1"/>
  <c r="O535" i="10" s="1"/>
  <c r="O536" i="10" s="1"/>
  <c r="AM533" i="10"/>
  <c r="GF46" i="14"/>
  <c r="DY46" i="14"/>
  <c r="DY15" i="14"/>
  <c r="BR15" i="14"/>
  <c r="AA534" i="10"/>
  <c r="AA535" i="10" s="1"/>
  <c r="E87" i="14"/>
  <c r="E86" i="14"/>
  <c r="E85" i="14"/>
  <c r="E84" i="14"/>
  <c r="E83" i="14"/>
  <c r="E82" i="14"/>
  <c r="E81" i="14"/>
  <c r="I534" i="10"/>
  <c r="I535" i="10" s="1"/>
  <c r="I536" i="10" s="1"/>
  <c r="C535" i="10"/>
  <c r="C536" i="10" s="1"/>
  <c r="C537" i="10" s="1"/>
  <c r="C538" i="10" s="1"/>
  <c r="M77" i="14"/>
  <c r="AA515" i="10"/>
  <c r="AA516" i="10" s="1"/>
  <c r="AA517" i="10" s="1"/>
  <c r="AA536" i="10"/>
  <c r="AA537" i="10" s="1"/>
  <c r="AA538" i="10" s="1"/>
  <c r="AG493" i="10"/>
  <c r="AG494" i="10" s="1"/>
  <c r="AG495" i="10" s="1"/>
  <c r="AG496" i="10" s="1"/>
  <c r="D36" i="18"/>
  <c r="I46" i="14"/>
  <c r="L46" i="14" s="1"/>
  <c r="Z36" i="18"/>
  <c r="DW46" i="14"/>
  <c r="DZ46" i="14" s="1"/>
  <c r="AV36" i="18"/>
  <c r="IK46" i="14"/>
  <c r="IN46" i="14" s="1"/>
  <c r="BH36" i="18"/>
  <c r="KR46" i="14"/>
  <c r="KU46" i="14"/>
  <c r="BG36" i="18"/>
  <c r="P36" i="18"/>
  <c r="O36" i="18"/>
  <c r="BP46" i="14"/>
  <c r="BS46" i="14" s="1"/>
  <c r="AL36" i="18"/>
  <c r="AK36" i="18"/>
  <c r="GD46" i="14"/>
  <c r="GG46" i="14"/>
  <c r="AK4" i="18"/>
  <c r="O4" i="18"/>
  <c r="K15" i="14"/>
  <c r="B182" i="10"/>
  <c r="C182" i="10"/>
  <c r="AA472" i="10"/>
  <c r="Z472" i="10"/>
  <c r="Y472" i="10"/>
  <c r="B181" i="10"/>
  <c r="Z471" i="10" s="1"/>
  <c r="C181" i="10"/>
  <c r="AA471" i="10" s="1"/>
  <c r="Y471" i="10"/>
  <c r="B180" i="10"/>
  <c r="Z470" i="10" s="1"/>
  <c r="C180" i="10"/>
  <c r="AA470" i="10" s="1"/>
  <c r="Y470" i="10"/>
  <c r="B179" i="10"/>
  <c r="C179" i="10" s="1"/>
  <c r="AA469" i="10" s="1"/>
  <c r="Z469" i="10"/>
  <c r="Y469" i="10"/>
  <c r="B178" i="10"/>
  <c r="Z468" i="10" s="1"/>
  <c r="C178" i="10"/>
  <c r="AA468" i="10"/>
  <c r="Y468" i="10"/>
  <c r="B177" i="10"/>
  <c r="C177" i="10"/>
  <c r="AA467" i="10" s="1"/>
  <c r="Z467" i="10"/>
  <c r="Y467" i="10"/>
  <c r="B176" i="10"/>
  <c r="Y466" i="10"/>
  <c r="B175" i="10"/>
  <c r="C175" i="10"/>
  <c r="AA465" i="10"/>
  <c r="Z465" i="10"/>
  <c r="Y465" i="10"/>
  <c r="B174" i="10"/>
  <c r="C174" i="10"/>
  <c r="AA464" i="10"/>
  <c r="Z464" i="10"/>
  <c r="Y464" i="10"/>
  <c r="B173" i="10"/>
  <c r="Y463" i="10"/>
  <c r="B172" i="10"/>
  <c r="Z462" i="10" s="1"/>
  <c r="C172" i="10"/>
  <c r="AA462" i="10"/>
  <c r="Y462" i="10"/>
  <c r="B171" i="10"/>
  <c r="C171" i="10" s="1"/>
  <c r="AA461" i="10" s="1"/>
  <c r="Z461" i="10"/>
  <c r="Y461" i="10"/>
  <c r="B170" i="10"/>
  <c r="Y460" i="10"/>
  <c r="B169" i="10"/>
  <c r="C169" i="10"/>
  <c r="AA459" i="10" s="1"/>
  <c r="Z459" i="10"/>
  <c r="Y459" i="10"/>
  <c r="B168" i="10"/>
  <c r="Y458" i="10"/>
  <c r="B167" i="10"/>
  <c r="C167" i="10"/>
  <c r="AA457" i="10"/>
  <c r="Z457" i="10"/>
  <c r="Y457" i="10"/>
  <c r="B166" i="10"/>
  <c r="C166" i="10"/>
  <c r="AA456" i="10"/>
  <c r="Z456" i="10"/>
  <c r="Y456" i="10"/>
  <c r="B165" i="10"/>
  <c r="Y455" i="10"/>
  <c r="B164" i="10"/>
  <c r="Y454" i="10"/>
  <c r="B163" i="10"/>
  <c r="C163" i="10" s="1"/>
  <c r="AA453" i="10" s="1"/>
  <c r="Z453" i="10"/>
  <c r="Y453" i="10"/>
  <c r="B162" i="10"/>
  <c r="Z452" i="10" s="1"/>
  <c r="C162" i="10"/>
  <c r="AA452" i="10" s="1"/>
  <c r="Y452" i="10"/>
  <c r="B161" i="10"/>
  <c r="C161" i="10"/>
  <c r="AA451" i="10" s="1"/>
  <c r="Z451" i="10"/>
  <c r="Y451" i="10"/>
  <c r="B160" i="10"/>
  <c r="Y450" i="10"/>
  <c r="B159" i="10"/>
  <c r="C159" i="10"/>
  <c r="AA449" i="10"/>
  <c r="Z449" i="10"/>
  <c r="Y449" i="10"/>
  <c r="B158" i="10"/>
  <c r="C158" i="10"/>
  <c r="AA448" i="10"/>
  <c r="Z448" i="10"/>
  <c r="Y448" i="10"/>
  <c r="B157" i="10"/>
  <c r="Z447" i="10" s="1"/>
  <c r="Y447" i="10"/>
  <c r="B156" i="10"/>
  <c r="Z446" i="10" s="1"/>
  <c r="C156" i="10"/>
  <c r="AA446" i="10" s="1"/>
  <c r="Y446" i="10"/>
  <c r="B155" i="10"/>
  <c r="C155" i="10" s="1"/>
  <c r="AA445" i="10" s="1"/>
  <c r="Z445" i="10"/>
  <c r="Y445" i="10"/>
  <c r="B154" i="10"/>
  <c r="Y444" i="10"/>
  <c r="B153" i="10"/>
  <c r="C153" i="10"/>
  <c r="AA443" i="10"/>
  <c r="Z443" i="10"/>
  <c r="Y443" i="10"/>
  <c r="B152" i="10"/>
  <c r="Y442" i="10"/>
  <c r="B151" i="10"/>
  <c r="C151" i="10"/>
  <c r="AA441" i="10"/>
  <c r="Z441" i="10"/>
  <c r="Y441" i="10"/>
  <c r="B150" i="10"/>
  <c r="C150" i="10"/>
  <c r="AA440" i="10"/>
  <c r="Z440" i="10"/>
  <c r="Y440" i="10"/>
  <c r="B149" i="10"/>
  <c r="Z439" i="10" s="1"/>
  <c r="C149" i="10"/>
  <c r="AA439" i="10" s="1"/>
  <c r="Y439" i="10"/>
  <c r="B148" i="10"/>
  <c r="Y438" i="10"/>
  <c r="B147" i="10"/>
  <c r="C147" i="10" s="1"/>
  <c r="AA437" i="10" s="1"/>
  <c r="Z437" i="10"/>
  <c r="Y437" i="10"/>
  <c r="B146" i="10"/>
  <c r="Y436" i="10"/>
  <c r="B145" i="10"/>
  <c r="C145" i="10"/>
  <c r="AA435" i="10" s="1"/>
  <c r="Z435" i="10"/>
  <c r="Y435" i="10"/>
  <c r="B144" i="10"/>
  <c r="Y434" i="10"/>
  <c r="B143" i="10"/>
  <c r="C143" i="10"/>
  <c r="AA433" i="10"/>
  <c r="Z433" i="10"/>
  <c r="Y433" i="10"/>
  <c r="B142" i="10"/>
  <c r="C142" i="10"/>
  <c r="AA432" i="10"/>
  <c r="Z432" i="10"/>
  <c r="Y432" i="10"/>
  <c r="B141" i="10"/>
  <c r="Y431" i="10"/>
  <c r="B140" i="10"/>
  <c r="Y430" i="10"/>
  <c r="B139" i="10"/>
  <c r="C139" i="10" s="1"/>
  <c r="AA429" i="10" s="1"/>
  <c r="Z429" i="10"/>
  <c r="Y429" i="10"/>
  <c r="B138" i="10"/>
  <c r="Y428" i="10"/>
  <c r="B137" i="10"/>
  <c r="C137" i="10"/>
  <c r="AA427" i="10"/>
  <c r="Z427" i="10"/>
  <c r="Y427" i="10"/>
  <c r="B136" i="10"/>
  <c r="Y426" i="10"/>
  <c r="B135" i="10"/>
  <c r="C135" i="10"/>
  <c r="AA425" i="10"/>
  <c r="Z425" i="10"/>
  <c r="Y425" i="10"/>
  <c r="B134" i="10"/>
  <c r="C134" i="10"/>
  <c r="AA424" i="10"/>
  <c r="Z424" i="10"/>
  <c r="Y424" i="10"/>
  <c r="B133" i="10"/>
  <c r="Z423" i="10" s="1"/>
  <c r="C133" i="10"/>
  <c r="AA423" i="10" s="1"/>
  <c r="Y423" i="10"/>
  <c r="B132" i="10"/>
  <c r="Y422" i="10"/>
  <c r="B131" i="10"/>
  <c r="C131" i="10" s="1"/>
  <c r="AA421" i="10" s="1"/>
  <c r="Z421" i="10"/>
  <c r="Y421" i="10"/>
  <c r="B130" i="10"/>
  <c r="Y420" i="10"/>
  <c r="B129" i="10"/>
  <c r="C129" i="10"/>
  <c r="AA419" i="10"/>
  <c r="Z419" i="10"/>
  <c r="Y419" i="10"/>
  <c r="B128" i="10"/>
  <c r="Y418" i="10"/>
  <c r="B127" i="10"/>
  <c r="C127" i="10"/>
  <c r="AA417" i="10"/>
  <c r="Z417" i="10"/>
  <c r="Y417" i="10"/>
  <c r="B126" i="10"/>
  <c r="C126" i="10"/>
  <c r="AA416" i="10"/>
  <c r="Z416" i="10"/>
  <c r="Y416" i="10"/>
  <c r="B125" i="10"/>
  <c r="Z415" i="10" s="1"/>
  <c r="C125" i="10"/>
  <c r="AA415" i="10" s="1"/>
  <c r="Y415" i="10"/>
  <c r="B124" i="10"/>
  <c r="Y414" i="10"/>
  <c r="B123" i="10"/>
  <c r="C123" i="10" s="1"/>
  <c r="AA413" i="10" s="1"/>
  <c r="Z413" i="10"/>
  <c r="Y413" i="10"/>
  <c r="B122" i="10"/>
  <c r="Y412" i="10"/>
  <c r="B121" i="10"/>
  <c r="C121" i="10"/>
  <c r="AA411" i="10"/>
  <c r="Z411" i="10"/>
  <c r="Y411" i="10"/>
  <c r="B120" i="10"/>
  <c r="Y410" i="10"/>
  <c r="B119" i="10"/>
  <c r="C119" i="10"/>
  <c r="AA409" i="10"/>
  <c r="Z409" i="10"/>
  <c r="Y409" i="10"/>
  <c r="B118" i="10"/>
  <c r="C118" i="10"/>
  <c r="AA408" i="10"/>
  <c r="Z408" i="10"/>
  <c r="Y408" i="10"/>
  <c r="B117" i="10"/>
  <c r="Z407" i="10" s="1"/>
  <c r="C117" i="10"/>
  <c r="AA407" i="10" s="1"/>
  <c r="Y407" i="10"/>
  <c r="B116" i="10"/>
  <c r="Y406" i="10"/>
  <c r="B115" i="10"/>
  <c r="C115" i="10" s="1"/>
  <c r="AA405" i="10" s="1"/>
  <c r="Z405" i="10"/>
  <c r="Y405" i="10"/>
  <c r="B114" i="10"/>
  <c r="Y404" i="10"/>
  <c r="B113" i="10"/>
  <c r="C113" i="10"/>
  <c r="AA403" i="10" s="1"/>
  <c r="Z403" i="10"/>
  <c r="Y403" i="10"/>
  <c r="B112" i="10"/>
  <c r="Y402" i="10"/>
  <c r="B111" i="10"/>
  <c r="C111" i="10"/>
  <c r="AA401" i="10"/>
  <c r="Z401" i="10"/>
  <c r="Y401" i="10"/>
  <c r="B110" i="10"/>
  <c r="C110" i="10"/>
  <c r="AA400" i="10"/>
  <c r="Z400" i="10"/>
  <c r="Y400" i="10"/>
  <c r="B109" i="10"/>
  <c r="Y399" i="10"/>
  <c r="B108" i="10"/>
  <c r="Y398" i="10"/>
  <c r="B107" i="10"/>
  <c r="C107" i="10" s="1"/>
  <c r="AA397" i="10" s="1"/>
  <c r="Z397" i="10"/>
  <c r="Y397" i="10"/>
  <c r="B106" i="10"/>
  <c r="Y396" i="10"/>
  <c r="B105" i="10"/>
  <c r="C105" i="10"/>
  <c r="AA395" i="10" s="1"/>
  <c r="Z395" i="10"/>
  <c r="Y395" i="10"/>
  <c r="B104" i="10"/>
  <c r="Y394" i="10"/>
  <c r="B103" i="10"/>
  <c r="C103" i="10"/>
  <c r="AA393" i="10"/>
  <c r="Z393" i="10"/>
  <c r="Y393" i="10"/>
  <c r="B102" i="10"/>
  <c r="C102" i="10"/>
  <c r="AA392" i="10"/>
  <c r="Z392" i="10"/>
  <c r="Y392" i="10"/>
  <c r="B101" i="10"/>
  <c r="Y391" i="10"/>
  <c r="B100" i="10"/>
  <c r="Y390" i="10"/>
  <c r="B99" i="10"/>
  <c r="C99" i="10" s="1"/>
  <c r="AA389" i="10" s="1"/>
  <c r="Z389" i="10"/>
  <c r="Y389" i="10"/>
  <c r="B98" i="10"/>
  <c r="Y388" i="10"/>
  <c r="B97" i="10"/>
  <c r="C97" i="10"/>
  <c r="AA387" i="10" s="1"/>
  <c r="Z387" i="10"/>
  <c r="Y387" i="10"/>
  <c r="B96" i="10"/>
  <c r="Y386" i="10"/>
  <c r="B95" i="10"/>
  <c r="C95" i="10"/>
  <c r="AA385" i="10"/>
  <c r="Z385" i="10"/>
  <c r="Y385" i="10"/>
  <c r="B94" i="10"/>
  <c r="C94" i="10" s="1"/>
  <c r="AA384" i="10" s="1"/>
  <c r="Z384" i="10"/>
  <c r="Y384" i="10"/>
  <c r="B93" i="10"/>
  <c r="Z383" i="10" s="1"/>
  <c r="C93" i="10"/>
  <c r="AA383" i="10" s="1"/>
  <c r="Y383" i="10"/>
  <c r="B92" i="10"/>
  <c r="C92" i="10"/>
  <c r="AA382" i="10" s="1"/>
  <c r="Z382" i="10"/>
  <c r="B91" i="10"/>
  <c r="B90" i="10"/>
  <c r="Z380" i="10" s="1"/>
  <c r="C90" i="10"/>
  <c r="AA380" i="10" s="1"/>
  <c r="B89" i="10"/>
  <c r="B88" i="10"/>
  <c r="B87" i="10"/>
  <c r="B86" i="10"/>
  <c r="C86" i="10" s="1"/>
  <c r="AA376" i="10"/>
  <c r="Z376" i="10"/>
  <c r="B85" i="10"/>
  <c r="B84" i="10"/>
  <c r="C84" i="10"/>
  <c r="AA374" i="10" s="1"/>
  <c r="Z374" i="10"/>
  <c r="B83" i="10"/>
  <c r="B82" i="10"/>
  <c r="Z372" i="10" s="1"/>
  <c r="C82" i="10"/>
  <c r="AA372" i="10"/>
  <c r="B81" i="10"/>
  <c r="B80" i="10"/>
  <c r="C80" i="10"/>
  <c r="AA370" i="10"/>
  <c r="Z370" i="10"/>
  <c r="B79" i="10"/>
  <c r="B78" i="10"/>
  <c r="B77" i="10"/>
  <c r="B76" i="10"/>
  <c r="C76" i="10" s="1"/>
  <c r="AA366" i="10"/>
  <c r="Z366" i="10"/>
  <c r="B75" i="10"/>
  <c r="B74" i="10"/>
  <c r="C74" i="10" s="1"/>
  <c r="AA364" i="10" s="1"/>
  <c r="Z364" i="10"/>
  <c r="B73" i="10"/>
  <c r="B72" i="10"/>
  <c r="C72" i="10" s="1"/>
  <c r="AA362" i="10" s="1"/>
  <c r="Z362" i="10"/>
  <c r="B71" i="10"/>
  <c r="N346" i="10"/>
  <c r="O346" i="10"/>
  <c r="O361" i="10"/>
  <c r="C346" i="10"/>
  <c r="D346" i="10" s="1"/>
  <c r="B70" i="10"/>
  <c r="Z360" i="10" s="1"/>
  <c r="C70" i="10"/>
  <c r="AA360" i="10"/>
  <c r="D360" i="10"/>
  <c r="G360" i="10" s="1"/>
  <c r="E360" i="10"/>
  <c r="B69" i="10"/>
  <c r="D359" i="10"/>
  <c r="E359" i="10" s="1"/>
  <c r="B68" i="10"/>
  <c r="C68" i="10" s="1"/>
  <c r="AA358" i="10"/>
  <c r="Z358" i="10"/>
  <c r="B67" i="10"/>
  <c r="B66" i="10"/>
  <c r="Z356" i="10" s="1"/>
  <c r="C66" i="10"/>
  <c r="AA356" i="10" s="1"/>
  <c r="D356" i="10"/>
  <c r="B65" i="10"/>
  <c r="P355" i="10"/>
  <c r="O355" i="10"/>
  <c r="R355" i="10" s="1"/>
  <c r="E355" i="10"/>
  <c r="D355" i="10"/>
  <c r="B64" i="10"/>
  <c r="D354" i="10"/>
  <c r="E354" i="10" s="1"/>
  <c r="G354" i="10"/>
  <c r="B63" i="10"/>
  <c r="C63" i="10" s="1"/>
  <c r="AA353" i="10" s="1"/>
  <c r="Z353" i="10"/>
  <c r="B62" i="10"/>
  <c r="Z352" i="10" s="1"/>
  <c r="C62" i="10"/>
  <c r="AA352" i="10" s="1"/>
  <c r="O352" i="10"/>
  <c r="B61" i="10"/>
  <c r="Z351" i="10" s="1"/>
  <c r="C61" i="10"/>
  <c r="AA351" i="10"/>
  <c r="D351" i="10"/>
  <c r="E351" i="10" s="1"/>
  <c r="G351" i="10"/>
  <c r="B60" i="10"/>
  <c r="O350" i="10"/>
  <c r="D350" i="10"/>
  <c r="B59" i="10"/>
  <c r="C59" i="10" s="1"/>
  <c r="AA349" i="10" s="1"/>
  <c r="Z349" i="10"/>
  <c r="B58" i="10"/>
  <c r="B57" i="10"/>
  <c r="B56" i="10"/>
  <c r="B55" i="10"/>
  <c r="B54" i="10"/>
  <c r="B53" i="10"/>
  <c r="B52" i="10"/>
  <c r="B51" i="10"/>
  <c r="N326" i="10"/>
  <c r="O326" i="10"/>
  <c r="O341" i="10"/>
  <c r="R341" i="10"/>
  <c r="P341" i="10"/>
  <c r="C326" i="10"/>
  <c r="D326" i="10" s="1"/>
  <c r="D341" i="10" s="1"/>
  <c r="E341" i="10" s="1"/>
  <c r="G341" i="10"/>
  <c r="B50" i="10"/>
  <c r="C50" i="10"/>
  <c r="AA340" i="10"/>
  <c r="Z340" i="10"/>
  <c r="O340" i="10"/>
  <c r="D340" i="10"/>
  <c r="B49" i="10"/>
  <c r="C49" i="10"/>
  <c r="AA339" i="10" s="1"/>
  <c r="Z339" i="10"/>
  <c r="D339" i="10"/>
  <c r="G339" i="10"/>
  <c r="E339" i="10"/>
  <c r="B48" i="10"/>
  <c r="C48" i="10"/>
  <c r="AA338" i="10" s="1"/>
  <c r="Z338" i="10"/>
  <c r="D338" i="10"/>
  <c r="G338" i="10"/>
  <c r="E338" i="10"/>
  <c r="B47" i="10"/>
  <c r="C47" i="10"/>
  <c r="AA337" i="10" s="1"/>
  <c r="Z337" i="10"/>
  <c r="D337" i="10"/>
  <c r="G337" i="10" s="1"/>
  <c r="E337" i="10"/>
  <c r="B46" i="10"/>
  <c r="C46" i="10"/>
  <c r="AA336" i="10"/>
  <c r="Z336" i="10"/>
  <c r="O336" i="10"/>
  <c r="P336" i="10" s="1"/>
  <c r="D336" i="10"/>
  <c r="B45" i="10"/>
  <c r="Z335" i="10" s="1"/>
  <c r="C45" i="10"/>
  <c r="AA335" i="10" s="1"/>
  <c r="P335" i="10"/>
  <c r="O335" i="10"/>
  <c r="E335" i="10"/>
  <c r="D335" i="10"/>
  <c r="B44" i="10"/>
  <c r="D334" i="10"/>
  <c r="G334" i="10"/>
  <c r="E334" i="10"/>
  <c r="B43" i="10"/>
  <c r="Z333" i="10" s="1"/>
  <c r="C43" i="10"/>
  <c r="AA333" i="10" s="1"/>
  <c r="D333" i="10"/>
  <c r="G333" i="10"/>
  <c r="E333" i="10"/>
  <c r="B42" i="10"/>
  <c r="C42" i="10"/>
  <c r="AA332" i="10" s="1"/>
  <c r="Z332" i="10"/>
  <c r="D332" i="10"/>
  <c r="G332" i="10" s="1"/>
  <c r="E332" i="10"/>
  <c r="B41" i="10"/>
  <c r="C41" i="10"/>
  <c r="AA331" i="10"/>
  <c r="Z331" i="10"/>
  <c r="D331" i="10"/>
  <c r="B40" i="10"/>
  <c r="C40" i="10" s="1"/>
  <c r="AA330" i="10"/>
  <c r="Z330" i="10"/>
  <c r="D330" i="10"/>
  <c r="G330" i="10"/>
  <c r="E330" i="10"/>
  <c r="B39" i="10"/>
  <c r="C39" i="10"/>
  <c r="AA329" i="10" s="1"/>
  <c r="Z329" i="10"/>
  <c r="D329" i="10"/>
  <c r="G329" i="10"/>
  <c r="E329" i="10"/>
  <c r="B38" i="10"/>
  <c r="C38" i="10"/>
  <c r="AA328" i="10" s="1"/>
  <c r="Z328" i="10"/>
  <c r="B37" i="10"/>
  <c r="Z327" i="10" s="1"/>
  <c r="C37" i="10"/>
  <c r="AA327" i="10" s="1"/>
  <c r="B36" i="10"/>
  <c r="C36" i="10"/>
  <c r="AA326" i="10" s="1"/>
  <c r="Z326" i="10"/>
  <c r="B35" i="10"/>
  <c r="Z325" i="10" s="1"/>
  <c r="C35" i="10"/>
  <c r="AA325" i="10"/>
  <c r="B34" i="10"/>
  <c r="C34" i="10"/>
  <c r="AA324" i="10" s="1"/>
  <c r="Z324" i="10"/>
  <c r="B33" i="10"/>
  <c r="B32" i="10"/>
  <c r="C32" i="10"/>
  <c r="AA322" i="10" s="1"/>
  <c r="Z322" i="10"/>
  <c r="B31" i="10"/>
  <c r="N306" i="10"/>
  <c r="O306" i="10"/>
  <c r="C306" i="10"/>
  <c r="D306" i="10"/>
  <c r="D321" i="10" s="1"/>
  <c r="B30" i="10"/>
  <c r="C30" i="10"/>
  <c r="AA320" i="10"/>
  <c r="Z320" i="10"/>
  <c r="O320" i="10"/>
  <c r="P320" i="10" s="1"/>
  <c r="R320" i="10"/>
  <c r="B29" i="10"/>
  <c r="B28" i="10"/>
  <c r="B27" i="10"/>
  <c r="C27" i="10"/>
  <c r="AA317" i="10" s="1"/>
  <c r="Z317" i="10"/>
  <c r="O317" i="10"/>
  <c r="P317" i="10" s="1"/>
  <c r="R317" i="10"/>
  <c r="B26" i="10"/>
  <c r="C26" i="10"/>
  <c r="AA316" i="10"/>
  <c r="Z316" i="10"/>
  <c r="O316" i="10"/>
  <c r="B25" i="10"/>
  <c r="C25" i="10"/>
  <c r="AA315" i="10"/>
  <c r="Z315" i="10"/>
  <c r="P315" i="10"/>
  <c r="E315" i="10"/>
  <c r="B24" i="10"/>
  <c r="C24" i="10"/>
  <c r="AA314" i="10" s="1"/>
  <c r="Z314" i="10"/>
  <c r="B23" i="10"/>
  <c r="C23" i="10"/>
  <c r="AA313" i="10" s="1"/>
  <c r="Z313" i="10"/>
  <c r="O313" i="10"/>
  <c r="R313" i="10"/>
  <c r="P313" i="10"/>
  <c r="B22" i="10"/>
  <c r="C22" i="10"/>
  <c r="AA312" i="10"/>
  <c r="Z312" i="10"/>
  <c r="O312" i="10"/>
  <c r="P312" i="10" s="1"/>
  <c r="R312" i="10"/>
  <c r="D312" i="10"/>
  <c r="B21" i="10"/>
  <c r="C21" i="10"/>
  <c r="AA311" i="10" s="1"/>
  <c r="Z311" i="10"/>
  <c r="AL310" i="10"/>
  <c r="AK310" i="10"/>
  <c r="AH310" i="10"/>
  <c r="AG310" i="10"/>
  <c r="B20" i="10"/>
  <c r="C20" i="10"/>
  <c r="AA310" i="10"/>
  <c r="Z310" i="10"/>
  <c r="O310" i="10"/>
  <c r="AL309" i="10"/>
  <c r="AK309" i="10"/>
  <c r="AH309" i="10"/>
  <c r="AG309" i="10"/>
  <c r="B19" i="10"/>
  <c r="C19" i="10"/>
  <c r="AA309" i="10" s="1"/>
  <c r="Z309" i="10"/>
  <c r="O309" i="10"/>
  <c r="R309" i="10" s="1"/>
  <c r="P309" i="10"/>
  <c r="AL308" i="10"/>
  <c r="AK308" i="10"/>
  <c r="AH308" i="10"/>
  <c r="AG308" i="10"/>
  <c r="B18" i="10"/>
  <c r="C18" i="10"/>
  <c r="AA308" i="10" s="1"/>
  <c r="Z308" i="10"/>
  <c r="AL307" i="10"/>
  <c r="AK307" i="10"/>
  <c r="AH307" i="10"/>
  <c r="AG307" i="10"/>
  <c r="B17" i="10"/>
  <c r="C17" i="10" s="1"/>
  <c r="AA307" i="10" s="1"/>
  <c r="Z307" i="10"/>
  <c r="AL306" i="10"/>
  <c r="AK306" i="10"/>
  <c r="AH306" i="10"/>
  <c r="AG306" i="10"/>
  <c r="B16" i="10"/>
  <c r="C16" i="10"/>
  <c r="AA306" i="10" s="1"/>
  <c r="Z306" i="10"/>
  <c r="AL305" i="10"/>
  <c r="AK305" i="10"/>
  <c r="AH305" i="10"/>
  <c r="AG305" i="10"/>
  <c r="B15" i="10"/>
  <c r="AL304" i="10"/>
  <c r="AK304" i="10"/>
  <c r="AH304" i="10"/>
  <c r="AG304" i="10"/>
  <c r="B14" i="10"/>
  <c r="AL303" i="10"/>
  <c r="AK303" i="10"/>
  <c r="AH303" i="10"/>
  <c r="AG303" i="10"/>
  <c r="B13" i="10"/>
  <c r="C13" i="10"/>
  <c r="AA303" i="10" s="1"/>
  <c r="Z303" i="10"/>
  <c r="AL302" i="10"/>
  <c r="AK302" i="10"/>
  <c r="AH302" i="10"/>
  <c r="AG302" i="10"/>
  <c r="B12" i="10"/>
  <c r="C12" i="10"/>
  <c r="AA302" i="10" s="1"/>
  <c r="Z302" i="10"/>
  <c r="AL301" i="10"/>
  <c r="AK301" i="10"/>
  <c r="AH301" i="10"/>
  <c r="AG301" i="10"/>
  <c r="B11" i="10"/>
  <c r="N286" i="10"/>
  <c r="O286" i="10"/>
  <c r="O298" i="10" s="1"/>
  <c r="P298" i="10" s="1"/>
  <c r="O301" i="10"/>
  <c r="R301" i="10"/>
  <c r="P301" i="10"/>
  <c r="C286" i="10"/>
  <c r="D286" i="10" s="1"/>
  <c r="AL300" i="10"/>
  <c r="AK300" i="10"/>
  <c r="AH300" i="10"/>
  <c r="AG300" i="10"/>
  <c r="B10" i="10"/>
  <c r="C10" i="10"/>
  <c r="AA300" i="10" s="1"/>
  <c r="Z300" i="10"/>
  <c r="O300" i="10"/>
  <c r="R300" i="10"/>
  <c r="P300" i="10"/>
  <c r="D300" i="10"/>
  <c r="AL299" i="10"/>
  <c r="AK299" i="10"/>
  <c r="AH299" i="10"/>
  <c r="AG299" i="10"/>
  <c r="B9" i="10"/>
  <c r="C9" i="10"/>
  <c r="AA299" i="10" s="1"/>
  <c r="Z299" i="10"/>
  <c r="AL298" i="10"/>
  <c r="AK298" i="10"/>
  <c r="AH298" i="10"/>
  <c r="AG298" i="10"/>
  <c r="B8" i="10"/>
  <c r="C8" i="10"/>
  <c r="AA298" i="10" s="1"/>
  <c r="Z298" i="10"/>
  <c r="R298" i="10"/>
  <c r="AL297" i="10"/>
  <c r="AK297" i="10"/>
  <c r="AH297" i="10"/>
  <c r="AG297" i="10"/>
  <c r="B7" i="10"/>
  <c r="C7" i="10"/>
  <c r="AA297" i="10"/>
  <c r="Z297" i="10"/>
  <c r="O297" i="10"/>
  <c r="AL296" i="10"/>
  <c r="AK296" i="10"/>
  <c r="AH296" i="10"/>
  <c r="AG296" i="10"/>
  <c r="B6" i="10"/>
  <c r="C6" i="10"/>
  <c r="AA296" i="10" s="1"/>
  <c r="Z296" i="10"/>
  <c r="O296" i="10"/>
  <c r="R296" i="10" s="1"/>
  <c r="P296" i="10"/>
  <c r="AL295" i="10"/>
  <c r="AK295" i="10"/>
  <c r="AH295" i="10"/>
  <c r="AG295" i="10"/>
  <c r="B5" i="10"/>
  <c r="C5" i="10"/>
  <c r="AA295" i="10" s="1"/>
  <c r="Z295" i="10"/>
  <c r="P295" i="10"/>
  <c r="O295" i="10"/>
  <c r="E295" i="10"/>
  <c r="AL294" i="10"/>
  <c r="AK294" i="10"/>
  <c r="AH294" i="10"/>
  <c r="AG294" i="10"/>
  <c r="B4" i="10"/>
  <c r="C4" i="10"/>
  <c r="AA294" i="10"/>
  <c r="Z294" i="10"/>
  <c r="O294" i="10"/>
  <c r="P294" i="10" s="1"/>
  <c r="D294" i="10"/>
  <c r="AL293" i="10"/>
  <c r="AK293" i="10"/>
  <c r="AH293" i="10"/>
  <c r="AG293" i="10"/>
  <c r="B3" i="10"/>
  <c r="C3" i="10"/>
  <c r="AA293" i="10" s="1"/>
  <c r="Z293" i="10"/>
  <c r="O293" i="10"/>
  <c r="AL292" i="10"/>
  <c r="AK292" i="10"/>
  <c r="AH292" i="10"/>
  <c r="AG292" i="10"/>
  <c r="B2" i="10"/>
  <c r="Z292" i="10" s="1"/>
  <c r="C2" i="10"/>
  <c r="AA292" i="10" s="1"/>
  <c r="Y292" i="10"/>
  <c r="O292" i="10"/>
  <c r="R292" i="10"/>
  <c r="P292" i="10"/>
  <c r="D292" i="10"/>
  <c r="E292" i="10" s="1"/>
  <c r="O291" i="10"/>
  <c r="O290" i="10"/>
  <c r="R290" i="10" s="1"/>
  <c r="AC242" i="10"/>
  <c r="AC243" i="10"/>
  <c r="O289" i="10"/>
  <c r="R289" i="10"/>
  <c r="P289" i="10"/>
  <c r="N266" i="10"/>
  <c r="O266" i="10"/>
  <c r="C266" i="10"/>
  <c r="D266" i="10"/>
  <c r="O278" i="10"/>
  <c r="P275" i="10"/>
  <c r="E275" i="10"/>
  <c r="H275" i="10" s="1"/>
  <c r="O274" i="10"/>
  <c r="O269" i="10"/>
  <c r="N246" i="10"/>
  <c r="O246" i="10"/>
  <c r="O261" i="10"/>
  <c r="P261" i="10" s="1"/>
  <c r="C246" i="10"/>
  <c r="D246" i="10"/>
  <c r="O260" i="10"/>
  <c r="R260" i="10" s="1"/>
  <c r="P260" i="10"/>
  <c r="D259" i="10"/>
  <c r="E259" i="10" s="1"/>
  <c r="D258" i="10"/>
  <c r="G258" i="10"/>
  <c r="E258" i="10"/>
  <c r="O257" i="10"/>
  <c r="P255" i="10"/>
  <c r="E255" i="10"/>
  <c r="D255" i="10"/>
  <c r="O253" i="10"/>
  <c r="D252" i="10"/>
  <c r="E252" i="10" s="1"/>
  <c r="G252" i="10"/>
  <c r="D251" i="10"/>
  <c r="E251" i="10" s="1"/>
  <c r="G251" i="10"/>
  <c r="N226" i="10"/>
  <c r="O226" i="10"/>
  <c r="O241" i="10" s="1"/>
  <c r="R241" i="10" s="1"/>
  <c r="P241" i="10"/>
  <c r="S241" i="10" s="1"/>
  <c r="C226" i="10"/>
  <c r="D226" i="10"/>
  <c r="D239" i="10"/>
  <c r="E239" i="10" s="1"/>
  <c r="AG237" i="10"/>
  <c r="P235" i="10"/>
  <c r="O235" i="10"/>
  <c r="R235" i="10" s="1"/>
  <c r="E235" i="10"/>
  <c r="D233" i="10"/>
  <c r="O232" i="10"/>
  <c r="R232" i="10"/>
  <c r="P232" i="10"/>
  <c r="AM517" i="10"/>
  <c r="I537" i="10"/>
  <c r="I538" i="10" s="1"/>
  <c r="DW15" i="14"/>
  <c r="DZ15" i="14"/>
  <c r="Z4" i="18"/>
  <c r="IK15" i="14"/>
  <c r="IN15" i="14"/>
  <c r="AV4" i="18"/>
  <c r="BH4" i="18"/>
  <c r="BG4" i="18"/>
  <c r="KR15" i="14"/>
  <c r="KU15" i="14"/>
  <c r="AW36" i="18"/>
  <c r="E36" i="18"/>
  <c r="I15" i="14"/>
  <c r="L15" i="14" s="1"/>
  <c r="D4" i="18"/>
  <c r="AA36" i="18"/>
  <c r="AL4" i="18"/>
  <c r="GD15" i="14"/>
  <c r="GG15" i="14"/>
  <c r="P4" i="18"/>
  <c r="BP15" i="14"/>
  <c r="BS15" i="14"/>
  <c r="AA4" i="18"/>
  <c r="AW4" i="18"/>
  <c r="AC184" i="10"/>
  <c r="AC185" i="10"/>
  <c r="AC186" i="10"/>
  <c r="AC187" i="10"/>
  <c r="AC188" i="10" s="1"/>
  <c r="AC189" i="10" s="1"/>
  <c r="D231" i="10"/>
  <c r="G231" i="10"/>
  <c r="E231" i="10"/>
  <c r="AA539" i="10"/>
  <c r="E4" i="18"/>
  <c r="G4" i="18" s="1"/>
  <c r="D230" i="10"/>
  <c r="G230" i="10"/>
  <c r="E230" i="10"/>
  <c r="O229" i="10"/>
  <c r="I495" i="10"/>
  <c r="I496" i="10" s="1"/>
  <c r="I497" i="10" s="1"/>
  <c r="I498" i="10" s="1"/>
  <c r="I499" i="10" s="1"/>
  <c r="AG497" i="10"/>
  <c r="AG498" i="10" s="1"/>
  <c r="AG499" i="10" s="1"/>
  <c r="AG500" i="10" s="1"/>
  <c r="AG501" i="10" s="1"/>
  <c r="AG502" i="10" s="1"/>
  <c r="AG503" i="10" s="1"/>
  <c r="AG504" i="10" s="1"/>
  <c r="AG505" i="10" s="1"/>
  <c r="AG506" i="10" s="1"/>
  <c r="AG507" i="10" s="1"/>
  <c r="AG508" i="10" s="1"/>
  <c r="C521" i="10"/>
  <c r="AG543" i="10"/>
  <c r="AG544" i="10" s="1"/>
  <c r="AG545" i="10" s="1"/>
  <c r="AG546" i="10" s="1"/>
  <c r="N206" i="10"/>
  <c r="O206" i="10" s="1"/>
  <c r="C206" i="10"/>
  <c r="D206" i="10"/>
  <c r="D219" i="10" s="1"/>
  <c r="E219" i="10" s="1"/>
  <c r="D221" i="10"/>
  <c r="G221" i="10"/>
  <c r="E221" i="10"/>
  <c r="D220" i="10"/>
  <c r="E220" i="10" s="1"/>
  <c r="G220" i="10"/>
  <c r="P215" i="10"/>
  <c r="E215" i="10"/>
  <c r="AG509" i="10"/>
  <c r="AG510" i="10" s="1"/>
  <c r="D213" i="10"/>
  <c r="D212" i="10"/>
  <c r="E212" i="10" s="1"/>
  <c r="G212" i="10"/>
  <c r="O211" i="10"/>
  <c r="D211" i="10"/>
  <c r="D210" i="10"/>
  <c r="E210" i="10" s="1"/>
  <c r="CJ209" i="10"/>
  <c r="CI209" i="10"/>
  <c r="CJ207" i="10"/>
  <c r="CI207" i="10"/>
  <c r="CJ204" i="10"/>
  <c r="CI204" i="10"/>
  <c r="CJ202" i="10"/>
  <c r="CI202" i="10"/>
  <c r="N186" i="10"/>
  <c r="O186" i="10" s="1"/>
  <c r="O201" i="10" s="1"/>
  <c r="C186" i="10"/>
  <c r="D186" i="10"/>
  <c r="D201" i="10" s="1"/>
  <c r="E201" i="10" s="1"/>
  <c r="G201" i="10"/>
  <c r="D200" i="10"/>
  <c r="CJ199" i="10"/>
  <c r="CI199" i="10"/>
  <c r="D199" i="10"/>
  <c r="G199" i="10"/>
  <c r="E199" i="10"/>
  <c r="O198" i="10"/>
  <c r="CJ197" i="10"/>
  <c r="CI197" i="10"/>
  <c r="D197" i="10"/>
  <c r="E197" i="10" s="1"/>
  <c r="G197" i="10"/>
  <c r="O196" i="10"/>
  <c r="R196" i="10" s="1"/>
  <c r="P196" i="10"/>
  <c r="P195" i="10"/>
  <c r="D195" i="10"/>
  <c r="G195" i="10" s="1"/>
  <c r="E195" i="10"/>
  <c r="CJ194" i="10"/>
  <c r="CI194" i="10"/>
  <c r="O193" i="10"/>
  <c r="D193" i="10"/>
  <c r="E193" i="10" s="1"/>
  <c r="G193" i="10"/>
  <c r="CJ192" i="10"/>
  <c r="CI192" i="10"/>
  <c r="D192" i="10"/>
  <c r="G192" i="10" s="1"/>
  <c r="O191" i="10"/>
  <c r="R191" i="10" s="1"/>
  <c r="CJ189" i="10"/>
  <c r="CI189" i="10"/>
  <c r="CJ187" i="10"/>
  <c r="CI187" i="10"/>
  <c r="CJ184" i="10"/>
  <c r="CI184" i="10"/>
  <c r="CJ182" i="10"/>
  <c r="CI182" i="10"/>
  <c r="AG177" i="10"/>
  <c r="AE174" i="10"/>
  <c r="AC174" i="10"/>
  <c r="AD174" i="10" s="1"/>
  <c r="AH172" i="10"/>
  <c r="D172" i="10"/>
  <c r="E172" i="10"/>
  <c r="D171" i="10"/>
  <c r="E171" i="10"/>
  <c r="D170" i="10"/>
  <c r="E170" i="10"/>
  <c r="D169" i="10"/>
  <c r="E169" i="10"/>
  <c r="D168" i="10"/>
  <c r="E168" i="10"/>
  <c r="AD234" i="10"/>
  <c r="AD233" i="10"/>
  <c r="AE207" i="10"/>
  <c r="AD188" i="10"/>
  <c r="AE188" i="10" s="1"/>
  <c r="AD183" i="10"/>
  <c r="AG183" i="10" s="1"/>
  <c r="AE183" i="10"/>
  <c r="AD185" i="10"/>
  <c r="AE185" i="10" s="1"/>
  <c r="AD182" i="10"/>
  <c r="R335" i="10"/>
  <c r="U333" i="10"/>
  <c r="U317" i="10"/>
  <c r="U315" i="10"/>
  <c r="U311" i="10"/>
  <c r="G355" i="10"/>
  <c r="T341" i="10"/>
  <c r="G335" i="10"/>
  <c r="G255" i="10"/>
  <c r="J317" i="10"/>
  <c r="R295" i="10"/>
  <c r="AD280" i="10"/>
  <c r="AD277" i="10"/>
  <c r="AD272" i="10"/>
  <c r="AD246" i="10"/>
  <c r="T231" i="10"/>
  <c r="S196" i="10"/>
  <c r="AD178" i="10"/>
  <c r="AE178" i="10" s="1"/>
  <c r="D167" i="10"/>
  <c r="E167" i="10" s="1"/>
  <c r="D166" i="10"/>
  <c r="E166" i="10"/>
  <c r="D165" i="10"/>
  <c r="E165" i="10" s="1"/>
  <c r="U295" i="10"/>
  <c r="T295" i="10"/>
  <c r="T313" i="10"/>
  <c r="T315" i="10"/>
  <c r="T333" i="10"/>
  <c r="I313" i="10"/>
  <c r="I355" i="10"/>
  <c r="J355" i="10"/>
  <c r="U341" i="10"/>
  <c r="T321" i="10"/>
  <c r="T335" i="10"/>
  <c r="U337" i="10"/>
  <c r="T275" i="10"/>
  <c r="J275" i="10"/>
  <c r="T255" i="10"/>
  <c r="U255" i="10"/>
  <c r="AG178" i="10"/>
  <c r="AG182" i="10"/>
  <c r="AE182" i="10"/>
  <c r="AE233" i="10"/>
  <c r="AG233" i="10"/>
  <c r="U231" i="10"/>
  <c r="T235" i="10"/>
  <c r="I255" i="10"/>
  <c r="U235" i="10"/>
  <c r="J255" i="10"/>
  <c r="D164" i="10"/>
  <c r="E164" i="10"/>
  <c r="D163" i="10"/>
  <c r="E163" i="10"/>
  <c r="F162" i="10"/>
  <c r="G162" i="10"/>
  <c r="D162" i="10"/>
  <c r="E162" i="10" s="1"/>
  <c r="F161" i="10"/>
  <c r="G161" i="10"/>
  <c r="D161" i="10"/>
  <c r="E161" i="10"/>
  <c r="F160" i="10"/>
  <c r="G160" i="10"/>
  <c r="D160" i="10"/>
  <c r="E160" i="10"/>
  <c r="F159" i="10"/>
  <c r="G159" i="10"/>
  <c r="D159" i="10"/>
  <c r="E159" i="10"/>
  <c r="F158" i="10"/>
  <c r="G158" i="10"/>
  <c r="D158" i="10"/>
  <c r="E158" i="10"/>
  <c r="F157" i="10"/>
  <c r="G157" i="10"/>
  <c r="D157" i="10"/>
  <c r="E157" i="10"/>
  <c r="F156" i="10"/>
  <c r="G156" i="10"/>
  <c r="D156" i="10"/>
  <c r="E156" i="10"/>
  <c r="F155" i="10"/>
  <c r="G155" i="10"/>
  <c r="D155" i="10"/>
  <c r="E155" i="10"/>
  <c r="F154" i="10"/>
  <c r="G154" i="10"/>
  <c r="D154" i="10"/>
  <c r="E154" i="10"/>
  <c r="F153" i="10"/>
  <c r="G153" i="10"/>
  <c r="D153" i="10"/>
  <c r="E153" i="10"/>
  <c r="H152" i="10"/>
  <c r="I152" i="10"/>
  <c r="F152" i="10"/>
  <c r="G152" i="10"/>
  <c r="D152" i="10"/>
  <c r="E152" i="10"/>
  <c r="H151" i="10"/>
  <c r="I151" i="10"/>
  <c r="F151" i="10"/>
  <c r="G151" i="10"/>
  <c r="D151" i="10"/>
  <c r="E151" i="10"/>
  <c r="H150" i="10"/>
  <c r="I150" i="10"/>
  <c r="F150" i="10"/>
  <c r="G150" i="10"/>
  <c r="D150" i="10"/>
  <c r="E150" i="10"/>
  <c r="H149" i="10"/>
  <c r="I149" i="10"/>
  <c r="F149" i="10"/>
  <c r="G149" i="10"/>
  <c r="D149" i="10"/>
  <c r="E149" i="10"/>
  <c r="H148" i="10"/>
  <c r="I148" i="10"/>
  <c r="F148" i="10"/>
  <c r="G148" i="10"/>
  <c r="D148" i="10"/>
  <c r="E148" i="10"/>
  <c r="H147" i="10"/>
  <c r="I147" i="10"/>
  <c r="F147" i="10"/>
  <c r="G147" i="10"/>
  <c r="D147" i="10"/>
  <c r="E147" i="10"/>
  <c r="H146" i="10"/>
  <c r="I146" i="10"/>
  <c r="F146" i="10"/>
  <c r="G146" i="10"/>
  <c r="D146" i="10"/>
  <c r="E146" i="10"/>
  <c r="H145" i="10"/>
  <c r="I145" i="10"/>
  <c r="F145" i="10"/>
  <c r="G145" i="10"/>
  <c r="D145" i="10"/>
  <c r="E145" i="10"/>
  <c r="H144" i="10"/>
  <c r="I144" i="10"/>
  <c r="F144" i="10"/>
  <c r="G144" i="10"/>
  <c r="D144" i="10"/>
  <c r="E144" i="10"/>
  <c r="H143" i="10"/>
  <c r="I143" i="10"/>
  <c r="F143" i="10"/>
  <c r="G143" i="10"/>
  <c r="D143" i="10"/>
  <c r="E143" i="10"/>
  <c r="J142" i="10"/>
  <c r="K142" i="10"/>
  <c r="H142" i="10"/>
  <c r="I142" i="10"/>
  <c r="F142" i="10"/>
  <c r="G142" i="10"/>
  <c r="D142" i="10"/>
  <c r="E142" i="10"/>
  <c r="J141" i="10"/>
  <c r="K141" i="10"/>
  <c r="H141" i="10"/>
  <c r="I141" i="10"/>
  <c r="F141" i="10"/>
  <c r="G141" i="10"/>
  <c r="D141" i="10"/>
  <c r="E141" i="10"/>
  <c r="J140" i="10"/>
  <c r="K140" i="10"/>
  <c r="H140" i="10"/>
  <c r="I140" i="10"/>
  <c r="F140" i="10"/>
  <c r="G140" i="10"/>
  <c r="D140" i="10"/>
  <c r="E140" i="10"/>
  <c r="J139" i="10"/>
  <c r="K139" i="10"/>
  <c r="H139" i="10"/>
  <c r="I139" i="10"/>
  <c r="F139" i="10"/>
  <c r="G139" i="10"/>
  <c r="D139" i="10"/>
  <c r="E139" i="10"/>
  <c r="J138" i="10"/>
  <c r="K138" i="10"/>
  <c r="H138" i="10"/>
  <c r="I138" i="10"/>
  <c r="F138" i="10"/>
  <c r="G138" i="10"/>
  <c r="D138" i="10"/>
  <c r="E138" i="10"/>
  <c r="J137" i="10"/>
  <c r="K137" i="10"/>
  <c r="H137" i="10"/>
  <c r="I137" i="10"/>
  <c r="F137" i="10"/>
  <c r="G137" i="10"/>
  <c r="D137" i="10"/>
  <c r="E137" i="10"/>
  <c r="J136" i="10"/>
  <c r="K136" i="10"/>
  <c r="H136" i="10"/>
  <c r="I136" i="10"/>
  <c r="F136" i="10"/>
  <c r="G136" i="10"/>
  <c r="D136" i="10"/>
  <c r="E136" i="10"/>
  <c r="J135" i="10"/>
  <c r="K135" i="10"/>
  <c r="H135" i="10"/>
  <c r="I135" i="10"/>
  <c r="F135" i="10"/>
  <c r="G135" i="10"/>
  <c r="D135" i="10"/>
  <c r="E135" i="10"/>
  <c r="J134" i="10"/>
  <c r="K134" i="10"/>
  <c r="H134" i="10"/>
  <c r="I134" i="10"/>
  <c r="F134" i="10"/>
  <c r="G134" i="10"/>
  <c r="D134" i="10"/>
  <c r="E134" i="10"/>
  <c r="J133" i="10"/>
  <c r="K133" i="10"/>
  <c r="H133" i="10"/>
  <c r="I133" i="10"/>
  <c r="F133" i="10"/>
  <c r="G133" i="10"/>
  <c r="D133" i="10"/>
  <c r="E133" i="10"/>
  <c r="L132" i="10"/>
  <c r="M132" i="10"/>
  <c r="J132" i="10"/>
  <c r="K132" i="10"/>
  <c r="H132" i="10"/>
  <c r="I132" i="10"/>
  <c r="F132" i="10"/>
  <c r="G132" i="10"/>
  <c r="D132" i="10"/>
  <c r="E132" i="10"/>
  <c r="L131" i="10"/>
  <c r="M131" i="10"/>
  <c r="J131" i="10"/>
  <c r="K131" i="10"/>
  <c r="H131" i="10"/>
  <c r="I131" i="10"/>
  <c r="F131" i="10"/>
  <c r="G131" i="10"/>
  <c r="D131" i="10"/>
  <c r="E131" i="10"/>
  <c r="L130" i="10"/>
  <c r="M130" i="10"/>
  <c r="J130" i="10"/>
  <c r="K130" i="10"/>
  <c r="H130" i="10"/>
  <c r="I130" i="10"/>
  <c r="F130" i="10"/>
  <c r="G130" i="10"/>
  <c r="D130" i="10"/>
  <c r="E130" i="10"/>
  <c r="L129" i="10"/>
  <c r="M129" i="10"/>
  <c r="J129" i="10"/>
  <c r="K129" i="10"/>
  <c r="H129" i="10"/>
  <c r="I129" i="10"/>
  <c r="F129" i="10"/>
  <c r="G129" i="10"/>
  <c r="D129" i="10"/>
  <c r="E129" i="10"/>
  <c r="L128" i="10"/>
  <c r="M128" i="10"/>
  <c r="J128" i="10"/>
  <c r="K128" i="10"/>
  <c r="H128" i="10"/>
  <c r="I128" i="10"/>
  <c r="F128" i="10"/>
  <c r="G128" i="10"/>
  <c r="D128" i="10"/>
  <c r="E128" i="10"/>
  <c r="L127" i="10"/>
  <c r="M127" i="10"/>
  <c r="J127" i="10"/>
  <c r="K127" i="10"/>
  <c r="H127" i="10"/>
  <c r="I127" i="10"/>
  <c r="F127" i="10"/>
  <c r="G127" i="10"/>
  <c r="D127" i="10"/>
  <c r="E127" i="10"/>
  <c r="L126" i="10"/>
  <c r="M126" i="10"/>
  <c r="J126" i="10"/>
  <c r="K126" i="10"/>
  <c r="H126" i="10"/>
  <c r="I126" i="10"/>
  <c r="F126" i="10"/>
  <c r="G126" i="10"/>
  <c r="D126" i="10"/>
  <c r="E126" i="10"/>
  <c r="L125" i="10"/>
  <c r="M125" i="10"/>
  <c r="J125" i="10"/>
  <c r="K125" i="10"/>
  <c r="H125" i="10"/>
  <c r="I125" i="10"/>
  <c r="F125" i="10"/>
  <c r="G125" i="10"/>
  <c r="D125" i="10"/>
  <c r="E125" i="10"/>
  <c r="L124" i="10"/>
  <c r="M124" i="10"/>
  <c r="J124" i="10"/>
  <c r="K124" i="10"/>
  <c r="H124" i="10"/>
  <c r="I124" i="10"/>
  <c r="F124" i="10"/>
  <c r="G124" i="10"/>
  <c r="D124" i="10"/>
  <c r="E124" i="10"/>
  <c r="L123" i="10"/>
  <c r="J123" i="10"/>
  <c r="K123" i="10"/>
  <c r="H123" i="10"/>
  <c r="I123" i="10" s="1"/>
  <c r="F123" i="10"/>
  <c r="G123" i="10" s="1"/>
  <c r="D123" i="10"/>
  <c r="E123" i="10" s="1"/>
  <c r="N122" i="10"/>
  <c r="L122" i="10"/>
  <c r="M122" i="10" s="1"/>
  <c r="J122" i="10"/>
  <c r="K122" i="10"/>
  <c r="H122" i="10"/>
  <c r="I122" i="10"/>
  <c r="F122" i="10"/>
  <c r="G122" i="10"/>
  <c r="D122" i="10"/>
  <c r="E122" i="10" s="1"/>
  <c r="N121" i="10"/>
  <c r="O121" i="10" s="1"/>
  <c r="L121" i="10"/>
  <c r="M121" i="10" s="1"/>
  <c r="J121" i="10"/>
  <c r="K121" i="10" s="1"/>
  <c r="H121" i="10"/>
  <c r="I121" i="10"/>
  <c r="F121" i="10"/>
  <c r="G121" i="10"/>
  <c r="D121" i="10"/>
  <c r="E121" i="10" s="1"/>
  <c r="N120" i="10"/>
  <c r="O120" i="10" s="1"/>
  <c r="L120" i="10"/>
  <c r="M120" i="10"/>
  <c r="J120" i="10"/>
  <c r="K120" i="10"/>
  <c r="H120" i="10"/>
  <c r="I120" i="10"/>
  <c r="F120" i="10"/>
  <c r="G120" i="10"/>
  <c r="D120" i="10"/>
  <c r="E120" i="10"/>
  <c r="N119" i="10"/>
  <c r="O119" i="10"/>
  <c r="L119" i="10"/>
  <c r="M119" i="10"/>
  <c r="J119" i="10"/>
  <c r="K119" i="10"/>
  <c r="H119" i="10"/>
  <c r="I119" i="10"/>
  <c r="F119" i="10"/>
  <c r="G119" i="10"/>
  <c r="D119" i="10"/>
  <c r="E119" i="10"/>
  <c r="N118" i="10"/>
  <c r="O118" i="10"/>
  <c r="L118" i="10"/>
  <c r="M118" i="10"/>
  <c r="J118" i="10"/>
  <c r="K118" i="10"/>
  <c r="H118" i="10"/>
  <c r="I118" i="10"/>
  <c r="F118" i="10"/>
  <c r="G118" i="10"/>
  <c r="D118" i="10"/>
  <c r="E118" i="10"/>
  <c r="DD117" i="10"/>
  <c r="DE117" i="10"/>
  <c r="CS117" i="10"/>
  <c r="CT117" i="10" s="1"/>
  <c r="CH117" i="10"/>
  <c r="CI117" i="10" s="1"/>
  <c r="BW117" i="10"/>
  <c r="BL117" i="10"/>
  <c r="BM117" i="10"/>
  <c r="BA117" i="10"/>
  <c r="AP117" i="10"/>
  <c r="AQ117" i="10"/>
  <c r="N117" i="10"/>
  <c r="O117" i="10" s="1"/>
  <c r="L117" i="10"/>
  <c r="M117" i="10" s="1"/>
  <c r="J117" i="10"/>
  <c r="K117" i="10"/>
  <c r="H117" i="10"/>
  <c r="I117" i="10" s="1"/>
  <c r="F117" i="10"/>
  <c r="G117" i="10" s="1"/>
  <c r="D117" i="10"/>
  <c r="E117" i="10" s="1"/>
  <c r="N116" i="10"/>
  <c r="O116" i="10"/>
  <c r="L116" i="10"/>
  <c r="M116" i="10" s="1"/>
  <c r="J116" i="10"/>
  <c r="K116" i="10" s="1"/>
  <c r="H116" i="10"/>
  <c r="I116" i="10" s="1"/>
  <c r="F116" i="10"/>
  <c r="G116" i="10"/>
  <c r="D116" i="10"/>
  <c r="E116" i="10"/>
  <c r="N115" i="10"/>
  <c r="O115" i="10" s="1"/>
  <c r="L115" i="10"/>
  <c r="M115" i="10" s="1"/>
  <c r="J115" i="10"/>
  <c r="K115" i="10"/>
  <c r="H115" i="10"/>
  <c r="I115" i="10"/>
  <c r="F115" i="10"/>
  <c r="G115" i="10" s="1"/>
  <c r="D115" i="10"/>
  <c r="E115" i="10" s="1"/>
  <c r="N114" i="10"/>
  <c r="O114" i="10"/>
  <c r="L114" i="10"/>
  <c r="M114" i="10" s="1"/>
  <c r="J114" i="10"/>
  <c r="K114" i="10" s="1"/>
  <c r="H114" i="10"/>
  <c r="I114" i="10" s="1"/>
  <c r="F114" i="10"/>
  <c r="G114" i="10"/>
  <c r="D114" i="10"/>
  <c r="E114" i="10" s="1"/>
  <c r="N113" i="10"/>
  <c r="O113" i="10" s="1"/>
  <c r="L113" i="10"/>
  <c r="M113" i="10" s="1"/>
  <c r="J113" i="10"/>
  <c r="K113" i="10"/>
  <c r="H113" i="10"/>
  <c r="I113" i="10"/>
  <c r="F113" i="10"/>
  <c r="G113" i="10" s="1"/>
  <c r="D113" i="10"/>
  <c r="E113" i="10" s="1"/>
  <c r="P112" i="10"/>
  <c r="Q112" i="10"/>
  <c r="N112" i="10"/>
  <c r="O112" i="10" s="1"/>
  <c r="L112" i="10"/>
  <c r="M112" i="10" s="1"/>
  <c r="J112" i="10"/>
  <c r="K112" i="10" s="1"/>
  <c r="H112" i="10"/>
  <c r="I112" i="10"/>
  <c r="F112" i="10"/>
  <c r="G112" i="10" s="1"/>
  <c r="D112" i="10"/>
  <c r="E112" i="10" s="1"/>
  <c r="AF111" i="10"/>
  <c r="P111" i="10"/>
  <c r="Q111" i="10"/>
  <c r="N111" i="10"/>
  <c r="O111" i="10" s="1"/>
  <c r="L111" i="10"/>
  <c r="M111" i="10" s="1"/>
  <c r="J111" i="10"/>
  <c r="K111" i="10" s="1"/>
  <c r="H111" i="10"/>
  <c r="I111" i="10"/>
  <c r="F111" i="10"/>
  <c r="G111" i="10" s="1"/>
  <c r="D111" i="10"/>
  <c r="E111" i="10" s="1"/>
  <c r="AF110" i="10"/>
  <c r="P110" i="10"/>
  <c r="Q110" i="10"/>
  <c r="N110" i="10"/>
  <c r="O110" i="10"/>
  <c r="L110" i="10"/>
  <c r="M110" i="10" s="1"/>
  <c r="J110" i="10"/>
  <c r="K110" i="10"/>
  <c r="H110" i="10"/>
  <c r="I110" i="10"/>
  <c r="F110" i="10"/>
  <c r="G110" i="10"/>
  <c r="D110" i="10"/>
  <c r="E110" i="10" s="1"/>
  <c r="P109" i="10"/>
  <c r="Q109" i="10"/>
  <c r="N109" i="10"/>
  <c r="O109" i="10"/>
  <c r="L109" i="10"/>
  <c r="M109" i="10" s="1"/>
  <c r="J109" i="10"/>
  <c r="K109" i="10" s="1"/>
  <c r="H109" i="10"/>
  <c r="I109" i="10"/>
  <c r="F109" i="10"/>
  <c r="G109" i="10"/>
  <c r="D109" i="10"/>
  <c r="E109" i="10" s="1"/>
  <c r="P108" i="10"/>
  <c r="Q108" i="10" s="1"/>
  <c r="N108" i="10"/>
  <c r="O108" i="10"/>
  <c r="L108" i="10"/>
  <c r="M108" i="10"/>
  <c r="J108" i="10"/>
  <c r="K108" i="10"/>
  <c r="H108" i="10"/>
  <c r="I108" i="10" s="1"/>
  <c r="F108" i="10"/>
  <c r="G108" i="10"/>
  <c r="D108" i="10"/>
  <c r="E108" i="10"/>
  <c r="P107" i="10"/>
  <c r="Q107" i="10" s="1"/>
  <c r="N107" i="10"/>
  <c r="O107" i="10" s="1"/>
  <c r="L107" i="10"/>
  <c r="M107" i="10"/>
  <c r="J107" i="10"/>
  <c r="K107" i="10"/>
  <c r="H107" i="10"/>
  <c r="I107" i="10" s="1"/>
  <c r="F107" i="10"/>
  <c r="G107" i="10" s="1"/>
  <c r="D107" i="10"/>
  <c r="E107" i="10"/>
  <c r="P106" i="10"/>
  <c r="Q106" i="10"/>
  <c r="N106" i="10"/>
  <c r="O106" i="10" s="1"/>
  <c r="L106" i="10"/>
  <c r="M106" i="10" s="1"/>
  <c r="J106" i="10"/>
  <c r="K106" i="10"/>
  <c r="H106" i="10"/>
  <c r="I106" i="10"/>
  <c r="F106" i="10"/>
  <c r="G106" i="10" s="1"/>
  <c r="D106" i="10"/>
  <c r="E106" i="10" s="1"/>
  <c r="P105" i="10"/>
  <c r="Q105" i="10"/>
  <c r="N105" i="10"/>
  <c r="O105" i="10"/>
  <c r="L105" i="10"/>
  <c r="M105" i="10"/>
  <c r="J105" i="10"/>
  <c r="K105" i="10" s="1"/>
  <c r="H105" i="10"/>
  <c r="I105" i="10"/>
  <c r="F105" i="10"/>
  <c r="G105" i="10"/>
  <c r="D105" i="10"/>
  <c r="E105" i="10" s="1"/>
  <c r="AB104" i="10"/>
  <c r="AA104" i="10"/>
  <c r="X104" i="10"/>
  <c r="W104" i="10"/>
  <c r="P104" i="10"/>
  <c r="Q104" i="10"/>
  <c r="N104" i="10"/>
  <c r="O104" i="10" s="1"/>
  <c r="L104" i="10"/>
  <c r="M104" i="10" s="1"/>
  <c r="J104" i="10"/>
  <c r="K104" i="10"/>
  <c r="H104" i="10"/>
  <c r="I104" i="10"/>
  <c r="F104" i="10"/>
  <c r="G104" i="10" s="1"/>
  <c r="D104" i="10"/>
  <c r="E104" i="10" s="1"/>
  <c r="AB103" i="10"/>
  <c r="AA103" i="10"/>
  <c r="X103" i="10"/>
  <c r="W103" i="10"/>
  <c r="P103" i="10"/>
  <c r="Q103" i="10"/>
  <c r="N103" i="10"/>
  <c r="O103" i="10" s="1"/>
  <c r="L103" i="10"/>
  <c r="M103" i="10"/>
  <c r="J103" i="10"/>
  <c r="K103" i="10"/>
  <c r="H103" i="10"/>
  <c r="I103" i="10" s="1"/>
  <c r="F103" i="10"/>
  <c r="G103" i="10" s="1"/>
  <c r="D103" i="10"/>
  <c r="E103" i="10"/>
  <c r="AB102" i="10"/>
  <c r="AA102" i="10"/>
  <c r="X102" i="10"/>
  <c r="W102" i="10"/>
  <c r="R102" i="10"/>
  <c r="S102" i="10" s="1"/>
  <c r="P102" i="10"/>
  <c r="Q102" i="10"/>
  <c r="N102" i="10"/>
  <c r="O102" i="10"/>
  <c r="L102" i="10"/>
  <c r="M102" i="10"/>
  <c r="J102" i="10"/>
  <c r="K102" i="10" s="1"/>
  <c r="H102" i="10"/>
  <c r="I102" i="10"/>
  <c r="F102" i="10"/>
  <c r="G102" i="10"/>
  <c r="D102" i="10"/>
  <c r="E102" i="10" s="1"/>
  <c r="AB101" i="10"/>
  <c r="AA101" i="10"/>
  <c r="X101" i="10"/>
  <c r="W101" i="10"/>
  <c r="R101" i="10"/>
  <c r="S101" i="10"/>
  <c r="P101" i="10"/>
  <c r="Q101" i="10" s="1"/>
  <c r="N101" i="10"/>
  <c r="O101" i="10" s="1"/>
  <c r="L101" i="10"/>
  <c r="M101" i="10"/>
  <c r="J101" i="10"/>
  <c r="K101" i="10"/>
  <c r="H101" i="10"/>
  <c r="I101" i="10"/>
  <c r="F101" i="10"/>
  <c r="G101" i="10" s="1"/>
  <c r="D101" i="10"/>
  <c r="E101" i="10"/>
  <c r="AB100" i="10"/>
  <c r="AA100" i="10"/>
  <c r="X100" i="10"/>
  <c r="W100" i="10"/>
  <c r="R100" i="10"/>
  <c r="S100" i="10" s="1"/>
  <c r="P100" i="10"/>
  <c r="Q100" i="10"/>
  <c r="N100" i="10"/>
  <c r="O100" i="10"/>
  <c r="L100" i="10"/>
  <c r="M100" i="10" s="1"/>
  <c r="J100" i="10"/>
  <c r="K100" i="10" s="1"/>
  <c r="H100" i="10"/>
  <c r="I100" i="10"/>
  <c r="F100" i="10"/>
  <c r="G100" i="10"/>
  <c r="D100" i="10"/>
  <c r="E100" i="10"/>
  <c r="AB99" i="10"/>
  <c r="AA99" i="10"/>
  <c r="X99" i="10"/>
  <c r="W99" i="10"/>
  <c r="R99" i="10"/>
  <c r="S99" i="10"/>
  <c r="P99" i="10"/>
  <c r="Q99" i="10"/>
  <c r="N99" i="10"/>
  <c r="O99" i="10" s="1"/>
  <c r="L99" i="10"/>
  <c r="M99" i="10"/>
  <c r="J99" i="10"/>
  <c r="K99" i="10"/>
  <c r="H99" i="10"/>
  <c r="I99" i="10" s="1"/>
  <c r="F99" i="10"/>
  <c r="G99" i="10" s="1"/>
  <c r="D99" i="10"/>
  <c r="E99" i="10"/>
  <c r="AB98" i="10"/>
  <c r="AA98" i="10"/>
  <c r="X98" i="10"/>
  <c r="W98" i="10"/>
  <c r="R98" i="10"/>
  <c r="S98" i="10" s="1"/>
  <c r="P98" i="10"/>
  <c r="Q98" i="10"/>
  <c r="N98" i="10"/>
  <c r="O98" i="10"/>
  <c r="L98" i="10"/>
  <c r="M98" i="10"/>
  <c r="J98" i="10"/>
  <c r="K98" i="10" s="1"/>
  <c r="H98" i="10"/>
  <c r="I98" i="10"/>
  <c r="F98" i="10"/>
  <c r="G98" i="10"/>
  <c r="D98" i="10"/>
  <c r="E98" i="10" s="1"/>
  <c r="AB97" i="10"/>
  <c r="AA97" i="10"/>
  <c r="X97" i="10"/>
  <c r="W97" i="10"/>
  <c r="R97" i="10"/>
  <c r="S97" i="10"/>
  <c r="P97" i="10"/>
  <c r="Q97" i="10" s="1"/>
  <c r="N97" i="10"/>
  <c r="O97" i="10"/>
  <c r="L97" i="10"/>
  <c r="M97" i="10"/>
  <c r="J97" i="10"/>
  <c r="K97" i="10"/>
  <c r="H97" i="10"/>
  <c r="I97" i="10" s="1"/>
  <c r="F97" i="10"/>
  <c r="G97" i="10"/>
  <c r="D97" i="10"/>
  <c r="E97" i="10"/>
  <c r="AB96" i="10"/>
  <c r="AA96" i="10"/>
  <c r="X96" i="10"/>
  <c r="W96" i="10"/>
  <c r="R96" i="10"/>
  <c r="S96" i="10"/>
  <c r="P96" i="10"/>
  <c r="Q96" i="10"/>
  <c r="N96" i="10"/>
  <c r="O96" i="10"/>
  <c r="L96" i="10"/>
  <c r="M96" i="10" s="1"/>
  <c r="J96" i="10"/>
  <c r="K96" i="10"/>
  <c r="H96" i="10"/>
  <c r="I96" i="10"/>
  <c r="F96" i="10"/>
  <c r="G96" i="10"/>
  <c r="D96" i="10"/>
  <c r="E96" i="10" s="1"/>
  <c r="AB95" i="10"/>
  <c r="AA95" i="10"/>
  <c r="X95" i="10"/>
  <c r="W95" i="10"/>
  <c r="R95" i="10"/>
  <c r="S95" i="10"/>
  <c r="P95" i="10"/>
  <c r="Q95" i="10" s="1"/>
  <c r="N95" i="10"/>
  <c r="O95" i="10"/>
  <c r="L95" i="10"/>
  <c r="M95" i="10"/>
  <c r="J95" i="10"/>
  <c r="K95" i="10"/>
  <c r="H95" i="10"/>
  <c r="I95" i="10" s="1"/>
  <c r="F95" i="10"/>
  <c r="G95" i="10"/>
  <c r="D95" i="10"/>
  <c r="E95" i="10"/>
  <c r="AB94" i="10"/>
  <c r="AA94" i="10"/>
  <c r="X94" i="10"/>
  <c r="W94" i="10"/>
  <c r="R94" i="10"/>
  <c r="S94" i="10"/>
  <c r="P94" i="10"/>
  <c r="Q94" i="10"/>
  <c r="N94" i="10"/>
  <c r="O94" i="10"/>
  <c r="L94" i="10"/>
  <c r="M94" i="10" s="1"/>
  <c r="J94" i="10"/>
  <c r="K94" i="10"/>
  <c r="H94" i="10"/>
  <c r="I94" i="10"/>
  <c r="F94" i="10"/>
  <c r="G94" i="10"/>
  <c r="D94" i="10"/>
  <c r="E94" i="10" s="1"/>
  <c r="AB93" i="10"/>
  <c r="AA93" i="10"/>
  <c r="X93" i="10"/>
  <c r="W93" i="10"/>
  <c r="R93" i="10"/>
  <c r="S93" i="10"/>
  <c r="P93" i="10"/>
  <c r="Q93" i="10" s="1"/>
  <c r="N93" i="10"/>
  <c r="O93" i="10"/>
  <c r="L93" i="10"/>
  <c r="M93" i="10"/>
  <c r="J93" i="10"/>
  <c r="K93" i="10"/>
  <c r="H93" i="10"/>
  <c r="I93" i="10" s="1"/>
  <c r="F93" i="10"/>
  <c r="G93" i="10"/>
  <c r="D93" i="10"/>
  <c r="E93" i="10"/>
  <c r="AB92" i="10"/>
  <c r="AA92" i="10"/>
  <c r="X92" i="10"/>
  <c r="W92" i="10"/>
  <c r="R92" i="10"/>
  <c r="S92" i="10"/>
  <c r="P92" i="10"/>
  <c r="Q92" i="10"/>
  <c r="N92" i="10"/>
  <c r="O92" i="10"/>
  <c r="L92" i="10"/>
  <c r="M92" i="10" s="1"/>
  <c r="J92" i="10"/>
  <c r="K92" i="10"/>
  <c r="H92" i="10"/>
  <c r="I92" i="10"/>
  <c r="F92" i="10"/>
  <c r="G92" i="10"/>
  <c r="D92" i="10"/>
  <c r="E92" i="10" s="1"/>
  <c r="AB91" i="10"/>
  <c r="AA91" i="10"/>
  <c r="X91" i="10"/>
  <c r="W91" i="10"/>
  <c r="R91" i="10"/>
  <c r="S91" i="10"/>
  <c r="P91" i="10"/>
  <c r="Q91" i="10" s="1"/>
  <c r="N91" i="10"/>
  <c r="O91" i="10" s="1"/>
  <c r="L91" i="10"/>
  <c r="M91" i="10"/>
  <c r="J91" i="10"/>
  <c r="K91" i="10"/>
  <c r="H91" i="10"/>
  <c r="I91" i="10"/>
  <c r="F91" i="10"/>
  <c r="G91" i="10" s="1"/>
  <c r="D91" i="10"/>
  <c r="E91" i="10"/>
  <c r="AB90" i="10"/>
  <c r="AA90" i="10"/>
  <c r="X90" i="10"/>
  <c r="W90" i="10"/>
  <c r="R90" i="10"/>
  <c r="S90" i="10" s="1"/>
  <c r="P90" i="10"/>
  <c r="Q90" i="10"/>
  <c r="N90" i="10"/>
  <c r="O90" i="10"/>
  <c r="L90" i="10"/>
  <c r="M90" i="10" s="1"/>
  <c r="J90" i="10"/>
  <c r="K90" i="10" s="1"/>
  <c r="H90" i="10"/>
  <c r="I90" i="10"/>
  <c r="F90" i="10"/>
  <c r="G90" i="10"/>
  <c r="D90" i="10"/>
  <c r="E90" i="10"/>
  <c r="AB89" i="10"/>
  <c r="AA89" i="10"/>
  <c r="X89" i="10"/>
  <c r="W89" i="10"/>
  <c r="R89" i="10"/>
  <c r="S89" i="10"/>
  <c r="P89" i="10"/>
  <c r="Q89" i="10"/>
  <c r="N89" i="10"/>
  <c r="O89" i="10"/>
  <c r="L89" i="10"/>
  <c r="M89" i="10"/>
  <c r="J89" i="10"/>
  <c r="K89" i="10"/>
  <c r="H89" i="10"/>
  <c r="I89" i="10"/>
  <c r="F89" i="10"/>
  <c r="G89" i="10"/>
  <c r="D89" i="10"/>
  <c r="E89" i="10"/>
  <c r="AB88" i="10"/>
  <c r="AA88" i="10"/>
  <c r="X88" i="10"/>
  <c r="W88" i="10"/>
  <c r="R88" i="10"/>
  <c r="S88" i="10"/>
  <c r="P88" i="10"/>
  <c r="Q88" i="10"/>
  <c r="N88" i="10"/>
  <c r="O88" i="10"/>
  <c r="L88" i="10"/>
  <c r="M88" i="10"/>
  <c r="J88" i="10"/>
  <c r="K88" i="10"/>
  <c r="H88" i="10"/>
  <c r="I88" i="10"/>
  <c r="F88" i="10"/>
  <c r="G88" i="10"/>
  <c r="D88" i="10"/>
  <c r="E88" i="10"/>
  <c r="AB87" i="10"/>
  <c r="AA87" i="10"/>
  <c r="X87" i="10"/>
  <c r="W87" i="10"/>
  <c r="R87" i="10"/>
  <c r="S87" i="10"/>
  <c r="P87" i="10"/>
  <c r="Q87" i="10"/>
  <c r="N87" i="10"/>
  <c r="O87" i="10"/>
  <c r="L87" i="10"/>
  <c r="M87" i="10"/>
  <c r="J87" i="10"/>
  <c r="K87" i="10"/>
  <c r="H87" i="10"/>
  <c r="I87" i="10"/>
  <c r="F87" i="10"/>
  <c r="G87" i="10"/>
  <c r="D87" i="10"/>
  <c r="E87" i="10"/>
  <c r="AB86" i="10"/>
  <c r="AA86" i="10"/>
  <c r="X86" i="10"/>
  <c r="W86" i="10"/>
  <c r="R86" i="10"/>
  <c r="S86" i="10"/>
  <c r="P86" i="10"/>
  <c r="Q86" i="10"/>
  <c r="N86" i="10"/>
  <c r="O86" i="10"/>
  <c r="L86" i="10"/>
  <c r="M86" i="10"/>
  <c r="J86" i="10"/>
  <c r="K86" i="10"/>
  <c r="H86" i="10"/>
  <c r="I86" i="10"/>
  <c r="F86" i="10"/>
  <c r="G86" i="10"/>
  <c r="D86" i="10"/>
  <c r="E86" i="10"/>
  <c r="DD85" i="10"/>
  <c r="DE85" i="10" s="1"/>
  <c r="CS85" i="10"/>
  <c r="CT85" i="10" s="1"/>
  <c r="CH85" i="10"/>
  <c r="CI85" i="10" s="1"/>
  <c r="BW85" i="10"/>
  <c r="BX85" i="10"/>
  <c r="BL85" i="10"/>
  <c r="BM85" i="10" s="1"/>
  <c r="BA85" i="10"/>
  <c r="BB85" i="10"/>
  <c r="AP85" i="10"/>
  <c r="AQ85" i="10" s="1"/>
  <c r="R85" i="10"/>
  <c r="S85" i="10"/>
  <c r="P85" i="10"/>
  <c r="Q85" i="10"/>
  <c r="N85" i="10"/>
  <c r="O85" i="10"/>
  <c r="L85" i="10"/>
  <c r="M85" i="10" s="1"/>
  <c r="J85" i="10"/>
  <c r="K85" i="10"/>
  <c r="H85" i="10"/>
  <c r="I85" i="10"/>
  <c r="F85" i="10"/>
  <c r="G85" i="10"/>
  <c r="D85" i="10"/>
  <c r="E85" i="10" s="1"/>
  <c r="R84" i="10"/>
  <c r="S84" i="10"/>
  <c r="P84" i="10"/>
  <c r="Q84" i="10"/>
  <c r="N84" i="10"/>
  <c r="O84" i="10"/>
  <c r="L84" i="10"/>
  <c r="M84" i="10" s="1"/>
  <c r="J84" i="10"/>
  <c r="K84" i="10"/>
  <c r="H84" i="10"/>
  <c r="I84" i="10"/>
  <c r="F84" i="10"/>
  <c r="G84" i="10"/>
  <c r="D84" i="10"/>
  <c r="E84" i="10" s="1"/>
  <c r="R83" i="10"/>
  <c r="S83" i="10"/>
  <c r="P83" i="10"/>
  <c r="Q83" i="10"/>
  <c r="N83" i="10"/>
  <c r="O83" i="10"/>
  <c r="L83" i="10"/>
  <c r="M83" i="10" s="1"/>
  <c r="J83" i="10"/>
  <c r="K83" i="10"/>
  <c r="H83" i="10"/>
  <c r="I83" i="10"/>
  <c r="F83" i="10"/>
  <c r="G83" i="10"/>
  <c r="D83" i="10"/>
  <c r="E83" i="10" s="1"/>
  <c r="R82" i="10"/>
  <c r="S82" i="10"/>
  <c r="P82" i="10"/>
  <c r="Q82" i="10"/>
  <c r="N82" i="10"/>
  <c r="O82" i="10"/>
  <c r="L82" i="10"/>
  <c r="M82" i="10" s="1"/>
  <c r="J82" i="10"/>
  <c r="K82" i="10"/>
  <c r="H82" i="10"/>
  <c r="I82" i="10"/>
  <c r="F82" i="10"/>
  <c r="G82" i="10"/>
  <c r="D82" i="10"/>
  <c r="E82" i="10" s="1"/>
  <c r="P81" i="10"/>
  <c r="Q81" i="10"/>
  <c r="N81" i="10"/>
  <c r="O81" i="10"/>
  <c r="L81" i="10"/>
  <c r="M81" i="10"/>
  <c r="J81" i="10"/>
  <c r="K81" i="10" s="1"/>
  <c r="H81" i="10"/>
  <c r="I81" i="10"/>
  <c r="F81" i="10"/>
  <c r="G81" i="10"/>
  <c r="D81" i="10"/>
  <c r="E81" i="10"/>
  <c r="P80" i="10"/>
  <c r="Q80" i="10" s="1"/>
  <c r="N80" i="10"/>
  <c r="O80" i="10"/>
  <c r="L80" i="10"/>
  <c r="M80" i="10"/>
  <c r="J80" i="10"/>
  <c r="K80" i="10"/>
  <c r="H80" i="10"/>
  <c r="I80" i="10" s="1"/>
  <c r="F80" i="10"/>
  <c r="G80" i="10"/>
  <c r="D80" i="10"/>
  <c r="E80" i="10"/>
  <c r="P79" i="10"/>
  <c r="Q79" i="10"/>
  <c r="N79" i="10"/>
  <c r="O79" i="10" s="1"/>
  <c r="L79" i="10"/>
  <c r="M79" i="10"/>
  <c r="J79" i="10"/>
  <c r="K79" i="10"/>
  <c r="H79" i="10"/>
  <c r="I79" i="10"/>
  <c r="F79" i="10"/>
  <c r="G79" i="10" s="1"/>
  <c r="D79" i="10"/>
  <c r="E79" i="10"/>
  <c r="P78" i="10"/>
  <c r="Q78" i="10"/>
  <c r="N78" i="10"/>
  <c r="O78" i="10"/>
  <c r="L78" i="10"/>
  <c r="M78" i="10" s="1"/>
  <c r="J78" i="10"/>
  <c r="K78" i="10"/>
  <c r="H78" i="10"/>
  <c r="I78" i="10"/>
  <c r="F78" i="10"/>
  <c r="G78" i="10"/>
  <c r="D78" i="10"/>
  <c r="E78" i="10" s="1"/>
  <c r="P77" i="10"/>
  <c r="Q77" i="10"/>
  <c r="N77" i="10"/>
  <c r="O77" i="10"/>
  <c r="L77" i="10"/>
  <c r="M77" i="10"/>
  <c r="J77" i="10"/>
  <c r="K77" i="10" s="1"/>
  <c r="H77" i="10"/>
  <c r="I77" i="10"/>
  <c r="F77" i="10"/>
  <c r="G77" i="10"/>
  <c r="D77" i="10"/>
  <c r="E77" i="10"/>
  <c r="P76" i="10"/>
  <c r="Q76" i="10" s="1"/>
  <c r="N76" i="10"/>
  <c r="O76" i="10"/>
  <c r="L76" i="10"/>
  <c r="M76" i="10"/>
  <c r="J76" i="10"/>
  <c r="K76" i="10"/>
  <c r="H76" i="10"/>
  <c r="I76" i="10" s="1"/>
  <c r="F76" i="10"/>
  <c r="G76" i="10"/>
  <c r="D76" i="10"/>
  <c r="E76" i="10"/>
  <c r="P75" i="10"/>
  <c r="Q75" i="10"/>
  <c r="N75" i="10"/>
  <c r="O75" i="10" s="1"/>
  <c r="L75" i="10"/>
  <c r="M75" i="10"/>
  <c r="J75" i="10"/>
  <c r="K75" i="10"/>
  <c r="H75" i="10"/>
  <c r="I75" i="10"/>
  <c r="F75" i="10"/>
  <c r="G75" i="10" s="1"/>
  <c r="D75" i="10"/>
  <c r="E75" i="10"/>
  <c r="P74" i="10"/>
  <c r="Q74" i="10"/>
  <c r="N74" i="10"/>
  <c r="O74" i="10"/>
  <c r="L74" i="10"/>
  <c r="M74" i="10" s="1"/>
  <c r="J74" i="10"/>
  <c r="K74" i="10"/>
  <c r="H74" i="10"/>
  <c r="I74" i="10"/>
  <c r="F74" i="10"/>
  <c r="G74" i="10"/>
  <c r="D74" i="10"/>
  <c r="E74" i="10" s="1"/>
  <c r="P73" i="10"/>
  <c r="Q73" i="10"/>
  <c r="N73" i="10"/>
  <c r="O73" i="10"/>
  <c r="L73" i="10"/>
  <c r="M73" i="10"/>
  <c r="J73" i="10"/>
  <c r="K73" i="10" s="1"/>
  <c r="H73" i="10"/>
  <c r="I73" i="10"/>
  <c r="F73" i="10"/>
  <c r="G73" i="10"/>
  <c r="D73" i="10"/>
  <c r="E73" i="10"/>
  <c r="P72" i="10"/>
  <c r="Q72" i="10" s="1"/>
  <c r="N72" i="10"/>
  <c r="O72" i="10"/>
  <c r="L72" i="10"/>
  <c r="M72" i="10"/>
  <c r="J72" i="10"/>
  <c r="K72" i="10"/>
  <c r="H72" i="10"/>
  <c r="I72" i="10" s="1"/>
  <c r="F72" i="10"/>
  <c r="G72" i="10"/>
  <c r="D72" i="10"/>
  <c r="E72" i="10"/>
  <c r="N71" i="10"/>
  <c r="O71" i="10"/>
  <c r="L71" i="10"/>
  <c r="M71" i="10" s="1"/>
  <c r="J71" i="10"/>
  <c r="K71" i="10"/>
  <c r="H71" i="10"/>
  <c r="I71" i="10"/>
  <c r="F71" i="10"/>
  <c r="G71" i="10"/>
  <c r="D71" i="10"/>
  <c r="E71" i="10" s="1"/>
  <c r="N70" i="10"/>
  <c r="O70" i="10"/>
  <c r="L70" i="10"/>
  <c r="M70" i="10"/>
  <c r="J70" i="10"/>
  <c r="K70" i="10"/>
  <c r="H70" i="10"/>
  <c r="I70" i="10" s="1"/>
  <c r="F70" i="10"/>
  <c r="G70" i="10"/>
  <c r="D70" i="10"/>
  <c r="E70" i="10"/>
  <c r="N69" i="10"/>
  <c r="O69" i="10"/>
  <c r="L69" i="10"/>
  <c r="M69" i="10" s="1"/>
  <c r="J69" i="10"/>
  <c r="K69" i="10"/>
  <c r="H69" i="10"/>
  <c r="I69" i="10"/>
  <c r="F69" i="10"/>
  <c r="G69" i="10"/>
  <c r="D69" i="10"/>
  <c r="E69" i="10" s="1"/>
  <c r="N68" i="10"/>
  <c r="O68" i="10"/>
  <c r="L68" i="10"/>
  <c r="M68" i="10"/>
  <c r="J68" i="10"/>
  <c r="K68" i="10"/>
  <c r="H68" i="10"/>
  <c r="I68" i="10" s="1"/>
  <c r="F68" i="10"/>
  <c r="G68" i="10"/>
  <c r="D68" i="10"/>
  <c r="E68" i="10"/>
  <c r="N67" i="10"/>
  <c r="O67" i="10"/>
  <c r="L67" i="10"/>
  <c r="M67" i="10" s="1"/>
  <c r="J67" i="10"/>
  <c r="K67" i="10"/>
  <c r="H67" i="10"/>
  <c r="I67" i="10"/>
  <c r="F67" i="10"/>
  <c r="G67" i="10"/>
  <c r="D67" i="10"/>
  <c r="E67" i="10" s="1"/>
  <c r="N66" i="10"/>
  <c r="O66" i="10"/>
  <c r="L66" i="10"/>
  <c r="M66" i="10"/>
  <c r="J66" i="10"/>
  <c r="K66" i="10"/>
  <c r="H66" i="10"/>
  <c r="I66" i="10" s="1"/>
  <c r="F66" i="10"/>
  <c r="G66" i="10"/>
  <c r="D66" i="10"/>
  <c r="E66" i="10"/>
  <c r="N65" i="10"/>
  <c r="O65" i="10"/>
  <c r="L65" i="10"/>
  <c r="M65" i="10" s="1"/>
  <c r="J65" i="10"/>
  <c r="K65" i="10"/>
  <c r="H65" i="10"/>
  <c r="I65" i="10"/>
  <c r="F65" i="10"/>
  <c r="G65" i="10"/>
  <c r="D65" i="10"/>
  <c r="E65" i="10" s="1"/>
  <c r="AU64" i="10"/>
  <c r="N64" i="10"/>
  <c r="O64" i="10" s="1"/>
  <c r="L64" i="10"/>
  <c r="M64" i="10"/>
  <c r="J64" i="10"/>
  <c r="K64" i="10"/>
  <c r="H64" i="10"/>
  <c r="I64" i="10" s="1"/>
  <c r="F64" i="10"/>
  <c r="G64" i="10" s="1"/>
  <c r="D64" i="10"/>
  <c r="E64" i="10"/>
  <c r="N63" i="10"/>
  <c r="O63" i="10"/>
  <c r="L63" i="10"/>
  <c r="M63" i="10" s="1"/>
  <c r="J63" i="10"/>
  <c r="K63" i="10" s="1"/>
  <c r="H63" i="10"/>
  <c r="I63" i="10"/>
  <c r="F63" i="10"/>
  <c r="G63" i="10" s="1"/>
  <c r="D63" i="10"/>
  <c r="E63" i="10" s="1"/>
  <c r="N62" i="10"/>
  <c r="O62" i="10" s="1"/>
  <c r="L62" i="10"/>
  <c r="M62" i="10"/>
  <c r="J62" i="10"/>
  <c r="K62" i="10" s="1"/>
  <c r="H62" i="10"/>
  <c r="I62" i="10" s="1"/>
  <c r="F62" i="10"/>
  <c r="G62" i="10" s="1"/>
  <c r="D62" i="10"/>
  <c r="E62" i="10"/>
  <c r="L61" i="10"/>
  <c r="M61" i="10"/>
  <c r="J61" i="10"/>
  <c r="K61" i="10" s="1"/>
  <c r="H61" i="10"/>
  <c r="I61" i="10" s="1"/>
  <c r="F61" i="10"/>
  <c r="G61" i="10"/>
  <c r="D61" i="10"/>
  <c r="E61" i="10"/>
  <c r="L60" i="10"/>
  <c r="M60" i="10" s="1"/>
  <c r="J60" i="10"/>
  <c r="K60" i="10" s="1"/>
  <c r="H60" i="10"/>
  <c r="I60" i="10"/>
  <c r="F60" i="10"/>
  <c r="G60" i="10" s="1"/>
  <c r="D60" i="10"/>
  <c r="E60" i="10" s="1"/>
  <c r="L59" i="10"/>
  <c r="M59" i="10" s="1"/>
  <c r="J59" i="10"/>
  <c r="K59" i="10"/>
  <c r="H59" i="10"/>
  <c r="I59" i="10" s="1"/>
  <c r="F59" i="10"/>
  <c r="G59" i="10" s="1"/>
  <c r="D59" i="10"/>
  <c r="E59" i="10" s="1"/>
  <c r="L58" i="10"/>
  <c r="M58" i="10"/>
  <c r="J58" i="10"/>
  <c r="K58" i="10"/>
  <c r="H58" i="10"/>
  <c r="I58" i="10" s="1"/>
  <c r="F58" i="10"/>
  <c r="G58" i="10" s="1"/>
  <c r="D58" i="10"/>
  <c r="E58" i="10"/>
  <c r="L57" i="10"/>
  <c r="M57" i="10"/>
  <c r="J57" i="10"/>
  <c r="K57" i="10" s="1"/>
  <c r="H57" i="10"/>
  <c r="I57" i="10" s="1"/>
  <c r="F57" i="10"/>
  <c r="G57" i="10"/>
  <c r="D57" i="10"/>
  <c r="E57" i="10" s="1"/>
  <c r="L56" i="10"/>
  <c r="M56" i="10" s="1"/>
  <c r="J56" i="10"/>
  <c r="K56" i="10" s="1"/>
  <c r="H56" i="10"/>
  <c r="I56" i="10"/>
  <c r="F56" i="10"/>
  <c r="G56" i="10" s="1"/>
  <c r="D56" i="10"/>
  <c r="E56" i="10" s="1"/>
  <c r="L55" i="10"/>
  <c r="M55" i="10" s="1"/>
  <c r="J55" i="10"/>
  <c r="K55" i="10"/>
  <c r="H55" i="10"/>
  <c r="I55" i="10"/>
  <c r="F55" i="10"/>
  <c r="G55" i="10" s="1"/>
  <c r="D55" i="10"/>
  <c r="E55" i="10" s="1"/>
  <c r="L54" i="10"/>
  <c r="M54" i="10"/>
  <c r="J54" i="10"/>
  <c r="K54" i="10"/>
  <c r="H54" i="10"/>
  <c r="I54" i="10" s="1"/>
  <c r="F54" i="10"/>
  <c r="G54" i="10" s="1"/>
  <c r="D54" i="10"/>
  <c r="E54" i="10"/>
  <c r="L53" i="10"/>
  <c r="M53" i="10" s="1"/>
  <c r="J53" i="10"/>
  <c r="K53" i="10" s="1"/>
  <c r="H53" i="10"/>
  <c r="I53" i="10" s="1"/>
  <c r="F53" i="10"/>
  <c r="G53" i="10"/>
  <c r="D53" i="10"/>
  <c r="E53" i="10" s="1"/>
  <c r="L52" i="10"/>
  <c r="M52" i="10" s="1"/>
  <c r="J52" i="10"/>
  <c r="K52" i="10"/>
  <c r="H52" i="10"/>
  <c r="I52" i="10"/>
  <c r="F52" i="10"/>
  <c r="G52" i="10" s="1"/>
  <c r="D52" i="10"/>
  <c r="E52" i="10"/>
  <c r="AE51" i="10"/>
  <c r="J51" i="10"/>
  <c r="H51" i="10"/>
  <c r="I51" i="10"/>
  <c r="F51" i="10"/>
  <c r="G51" i="10" s="1"/>
  <c r="D51" i="10"/>
  <c r="E51" i="10"/>
  <c r="J50" i="10"/>
  <c r="K50" i="10"/>
  <c r="H50" i="10"/>
  <c r="I50" i="10"/>
  <c r="F50" i="10"/>
  <c r="G50" i="10" s="1"/>
  <c r="D50" i="10"/>
  <c r="E50" i="10"/>
  <c r="J49" i="10"/>
  <c r="K49" i="10"/>
  <c r="H49" i="10"/>
  <c r="I49" i="10"/>
  <c r="F49" i="10"/>
  <c r="G49" i="10" s="1"/>
  <c r="D49" i="10"/>
  <c r="E49" i="10"/>
  <c r="AE48" i="10"/>
  <c r="J48" i="10"/>
  <c r="K48" i="10" s="1"/>
  <c r="H48" i="10"/>
  <c r="I48" i="10"/>
  <c r="F48" i="10"/>
  <c r="G48" i="10" s="1"/>
  <c r="D48" i="10"/>
  <c r="E48" i="10" s="1"/>
  <c r="J47" i="10"/>
  <c r="K47" i="10" s="1"/>
  <c r="H47" i="10"/>
  <c r="I47" i="10"/>
  <c r="F47" i="10"/>
  <c r="G47" i="10" s="1"/>
  <c r="D47" i="10"/>
  <c r="E47" i="10" s="1"/>
  <c r="J46" i="10"/>
  <c r="K46" i="10" s="1"/>
  <c r="H46" i="10"/>
  <c r="I46" i="10"/>
  <c r="F46" i="10"/>
  <c r="G46" i="10" s="1"/>
  <c r="D46" i="10"/>
  <c r="E46" i="10" s="1"/>
  <c r="J45" i="10"/>
  <c r="K45" i="10" s="1"/>
  <c r="H45" i="10"/>
  <c r="I45" i="10"/>
  <c r="F45" i="10"/>
  <c r="G45" i="10" s="1"/>
  <c r="D45" i="10"/>
  <c r="E45" i="10" s="1"/>
  <c r="J44" i="10"/>
  <c r="K44" i="10" s="1"/>
  <c r="H44" i="10"/>
  <c r="I44" i="10"/>
  <c r="F44" i="10"/>
  <c r="G44" i="10"/>
  <c r="D44" i="10"/>
  <c r="E44" i="10" s="1"/>
  <c r="J43" i="10"/>
  <c r="K43" i="10" s="1"/>
  <c r="H43" i="10"/>
  <c r="I43" i="10"/>
  <c r="F43" i="10"/>
  <c r="G43" i="10" s="1"/>
  <c r="D43" i="10"/>
  <c r="E43" i="10" s="1"/>
  <c r="J42" i="10"/>
  <c r="K42" i="10" s="1"/>
  <c r="H42" i="10"/>
  <c r="I42" i="10"/>
  <c r="F42" i="10"/>
  <c r="G42" i="10" s="1"/>
  <c r="D42" i="10"/>
  <c r="E42" i="10" s="1"/>
  <c r="H41" i="10"/>
  <c r="I41" i="10" s="1"/>
  <c r="F41" i="10"/>
  <c r="G41" i="10"/>
  <c r="D41" i="10"/>
  <c r="E41" i="10"/>
  <c r="H40" i="10"/>
  <c r="I40" i="10" s="1"/>
  <c r="F40" i="10"/>
  <c r="G40" i="10" s="1"/>
  <c r="D40" i="10"/>
  <c r="E40" i="10"/>
  <c r="H39" i="10"/>
  <c r="I39" i="10"/>
  <c r="F39" i="10"/>
  <c r="G39" i="10" s="1"/>
  <c r="D39" i="10"/>
  <c r="E39" i="10" s="1"/>
  <c r="H38" i="10"/>
  <c r="I38" i="10"/>
  <c r="F38" i="10"/>
  <c r="G38" i="10" s="1"/>
  <c r="D38" i="10"/>
  <c r="E38" i="10" s="1"/>
  <c r="H37" i="10"/>
  <c r="I37" i="10" s="1"/>
  <c r="F37" i="10"/>
  <c r="G37" i="10"/>
  <c r="D37" i="10"/>
  <c r="E37" i="10" s="1"/>
  <c r="H36" i="10"/>
  <c r="I36" i="10" s="1"/>
  <c r="F36" i="10"/>
  <c r="G36" i="10" s="1"/>
  <c r="D36" i="10"/>
  <c r="E36" i="10"/>
  <c r="H35" i="10"/>
  <c r="I35" i="10"/>
  <c r="F35" i="10"/>
  <c r="G35" i="10" s="1"/>
  <c r="D35" i="10"/>
  <c r="E35" i="10" s="1"/>
  <c r="H34" i="10"/>
  <c r="I34" i="10"/>
  <c r="F34" i="10"/>
  <c r="G34" i="10"/>
  <c r="D34" i="10"/>
  <c r="E34" i="10" s="1"/>
  <c r="H33" i="10"/>
  <c r="I33" i="10" s="1"/>
  <c r="F33" i="10"/>
  <c r="G33" i="10"/>
  <c r="D33" i="10"/>
  <c r="E33" i="10" s="1"/>
  <c r="H32" i="10"/>
  <c r="I32" i="10" s="1"/>
  <c r="F32" i="10"/>
  <c r="G32" i="10" s="1"/>
  <c r="D32" i="10"/>
  <c r="E32" i="10"/>
  <c r="F31" i="10"/>
  <c r="G31" i="10" s="1"/>
  <c r="D31" i="10"/>
  <c r="E31" i="10" s="1"/>
  <c r="F30" i="10"/>
  <c r="G30" i="10" s="1"/>
  <c r="D30" i="10"/>
  <c r="E30" i="10"/>
  <c r="F29" i="10"/>
  <c r="G29" i="10"/>
  <c r="D29" i="10"/>
  <c r="E29" i="10" s="1"/>
  <c r="F28" i="10"/>
  <c r="G28" i="10" s="1"/>
  <c r="D28" i="10"/>
  <c r="E28" i="10"/>
  <c r="F27" i="10"/>
  <c r="G27" i="10" s="1"/>
  <c r="D27" i="10"/>
  <c r="E27" i="10" s="1"/>
  <c r="F26" i="10"/>
  <c r="G26" i="10" s="1"/>
  <c r="D26" i="10"/>
  <c r="E26" i="10"/>
  <c r="F25" i="10"/>
  <c r="G25" i="10" s="1"/>
  <c r="D25" i="10"/>
  <c r="E25" i="10" s="1"/>
  <c r="F24" i="10"/>
  <c r="G24" i="10" s="1"/>
  <c r="D24" i="10"/>
  <c r="E24" i="10"/>
  <c r="F23" i="10"/>
  <c r="G23" i="10" s="1"/>
  <c r="D23" i="10"/>
  <c r="E23" i="10" s="1"/>
  <c r="F22" i="10"/>
  <c r="G22" i="10" s="1"/>
  <c r="D22" i="10"/>
  <c r="E22" i="10"/>
  <c r="D21" i="10"/>
  <c r="E21" i="10" s="1"/>
  <c r="D20" i="10"/>
  <c r="E20" i="10" s="1"/>
  <c r="D19" i="10"/>
  <c r="E19" i="10" s="1"/>
  <c r="D18" i="10"/>
  <c r="E18" i="10"/>
  <c r="D17" i="10"/>
  <c r="E17" i="10"/>
  <c r="D16" i="10"/>
  <c r="E16" i="10" s="1"/>
  <c r="D15" i="10"/>
  <c r="E15" i="10" s="1"/>
  <c r="D14" i="10"/>
  <c r="E14" i="10"/>
  <c r="D13" i="10"/>
  <c r="E13" i="10" s="1"/>
  <c r="BE12" i="10"/>
  <c r="BF12" i="10" s="1"/>
  <c r="D12" i="10"/>
  <c r="E12" i="10" s="1"/>
  <c r="BE11" i="10"/>
  <c r="BF11" i="10"/>
  <c r="BE10" i="10"/>
  <c r="BF10" i="10" s="1"/>
  <c r="BE9" i="10"/>
  <c r="BF9" i="10" s="1"/>
  <c r="BE8" i="10"/>
  <c r="BF8" i="10" s="1"/>
  <c r="BE7" i="10"/>
  <c r="BF7" i="10"/>
  <c r="BE6" i="10"/>
  <c r="BF6" i="10"/>
  <c r="BE5" i="10"/>
  <c r="BF5" i="10" s="1"/>
  <c r="BE4" i="10"/>
  <c r="BF4" i="10" s="1"/>
  <c r="BE3" i="10"/>
  <c r="BF3" i="10"/>
  <c r="BE2" i="10"/>
  <c r="BF2" i="10"/>
  <c r="L334" i="8"/>
  <c r="L333" i="8"/>
  <c r="L332" i="8"/>
  <c r="L331" i="8"/>
  <c r="L330" i="8"/>
  <c r="L329" i="8"/>
  <c r="L328" i="8"/>
  <c r="L327" i="8"/>
  <c r="L326" i="8"/>
  <c r="K322" i="8"/>
  <c r="K324" i="8"/>
  <c r="J322" i="8"/>
  <c r="J324" i="8"/>
  <c r="J326" i="8" s="1"/>
  <c r="L325" i="8"/>
  <c r="L324" i="8"/>
  <c r="L323" i="8"/>
  <c r="L322" i="8"/>
  <c r="L321" i="8"/>
  <c r="K321" i="8"/>
  <c r="J321" i="8"/>
  <c r="L320" i="8"/>
  <c r="L319" i="8"/>
  <c r="G319" i="8"/>
  <c r="F319" i="8"/>
  <c r="L318" i="8"/>
  <c r="G318" i="8"/>
  <c r="F318" i="8"/>
  <c r="L317" i="8"/>
  <c r="G317" i="8"/>
  <c r="F317" i="8"/>
  <c r="L316" i="8"/>
  <c r="G316" i="8"/>
  <c r="F316" i="8"/>
  <c r="L315" i="8"/>
  <c r="G315" i="8"/>
  <c r="F315" i="8"/>
  <c r="L314" i="8"/>
  <c r="K314" i="8"/>
  <c r="J314" i="8"/>
  <c r="G314" i="8"/>
  <c r="F314" i="8"/>
  <c r="L313" i="8"/>
  <c r="K313" i="8"/>
  <c r="J313" i="8"/>
  <c r="G313" i="8"/>
  <c r="F313" i="8"/>
  <c r="L312" i="8"/>
  <c r="G312" i="8"/>
  <c r="F312" i="8"/>
  <c r="L311" i="8"/>
  <c r="A311" i="8"/>
  <c r="A310" i="8"/>
  <c r="L306" i="8"/>
  <c r="L305" i="8"/>
  <c r="L304" i="8"/>
  <c r="L303" i="8"/>
  <c r="L302" i="8"/>
  <c r="L301" i="8"/>
  <c r="L300" i="8"/>
  <c r="L299" i="8"/>
  <c r="L298" i="8"/>
  <c r="K294" i="8"/>
  <c r="K298" i="8" s="1"/>
  <c r="K296" i="8"/>
  <c r="J294" i="8"/>
  <c r="J298" i="8" s="1"/>
  <c r="J296" i="8"/>
  <c r="L297" i="8"/>
  <c r="L296" i="8"/>
  <c r="L295" i="8"/>
  <c r="L294" i="8"/>
  <c r="L293" i="8"/>
  <c r="K293" i="8"/>
  <c r="J293" i="8"/>
  <c r="L292" i="8"/>
  <c r="L291" i="8"/>
  <c r="G291" i="8"/>
  <c r="F291" i="8"/>
  <c r="L290" i="8"/>
  <c r="G290" i="8"/>
  <c r="F290" i="8"/>
  <c r="L289" i="8"/>
  <c r="G289" i="8"/>
  <c r="F289" i="8"/>
  <c r="L288" i="8"/>
  <c r="G288" i="8"/>
  <c r="F288" i="8"/>
  <c r="L287" i="8"/>
  <c r="G287" i="8"/>
  <c r="F287" i="8"/>
  <c r="L286" i="8"/>
  <c r="K286" i="8"/>
  <c r="J286" i="8"/>
  <c r="G286" i="8"/>
  <c r="F286" i="8"/>
  <c r="L285" i="8"/>
  <c r="K285" i="8"/>
  <c r="J285" i="8"/>
  <c r="G285" i="8"/>
  <c r="F285" i="8"/>
  <c r="L284" i="8"/>
  <c r="G284" i="8"/>
  <c r="F284" i="8"/>
  <c r="L283" i="8"/>
  <c r="A283" i="8"/>
  <c r="A282" i="8"/>
  <c r="L278" i="8"/>
  <c r="L277" i="8"/>
  <c r="L276" i="8"/>
  <c r="L275" i="8"/>
  <c r="L274" i="8"/>
  <c r="L273" i="8"/>
  <c r="L272" i="8"/>
  <c r="L271" i="8"/>
  <c r="L270" i="8"/>
  <c r="K266" i="8"/>
  <c r="K270" i="8" s="1"/>
  <c r="K268" i="8"/>
  <c r="J266" i="8"/>
  <c r="J268" i="8"/>
  <c r="J270" i="8"/>
  <c r="L269" i="8"/>
  <c r="L268" i="8"/>
  <c r="L267" i="8"/>
  <c r="L266" i="8"/>
  <c r="L265" i="8"/>
  <c r="K265" i="8"/>
  <c r="J265" i="8"/>
  <c r="L264" i="8"/>
  <c r="L263" i="8"/>
  <c r="G263" i="8"/>
  <c r="F263" i="8"/>
  <c r="L262" i="8"/>
  <c r="G262" i="8"/>
  <c r="F262" i="8"/>
  <c r="L261" i="8"/>
  <c r="G261" i="8"/>
  <c r="F261" i="8"/>
  <c r="L260" i="8"/>
  <c r="G260" i="8"/>
  <c r="F260" i="8"/>
  <c r="L259" i="8"/>
  <c r="G259" i="8"/>
  <c r="F259" i="8"/>
  <c r="L258" i="8"/>
  <c r="K258" i="8"/>
  <c r="J258" i="8"/>
  <c r="G258" i="8"/>
  <c r="F258" i="8"/>
  <c r="L257" i="8"/>
  <c r="K257" i="8"/>
  <c r="J257" i="8"/>
  <c r="G257" i="8"/>
  <c r="F257" i="8"/>
  <c r="L256" i="8"/>
  <c r="G256" i="8"/>
  <c r="F256" i="8"/>
  <c r="L255" i="8"/>
  <c r="A255" i="8"/>
  <c r="A254" i="8"/>
  <c r="L250" i="8"/>
  <c r="L249" i="8"/>
  <c r="L248" i="8"/>
  <c r="L247" i="8"/>
  <c r="L246" i="8"/>
  <c r="L245" i="8"/>
  <c r="L244" i="8"/>
  <c r="L243" i="8"/>
  <c r="L242" i="8"/>
  <c r="K238" i="8"/>
  <c r="K240" i="8"/>
  <c r="K242" i="8"/>
  <c r="J238" i="8"/>
  <c r="J240" i="8"/>
  <c r="J242" i="8" s="1"/>
  <c r="L241" i="8"/>
  <c r="L240" i="8"/>
  <c r="L239" i="8"/>
  <c r="L238" i="8"/>
  <c r="L237" i="8"/>
  <c r="K237" i="8"/>
  <c r="J237" i="8"/>
  <c r="L236" i="8"/>
  <c r="L235" i="8"/>
  <c r="G235" i="8"/>
  <c r="F235" i="8"/>
  <c r="L234" i="8"/>
  <c r="G234" i="8"/>
  <c r="F234" i="8"/>
  <c r="L233" i="8"/>
  <c r="G233" i="8"/>
  <c r="F233" i="8"/>
  <c r="L232" i="8"/>
  <c r="G232" i="8"/>
  <c r="F232" i="8"/>
  <c r="L231" i="8"/>
  <c r="G231" i="8"/>
  <c r="F231" i="8"/>
  <c r="L230" i="8"/>
  <c r="K230" i="8"/>
  <c r="J230" i="8"/>
  <c r="G230" i="8"/>
  <c r="F230" i="8"/>
  <c r="L229" i="8"/>
  <c r="K229" i="8"/>
  <c r="J229" i="8"/>
  <c r="G229" i="8"/>
  <c r="F229" i="8"/>
  <c r="L228" i="8"/>
  <c r="G228" i="8"/>
  <c r="F228" i="8"/>
  <c r="L227" i="8"/>
  <c r="A227" i="8"/>
  <c r="A226" i="8"/>
  <c r="L222" i="8"/>
  <c r="L221" i="8"/>
  <c r="L220" i="8"/>
  <c r="L219" i="8"/>
  <c r="L218" i="8"/>
  <c r="L217" i="8"/>
  <c r="L216" i="8"/>
  <c r="L215" i="8"/>
  <c r="L214" i="8"/>
  <c r="K210" i="8"/>
  <c r="K212" i="8"/>
  <c r="K214" i="8" s="1"/>
  <c r="J210" i="8"/>
  <c r="J212" i="8"/>
  <c r="J214" i="8"/>
  <c r="L213" i="8"/>
  <c r="L212" i="8"/>
  <c r="L211" i="8"/>
  <c r="L210" i="8"/>
  <c r="L209" i="8"/>
  <c r="K209" i="8"/>
  <c r="J209" i="8"/>
  <c r="L208" i="8"/>
  <c r="L207" i="8"/>
  <c r="G207" i="8"/>
  <c r="F207" i="8"/>
  <c r="L206" i="8"/>
  <c r="G206" i="8"/>
  <c r="F206" i="8"/>
  <c r="L205" i="8"/>
  <c r="G205" i="8"/>
  <c r="F205" i="8"/>
  <c r="L204" i="8"/>
  <c r="G204" i="8"/>
  <c r="F204" i="8"/>
  <c r="L203" i="8"/>
  <c r="G203" i="8"/>
  <c r="F203" i="8"/>
  <c r="L202" i="8"/>
  <c r="K202" i="8"/>
  <c r="J202" i="8"/>
  <c r="G202" i="8"/>
  <c r="F202" i="8"/>
  <c r="L201" i="8"/>
  <c r="K201" i="8"/>
  <c r="J201" i="8"/>
  <c r="G201" i="8"/>
  <c r="F201" i="8"/>
  <c r="L200" i="8"/>
  <c r="G200" i="8"/>
  <c r="F200" i="8"/>
  <c r="L199" i="8"/>
  <c r="G199" i="8"/>
  <c r="F199" i="8"/>
  <c r="A199" i="8"/>
  <c r="A198" i="8"/>
  <c r="L194" i="8"/>
  <c r="L193" i="8"/>
  <c r="L192" i="8"/>
  <c r="L191" i="8"/>
  <c r="L190" i="8"/>
  <c r="L189" i="8"/>
  <c r="L188" i="8"/>
  <c r="L187" i="8"/>
  <c r="L186" i="8"/>
  <c r="K182" i="8"/>
  <c r="K184" i="8"/>
  <c r="J182" i="8"/>
  <c r="J184" i="8"/>
  <c r="J186" i="8" s="1"/>
  <c r="L185" i="8"/>
  <c r="L184" i="8"/>
  <c r="L183" i="8"/>
  <c r="L182" i="8"/>
  <c r="L181" i="8"/>
  <c r="K181" i="8"/>
  <c r="J181" i="8"/>
  <c r="L180" i="8"/>
  <c r="L179" i="8"/>
  <c r="G179" i="8"/>
  <c r="F179" i="8"/>
  <c r="L178" i="8"/>
  <c r="G178" i="8"/>
  <c r="F178" i="8"/>
  <c r="L177" i="8"/>
  <c r="G177" i="8"/>
  <c r="F177" i="8"/>
  <c r="L176" i="8"/>
  <c r="G176" i="8"/>
  <c r="F176" i="8"/>
  <c r="L175" i="8"/>
  <c r="G175" i="8"/>
  <c r="F175" i="8"/>
  <c r="L174" i="8"/>
  <c r="K174" i="8"/>
  <c r="J174" i="8"/>
  <c r="G174" i="8"/>
  <c r="F174" i="8"/>
  <c r="L173" i="8"/>
  <c r="K173" i="8"/>
  <c r="J173" i="8"/>
  <c r="G173" i="8"/>
  <c r="F173" i="8"/>
  <c r="L172" i="8"/>
  <c r="G172" i="8"/>
  <c r="F172" i="8"/>
  <c r="L171" i="8"/>
  <c r="A171" i="8"/>
  <c r="A170" i="8"/>
  <c r="L166" i="8"/>
  <c r="L165" i="8"/>
  <c r="L164" i="8"/>
  <c r="L163" i="8"/>
  <c r="L162" i="8"/>
  <c r="L161" i="8"/>
  <c r="L160" i="8"/>
  <c r="L159" i="8"/>
  <c r="L158" i="8"/>
  <c r="K154" i="8"/>
  <c r="K158" i="8" s="1"/>
  <c r="K156" i="8"/>
  <c r="J154" i="8"/>
  <c r="J158" i="8" s="1"/>
  <c r="J156" i="8"/>
  <c r="L157" i="8"/>
  <c r="L156" i="8"/>
  <c r="L155" i="8"/>
  <c r="L154" i="8"/>
  <c r="L153" i="8"/>
  <c r="K153" i="8"/>
  <c r="J153" i="8"/>
  <c r="L152" i="8"/>
  <c r="L151" i="8"/>
  <c r="G151" i="8"/>
  <c r="F151" i="8"/>
  <c r="L150" i="8"/>
  <c r="G150" i="8"/>
  <c r="F150" i="8"/>
  <c r="L149" i="8"/>
  <c r="G149" i="8"/>
  <c r="F149" i="8"/>
  <c r="L148" i="8"/>
  <c r="G148" i="8"/>
  <c r="F148" i="8"/>
  <c r="L147" i="8"/>
  <c r="G147" i="8"/>
  <c r="F147" i="8"/>
  <c r="L146" i="8"/>
  <c r="K146" i="8"/>
  <c r="J146" i="8"/>
  <c r="G146" i="8"/>
  <c r="F146" i="8"/>
  <c r="L145" i="8"/>
  <c r="K145" i="8"/>
  <c r="J145" i="8"/>
  <c r="G145" i="8"/>
  <c r="F145" i="8"/>
  <c r="L144" i="8"/>
  <c r="L143" i="8"/>
  <c r="G143" i="8"/>
  <c r="F143" i="8"/>
  <c r="A143" i="8"/>
  <c r="A142" i="8"/>
  <c r="L138" i="8"/>
  <c r="L137" i="8"/>
  <c r="L136" i="8"/>
  <c r="L135" i="8"/>
  <c r="L134" i="8"/>
  <c r="L133" i="8"/>
  <c r="L132" i="8"/>
  <c r="L131" i="8"/>
  <c r="L130" i="8"/>
  <c r="K126" i="8"/>
  <c r="K130" i="8" s="1"/>
  <c r="K128" i="8"/>
  <c r="J126" i="8"/>
  <c r="J130" i="8" s="1"/>
  <c r="J128" i="8"/>
  <c r="L129" i="8"/>
  <c r="L128" i="8"/>
  <c r="L127" i="8"/>
  <c r="L126" i="8"/>
  <c r="L125" i="8"/>
  <c r="K125" i="8"/>
  <c r="J125" i="8"/>
  <c r="L124" i="8"/>
  <c r="L123" i="8"/>
  <c r="G123" i="8"/>
  <c r="F123" i="8"/>
  <c r="L122" i="8"/>
  <c r="G122" i="8"/>
  <c r="F122" i="8"/>
  <c r="L121" i="8"/>
  <c r="G121" i="8"/>
  <c r="F121" i="8"/>
  <c r="L120" i="8"/>
  <c r="G120" i="8"/>
  <c r="F120" i="8"/>
  <c r="L119" i="8"/>
  <c r="G119" i="8"/>
  <c r="F119" i="8"/>
  <c r="L118" i="8"/>
  <c r="K118" i="8"/>
  <c r="J118" i="8"/>
  <c r="G118" i="8"/>
  <c r="F118" i="8"/>
  <c r="L117" i="8"/>
  <c r="K117" i="8"/>
  <c r="J117" i="8"/>
  <c r="G117" i="8"/>
  <c r="F117" i="8"/>
  <c r="L116" i="8"/>
  <c r="L115" i="8"/>
  <c r="G115" i="8"/>
  <c r="F115" i="8"/>
  <c r="A115" i="8"/>
  <c r="A114" i="8"/>
  <c r="L110" i="8"/>
  <c r="L109" i="8"/>
  <c r="L108" i="8"/>
  <c r="L107" i="8"/>
  <c r="L106" i="8"/>
  <c r="L105" i="8"/>
  <c r="L104" i="8"/>
  <c r="L103" i="8"/>
  <c r="L102" i="8"/>
  <c r="K98" i="8"/>
  <c r="K100" i="8"/>
  <c r="K102" i="8"/>
  <c r="J98" i="8"/>
  <c r="J102" i="8" s="1"/>
  <c r="J100" i="8"/>
  <c r="L101" i="8"/>
  <c r="L100" i="8"/>
  <c r="L99" i="8"/>
  <c r="L98" i="8"/>
  <c r="L97" i="8"/>
  <c r="K97" i="8"/>
  <c r="J97" i="8"/>
  <c r="L96" i="8"/>
  <c r="L95" i="8"/>
  <c r="G95" i="8"/>
  <c r="F95" i="8"/>
  <c r="L94" i="8"/>
  <c r="G94" i="8"/>
  <c r="F94" i="8"/>
  <c r="L93" i="8"/>
  <c r="G93" i="8"/>
  <c r="F93" i="8"/>
  <c r="L92" i="8"/>
  <c r="G92" i="8"/>
  <c r="F92" i="8"/>
  <c r="L91" i="8"/>
  <c r="G91" i="8"/>
  <c r="F91" i="8"/>
  <c r="L90" i="8"/>
  <c r="K90" i="8"/>
  <c r="J90" i="8"/>
  <c r="G90" i="8"/>
  <c r="F90" i="8"/>
  <c r="L89" i="8"/>
  <c r="K89" i="8"/>
  <c r="J89" i="8"/>
  <c r="G89" i="8"/>
  <c r="F89" i="8"/>
  <c r="L88" i="8"/>
  <c r="L87" i="8"/>
  <c r="G87" i="8"/>
  <c r="F87" i="8"/>
  <c r="A87" i="8"/>
  <c r="A86" i="8"/>
  <c r="B86" i="8" s="1"/>
  <c r="L82" i="8"/>
  <c r="L81" i="8"/>
  <c r="L80" i="8"/>
  <c r="L79" i="8"/>
  <c r="L78" i="8"/>
  <c r="L77" i="8"/>
  <c r="L76" i="8"/>
  <c r="L75" i="8"/>
  <c r="L74" i="8"/>
  <c r="K70" i="8"/>
  <c r="K72" i="8"/>
  <c r="K74" i="8" s="1"/>
  <c r="J70" i="8"/>
  <c r="J72" i="8"/>
  <c r="J74" i="8"/>
  <c r="L73" i="8"/>
  <c r="L72" i="8"/>
  <c r="L71" i="8"/>
  <c r="L70" i="8"/>
  <c r="L69" i="8"/>
  <c r="K69" i="8"/>
  <c r="J69" i="8"/>
  <c r="L68" i="8"/>
  <c r="L67" i="8"/>
  <c r="G67" i="8"/>
  <c r="F67" i="8"/>
  <c r="L66" i="8"/>
  <c r="G66" i="8"/>
  <c r="F66" i="8"/>
  <c r="L65" i="8"/>
  <c r="G65" i="8"/>
  <c r="F65" i="8"/>
  <c r="L64" i="8"/>
  <c r="G64" i="8"/>
  <c r="F64" i="8"/>
  <c r="L63" i="8"/>
  <c r="G63" i="8"/>
  <c r="F63" i="8"/>
  <c r="L62" i="8"/>
  <c r="K62" i="8"/>
  <c r="J62" i="8"/>
  <c r="G62" i="8"/>
  <c r="F62" i="8"/>
  <c r="L61" i="8"/>
  <c r="K61" i="8"/>
  <c r="J61" i="8"/>
  <c r="G61" i="8"/>
  <c r="F61" i="8"/>
  <c r="L60" i="8"/>
  <c r="L59" i="8"/>
  <c r="G59" i="8"/>
  <c r="F59" i="8"/>
  <c r="A59" i="8"/>
  <c r="A58" i="8"/>
  <c r="L54" i="8"/>
  <c r="L53" i="8"/>
  <c r="L52" i="8"/>
  <c r="L51" i="8"/>
  <c r="L50" i="8"/>
  <c r="L49" i="8"/>
  <c r="L48" i="8"/>
  <c r="L47" i="8"/>
  <c r="L46" i="8"/>
  <c r="K42" i="8"/>
  <c r="K46" i="8" s="1"/>
  <c r="K44" i="8"/>
  <c r="J42" i="8"/>
  <c r="J46" i="8" s="1"/>
  <c r="J44" i="8"/>
  <c r="L45" i="8"/>
  <c r="L44" i="8"/>
  <c r="L43" i="8"/>
  <c r="L42" i="8"/>
  <c r="L41" i="8"/>
  <c r="K41" i="8"/>
  <c r="J41" i="8"/>
  <c r="L40" i="8"/>
  <c r="L39" i="8"/>
  <c r="G39" i="8"/>
  <c r="F39" i="8"/>
  <c r="L38" i="8"/>
  <c r="G38" i="8"/>
  <c r="F38" i="8"/>
  <c r="L37" i="8"/>
  <c r="G37" i="8"/>
  <c r="F37" i="8"/>
  <c r="L36" i="8"/>
  <c r="G36" i="8"/>
  <c r="F36" i="8"/>
  <c r="L35" i="8"/>
  <c r="G35" i="8"/>
  <c r="F35" i="8"/>
  <c r="L34" i="8"/>
  <c r="K34" i="8"/>
  <c r="J34" i="8"/>
  <c r="G34" i="8"/>
  <c r="F34" i="8"/>
  <c r="L33" i="8"/>
  <c r="K33" i="8"/>
  <c r="J33" i="8"/>
  <c r="G33" i="8"/>
  <c r="F33" i="8"/>
  <c r="L32" i="8"/>
  <c r="G32" i="8"/>
  <c r="F32" i="8"/>
  <c r="L31" i="8"/>
  <c r="A31" i="8"/>
  <c r="A30" i="8"/>
  <c r="L26" i="8"/>
  <c r="L25" i="8"/>
  <c r="L24" i="8"/>
  <c r="L23" i="8"/>
  <c r="L22" i="8"/>
  <c r="L21" i="8"/>
  <c r="L20" i="8"/>
  <c r="L19" i="8"/>
  <c r="L18" i="8"/>
  <c r="K14" i="8"/>
  <c r="K16" i="8"/>
  <c r="K18" i="8" s="1"/>
  <c r="J14" i="8"/>
  <c r="J16" i="8"/>
  <c r="J18" i="8"/>
  <c r="L17" i="8"/>
  <c r="L16" i="8"/>
  <c r="L15" i="8"/>
  <c r="L14" i="8"/>
  <c r="L13" i="8"/>
  <c r="K13" i="8"/>
  <c r="J13" i="8"/>
  <c r="L12" i="8"/>
  <c r="L11" i="8"/>
  <c r="G11" i="8"/>
  <c r="F11" i="8"/>
  <c r="L10" i="8"/>
  <c r="G10" i="8"/>
  <c r="F10" i="8"/>
  <c r="L9" i="8"/>
  <c r="G9" i="8"/>
  <c r="F9" i="8"/>
  <c r="L8" i="8"/>
  <c r="G8" i="8"/>
  <c r="F8" i="8"/>
  <c r="L7" i="8"/>
  <c r="G7" i="8"/>
  <c r="F7" i="8"/>
  <c r="L6" i="8"/>
  <c r="K6" i="8"/>
  <c r="J6" i="8"/>
  <c r="G6" i="8"/>
  <c r="F6" i="8"/>
  <c r="L5" i="8"/>
  <c r="K5" i="8"/>
  <c r="J5" i="8"/>
  <c r="G5" i="8"/>
  <c r="F5" i="8"/>
  <c r="L4" i="8"/>
  <c r="G4" i="8"/>
  <c r="F4" i="8"/>
  <c r="L3" i="8"/>
  <c r="A3" i="8"/>
  <c r="A2" i="8"/>
  <c r="M11" i="2"/>
  <c r="L11" i="2"/>
  <c r="K11" i="2"/>
  <c r="J11" i="2"/>
  <c r="I11" i="2"/>
  <c r="H11" i="2"/>
  <c r="G11" i="2"/>
  <c r="F11" i="2"/>
  <c r="E11" i="2"/>
  <c r="D11" i="2"/>
  <c r="C11" i="2"/>
  <c r="B11" i="2"/>
  <c r="H2" i="2"/>
  <c r="AF53" i="10"/>
  <c r="K51" i="10"/>
  <c r="AF330" i="10"/>
  <c r="AF329" i="10"/>
  <c r="AF320" i="10"/>
  <c r="AF319" i="10"/>
  <c r="AF328" i="10"/>
  <c r="AF327" i="10"/>
  <c r="AF326" i="10"/>
  <c r="AF325" i="10"/>
  <c r="AF324" i="10"/>
  <c r="AF323" i="10"/>
  <c r="AF322" i="10"/>
  <c r="AF321" i="10"/>
  <c r="AF316" i="10"/>
  <c r="AF315" i="10"/>
  <c r="AF314" i="10"/>
  <c r="AF313" i="10"/>
  <c r="AF331" i="10"/>
  <c r="AF318" i="10"/>
  <c r="AF317" i="10"/>
  <c r="AG49" i="10"/>
  <c r="AK49" i="10" s="1"/>
  <c r="AL49" i="10" s="1"/>
  <c r="AG53" i="10"/>
  <c r="AG48" i="10"/>
  <c r="AK48" i="10"/>
  <c r="AE52" i="10"/>
  <c r="AG52" i="10"/>
  <c r="AI331" i="10"/>
  <c r="AE328" i="10"/>
  <c r="AI325" i="10"/>
  <c r="AE324" i="10"/>
  <c r="AI323" i="10"/>
  <c r="AE323" i="10"/>
  <c r="AI322" i="10"/>
  <c r="AI316" i="10"/>
  <c r="AL316" i="10" s="1"/>
  <c r="AE316" i="10"/>
  <c r="AI314" i="10"/>
  <c r="AI330" i="10"/>
  <c r="AE330" i="10"/>
  <c r="AH330" i="10" s="1"/>
  <c r="AE319" i="10"/>
  <c r="AI315" i="10"/>
  <c r="AI313" i="10"/>
  <c r="AJ313" i="10"/>
  <c r="AJ314" i="10"/>
  <c r="AJ315" i="10"/>
  <c r="AJ316" i="10"/>
  <c r="AK316" i="10"/>
  <c r="AJ318" i="10"/>
  <c r="AJ317" i="10"/>
  <c r="AG330" i="10"/>
  <c r="J91" i="8"/>
  <c r="J93" i="8" s="1"/>
  <c r="J94" i="8" s="1"/>
  <c r="K91" i="8"/>
  <c r="K93" i="8" s="1"/>
  <c r="K94" i="8" s="1"/>
  <c r="J99" i="8"/>
  <c r="J103" i="8" s="1"/>
  <c r="J104" i="8" s="1"/>
  <c r="K99" i="8"/>
  <c r="K103" i="8" s="1"/>
  <c r="K104" i="8" s="1"/>
  <c r="BX117" i="10"/>
  <c r="AJ330" i="10"/>
  <c r="AJ331" i="10"/>
  <c r="AJ321" i="10"/>
  <c r="AJ322" i="10"/>
  <c r="AL322" i="10" s="1"/>
  <c r="AJ325" i="10"/>
  <c r="AL325" i="10" s="1"/>
  <c r="AK325" i="10"/>
  <c r="AJ326" i="10"/>
  <c r="AJ327" i="10"/>
  <c r="AJ329" i="10"/>
  <c r="AK330" i="10"/>
  <c r="M123" i="10"/>
  <c r="O122" i="10"/>
  <c r="E9" i="3"/>
  <c r="E8" i="3"/>
  <c r="B90" i="8"/>
  <c r="B87" i="8"/>
  <c r="C87" i="8"/>
  <c r="C86" i="8"/>
  <c r="C88" i="8" s="1"/>
  <c r="T229" i="10"/>
  <c r="U233" i="10"/>
  <c r="U240" i="10"/>
  <c r="U241" i="10"/>
  <c r="T236" i="10"/>
  <c r="I250" i="10"/>
  <c r="I251" i="10"/>
  <c r="I254" i="10"/>
  <c r="I256" i="10"/>
  <c r="I259" i="10"/>
  <c r="I260" i="10"/>
  <c r="J257" i="10"/>
  <c r="U237" i="10"/>
  <c r="J261" i="10"/>
  <c r="J260" i="10"/>
  <c r="J259" i="10"/>
  <c r="J256" i="10"/>
  <c r="J254" i="10"/>
  <c r="T241" i="10"/>
  <c r="T240" i="10"/>
  <c r="T233" i="10"/>
  <c r="U229" i="10"/>
  <c r="J253" i="10"/>
  <c r="J249" i="10"/>
  <c r="T238" i="10"/>
  <c r="U230" i="10"/>
  <c r="U261" i="10"/>
  <c r="T261" i="10"/>
  <c r="U249" i="10"/>
  <c r="T253" i="10"/>
  <c r="U253" i="10"/>
  <c r="T250" i="10"/>
  <c r="T252" i="10"/>
  <c r="U254" i="10"/>
  <c r="T256" i="10"/>
  <c r="T258" i="10"/>
  <c r="U260" i="10"/>
  <c r="T260" i="10"/>
  <c r="I269" i="10"/>
  <c r="J270" i="10"/>
  <c r="I271" i="10"/>
  <c r="J271" i="10"/>
  <c r="I272" i="10"/>
  <c r="I273" i="10"/>
  <c r="I274" i="10"/>
  <c r="J274" i="10"/>
  <c r="I276" i="10"/>
  <c r="I277" i="10"/>
  <c r="J277" i="10"/>
  <c r="I278" i="10"/>
  <c r="I279" i="10"/>
  <c r="I280" i="10"/>
  <c r="J280" i="10"/>
  <c r="I281" i="10"/>
  <c r="BB117" i="10"/>
  <c r="C8" i="1"/>
  <c r="H8" i="1"/>
  <c r="B8" i="1"/>
  <c r="F8" i="1"/>
  <c r="L92" i="14"/>
  <c r="K8" i="1"/>
  <c r="G8" i="1"/>
  <c r="D2" i="3"/>
  <c r="D8" i="1"/>
  <c r="L8" i="1"/>
  <c r="E8" i="1"/>
  <c r="M8" i="1"/>
  <c r="J8" i="1"/>
  <c r="K14" i="1"/>
  <c r="D12" i="1"/>
  <c r="M32" i="1"/>
  <c r="M333" i="8"/>
  <c r="K29" i="1"/>
  <c r="M274" i="8" s="1"/>
  <c r="D10" i="1"/>
  <c r="M59" i="8"/>
  <c r="D30" i="1"/>
  <c r="M79" i="8" s="1"/>
  <c r="D32" i="1"/>
  <c r="L30" i="1"/>
  <c r="M303" i="8" s="1"/>
  <c r="E33" i="1"/>
  <c r="M110" i="8"/>
  <c r="M191" i="8"/>
  <c r="B15" i="1"/>
  <c r="M8" i="8"/>
  <c r="M30" i="1"/>
  <c r="M331" i="8"/>
  <c r="M11" i="1"/>
  <c r="M312" i="8"/>
  <c r="B14" i="1"/>
  <c r="M7" i="8"/>
  <c r="K30" i="1"/>
  <c r="M275" i="8"/>
  <c r="E12" i="1"/>
  <c r="M89" i="8"/>
  <c r="E32" i="1"/>
  <c r="M109" i="8"/>
  <c r="M29" i="1"/>
  <c r="M330" i="8" s="1"/>
  <c r="D14" i="1"/>
  <c r="B30" i="1"/>
  <c r="M23" i="8" s="1"/>
  <c r="D29" i="1"/>
  <c r="K11" i="1"/>
  <c r="M33" i="1"/>
  <c r="E14" i="1"/>
  <c r="M91" i="8" s="1"/>
  <c r="D15" i="1"/>
  <c r="M64" i="8" s="1"/>
  <c r="G33" i="1"/>
  <c r="M166" i="8"/>
  <c r="L14" i="1"/>
  <c r="B29" i="1"/>
  <c r="M22" i="8" s="1"/>
  <c r="E31" i="1"/>
  <c r="M108" i="8"/>
  <c r="E30" i="1"/>
  <c r="E13" i="1"/>
  <c r="E11" i="1"/>
  <c r="K10" i="1"/>
  <c r="K12" i="1"/>
  <c r="H12" i="1"/>
  <c r="M173" i="8"/>
  <c r="G13" i="1"/>
  <c r="M146" i="8"/>
  <c r="C29" i="1"/>
  <c r="J15" i="1"/>
  <c r="H13" i="1"/>
  <c r="M174" i="8"/>
  <c r="G12" i="1"/>
  <c r="M145" i="8"/>
  <c r="M119" i="8"/>
  <c r="D13" i="1"/>
  <c r="M62" i="8"/>
  <c r="C11" i="1"/>
  <c r="D33" i="1"/>
  <c r="M82" i="8"/>
  <c r="E10" i="1"/>
  <c r="M87" i="8"/>
  <c r="M12" i="1"/>
  <c r="K32" i="1"/>
  <c r="M277" i="8"/>
  <c r="G11" i="1"/>
  <c r="M144" i="8"/>
  <c r="H11" i="1"/>
  <c r="G10" i="1"/>
  <c r="C14" i="1"/>
  <c r="M14" i="1"/>
  <c r="L11" i="1"/>
  <c r="K31" i="1"/>
  <c r="M276" i="8"/>
  <c r="J13" i="1"/>
  <c r="M230" i="8" s="1"/>
  <c r="J33" i="1"/>
  <c r="J12" i="1"/>
  <c r="J32" i="1"/>
  <c r="J11" i="1"/>
  <c r="J31" i="1"/>
  <c r="J10" i="1"/>
  <c r="J30" i="1"/>
  <c r="H33" i="1"/>
  <c r="F10" i="1"/>
  <c r="F11" i="1"/>
  <c r="M116" i="8"/>
  <c r="F31" i="1"/>
  <c r="M136" i="8"/>
  <c r="F12" i="1"/>
  <c r="M117" i="8" s="1"/>
  <c r="F32" i="1"/>
  <c r="F13" i="1"/>
  <c r="M118" i="8"/>
  <c r="F33" i="1"/>
  <c r="M138" i="8"/>
  <c r="C31" i="1"/>
  <c r="B12" i="1"/>
  <c r="B32" i="1"/>
  <c r="L29" i="1"/>
  <c r="K13" i="1"/>
  <c r="M258" i="8"/>
  <c r="K33" i="1"/>
  <c r="K15" i="1"/>
  <c r="J29" i="1"/>
  <c r="M246" i="8"/>
  <c r="J14" i="1"/>
  <c r="M231" i="8" s="1"/>
  <c r="H31" i="1"/>
  <c r="M192" i="8"/>
  <c r="H10" i="1"/>
  <c r="H32" i="1"/>
  <c r="G32" i="1"/>
  <c r="M165" i="8" s="1"/>
  <c r="G31" i="1"/>
  <c r="D11" i="1"/>
  <c r="D31" i="1"/>
  <c r="M80" i="8"/>
  <c r="B13" i="1"/>
  <c r="M6" i="8"/>
  <c r="Q477" i="19"/>
  <c r="P489" i="19" s="1"/>
  <c r="Q489" i="19"/>
  <c r="BY85" i="16"/>
  <c r="J278" i="10"/>
  <c r="T254" i="10"/>
  <c r="U251" i="10"/>
  <c r="T257" i="10"/>
  <c r="BY117" i="19"/>
  <c r="BY131" i="19" s="1"/>
  <c r="CB131" i="19" s="1"/>
  <c r="W477" i="10"/>
  <c r="CU117" i="19"/>
  <c r="CU131" i="19"/>
  <c r="CX131" i="19" s="1"/>
  <c r="BC117" i="19"/>
  <c r="BC131" i="19" s="1"/>
  <c r="BF131" i="19"/>
  <c r="K477" i="19"/>
  <c r="J562" i="19" s="1"/>
  <c r="K562" i="19"/>
  <c r="B31" i="1"/>
  <c r="M24" i="8" s="1"/>
  <c r="B33" i="1"/>
  <c r="M26" i="8"/>
  <c r="B11" i="1"/>
  <c r="M4" i="8"/>
  <c r="C33" i="1"/>
  <c r="M54" i="8"/>
  <c r="C30" i="1"/>
  <c r="C13" i="1"/>
  <c r="M34" i="8" s="1"/>
  <c r="C12" i="1"/>
  <c r="M33" i="8" s="1"/>
  <c r="L13" i="1"/>
  <c r="M286" i="8" s="1"/>
  <c r="M15" i="1"/>
  <c r="L15" i="1"/>
  <c r="M288" i="8"/>
  <c r="C32" i="1"/>
  <c r="L31" i="1"/>
  <c r="M304" i="8" s="1"/>
  <c r="L32" i="1"/>
  <c r="M305" i="8"/>
  <c r="L10" i="1"/>
  <c r="M283" i="8"/>
  <c r="L33" i="1"/>
  <c r="M306" i="8" s="1"/>
  <c r="M13" i="1"/>
  <c r="M31" i="1"/>
  <c r="M332" i="8" s="1"/>
  <c r="B10" i="1"/>
  <c r="C10" i="1"/>
  <c r="M10" i="1"/>
  <c r="M311" i="8" s="1"/>
  <c r="C15" i="1"/>
  <c r="M36" i="8"/>
  <c r="L12" i="1"/>
  <c r="M285" i="8" s="1"/>
  <c r="CJ117" i="16"/>
  <c r="CJ131" i="16"/>
  <c r="CM131" i="16" s="1"/>
  <c r="CU117" i="16"/>
  <c r="CU131" i="16"/>
  <c r="CX131" i="16" s="1"/>
  <c r="BN85" i="16"/>
  <c r="AR117" i="16"/>
  <c r="AR131" i="16"/>
  <c r="AU131" i="16" s="1"/>
  <c r="BC117" i="16"/>
  <c r="BC131" i="16"/>
  <c r="BF131" i="16"/>
  <c r="AR117" i="19"/>
  <c r="AR131" i="19"/>
  <c r="AU131" i="19" s="1"/>
  <c r="DF117" i="19"/>
  <c r="DF131" i="19" s="1"/>
  <c r="DI131" i="19" s="1"/>
  <c r="BX104" i="16"/>
  <c r="BX134" i="16"/>
  <c r="BX88" i="16"/>
  <c r="BX141" i="16"/>
  <c r="CA141" i="16" s="1"/>
  <c r="BX99" i="16"/>
  <c r="BX98" i="16"/>
  <c r="BX102" i="16"/>
  <c r="BX97" i="16"/>
  <c r="BX95" i="16"/>
  <c r="BX128" i="16"/>
  <c r="BX105" i="16"/>
  <c r="BY105" i="16" s="1"/>
  <c r="BX139" i="16"/>
  <c r="BY139" i="16" s="1"/>
  <c r="BX108" i="16"/>
  <c r="BX126" i="16"/>
  <c r="BX129" i="16"/>
  <c r="BY99" i="16"/>
  <c r="BA225" i="16" s="1"/>
  <c r="BX138" i="16"/>
  <c r="BX130" i="16"/>
  <c r="BX123" i="16"/>
  <c r="BY123" i="16" s="1"/>
  <c r="CB123" i="16" s="1"/>
  <c r="BX121" i="16"/>
  <c r="CA121" i="16" s="1"/>
  <c r="BX92" i="16"/>
  <c r="BX124" i="16"/>
  <c r="BX112" i="16"/>
  <c r="BX131" i="16"/>
  <c r="CA131" i="16"/>
  <c r="BX133" i="16"/>
  <c r="BX94" i="16"/>
  <c r="BX103" i="16"/>
  <c r="BX101" i="16"/>
  <c r="BX140" i="16"/>
  <c r="BX89" i="16"/>
  <c r="F19" i="2"/>
  <c r="C19" i="2"/>
  <c r="G19" i="2"/>
  <c r="D19" i="2"/>
  <c r="B19" i="2"/>
  <c r="P525" i="19"/>
  <c r="P550" i="19"/>
  <c r="Q550" i="19" s="1"/>
  <c r="P517" i="19"/>
  <c r="Q517" i="19"/>
  <c r="P533" i="19"/>
  <c r="Q533" i="19" s="1"/>
  <c r="P565" i="19"/>
  <c r="Q565" i="19" s="1"/>
  <c r="P492" i="19"/>
  <c r="Q492" i="19" s="1"/>
  <c r="P486" i="19"/>
  <c r="Q486" i="19" s="1"/>
  <c r="P493" i="19"/>
  <c r="Q493" i="19" s="1"/>
  <c r="P552" i="19"/>
  <c r="Q552" i="19" s="1"/>
  <c r="P512" i="19"/>
  <c r="Q512" i="19"/>
  <c r="P499" i="19"/>
  <c r="Q499" i="19" s="1"/>
  <c r="P542" i="19"/>
  <c r="Q542" i="19" s="1"/>
  <c r="P487" i="19"/>
  <c r="Q487" i="19" s="1"/>
  <c r="P554" i="19"/>
  <c r="Q554" i="19"/>
  <c r="P563" i="19"/>
  <c r="Q563" i="19" s="1"/>
  <c r="P480" i="19"/>
  <c r="Q480" i="19" s="1"/>
  <c r="P495" i="19"/>
  <c r="Q495" i="19" s="1"/>
  <c r="P484" i="19"/>
  <c r="Q484" i="19" s="1"/>
  <c r="P522" i="19"/>
  <c r="Q522" i="19" s="1"/>
  <c r="P548" i="19"/>
  <c r="Q548" i="19" s="1"/>
  <c r="P500" i="19"/>
  <c r="Q500" i="19"/>
  <c r="BY117" i="10"/>
  <c r="BY131" i="10" s="1"/>
  <c r="CB131" i="10"/>
  <c r="BC117" i="10"/>
  <c r="BC131" i="10" s="1"/>
  <c r="BF131" i="10"/>
  <c r="BN117" i="10"/>
  <c r="BN131" i="10" s="1"/>
  <c r="BQ131" i="10" s="1"/>
  <c r="BS131" i="10" s="1"/>
  <c r="BL151" i="10" s="1"/>
  <c r="CJ117" i="10"/>
  <c r="CJ131" i="10"/>
  <c r="CM131" i="10" s="1"/>
  <c r="CU85" i="10"/>
  <c r="BY85" i="10"/>
  <c r="CU117" i="10"/>
  <c r="CU131" i="10"/>
  <c r="CX131" i="10" s="1"/>
  <c r="BN85" i="10"/>
  <c r="BN85" i="19"/>
  <c r="BY85" i="19"/>
  <c r="BC85" i="19"/>
  <c r="AR85" i="19"/>
  <c r="CU85" i="19"/>
  <c r="AI477" i="10"/>
  <c r="K477" i="10"/>
  <c r="E477" i="10"/>
  <c r="W477" i="19"/>
  <c r="E477" i="19"/>
  <c r="CJ117" i="19"/>
  <c r="CJ131" i="19"/>
  <c r="CM131" i="19"/>
  <c r="DF117" i="10"/>
  <c r="DF131" i="10" s="1"/>
  <c r="DI131" i="10" s="1"/>
  <c r="AR117" i="10"/>
  <c r="AR131" i="10" s="1"/>
  <c r="AU131" i="10" s="1"/>
  <c r="AR85" i="10"/>
  <c r="BC85" i="10"/>
  <c r="CJ85" i="10"/>
  <c r="DF85" i="10"/>
  <c r="CJ85" i="19"/>
  <c r="DF85" i="19"/>
  <c r="DE100" i="19" s="1"/>
  <c r="AC477" i="10"/>
  <c r="Q477" i="10"/>
  <c r="AC477" i="19"/>
  <c r="P547" i="19"/>
  <c r="Q547" i="19"/>
  <c r="P531" i="19"/>
  <c r="Q531" i="19" s="1"/>
  <c r="P526" i="19"/>
  <c r="Q526" i="19" s="1"/>
  <c r="P483" i="19"/>
  <c r="Q483" i="19" s="1"/>
  <c r="P488" i="19"/>
  <c r="Q488" i="19" s="1"/>
  <c r="P504" i="19"/>
  <c r="Q504" i="19" s="1"/>
  <c r="P560" i="19"/>
  <c r="Q560" i="19" s="1"/>
  <c r="P544" i="19"/>
  <c r="Q544" i="19" s="1"/>
  <c r="P528" i="19"/>
  <c r="Q528" i="19" s="1"/>
  <c r="P502" i="19"/>
  <c r="Q502" i="19" s="1"/>
  <c r="P546" i="19"/>
  <c r="Q546" i="19"/>
  <c r="P539" i="19"/>
  <c r="Q539" i="19" s="1"/>
  <c r="DF85" i="16"/>
  <c r="BC85" i="16"/>
  <c r="CU85" i="16"/>
  <c r="AR85" i="16"/>
  <c r="CJ85" i="16"/>
  <c r="DF117" i="16"/>
  <c r="DF131" i="16"/>
  <c r="DI131" i="16" s="1"/>
  <c r="BN117" i="16"/>
  <c r="BN131" i="16" s="1"/>
  <c r="BQ131" i="16" s="1"/>
  <c r="BY117" i="16"/>
  <c r="BY131" i="16"/>
  <c r="CB131" i="16" s="1"/>
  <c r="BN117" i="19"/>
  <c r="BN131" i="19"/>
  <c r="BQ131" i="19" s="1"/>
  <c r="AO477" i="10"/>
  <c r="AI477" i="19"/>
  <c r="AO477" i="19"/>
  <c r="M25" i="8"/>
  <c r="M5" i="8"/>
  <c r="M51" i="8"/>
  <c r="M137" i="8"/>
  <c r="M115" i="8"/>
  <c r="M248" i="8"/>
  <c r="M228" i="8"/>
  <c r="M250" i="8"/>
  <c r="R87" i="8"/>
  <c r="Q87" i="8"/>
  <c r="M176" i="8"/>
  <c r="M257" i="8"/>
  <c r="M107" i="8"/>
  <c r="M3" i="8"/>
  <c r="M106" i="8"/>
  <c r="M78" i="8"/>
  <c r="R109" i="8"/>
  <c r="Q109" i="8"/>
  <c r="Q110" i="8"/>
  <c r="R110" i="8"/>
  <c r="M249" i="8"/>
  <c r="M60" i="8"/>
  <c r="M193" i="8"/>
  <c r="M171" i="8"/>
  <c r="M260" i="8"/>
  <c r="M302" i="8"/>
  <c r="M284" i="8"/>
  <c r="M315" i="8"/>
  <c r="M316" i="8"/>
  <c r="M35" i="8"/>
  <c r="M143" i="8"/>
  <c r="M313" i="8"/>
  <c r="M32" i="8"/>
  <c r="M88" i="8"/>
  <c r="M227" i="8"/>
  <c r="M278" i="8"/>
  <c r="M164" i="8"/>
  <c r="M229" i="8"/>
  <c r="M53" i="8"/>
  <c r="M314" i="8"/>
  <c r="M92" i="8"/>
  <c r="M334" i="8"/>
  <c r="M31" i="8"/>
  <c r="R108" i="8"/>
  <c r="Q108" i="8"/>
  <c r="R91" i="8"/>
  <c r="Q91" i="8"/>
  <c r="M190" i="8"/>
  <c r="Q89" i="8"/>
  <c r="M61" i="8"/>
  <c r="M259" i="8"/>
  <c r="V480" i="10"/>
  <c r="W480" i="10"/>
  <c r="CT131" i="16"/>
  <c r="CW131" i="16"/>
  <c r="BB131" i="16"/>
  <c r="BE131" i="16" s="1"/>
  <c r="BG131" i="16" s="1"/>
  <c r="BK150" i="16" s="1"/>
  <c r="AQ131" i="16"/>
  <c r="AT131" i="16" s="1"/>
  <c r="J510" i="19"/>
  <c r="K510" i="19" s="1"/>
  <c r="J557" i="19"/>
  <c r="K557" i="19"/>
  <c r="J569" i="19"/>
  <c r="K569" i="19"/>
  <c r="J548" i="19"/>
  <c r="K548" i="19" s="1"/>
  <c r="J543" i="19"/>
  <c r="K543" i="19"/>
  <c r="J520" i="19"/>
  <c r="K520" i="19"/>
  <c r="J534" i="19"/>
  <c r="K534" i="19"/>
  <c r="J550" i="19"/>
  <c r="K550" i="19"/>
  <c r="J489" i="19"/>
  <c r="K489" i="19"/>
  <c r="J509" i="19"/>
  <c r="K509" i="19"/>
  <c r="J519" i="19"/>
  <c r="K519" i="19"/>
  <c r="J497" i="19"/>
  <c r="K497" i="19"/>
  <c r="V525" i="10"/>
  <c r="V527" i="10"/>
  <c r="W527" i="10" s="1"/>
  <c r="V528" i="10"/>
  <c r="W528" i="10" s="1"/>
  <c r="V481" i="10"/>
  <c r="W481" i="10" s="1"/>
  <c r="V526" i="10"/>
  <c r="W526" i="10" s="1"/>
  <c r="J504" i="19"/>
  <c r="K504" i="19" s="1"/>
  <c r="J513" i="19"/>
  <c r="K513" i="19" s="1"/>
  <c r="J501" i="19"/>
  <c r="K501" i="19"/>
  <c r="J498" i="19"/>
  <c r="K498" i="19" s="1"/>
  <c r="J549" i="19"/>
  <c r="K549" i="19" s="1"/>
  <c r="J568" i="19"/>
  <c r="K568" i="19"/>
  <c r="J483" i="19"/>
  <c r="K483" i="19" s="1"/>
  <c r="J539" i="19"/>
  <c r="K539" i="19" s="1"/>
  <c r="J481" i="19"/>
  <c r="K481" i="19" s="1"/>
  <c r="J512" i="19"/>
  <c r="K512" i="19"/>
  <c r="J551" i="19"/>
  <c r="K551" i="19"/>
  <c r="J547" i="19"/>
  <c r="K547" i="19" s="1"/>
  <c r="J492" i="19"/>
  <c r="K492" i="19" s="1"/>
  <c r="J529" i="19"/>
  <c r="K529" i="19"/>
  <c r="J490" i="19"/>
  <c r="K490" i="19"/>
  <c r="BM136" i="16"/>
  <c r="J538" i="19"/>
  <c r="K538" i="19" s="1"/>
  <c r="J516" i="19"/>
  <c r="K516" i="19" s="1"/>
  <c r="J522" i="19"/>
  <c r="K522" i="19" s="1"/>
  <c r="J533" i="19"/>
  <c r="K533" i="19"/>
  <c r="J514" i="19"/>
  <c r="K514" i="19"/>
  <c r="J511" i="19"/>
  <c r="K511" i="19" s="1"/>
  <c r="J493" i="19"/>
  <c r="K493" i="19" s="1"/>
  <c r="J536" i="19"/>
  <c r="K536" i="19"/>
  <c r="J558" i="19"/>
  <c r="K558" i="19"/>
  <c r="J542" i="19"/>
  <c r="K542" i="19" s="1"/>
  <c r="J554" i="19"/>
  <c r="K554" i="19" s="1"/>
  <c r="J530" i="19"/>
  <c r="K530" i="19" s="1"/>
  <c r="J532" i="19"/>
  <c r="K532" i="19"/>
  <c r="J494" i="19"/>
  <c r="K494" i="19" s="1"/>
  <c r="J553" i="19"/>
  <c r="K553" i="19" s="1"/>
  <c r="J517" i="19"/>
  <c r="K517" i="19"/>
  <c r="J500" i="19"/>
  <c r="K500" i="19" s="1"/>
  <c r="J487" i="19"/>
  <c r="K487" i="19" s="1"/>
  <c r="J564" i="19"/>
  <c r="K564" i="19" s="1"/>
  <c r="J527" i="19"/>
  <c r="K527" i="19"/>
  <c r="J559" i="19"/>
  <c r="K559" i="19"/>
  <c r="J566" i="19"/>
  <c r="K566" i="19" s="1"/>
  <c r="J482" i="19"/>
  <c r="K482" i="19" s="1"/>
  <c r="J545" i="19"/>
  <c r="K545" i="19"/>
  <c r="J502" i="19"/>
  <c r="K502" i="19"/>
  <c r="J528" i="19"/>
  <c r="K528" i="19" s="1"/>
  <c r="J496" i="19"/>
  <c r="K496" i="19" s="1"/>
  <c r="J503" i="19"/>
  <c r="K503" i="19" s="1"/>
  <c r="J555" i="19"/>
  <c r="K555" i="19"/>
  <c r="J565" i="19"/>
  <c r="K565" i="19" s="1"/>
  <c r="J560" i="19"/>
  <c r="K560" i="19" s="1"/>
  <c r="J506" i="19"/>
  <c r="K506" i="19"/>
  <c r="J485" i="19"/>
  <c r="K485" i="19" s="1"/>
  <c r="J546" i="19"/>
  <c r="K546" i="19" s="1"/>
  <c r="J523" i="19"/>
  <c r="K523" i="19" s="1"/>
  <c r="J515" i="19"/>
  <c r="K515" i="19"/>
  <c r="J521" i="19"/>
  <c r="K521" i="19"/>
  <c r="J525" i="19"/>
  <c r="J495" i="19"/>
  <c r="K495" i="19"/>
  <c r="J488" i="19"/>
  <c r="K488" i="19"/>
  <c r="J537" i="19"/>
  <c r="K537" i="19" s="1"/>
  <c r="J486" i="19"/>
  <c r="K486" i="19"/>
  <c r="J552" i="19"/>
  <c r="K552" i="19"/>
  <c r="J505" i="19"/>
  <c r="K505" i="19"/>
  <c r="J518" i="19"/>
  <c r="K518" i="19" s="1"/>
  <c r="J567" i="19"/>
  <c r="K567" i="19" s="1"/>
  <c r="J535" i="19"/>
  <c r="K535" i="19"/>
  <c r="J526" i="19"/>
  <c r="K526" i="19"/>
  <c r="J541" i="19"/>
  <c r="K541" i="19" s="1"/>
  <c r="J563" i="19"/>
  <c r="K563" i="19"/>
  <c r="J531" i="19"/>
  <c r="K531" i="19"/>
  <c r="J556" i="19"/>
  <c r="K556" i="19"/>
  <c r="J540" i="19"/>
  <c r="K540" i="19" s="1"/>
  <c r="J499" i="19"/>
  <c r="K499" i="19"/>
  <c r="J544" i="19"/>
  <c r="K544" i="19"/>
  <c r="J561" i="19"/>
  <c r="K561" i="19"/>
  <c r="J484" i="19"/>
  <c r="K484" i="19" s="1"/>
  <c r="J507" i="19"/>
  <c r="K507" i="19" s="1"/>
  <c r="J524" i="19"/>
  <c r="J491" i="19"/>
  <c r="K491" i="19" s="1"/>
  <c r="J480" i="19"/>
  <c r="K480" i="19" s="1"/>
  <c r="J508" i="19"/>
  <c r="K508" i="19" s="1"/>
  <c r="E19" i="2"/>
  <c r="CT130" i="16"/>
  <c r="CA130" i="16"/>
  <c r="BY130" i="16"/>
  <c r="CB130" i="16"/>
  <c r="CC130" i="16"/>
  <c r="BI152" i="16" s="1"/>
  <c r="CD130" i="16"/>
  <c r="BJ152" i="16" s="1"/>
  <c r="BB130" i="16"/>
  <c r="AQ130" i="16"/>
  <c r="AR130" i="16" s="1"/>
  <c r="AU130" i="16" s="1"/>
  <c r="AT130" i="16"/>
  <c r="Q93" i="8"/>
  <c r="R93" i="8"/>
  <c r="R92" i="8"/>
  <c r="Q92" i="8"/>
  <c r="CT129" i="16"/>
  <c r="CW129" i="16" s="1"/>
  <c r="CU129" i="16"/>
  <c r="CX129" i="16" s="1"/>
  <c r="CZ129" i="16" s="1"/>
  <c r="BH154" i="16" s="1"/>
  <c r="CY129" i="16"/>
  <c r="BG154" i="16" s="1"/>
  <c r="BG162" i="16" s="1"/>
  <c r="CA129" i="16"/>
  <c r="CD129" i="16" s="1"/>
  <c r="BH152" i="16" s="1"/>
  <c r="BY129" i="16"/>
  <c r="CB129" i="16"/>
  <c r="CC129" i="16"/>
  <c r="BG152" i="16" s="1"/>
  <c r="BB129" i="16"/>
  <c r="BE129" i="16" s="1"/>
  <c r="BC129" i="16"/>
  <c r="BF129" i="16"/>
  <c r="AQ129" i="16"/>
  <c r="AT129" i="16" s="1"/>
  <c r="AR129" i="16"/>
  <c r="AU129" i="16" s="1"/>
  <c r="AN524" i="19"/>
  <c r="AN525" i="19"/>
  <c r="AN534" i="19"/>
  <c r="AO534" i="19"/>
  <c r="AN566" i="19"/>
  <c r="AO566" i="19"/>
  <c r="AN510" i="19"/>
  <c r="AO510" i="19"/>
  <c r="AN480" i="19"/>
  <c r="AO480" i="19" s="1"/>
  <c r="AN499" i="19"/>
  <c r="AO499" i="19"/>
  <c r="AN529" i="19"/>
  <c r="AO529" i="19"/>
  <c r="AN538" i="19"/>
  <c r="AO538" i="19"/>
  <c r="AN545" i="19"/>
  <c r="AO545" i="19" s="1"/>
  <c r="AN514" i="19"/>
  <c r="AO514" i="19"/>
  <c r="AN505" i="19"/>
  <c r="AO505" i="19"/>
  <c r="AN489" i="19"/>
  <c r="AO489" i="19"/>
  <c r="AN482" i="19"/>
  <c r="AO482" i="19" s="1"/>
  <c r="AN515" i="19"/>
  <c r="AO515" i="19"/>
  <c r="AN507" i="19"/>
  <c r="AO507" i="19"/>
  <c r="AN495" i="19"/>
  <c r="AO495" i="19"/>
  <c r="AN539" i="19"/>
  <c r="AO539" i="19" s="1"/>
  <c r="AN532" i="19"/>
  <c r="AO532" i="19"/>
  <c r="AN548" i="19"/>
  <c r="AO548" i="19"/>
  <c r="AN564" i="19"/>
  <c r="AO564" i="19"/>
  <c r="AN555" i="19"/>
  <c r="AO555" i="19" s="1"/>
  <c r="AN516" i="19"/>
  <c r="AO516" i="19"/>
  <c r="AN500" i="19"/>
  <c r="AO500" i="19"/>
  <c r="AN484" i="19"/>
  <c r="AO484" i="19"/>
  <c r="AN519" i="19"/>
  <c r="AO519" i="19" s="1"/>
  <c r="AN503" i="19"/>
  <c r="AO503" i="19"/>
  <c r="AN533" i="19"/>
  <c r="AO533" i="19"/>
  <c r="AN542" i="19"/>
  <c r="AO542" i="19"/>
  <c r="AN549" i="19"/>
  <c r="AO549" i="19" s="1"/>
  <c r="AN502" i="19"/>
  <c r="AO502" i="19"/>
  <c r="AN517" i="19"/>
  <c r="AO517" i="19"/>
  <c r="AN491" i="19"/>
  <c r="AO491" i="19"/>
  <c r="AN530" i="19"/>
  <c r="AO530" i="19" s="1"/>
  <c r="AN562" i="19"/>
  <c r="AO562" i="19"/>
  <c r="AN569" i="19"/>
  <c r="AO569" i="19"/>
  <c r="AN490" i="19"/>
  <c r="AO490" i="19"/>
  <c r="AN493" i="19"/>
  <c r="AO493" i="19" s="1"/>
  <c r="AN520" i="19"/>
  <c r="AO520" i="19"/>
  <c r="AN535" i="19"/>
  <c r="AO535" i="19"/>
  <c r="AN528" i="19"/>
  <c r="AO528" i="19"/>
  <c r="AN544" i="19"/>
  <c r="AO544" i="19" s="1"/>
  <c r="AN560" i="19"/>
  <c r="AO560" i="19"/>
  <c r="AN551" i="19"/>
  <c r="AO551" i="19"/>
  <c r="AN567" i="19"/>
  <c r="AO567" i="19"/>
  <c r="AN504" i="19"/>
  <c r="AO504" i="19" s="1"/>
  <c r="AN488" i="19"/>
  <c r="AO488" i="19"/>
  <c r="AN550" i="19"/>
  <c r="AO550" i="19"/>
  <c r="AN494" i="19"/>
  <c r="AO494" i="19"/>
  <c r="AN483" i="19"/>
  <c r="AO483" i="19" s="1"/>
  <c r="AN554" i="19"/>
  <c r="AO554" i="19"/>
  <c r="AN498" i="19"/>
  <c r="AO498" i="19"/>
  <c r="AN481" i="19"/>
  <c r="AO481" i="19"/>
  <c r="AN541" i="19"/>
  <c r="AO541" i="19" s="1"/>
  <c r="AN557" i="19"/>
  <c r="AO557" i="19"/>
  <c r="AN513" i="19"/>
  <c r="AO513" i="19"/>
  <c r="AN521" i="19"/>
  <c r="AO521" i="19"/>
  <c r="AN561" i="19"/>
  <c r="AO561" i="19" s="1"/>
  <c r="AN497" i="19"/>
  <c r="AO497" i="19"/>
  <c r="AN522" i="19"/>
  <c r="AO522" i="19"/>
  <c r="AN531" i="19"/>
  <c r="AO531" i="19"/>
  <c r="AN540" i="19"/>
  <c r="AO540" i="19" s="1"/>
  <c r="AN547" i="19"/>
  <c r="AO547" i="19"/>
  <c r="AN508" i="19"/>
  <c r="AO508" i="19"/>
  <c r="AN518" i="19"/>
  <c r="AO518" i="19"/>
  <c r="AN487" i="19"/>
  <c r="AO487" i="19" s="1"/>
  <c r="AN558" i="19"/>
  <c r="AO558" i="19"/>
  <c r="AN486" i="19"/>
  <c r="AO486" i="19"/>
  <c r="AN537" i="19"/>
  <c r="AO537" i="19"/>
  <c r="AN553" i="19"/>
  <c r="AO553" i="19" s="1"/>
  <c r="AN501" i="19"/>
  <c r="AO501" i="19"/>
  <c r="AN527" i="19"/>
  <c r="AO527" i="19"/>
  <c r="AN536" i="19"/>
  <c r="AO536" i="19"/>
  <c r="AN568" i="19"/>
  <c r="AO568" i="19" s="1"/>
  <c r="AN512" i="19"/>
  <c r="AO512" i="19"/>
  <c r="AN496" i="19"/>
  <c r="AO496" i="19"/>
  <c r="AN523" i="19"/>
  <c r="AO523" i="19"/>
  <c r="AN556" i="19"/>
  <c r="AO556" i="19" s="1"/>
  <c r="AN563" i="19"/>
  <c r="AO563" i="19"/>
  <c r="AN492" i="19"/>
  <c r="AO492" i="19"/>
  <c r="AN511" i="19"/>
  <c r="AO511" i="19"/>
  <c r="AN526" i="19"/>
  <c r="AO526" i="19" s="1"/>
  <c r="AN565" i="19"/>
  <c r="AO565" i="19"/>
  <c r="AN509" i="19"/>
  <c r="AO509" i="19"/>
  <c r="AN546" i="19"/>
  <c r="AO546" i="19"/>
  <c r="AN506" i="19"/>
  <c r="AO506" i="19" s="1"/>
  <c r="AN485" i="19"/>
  <c r="AO485" i="19"/>
  <c r="AN543" i="19"/>
  <c r="AO543" i="19"/>
  <c r="AN552" i="19"/>
  <c r="AO552" i="19"/>
  <c r="AN559" i="19"/>
  <c r="AO559" i="19" s="1"/>
  <c r="AH525" i="19"/>
  <c r="AH564" i="19"/>
  <c r="AI564" i="19" s="1"/>
  <c r="AH515" i="19"/>
  <c r="AI515" i="19"/>
  <c r="AH499" i="19"/>
  <c r="AI499" i="19"/>
  <c r="AH483" i="19"/>
  <c r="AI483" i="19" s="1"/>
  <c r="AH506" i="19"/>
  <c r="AI506" i="19" s="1"/>
  <c r="AH517" i="19"/>
  <c r="AI517" i="19" s="1"/>
  <c r="AH485" i="19"/>
  <c r="AI485" i="19" s="1"/>
  <c r="AH516" i="19"/>
  <c r="AI516" i="19"/>
  <c r="AH490" i="19"/>
  <c r="AI490" i="19"/>
  <c r="AH497" i="19"/>
  <c r="AI497" i="19" s="1"/>
  <c r="AH548" i="19"/>
  <c r="AI548" i="19" s="1"/>
  <c r="AH496" i="19"/>
  <c r="AI496" i="19" s="1"/>
  <c r="AH519" i="19"/>
  <c r="AI519" i="19" s="1"/>
  <c r="AH487" i="19"/>
  <c r="AI487" i="19"/>
  <c r="AH521" i="19"/>
  <c r="AI521" i="19"/>
  <c r="AH536" i="19"/>
  <c r="AI536" i="19" s="1"/>
  <c r="AH569" i="19"/>
  <c r="AI569" i="19" s="1"/>
  <c r="AH544" i="19"/>
  <c r="AI544" i="19" s="1"/>
  <c r="AH535" i="19"/>
  <c r="AI535" i="19" s="1"/>
  <c r="AH567" i="19"/>
  <c r="AI567" i="19"/>
  <c r="AH558" i="19"/>
  <c r="AI558" i="19"/>
  <c r="AH518" i="19"/>
  <c r="AI518" i="19" s="1"/>
  <c r="AH509" i="19"/>
  <c r="AI509" i="19" s="1"/>
  <c r="AH526" i="19"/>
  <c r="AI526" i="19" s="1"/>
  <c r="AH549" i="19"/>
  <c r="AI549" i="19" s="1"/>
  <c r="AH482" i="19"/>
  <c r="AI482" i="19"/>
  <c r="AH489" i="19"/>
  <c r="AI489" i="19"/>
  <c r="AH532" i="19"/>
  <c r="AI532" i="19" s="1"/>
  <c r="AH561" i="19"/>
  <c r="AI561" i="19" s="1"/>
  <c r="AH568" i="19"/>
  <c r="AI568" i="19" s="1"/>
  <c r="AH539" i="19"/>
  <c r="AI539" i="19" s="1"/>
  <c r="AH546" i="19"/>
  <c r="AI546" i="19"/>
  <c r="AH524" i="19"/>
  <c r="AH522" i="19"/>
  <c r="AI522" i="19" s="1"/>
  <c r="AH480" i="19"/>
  <c r="AI480" i="19"/>
  <c r="AH557" i="19"/>
  <c r="AI557" i="19"/>
  <c r="AH514" i="19"/>
  <c r="AI514" i="19" s="1"/>
  <c r="AH501" i="19"/>
  <c r="AI501" i="19" s="1"/>
  <c r="AH541" i="19"/>
  <c r="AI541" i="19"/>
  <c r="AH488" i="19"/>
  <c r="AI488" i="19" s="1"/>
  <c r="AH553" i="19"/>
  <c r="AI553" i="19" s="1"/>
  <c r="AH527" i="19"/>
  <c r="AI527" i="19" s="1"/>
  <c r="AH486" i="19"/>
  <c r="AI486" i="19"/>
  <c r="AH542" i="19"/>
  <c r="AI542" i="19"/>
  <c r="AH545" i="19"/>
  <c r="AI545" i="19" s="1"/>
  <c r="AH531" i="19"/>
  <c r="AI531" i="19"/>
  <c r="AH494" i="19"/>
  <c r="AI494" i="19"/>
  <c r="AH534" i="19"/>
  <c r="AI534" i="19"/>
  <c r="AH504" i="19"/>
  <c r="AI504" i="19" s="1"/>
  <c r="AH511" i="19"/>
  <c r="AI511" i="19" s="1"/>
  <c r="AH560" i="19"/>
  <c r="AI560" i="19"/>
  <c r="AH543" i="19"/>
  <c r="AI543" i="19"/>
  <c r="AH493" i="19"/>
  <c r="AI493" i="19" s="1"/>
  <c r="AH556" i="19"/>
  <c r="AI556" i="19" s="1"/>
  <c r="AH552" i="19"/>
  <c r="AI552" i="19"/>
  <c r="AH547" i="19"/>
  <c r="AI547" i="19" s="1"/>
  <c r="AN512" i="10"/>
  <c r="AO512" i="10" s="1"/>
  <c r="AN510" i="10"/>
  <c r="AO510" i="10" s="1"/>
  <c r="AN529" i="10"/>
  <c r="AO529" i="10" s="1"/>
  <c r="AN504" i="10"/>
  <c r="AO504" i="10"/>
  <c r="AN488" i="10"/>
  <c r="AO488" i="10"/>
  <c r="AN527" i="10"/>
  <c r="AO527" i="10" s="1"/>
  <c r="AN481" i="10"/>
  <c r="AO481" i="10" s="1"/>
  <c r="AN490" i="10"/>
  <c r="AO490" i="10" s="1"/>
  <c r="AN531" i="10"/>
  <c r="AO531" i="10" s="1"/>
  <c r="AN499" i="10"/>
  <c r="AO499" i="10"/>
  <c r="AN483" i="10"/>
  <c r="AO483" i="10" s="1"/>
  <c r="AN492" i="10"/>
  <c r="AO492" i="10" s="1"/>
  <c r="AN501" i="10"/>
  <c r="AO501" i="10"/>
  <c r="AN485" i="10"/>
  <c r="AO485" i="10"/>
  <c r="AN494" i="10"/>
  <c r="AO494" i="10" s="1"/>
  <c r="AN507" i="10"/>
  <c r="AO507" i="10"/>
  <c r="AN496" i="10"/>
  <c r="AO496" i="10" s="1"/>
  <c r="AN487" i="10"/>
  <c r="AO487" i="10" s="1"/>
  <c r="AN480" i="10"/>
  <c r="AO480" i="10" s="1"/>
  <c r="AN513" i="10"/>
  <c r="AO513" i="10"/>
  <c r="AN530" i="10"/>
  <c r="AO530" i="10"/>
  <c r="AN493" i="10"/>
  <c r="AO493" i="10" s="1"/>
  <c r="AN486" i="10"/>
  <c r="AO486" i="10" s="1"/>
  <c r="AN515" i="10"/>
  <c r="AO515" i="10" s="1"/>
  <c r="AN500" i="10"/>
  <c r="AO500" i="10"/>
  <c r="AN526" i="10"/>
  <c r="AO526" i="10"/>
  <c r="DE129" i="16"/>
  <c r="Q95" i="8"/>
  <c r="R95" i="8"/>
  <c r="CI98" i="16"/>
  <c r="CI89" i="16"/>
  <c r="CI134" i="16"/>
  <c r="CI124" i="16"/>
  <c r="CI120" i="16"/>
  <c r="CI108" i="16"/>
  <c r="CI88" i="16"/>
  <c r="CI122" i="16"/>
  <c r="CI126" i="16"/>
  <c r="CI112" i="16"/>
  <c r="CI92" i="16"/>
  <c r="CI96" i="16"/>
  <c r="CL96" i="16" s="1"/>
  <c r="CI133" i="16"/>
  <c r="CT111" i="16"/>
  <c r="CT93" i="16"/>
  <c r="CT108" i="16"/>
  <c r="CT95" i="16"/>
  <c r="CT96" i="16"/>
  <c r="CT110" i="16"/>
  <c r="CT104" i="16"/>
  <c r="CT102" i="16"/>
  <c r="CT91" i="16"/>
  <c r="CT94" i="16"/>
  <c r="CT124" i="16"/>
  <c r="CT135" i="16"/>
  <c r="CT132" i="16"/>
  <c r="CT140" i="16"/>
  <c r="CT123" i="16"/>
  <c r="CT126" i="16"/>
  <c r="CT141" i="16"/>
  <c r="CT127" i="16"/>
  <c r="CT139" i="16"/>
  <c r="CT89" i="16"/>
  <c r="CT97" i="16"/>
  <c r="CT101" i="16"/>
  <c r="CT105" i="16"/>
  <c r="CT109" i="16"/>
  <c r="CT138" i="16"/>
  <c r="CT112" i="16"/>
  <c r="CT92" i="16"/>
  <c r="CU99" i="16"/>
  <c r="BG225" i="16"/>
  <c r="CT121" i="16"/>
  <c r="CT125" i="16"/>
  <c r="CT137" i="16"/>
  <c r="CT120" i="16"/>
  <c r="CT90" i="16"/>
  <c r="CT133" i="16"/>
  <c r="CT99" i="16"/>
  <c r="CT100" i="16"/>
  <c r="CT103" i="16"/>
  <c r="CT107" i="16"/>
  <c r="CT88" i="16"/>
  <c r="CT134" i="16"/>
  <c r="CT142" i="16"/>
  <c r="CT143" i="16"/>
  <c r="CT136" i="16"/>
  <c r="CT128" i="16"/>
  <c r="CT98" i="16"/>
  <c r="CT106" i="16"/>
  <c r="CT122" i="16"/>
  <c r="DF99" i="16"/>
  <c r="BJ225" i="16"/>
  <c r="DE112" i="16"/>
  <c r="DE101" i="16"/>
  <c r="DE91" i="16"/>
  <c r="DE97" i="16"/>
  <c r="DE89" i="16"/>
  <c r="DE92" i="16"/>
  <c r="DE142" i="16"/>
  <c r="DE136" i="16"/>
  <c r="DE132" i="16"/>
  <c r="DE128" i="16"/>
  <c r="DE122" i="16"/>
  <c r="DE96" i="16"/>
  <c r="DE104" i="16"/>
  <c r="DE131" i="16"/>
  <c r="DH131" i="16" s="1"/>
  <c r="DJ131" i="16" s="1"/>
  <c r="BK148" i="16" s="1"/>
  <c r="DE143" i="16"/>
  <c r="DE108" i="16"/>
  <c r="DE102" i="16"/>
  <c r="DE105" i="16"/>
  <c r="DE88" i="16"/>
  <c r="DE139" i="16"/>
  <c r="DE94" i="16"/>
  <c r="DE103" i="16"/>
  <c r="DE125" i="16"/>
  <c r="DE123" i="16"/>
  <c r="DE121" i="16"/>
  <c r="DE90" i="16"/>
  <c r="DE134" i="16"/>
  <c r="DE107" i="16"/>
  <c r="DE137" i="16"/>
  <c r="DF137" i="16" s="1"/>
  <c r="DI137" i="16" s="1"/>
  <c r="P525" i="10"/>
  <c r="P533" i="10"/>
  <c r="Q533" i="10" s="1"/>
  <c r="P531" i="10"/>
  <c r="Q531" i="10" s="1"/>
  <c r="P529" i="10"/>
  <c r="Q529" i="10"/>
  <c r="P499" i="10"/>
  <c r="Q499" i="10"/>
  <c r="P483" i="10"/>
  <c r="Q483" i="10" s="1"/>
  <c r="P492" i="10"/>
  <c r="Q492" i="10" s="1"/>
  <c r="P506" i="10"/>
  <c r="Q506" i="10"/>
  <c r="P497" i="10"/>
  <c r="Q497" i="10"/>
  <c r="P481" i="10"/>
  <c r="Q481" i="10" s="1"/>
  <c r="P490" i="10"/>
  <c r="Q490" i="10" s="1"/>
  <c r="P535" i="10"/>
  <c r="Q535" i="10"/>
  <c r="P534" i="10"/>
  <c r="Q534" i="10"/>
  <c r="P532" i="10"/>
  <c r="Q532" i="10"/>
  <c r="P510" i="10"/>
  <c r="Q510" i="10"/>
  <c r="P530" i="10"/>
  <c r="Q530" i="10"/>
  <c r="P528" i="10"/>
  <c r="Q528" i="10"/>
  <c r="P503" i="10"/>
  <c r="Q503" i="10"/>
  <c r="P495" i="10"/>
  <c r="Q495" i="10"/>
  <c r="P487" i="10"/>
  <c r="Q487" i="10"/>
  <c r="P496" i="10"/>
  <c r="Q496" i="10" s="1"/>
  <c r="P488" i="10"/>
  <c r="Q488" i="10" s="1"/>
  <c r="P480" i="10"/>
  <c r="Q480" i="10"/>
  <c r="P527" i="10"/>
  <c r="Q527" i="10"/>
  <c r="P501" i="10"/>
  <c r="Q501" i="10" s="1"/>
  <c r="P493" i="10"/>
  <c r="Q493" i="10" s="1"/>
  <c r="P485" i="10"/>
  <c r="Q485" i="10"/>
  <c r="P502" i="10"/>
  <c r="Q502" i="10"/>
  <c r="P494" i="10"/>
  <c r="Q494" i="10" s="1"/>
  <c r="P486" i="10"/>
  <c r="Q486" i="10" s="1"/>
  <c r="P511" i="10"/>
  <c r="Q511" i="10" s="1"/>
  <c r="P507" i="10"/>
  <c r="Q507" i="10" s="1"/>
  <c r="P500" i="10"/>
  <c r="Q500" i="10"/>
  <c r="P526" i="10"/>
  <c r="Q526" i="10"/>
  <c r="P498" i="10"/>
  <c r="Q498" i="10" s="1"/>
  <c r="P491" i="10"/>
  <c r="Q491" i="10"/>
  <c r="P484" i="10"/>
  <c r="Q484" i="10"/>
  <c r="P489" i="10"/>
  <c r="Q489" i="10"/>
  <c r="P482" i="10"/>
  <c r="Q482" i="10"/>
  <c r="DE94" i="19"/>
  <c r="DE112" i="19"/>
  <c r="DE91" i="19"/>
  <c r="DE142" i="19"/>
  <c r="DE140" i="19"/>
  <c r="DE108" i="19"/>
  <c r="DE106" i="19"/>
  <c r="DE109" i="19"/>
  <c r="DF109" i="19" s="1"/>
  <c r="DE97" i="19"/>
  <c r="DE103" i="19"/>
  <c r="DE134" i="19"/>
  <c r="DE129" i="19"/>
  <c r="DE109" i="10"/>
  <c r="DE104" i="10"/>
  <c r="DE102" i="10"/>
  <c r="DE111" i="10"/>
  <c r="DE112" i="10"/>
  <c r="DE124" i="10"/>
  <c r="DE141" i="10"/>
  <c r="DE103" i="10"/>
  <c r="DE120" i="10"/>
  <c r="DE129" i="10"/>
  <c r="DE133" i="10"/>
  <c r="DE136" i="10"/>
  <c r="DE134" i="10"/>
  <c r="DE121" i="10"/>
  <c r="DE132" i="10"/>
  <c r="DE137" i="10"/>
  <c r="DE110" i="10"/>
  <c r="DE99" i="10"/>
  <c r="DE94" i="10"/>
  <c r="DE108" i="10"/>
  <c r="DE96" i="10"/>
  <c r="DE88" i="10"/>
  <c r="DE100" i="10"/>
  <c r="DE101" i="10"/>
  <c r="DE138" i="10"/>
  <c r="DE143" i="10"/>
  <c r="DE126" i="10"/>
  <c r="DE105" i="10"/>
  <c r="DE91" i="10"/>
  <c r="DE89" i="10"/>
  <c r="DF99" i="10"/>
  <c r="BJ225" i="10"/>
  <c r="DE127" i="10"/>
  <c r="DE90" i="10"/>
  <c r="DE123" i="10"/>
  <c r="DE130" i="10"/>
  <c r="DF130" i="10" s="1"/>
  <c r="DE131" i="10"/>
  <c r="DH131" i="10" s="1"/>
  <c r="DE139" i="10"/>
  <c r="DE107" i="10"/>
  <c r="BB120" i="10"/>
  <c r="BB136" i="10"/>
  <c r="BB135" i="10"/>
  <c r="BB140" i="10"/>
  <c r="BB121" i="10"/>
  <c r="BB123" i="10"/>
  <c r="BB97" i="10"/>
  <c r="BB94" i="10"/>
  <c r="BB111" i="10"/>
  <c r="BB112" i="10"/>
  <c r="BB143" i="10"/>
  <c r="BB129" i="10"/>
  <c r="BC129" i="10" s="1"/>
  <c r="BB130" i="10"/>
  <c r="BB138" i="10"/>
  <c r="BB132" i="10"/>
  <c r="BB96" i="10"/>
  <c r="BB99" i="10"/>
  <c r="BB103" i="10"/>
  <c r="BB106" i="10"/>
  <c r="BB102" i="10"/>
  <c r="BB141" i="10"/>
  <c r="BB88" i="10"/>
  <c r="BC99" i="10"/>
  <c r="BB98" i="10"/>
  <c r="BB122" i="10"/>
  <c r="BB137" i="10"/>
  <c r="BB108" i="10"/>
  <c r="BB107" i="10"/>
  <c r="BB100" i="10"/>
  <c r="D489" i="19"/>
  <c r="E489" i="19" s="1"/>
  <c r="D525" i="19"/>
  <c r="D513" i="19"/>
  <c r="E513" i="19" s="1"/>
  <c r="D539" i="19"/>
  <c r="E539" i="19"/>
  <c r="D530" i="19"/>
  <c r="E530" i="19"/>
  <c r="D546" i="19"/>
  <c r="E546" i="19" s="1"/>
  <c r="D562" i="19"/>
  <c r="E562" i="19"/>
  <c r="D555" i="19"/>
  <c r="E555" i="19" s="1"/>
  <c r="D518" i="19"/>
  <c r="E518" i="19" s="1"/>
  <c r="D502" i="19"/>
  <c r="E502" i="19" s="1"/>
  <c r="D486" i="19"/>
  <c r="E486" i="19"/>
  <c r="D505" i="19"/>
  <c r="E505" i="19" s="1"/>
  <c r="D521" i="19"/>
  <c r="E521" i="19" s="1"/>
  <c r="D554" i="19"/>
  <c r="E554" i="19" s="1"/>
  <c r="D563" i="19"/>
  <c r="E563" i="19" s="1"/>
  <c r="D494" i="19"/>
  <c r="E494" i="19"/>
  <c r="D522" i="19"/>
  <c r="E522" i="19"/>
  <c r="E524" i="19" s="1"/>
  <c r="E525" i="19" s="1"/>
  <c r="D541" i="19"/>
  <c r="E541" i="19" s="1"/>
  <c r="D532" i="19"/>
  <c r="E532" i="19"/>
  <c r="D548" i="19"/>
  <c r="E548" i="19"/>
  <c r="D564" i="19"/>
  <c r="E564" i="19" s="1"/>
  <c r="D557" i="19"/>
  <c r="E557" i="19" s="1"/>
  <c r="D512" i="19"/>
  <c r="E512" i="19" s="1"/>
  <c r="D496" i="19"/>
  <c r="E496" i="19" s="1"/>
  <c r="D482" i="19"/>
  <c r="E482" i="19" s="1"/>
  <c r="D519" i="19"/>
  <c r="E519" i="19" s="1"/>
  <c r="D511" i="19"/>
  <c r="E511" i="19" s="1"/>
  <c r="D501" i="19"/>
  <c r="E501" i="19"/>
  <c r="D485" i="19"/>
  <c r="E485" i="19"/>
  <c r="D529" i="19"/>
  <c r="E529" i="19" s="1"/>
  <c r="D545" i="19"/>
  <c r="E545" i="19"/>
  <c r="D536" i="19"/>
  <c r="E536" i="19" s="1"/>
  <c r="D552" i="19"/>
  <c r="E552" i="19" s="1"/>
  <c r="D568" i="19"/>
  <c r="E568" i="19" s="1"/>
  <c r="D561" i="19"/>
  <c r="E561" i="19"/>
  <c r="D516" i="19"/>
  <c r="E516" i="19" s="1"/>
  <c r="D500" i="19"/>
  <c r="E500" i="19"/>
  <c r="D484" i="19"/>
  <c r="E484" i="19" s="1"/>
  <c r="D499" i="19"/>
  <c r="E499" i="19" s="1"/>
  <c r="D491" i="19"/>
  <c r="E491" i="19"/>
  <c r="D483" i="19"/>
  <c r="E483" i="19" s="1"/>
  <c r="D527" i="19"/>
  <c r="E527" i="19" s="1"/>
  <c r="D535" i="19"/>
  <c r="E535" i="19"/>
  <c r="D543" i="19"/>
  <c r="E543" i="19" s="1"/>
  <c r="D526" i="19"/>
  <c r="E526" i="19"/>
  <c r="D534" i="19"/>
  <c r="E534" i="19" s="1"/>
  <c r="D542" i="19"/>
  <c r="E542" i="19" s="1"/>
  <c r="D550" i="19"/>
  <c r="E550" i="19" s="1"/>
  <c r="D558" i="19"/>
  <c r="E558" i="19" s="1"/>
  <c r="D566" i="19"/>
  <c r="E566" i="19" s="1"/>
  <c r="D551" i="19"/>
  <c r="E551" i="19"/>
  <c r="D559" i="19"/>
  <c r="E559" i="19"/>
  <c r="D567" i="19"/>
  <c r="E567" i="19" s="1"/>
  <c r="D514" i="19"/>
  <c r="E514" i="19" s="1"/>
  <c r="D506" i="19"/>
  <c r="E506" i="19" s="1"/>
  <c r="D498" i="19"/>
  <c r="E498" i="19" s="1"/>
  <c r="D490" i="19"/>
  <c r="E490" i="19"/>
  <c r="D520" i="19"/>
  <c r="E520" i="19" s="1"/>
  <c r="D517" i="19"/>
  <c r="E517" i="19" s="1"/>
  <c r="D509" i="19"/>
  <c r="E509" i="19"/>
  <c r="D497" i="19"/>
  <c r="E497" i="19"/>
  <c r="D481" i="19"/>
  <c r="E481" i="19" s="1"/>
  <c r="D533" i="19"/>
  <c r="E533" i="19" s="1"/>
  <c r="D523" i="19"/>
  <c r="E523" i="19" s="1"/>
  <c r="D540" i="19"/>
  <c r="E540" i="19" s="1"/>
  <c r="D556" i="19"/>
  <c r="E556" i="19" s="1"/>
  <c r="D549" i="19"/>
  <c r="E549" i="19" s="1"/>
  <c r="D565" i="19"/>
  <c r="E565" i="19" s="1"/>
  <c r="D504" i="19"/>
  <c r="E504" i="19"/>
  <c r="D488" i="19"/>
  <c r="E488" i="19" s="1"/>
  <c r="D480" i="19"/>
  <c r="E480" i="19" s="1"/>
  <c r="D515" i="19"/>
  <c r="E515" i="19"/>
  <c r="D507" i="19"/>
  <c r="E507" i="19" s="1"/>
  <c r="D493" i="19"/>
  <c r="E493" i="19" s="1"/>
  <c r="D537" i="19"/>
  <c r="E537" i="19"/>
  <c r="D528" i="19"/>
  <c r="E528" i="19" s="1"/>
  <c r="D544" i="19"/>
  <c r="E544" i="19"/>
  <c r="D560" i="19"/>
  <c r="E560" i="19" s="1"/>
  <c r="D553" i="19"/>
  <c r="E553" i="19" s="1"/>
  <c r="D569" i="19"/>
  <c r="E569" i="19" s="1"/>
  <c r="D508" i="19"/>
  <c r="E508" i="19" s="1"/>
  <c r="D492" i="19"/>
  <c r="E492" i="19" s="1"/>
  <c r="D503" i="19"/>
  <c r="E503" i="19"/>
  <c r="D495" i="19"/>
  <c r="E495" i="19"/>
  <c r="D524" i="19"/>
  <c r="D531" i="19"/>
  <c r="E531" i="19" s="1"/>
  <c r="D538" i="19"/>
  <c r="E538" i="19"/>
  <c r="D547" i="19"/>
  <c r="E547" i="19" s="1"/>
  <c r="D510" i="19"/>
  <c r="E510" i="19" s="1"/>
  <c r="D487" i="19"/>
  <c r="E487" i="19"/>
  <c r="D537" i="10"/>
  <c r="E537" i="10" s="1"/>
  <c r="D535" i="10"/>
  <c r="E535" i="10" s="1"/>
  <c r="D533" i="10"/>
  <c r="E533" i="10"/>
  <c r="D510" i="10"/>
  <c r="E510" i="10" s="1"/>
  <c r="D508" i="10"/>
  <c r="E508" i="10" s="1"/>
  <c r="D501" i="10"/>
  <c r="E501" i="10" s="1"/>
  <c r="D485" i="10"/>
  <c r="E485" i="10" s="1"/>
  <c r="D494" i="10"/>
  <c r="E494" i="10"/>
  <c r="D506" i="10"/>
  <c r="E506" i="10" s="1"/>
  <c r="D499" i="10"/>
  <c r="E499" i="10" s="1"/>
  <c r="D483" i="10"/>
  <c r="E483" i="10"/>
  <c r="D492" i="10"/>
  <c r="E492" i="10"/>
  <c r="D505" i="10"/>
  <c r="E505" i="10" s="1"/>
  <c r="D517" i="10"/>
  <c r="E517" i="10" s="1"/>
  <c r="D513" i="10"/>
  <c r="E513" i="10" s="1"/>
  <c r="D530" i="10"/>
  <c r="E530" i="10" s="1"/>
  <c r="D493" i="10"/>
  <c r="E493" i="10" s="1"/>
  <c r="D486" i="10"/>
  <c r="E486" i="10" s="1"/>
  <c r="D491" i="10"/>
  <c r="E491" i="10" s="1"/>
  <c r="D484" i="10"/>
  <c r="E484" i="10"/>
  <c r="D520" i="10"/>
  <c r="E520" i="10" s="1"/>
  <c r="D519" i="10"/>
  <c r="E519" i="10" s="1"/>
  <c r="D518" i="10"/>
  <c r="E518" i="10" s="1"/>
  <c r="D516" i="10"/>
  <c r="E516" i="10"/>
  <c r="D536" i="10"/>
  <c r="E536" i="10" s="1"/>
  <c r="D514" i="10"/>
  <c r="E514" i="10" s="1"/>
  <c r="D534" i="10"/>
  <c r="E534" i="10" s="1"/>
  <c r="D512" i="10"/>
  <c r="E512" i="10" s="1"/>
  <c r="D511" i="10"/>
  <c r="E511" i="10" s="1"/>
  <c r="D531" i="10"/>
  <c r="E531" i="10"/>
  <c r="D509" i="10"/>
  <c r="E509" i="10" s="1"/>
  <c r="D529" i="10"/>
  <c r="E529" i="10"/>
  <c r="D507" i="10"/>
  <c r="E507" i="10"/>
  <c r="D497" i="10"/>
  <c r="E497" i="10"/>
  <c r="D489" i="10"/>
  <c r="E489" i="10" s="1"/>
  <c r="D481" i="10"/>
  <c r="E481" i="10" s="1"/>
  <c r="D498" i="10"/>
  <c r="E498" i="10" s="1"/>
  <c r="D490" i="10"/>
  <c r="E490" i="10"/>
  <c r="D482" i="10"/>
  <c r="E482" i="10" s="1"/>
  <c r="D527" i="10"/>
  <c r="E527" i="10"/>
  <c r="D503" i="10"/>
  <c r="E503" i="10"/>
  <c r="D495" i="10"/>
  <c r="E495" i="10"/>
  <c r="D487" i="10"/>
  <c r="E487" i="10" s="1"/>
  <c r="D504" i="10"/>
  <c r="E504" i="10" s="1"/>
  <c r="D496" i="10"/>
  <c r="E496" i="10" s="1"/>
  <c r="D488" i="10"/>
  <c r="E488" i="10" s="1"/>
  <c r="D525" i="10"/>
  <c r="D515" i="10"/>
  <c r="E515" i="10"/>
  <c r="D532" i="10"/>
  <c r="E532" i="10"/>
  <c r="D528" i="10"/>
  <c r="E528" i="10"/>
  <c r="D502" i="10"/>
  <c r="E502" i="10" s="1"/>
  <c r="D526" i="10"/>
  <c r="E526" i="10"/>
  <c r="D500" i="10"/>
  <c r="E500" i="10"/>
  <c r="D480" i="10"/>
  <c r="E480" i="10"/>
  <c r="AH508" i="10"/>
  <c r="AI508" i="10"/>
  <c r="AH506" i="10"/>
  <c r="AI506" i="10" s="1"/>
  <c r="AH496" i="10"/>
  <c r="AI496" i="10" s="1"/>
  <c r="AH494" i="10"/>
  <c r="AI494" i="10" s="1"/>
  <c r="AH490" i="10"/>
  <c r="AI490" i="10" s="1"/>
  <c r="AH537" i="10"/>
  <c r="AI537" i="10"/>
  <c r="AH535" i="10"/>
  <c r="AI535" i="10" s="1"/>
  <c r="AH483" i="10"/>
  <c r="AI483" i="10" s="1"/>
  <c r="AH540" i="10"/>
  <c r="AI540" i="10" s="1"/>
  <c r="AH536" i="10"/>
  <c r="AI536" i="10"/>
  <c r="AH503" i="10"/>
  <c r="AI503" i="10"/>
  <c r="AH526" i="10"/>
  <c r="AI526" i="10" s="1"/>
  <c r="AH507" i="10"/>
  <c r="AI507" i="10" s="1"/>
  <c r="AH497" i="10"/>
  <c r="AI497" i="10" s="1"/>
  <c r="AQ130" i="19"/>
  <c r="AQ104" i="19"/>
  <c r="AQ99" i="19"/>
  <c r="AQ111" i="19"/>
  <c r="AQ89" i="19"/>
  <c r="AQ101" i="19"/>
  <c r="AQ112" i="19"/>
  <c r="AQ95" i="19"/>
  <c r="AQ122" i="19"/>
  <c r="AQ105" i="19"/>
  <c r="AQ98" i="19"/>
  <c r="AQ109" i="19"/>
  <c r="AQ97" i="19"/>
  <c r="AQ129" i="19"/>
  <c r="AR99" i="19"/>
  <c r="AR225" i="19" s="1"/>
  <c r="AQ123" i="19"/>
  <c r="AQ124" i="19"/>
  <c r="AQ125" i="19"/>
  <c r="AQ136" i="19"/>
  <c r="AQ135" i="19"/>
  <c r="AQ91" i="19"/>
  <c r="AQ102" i="19"/>
  <c r="AQ128" i="19"/>
  <c r="AQ134" i="19"/>
  <c r="AQ103" i="19"/>
  <c r="AQ121" i="19"/>
  <c r="AQ92" i="19"/>
  <c r="AQ143" i="19"/>
  <c r="AQ88" i="19"/>
  <c r="AQ107" i="19"/>
  <c r="AQ110" i="19"/>
  <c r="AQ127" i="19"/>
  <c r="AQ142" i="19"/>
  <c r="AQ93" i="19"/>
  <c r="AQ138" i="19"/>
  <c r="AQ139" i="19"/>
  <c r="AQ140" i="19"/>
  <c r="AQ96" i="19"/>
  <c r="AQ90" i="19"/>
  <c r="AQ120" i="19"/>
  <c r="AQ108" i="19"/>
  <c r="AQ100" i="19"/>
  <c r="AQ132" i="19"/>
  <c r="AQ106" i="19"/>
  <c r="AQ94" i="19"/>
  <c r="AQ137" i="19"/>
  <c r="AQ131" i="19"/>
  <c r="AT131" i="19" s="1"/>
  <c r="AQ126" i="19"/>
  <c r="AQ133" i="19"/>
  <c r="AQ141" i="19"/>
  <c r="BM121" i="10"/>
  <c r="BM140" i="10"/>
  <c r="BM127" i="10"/>
  <c r="BM126" i="10"/>
  <c r="BM123" i="10"/>
  <c r="BM142" i="10"/>
  <c r="BM138" i="10"/>
  <c r="BM100" i="10"/>
  <c r="BM104" i="10"/>
  <c r="BM98" i="10"/>
  <c r="BM89" i="10"/>
  <c r="BM93" i="10"/>
  <c r="BM92" i="10"/>
  <c r="BM131" i="10"/>
  <c r="BP131" i="10" s="1"/>
  <c r="BM137" i="10"/>
  <c r="BM107" i="10"/>
  <c r="BM99" i="10"/>
  <c r="BM94" i="10"/>
  <c r="BM111" i="10"/>
  <c r="BM133" i="10"/>
  <c r="BM125" i="10"/>
  <c r="BM134" i="10"/>
  <c r="BM130" i="10"/>
  <c r="BN130" i="10" s="1"/>
  <c r="BQ130" i="10" s="1"/>
  <c r="BM129" i="10"/>
  <c r="BM141" i="10"/>
  <c r="BM90" i="10"/>
  <c r="BM109" i="10"/>
  <c r="BM96" i="10"/>
  <c r="BM95" i="10"/>
  <c r="BM106" i="10"/>
  <c r="BM97" i="10"/>
  <c r="BM88" i="10"/>
  <c r="BM102" i="10"/>
  <c r="BM103" i="10"/>
  <c r="BM120" i="10"/>
  <c r="BM143" i="10"/>
  <c r="BM135" i="10"/>
  <c r="BM128" i="10"/>
  <c r="BM132" i="10"/>
  <c r="BP132" i="10" s="1"/>
  <c r="BM139" i="10"/>
  <c r="BM91" i="10"/>
  <c r="BM108" i="10"/>
  <c r="BM105" i="10"/>
  <c r="BN99" i="10"/>
  <c r="AX225" i="10"/>
  <c r="BM101" i="10"/>
  <c r="BM136" i="10"/>
  <c r="BM112" i="10"/>
  <c r="BM124" i="10"/>
  <c r="BM122" i="10"/>
  <c r="BM110" i="10"/>
  <c r="BX143" i="19"/>
  <c r="BX107" i="19"/>
  <c r="BX100" i="19"/>
  <c r="BX93" i="19"/>
  <c r="BX121" i="19"/>
  <c r="BX135" i="19"/>
  <c r="BX109" i="19"/>
  <c r="BX136" i="19"/>
  <c r="BY136" i="19" s="1"/>
  <c r="CB136" i="19" s="1"/>
  <c r="BX108" i="19"/>
  <c r="BX94" i="19"/>
  <c r="BX90" i="19"/>
  <c r="BX96" i="19"/>
  <c r="BX141" i="19"/>
  <c r="BX125" i="19"/>
  <c r="BX123" i="19"/>
  <c r="BX124" i="19"/>
  <c r="BX122" i="19"/>
  <c r="BX120" i="19"/>
  <c r="BX137" i="19"/>
  <c r="BX112" i="19"/>
  <c r="BX111" i="19"/>
  <c r="BX102" i="19"/>
  <c r="BX88" i="19"/>
  <c r="BX105" i="19"/>
  <c r="BX97" i="19"/>
  <c r="BX89" i="19"/>
  <c r="BX128" i="19"/>
  <c r="BX138" i="19"/>
  <c r="BX99" i="19"/>
  <c r="BX131" i="19"/>
  <c r="CA131" i="19" s="1"/>
  <c r="BX92" i="19"/>
  <c r="BX129" i="19"/>
  <c r="BX140" i="19"/>
  <c r="BX139" i="19"/>
  <c r="BX98" i="19"/>
  <c r="BX95" i="19"/>
  <c r="BX91" i="19"/>
  <c r="BX104" i="19"/>
  <c r="BX101" i="19"/>
  <c r="BX126" i="19"/>
  <c r="BX132" i="19"/>
  <c r="BX130" i="19"/>
  <c r="BX103" i="19"/>
  <c r="BX127" i="19"/>
  <c r="BX106" i="19"/>
  <c r="BX110" i="19"/>
  <c r="BY99" i="19"/>
  <c r="BA225" i="19" s="1"/>
  <c r="BX133" i="19"/>
  <c r="BX134" i="19"/>
  <c r="BX142" i="19"/>
  <c r="BX103" i="10"/>
  <c r="BX140" i="10"/>
  <c r="BX130" i="10"/>
  <c r="BY130" i="10" s="1"/>
  <c r="CB130" i="10" s="1"/>
  <c r="BX142" i="10"/>
  <c r="BX141" i="10"/>
  <c r="BX100" i="10"/>
  <c r="BX107" i="10"/>
  <c r="BX101" i="10"/>
  <c r="BX95" i="10"/>
  <c r="BX92" i="10"/>
  <c r="BX131" i="10"/>
  <c r="CA131" i="10" s="1"/>
  <c r="CD131" i="10" s="1"/>
  <c r="BX134" i="10"/>
  <c r="BX127" i="10"/>
  <c r="BX137" i="10"/>
  <c r="BX128" i="10"/>
  <c r="CA128" i="10" s="1"/>
  <c r="BX132" i="10"/>
  <c r="BX139" i="10"/>
  <c r="BX93" i="10"/>
  <c r="BX104" i="10"/>
  <c r="BX109" i="10"/>
  <c r="BX89" i="10"/>
  <c r="BX88" i="10"/>
  <c r="BX91" i="10"/>
  <c r="BX96" i="10"/>
  <c r="BX97" i="10"/>
  <c r="BX112" i="10"/>
  <c r="BX111" i="10"/>
  <c r="BX133" i="10"/>
  <c r="BX129" i="10"/>
  <c r="BX135" i="10"/>
  <c r="BX124" i="10"/>
  <c r="BX122" i="10"/>
  <c r="BX102" i="10"/>
  <c r="BX90" i="10"/>
  <c r="BX108" i="10"/>
  <c r="BX98" i="10"/>
  <c r="BX99" i="10"/>
  <c r="BX106" i="10"/>
  <c r="BX94" i="10"/>
  <c r="BY99" i="10"/>
  <c r="BA225" i="10" s="1"/>
  <c r="BX125" i="10"/>
  <c r="BX126" i="10"/>
  <c r="BX121" i="10"/>
  <c r="BX143" i="10"/>
  <c r="BX120" i="10"/>
  <c r="BX136" i="10"/>
  <c r="BX123" i="10"/>
  <c r="BX138" i="10"/>
  <c r="BX105" i="10"/>
  <c r="BX110" i="10"/>
  <c r="AZ228" i="16"/>
  <c r="AZ220" i="16"/>
  <c r="BY133" i="16"/>
  <c r="CB133" i="16" s="1"/>
  <c r="CA133" i="16"/>
  <c r="CA112" i="16"/>
  <c r="BY112" i="16"/>
  <c r="CB112" i="16"/>
  <c r="BY121" i="16"/>
  <c r="CB121" i="16" s="1"/>
  <c r="CD121" i="16" s="1"/>
  <c r="AR152" i="16" s="1"/>
  <c r="BY126" i="16"/>
  <c r="CB126" i="16" s="1"/>
  <c r="CA126" i="16"/>
  <c r="CB139" i="16"/>
  <c r="CA139" i="16"/>
  <c r="BY95" i="16"/>
  <c r="CB95" i="16"/>
  <c r="CA95" i="16"/>
  <c r="AZ221" i="16"/>
  <c r="BY102" i="16"/>
  <c r="CB102" i="16" s="1"/>
  <c r="CA102" i="16"/>
  <c r="AZ229" i="16"/>
  <c r="AG19" i="14"/>
  <c r="AG22" i="14"/>
  <c r="AG18" i="14"/>
  <c r="H41" i="14"/>
  <c r="F30" i="18" s="1"/>
  <c r="H29" i="14"/>
  <c r="F18" i="18"/>
  <c r="AG41" i="14"/>
  <c r="AG39" i="14"/>
  <c r="AG31" i="14"/>
  <c r="G30" i="14"/>
  <c r="I30" i="14" s="1"/>
  <c r="G33" i="14"/>
  <c r="G28" i="14"/>
  <c r="G29" i="14"/>
  <c r="G24" i="14"/>
  <c r="G26" i="14"/>
  <c r="AG32" i="14"/>
  <c r="AG25" i="14"/>
  <c r="AG28" i="14"/>
  <c r="AG33" i="14"/>
  <c r="AG40" i="14"/>
  <c r="AH40" i="14" s="1"/>
  <c r="AG35" i="14"/>
  <c r="AG34" i="14"/>
  <c r="AG24" i="14"/>
  <c r="AG23" i="14"/>
  <c r="G25" i="14"/>
  <c r="L25" i="14" s="1"/>
  <c r="G27" i="14"/>
  <c r="G34" i="14"/>
  <c r="G32" i="14"/>
  <c r="G31" i="14"/>
  <c r="BY141" i="16"/>
  <c r="CB141" i="16"/>
  <c r="CA134" i="16"/>
  <c r="BY134" i="16"/>
  <c r="CB134" i="16"/>
  <c r="BY104" i="16"/>
  <c r="CB104" i="16" s="1"/>
  <c r="AZ231" i="16"/>
  <c r="CA104" i="16"/>
  <c r="R106" i="8"/>
  <c r="Q106" i="8"/>
  <c r="Q107" i="8"/>
  <c r="R107" i="8"/>
  <c r="AQ111" i="16"/>
  <c r="AQ102" i="16"/>
  <c r="AQ108" i="16"/>
  <c r="AQ93" i="16"/>
  <c r="AQ95" i="16"/>
  <c r="AQ128" i="16"/>
  <c r="AQ123" i="16"/>
  <c r="AQ101" i="16"/>
  <c r="AQ109" i="16"/>
  <c r="AQ100" i="16"/>
  <c r="AQ110" i="16"/>
  <c r="AQ140" i="16"/>
  <c r="AR99" i="16"/>
  <c r="AR225" i="16" s="1"/>
  <c r="AQ127" i="16"/>
  <c r="AQ120" i="16"/>
  <c r="AQ99" i="16"/>
  <c r="AT99" i="16" s="1"/>
  <c r="AQ122" i="16"/>
  <c r="AQ138" i="16"/>
  <c r="AQ142" i="16"/>
  <c r="AQ125" i="16"/>
  <c r="AQ92" i="16"/>
  <c r="AQ126" i="16"/>
  <c r="AQ134" i="16"/>
  <c r="AQ121" i="16"/>
  <c r="AR121" i="16" s="1"/>
  <c r="AU121" i="16" s="1"/>
  <c r="AQ91" i="16"/>
  <c r="AT91" i="16" s="1"/>
  <c r="AQ106" i="16"/>
  <c r="AR106" i="16" s="1"/>
  <c r="AQ96" i="16"/>
  <c r="AQ103" i="16"/>
  <c r="AQ107" i="16"/>
  <c r="AQ135" i="16"/>
  <c r="AQ94" i="16"/>
  <c r="AQ104" i="16"/>
  <c r="AQ89" i="16"/>
  <c r="AQ98" i="16"/>
  <c r="AQ139" i="16"/>
  <c r="AQ133" i="16"/>
  <c r="AQ136" i="16"/>
  <c r="AQ137" i="16"/>
  <c r="AQ141" i="16"/>
  <c r="AQ97" i="16"/>
  <c r="AT97" i="16" s="1"/>
  <c r="AQ112" i="16"/>
  <c r="AQ88" i="16"/>
  <c r="AQ90" i="16"/>
  <c r="AQ132" i="16"/>
  <c r="AQ105" i="16"/>
  <c r="AQ124" i="16"/>
  <c r="AQ143" i="16"/>
  <c r="BB93" i="16"/>
  <c r="BB110" i="16"/>
  <c r="BB100" i="16"/>
  <c r="AT227" i="16" s="1"/>
  <c r="BB109" i="16"/>
  <c r="BB105" i="16"/>
  <c r="BB112" i="16"/>
  <c r="BB103" i="16"/>
  <c r="BB127" i="16"/>
  <c r="BB125" i="16"/>
  <c r="BE125" i="16" s="1"/>
  <c r="BB108" i="16"/>
  <c r="BE108" i="16" s="1"/>
  <c r="BB128" i="16"/>
  <c r="BB99" i="16"/>
  <c r="BB95" i="16"/>
  <c r="BB140" i="16"/>
  <c r="BB132" i="16"/>
  <c r="BB121" i="16"/>
  <c r="BB101" i="16"/>
  <c r="BB143" i="16"/>
  <c r="BC143" i="16" s="1"/>
  <c r="BF143" i="16" s="1"/>
  <c r="BB126" i="16"/>
  <c r="BB141" i="16"/>
  <c r="BB104" i="16"/>
  <c r="BB138" i="16"/>
  <c r="BB111" i="16"/>
  <c r="BB102" i="16"/>
  <c r="BB94" i="16"/>
  <c r="BB106" i="16"/>
  <c r="BB107" i="16"/>
  <c r="BB137" i="16"/>
  <c r="BB122" i="16"/>
  <c r="BB92" i="16"/>
  <c r="BB96" i="16"/>
  <c r="BB134" i="16"/>
  <c r="BB123" i="16"/>
  <c r="BC99" i="16"/>
  <c r="BF99" i="16" s="1"/>
  <c r="AU225" i="16"/>
  <c r="BN244" i="16" s="1"/>
  <c r="BB135" i="16"/>
  <c r="BB133" i="16"/>
  <c r="BB88" i="16"/>
  <c r="BB120" i="16"/>
  <c r="BB142" i="16"/>
  <c r="BB97" i="16"/>
  <c r="BB91" i="16"/>
  <c r="BB136" i="16"/>
  <c r="BB139" i="16"/>
  <c r="BB90" i="16"/>
  <c r="BB124" i="16"/>
  <c r="BB98" i="16"/>
  <c r="BB89" i="16"/>
  <c r="AB532" i="19"/>
  <c r="AC532" i="19"/>
  <c r="AB564" i="19"/>
  <c r="AC564" i="19" s="1"/>
  <c r="AB512" i="19"/>
  <c r="AC512" i="19" s="1"/>
  <c r="AB491" i="19"/>
  <c r="AC491" i="19" s="1"/>
  <c r="AB480" i="19"/>
  <c r="AC480" i="19"/>
  <c r="AB513" i="19"/>
  <c r="AC513" i="19" s="1"/>
  <c r="AB485" i="19"/>
  <c r="AC485" i="19" s="1"/>
  <c r="AB529" i="19"/>
  <c r="AC529" i="19" s="1"/>
  <c r="AB545" i="19"/>
  <c r="AC545" i="19" s="1"/>
  <c r="AB552" i="19"/>
  <c r="AC552" i="19"/>
  <c r="AB568" i="19"/>
  <c r="AC568" i="19"/>
  <c r="AB561" i="19"/>
  <c r="AC561" i="19" s="1"/>
  <c r="AB500" i="19"/>
  <c r="AC500" i="19" s="1"/>
  <c r="AB484" i="19"/>
  <c r="AC484" i="19"/>
  <c r="AB515" i="19"/>
  <c r="AC515" i="19" s="1"/>
  <c r="AB497" i="19"/>
  <c r="AC497" i="19" s="1"/>
  <c r="AB481" i="19"/>
  <c r="AC481" i="19"/>
  <c r="AB533" i="19"/>
  <c r="AC533" i="19" s="1"/>
  <c r="AB540" i="19"/>
  <c r="AC540" i="19"/>
  <c r="AB556" i="19"/>
  <c r="AC556" i="19"/>
  <c r="AB549" i="19"/>
  <c r="AC549" i="19" s="1"/>
  <c r="AB504" i="19"/>
  <c r="AC504" i="19"/>
  <c r="AB488" i="19"/>
  <c r="AC488" i="19" s="1"/>
  <c r="AB503" i="19"/>
  <c r="AC503" i="19" s="1"/>
  <c r="AB487" i="19"/>
  <c r="AC487" i="19"/>
  <c r="AB520" i="19"/>
  <c r="AC520" i="19" s="1"/>
  <c r="AB527" i="19"/>
  <c r="AC527" i="19" s="1"/>
  <c r="AB543" i="19"/>
  <c r="AC543" i="19" s="1"/>
  <c r="AB526" i="19"/>
  <c r="AC526" i="19"/>
  <c r="AB534" i="19"/>
  <c r="AC534" i="19" s="1"/>
  <c r="AB550" i="19"/>
  <c r="AC550" i="19" s="1"/>
  <c r="AB558" i="19"/>
  <c r="AC558" i="19" s="1"/>
  <c r="AB566" i="19"/>
  <c r="AC566" i="19" s="1"/>
  <c r="AB559" i="19"/>
  <c r="AC559" i="19"/>
  <c r="AB567" i="19"/>
  <c r="AC567" i="19"/>
  <c r="AB510" i="19"/>
  <c r="AC510" i="19" s="1"/>
  <c r="AB494" i="19"/>
  <c r="AC494" i="19" s="1"/>
  <c r="AB486" i="19"/>
  <c r="AC486" i="19"/>
  <c r="AB518" i="19"/>
  <c r="AC518" i="19" s="1"/>
  <c r="AB509" i="19"/>
  <c r="AC509" i="19" s="1"/>
  <c r="AB493" i="19"/>
  <c r="AC493" i="19"/>
  <c r="AB537" i="19"/>
  <c r="AC537" i="19" s="1"/>
  <c r="AB544" i="19"/>
  <c r="AC544" i="19"/>
  <c r="AB560" i="19"/>
  <c r="AC560" i="19" s="1"/>
  <c r="AB553" i="19"/>
  <c r="AC553" i="19" s="1"/>
  <c r="AB508" i="19"/>
  <c r="AC508" i="19"/>
  <c r="AB492" i="19"/>
  <c r="AC492" i="19" s="1"/>
  <c r="AB519" i="19"/>
  <c r="AC519" i="19" s="1"/>
  <c r="AB505" i="19"/>
  <c r="AC505" i="19"/>
  <c r="AB489" i="19"/>
  <c r="AC489" i="19" s="1"/>
  <c r="AB531" i="19"/>
  <c r="AC531" i="19" s="1"/>
  <c r="AB521" i="19"/>
  <c r="AC521" i="19" s="1"/>
  <c r="AB530" i="19"/>
  <c r="AC530" i="19" s="1"/>
  <c r="AB538" i="19"/>
  <c r="AC538" i="19" s="1"/>
  <c r="AB554" i="19"/>
  <c r="AC554" i="19" s="1"/>
  <c r="AB562" i="19"/>
  <c r="AC562" i="19" s="1"/>
  <c r="AB547" i="19"/>
  <c r="AC547" i="19" s="1"/>
  <c r="AB563" i="19"/>
  <c r="AC563" i="19"/>
  <c r="AB514" i="19"/>
  <c r="AC514" i="19" s="1"/>
  <c r="AB506" i="19"/>
  <c r="AC506" i="19" s="1"/>
  <c r="AB541" i="19"/>
  <c r="AC541" i="19" s="1"/>
  <c r="AB557" i="19"/>
  <c r="AC557" i="19"/>
  <c r="AB499" i="19"/>
  <c r="AC499" i="19" s="1"/>
  <c r="AB490" i="19"/>
  <c r="AC490" i="19"/>
  <c r="AB548" i="19"/>
  <c r="AC548" i="19" s="1"/>
  <c r="AB483" i="19"/>
  <c r="AC483" i="19"/>
  <c r="AB525" i="10"/>
  <c r="AB516" i="10"/>
  <c r="AC516" i="10" s="1"/>
  <c r="AB514" i="10"/>
  <c r="AC514" i="10"/>
  <c r="AB512" i="10"/>
  <c r="AC512" i="10"/>
  <c r="AB510" i="10"/>
  <c r="AC510" i="10"/>
  <c r="AB508" i="10"/>
  <c r="AC508" i="10" s="1"/>
  <c r="AB499" i="10"/>
  <c r="AC499" i="10"/>
  <c r="AB483" i="10"/>
  <c r="AC483" i="10"/>
  <c r="AB492" i="10"/>
  <c r="AC492" i="10"/>
  <c r="AB527" i="10"/>
  <c r="AC527" i="10" s="1"/>
  <c r="AB497" i="10"/>
  <c r="AC497" i="10"/>
  <c r="AB489" i="10"/>
  <c r="AC489" i="10" s="1"/>
  <c r="AB481" i="10"/>
  <c r="AC481" i="10"/>
  <c r="AB498" i="10"/>
  <c r="AC498" i="10"/>
  <c r="AB490" i="10"/>
  <c r="AC490" i="10"/>
  <c r="AB482" i="10"/>
  <c r="AC482" i="10" s="1"/>
  <c r="AB505" i="10"/>
  <c r="AC505" i="10"/>
  <c r="AB537" i="10"/>
  <c r="AC537" i="10" s="1"/>
  <c r="AB536" i="10"/>
  <c r="AC536" i="10" s="1"/>
  <c r="AB535" i="10"/>
  <c r="AC535" i="10"/>
  <c r="AB513" i="10"/>
  <c r="AC513" i="10"/>
  <c r="AB533" i="10"/>
  <c r="AC533" i="10" s="1"/>
  <c r="AB511" i="10"/>
  <c r="AC511" i="10" s="1"/>
  <c r="AB531" i="10"/>
  <c r="AC531" i="10"/>
  <c r="AB509" i="10"/>
  <c r="AC509" i="10"/>
  <c r="AB529" i="10"/>
  <c r="AC529" i="10" s="1"/>
  <c r="AB507" i="10"/>
  <c r="AC507" i="10" s="1"/>
  <c r="AB503" i="10"/>
  <c r="AC503" i="10"/>
  <c r="AB495" i="10"/>
  <c r="AC495" i="10"/>
  <c r="AB487" i="10"/>
  <c r="AC487" i="10" s="1"/>
  <c r="AB504" i="10"/>
  <c r="AC504" i="10" s="1"/>
  <c r="AB496" i="10"/>
  <c r="AC496" i="10"/>
  <c r="AB488" i="10"/>
  <c r="AC488" i="10"/>
  <c r="AB480" i="10"/>
  <c r="AC480" i="10" s="1"/>
  <c r="AB506" i="10"/>
  <c r="AC506" i="10" s="1"/>
  <c r="AB501" i="10"/>
  <c r="AC501" i="10"/>
  <c r="AB493" i="10"/>
  <c r="AC493" i="10"/>
  <c r="AB485" i="10"/>
  <c r="AC485" i="10" s="1"/>
  <c r="AB502" i="10"/>
  <c r="AC502" i="10" s="1"/>
  <c r="AB494" i="10"/>
  <c r="AC494" i="10"/>
  <c r="AB486" i="10"/>
  <c r="AC486" i="10"/>
  <c r="AB515" i="10"/>
  <c r="AC515" i="10" s="1"/>
  <c r="AB532" i="10"/>
  <c r="AC532" i="10"/>
  <c r="AB528" i="10"/>
  <c r="AC528" i="10"/>
  <c r="AB500" i="10"/>
  <c r="AC500" i="10" s="1"/>
  <c r="AB526" i="10"/>
  <c r="AC526" i="10"/>
  <c r="AB538" i="10"/>
  <c r="AC538" i="10" s="1"/>
  <c r="AB534" i="10"/>
  <c r="AC534" i="10" s="1"/>
  <c r="AB530" i="10"/>
  <c r="AC530" i="10" s="1"/>
  <c r="AB491" i="10"/>
  <c r="AC491" i="10"/>
  <c r="AB484" i="10"/>
  <c r="AC484" i="10" s="1"/>
  <c r="CI111" i="19"/>
  <c r="CJ99" i="19"/>
  <c r="BD225" i="19"/>
  <c r="CI89" i="19"/>
  <c r="CI108" i="19"/>
  <c r="CI110" i="19"/>
  <c r="CI91" i="19"/>
  <c r="CI105" i="19"/>
  <c r="CI95" i="19"/>
  <c r="CI127" i="19"/>
  <c r="CI109" i="19"/>
  <c r="CI141" i="19"/>
  <c r="CI140" i="19"/>
  <c r="CI124" i="19"/>
  <c r="CI143" i="19"/>
  <c r="CL143" i="19" s="1"/>
  <c r="CI136" i="19"/>
  <c r="CI137" i="19"/>
  <c r="CI104" i="19"/>
  <c r="CI96" i="19"/>
  <c r="CI132" i="19"/>
  <c r="CI142" i="19"/>
  <c r="CI98" i="19"/>
  <c r="CI112" i="19"/>
  <c r="CI131" i="19"/>
  <c r="CL131" i="19"/>
  <c r="CI90" i="19"/>
  <c r="CI88" i="19"/>
  <c r="CI99" i="19"/>
  <c r="CI122" i="19"/>
  <c r="CI123" i="19"/>
  <c r="CL123" i="19" s="1"/>
  <c r="CI106" i="19"/>
  <c r="CI102" i="19"/>
  <c r="CI94" i="19"/>
  <c r="CI120" i="19"/>
  <c r="CI130" i="19"/>
  <c r="CI121" i="19"/>
  <c r="CI107" i="19"/>
  <c r="CI135" i="19"/>
  <c r="CJ135" i="19" s="1"/>
  <c r="CM135" i="19" s="1"/>
  <c r="CI126" i="19"/>
  <c r="CL126" i="19" s="1"/>
  <c r="CI103" i="19"/>
  <c r="CI93" i="19"/>
  <c r="CI101" i="19"/>
  <c r="CI128" i="19"/>
  <c r="CI133" i="19"/>
  <c r="CI100" i="19"/>
  <c r="CI92" i="19"/>
  <c r="CL92" i="19" s="1"/>
  <c r="CI125" i="19"/>
  <c r="CI129" i="19"/>
  <c r="CL129" i="19" s="1"/>
  <c r="CI134" i="19"/>
  <c r="CI138" i="19"/>
  <c r="CI97" i="19"/>
  <c r="CI139" i="19"/>
  <c r="CI127" i="10"/>
  <c r="CI124" i="10"/>
  <c r="CJ124" i="10" s="1"/>
  <c r="CM124" i="10" s="1"/>
  <c r="CI141" i="10"/>
  <c r="CL141" i="10" s="1"/>
  <c r="CI106" i="10"/>
  <c r="CI103" i="10"/>
  <c r="CI137" i="10"/>
  <c r="CI140" i="10"/>
  <c r="CI139" i="10"/>
  <c r="CI129" i="10"/>
  <c r="CI128" i="10"/>
  <c r="CL128" i="10" s="1"/>
  <c r="CI142" i="10"/>
  <c r="CI121" i="10"/>
  <c r="CI123" i="10"/>
  <c r="CI94" i="10"/>
  <c r="CI111" i="10"/>
  <c r="CI99" i="10"/>
  <c r="CI100" i="10"/>
  <c r="CI98" i="10"/>
  <c r="CI136" i="10"/>
  <c r="CI120" i="10"/>
  <c r="CI126" i="10"/>
  <c r="CI125" i="10"/>
  <c r="CI109" i="10"/>
  <c r="CI104" i="10"/>
  <c r="CI97" i="10"/>
  <c r="CI101" i="10"/>
  <c r="CI89" i="10"/>
  <c r="CI88" i="10"/>
  <c r="CI102" i="10"/>
  <c r="CI91" i="10"/>
  <c r="CI107" i="10"/>
  <c r="CI93" i="10"/>
  <c r="CI95" i="10"/>
  <c r="CI138" i="10"/>
  <c r="CI134" i="10"/>
  <c r="CI143" i="10"/>
  <c r="CI90" i="10"/>
  <c r="CI130" i="10"/>
  <c r="CI131" i="10"/>
  <c r="CL131" i="10" s="1"/>
  <c r="CN131" i="10" s="1"/>
  <c r="BK153" i="10" s="1"/>
  <c r="CI135" i="10"/>
  <c r="CI133" i="10"/>
  <c r="CI132" i="10"/>
  <c r="CI108" i="10"/>
  <c r="CJ108" i="10" s="1"/>
  <c r="CI92" i="10"/>
  <c r="CI105" i="10"/>
  <c r="CJ99" i="10"/>
  <c r="BD225" i="10" s="1"/>
  <c r="CI112" i="10"/>
  <c r="CI122" i="10"/>
  <c r="CI96" i="10"/>
  <c r="CI110" i="10"/>
  <c r="AQ141" i="10"/>
  <c r="AQ137" i="10"/>
  <c r="AQ128" i="10"/>
  <c r="AQ138" i="10"/>
  <c r="AQ127" i="10"/>
  <c r="AQ129" i="10"/>
  <c r="AQ112" i="10"/>
  <c r="AQ104" i="10"/>
  <c r="AQ91" i="10"/>
  <c r="AQ217" i="10" s="1"/>
  <c r="AQ132" i="10"/>
  <c r="AQ124" i="10"/>
  <c r="AQ133" i="10"/>
  <c r="AQ142" i="10"/>
  <c r="AQ120" i="10"/>
  <c r="AQ99" i="10"/>
  <c r="AQ98" i="10"/>
  <c r="AR98" i="10" s="1"/>
  <c r="AQ109" i="10"/>
  <c r="AR109" i="10" s="1"/>
  <c r="AQ95" i="10"/>
  <c r="AQ97" i="10"/>
  <c r="AQ88" i="10"/>
  <c r="AQ105" i="10"/>
  <c r="AQ89" i="10"/>
  <c r="AQ101" i="10"/>
  <c r="AQ107" i="10"/>
  <c r="AQ126" i="10"/>
  <c r="AQ143" i="10"/>
  <c r="AQ134" i="10"/>
  <c r="AQ93" i="10"/>
  <c r="AQ111" i="10"/>
  <c r="AQ136" i="10"/>
  <c r="AQ122" i="10"/>
  <c r="V524" i="19"/>
  <c r="V508" i="19"/>
  <c r="W508" i="19" s="1"/>
  <c r="V519" i="19"/>
  <c r="W519" i="19" s="1"/>
  <c r="V518" i="19"/>
  <c r="W518" i="19" s="1"/>
  <c r="V504" i="19"/>
  <c r="W504" i="19"/>
  <c r="V562" i="19"/>
  <c r="W562" i="19" s="1"/>
  <c r="V490" i="19"/>
  <c r="W490" i="19" s="1"/>
  <c r="V526" i="19"/>
  <c r="W526" i="19"/>
  <c r="V535" i="19"/>
  <c r="W535" i="19" s="1"/>
  <c r="V536" i="19"/>
  <c r="W536" i="19" s="1"/>
  <c r="V529" i="19"/>
  <c r="W529" i="19"/>
  <c r="V552" i="19"/>
  <c r="W552" i="19"/>
  <c r="V568" i="19"/>
  <c r="W568" i="19"/>
  <c r="V499" i="19"/>
  <c r="W499" i="19"/>
  <c r="V538" i="19"/>
  <c r="W538" i="19" s="1"/>
  <c r="V511" i="19"/>
  <c r="W511" i="19"/>
  <c r="V481" i="19"/>
  <c r="W481" i="19" s="1"/>
  <c r="V486" i="19"/>
  <c r="W486" i="19" s="1"/>
  <c r="V509" i="19"/>
  <c r="W509" i="19" s="1"/>
  <c r="V543" i="19"/>
  <c r="W543" i="19" s="1"/>
  <c r="V550" i="19"/>
  <c r="W550" i="19" s="1"/>
  <c r="V565" i="19"/>
  <c r="W565" i="19" s="1"/>
  <c r="V556" i="19"/>
  <c r="W556" i="19" s="1"/>
  <c r="V516" i="19"/>
  <c r="W516" i="19"/>
  <c r="V507" i="19"/>
  <c r="W507" i="19"/>
  <c r="V563" i="19"/>
  <c r="W563" i="19" s="1"/>
  <c r="V555" i="19"/>
  <c r="W555" i="19"/>
  <c r="V482" i="19"/>
  <c r="W482" i="19" s="1"/>
  <c r="V489" i="19"/>
  <c r="W489" i="19" s="1"/>
  <c r="V528" i="19"/>
  <c r="W528" i="19" s="1"/>
  <c r="V537" i="19"/>
  <c r="W537" i="19" s="1"/>
  <c r="V569" i="19"/>
  <c r="W569" i="19" s="1"/>
  <c r="V515" i="19"/>
  <c r="W515" i="19" s="1"/>
  <c r="V547" i="19"/>
  <c r="W547" i="19" s="1"/>
  <c r="V496" i="19"/>
  <c r="W496" i="19" s="1"/>
  <c r="V494" i="19"/>
  <c r="W494" i="19" s="1"/>
  <c r="V501" i="19"/>
  <c r="W501" i="19" s="1"/>
  <c r="V527" i="19"/>
  <c r="W527" i="19" s="1"/>
  <c r="V557" i="19"/>
  <c r="W557" i="19" s="1"/>
  <c r="V522" i="19"/>
  <c r="W522" i="19" s="1"/>
  <c r="V532" i="19"/>
  <c r="W532" i="19" s="1"/>
  <c r="V523" i="19"/>
  <c r="W523" i="19" s="1"/>
  <c r="V510" i="19"/>
  <c r="W510" i="19"/>
  <c r="V487" i="19"/>
  <c r="W487" i="19" s="1"/>
  <c r="V505" i="19"/>
  <c r="W505" i="19"/>
  <c r="V542" i="19"/>
  <c r="W542" i="19"/>
  <c r="V558" i="19"/>
  <c r="W558" i="19" s="1"/>
  <c r="V553" i="19"/>
  <c r="W553" i="19"/>
  <c r="V560" i="19"/>
  <c r="W560" i="19" s="1"/>
  <c r="V500" i="19"/>
  <c r="W500" i="19" s="1"/>
  <c r="V514" i="19"/>
  <c r="W514" i="19"/>
  <c r="V495" i="19"/>
  <c r="W495" i="19" s="1"/>
  <c r="V546" i="19"/>
  <c r="W546" i="19" s="1"/>
  <c r="V485" i="19"/>
  <c r="W485" i="19" s="1"/>
  <c r="V559" i="19"/>
  <c r="W559" i="19" s="1"/>
  <c r="V541" i="19"/>
  <c r="W541" i="19" s="1"/>
  <c r="V540" i="19"/>
  <c r="W540" i="19" s="1"/>
  <c r="J525" i="10"/>
  <c r="J537" i="10"/>
  <c r="K537" i="10"/>
  <c r="J535" i="10"/>
  <c r="K535" i="10"/>
  <c r="J533" i="10"/>
  <c r="K533" i="10" s="1"/>
  <c r="J531" i="10"/>
  <c r="K531" i="10" s="1"/>
  <c r="J529" i="10"/>
  <c r="K529" i="10"/>
  <c r="J527" i="10"/>
  <c r="K527" i="10"/>
  <c r="J480" i="10"/>
  <c r="K480" i="10" s="1"/>
  <c r="J497" i="10"/>
  <c r="K497" i="10"/>
  <c r="J493" i="10"/>
  <c r="K493" i="10" s="1"/>
  <c r="J489" i="10"/>
  <c r="K489" i="10" s="1"/>
  <c r="J485" i="10"/>
  <c r="K485" i="10"/>
  <c r="J526" i="10"/>
  <c r="K526" i="10" s="1"/>
  <c r="J498" i="10"/>
  <c r="K498" i="10" s="1"/>
  <c r="J496" i="10"/>
  <c r="K496" i="10"/>
  <c r="J494" i="10"/>
  <c r="K494" i="10" s="1"/>
  <c r="J492" i="10"/>
  <c r="K492" i="10" s="1"/>
  <c r="J536" i="10"/>
  <c r="K536" i="10"/>
  <c r="J490" i="10"/>
  <c r="K490" i="10" s="1"/>
  <c r="J534" i="10"/>
  <c r="K534" i="10" s="1"/>
  <c r="J488" i="10"/>
  <c r="K488" i="10" s="1"/>
  <c r="J532" i="10"/>
  <c r="K532" i="10" s="1"/>
  <c r="J486" i="10"/>
  <c r="K486" i="10" s="1"/>
  <c r="J530" i="10"/>
  <c r="K530" i="10" s="1"/>
  <c r="J484" i="10"/>
  <c r="K484" i="10" s="1"/>
  <c r="J528" i="10"/>
  <c r="K528" i="10" s="1"/>
  <c r="J482" i="10"/>
  <c r="K482" i="10" s="1"/>
  <c r="J495" i="10"/>
  <c r="K495" i="10" s="1"/>
  <c r="J491" i="10"/>
  <c r="K491" i="10" s="1"/>
  <c r="J487" i="10"/>
  <c r="K487" i="10" s="1"/>
  <c r="J483" i="10"/>
  <c r="K483" i="10" s="1"/>
  <c r="J481" i="10"/>
  <c r="K481" i="10" s="1"/>
  <c r="CT105" i="19"/>
  <c r="CT94" i="19"/>
  <c r="CT110" i="19"/>
  <c r="CT112" i="19"/>
  <c r="CT90" i="19"/>
  <c r="CT109" i="19"/>
  <c r="CT104" i="19"/>
  <c r="CT91" i="19"/>
  <c r="CT92" i="19"/>
  <c r="CT141" i="19"/>
  <c r="CT121" i="19"/>
  <c r="CT143" i="19"/>
  <c r="CT132" i="19"/>
  <c r="CT140" i="19"/>
  <c r="CT103" i="19"/>
  <c r="CT100" i="19"/>
  <c r="CT123" i="19"/>
  <c r="CT142" i="19"/>
  <c r="CT125" i="19"/>
  <c r="CT124" i="19"/>
  <c r="CT101" i="19"/>
  <c r="CT127" i="19"/>
  <c r="CT134" i="19"/>
  <c r="CT107" i="19"/>
  <c r="CT99" i="19"/>
  <c r="CT102" i="19"/>
  <c r="CT88" i="19"/>
  <c r="CT97" i="19"/>
  <c r="CT133" i="19"/>
  <c r="CT122" i="19"/>
  <c r="CT139" i="19"/>
  <c r="CT111" i="19"/>
  <c r="CT106" i="19"/>
  <c r="CT95" i="19"/>
  <c r="CT120" i="19"/>
  <c r="CT93" i="19"/>
  <c r="CT130" i="19"/>
  <c r="CW130" i="19" s="1"/>
  <c r="CT126" i="19"/>
  <c r="CT135" i="19"/>
  <c r="CT131" i="19"/>
  <c r="CW131" i="19"/>
  <c r="CY131" i="19" s="1"/>
  <c r="CT137" i="19"/>
  <c r="CT98" i="19"/>
  <c r="CT108" i="19"/>
  <c r="CT89" i="19"/>
  <c r="CT96" i="19"/>
  <c r="CU99" i="19"/>
  <c r="BG225" i="19" s="1"/>
  <c r="CT129" i="19"/>
  <c r="CT138" i="19"/>
  <c r="CT128" i="19"/>
  <c r="CT136" i="19"/>
  <c r="BB112" i="19"/>
  <c r="BB94" i="19"/>
  <c r="BB88" i="19"/>
  <c r="BB96" i="19"/>
  <c r="BB111" i="19"/>
  <c r="BB100" i="19"/>
  <c r="BC99" i="19"/>
  <c r="AU225" i="19" s="1"/>
  <c r="BB140" i="19"/>
  <c r="BB135" i="19"/>
  <c r="BB95" i="19"/>
  <c r="BB101" i="19"/>
  <c r="BB132" i="19"/>
  <c r="BB105" i="19"/>
  <c r="BB90" i="19"/>
  <c r="BB141" i="19"/>
  <c r="BB129" i="19"/>
  <c r="BB127" i="19"/>
  <c r="BB120" i="19"/>
  <c r="BB109" i="19"/>
  <c r="BB99" i="19"/>
  <c r="BB126" i="19"/>
  <c r="BB124" i="19"/>
  <c r="BB137" i="19"/>
  <c r="BB92" i="19"/>
  <c r="BB106" i="19"/>
  <c r="BB133" i="19"/>
  <c r="BB138" i="19"/>
  <c r="BB134" i="19"/>
  <c r="BB131" i="19"/>
  <c r="BE131" i="19"/>
  <c r="BB121" i="19"/>
  <c r="BB110" i="19"/>
  <c r="BB130" i="19"/>
  <c r="BB125" i="19"/>
  <c r="BB89" i="19"/>
  <c r="BB139" i="19"/>
  <c r="BB97" i="19"/>
  <c r="BB103" i="19"/>
  <c r="BB93" i="19"/>
  <c r="BB104" i="19"/>
  <c r="BB143" i="19"/>
  <c r="BB107" i="19"/>
  <c r="BB102" i="19"/>
  <c r="BB98" i="19"/>
  <c r="BB142" i="19"/>
  <c r="BB123" i="19"/>
  <c r="BB108" i="19"/>
  <c r="BB91" i="19"/>
  <c r="BB122" i="19"/>
  <c r="BE122" i="19" s="1"/>
  <c r="BB128" i="19"/>
  <c r="BC128" i="19" s="1"/>
  <c r="BF128" i="19" s="1"/>
  <c r="BB136" i="19"/>
  <c r="BM111" i="19"/>
  <c r="BM89" i="19"/>
  <c r="BM108" i="19"/>
  <c r="BM91" i="19"/>
  <c r="BM135" i="19"/>
  <c r="BM102" i="19"/>
  <c r="BM104" i="19"/>
  <c r="BM131" i="19"/>
  <c r="BP131" i="19" s="1"/>
  <c r="BM136" i="19"/>
  <c r="BM140" i="19"/>
  <c r="BM124" i="19"/>
  <c r="BM103" i="19"/>
  <c r="BM134" i="19"/>
  <c r="BM130" i="19"/>
  <c r="BM107" i="19"/>
  <c r="BM106" i="19"/>
  <c r="BM142" i="19"/>
  <c r="BM94" i="19"/>
  <c r="BM88" i="19"/>
  <c r="BM98" i="19"/>
  <c r="BM128" i="19"/>
  <c r="BM123" i="19"/>
  <c r="BM138" i="19"/>
  <c r="BM112" i="19"/>
  <c r="BM133" i="19"/>
  <c r="BM121" i="19"/>
  <c r="BM90" i="19"/>
  <c r="BM109" i="19"/>
  <c r="BM141" i="19"/>
  <c r="BM126" i="19"/>
  <c r="CT139" i="10"/>
  <c r="CT131" i="10"/>
  <c r="CW131" i="10"/>
  <c r="CT121" i="10"/>
  <c r="CT133" i="10"/>
  <c r="CT142" i="10"/>
  <c r="CT112" i="10"/>
  <c r="CT111" i="10"/>
  <c r="CT134" i="10"/>
  <c r="CT127" i="10"/>
  <c r="CT132" i="10"/>
  <c r="CT128" i="10"/>
  <c r="CW128" i="10" s="1"/>
  <c r="CT140" i="10"/>
  <c r="CT138" i="10"/>
  <c r="CT143" i="10"/>
  <c r="CT126" i="10"/>
  <c r="CT125" i="10"/>
  <c r="CT136" i="10"/>
  <c r="CT137" i="10"/>
  <c r="CT89" i="10"/>
  <c r="CT103" i="10"/>
  <c r="CT92" i="10"/>
  <c r="CT93" i="10"/>
  <c r="CT99" i="10"/>
  <c r="CT102" i="10"/>
  <c r="CT107" i="10"/>
  <c r="CT104" i="10"/>
  <c r="CU99" i="10"/>
  <c r="BG225" i="10" s="1"/>
  <c r="CT98" i="10"/>
  <c r="CT97" i="10"/>
  <c r="CT96" i="10"/>
  <c r="CT95" i="10"/>
  <c r="CT101" i="10"/>
  <c r="CT130" i="10"/>
  <c r="CT124" i="10"/>
  <c r="CT135" i="10"/>
  <c r="CT123" i="10"/>
  <c r="CT122" i="10"/>
  <c r="CT88" i="10"/>
  <c r="CT90" i="10"/>
  <c r="CT91" i="10"/>
  <c r="CT94" i="10"/>
  <c r="CT100" i="10"/>
  <c r="CT108" i="10"/>
  <c r="CT109" i="10"/>
  <c r="CT120" i="10"/>
  <c r="CT129" i="10"/>
  <c r="CT141" i="10"/>
  <c r="CW141" i="10" s="1"/>
  <c r="CT110" i="10"/>
  <c r="CT106" i="10"/>
  <c r="CT105" i="10"/>
  <c r="CA89" i="16"/>
  <c r="AZ215" i="16"/>
  <c r="BY89" i="16"/>
  <c r="CB89" i="16"/>
  <c r="CA140" i="16"/>
  <c r="BY140" i="16"/>
  <c r="CB140" i="16" s="1"/>
  <c r="BY103" i="16"/>
  <c r="CA124" i="16"/>
  <c r="BY124" i="16"/>
  <c r="CB124" i="16" s="1"/>
  <c r="CA123" i="16"/>
  <c r="BY138" i="16"/>
  <c r="CB138" i="16"/>
  <c r="CA138" i="16"/>
  <c r="BA226" i="16"/>
  <c r="BP246" i="16" s="1"/>
  <c r="BN246" i="16"/>
  <c r="CB105" i="16"/>
  <c r="CA105" i="16"/>
  <c r="AZ232" i="16"/>
  <c r="BY128" i="16"/>
  <c r="CB128" i="16" s="1"/>
  <c r="CA128" i="16"/>
  <c r="BY97" i="16"/>
  <c r="CB97" i="16" s="1"/>
  <c r="CD97" i="16" s="1"/>
  <c r="CA97" i="16"/>
  <c r="AZ223" i="16"/>
  <c r="AZ224" i="16"/>
  <c r="CA98" i="16"/>
  <c r="BY98" i="16"/>
  <c r="CB98" i="16" s="1"/>
  <c r="CC98" i="16" s="1"/>
  <c r="BY88" i="16"/>
  <c r="H19" i="2"/>
  <c r="I19" i="2"/>
  <c r="K524" i="19"/>
  <c r="K525" i="19" s="1"/>
  <c r="J19" i="2"/>
  <c r="DK131" i="16"/>
  <c r="BL148" i="16" s="1"/>
  <c r="CY131" i="10"/>
  <c r="BK154" i="10" s="1"/>
  <c r="BK162" i="10" s="1"/>
  <c r="CZ131" i="10"/>
  <c r="BL154" i="10" s="1"/>
  <c r="CO131" i="10"/>
  <c r="BL153" i="10" s="1"/>
  <c r="CC131" i="10"/>
  <c r="BK152" i="10" s="1"/>
  <c r="BL152" i="10"/>
  <c r="DK131" i="10"/>
  <c r="BL148" i="10" s="1"/>
  <c r="CW130" i="10"/>
  <c r="CU130" i="10"/>
  <c r="CX130" i="10"/>
  <c r="CZ130" i="10" s="1"/>
  <c r="BJ154" i="10" s="1"/>
  <c r="CL130" i="10"/>
  <c r="CJ130" i="10"/>
  <c r="CM130" i="10" s="1"/>
  <c r="CA130" i="10"/>
  <c r="CC130" i="10"/>
  <c r="BI152" i="10" s="1"/>
  <c r="CD130" i="10"/>
  <c r="BJ152" i="10" s="1"/>
  <c r="BP130" i="10"/>
  <c r="BE130" i="10"/>
  <c r="BC130" i="10"/>
  <c r="BF130" i="10"/>
  <c r="BH130" i="10" s="1"/>
  <c r="BJ150" i="10" s="1"/>
  <c r="DH130" i="10"/>
  <c r="DI130" i="10"/>
  <c r="CW128" i="19"/>
  <c r="CU128" i="19"/>
  <c r="CX128" i="19" s="1"/>
  <c r="CL128" i="19"/>
  <c r="CJ128" i="19"/>
  <c r="CM128" i="19"/>
  <c r="CN128" i="19"/>
  <c r="BE153" i="19" s="1"/>
  <c r="CA128" i="19"/>
  <c r="BY128" i="19"/>
  <c r="CB128" i="19" s="1"/>
  <c r="CC128" i="19" s="1"/>
  <c r="BE152" i="19"/>
  <c r="BE128" i="19"/>
  <c r="BG128" i="19"/>
  <c r="BE150" i="19" s="1"/>
  <c r="CW129" i="19"/>
  <c r="CU129" i="19"/>
  <c r="CX129" i="19" s="1"/>
  <c r="CA129" i="19"/>
  <c r="BY129" i="19"/>
  <c r="CB129" i="19" s="1"/>
  <c r="CU130" i="19"/>
  <c r="CX130" i="19" s="1"/>
  <c r="CL130" i="19"/>
  <c r="CJ130" i="19"/>
  <c r="CM130" i="19" s="1"/>
  <c r="CA130" i="19"/>
  <c r="BY130" i="19"/>
  <c r="CB130" i="19"/>
  <c r="AT130" i="19"/>
  <c r="AR130" i="19"/>
  <c r="AU130" i="19" s="1"/>
  <c r="BK154" i="19"/>
  <c r="BK162" i="19" s="1"/>
  <c r="CZ131" i="19"/>
  <c r="BL154" i="19" s="1"/>
  <c r="BR131" i="19"/>
  <c r="BK151" i="19" s="1"/>
  <c r="BG131" i="19"/>
  <c r="BK150" i="19" s="1"/>
  <c r="CW129" i="10"/>
  <c r="CU129" i="10"/>
  <c r="CX129" i="10"/>
  <c r="CZ129" i="10" s="1"/>
  <c r="BH154" i="10" s="1"/>
  <c r="CL129" i="10"/>
  <c r="CJ129" i="10"/>
  <c r="CM129" i="10" s="1"/>
  <c r="CA129" i="10"/>
  <c r="BY129" i="10"/>
  <c r="CB129" i="10" s="1"/>
  <c r="CC129" i="10" s="1"/>
  <c r="BG152" i="10" s="1"/>
  <c r="BE129" i="10"/>
  <c r="BF129" i="10"/>
  <c r="BH129" i="10" s="1"/>
  <c r="BH150" i="10" s="1"/>
  <c r="CJ128" i="10"/>
  <c r="CM128" i="10" s="1"/>
  <c r="BY128" i="10"/>
  <c r="CB128" i="10" s="1"/>
  <c r="CD128" i="10" s="1"/>
  <c r="BF152" i="10" s="1"/>
  <c r="CC128" i="10"/>
  <c r="BE152" i="10" s="1"/>
  <c r="BP128" i="10"/>
  <c r="BN128" i="10"/>
  <c r="BQ128" i="10"/>
  <c r="BR128" i="10" s="1"/>
  <c r="BE151" i="10" s="1"/>
  <c r="BS128" i="10"/>
  <c r="BF151" i="10" s="1"/>
  <c r="BF167" i="10" s="1"/>
  <c r="CD134" i="16"/>
  <c r="BR152" i="16" s="1"/>
  <c r="CC134" i="16"/>
  <c r="BQ152" i="16" s="1"/>
  <c r="BR160" i="16" s="1"/>
  <c r="L31" i="14"/>
  <c r="M31" i="14" s="1"/>
  <c r="I31" i="14"/>
  <c r="AI31" i="14" s="1"/>
  <c r="E20" i="18"/>
  <c r="H31" i="14"/>
  <c r="F20" i="18" s="1"/>
  <c r="L34" i="14"/>
  <c r="M34" i="14"/>
  <c r="I34" i="14"/>
  <c r="AI34" i="14" s="1"/>
  <c r="H34" i="14"/>
  <c r="F23" i="18" s="1"/>
  <c r="E23" i="18"/>
  <c r="M25" i="14"/>
  <c r="H25" i="14"/>
  <c r="F14" i="18" s="1"/>
  <c r="E14" i="18"/>
  <c r="I25" i="14"/>
  <c r="AI25" i="14"/>
  <c r="AC20" i="14"/>
  <c r="C37" i="22" s="1"/>
  <c r="L20" i="14"/>
  <c r="M20" i="14" s="1"/>
  <c r="BE20" i="14"/>
  <c r="BA20" i="14"/>
  <c r="C43" i="21" s="1"/>
  <c r="I20" i="14"/>
  <c r="AI20" i="14"/>
  <c r="AR20" i="14"/>
  <c r="C39" i="23"/>
  <c r="W20" i="14"/>
  <c r="C8" i="22" s="1"/>
  <c r="H20" i="14"/>
  <c r="F9" i="18" s="1"/>
  <c r="AH24" i="14"/>
  <c r="AH35" i="14"/>
  <c r="AH28" i="14"/>
  <c r="E21" i="18"/>
  <c r="I21" i="18"/>
  <c r="J21" i="18"/>
  <c r="C55" i="13" s="1"/>
  <c r="I32" i="14"/>
  <c r="L32" i="14"/>
  <c r="M32" i="14" s="1"/>
  <c r="N32" i="14"/>
  <c r="AH32" i="14"/>
  <c r="L26" i="14"/>
  <c r="M26" i="14" s="1"/>
  <c r="E15" i="18"/>
  <c r="I26" i="14"/>
  <c r="AI26" i="14"/>
  <c r="H26" i="14"/>
  <c r="F15" i="18"/>
  <c r="L29" i="14"/>
  <c r="M29" i="14" s="1"/>
  <c r="E18" i="18"/>
  <c r="I29" i="14"/>
  <c r="AI29" i="14" s="1"/>
  <c r="I28" i="14"/>
  <c r="L30" i="14"/>
  <c r="M30" i="14" s="1"/>
  <c r="E19" i="18"/>
  <c r="AI30" i="14"/>
  <c r="H30" i="14"/>
  <c r="F19" i="18" s="1"/>
  <c r="CD98" i="16"/>
  <c r="AS246" i="16"/>
  <c r="BA215" i="16"/>
  <c r="AT246" i="16" s="1"/>
  <c r="CU105" i="10"/>
  <c r="CX105" i="10" s="1"/>
  <c r="CW105" i="10"/>
  <c r="BF232" i="10"/>
  <c r="CU110" i="10"/>
  <c r="CX110" i="10"/>
  <c r="CW110" i="10"/>
  <c r="BF237" i="10"/>
  <c r="CU109" i="10"/>
  <c r="CX109" i="10"/>
  <c r="BF236" i="10"/>
  <c r="CI248" i="10" s="1"/>
  <c r="CI259" i="10" s="1"/>
  <c r="CW109" i="10"/>
  <c r="CU100" i="10"/>
  <c r="CX100" i="10" s="1"/>
  <c r="CW100" i="10"/>
  <c r="BF227" i="10"/>
  <c r="CU91" i="10"/>
  <c r="CX91" i="10"/>
  <c r="CW91" i="10"/>
  <c r="BF217" i="10"/>
  <c r="BG217" i="10" s="1"/>
  <c r="AX248" i="10" s="1"/>
  <c r="AX259" i="10" s="1"/>
  <c r="CU88" i="10"/>
  <c r="CX112" i="10"/>
  <c r="BF214" i="10"/>
  <c r="CW88" i="10"/>
  <c r="CW123" i="10"/>
  <c r="CU123" i="10"/>
  <c r="CX123" i="10" s="1"/>
  <c r="CU124" i="10"/>
  <c r="CX124" i="10" s="1"/>
  <c r="CW124" i="10"/>
  <c r="CU101" i="10"/>
  <c r="CX101" i="10" s="1"/>
  <c r="CW101" i="10"/>
  <c r="BF228" i="10"/>
  <c r="CU96" i="10"/>
  <c r="CX96" i="10" s="1"/>
  <c r="CW96" i="10"/>
  <c r="BF222" i="10"/>
  <c r="CW98" i="10"/>
  <c r="CU98" i="10"/>
  <c r="CX98" i="10"/>
  <c r="BF224" i="10"/>
  <c r="CW104" i="10"/>
  <c r="CU104" i="10"/>
  <c r="CX104" i="10" s="1"/>
  <c r="BF231" i="10"/>
  <c r="CW102" i="10"/>
  <c r="CU102" i="10"/>
  <c r="CX102" i="10"/>
  <c r="CZ102" i="10" s="1"/>
  <c r="BF229" i="10"/>
  <c r="BU248" i="10" s="1"/>
  <c r="BU259" i="10" s="1"/>
  <c r="CU93" i="10"/>
  <c r="CX93" i="10"/>
  <c r="CW93" i="10"/>
  <c r="BF219" i="10"/>
  <c r="CU103" i="10"/>
  <c r="CX103" i="10" s="1"/>
  <c r="CW103" i="10"/>
  <c r="CY103" i="10" s="1"/>
  <c r="BF230" i="10"/>
  <c r="BG230" i="10" s="1"/>
  <c r="BX248" i="10" s="1"/>
  <c r="BX259" i="10" s="1"/>
  <c r="CW137" i="10"/>
  <c r="CU137" i="10"/>
  <c r="CX137" i="10" s="1"/>
  <c r="CU125" i="10"/>
  <c r="CX125" i="10" s="1"/>
  <c r="CW125" i="10"/>
  <c r="CU143" i="10"/>
  <c r="CX143" i="10"/>
  <c r="CW143" i="10"/>
  <c r="CU140" i="10"/>
  <c r="CX140" i="10" s="1"/>
  <c r="CW140" i="10"/>
  <c r="CU132" i="10"/>
  <c r="CX132" i="10" s="1"/>
  <c r="CW132" i="10"/>
  <c r="CU134" i="10"/>
  <c r="CX134" i="10" s="1"/>
  <c r="CW134" i="10"/>
  <c r="CU112" i="10"/>
  <c r="CW112" i="10"/>
  <c r="CW133" i="10"/>
  <c r="CU133" i="10"/>
  <c r="CX133" i="10"/>
  <c r="BP90" i="19"/>
  <c r="BQ90" i="19"/>
  <c r="AW216" i="19"/>
  <c r="BN90" i="19"/>
  <c r="BN112" i="19"/>
  <c r="BP112" i="19"/>
  <c r="BQ112" i="19"/>
  <c r="BN88" i="19"/>
  <c r="BP88" i="19"/>
  <c r="AW214" i="19"/>
  <c r="BQ88" i="19"/>
  <c r="BN142" i="19"/>
  <c r="BQ142" i="19" s="1"/>
  <c r="BP142" i="19"/>
  <c r="AW230" i="19"/>
  <c r="BN136" i="19"/>
  <c r="BQ136" i="19" s="1"/>
  <c r="BS136" i="19" s="1"/>
  <c r="BV151" i="19" s="1"/>
  <c r="BP136" i="19"/>
  <c r="BN104" i="19"/>
  <c r="BQ104" i="19" s="1"/>
  <c r="BP104" i="19"/>
  <c r="AW231" i="19"/>
  <c r="BQ91" i="19"/>
  <c r="BP91" i="19"/>
  <c r="AW217" i="19"/>
  <c r="BN91" i="19"/>
  <c r="BQ89" i="19"/>
  <c r="BP89" i="19"/>
  <c r="AW215" i="19"/>
  <c r="BN89" i="19"/>
  <c r="BC136" i="19"/>
  <c r="BF136" i="19"/>
  <c r="BE136" i="19"/>
  <c r="BC122" i="19"/>
  <c r="BF122" i="19" s="1"/>
  <c r="BC108" i="19"/>
  <c r="BF108" i="19"/>
  <c r="BE108" i="19"/>
  <c r="AT235" i="19"/>
  <c r="BE142" i="19"/>
  <c r="BC142" i="19"/>
  <c r="BF142" i="19"/>
  <c r="BC102" i="19"/>
  <c r="BF102" i="19"/>
  <c r="BE102" i="19"/>
  <c r="AT229" i="19"/>
  <c r="BC93" i="19"/>
  <c r="BF93" i="19"/>
  <c r="BE93" i="19"/>
  <c r="AT219" i="19"/>
  <c r="BE97" i="19"/>
  <c r="BC97" i="19"/>
  <c r="BF97" i="19" s="1"/>
  <c r="AT223" i="19"/>
  <c r="BE89" i="19"/>
  <c r="BF89" i="19"/>
  <c r="BC89" i="19"/>
  <c r="AT215" i="19"/>
  <c r="BE121" i="19"/>
  <c r="BC121" i="19"/>
  <c r="BF121" i="19" s="1"/>
  <c r="BE134" i="19"/>
  <c r="BC134" i="19"/>
  <c r="BF134" i="19" s="1"/>
  <c r="BE133" i="19"/>
  <c r="BC133" i="19"/>
  <c r="BF133" i="19" s="1"/>
  <c r="BE124" i="19"/>
  <c r="BH124" i="19" s="1"/>
  <c r="AX150" i="19" s="1"/>
  <c r="BC124" i="19"/>
  <c r="BF124" i="19"/>
  <c r="BF99" i="19"/>
  <c r="BE99" i="19"/>
  <c r="AT225" i="19"/>
  <c r="BE120" i="19"/>
  <c r="BC120" i="19"/>
  <c r="BF120" i="19" s="1"/>
  <c r="BH120" i="19" s="1"/>
  <c r="AP150" i="19" s="1"/>
  <c r="BF90" i="19"/>
  <c r="BE90" i="19"/>
  <c r="BC90" i="19"/>
  <c r="AT216" i="19"/>
  <c r="BC132" i="19"/>
  <c r="BF132" i="19" s="1"/>
  <c r="BE132" i="19"/>
  <c r="BH132" i="19" s="1"/>
  <c r="BN150" i="19" s="1"/>
  <c r="BE95" i="19"/>
  <c r="BC95" i="19"/>
  <c r="BF95" i="19" s="1"/>
  <c r="AT221" i="19"/>
  <c r="BC100" i="19"/>
  <c r="BE100" i="19"/>
  <c r="BF100" i="19"/>
  <c r="AT227" i="19"/>
  <c r="BE96" i="19"/>
  <c r="AT222" i="19"/>
  <c r="BC96" i="19"/>
  <c r="BF96" i="19" s="1"/>
  <c r="BC94" i="19"/>
  <c r="BF94" i="19" s="1"/>
  <c r="AT220" i="19"/>
  <c r="BE94" i="19"/>
  <c r="CW136" i="19"/>
  <c r="CU136" i="19"/>
  <c r="CX136" i="19" s="1"/>
  <c r="CW138" i="19"/>
  <c r="CU138" i="19"/>
  <c r="CX138" i="19"/>
  <c r="BN248" i="19"/>
  <c r="BN259" i="19" s="1"/>
  <c r="BG226" i="19"/>
  <c r="BP248" i="19"/>
  <c r="BP259" i="19" s="1"/>
  <c r="CU89" i="19"/>
  <c r="CX89" i="19"/>
  <c r="CW89" i="19"/>
  <c r="BF215" i="19"/>
  <c r="CW98" i="19"/>
  <c r="CU98" i="19"/>
  <c r="CX98" i="19"/>
  <c r="BF224" i="19"/>
  <c r="CW126" i="19"/>
  <c r="CU126" i="19"/>
  <c r="CX126" i="19" s="1"/>
  <c r="CW93" i="19"/>
  <c r="BF219" i="19"/>
  <c r="CU93" i="19"/>
  <c r="CX93" i="19"/>
  <c r="CW95" i="19"/>
  <c r="CU95" i="19"/>
  <c r="CX95" i="19"/>
  <c r="BF221" i="19"/>
  <c r="CU111" i="19"/>
  <c r="CX111" i="19"/>
  <c r="CW111" i="19"/>
  <c r="CW122" i="19"/>
  <c r="CU122" i="19"/>
  <c r="CX122" i="19" s="1"/>
  <c r="CW97" i="19"/>
  <c r="CU97" i="19"/>
  <c r="CX97" i="19" s="1"/>
  <c r="BF223" i="19"/>
  <c r="CU102" i="19"/>
  <c r="CX102" i="19" s="1"/>
  <c r="CW102" i="19"/>
  <c r="BF229" i="19"/>
  <c r="CW107" i="19"/>
  <c r="CU107" i="19"/>
  <c r="CX107" i="19"/>
  <c r="BF234" i="19"/>
  <c r="CU127" i="19"/>
  <c r="CX127" i="19" s="1"/>
  <c r="CW127" i="19"/>
  <c r="CU124" i="19"/>
  <c r="CX124" i="19"/>
  <c r="CW124" i="19"/>
  <c r="CW142" i="19"/>
  <c r="CU142" i="19"/>
  <c r="CX142" i="19" s="1"/>
  <c r="CW100" i="19"/>
  <c r="BF227" i="19"/>
  <c r="CU100" i="19"/>
  <c r="CX100" i="19"/>
  <c r="CU140" i="19"/>
  <c r="CX140" i="19"/>
  <c r="CW140" i="19"/>
  <c r="CU143" i="19"/>
  <c r="CX143" i="19" s="1"/>
  <c r="CY143" i="19" s="1"/>
  <c r="CI154" i="19" s="1"/>
  <c r="CW143" i="19"/>
  <c r="CU141" i="19"/>
  <c r="CX141" i="19"/>
  <c r="CW141" i="19"/>
  <c r="CU91" i="19"/>
  <c r="CX91" i="19"/>
  <c r="CW91" i="19"/>
  <c r="BF217" i="19"/>
  <c r="CU109" i="19"/>
  <c r="CX109" i="19"/>
  <c r="CW109" i="19"/>
  <c r="BF236" i="19"/>
  <c r="CU112" i="19"/>
  <c r="CW112" i="19"/>
  <c r="CW94" i="19"/>
  <c r="CU94" i="19"/>
  <c r="CX94" i="19" s="1"/>
  <c r="BF220" i="19"/>
  <c r="AT122" i="10"/>
  <c r="AR122" i="10"/>
  <c r="AU122" i="10" s="1"/>
  <c r="AR111" i="10"/>
  <c r="AT111" i="10"/>
  <c r="AU111" i="10"/>
  <c r="AR134" i="10"/>
  <c r="AU134" i="10" s="1"/>
  <c r="AT134" i="10"/>
  <c r="AT143" i="10"/>
  <c r="AR143" i="10"/>
  <c r="AU143" i="10" s="1"/>
  <c r="AQ234" i="10"/>
  <c r="AR89" i="10"/>
  <c r="AU89" i="10"/>
  <c r="AT89" i="10"/>
  <c r="AQ215" i="10"/>
  <c r="AR105" i="10"/>
  <c r="AU105" i="10"/>
  <c r="AT105" i="10"/>
  <c r="AQ232" i="10"/>
  <c r="AT97" i="10"/>
  <c r="AR97" i="10"/>
  <c r="AU97" i="10" s="1"/>
  <c r="AQ223" i="10"/>
  <c r="AU109" i="10"/>
  <c r="AT109" i="10"/>
  <c r="AQ236" i="10"/>
  <c r="AU98" i="10"/>
  <c r="AT98" i="10"/>
  <c r="AQ224" i="10"/>
  <c r="AT120" i="10"/>
  <c r="AR120" i="10"/>
  <c r="AU120" i="10" s="1"/>
  <c r="AT133" i="10"/>
  <c r="AR133" i="10"/>
  <c r="AU133" i="10"/>
  <c r="AW133" i="10" s="1"/>
  <c r="AR132" i="10"/>
  <c r="AU132" i="10"/>
  <c r="AT132" i="10"/>
  <c r="AT127" i="10"/>
  <c r="AR127" i="10"/>
  <c r="AU127" i="10"/>
  <c r="AT128" i="10"/>
  <c r="AR128" i="10"/>
  <c r="AU128" i="10"/>
  <c r="CJ110" i="10"/>
  <c r="CM110" i="10"/>
  <c r="CL122" i="10"/>
  <c r="CJ122" i="10"/>
  <c r="CM122" i="10"/>
  <c r="BN247" i="10"/>
  <c r="BN258" i="10" s="1"/>
  <c r="BD226" i="10"/>
  <c r="BP247" i="10" s="1"/>
  <c r="BP258" i="10" s="1"/>
  <c r="CJ92" i="10"/>
  <c r="CM92" i="10"/>
  <c r="BC218" i="10"/>
  <c r="CL92" i="10"/>
  <c r="CL132" i="10"/>
  <c r="CJ132" i="10"/>
  <c r="CM132" i="10" s="1"/>
  <c r="CJ135" i="10"/>
  <c r="CM135" i="10" s="1"/>
  <c r="CL135" i="10"/>
  <c r="CL143" i="10"/>
  <c r="CJ143" i="10"/>
  <c r="CM143" i="10"/>
  <c r="CJ138" i="10"/>
  <c r="CM138" i="10"/>
  <c r="CL138" i="10"/>
  <c r="CL93" i="10"/>
  <c r="CJ93" i="10"/>
  <c r="CM93" i="10" s="1"/>
  <c r="BC219" i="10"/>
  <c r="CL91" i="10"/>
  <c r="CJ91" i="10"/>
  <c r="CM91" i="10"/>
  <c r="BC217" i="10"/>
  <c r="CL88" i="10"/>
  <c r="CJ88" i="10"/>
  <c r="CM88" i="10"/>
  <c r="BC214" i="10"/>
  <c r="CL101" i="10"/>
  <c r="BC228" i="10"/>
  <c r="CJ101" i="10"/>
  <c r="CM101" i="10"/>
  <c r="CJ104" i="10"/>
  <c r="CM104" i="10" s="1"/>
  <c r="CL104" i="10"/>
  <c r="BC231" i="10"/>
  <c r="CL125" i="10"/>
  <c r="CJ125" i="10"/>
  <c r="CM125" i="10" s="1"/>
  <c r="CN125" i="10" s="1"/>
  <c r="AY153" i="10" s="1"/>
  <c r="CJ120" i="10"/>
  <c r="CM120" i="10" s="1"/>
  <c r="CL120" i="10"/>
  <c r="CL98" i="10"/>
  <c r="BC224" i="10"/>
  <c r="BD224" i="10" s="1"/>
  <c r="BL247" i="10" s="1"/>
  <c r="CL99" i="10"/>
  <c r="CM99" i="10"/>
  <c r="BC225" i="10"/>
  <c r="CL94" i="10"/>
  <c r="CJ94" i="10"/>
  <c r="CM94" i="10" s="1"/>
  <c r="BC220" i="10"/>
  <c r="CL121" i="10"/>
  <c r="CN121" i="10" s="1"/>
  <c r="AQ153" i="10" s="1"/>
  <c r="CJ121" i="10"/>
  <c r="CM121" i="10" s="1"/>
  <c r="CJ139" i="10"/>
  <c r="CM139" i="10" s="1"/>
  <c r="CL139" i="10"/>
  <c r="CJ137" i="10"/>
  <c r="CM137" i="10"/>
  <c r="CL137" i="10"/>
  <c r="BC233" i="10"/>
  <c r="CC247" i="10" s="1"/>
  <c r="CJ106" i="10"/>
  <c r="CM106" i="10"/>
  <c r="CL106" i="10"/>
  <c r="CL124" i="10"/>
  <c r="CL139" i="19"/>
  <c r="CJ139" i="19"/>
  <c r="CM139" i="19"/>
  <c r="CL138" i="19"/>
  <c r="CJ138" i="19"/>
  <c r="CM138" i="19" s="1"/>
  <c r="BC218" i="19"/>
  <c r="CJ92" i="19"/>
  <c r="CM92" i="19"/>
  <c r="CJ133" i="19"/>
  <c r="CM133" i="19" s="1"/>
  <c r="CL133" i="19"/>
  <c r="CJ101" i="19"/>
  <c r="CM101" i="19" s="1"/>
  <c r="BC228" i="19"/>
  <c r="CL101" i="19"/>
  <c r="CJ103" i="19"/>
  <c r="CM103" i="19" s="1"/>
  <c r="BC230" i="19"/>
  <c r="CL103" i="19"/>
  <c r="CL135" i="19"/>
  <c r="CL121" i="19"/>
  <c r="CJ121" i="19"/>
  <c r="CM121" i="19" s="1"/>
  <c r="CL120" i="19"/>
  <c r="CJ120" i="19"/>
  <c r="CM120" i="19" s="1"/>
  <c r="CL102" i="19"/>
  <c r="CJ102" i="19"/>
  <c r="CM102" i="19" s="1"/>
  <c r="BC229" i="19"/>
  <c r="BD229" i="19" s="1"/>
  <c r="CJ123" i="19"/>
  <c r="CM123" i="19" s="1"/>
  <c r="CO123" i="19" s="1"/>
  <c r="AV153" i="19" s="1"/>
  <c r="CL99" i="19"/>
  <c r="BC225" i="19"/>
  <c r="CM99" i="19"/>
  <c r="CJ90" i="19"/>
  <c r="CM90" i="19"/>
  <c r="CL90" i="19"/>
  <c r="BC216" i="19"/>
  <c r="CJ142" i="19"/>
  <c r="CM142" i="19" s="1"/>
  <c r="CL142" i="19"/>
  <c r="CL96" i="19"/>
  <c r="CJ96" i="19"/>
  <c r="CM96" i="19" s="1"/>
  <c r="BC222" i="19"/>
  <c r="CL137" i="19"/>
  <c r="CJ137" i="19"/>
  <c r="CM137" i="19"/>
  <c r="CJ143" i="19"/>
  <c r="CM143" i="19" s="1"/>
  <c r="CO143" i="19" s="1"/>
  <c r="CJ153" i="19" s="1"/>
  <c r="CJ140" i="19"/>
  <c r="CM140" i="19" s="1"/>
  <c r="CL140" i="19"/>
  <c r="CL109" i="19"/>
  <c r="CJ109" i="19"/>
  <c r="CM109" i="19"/>
  <c r="BC236" i="19"/>
  <c r="CJ95" i="19"/>
  <c r="CM95" i="19" s="1"/>
  <c r="CN95" i="19" s="1"/>
  <c r="CL95" i="19"/>
  <c r="BC221" i="19"/>
  <c r="CJ91" i="19"/>
  <c r="CM91" i="19"/>
  <c r="CL91" i="19"/>
  <c r="BC217" i="19"/>
  <c r="CJ108" i="19"/>
  <c r="CM108" i="19"/>
  <c r="CL108" i="19"/>
  <c r="BC235" i="19"/>
  <c r="BN247" i="19"/>
  <c r="BD226" i="19"/>
  <c r="BP247" i="19" s="1"/>
  <c r="BC98" i="16"/>
  <c r="BF98" i="16" s="1"/>
  <c r="BH98" i="16" s="1"/>
  <c r="BE98" i="16"/>
  <c r="AT224" i="16"/>
  <c r="BC90" i="16"/>
  <c r="BE90" i="16"/>
  <c r="BF90" i="16"/>
  <c r="AT216" i="16"/>
  <c r="AT223" i="16"/>
  <c r="BI244" i="16" s="1"/>
  <c r="BI255" i="16" s="1"/>
  <c r="BE97" i="16"/>
  <c r="BC120" i="16"/>
  <c r="BF120" i="16"/>
  <c r="BE120" i="16"/>
  <c r="BC133" i="16"/>
  <c r="BF133" i="16" s="1"/>
  <c r="BE133" i="16"/>
  <c r="AU226" i="16"/>
  <c r="BP244" i="16" s="1"/>
  <c r="BE92" i="16"/>
  <c r="AT218" i="16"/>
  <c r="BC92" i="16"/>
  <c r="BF92" i="16"/>
  <c r="BE137" i="16"/>
  <c r="BC137" i="16"/>
  <c r="BF137" i="16" s="1"/>
  <c r="BE106" i="16"/>
  <c r="BE138" i="16"/>
  <c r="BC138" i="16"/>
  <c r="BF138" i="16" s="1"/>
  <c r="BC141" i="16"/>
  <c r="BF141" i="16"/>
  <c r="BE141" i="16"/>
  <c r="BE143" i="16"/>
  <c r="BC140" i="16"/>
  <c r="BF140" i="16"/>
  <c r="BE140" i="16"/>
  <c r="BE99" i="16"/>
  <c r="AT225" i="16"/>
  <c r="BC108" i="16"/>
  <c r="BF108" i="16"/>
  <c r="AT235" i="16"/>
  <c r="BC112" i="16"/>
  <c r="BF112" i="16"/>
  <c r="BE112" i="16"/>
  <c r="BC109" i="16"/>
  <c r="BF109" i="16"/>
  <c r="BE109" i="16"/>
  <c r="AT236" i="16"/>
  <c r="AT105" i="16"/>
  <c r="AQ232" i="16"/>
  <c r="AR105" i="16"/>
  <c r="AU105" i="16"/>
  <c r="AR90" i="16"/>
  <c r="AQ216" i="16"/>
  <c r="AU90" i="16"/>
  <c r="AT90" i="16"/>
  <c r="AT137" i="16"/>
  <c r="AR137" i="16"/>
  <c r="AU137" i="16" s="1"/>
  <c r="AT133" i="16"/>
  <c r="AR133" i="16"/>
  <c r="AU133" i="16" s="1"/>
  <c r="AT98" i="16"/>
  <c r="AQ224" i="16"/>
  <c r="AT135" i="16"/>
  <c r="AR135" i="16"/>
  <c r="AU135" i="16" s="1"/>
  <c r="AR103" i="16"/>
  <c r="AU103" i="16" s="1"/>
  <c r="AQ230" i="16"/>
  <c r="AT103" i="16"/>
  <c r="AT106" i="16"/>
  <c r="AW106" i="16" s="1"/>
  <c r="AU106" i="16"/>
  <c r="AQ233" i="16"/>
  <c r="AR233" i="16" s="1"/>
  <c r="AT121" i="16"/>
  <c r="AW121" i="16" s="1"/>
  <c r="AR149" i="16" s="1"/>
  <c r="AR126" i="16"/>
  <c r="AU126" i="16" s="1"/>
  <c r="AT126" i="16"/>
  <c r="AT142" i="16"/>
  <c r="AR142" i="16"/>
  <c r="AU142" i="16"/>
  <c r="AW142" i="16" s="1"/>
  <c r="CH149" i="16" s="1"/>
  <c r="AR140" i="16"/>
  <c r="AU140" i="16" s="1"/>
  <c r="AV140" i="16" s="1"/>
  <c r="AT140" i="16"/>
  <c r="AT101" i="16"/>
  <c r="AT128" i="16"/>
  <c r="AR128" i="16"/>
  <c r="AU128" i="16" s="1"/>
  <c r="AR93" i="16"/>
  <c r="AU93" i="16"/>
  <c r="AT93" i="16"/>
  <c r="AQ219" i="16"/>
  <c r="AC36" i="14"/>
  <c r="W36" i="14"/>
  <c r="I36" i="14"/>
  <c r="AI36" i="14" s="1"/>
  <c r="AH39" i="14"/>
  <c r="AH18" i="14"/>
  <c r="BB18" i="14" s="1"/>
  <c r="CC95" i="16"/>
  <c r="CD95" i="16"/>
  <c r="CD112" i="16"/>
  <c r="CC112" i="16"/>
  <c r="CC133" i="16"/>
  <c r="BO152" i="16"/>
  <c r="CD133" i="16"/>
  <c r="BP152" i="16"/>
  <c r="BP160" i="16" s="1"/>
  <c r="CA110" i="10"/>
  <c r="BY110" i="10"/>
  <c r="AZ237" i="10"/>
  <c r="CB110" i="10"/>
  <c r="BY138" i="10"/>
  <c r="CB138" i="10" s="1"/>
  <c r="CA138" i="10"/>
  <c r="BY136" i="10"/>
  <c r="CB136" i="10" s="1"/>
  <c r="CA136" i="10"/>
  <c r="CA143" i="10"/>
  <c r="BY143" i="10"/>
  <c r="CB143" i="10"/>
  <c r="CA126" i="10"/>
  <c r="BY126" i="10"/>
  <c r="CB126" i="10" s="1"/>
  <c r="BA226" i="10"/>
  <c r="BP246" i="10" s="1"/>
  <c r="BN246" i="10"/>
  <c r="CA106" i="10"/>
  <c r="AZ233" i="10"/>
  <c r="BY106" i="10"/>
  <c r="CB106" i="10"/>
  <c r="CA98" i="10"/>
  <c r="AZ224" i="10"/>
  <c r="BY98" i="10"/>
  <c r="CB98" i="10" s="1"/>
  <c r="CC98" i="10" s="1"/>
  <c r="CA90" i="10"/>
  <c r="BY90" i="10"/>
  <c r="CB90" i="10"/>
  <c r="AZ216" i="10"/>
  <c r="CA122" i="10"/>
  <c r="BY122" i="10"/>
  <c r="CB122" i="10" s="1"/>
  <c r="BY135" i="10"/>
  <c r="CB135" i="10"/>
  <c r="CA135" i="10"/>
  <c r="CA133" i="10"/>
  <c r="BY133" i="10"/>
  <c r="CB133" i="10" s="1"/>
  <c r="CA112" i="10"/>
  <c r="BY112" i="10"/>
  <c r="CB112" i="10"/>
  <c r="BY96" i="10"/>
  <c r="CB96" i="10"/>
  <c r="CA96" i="10"/>
  <c r="AZ222" i="10"/>
  <c r="BA222" i="10" s="1"/>
  <c r="BH246" i="10" s="1"/>
  <c r="BY88" i="10"/>
  <c r="CB88" i="10"/>
  <c r="CA88" i="10"/>
  <c r="AZ214" i="10"/>
  <c r="BY109" i="10"/>
  <c r="AZ236" i="10"/>
  <c r="CB109" i="10"/>
  <c r="CA109" i="10"/>
  <c r="BY93" i="10"/>
  <c r="CB93" i="10" s="1"/>
  <c r="CA93" i="10"/>
  <c r="AZ219" i="10"/>
  <c r="BY132" i="10"/>
  <c r="CB132" i="10" s="1"/>
  <c r="CA132" i="10"/>
  <c r="BY137" i="10"/>
  <c r="CB137" i="10" s="1"/>
  <c r="CA137" i="10"/>
  <c r="BY134" i="10"/>
  <c r="CB134" i="10" s="1"/>
  <c r="CA134" i="10"/>
  <c r="AZ218" i="10"/>
  <c r="CA92" i="10"/>
  <c r="BY92" i="10"/>
  <c r="CB92" i="10"/>
  <c r="AZ228" i="10"/>
  <c r="BY101" i="10"/>
  <c r="CB101" i="10" s="1"/>
  <c r="CA101" i="10"/>
  <c r="CA100" i="10"/>
  <c r="BY100" i="10"/>
  <c r="CB100" i="10" s="1"/>
  <c r="AZ227" i="10"/>
  <c r="CA142" i="10"/>
  <c r="BY142" i="10"/>
  <c r="CB142" i="10" s="1"/>
  <c r="CC142" i="10" s="1"/>
  <c r="BY140" i="10"/>
  <c r="CB140" i="10" s="1"/>
  <c r="CA140" i="10"/>
  <c r="CA142" i="19"/>
  <c r="BY142" i="19"/>
  <c r="CB142" i="19" s="1"/>
  <c r="BY133" i="19"/>
  <c r="CB133" i="19" s="1"/>
  <c r="CA133" i="19"/>
  <c r="BY110" i="19"/>
  <c r="CB110" i="19"/>
  <c r="CA110" i="19"/>
  <c r="AZ237" i="19"/>
  <c r="BY127" i="19"/>
  <c r="CB127" i="19" s="1"/>
  <c r="CA127" i="19"/>
  <c r="BY126" i="19"/>
  <c r="CB126" i="19"/>
  <c r="CA126" i="19"/>
  <c r="BY104" i="19"/>
  <c r="CB104" i="19" s="1"/>
  <c r="AZ231" i="19"/>
  <c r="CA104" i="19"/>
  <c r="BY95" i="19"/>
  <c r="CB95" i="19"/>
  <c r="CA95" i="19"/>
  <c r="AZ221" i="19"/>
  <c r="CA139" i="19"/>
  <c r="BY139" i="19"/>
  <c r="CB139" i="19" s="1"/>
  <c r="BY138" i="19"/>
  <c r="CB138" i="19" s="1"/>
  <c r="CA138" i="19"/>
  <c r="AZ215" i="19"/>
  <c r="CA89" i="19"/>
  <c r="BY89" i="19"/>
  <c r="CB89" i="19"/>
  <c r="BY102" i="19"/>
  <c r="CB102" i="19" s="1"/>
  <c r="AZ229" i="19"/>
  <c r="CA102" i="19"/>
  <c r="BY112" i="19"/>
  <c r="CB112" i="19"/>
  <c r="CA112" i="19"/>
  <c r="BY120" i="19"/>
  <c r="CB120" i="19"/>
  <c r="CA120" i="19"/>
  <c r="BY125" i="19"/>
  <c r="CB125" i="19" s="1"/>
  <c r="CA125" i="19"/>
  <c r="BY96" i="19"/>
  <c r="CB96" i="19"/>
  <c r="CA96" i="19"/>
  <c r="AZ222" i="19"/>
  <c r="CA94" i="19"/>
  <c r="BY94" i="19"/>
  <c r="CB94" i="19" s="1"/>
  <c r="AZ220" i="19"/>
  <c r="CA136" i="19"/>
  <c r="CA135" i="19"/>
  <c r="BY135" i="19"/>
  <c r="CB135" i="19" s="1"/>
  <c r="CA93" i="19"/>
  <c r="BY93" i="19"/>
  <c r="CB93" i="19"/>
  <c r="AZ219" i="19"/>
  <c r="BY107" i="19"/>
  <c r="CB107" i="19"/>
  <c r="AZ234" i="19"/>
  <c r="CA107" i="19"/>
  <c r="BN122" i="10"/>
  <c r="BQ122" i="10"/>
  <c r="BP122" i="10"/>
  <c r="BP101" i="10"/>
  <c r="BN101" i="10"/>
  <c r="BQ101" i="10"/>
  <c r="AW228" i="10"/>
  <c r="BN105" i="10"/>
  <c r="BQ105" i="10" s="1"/>
  <c r="BP105" i="10"/>
  <c r="AW232" i="10"/>
  <c r="BP91" i="10"/>
  <c r="BQ91" i="10"/>
  <c r="BS91" i="10" s="1"/>
  <c r="BN132" i="10"/>
  <c r="BQ132" i="10" s="1"/>
  <c r="BP135" i="10"/>
  <c r="BN135" i="10"/>
  <c r="BQ135" i="10"/>
  <c r="BP120" i="10"/>
  <c r="BN120" i="10"/>
  <c r="BQ120" i="10" s="1"/>
  <c r="BN97" i="10"/>
  <c r="BQ97" i="10"/>
  <c r="BP97" i="10"/>
  <c r="AW223" i="10"/>
  <c r="BN95" i="10"/>
  <c r="BQ95" i="10" s="1"/>
  <c r="BP95" i="10"/>
  <c r="AW221" i="10"/>
  <c r="BN109" i="10"/>
  <c r="BQ109" i="10"/>
  <c r="BP109" i="10"/>
  <c r="AW236" i="10"/>
  <c r="BP125" i="10"/>
  <c r="BN125" i="10"/>
  <c r="BQ125" i="10"/>
  <c r="BP111" i="10"/>
  <c r="BN111" i="10"/>
  <c r="BQ111" i="10"/>
  <c r="BP137" i="10"/>
  <c r="BN137" i="10"/>
  <c r="BQ137" i="10" s="1"/>
  <c r="BQ92" i="10"/>
  <c r="BN92" i="10"/>
  <c r="BP92" i="10"/>
  <c r="AW218" i="10"/>
  <c r="BQ89" i="10"/>
  <c r="BN89" i="10"/>
  <c r="BP89" i="10"/>
  <c r="AW215" i="10"/>
  <c r="BN104" i="10"/>
  <c r="BP138" i="10"/>
  <c r="BN138" i="10"/>
  <c r="BQ138" i="10"/>
  <c r="BR138" i="10" s="1"/>
  <c r="BP123" i="10"/>
  <c r="BN123" i="10"/>
  <c r="BQ123" i="10" s="1"/>
  <c r="BP127" i="10"/>
  <c r="BN127" i="10"/>
  <c r="BQ127" i="10" s="1"/>
  <c r="BP121" i="10"/>
  <c r="BS121" i="10" s="1"/>
  <c r="AR151" i="10" s="1"/>
  <c r="BN121" i="10"/>
  <c r="BQ121" i="10"/>
  <c r="AT133" i="19"/>
  <c r="AV133" i="19" s="1"/>
  <c r="AR133" i="19"/>
  <c r="AU133" i="19" s="1"/>
  <c r="AT94" i="19"/>
  <c r="AQ220" i="19"/>
  <c r="AR94" i="19"/>
  <c r="AU94" i="19"/>
  <c r="AT132" i="19"/>
  <c r="AR132" i="19"/>
  <c r="AU132" i="19" s="1"/>
  <c r="AR108" i="19"/>
  <c r="AU108" i="19"/>
  <c r="AT108" i="19"/>
  <c r="AQ235" i="19"/>
  <c r="AT90" i="19"/>
  <c r="AR90" i="19"/>
  <c r="AQ216" i="19"/>
  <c r="AU243" i="19" s="1"/>
  <c r="AU90" i="19"/>
  <c r="AT140" i="19"/>
  <c r="AR140" i="19"/>
  <c r="AU140" i="19" s="1"/>
  <c r="AT142" i="19"/>
  <c r="AR142" i="19"/>
  <c r="AU142" i="19" s="1"/>
  <c r="AU110" i="19"/>
  <c r="AT110" i="19"/>
  <c r="AR110" i="19"/>
  <c r="AQ237" i="19"/>
  <c r="AU88" i="19"/>
  <c r="AR88" i="19"/>
  <c r="AT88" i="19"/>
  <c r="AQ214" i="19"/>
  <c r="AQ218" i="19"/>
  <c r="AR92" i="19"/>
  <c r="AR103" i="19"/>
  <c r="AU103" i="19"/>
  <c r="AQ230" i="19"/>
  <c r="AT103" i="19"/>
  <c r="AT128" i="19"/>
  <c r="AR128" i="19"/>
  <c r="AU128" i="19"/>
  <c r="AV128" i="19" s="1"/>
  <c r="AR91" i="19"/>
  <c r="AT91" i="19"/>
  <c r="AQ217" i="19"/>
  <c r="AU91" i="19"/>
  <c r="AR124" i="19"/>
  <c r="AU124" i="19"/>
  <c r="AT124" i="19"/>
  <c r="AR226" i="19"/>
  <c r="BP243" i="19" s="1"/>
  <c r="BN243" i="19"/>
  <c r="AR97" i="19"/>
  <c r="AU97" i="19" s="1"/>
  <c r="AT97" i="19"/>
  <c r="AQ223" i="19"/>
  <c r="AT98" i="19"/>
  <c r="AR98" i="19"/>
  <c r="AU98" i="19" s="1"/>
  <c r="AQ224" i="19"/>
  <c r="AR122" i="19"/>
  <c r="AU122" i="19" s="1"/>
  <c r="AT122" i="19"/>
  <c r="AR112" i="19"/>
  <c r="AU112" i="19"/>
  <c r="AT112" i="19"/>
  <c r="AR89" i="19"/>
  <c r="AU89" i="19"/>
  <c r="AQ215" i="19"/>
  <c r="AT89" i="19"/>
  <c r="AQ225" i="19"/>
  <c r="BM243" i="19" s="1"/>
  <c r="BM254" i="19" s="1"/>
  <c r="AU99" i="19"/>
  <c r="AT99" i="19"/>
  <c r="BK246" i="16"/>
  <c r="BA224" i="16"/>
  <c r="BL246" i="16" s="1"/>
  <c r="BA223" i="16"/>
  <c r="BJ246" i="16"/>
  <c r="BI246" i="16"/>
  <c r="BA232" i="16"/>
  <c r="CB246" i="16"/>
  <c r="CA246" i="16"/>
  <c r="CD123" i="16"/>
  <c r="AV152" i="16" s="1"/>
  <c r="CC123" i="16"/>
  <c r="AU152" i="16"/>
  <c r="CD140" i="16"/>
  <c r="CD152" i="16" s="1"/>
  <c r="CC140" i="16"/>
  <c r="CC152" i="16" s="1"/>
  <c r="CD89" i="16"/>
  <c r="CC89" i="16"/>
  <c r="CU106" i="10"/>
  <c r="CX106" i="10"/>
  <c r="BF233" i="10"/>
  <c r="CW106" i="10"/>
  <c r="CU141" i="10"/>
  <c r="CX141" i="10" s="1"/>
  <c r="CU120" i="10"/>
  <c r="CX120" i="10" s="1"/>
  <c r="CZ120" i="10" s="1"/>
  <c r="AP154" i="10" s="1"/>
  <c r="CW120" i="10"/>
  <c r="CU108" i="10"/>
  <c r="CX108" i="10"/>
  <c r="CW108" i="10"/>
  <c r="BF235" i="10"/>
  <c r="CW94" i="10"/>
  <c r="CU94" i="10"/>
  <c r="CX94" i="10" s="1"/>
  <c r="BF220" i="10"/>
  <c r="CU90" i="10"/>
  <c r="CX90" i="10"/>
  <c r="CU122" i="10"/>
  <c r="CX122" i="10"/>
  <c r="CW122" i="10"/>
  <c r="CW135" i="10"/>
  <c r="CU135" i="10"/>
  <c r="CX135" i="10" s="1"/>
  <c r="CW95" i="10"/>
  <c r="CU95" i="10"/>
  <c r="CW97" i="10"/>
  <c r="CU97" i="10"/>
  <c r="CX97" i="10"/>
  <c r="BF223" i="10"/>
  <c r="BG223" i="10" s="1"/>
  <c r="BJ248" i="10" s="1"/>
  <c r="BJ259" i="10" s="1"/>
  <c r="BG226" i="10"/>
  <c r="BP248" i="10" s="1"/>
  <c r="BP259" i="10" s="1"/>
  <c r="BN248" i="10"/>
  <c r="BN259" i="10" s="1"/>
  <c r="CU107" i="10"/>
  <c r="CX107" i="10"/>
  <c r="CW107" i="10"/>
  <c r="BF234" i="10"/>
  <c r="BG234" i="10" s="1"/>
  <c r="CF248" i="10" s="1"/>
  <c r="CX99" i="10"/>
  <c r="CW99" i="10"/>
  <c r="BF225" i="10"/>
  <c r="CU92" i="10"/>
  <c r="CX92" i="10"/>
  <c r="CW92" i="10"/>
  <c r="BF218" i="10"/>
  <c r="BG218" i="10" s="1"/>
  <c r="AZ248" i="10" s="1"/>
  <c r="AZ259" i="10" s="1"/>
  <c r="CU89" i="10"/>
  <c r="CX89" i="10"/>
  <c r="CW89" i="10"/>
  <c r="BF215" i="10"/>
  <c r="CW136" i="10"/>
  <c r="CU136" i="10"/>
  <c r="CX136" i="10"/>
  <c r="CU126" i="10"/>
  <c r="CX126" i="10" s="1"/>
  <c r="CW126" i="10"/>
  <c r="CW138" i="10"/>
  <c r="CU138" i="10"/>
  <c r="CX138" i="10" s="1"/>
  <c r="CU127" i="10"/>
  <c r="CX127" i="10"/>
  <c r="CW127" i="10"/>
  <c r="CW111" i="10"/>
  <c r="CU111" i="10"/>
  <c r="CX111" i="10"/>
  <c r="CW142" i="10"/>
  <c r="CU142" i="10"/>
  <c r="CX142" i="10" s="1"/>
  <c r="CU121" i="10"/>
  <c r="CX121" i="10"/>
  <c r="CW121" i="10"/>
  <c r="CU139" i="10"/>
  <c r="CX139" i="10" s="1"/>
  <c r="CZ139" i="10" s="1"/>
  <c r="CB154" i="10" s="1"/>
  <c r="CW139" i="10"/>
  <c r="BP121" i="19"/>
  <c r="BN121" i="19"/>
  <c r="BQ121" i="19" s="1"/>
  <c r="BN133" i="19"/>
  <c r="BQ133" i="19" s="1"/>
  <c r="BP133" i="19"/>
  <c r="BP138" i="19"/>
  <c r="BN138" i="19"/>
  <c r="BQ138" i="19" s="1"/>
  <c r="BN94" i="19"/>
  <c r="BQ94" i="19" s="1"/>
  <c r="AW220" i="19"/>
  <c r="BP94" i="19"/>
  <c r="BQ106" i="19"/>
  <c r="BN106" i="19"/>
  <c r="BP106" i="19"/>
  <c r="AW233" i="19"/>
  <c r="BN107" i="19"/>
  <c r="BQ107" i="19"/>
  <c r="BP107" i="19"/>
  <c r="AW234" i="19"/>
  <c r="BN124" i="19"/>
  <c r="BQ124" i="19" s="1"/>
  <c r="BP124" i="19"/>
  <c r="BN140" i="19"/>
  <c r="BQ140" i="19"/>
  <c r="BP140" i="19"/>
  <c r="BP108" i="19"/>
  <c r="BQ108" i="19"/>
  <c r="BN108" i="19"/>
  <c r="AW235" i="19"/>
  <c r="BQ111" i="19"/>
  <c r="BN111" i="19"/>
  <c r="BP111" i="19"/>
  <c r="BE123" i="19"/>
  <c r="BC123" i="19"/>
  <c r="BF123" i="19" s="1"/>
  <c r="BE98" i="19"/>
  <c r="BC98" i="19"/>
  <c r="BF98" i="19"/>
  <c r="AT224" i="19"/>
  <c r="BC107" i="19"/>
  <c r="AT234" i="19"/>
  <c r="BF107" i="19"/>
  <c r="BE107" i="19"/>
  <c r="BE103" i="19"/>
  <c r="BC103" i="19"/>
  <c r="BF103" i="19"/>
  <c r="AT230" i="19"/>
  <c r="BE139" i="19"/>
  <c r="BC139" i="19"/>
  <c r="BF139" i="19"/>
  <c r="BC125" i="19"/>
  <c r="BF125" i="19" s="1"/>
  <c r="BE125" i="19"/>
  <c r="BF110" i="19"/>
  <c r="BC110" i="19"/>
  <c r="BC138" i="19"/>
  <c r="BF138" i="19" s="1"/>
  <c r="BG138" i="19" s="1"/>
  <c r="BY150" i="19" s="1"/>
  <c r="BE138" i="19"/>
  <c r="AT233" i="19"/>
  <c r="CC244" i="19" s="1"/>
  <c r="BC106" i="19"/>
  <c r="BC137" i="19"/>
  <c r="BF137" i="19" s="1"/>
  <c r="BG137" i="19" s="1"/>
  <c r="BW150" i="19" s="1"/>
  <c r="BE137" i="19"/>
  <c r="BC126" i="19"/>
  <c r="BF126" i="19" s="1"/>
  <c r="BE126" i="19"/>
  <c r="BF109" i="19"/>
  <c r="BC109" i="19"/>
  <c r="AT236" i="19"/>
  <c r="BE109" i="19"/>
  <c r="BE141" i="19"/>
  <c r="BC141" i="19"/>
  <c r="BF141" i="19"/>
  <c r="BC105" i="19"/>
  <c r="BF105" i="19"/>
  <c r="BE105" i="19"/>
  <c r="AT232" i="19"/>
  <c r="BC101" i="19"/>
  <c r="BF101" i="19"/>
  <c r="BE101" i="19"/>
  <c r="AT228" i="19"/>
  <c r="BN244" i="19"/>
  <c r="AU226" i="19"/>
  <c r="BP244" i="19"/>
  <c r="BC111" i="19"/>
  <c r="BF111" i="19"/>
  <c r="BE111" i="19"/>
  <c r="BF88" i="19"/>
  <c r="AT214" i="19"/>
  <c r="AQ244" i="19" s="1"/>
  <c r="BE88" i="19"/>
  <c r="BC88" i="19"/>
  <c r="BC112" i="19"/>
  <c r="CW96" i="19"/>
  <c r="BF222" i="19"/>
  <c r="CU96" i="19"/>
  <c r="CX96" i="19" s="1"/>
  <c r="CW108" i="19"/>
  <c r="CU108" i="19"/>
  <c r="CX108" i="19"/>
  <c r="BF235" i="19"/>
  <c r="CW137" i="19"/>
  <c r="CZ137" i="19" s="1"/>
  <c r="BX154" i="19" s="1"/>
  <c r="CU137" i="19"/>
  <c r="CX137" i="19" s="1"/>
  <c r="CU135" i="19"/>
  <c r="CX135" i="19" s="1"/>
  <c r="CW135" i="19"/>
  <c r="CU120" i="19"/>
  <c r="CX120" i="19" s="1"/>
  <c r="CW120" i="19"/>
  <c r="CU106" i="19"/>
  <c r="CX106" i="19"/>
  <c r="CW106" i="19"/>
  <c r="BF233" i="19"/>
  <c r="CW139" i="19"/>
  <c r="CU139" i="19"/>
  <c r="CX139" i="19" s="1"/>
  <c r="CU133" i="19"/>
  <c r="CX133" i="19"/>
  <c r="CW133" i="19"/>
  <c r="CU88" i="19"/>
  <c r="CX112" i="19"/>
  <c r="CW88" i="19"/>
  <c r="BF214" i="19"/>
  <c r="CW99" i="19"/>
  <c r="CX99" i="19"/>
  <c r="CZ99" i="19" s="1"/>
  <c r="BF225" i="19"/>
  <c r="CU134" i="19"/>
  <c r="CX134" i="19" s="1"/>
  <c r="CW134" i="19"/>
  <c r="CU101" i="19"/>
  <c r="CX101" i="19" s="1"/>
  <c r="CW101" i="19"/>
  <c r="BF228" i="19"/>
  <c r="BG228" i="19" s="1"/>
  <c r="BT248" i="19" s="1"/>
  <c r="BT259" i="19" s="1"/>
  <c r="CU125" i="19"/>
  <c r="CX125" i="19"/>
  <c r="CW125" i="19"/>
  <c r="CU123" i="19"/>
  <c r="CX123" i="19"/>
  <c r="CW123" i="19"/>
  <c r="CU103" i="19"/>
  <c r="CX103" i="19"/>
  <c r="BF230" i="19"/>
  <c r="BG230" i="19" s="1"/>
  <c r="BX248" i="19" s="1"/>
  <c r="BX259" i="19" s="1"/>
  <c r="CW103" i="19"/>
  <c r="CU132" i="19"/>
  <c r="CX132" i="19" s="1"/>
  <c r="CW132" i="19"/>
  <c r="CU121" i="19"/>
  <c r="CX121" i="19" s="1"/>
  <c r="CZ121" i="19" s="1"/>
  <c r="AR154" i="19" s="1"/>
  <c r="CW121" i="19"/>
  <c r="CW92" i="19"/>
  <c r="CU92" i="19"/>
  <c r="CX92" i="19"/>
  <c r="BF218" i="19"/>
  <c r="CU104" i="19"/>
  <c r="CX104" i="19"/>
  <c r="CW104" i="19"/>
  <c r="BF231" i="19"/>
  <c r="CU90" i="19"/>
  <c r="CX90" i="19"/>
  <c r="CW90" i="19"/>
  <c r="BF216" i="19"/>
  <c r="CU110" i="19"/>
  <c r="CX110" i="19"/>
  <c r="CW110" i="19"/>
  <c r="BF237" i="19"/>
  <c r="CW105" i="19"/>
  <c r="CU105" i="19"/>
  <c r="CX105" i="19" s="1"/>
  <c r="BF232" i="19"/>
  <c r="AR136" i="10"/>
  <c r="AU136" i="10"/>
  <c r="AT136" i="10"/>
  <c r="AR93" i="10"/>
  <c r="AU93" i="10"/>
  <c r="AT93" i="10"/>
  <c r="AQ219" i="10"/>
  <c r="AR126" i="10"/>
  <c r="AU126" i="10" s="1"/>
  <c r="AT126" i="10"/>
  <c r="AT101" i="10"/>
  <c r="AQ228" i="10"/>
  <c r="AR101" i="10"/>
  <c r="AU101" i="10" s="1"/>
  <c r="AR88" i="10"/>
  <c r="AU88" i="10"/>
  <c r="AT88" i="10"/>
  <c r="AQ214" i="10"/>
  <c r="AT95" i="10"/>
  <c r="AR95" i="10"/>
  <c r="AU95" i="10"/>
  <c r="AQ221" i="10"/>
  <c r="AT99" i="10"/>
  <c r="AQ225" i="10"/>
  <c r="AT142" i="10"/>
  <c r="AR142" i="10"/>
  <c r="AU142" i="10" s="1"/>
  <c r="AR124" i="10"/>
  <c r="AU124" i="10" s="1"/>
  <c r="AW124" i="10" s="1"/>
  <c r="AX149" i="10" s="1"/>
  <c r="AT124" i="10"/>
  <c r="AT91" i="10"/>
  <c r="AR91" i="10"/>
  <c r="AU91" i="10"/>
  <c r="AU112" i="10"/>
  <c r="AR112" i="10"/>
  <c r="AT112" i="10"/>
  <c r="AT129" i="10"/>
  <c r="AR129" i="10"/>
  <c r="AU129" i="10" s="1"/>
  <c r="AT138" i="10"/>
  <c r="AR138" i="10"/>
  <c r="AU138" i="10"/>
  <c r="AT137" i="10"/>
  <c r="AR137" i="10"/>
  <c r="AU137" i="10"/>
  <c r="AR141" i="10"/>
  <c r="AU141" i="10" s="1"/>
  <c r="AT141" i="10"/>
  <c r="AV141" i="10" s="1"/>
  <c r="CE149" i="10" s="1"/>
  <c r="CJ96" i="10"/>
  <c r="CM96" i="10"/>
  <c r="BC222" i="10"/>
  <c r="CL96" i="10"/>
  <c r="CL112" i="10"/>
  <c r="CJ112" i="10"/>
  <c r="CM112" i="10"/>
  <c r="CL105" i="10"/>
  <c r="CJ105" i="10"/>
  <c r="CM105" i="10"/>
  <c r="BC232" i="10"/>
  <c r="CM108" i="10"/>
  <c r="BC235" i="10"/>
  <c r="CL108" i="10"/>
  <c r="CL133" i="10"/>
  <c r="CJ133" i="10"/>
  <c r="CM133" i="10"/>
  <c r="CJ90" i="10"/>
  <c r="CL90" i="10"/>
  <c r="CM90" i="10"/>
  <c r="BC216" i="10"/>
  <c r="CJ134" i="10"/>
  <c r="CM134" i="10" s="1"/>
  <c r="CL134" i="10"/>
  <c r="CL95" i="10"/>
  <c r="CJ95" i="10"/>
  <c r="CM95" i="10" s="1"/>
  <c r="BC221" i="10"/>
  <c r="CJ107" i="10"/>
  <c r="CM107" i="10"/>
  <c r="CL107" i="10"/>
  <c r="BC234" i="10"/>
  <c r="CJ102" i="10"/>
  <c r="CM102" i="10"/>
  <c r="CL102" i="10"/>
  <c r="BC229" i="10"/>
  <c r="CJ89" i="10"/>
  <c r="CM89" i="10"/>
  <c r="CL89" i="10"/>
  <c r="BC215" i="10"/>
  <c r="CJ97" i="10"/>
  <c r="CM97" i="10"/>
  <c r="CL97" i="10"/>
  <c r="BC223" i="10"/>
  <c r="CJ109" i="10"/>
  <c r="CM109" i="10"/>
  <c r="CL109" i="10"/>
  <c r="BC236" i="10"/>
  <c r="CJ126" i="10"/>
  <c r="CM126" i="10"/>
  <c r="CL126" i="10"/>
  <c r="CL136" i="10"/>
  <c r="CJ136" i="10"/>
  <c r="CM136" i="10" s="1"/>
  <c r="CL100" i="10"/>
  <c r="BC227" i="10"/>
  <c r="CJ100" i="10"/>
  <c r="CM100" i="10" s="1"/>
  <c r="CL111" i="10"/>
  <c r="CJ111" i="10"/>
  <c r="CM111" i="10"/>
  <c r="CL123" i="10"/>
  <c r="CJ123" i="10"/>
  <c r="CM123" i="10" s="1"/>
  <c r="CN123" i="10" s="1"/>
  <c r="CL142" i="10"/>
  <c r="CJ142" i="10"/>
  <c r="CM142" i="10" s="1"/>
  <c r="CL140" i="10"/>
  <c r="CJ140" i="10"/>
  <c r="CM140" i="10" s="1"/>
  <c r="CN140" i="10" s="1"/>
  <c r="CC153" i="10" s="1"/>
  <c r="CL103" i="10"/>
  <c r="CJ103" i="10"/>
  <c r="CM103" i="10" s="1"/>
  <c r="BC230" i="10"/>
  <c r="CJ141" i="10"/>
  <c r="CM141" i="10"/>
  <c r="CN141" i="10" s="1"/>
  <c r="CE153" i="10" s="1"/>
  <c r="CJ127" i="10"/>
  <c r="CM127" i="10" s="1"/>
  <c r="CO127" i="10" s="1"/>
  <c r="BD153" i="10" s="1"/>
  <c r="CL127" i="10"/>
  <c r="CJ97" i="19"/>
  <c r="CM97" i="19" s="1"/>
  <c r="CN97" i="19" s="1"/>
  <c r="CL97" i="19"/>
  <c r="BC223" i="19"/>
  <c r="BI247" i="19" s="1"/>
  <c r="BI258" i="19" s="1"/>
  <c r="CL134" i="19"/>
  <c r="CJ134" i="19"/>
  <c r="CM134" i="19" s="1"/>
  <c r="CJ125" i="19"/>
  <c r="CM125" i="19" s="1"/>
  <c r="CL125" i="19"/>
  <c r="CJ100" i="19"/>
  <c r="CM100" i="19"/>
  <c r="CL100" i="19"/>
  <c r="BC227" i="19"/>
  <c r="BQ247" i="19" s="1"/>
  <c r="CJ93" i="19"/>
  <c r="CM93" i="19" s="1"/>
  <c r="BC219" i="19"/>
  <c r="CL93" i="19"/>
  <c r="CJ126" i="19"/>
  <c r="CM126" i="19" s="1"/>
  <c r="CL107" i="19"/>
  <c r="CO107" i="19" s="1"/>
  <c r="BC234" i="19"/>
  <c r="CJ107" i="19"/>
  <c r="CM107" i="19"/>
  <c r="CL94" i="19"/>
  <c r="CJ94" i="19"/>
  <c r="CM94" i="19"/>
  <c r="CO94" i="19" s="1"/>
  <c r="BC220" i="19"/>
  <c r="CL106" i="19"/>
  <c r="CJ106" i="19"/>
  <c r="CM106" i="19"/>
  <c r="BC233" i="19"/>
  <c r="CL122" i="19"/>
  <c r="CJ122" i="19"/>
  <c r="CM122" i="19"/>
  <c r="CJ88" i="19"/>
  <c r="BC214" i="19"/>
  <c r="CM88" i="19"/>
  <c r="CL88" i="19"/>
  <c r="CL98" i="19"/>
  <c r="CJ98" i="19"/>
  <c r="BC224" i="19"/>
  <c r="CL132" i="19"/>
  <c r="CJ132" i="19"/>
  <c r="CM132" i="19"/>
  <c r="CN132" i="19" s="1"/>
  <c r="BM153" i="19" s="1"/>
  <c r="CJ104" i="19"/>
  <c r="CM104" i="19" s="1"/>
  <c r="CL104" i="19"/>
  <c r="BC231" i="19"/>
  <c r="CL136" i="19"/>
  <c r="CJ136" i="19"/>
  <c r="CM136" i="19"/>
  <c r="CN136" i="19" s="1"/>
  <c r="BU153" i="19" s="1"/>
  <c r="CJ124" i="19"/>
  <c r="CM124" i="19"/>
  <c r="CL124" i="19"/>
  <c r="CL141" i="19"/>
  <c r="CJ141" i="19"/>
  <c r="CM141" i="19"/>
  <c r="CJ127" i="19"/>
  <c r="CM127" i="19"/>
  <c r="CL127" i="19"/>
  <c r="CL105" i="19"/>
  <c r="CJ105" i="19"/>
  <c r="CM105" i="19" s="1"/>
  <c r="BC232" i="19"/>
  <c r="CJ110" i="19"/>
  <c r="CM110" i="19"/>
  <c r="BC237" i="19"/>
  <c r="CK247" i="19" s="1"/>
  <c r="CL110" i="19"/>
  <c r="CO110" i="19" s="1"/>
  <c r="CJ89" i="19"/>
  <c r="CM89" i="19"/>
  <c r="BC215" i="19"/>
  <c r="CL89" i="19"/>
  <c r="CJ111" i="19"/>
  <c r="CM111" i="19"/>
  <c r="CL111" i="19"/>
  <c r="BC124" i="16"/>
  <c r="BF124" i="16"/>
  <c r="BE124" i="16"/>
  <c r="BE139" i="16"/>
  <c r="BC139" i="16"/>
  <c r="BF139" i="16" s="1"/>
  <c r="BC88" i="16"/>
  <c r="BF88" i="16"/>
  <c r="BE88" i="16"/>
  <c r="AT214" i="16"/>
  <c r="BC135" i="16"/>
  <c r="BF135" i="16" s="1"/>
  <c r="BE135" i="16"/>
  <c r="BE123" i="16"/>
  <c r="BC123" i="16"/>
  <c r="BF123" i="16"/>
  <c r="BH123" i="16" s="1"/>
  <c r="AV150" i="16" s="1"/>
  <c r="BC96" i="16"/>
  <c r="BF96" i="16" s="1"/>
  <c r="AT222" i="16"/>
  <c r="BE96" i="16"/>
  <c r="BE122" i="16"/>
  <c r="BC122" i="16"/>
  <c r="BF122" i="16"/>
  <c r="BH122" i="16" s="1"/>
  <c r="AT234" i="16"/>
  <c r="BE107" i="16"/>
  <c r="BE94" i="16"/>
  <c r="BC111" i="16"/>
  <c r="BF111" i="16"/>
  <c r="BE111" i="16"/>
  <c r="BC104" i="16"/>
  <c r="BF104" i="16" s="1"/>
  <c r="BE104" i="16"/>
  <c r="AT231" i="16"/>
  <c r="BE126" i="16"/>
  <c r="BC126" i="16"/>
  <c r="BF126" i="16" s="1"/>
  <c r="BE132" i="16"/>
  <c r="BC132" i="16"/>
  <c r="BF132" i="16"/>
  <c r="BH132" i="16" s="1"/>
  <c r="BN150" i="16" s="1"/>
  <c r="BC95" i="16"/>
  <c r="BF95" i="16" s="1"/>
  <c r="AT221" i="16"/>
  <c r="BE95" i="16"/>
  <c r="BC125" i="16"/>
  <c r="BF125" i="16" s="1"/>
  <c r="BC103" i="16"/>
  <c r="BF103" i="16" s="1"/>
  <c r="BH103" i="16" s="1"/>
  <c r="BE103" i="16"/>
  <c r="AT230" i="16"/>
  <c r="BC105" i="16"/>
  <c r="BF105" i="16"/>
  <c r="BE105" i="16"/>
  <c r="AT232" i="16"/>
  <c r="BC100" i="16"/>
  <c r="BF100" i="16" s="1"/>
  <c r="BE100" i="16"/>
  <c r="AR124" i="16"/>
  <c r="AU124" i="16" s="1"/>
  <c r="AT124" i="16"/>
  <c r="AT132" i="16"/>
  <c r="AR132" i="16"/>
  <c r="AU132" i="16" s="1"/>
  <c r="AU88" i="16"/>
  <c r="AR97" i="16"/>
  <c r="AU97" i="16"/>
  <c r="AQ223" i="16"/>
  <c r="AR136" i="16"/>
  <c r="AU136" i="16" s="1"/>
  <c r="AT136" i="16"/>
  <c r="AR139" i="16"/>
  <c r="AU139" i="16"/>
  <c r="AT139" i="16"/>
  <c r="AT89" i="16"/>
  <c r="AQ215" i="16"/>
  <c r="AT107" i="16"/>
  <c r="AR107" i="16"/>
  <c r="AU107" i="16"/>
  <c r="AQ234" i="16"/>
  <c r="AR96" i="16"/>
  <c r="AU96" i="16" s="1"/>
  <c r="AW96" i="16" s="1"/>
  <c r="AQ222" i="16"/>
  <c r="AT96" i="16"/>
  <c r="AR91" i="16"/>
  <c r="AU91" i="16"/>
  <c r="AQ217" i="16"/>
  <c r="AR92" i="16"/>
  <c r="AU92" i="16"/>
  <c r="AT92" i="16"/>
  <c r="AQ218" i="16"/>
  <c r="AY243" i="16" s="1"/>
  <c r="AR125" i="16"/>
  <c r="AU125" i="16"/>
  <c r="AT125" i="16"/>
  <c r="AU99" i="16"/>
  <c r="AV99" i="16" s="1"/>
  <c r="AQ225" i="16"/>
  <c r="AR127" i="16"/>
  <c r="AU127" i="16" s="1"/>
  <c r="AT127" i="16"/>
  <c r="AR226" i="16"/>
  <c r="BP243" i="16" s="1"/>
  <c r="BN243" i="16"/>
  <c r="AT110" i="16"/>
  <c r="AR110" i="16"/>
  <c r="AU110" i="16"/>
  <c r="AQ237" i="16"/>
  <c r="AQ236" i="16"/>
  <c r="AR95" i="16"/>
  <c r="AU95" i="16" s="1"/>
  <c r="AQ221" i="16"/>
  <c r="AT95" i="16"/>
  <c r="AT108" i="16"/>
  <c r="AR108" i="16"/>
  <c r="AU108" i="16"/>
  <c r="AQ235" i="16"/>
  <c r="CW128" i="16"/>
  <c r="CU128" i="16"/>
  <c r="CX128" i="16"/>
  <c r="CD104" i="16"/>
  <c r="CC104" i="16"/>
  <c r="BY246" i="16"/>
  <c r="BY257" i="16" s="1"/>
  <c r="BA231" i="16"/>
  <c r="BZ246" i="16" s="1"/>
  <c r="CD141" i="16"/>
  <c r="CF152" i="16" s="1"/>
  <c r="CC141" i="16"/>
  <c r="CE152" i="16" s="1"/>
  <c r="BA36" i="14"/>
  <c r="C59" i="21"/>
  <c r="C24" i="22"/>
  <c r="C53" i="22"/>
  <c r="L36" i="14"/>
  <c r="M36" i="14" s="1"/>
  <c r="H36" i="14"/>
  <c r="F25" i="18" s="1"/>
  <c r="BE36" i="14"/>
  <c r="BF36" i="14" s="1"/>
  <c r="AR36" i="14"/>
  <c r="C55" i="23" s="1"/>
  <c r="BE41" i="14"/>
  <c r="AC41" i="14"/>
  <c r="C58" i="22" s="1"/>
  <c r="BA41" i="14"/>
  <c r="C64" i="21" s="1"/>
  <c r="L41" i="14"/>
  <c r="M41" i="14"/>
  <c r="N41" i="14" s="1"/>
  <c r="AR41" i="14"/>
  <c r="BF41" i="14" s="1"/>
  <c r="W41" i="14"/>
  <c r="C29" i="22" s="1"/>
  <c r="I41" i="14"/>
  <c r="AI41" i="14" s="1"/>
  <c r="AI32" i="14"/>
  <c r="H32" i="14"/>
  <c r="F21" i="18"/>
  <c r="L27" i="14"/>
  <c r="M27" i="14" s="1"/>
  <c r="H27" i="14"/>
  <c r="F16" i="18" s="1"/>
  <c r="I27" i="14"/>
  <c r="AI27" i="14"/>
  <c r="E16" i="18"/>
  <c r="I23" i="14"/>
  <c r="L23" i="14"/>
  <c r="M23" i="14" s="1"/>
  <c r="AC23" i="14"/>
  <c r="C40" i="22" s="1"/>
  <c r="AH23" i="14"/>
  <c r="AI23" i="14"/>
  <c r="BA23" i="14"/>
  <c r="C46" i="21" s="1"/>
  <c r="W23" i="14"/>
  <c r="C11" i="22" s="1"/>
  <c r="AR23" i="14"/>
  <c r="C42" i="23" s="1"/>
  <c r="BB23" i="14"/>
  <c r="BE23" i="14"/>
  <c r="H23" i="14"/>
  <c r="F12" i="18"/>
  <c r="I23" i="18"/>
  <c r="J23" i="18" s="1"/>
  <c r="C57" i="13" s="1"/>
  <c r="AH34" i="14"/>
  <c r="BB34" i="14" s="1"/>
  <c r="I19" i="18"/>
  <c r="J19" i="18" s="1"/>
  <c r="C53" i="13" s="1"/>
  <c r="E22" i="18"/>
  <c r="J22" i="18" s="1"/>
  <c r="C56" i="13" s="1"/>
  <c r="I22" i="18"/>
  <c r="I33" i="14"/>
  <c r="L33" i="14"/>
  <c r="M33" i="14" s="1"/>
  <c r="AH33" i="14"/>
  <c r="AH25" i="14"/>
  <c r="BB25" i="14" s="1"/>
  <c r="I26" i="18"/>
  <c r="I27" i="18"/>
  <c r="I16" i="18"/>
  <c r="J16" i="18" s="1"/>
  <c r="C50" i="13" s="1"/>
  <c r="I13" i="18"/>
  <c r="J13" i="18" s="1"/>
  <c r="C47" i="13" s="1"/>
  <c r="I17" i="18"/>
  <c r="I14" i="18"/>
  <c r="I28" i="18"/>
  <c r="I8" i="18"/>
  <c r="I7" i="18"/>
  <c r="I10" i="18"/>
  <c r="I18" i="18"/>
  <c r="J18" i="18" s="1"/>
  <c r="C52" i="13" s="1"/>
  <c r="N29" i="14" s="1"/>
  <c r="I15" i="18"/>
  <c r="J15" i="18" s="1"/>
  <c r="C49" i="13" s="1"/>
  <c r="I29" i="18"/>
  <c r="I30" i="18"/>
  <c r="I9" i="18"/>
  <c r="I20" i="18"/>
  <c r="I11" i="18"/>
  <c r="I25" i="18"/>
  <c r="I24" i="14"/>
  <c r="AI24" i="14"/>
  <c r="H24" i="14"/>
  <c r="F13" i="18" s="1"/>
  <c r="E13" i="18"/>
  <c r="L24" i="14"/>
  <c r="M24" i="14" s="1"/>
  <c r="AC18" i="14"/>
  <c r="C35" i="22" s="1"/>
  <c r="BE18" i="14"/>
  <c r="BF18" i="14" s="1"/>
  <c r="L18" i="14"/>
  <c r="M18" i="14" s="1"/>
  <c r="N18" i="14" s="1"/>
  <c r="BA18" i="14"/>
  <c r="C41" i="21" s="1"/>
  <c r="I18" i="14"/>
  <c r="AI18" i="14"/>
  <c r="AR18" i="14"/>
  <c r="C37" i="23"/>
  <c r="W18" i="14"/>
  <c r="C6" i="22" s="1"/>
  <c r="H18" i="14"/>
  <c r="F7" i="18" s="1"/>
  <c r="BE38" i="14"/>
  <c r="AC38" i="14"/>
  <c r="C55" i="22"/>
  <c r="L38" i="14"/>
  <c r="M38" i="14" s="1"/>
  <c r="BA38" i="14"/>
  <c r="C61" i="21" s="1"/>
  <c r="H38" i="14"/>
  <c r="F27" i="18" s="1"/>
  <c r="W38" i="14"/>
  <c r="C26" i="22"/>
  <c r="I38" i="14"/>
  <c r="AI38" i="14"/>
  <c r="AR38" i="14"/>
  <c r="C57" i="23" s="1"/>
  <c r="J20" i="18"/>
  <c r="C54" i="13"/>
  <c r="AH31" i="14"/>
  <c r="BB31" i="14" s="1"/>
  <c r="AH41" i="14"/>
  <c r="BB41" i="14" s="1"/>
  <c r="AH22" i="14"/>
  <c r="AH19" i="14"/>
  <c r="BU246" i="16"/>
  <c r="BA229" i="16"/>
  <c r="BV246" i="16" s="1"/>
  <c r="BE246" i="16"/>
  <c r="BA221" i="16"/>
  <c r="BF246" i="16" s="1"/>
  <c r="CD139" i="16"/>
  <c r="CB152" i="16" s="1"/>
  <c r="CC139" i="16"/>
  <c r="CA152" i="16" s="1"/>
  <c r="CC126" i="16"/>
  <c r="BA152" i="16" s="1"/>
  <c r="CD126" i="16"/>
  <c r="BB152" i="16" s="1"/>
  <c r="CC121" i="16"/>
  <c r="AQ152" i="16"/>
  <c r="BC246" i="16"/>
  <c r="BA220" i="16"/>
  <c r="BD246" i="16" s="1"/>
  <c r="BD257" i="16" s="1"/>
  <c r="BY105" i="10"/>
  <c r="CB105" i="10"/>
  <c r="CA105" i="10"/>
  <c r="AZ232" i="10"/>
  <c r="CA123" i="10"/>
  <c r="BY123" i="10"/>
  <c r="CB123" i="10" s="1"/>
  <c r="CA120" i="10"/>
  <c r="BY120" i="10"/>
  <c r="CB120" i="10"/>
  <c r="CA121" i="10"/>
  <c r="BY121" i="10"/>
  <c r="CB121" i="10"/>
  <c r="CA125" i="10"/>
  <c r="BY125" i="10"/>
  <c r="CB125" i="10" s="1"/>
  <c r="BY94" i="10"/>
  <c r="CB94" i="10"/>
  <c r="CA94" i="10"/>
  <c r="AZ220" i="10"/>
  <c r="AZ225" i="10"/>
  <c r="CB99" i="10"/>
  <c r="CA99" i="10"/>
  <c r="BY108" i="10"/>
  <c r="CB108" i="10"/>
  <c r="CA108" i="10"/>
  <c r="AZ235" i="10"/>
  <c r="CA102" i="10"/>
  <c r="AZ229" i="10"/>
  <c r="BY102" i="10"/>
  <c r="CB102" i="10" s="1"/>
  <c r="CC102" i="10" s="1"/>
  <c r="BY124" i="10"/>
  <c r="CB124" i="10" s="1"/>
  <c r="CA124" i="10"/>
  <c r="W524" i="19"/>
  <c r="W525" i="19" s="1"/>
  <c r="CA111" i="10"/>
  <c r="BY111" i="10"/>
  <c r="CB111" i="10"/>
  <c r="CA97" i="10"/>
  <c r="BY97" i="10"/>
  <c r="CB97" i="10"/>
  <c r="AZ223" i="10"/>
  <c r="BY91" i="10"/>
  <c r="CB91" i="10"/>
  <c r="CA91" i="10"/>
  <c r="AZ217" i="10"/>
  <c r="BY89" i="10"/>
  <c r="CB89" i="10"/>
  <c r="CA89" i="10"/>
  <c r="CD89" i="10" s="1"/>
  <c r="AZ215" i="10"/>
  <c r="BA215" i="10" s="1"/>
  <c r="BY104" i="10"/>
  <c r="CB104" i="10" s="1"/>
  <c r="CA104" i="10"/>
  <c r="AZ231" i="10"/>
  <c r="CA139" i="10"/>
  <c r="CD139" i="10" s="1"/>
  <c r="CB152" i="10" s="1"/>
  <c r="BY139" i="10"/>
  <c r="CB139" i="10" s="1"/>
  <c r="BY127" i="10"/>
  <c r="CB127" i="10" s="1"/>
  <c r="CA127" i="10"/>
  <c r="CA95" i="10"/>
  <c r="AZ221" i="10"/>
  <c r="BY95" i="10"/>
  <c r="CB95" i="10" s="1"/>
  <c r="BY107" i="10"/>
  <c r="CB107" i="10"/>
  <c r="CC107" i="10" s="1"/>
  <c r="CA107" i="10"/>
  <c r="AZ234" i="10"/>
  <c r="CA141" i="10"/>
  <c r="BY141" i="10"/>
  <c r="CB141" i="10"/>
  <c r="AZ230" i="10"/>
  <c r="BY103" i="10"/>
  <c r="CB103" i="10" s="1"/>
  <c r="CD103" i="10" s="1"/>
  <c r="CA103" i="10"/>
  <c r="BY134" i="19"/>
  <c r="CB134" i="19" s="1"/>
  <c r="CD134" i="19" s="1"/>
  <c r="CA134" i="19"/>
  <c r="BN246" i="19"/>
  <c r="BA226" i="19"/>
  <c r="BP246" i="19" s="1"/>
  <c r="BY106" i="19"/>
  <c r="CB106" i="19"/>
  <c r="CA106" i="19"/>
  <c r="AZ233" i="19"/>
  <c r="CA103" i="19"/>
  <c r="BY103" i="19"/>
  <c r="CB103" i="19"/>
  <c r="CD103" i="19" s="1"/>
  <c r="AZ230" i="19"/>
  <c r="BW246" i="19" s="1"/>
  <c r="BY132" i="19"/>
  <c r="CB132" i="19" s="1"/>
  <c r="CC132" i="19" s="1"/>
  <c r="BM152" i="19" s="1"/>
  <c r="CA132" i="19"/>
  <c r="BY91" i="19"/>
  <c r="CA91" i="19"/>
  <c r="CB91" i="19"/>
  <c r="AZ217" i="19"/>
  <c r="CA98" i="19"/>
  <c r="BY98" i="19"/>
  <c r="CB98" i="19"/>
  <c r="CC98" i="19" s="1"/>
  <c r="AZ224" i="19"/>
  <c r="CA140" i="19"/>
  <c r="BY140" i="19"/>
  <c r="CB140" i="19" s="1"/>
  <c r="AZ218" i="19"/>
  <c r="AY246" i="19" s="1"/>
  <c r="CB99" i="19"/>
  <c r="AZ225" i="19"/>
  <c r="CA99" i="19"/>
  <c r="CA97" i="19"/>
  <c r="AZ223" i="19"/>
  <c r="BY97" i="19"/>
  <c r="CB97" i="19" s="1"/>
  <c r="BY88" i="19"/>
  <c r="CB88" i="19"/>
  <c r="CA88" i="19"/>
  <c r="AZ214" i="19"/>
  <c r="CA111" i="19"/>
  <c r="BY111" i="19"/>
  <c r="CB111" i="19"/>
  <c r="CA137" i="19"/>
  <c r="BY137" i="19"/>
  <c r="CB137" i="19" s="1"/>
  <c r="BY122" i="19"/>
  <c r="CB122" i="19" s="1"/>
  <c r="CA122" i="19"/>
  <c r="CA123" i="19"/>
  <c r="BY123" i="19"/>
  <c r="CB123" i="19" s="1"/>
  <c r="BY141" i="19"/>
  <c r="CB141" i="19" s="1"/>
  <c r="CA141" i="19"/>
  <c r="BY90" i="19"/>
  <c r="CB90" i="19"/>
  <c r="CA90" i="19"/>
  <c r="AZ216" i="19"/>
  <c r="CA108" i="19"/>
  <c r="BY108" i="19"/>
  <c r="CB108" i="19"/>
  <c r="AZ235" i="19"/>
  <c r="BY109" i="19"/>
  <c r="CB109" i="19"/>
  <c r="CA109" i="19"/>
  <c r="AZ236" i="19"/>
  <c r="BY121" i="19"/>
  <c r="CB121" i="19"/>
  <c r="CA121" i="19"/>
  <c r="BY100" i="19"/>
  <c r="CB100" i="19" s="1"/>
  <c r="CD100" i="19" s="1"/>
  <c r="CA100" i="19"/>
  <c r="AZ227" i="19"/>
  <c r="CA143" i="19"/>
  <c r="BY143" i="19"/>
  <c r="CB143" i="19"/>
  <c r="BN110" i="10"/>
  <c r="BQ110" i="10"/>
  <c r="AW237" i="10"/>
  <c r="BP110" i="10"/>
  <c r="BP124" i="10"/>
  <c r="BS124" i="10" s="1"/>
  <c r="AX151" i="10" s="1"/>
  <c r="BN124" i="10"/>
  <c r="BQ124" i="10" s="1"/>
  <c r="BP136" i="10"/>
  <c r="BN136" i="10"/>
  <c r="BQ136" i="10" s="1"/>
  <c r="BR136" i="10" s="1"/>
  <c r="BU151" i="10" s="1"/>
  <c r="BN245" i="10"/>
  <c r="AX226" i="10"/>
  <c r="BP245" i="10" s="1"/>
  <c r="BN108" i="10"/>
  <c r="BQ108" i="10"/>
  <c r="AW235" i="10"/>
  <c r="BP108" i="10"/>
  <c r="BN139" i="10"/>
  <c r="BQ139" i="10"/>
  <c r="BP139" i="10"/>
  <c r="BN143" i="10"/>
  <c r="BQ143" i="10" s="1"/>
  <c r="BR143" i="10" s="1"/>
  <c r="BP143" i="10"/>
  <c r="BP103" i="10"/>
  <c r="BN103" i="10"/>
  <c r="BQ103" i="10" s="1"/>
  <c r="BS103" i="10" s="1"/>
  <c r="AW230" i="10"/>
  <c r="BN88" i="10"/>
  <c r="BQ88" i="10"/>
  <c r="BP88" i="10"/>
  <c r="AW214" i="10"/>
  <c r="BN106" i="10"/>
  <c r="BQ106" i="10"/>
  <c r="BP106" i="10"/>
  <c r="AW233" i="10"/>
  <c r="BN96" i="10"/>
  <c r="BQ96" i="10" s="1"/>
  <c r="BP96" i="10"/>
  <c r="AW222" i="10"/>
  <c r="BP90" i="10"/>
  <c r="BN90" i="10"/>
  <c r="BQ90" i="10"/>
  <c r="AW216" i="10"/>
  <c r="BN134" i="10"/>
  <c r="BQ134" i="10" s="1"/>
  <c r="BP134" i="10"/>
  <c r="BN133" i="10"/>
  <c r="BQ133" i="10" s="1"/>
  <c r="BP133" i="10"/>
  <c r="BN94" i="10"/>
  <c r="BQ94" i="10"/>
  <c r="AW220" i="10"/>
  <c r="BP94" i="10"/>
  <c r="AW234" i="10"/>
  <c r="BP107" i="10"/>
  <c r="BN107" i="10"/>
  <c r="BQ107" i="10"/>
  <c r="BN93" i="10"/>
  <c r="BQ93" i="10"/>
  <c r="BP93" i="10"/>
  <c r="AW219" i="10"/>
  <c r="BN98" i="10"/>
  <c r="BQ98" i="10" s="1"/>
  <c r="AW224" i="10"/>
  <c r="BP98" i="10"/>
  <c r="BP100" i="10"/>
  <c r="BN100" i="10"/>
  <c r="BQ100" i="10"/>
  <c r="AW227" i="10"/>
  <c r="BN142" i="10"/>
  <c r="BQ142" i="10" s="1"/>
  <c r="BP142" i="10"/>
  <c r="BP126" i="10"/>
  <c r="BN126" i="10"/>
  <c r="BQ126" i="10"/>
  <c r="BP140" i="10"/>
  <c r="BN140" i="10"/>
  <c r="BQ140" i="10" s="1"/>
  <c r="AT141" i="19"/>
  <c r="AR141" i="19"/>
  <c r="AU141" i="19" s="1"/>
  <c r="AT126" i="19"/>
  <c r="AR126" i="19"/>
  <c r="AU126" i="19" s="1"/>
  <c r="AT137" i="19"/>
  <c r="AR137" i="19"/>
  <c r="AU137" i="19" s="1"/>
  <c r="AU106" i="19"/>
  <c r="AR106" i="19"/>
  <c r="AT106" i="19"/>
  <c r="AQ233" i="19"/>
  <c r="AR100" i="19"/>
  <c r="AU100" i="19" s="1"/>
  <c r="AT100" i="19"/>
  <c r="AQ227" i="19"/>
  <c r="AR120" i="19"/>
  <c r="AU120" i="19" s="1"/>
  <c r="AT120" i="19"/>
  <c r="AR96" i="19"/>
  <c r="AU96" i="19"/>
  <c r="AQ222" i="19"/>
  <c r="AT96" i="19"/>
  <c r="AR139" i="19"/>
  <c r="AU139" i="19" s="1"/>
  <c r="AW139" i="19" s="1"/>
  <c r="CB149" i="19" s="1"/>
  <c r="AT139" i="19"/>
  <c r="AT93" i="19"/>
  <c r="AR93" i="19"/>
  <c r="AU93" i="19"/>
  <c r="AV93" i="19" s="1"/>
  <c r="AQ219" i="19"/>
  <c r="AT127" i="19"/>
  <c r="AR127" i="19"/>
  <c r="AU127" i="19" s="1"/>
  <c r="AU107" i="19"/>
  <c r="AR107" i="19"/>
  <c r="AT107" i="19"/>
  <c r="AQ234" i="19"/>
  <c r="CE243" i="19" s="1"/>
  <c r="AR143" i="19"/>
  <c r="AU143" i="19"/>
  <c r="AT143" i="19"/>
  <c r="AT121" i="19"/>
  <c r="AR121" i="19"/>
  <c r="AU121" i="19" s="1"/>
  <c r="AT134" i="19"/>
  <c r="AR134" i="19"/>
  <c r="AU134" i="19"/>
  <c r="AW134" i="19" s="1"/>
  <c r="BR149" i="19" s="1"/>
  <c r="AT102" i="19"/>
  <c r="AQ229" i="19"/>
  <c r="AR102" i="19"/>
  <c r="AU102" i="19" s="1"/>
  <c r="AR135" i="19"/>
  <c r="AU135" i="19"/>
  <c r="AT135" i="19"/>
  <c r="AV135" i="19" s="1"/>
  <c r="BS149" i="19" s="1"/>
  <c r="AR125" i="19"/>
  <c r="AU125" i="19"/>
  <c r="AV125" i="19" s="1"/>
  <c r="AY149" i="19" s="1"/>
  <c r="AT125" i="19"/>
  <c r="AT123" i="19"/>
  <c r="AR123" i="19"/>
  <c r="AU123" i="19" s="1"/>
  <c r="AR129" i="19"/>
  <c r="AU129" i="19" s="1"/>
  <c r="AT129" i="19"/>
  <c r="AU109" i="19"/>
  <c r="AW109" i="19" s="1"/>
  <c r="AR109" i="19"/>
  <c r="AT109" i="19"/>
  <c r="AQ236" i="19"/>
  <c r="AR105" i="19"/>
  <c r="AU105" i="19"/>
  <c r="AT105" i="19"/>
  <c r="AQ232" i="19"/>
  <c r="AR95" i="19"/>
  <c r="AU95" i="19" s="1"/>
  <c r="AW95" i="19" s="1"/>
  <c r="AQ221" i="19"/>
  <c r="AT95" i="19"/>
  <c r="AR101" i="19"/>
  <c r="AU101" i="19"/>
  <c r="AW101" i="19" s="1"/>
  <c r="AT101" i="19"/>
  <c r="AQ228" i="19"/>
  <c r="AU111" i="19"/>
  <c r="AR111" i="19"/>
  <c r="AT111" i="19"/>
  <c r="AR104" i="19"/>
  <c r="AU104" i="19" s="1"/>
  <c r="AQ231" i="19"/>
  <c r="AT104" i="19"/>
  <c r="AT234" i="10"/>
  <c r="BC107" i="10"/>
  <c r="BF107" i="10"/>
  <c r="BE107" i="10"/>
  <c r="BE137" i="10"/>
  <c r="BG137" i="10" s="1"/>
  <c r="BC137" i="10"/>
  <c r="BF137" i="10" s="1"/>
  <c r="BC122" i="10"/>
  <c r="BF122" i="10" s="1"/>
  <c r="BE122" i="10"/>
  <c r="BE98" i="10"/>
  <c r="AT224" i="10"/>
  <c r="BC98" i="10"/>
  <c r="BF98" i="10" s="1"/>
  <c r="BE141" i="10"/>
  <c r="BC141" i="10"/>
  <c r="BF141" i="10" s="1"/>
  <c r="BC102" i="10"/>
  <c r="BF102" i="10"/>
  <c r="AT229" i="10"/>
  <c r="BE102" i="10"/>
  <c r="AT225" i="10"/>
  <c r="BE99" i="10"/>
  <c r="BC143" i="10"/>
  <c r="BF143" i="10" s="1"/>
  <c r="BE143" i="10"/>
  <c r="BE112" i="10"/>
  <c r="BC112" i="10"/>
  <c r="BF112" i="10"/>
  <c r="BC94" i="10"/>
  <c r="BF94" i="10" s="1"/>
  <c r="BH94" i="10" s="1"/>
  <c r="BE94" i="10"/>
  <c r="AT220" i="10"/>
  <c r="BE123" i="10"/>
  <c r="BC123" i="10"/>
  <c r="BF123" i="10"/>
  <c r="BG123" i="10" s="1"/>
  <c r="AU150" i="10" s="1"/>
  <c r="BE140" i="10"/>
  <c r="BC140" i="10"/>
  <c r="BF140" i="10" s="1"/>
  <c r="BG140" i="10" s="1"/>
  <c r="CC150" i="10" s="1"/>
  <c r="BE136" i="10"/>
  <c r="BC136" i="10"/>
  <c r="BF136" i="10" s="1"/>
  <c r="BH136" i="10" s="1"/>
  <c r="BV150" i="10" s="1"/>
  <c r="DF107" i="10"/>
  <c r="DI107" i="10"/>
  <c r="DH107" i="10"/>
  <c r="BI234" i="10"/>
  <c r="DF139" i="10"/>
  <c r="DI139" i="10" s="1"/>
  <c r="DH139" i="10"/>
  <c r="DF90" i="10"/>
  <c r="DI90" i="10"/>
  <c r="BI216" i="10"/>
  <c r="DH90" i="10"/>
  <c r="DF89" i="10"/>
  <c r="DI89" i="10"/>
  <c r="DK89" i="10" s="1"/>
  <c r="DH89" i="10"/>
  <c r="BI215" i="10"/>
  <c r="DH105" i="10"/>
  <c r="BI232" i="10"/>
  <c r="DF105" i="10"/>
  <c r="DI105" i="10"/>
  <c r="DH143" i="10"/>
  <c r="DF143" i="10"/>
  <c r="DI143" i="10" s="1"/>
  <c r="DH138" i="10"/>
  <c r="DF138" i="10"/>
  <c r="DI138" i="10" s="1"/>
  <c r="DF101" i="10"/>
  <c r="DI101" i="10" s="1"/>
  <c r="DH101" i="10"/>
  <c r="DJ101" i="10" s="1"/>
  <c r="BI228" i="10"/>
  <c r="DF88" i="10"/>
  <c r="DI88" i="10"/>
  <c r="DH88" i="10"/>
  <c r="BI214" i="10"/>
  <c r="DF108" i="10"/>
  <c r="DI108" i="10"/>
  <c r="DH108" i="10"/>
  <c r="BI235" i="10"/>
  <c r="DH94" i="10"/>
  <c r="DF94" i="10"/>
  <c r="DI94" i="10" s="1"/>
  <c r="BI220" i="10"/>
  <c r="DH99" i="10"/>
  <c r="DI99" i="10"/>
  <c r="BI225" i="10"/>
  <c r="DF137" i="10"/>
  <c r="DI137" i="10"/>
  <c r="DH137" i="10"/>
  <c r="DH121" i="10"/>
  <c r="DF121" i="10"/>
  <c r="DI121" i="10" s="1"/>
  <c r="DH134" i="10"/>
  <c r="DF134" i="10"/>
  <c r="DI134" i="10" s="1"/>
  <c r="DJ134" i="10" s="1"/>
  <c r="BQ148" i="10" s="1"/>
  <c r="DF136" i="10"/>
  <c r="DI136" i="10"/>
  <c r="DK136" i="10" s="1"/>
  <c r="DH136" i="10"/>
  <c r="DF129" i="10"/>
  <c r="DI129" i="10" s="1"/>
  <c r="DJ129" i="10" s="1"/>
  <c r="BG148" i="10" s="1"/>
  <c r="DH129" i="10"/>
  <c r="DH103" i="10"/>
  <c r="BI230" i="10"/>
  <c r="DF103" i="10"/>
  <c r="DI103" i="10"/>
  <c r="DF141" i="10"/>
  <c r="DI141" i="10" s="1"/>
  <c r="DH141" i="10"/>
  <c r="DF124" i="10"/>
  <c r="DI124" i="10"/>
  <c r="DH124" i="10"/>
  <c r="DF111" i="10"/>
  <c r="DI111" i="10"/>
  <c r="DH111" i="10"/>
  <c r="DH104" i="10"/>
  <c r="BI231" i="10"/>
  <c r="DF104" i="10"/>
  <c r="DI104" i="10"/>
  <c r="BI236" i="10"/>
  <c r="BJ236" i="10" s="1"/>
  <c r="DH109" i="10"/>
  <c r="DJ109" i="10" s="1"/>
  <c r="DF109" i="10"/>
  <c r="DI109" i="10"/>
  <c r="DH129" i="19"/>
  <c r="DF129" i="19"/>
  <c r="DI129" i="19" s="1"/>
  <c r="DH109" i="19"/>
  <c r="BI236" i="19"/>
  <c r="CI242" i="19" s="1"/>
  <c r="DI109" i="19"/>
  <c r="DF140" i="19"/>
  <c r="DI140" i="19" s="1"/>
  <c r="DH140" i="19"/>
  <c r="DH142" i="19"/>
  <c r="DF142" i="19"/>
  <c r="DI142" i="19"/>
  <c r="DJ142" i="19" s="1"/>
  <c r="CG148" i="19" s="1"/>
  <c r="DF91" i="19"/>
  <c r="DI91" i="19"/>
  <c r="DH91" i="19"/>
  <c r="BI217" i="19"/>
  <c r="DH137" i="16"/>
  <c r="DJ137" i="16" s="1"/>
  <c r="BW148" i="16" s="1"/>
  <c r="DH134" i="16"/>
  <c r="DF134" i="16"/>
  <c r="DI134" i="16"/>
  <c r="DJ134" i="16" s="1"/>
  <c r="BQ148" i="16" s="1"/>
  <c r="DH123" i="16"/>
  <c r="DF123" i="16"/>
  <c r="DI123" i="16" s="1"/>
  <c r="DF94" i="16"/>
  <c r="DI94" i="16" s="1"/>
  <c r="DH88" i="16"/>
  <c r="BI214" i="16"/>
  <c r="DF88" i="16"/>
  <c r="DI88" i="16"/>
  <c r="BI229" i="16"/>
  <c r="BJ229" i="16" s="1"/>
  <c r="DF102" i="16"/>
  <c r="DI102" i="16"/>
  <c r="DH102" i="16"/>
  <c r="DH96" i="16"/>
  <c r="DF96" i="16"/>
  <c r="DI96" i="16" s="1"/>
  <c r="BI222" i="16"/>
  <c r="DF122" i="16"/>
  <c r="DI122" i="16" s="1"/>
  <c r="DH122" i="16"/>
  <c r="DF132" i="16"/>
  <c r="DI132" i="16" s="1"/>
  <c r="DJ132" i="16" s="1"/>
  <c r="DH132" i="16"/>
  <c r="DH142" i="16"/>
  <c r="DF142" i="16"/>
  <c r="DI142" i="16"/>
  <c r="DK142" i="16" s="1"/>
  <c r="CH148" i="16" s="1"/>
  <c r="DF92" i="16"/>
  <c r="DI92" i="16"/>
  <c r="BI218" i="16"/>
  <c r="DH92" i="16"/>
  <c r="DF97" i="16"/>
  <c r="DI97" i="16" s="1"/>
  <c r="DH97" i="16"/>
  <c r="BI223" i="16"/>
  <c r="DF101" i="16"/>
  <c r="DI101" i="16"/>
  <c r="DK101" i="16" s="1"/>
  <c r="DH101" i="16"/>
  <c r="BI228" i="16"/>
  <c r="DH112" i="16"/>
  <c r="DF112" i="16"/>
  <c r="DI112" i="16"/>
  <c r="DK112" i="16" s="1"/>
  <c r="CW122" i="16"/>
  <c r="CU122" i="16"/>
  <c r="CX122" i="16" s="1"/>
  <c r="CW98" i="16"/>
  <c r="BF224" i="16"/>
  <c r="CU98" i="16"/>
  <c r="CX98" i="16"/>
  <c r="CY98" i="16" s="1"/>
  <c r="CW143" i="16"/>
  <c r="CU143" i="16"/>
  <c r="CX143" i="16"/>
  <c r="CW134" i="16"/>
  <c r="CU134" i="16"/>
  <c r="CX134" i="16" s="1"/>
  <c r="CU107" i="16"/>
  <c r="BF234" i="16"/>
  <c r="BG234" i="16" s="1"/>
  <c r="CF248" i="16" s="1"/>
  <c r="CX107" i="16"/>
  <c r="CW107" i="16"/>
  <c r="CU100" i="16"/>
  <c r="CX100" i="16" s="1"/>
  <c r="CZ100" i="16" s="1"/>
  <c r="CW100" i="16"/>
  <c r="BF227" i="16"/>
  <c r="CW133" i="16"/>
  <c r="CU133" i="16"/>
  <c r="CX133" i="16"/>
  <c r="CY133" i="16" s="1"/>
  <c r="CW137" i="16"/>
  <c r="CU137" i="16"/>
  <c r="CX137" i="16" s="1"/>
  <c r="CZ137" i="16" s="1"/>
  <c r="BX154" i="16" s="1"/>
  <c r="CW121" i="16"/>
  <c r="CU121" i="16"/>
  <c r="CX121" i="16" s="1"/>
  <c r="BF218" i="16"/>
  <c r="CU92" i="16"/>
  <c r="CX92" i="16"/>
  <c r="CW92" i="16"/>
  <c r="CY92" i="16" s="1"/>
  <c r="CU138" i="16"/>
  <c r="CX138" i="16" s="1"/>
  <c r="CY138" i="16" s="1"/>
  <c r="CW138" i="16"/>
  <c r="CW105" i="16"/>
  <c r="CU105" i="16"/>
  <c r="CX105" i="16"/>
  <c r="BF232" i="16"/>
  <c r="CW97" i="16"/>
  <c r="CU97" i="16"/>
  <c r="CX97" i="16" s="1"/>
  <c r="BF223" i="16"/>
  <c r="CW139" i="16"/>
  <c r="CU139" i="16"/>
  <c r="CX139" i="16" s="1"/>
  <c r="CU141" i="16"/>
  <c r="CX141" i="16" s="1"/>
  <c r="CW141" i="16"/>
  <c r="CU140" i="16"/>
  <c r="CX140" i="16" s="1"/>
  <c r="CW140" i="16"/>
  <c r="CU135" i="16"/>
  <c r="CX135" i="16" s="1"/>
  <c r="CW135" i="16"/>
  <c r="CU94" i="16"/>
  <c r="CX94" i="16" s="1"/>
  <c r="CZ94" i="16" s="1"/>
  <c r="CW94" i="16"/>
  <c r="BF220" i="16"/>
  <c r="CW102" i="16"/>
  <c r="CU102" i="16"/>
  <c r="CX102" i="16"/>
  <c r="BF229" i="16"/>
  <c r="BU248" i="16" s="1"/>
  <c r="BU259" i="16" s="1"/>
  <c r="CU110" i="16"/>
  <c r="CW110" i="16"/>
  <c r="CX110" i="16"/>
  <c r="BF237" i="16"/>
  <c r="CU95" i="16"/>
  <c r="CX95" i="16"/>
  <c r="CW95" i="16"/>
  <c r="BF221" i="16"/>
  <c r="CW93" i="16"/>
  <c r="CU93" i="16"/>
  <c r="CX93" i="16" s="1"/>
  <c r="BF219" i="16"/>
  <c r="CL133" i="16"/>
  <c r="CJ133" i="16"/>
  <c r="CM133" i="16" s="1"/>
  <c r="CJ96" i="16"/>
  <c r="CM96" i="16" s="1"/>
  <c r="CN96" i="16" s="1"/>
  <c r="BC222" i="16"/>
  <c r="CL92" i="16"/>
  <c r="BC218" i="16"/>
  <c r="CJ92" i="16"/>
  <c r="CM92" i="16"/>
  <c r="CL126" i="16"/>
  <c r="CJ126" i="16"/>
  <c r="CM126" i="16" s="1"/>
  <c r="CN126" i="16" s="1"/>
  <c r="BA153" i="16" s="1"/>
  <c r="CJ88" i="16"/>
  <c r="CL88" i="16"/>
  <c r="CN88" i="16" s="1"/>
  <c r="CM88" i="16"/>
  <c r="BC214" i="16"/>
  <c r="CJ108" i="16"/>
  <c r="CM108" i="16"/>
  <c r="CL108" i="16"/>
  <c r="BC235" i="16"/>
  <c r="CJ124" i="16"/>
  <c r="CM124" i="16" s="1"/>
  <c r="CN124" i="16" s="1"/>
  <c r="AW153" i="16" s="1"/>
  <c r="CL124" i="16"/>
  <c r="CJ134" i="16"/>
  <c r="CM134" i="16" s="1"/>
  <c r="CL134" i="16"/>
  <c r="CL89" i="16"/>
  <c r="CJ89" i="16"/>
  <c r="CM89" i="16"/>
  <c r="BC215" i="16"/>
  <c r="AS247" i="16" s="1"/>
  <c r="AO524" i="19"/>
  <c r="AO525" i="19"/>
  <c r="BE100" i="10"/>
  <c r="BC100" i="10"/>
  <c r="BF100" i="10"/>
  <c r="AT227" i="10"/>
  <c r="BC108" i="10"/>
  <c r="AT235" i="10"/>
  <c r="BF108" i="10"/>
  <c r="BE108" i="10"/>
  <c r="BC88" i="10"/>
  <c r="BF88" i="10"/>
  <c r="BE88" i="10"/>
  <c r="AT214" i="10"/>
  <c r="AQ244" i="10" s="1"/>
  <c r="BC106" i="10"/>
  <c r="BF106" i="10"/>
  <c r="BE106" i="10"/>
  <c r="AT233" i="10"/>
  <c r="BE103" i="10"/>
  <c r="BC103" i="10"/>
  <c r="BF103" i="10" s="1"/>
  <c r="AT230" i="10"/>
  <c r="BC96" i="10"/>
  <c r="BF96" i="10"/>
  <c r="BE96" i="10"/>
  <c r="AT222" i="10"/>
  <c r="BE138" i="10"/>
  <c r="BC138" i="10"/>
  <c r="BF138" i="10" s="1"/>
  <c r="BC111" i="10"/>
  <c r="BF111" i="10"/>
  <c r="BE111" i="10"/>
  <c r="AT223" i="10"/>
  <c r="BC121" i="10"/>
  <c r="BF121" i="10" s="1"/>
  <c r="BG121" i="10" s="1"/>
  <c r="AQ150" i="10" s="1"/>
  <c r="BE121" i="10"/>
  <c r="BE135" i="10"/>
  <c r="BC135" i="10"/>
  <c r="BF135" i="10" s="1"/>
  <c r="BH135" i="10" s="1"/>
  <c r="BT150" i="10" s="1"/>
  <c r="BC120" i="10"/>
  <c r="BF120" i="10" s="1"/>
  <c r="BH120" i="10" s="1"/>
  <c r="BE120" i="10"/>
  <c r="DH123" i="10"/>
  <c r="DF123" i="10"/>
  <c r="DI123" i="10" s="1"/>
  <c r="DF127" i="10"/>
  <c r="DI127" i="10"/>
  <c r="DH127" i="10"/>
  <c r="BN242" i="10"/>
  <c r="BJ226" i="10"/>
  <c r="BP242" i="10" s="1"/>
  <c r="DF91" i="10"/>
  <c r="DI91" i="10"/>
  <c r="DH91" i="10"/>
  <c r="BI217" i="10"/>
  <c r="DF126" i="10"/>
  <c r="DI126" i="10"/>
  <c r="DH126" i="10"/>
  <c r="DF100" i="10"/>
  <c r="DI100" i="10" s="1"/>
  <c r="DH100" i="10"/>
  <c r="BI227" i="10"/>
  <c r="DH96" i="10"/>
  <c r="DF96" i="10"/>
  <c r="DI96" i="10" s="1"/>
  <c r="BI222" i="10"/>
  <c r="DF110" i="10"/>
  <c r="DI110" i="10"/>
  <c r="DH110" i="10"/>
  <c r="BI237" i="10"/>
  <c r="DF132" i="10"/>
  <c r="DI132" i="10"/>
  <c r="DH132" i="10"/>
  <c r="DF133" i="10"/>
  <c r="DI133" i="10" s="1"/>
  <c r="DH133" i="10"/>
  <c r="DF120" i="10"/>
  <c r="DI120" i="10" s="1"/>
  <c r="DJ120" i="10" s="1"/>
  <c r="AO148" i="10" s="1"/>
  <c r="DH120" i="10"/>
  <c r="DF112" i="10"/>
  <c r="DI112" i="10"/>
  <c r="DH112" i="10"/>
  <c r="DF102" i="10"/>
  <c r="DI102" i="10"/>
  <c r="DH102" i="10"/>
  <c r="BI229" i="10"/>
  <c r="DH134" i="19"/>
  <c r="DF134" i="19"/>
  <c r="DI134" i="19" s="1"/>
  <c r="DF103" i="19"/>
  <c r="DI103" i="19"/>
  <c r="DH97" i="19"/>
  <c r="BI223" i="19"/>
  <c r="BI233" i="19"/>
  <c r="DF106" i="19"/>
  <c r="DH100" i="19"/>
  <c r="DF100" i="19"/>
  <c r="DI100" i="19" s="1"/>
  <c r="BI227" i="19"/>
  <c r="DI108" i="19"/>
  <c r="DF108" i="19"/>
  <c r="BI235" i="19"/>
  <c r="DH108" i="19"/>
  <c r="BI220" i="19"/>
  <c r="DH107" i="16"/>
  <c r="DJ107" i="16" s="1"/>
  <c r="BI234" i="16"/>
  <c r="CE242" i="16" s="1"/>
  <c r="DF107" i="16"/>
  <c r="DI107" i="16"/>
  <c r="DF90" i="16"/>
  <c r="DI90" i="16"/>
  <c r="DH90" i="16"/>
  <c r="BI216" i="16"/>
  <c r="DH121" i="16"/>
  <c r="DF121" i="16"/>
  <c r="DI121" i="16" s="1"/>
  <c r="DH125" i="16"/>
  <c r="DF125" i="16"/>
  <c r="DI125" i="16"/>
  <c r="DF103" i="16"/>
  <c r="DI103" i="16" s="1"/>
  <c r="BI230" i="16"/>
  <c r="DH103" i="16"/>
  <c r="DH139" i="16"/>
  <c r="DF139" i="16"/>
  <c r="DI139" i="16" s="1"/>
  <c r="DF105" i="16"/>
  <c r="DI105" i="16"/>
  <c r="DH105" i="16"/>
  <c r="BI232" i="16"/>
  <c r="DF108" i="16"/>
  <c r="DI108" i="16"/>
  <c r="BI235" i="16"/>
  <c r="DH108" i="16"/>
  <c r="DH143" i="16"/>
  <c r="DJ143" i="16" s="1"/>
  <c r="CI148" i="16" s="1"/>
  <c r="DF143" i="16"/>
  <c r="DI143" i="16" s="1"/>
  <c r="DF104" i="16"/>
  <c r="DI104" i="16" s="1"/>
  <c r="DH104" i="16"/>
  <c r="BI231" i="16"/>
  <c r="BY242" i="16" s="1"/>
  <c r="DF128" i="16"/>
  <c r="DI128" i="16" s="1"/>
  <c r="DH128" i="16"/>
  <c r="DF136" i="16"/>
  <c r="DI136" i="16" s="1"/>
  <c r="DH136" i="16"/>
  <c r="DH89" i="16"/>
  <c r="DF89" i="16"/>
  <c r="DI89" i="16"/>
  <c r="BI215" i="16"/>
  <c r="DH91" i="16"/>
  <c r="DF91" i="16"/>
  <c r="DI91" i="16"/>
  <c r="BI217" i="16"/>
  <c r="BJ226" i="16"/>
  <c r="BP242" i="16" s="1"/>
  <c r="BN242" i="16"/>
  <c r="CW106" i="16"/>
  <c r="BF233" i="16"/>
  <c r="BG233" i="16" s="1"/>
  <c r="CU106" i="16"/>
  <c r="CX106" i="16"/>
  <c r="CU136" i="16"/>
  <c r="CX136" i="16" s="1"/>
  <c r="CY136" i="16" s="1"/>
  <c r="BU154" i="16" s="1"/>
  <c r="CW136" i="16"/>
  <c r="CU142" i="16"/>
  <c r="CX142" i="16"/>
  <c r="CW142" i="16"/>
  <c r="CW88" i="16"/>
  <c r="BF214" i="16"/>
  <c r="CU88" i="16"/>
  <c r="CX88" i="16"/>
  <c r="CW103" i="16"/>
  <c r="BF230" i="16"/>
  <c r="CU103" i="16"/>
  <c r="CX103" i="16"/>
  <c r="CZ103" i="16" s="1"/>
  <c r="CX99" i="16"/>
  <c r="CW99" i="16"/>
  <c r="BF225" i="16"/>
  <c r="CU90" i="16"/>
  <c r="CX90" i="16"/>
  <c r="CW90" i="16"/>
  <c r="BF216" i="16"/>
  <c r="CU120" i="16"/>
  <c r="CX120" i="16" s="1"/>
  <c r="CW120" i="16"/>
  <c r="CW125" i="16"/>
  <c r="CU125" i="16"/>
  <c r="CX125" i="16" s="1"/>
  <c r="BN248" i="16"/>
  <c r="BN259" i="16"/>
  <c r="BG226" i="16"/>
  <c r="BP248" i="16"/>
  <c r="BP259" i="16" s="1"/>
  <c r="CW112" i="16"/>
  <c r="CU112" i="16"/>
  <c r="CW109" i="16"/>
  <c r="CU109" i="16"/>
  <c r="CX109" i="16"/>
  <c r="BF236" i="16"/>
  <c r="CI248" i="16" s="1"/>
  <c r="CW101" i="16"/>
  <c r="CU101" i="16"/>
  <c r="CX101" i="16" s="1"/>
  <c r="BF228" i="16"/>
  <c r="CU89" i="16"/>
  <c r="CX89" i="16"/>
  <c r="CW89" i="16"/>
  <c r="BF215" i="16"/>
  <c r="CU127" i="16"/>
  <c r="CX127" i="16"/>
  <c r="CW127" i="16"/>
  <c r="CW126" i="16"/>
  <c r="CU126" i="16"/>
  <c r="CX126" i="16" s="1"/>
  <c r="CY126" i="16" s="1"/>
  <c r="BA154" i="16" s="1"/>
  <c r="CU123" i="16"/>
  <c r="CX123" i="16" s="1"/>
  <c r="CY123" i="16" s="1"/>
  <c r="AU154" i="16" s="1"/>
  <c r="CW123" i="16"/>
  <c r="CZ123" i="16" s="1"/>
  <c r="AV154" i="16" s="1"/>
  <c r="CU132" i="16"/>
  <c r="CX132" i="16" s="1"/>
  <c r="CW132" i="16"/>
  <c r="CW124" i="16"/>
  <c r="CU124" i="16"/>
  <c r="CX124" i="16"/>
  <c r="CZ124" i="16" s="1"/>
  <c r="AX154" i="16" s="1"/>
  <c r="CW91" i="16"/>
  <c r="CU91" i="16"/>
  <c r="CX91" i="16"/>
  <c r="BF217" i="16"/>
  <c r="CU104" i="16"/>
  <c r="CX104" i="16" s="1"/>
  <c r="BF231" i="16"/>
  <c r="CW104" i="16"/>
  <c r="CW96" i="16"/>
  <c r="CZ96" i="16" s="1"/>
  <c r="CU96" i="16"/>
  <c r="CX96" i="16" s="1"/>
  <c r="BF222" i="16"/>
  <c r="CU108" i="16"/>
  <c r="CX108" i="16"/>
  <c r="CW108" i="16"/>
  <c r="BF235" i="16"/>
  <c r="BG235" i="16" s="1"/>
  <c r="CH248" i="16" s="1"/>
  <c r="CH259" i="16" s="1"/>
  <c r="CW111" i="16"/>
  <c r="CU111" i="16"/>
  <c r="CX111" i="16"/>
  <c r="CL112" i="16"/>
  <c r="CJ112" i="16"/>
  <c r="CM112" i="16"/>
  <c r="CL122" i="16"/>
  <c r="CJ122" i="16"/>
  <c r="CM122" i="16"/>
  <c r="CJ120" i="16"/>
  <c r="CM120" i="16"/>
  <c r="CL120" i="16"/>
  <c r="BC224" i="16"/>
  <c r="CJ98" i="16"/>
  <c r="CM98" i="16" s="1"/>
  <c r="CL98" i="16"/>
  <c r="CC126" i="10"/>
  <c r="BA152" i="10" s="1"/>
  <c r="CD126" i="10"/>
  <c r="BB152" i="10" s="1"/>
  <c r="CN127" i="10"/>
  <c r="BC153" i="10" s="1"/>
  <c r="CC127" i="10"/>
  <c r="BC152" i="10"/>
  <c r="CD127" i="10"/>
  <c r="BD152" i="10" s="1"/>
  <c r="BD161" i="10"/>
  <c r="CY125" i="10"/>
  <c r="AY154" i="10" s="1"/>
  <c r="CZ125" i="10"/>
  <c r="AZ154" i="10" s="1"/>
  <c r="CO125" i="10"/>
  <c r="AZ153" i="10" s="1"/>
  <c r="AZ161" i="10"/>
  <c r="AV129" i="10"/>
  <c r="BG149" i="10"/>
  <c r="AW129" i="10"/>
  <c r="BH149" i="10" s="1"/>
  <c r="BH157" i="10"/>
  <c r="CY126" i="19"/>
  <c r="BA154" i="19"/>
  <c r="CZ126" i="19"/>
  <c r="BB154" i="19" s="1"/>
  <c r="CY127" i="19"/>
  <c r="BC154" i="19"/>
  <c r="BC162" i="19" s="1"/>
  <c r="CZ127" i="19"/>
  <c r="BD154" i="19" s="1"/>
  <c r="CC127" i="19"/>
  <c r="BC152" i="19"/>
  <c r="CD127" i="19"/>
  <c r="BD152" i="19" s="1"/>
  <c r="CC126" i="19"/>
  <c r="BA152" i="19" s="1"/>
  <c r="CX112" i="16"/>
  <c r="CZ112" i="16" s="1"/>
  <c r="CX88" i="19"/>
  <c r="CY88" i="19" s="1"/>
  <c r="CX88" i="10"/>
  <c r="CZ88" i="10"/>
  <c r="CY108" i="16"/>
  <c r="CZ108" i="16"/>
  <c r="CY96" i="16"/>
  <c r="BY248" i="16"/>
  <c r="BY259" i="16" s="1"/>
  <c r="BG231" i="16"/>
  <c r="BZ248" i="16"/>
  <c r="BZ259" i="16" s="1"/>
  <c r="CY124" i="16"/>
  <c r="AW154" i="16" s="1"/>
  <c r="CZ126" i="16"/>
  <c r="BB154" i="16"/>
  <c r="CY103" i="16"/>
  <c r="BJ237" i="10"/>
  <c r="CL242" i="10" s="1"/>
  <c r="CK242" i="10"/>
  <c r="BH111" i="10"/>
  <c r="BG111" i="10"/>
  <c r="BW244" i="10"/>
  <c r="AU230" i="10"/>
  <c r="BX244" i="10" s="1"/>
  <c r="BH88" i="10"/>
  <c r="CO108" i="16"/>
  <c r="CN108" i="16"/>
  <c r="AY247" i="16"/>
  <c r="BD218" i="16"/>
  <c r="AZ247" i="16" s="1"/>
  <c r="BG219" i="16"/>
  <c r="BB248" i="16"/>
  <c r="BB259" i="16" s="1"/>
  <c r="BA248" i="16"/>
  <c r="BA259" i="16" s="1"/>
  <c r="BG237" i="16"/>
  <c r="CL248" i="16"/>
  <c r="CL259" i="16" s="1"/>
  <c r="CK248" i="16"/>
  <c r="CK259" i="16" s="1"/>
  <c r="CY110" i="16"/>
  <c r="CZ110" i="16"/>
  <c r="BG229" i="16"/>
  <c r="BV248" i="16" s="1"/>
  <c r="BV259" i="16" s="1"/>
  <c r="DK137" i="16"/>
  <c r="BX148" i="16" s="1"/>
  <c r="DK142" i="19"/>
  <c r="CH148" i="19" s="1"/>
  <c r="BJ236" i="19"/>
  <c r="CJ242" i="19" s="1"/>
  <c r="CJ242" i="10"/>
  <c r="DJ104" i="10"/>
  <c r="DK104" i="10"/>
  <c r="DK124" i="10"/>
  <c r="AX148" i="10" s="1"/>
  <c r="BV148" i="10"/>
  <c r="BU164" i="10" s="1"/>
  <c r="DJ136" i="10"/>
  <c r="BU148" i="10" s="1"/>
  <c r="BM242" i="10"/>
  <c r="BI226" i="10"/>
  <c r="BO242" i="10" s="1"/>
  <c r="DJ99" i="10"/>
  <c r="DK99" i="10"/>
  <c r="DK101" i="10"/>
  <c r="DJ138" i="10"/>
  <c r="BY148" i="10"/>
  <c r="BJ232" i="10"/>
  <c r="CB242" i="10" s="1"/>
  <c r="CA242" i="10"/>
  <c r="DJ105" i="10"/>
  <c r="DK105" i="10"/>
  <c r="BJ234" i="10"/>
  <c r="CF242" i="10"/>
  <c r="CE242" i="10"/>
  <c r="BG136" i="10"/>
  <c r="BU150" i="10" s="1"/>
  <c r="BH140" i="10"/>
  <c r="CD150" i="10" s="1"/>
  <c r="BH123" i="10"/>
  <c r="AV150" i="10" s="1"/>
  <c r="BG94" i="10"/>
  <c r="AV101" i="19"/>
  <c r="AV95" i="19"/>
  <c r="AR221" i="19"/>
  <c r="BF243" i="19" s="1"/>
  <c r="BE243" i="19"/>
  <c r="AR232" i="19"/>
  <c r="CB243" i="19" s="1"/>
  <c r="CA243" i="19"/>
  <c r="AR236" i="19"/>
  <c r="CJ243" i="19" s="1"/>
  <c r="CI243" i="19"/>
  <c r="AW125" i="19"/>
  <c r="AZ149" i="19" s="1"/>
  <c r="AW135" i="19"/>
  <c r="BT149" i="19"/>
  <c r="AX216" i="10"/>
  <c r="AV245" i="10"/>
  <c r="AU245" i="10"/>
  <c r="BR90" i="10"/>
  <c r="BS90" i="10"/>
  <c r="BG245" i="10"/>
  <c r="AX222" i="10"/>
  <c r="BH245" i="10"/>
  <c r="CI151" i="10"/>
  <c r="BR108" i="10"/>
  <c r="BS108" i="10"/>
  <c r="CC121" i="19"/>
  <c r="AQ152" i="19" s="1"/>
  <c r="CD109" i="19"/>
  <c r="CC109" i="19"/>
  <c r="AU246" i="19"/>
  <c r="BA216" i="19"/>
  <c r="AV246" i="19"/>
  <c r="BI246" i="19"/>
  <c r="BA223" i="19"/>
  <c r="BJ246" i="19" s="1"/>
  <c r="BJ257" i="19" s="1"/>
  <c r="AW246" i="19"/>
  <c r="BA217" i="19"/>
  <c r="AX246" i="19" s="1"/>
  <c r="CC246" i="19"/>
  <c r="BA233" i="19"/>
  <c r="CD246" i="19" s="1"/>
  <c r="BR152" i="19"/>
  <c r="CC134" i="19"/>
  <c r="BQ152" i="19" s="1"/>
  <c r="CC103" i="10"/>
  <c r="BY246" i="10"/>
  <c r="BA231" i="10"/>
  <c r="BZ246" i="10"/>
  <c r="AD18" i="14"/>
  <c r="X18" i="14" s="1"/>
  <c r="BF23" i="14"/>
  <c r="C94" i="14"/>
  <c r="AD41" i="14"/>
  <c r="AV125" i="16"/>
  <c r="AY149" i="16" s="1"/>
  <c r="AW125" i="16"/>
  <c r="AZ149" i="16"/>
  <c r="AR218" i="16"/>
  <c r="AZ243" i="16" s="1"/>
  <c r="AW91" i="16"/>
  <c r="AV91" i="16"/>
  <c r="BG243" i="16"/>
  <c r="AR222" i="16"/>
  <c r="BH243" i="16"/>
  <c r="AR234" i="16"/>
  <c r="CF243" i="16" s="1"/>
  <c r="CE243" i="16"/>
  <c r="AT150" i="16"/>
  <c r="BG122" i="16"/>
  <c r="AS150" i="16" s="1"/>
  <c r="AQ244" i="16"/>
  <c r="AU214" i="16"/>
  <c r="AR244" i="16" s="1"/>
  <c r="CO89" i="19"/>
  <c r="CN89" i="19"/>
  <c r="CN110" i="19"/>
  <c r="BD232" i="19"/>
  <c r="CB247" i="19" s="1"/>
  <c r="CA247" i="19"/>
  <c r="BD224" i="19"/>
  <c r="BL247" i="19" s="1"/>
  <c r="BK247" i="19"/>
  <c r="CN107" i="19"/>
  <c r="BA247" i="19"/>
  <c r="BD219" i="19"/>
  <c r="BB247" i="19"/>
  <c r="BB258" i="19" s="1"/>
  <c r="BD227" i="19"/>
  <c r="BR247" i="19" s="1"/>
  <c r="BD223" i="19"/>
  <c r="BJ247" i="19" s="1"/>
  <c r="CO97" i="19"/>
  <c r="CO111" i="10"/>
  <c r="CN111" i="10"/>
  <c r="CO109" i="10"/>
  <c r="CN109" i="10"/>
  <c r="BD235" i="10"/>
  <c r="CH247" i="10" s="1"/>
  <c r="CG247" i="10"/>
  <c r="CN112" i="10"/>
  <c r="CO112" i="10"/>
  <c r="BE243" i="10"/>
  <c r="AR221" i="10"/>
  <c r="BF243" i="10"/>
  <c r="BF254" i="10" s="1"/>
  <c r="AQ243" i="10"/>
  <c r="AR214" i="10"/>
  <c r="AR243" i="10"/>
  <c r="AW88" i="10"/>
  <c r="AV88" i="10"/>
  <c r="AR219" i="10"/>
  <c r="BB243" i="10" s="1"/>
  <c r="BA243" i="10"/>
  <c r="BG232" i="19"/>
  <c r="CB248" i="19" s="1"/>
  <c r="CB259" i="19" s="1"/>
  <c r="CA248" i="19"/>
  <c r="CA259" i="19" s="1"/>
  <c r="AY248" i="19"/>
  <c r="AY259" i="19" s="1"/>
  <c r="BG218" i="19"/>
  <c r="AZ248" i="19" s="1"/>
  <c r="AZ259" i="19" s="1"/>
  <c r="CY121" i="19"/>
  <c r="AQ154" i="19"/>
  <c r="BW248" i="19"/>
  <c r="BW259" i="19" s="1"/>
  <c r="CZ123" i="19"/>
  <c r="AV154" i="19"/>
  <c r="CY123" i="19"/>
  <c r="AU154" i="19" s="1"/>
  <c r="BS248" i="19"/>
  <c r="BS259" i="19" s="1"/>
  <c r="CZ101" i="19"/>
  <c r="CY101" i="19"/>
  <c r="CY99" i="19"/>
  <c r="CC248" i="19"/>
  <c r="CC259" i="19"/>
  <c r="BG233" i="19"/>
  <c r="CD248" i="19"/>
  <c r="CD259" i="19" s="1"/>
  <c r="CD258" i="19" s="1"/>
  <c r="CD257" i="19" s="1"/>
  <c r="CY135" i="19"/>
  <c r="BS154" i="19" s="1"/>
  <c r="BT170" i="19" s="1"/>
  <c r="CZ135" i="19"/>
  <c r="BT154" i="19" s="1"/>
  <c r="CE244" i="19"/>
  <c r="AU234" i="19"/>
  <c r="CF244" i="19" s="1"/>
  <c r="BK244" i="19"/>
  <c r="AU224" i="19"/>
  <c r="BL244" i="19"/>
  <c r="BR121" i="19"/>
  <c r="AQ151" i="19" s="1"/>
  <c r="BS121" i="19"/>
  <c r="AR151" i="19"/>
  <c r="CZ142" i="10"/>
  <c r="CH154" i="10"/>
  <c r="CY142" i="10"/>
  <c r="CG154" i="10" s="1"/>
  <c r="AS248" i="10"/>
  <c r="AS259" i="10" s="1"/>
  <c r="AS258" i="10" s="1"/>
  <c r="BG215" i="10"/>
  <c r="AT248" i="10" s="1"/>
  <c r="AT259" i="10" s="1"/>
  <c r="AT258" i="10" s="1"/>
  <c r="AY248" i="10"/>
  <c r="AY259" i="10"/>
  <c r="AY258" i="10" s="1"/>
  <c r="AY257" i="10" s="1"/>
  <c r="AY256" i="10" s="1"/>
  <c r="BF226" i="10"/>
  <c r="BO248" i="10" s="1"/>
  <c r="BO259" i="10" s="1"/>
  <c r="BM248" i="10"/>
  <c r="BM259" i="10"/>
  <c r="AW99" i="19"/>
  <c r="AV99" i="19"/>
  <c r="AQ226" i="19"/>
  <c r="BO243" i="19" s="1"/>
  <c r="AS243" i="19"/>
  <c r="AR215" i="19"/>
  <c r="AT243" i="19" s="1"/>
  <c r="AR224" i="19"/>
  <c r="BL243" i="19"/>
  <c r="BK243" i="19"/>
  <c r="BF38" i="14"/>
  <c r="CZ125" i="16"/>
  <c r="AZ154" i="16" s="1"/>
  <c r="CY125" i="16"/>
  <c r="AY154" i="16" s="1"/>
  <c r="DK89" i="16"/>
  <c r="DJ89" i="16"/>
  <c r="DK120" i="10"/>
  <c r="AP148" i="10"/>
  <c r="BH103" i="10"/>
  <c r="BG103" i="10"/>
  <c r="BK247" i="16"/>
  <c r="BD224" i="16"/>
  <c r="BL247" i="16"/>
  <c r="CG248" i="16"/>
  <c r="CG259" i="16" s="1"/>
  <c r="BG222" i="16"/>
  <c r="BH248" i="16"/>
  <c r="BH259" i="16" s="1"/>
  <c r="BG248" i="16"/>
  <c r="BG259" i="16"/>
  <c r="BG217" i="16"/>
  <c r="AX248" i="16" s="1"/>
  <c r="AX259" i="16"/>
  <c r="AW248" i="16"/>
  <c r="AW259" i="16" s="1"/>
  <c r="CZ91" i="16"/>
  <c r="BS248" i="16"/>
  <c r="BS259" i="16"/>
  <c r="BG228" i="16"/>
  <c r="BT248" i="16"/>
  <c r="BT259" i="16" s="1"/>
  <c r="CI259" i="16"/>
  <c r="BG236" i="16"/>
  <c r="CJ248" i="16"/>
  <c r="CJ259" i="16" s="1"/>
  <c r="CZ90" i="16"/>
  <c r="CY90" i="16"/>
  <c r="BM248" i="16"/>
  <c r="BM259" i="16" s="1"/>
  <c r="BF226" i="16"/>
  <c r="BO248" i="16"/>
  <c r="BO259" i="16" s="1"/>
  <c r="BG230" i="16"/>
  <c r="BX248" i="16"/>
  <c r="BX259" i="16" s="1"/>
  <c r="BW248" i="16"/>
  <c r="BW259" i="16" s="1"/>
  <c r="CD248" i="16"/>
  <c r="CD259" i="16"/>
  <c r="CC248" i="16"/>
  <c r="CC259" i="16" s="1"/>
  <c r="AW242" i="16"/>
  <c r="BJ217" i="16"/>
  <c r="AX242" i="16"/>
  <c r="DK136" i="16"/>
  <c r="BV148" i="16" s="1"/>
  <c r="DJ136" i="16"/>
  <c r="BU148" i="16" s="1"/>
  <c r="CA242" i="16"/>
  <c r="BJ232" i="16"/>
  <c r="CB242" i="16" s="1"/>
  <c r="BJ234" i="16"/>
  <c r="CF242" i="16"/>
  <c r="DK107" i="16"/>
  <c r="CC242" i="19"/>
  <c r="BJ233" i="19"/>
  <c r="CD242" i="19" s="1"/>
  <c r="BQ242" i="10"/>
  <c r="BJ227" i="10"/>
  <c r="BR242" i="10" s="1"/>
  <c r="AP150" i="10"/>
  <c r="BE248" i="16"/>
  <c r="BE259" i="16" s="1"/>
  <c r="BG221" i="16"/>
  <c r="BF248" i="16" s="1"/>
  <c r="BF259" i="16" s="1"/>
  <c r="BG220" i="16"/>
  <c r="BD248" i="16" s="1"/>
  <c r="BD259" i="16" s="1"/>
  <c r="BC248" i="16"/>
  <c r="BC259" i="16" s="1"/>
  <c r="CY94" i="16"/>
  <c r="CY140" i="16"/>
  <c r="CC154" i="16"/>
  <c r="CZ140" i="16"/>
  <c r="CD154" i="16" s="1"/>
  <c r="BG223" i="16"/>
  <c r="BJ248" i="16" s="1"/>
  <c r="BJ259" i="16" s="1"/>
  <c r="BI248" i="16"/>
  <c r="BI259" i="16" s="1"/>
  <c r="BY154" i="16"/>
  <c r="CZ138" i="16"/>
  <c r="BZ154" i="16" s="1"/>
  <c r="CZ92" i="16"/>
  <c r="CY100" i="16"/>
  <c r="CF259" i="16"/>
  <c r="CE248" i="16"/>
  <c r="CE259" i="16" s="1"/>
  <c r="CZ98" i="16"/>
  <c r="DJ142" i="16"/>
  <c r="CG148" i="16"/>
  <c r="CG164" i="16" s="1"/>
  <c r="CG165" i="16" s="1"/>
  <c r="BV242" i="16"/>
  <c r="BU242" i="16"/>
  <c r="BU253" i="16" s="1"/>
  <c r="BU244" i="10"/>
  <c r="BU255" i="10" s="1"/>
  <c r="AU229" i="10"/>
  <c r="BV244" i="10" s="1"/>
  <c r="BK244" i="10"/>
  <c r="AU224" i="10"/>
  <c r="BL244" i="10" s="1"/>
  <c r="BL255" i="10" s="1"/>
  <c r="BW150" i="10"/>
  <c r="BH137" i="10"/>
  <c r="BX150" i="10" s="1"/>
  <c r="AR234" i="19"/>
  <c r="CF243" i="19" s="1"/>
  <c r="AW93" i="19"/>
  <c r="AV139" i="19"/>
  <c r="CA149" i="19" s="1"/>
  <c r="AW120" i="19"/>
  <c r="AP149" i="19" s="1"/>
  <c r="AV120" i="19"/>
  <c r="AO149" i="19" s="1"/>
  <c r="BQ243" i="19"/>
  <c r="AR227" i="19"/>
  <c r="BR243" i="19" s="1"/>
  <c r="BR254" i="19" s="1"/>
  <c r="BR106" i="10"/>
  <c r="BS106" i="10"/>
  <c r="AQ245" i="10"/>
  <c r="AR256" i="10" s="1"/>
  <c r="AR255" i="10" s="1"/>
  <c r="AX214" i="10"/>
  <c r="AR245" i="10" s="1"/>
  <c r="BR103" i="10"/>
  <c r="BQ246" i="19"/>
  <c r="BA227" i="19"/>
  <c r="BR246" i="19"/>
  <c r="BA218" i="19"/>
  <c r="AZ246" i="19"/>
  <c r="CD98" i="19"/>
  <c r="CD132" i="19"/>
  <c r="BN152" i="19" s="1"/>
  <c r="BA230" i="19"/>
  <c r="BX246" i="19" s="1"/>
  <c r="CE246" i="10"/>
  <c r="CF257" i="10" s="1"/>
  <c r="BA234" i="10"/>
  <c r="CF246" i="10" s="1"/>
  <c r="AT246" i="10"/>
  <c r="AS246" i="10"/>
  <c r="CC89" i="10"/>
  <c r="AW246" i="10"/>
  <c r="BA217" i="10"/>
  <c r="AX246" i="10" s="1"/>
  <c r="CD91" i="10"/>
  <c r="CC91" i="10"/>
  <c r="BI246" i="10"/>
  <c r="BA223" i="10"/>
  <c r="BJ246" i="10" s="1"/>
  <c r="BA235" i="10"/>
  <c r="CH246" i="10"/>
  <c r="CG246" i="10"/>
  <c r="CC99" i="10"/>
  <c r="CD99" i="10"/>
  <c r="CD125" i="10"/>
  <c r="AZ152" i="10"/>
  <c r="CC125" i="10"/>
  <c r="AY152" i="10"/>
  <c r="CC120" i="10"/>
  <c r="AO152" i="10" s="1"/>
  <c r="CD120" i="10"/>
  <c r="AP152" i="10" s="1"/>
  <c r="BE243" i="16"/>
  <c r="AR221" i="16"/>
  <c r="BF243" i="16"/>
  <c r="AS243" i="16"/>
  <c r="AR215" i="16"/>
  <c r="AT243" i="16" s="1"/>
  <c r="AW136" i="16"/>
  <c r="BV149" i="16" s="1"/>
  <c r="BV165" i="16" s="1"/>
  <c r="AV136" i="16"/>
  <c r="BU149" i="16"/>
  <c r="AW124" i="16"/>
  <c r="AX149" i="16" s="1"/>
  <c r="AU232" i="16"/>
  <c r="CB244" i="16"/>
  <c r="CA244" i="16"/>
  <c r="BH105" i="16"/>
  <c r="BG105" i="16"/>
  <c r="BW244" i="16"/>
  <c r="AU230" i="16"/>
  <c r="BX244" i="16" s="1"/>
  <c r="BY244" i="16"/>
  <c r="AU231" i="16"/>
  <c r="BZ244" i="16"/>
  <c r="BH104" i="16"/>
  <c r="BG104" i="16"/>
  <c r="BY247" i="19"/>
  <c r="BD231" i="19"/>
  <c r="BZ247" i="19" s="1"/>
  <c r="CC247" i="19"/>
  <c r="BD233" i="19"/>
  <c r="CD247" i="19" s="1"/>
  <c r="CN94" i="19"/>
  <c r="AW141" i="10"/>
  <c r="CF149" i="10" s="1"/>
  <c r="AV112" i="10"/>
  <c r="AW112" i="10"/>
  <c r="AW243" i="10"/>
  <c r="AR217" i="10"/>
  <c r="AX243" i="10"/>
  <c r="AV142" i="10"/>
  <c r="CG149" i="10"/>
  <c r="AW142" i="10"/>
  <c r="CH149" i="10" s="1"/>
  <c r="BG237" i="19"/>
  <c r="CL248" i="19"/>
  <c r="CL259" i="19"/>
  <c r="CK248" i="19"/>
  <c r="CK259" i="19"/>
  <c r="CZ110" i="19"/>
  <c r="CY110" i="19"/>
  <c r="BG216" i="19"/>
  <c r="AV248" i="19"/>
  <c r="AV259" i="19"/>
  <c r="AU248" i="19"/>
  <c r="AU259" i="19" s="1"/>
  <c r="CY90" i="19"/>
  <c r="BY248" i="19"/>
  <c r="BY259" i="19" s="1"/>
  <c r="BG231" i="19"/>
  <c r="BZ248" i="19"/>
  <c r="BZ259" i="19" s="1"/>
  <c r="BG88" i="19"/>
  <c r="BH88" i="19"/>
  <c r="AU228" i="19"/>
  <c r="BT244" i="19"/>
  <c r="BS244" i="19"/>
  <c r="BH101" i="19"/>
  <c r="BG101" i="19"/>
  <c r="AU232" i="19"/>
  <c r="CB244" i="19" s="1"/>
  <c r="CA244" i="19"/>
  <c r="BH105" i="19"/>
  <c r="BG105" i="19"/>
  <c r="BG109" i="19"/>
  <c r="BH109" i="19"/>
  <c r="BH126" i="19"/>
  <c r="BB150" i="19"/>
  <c r="BG126" i="19"/>
  <c r="BA150" i="19"/>
  <c r="BH137" i="19"/>
  <c r="BX150" i="19"/>
  <c r="BH138" i="19"/>
  <c r="BZ150" i="19" s="1"/>
  <c r="BR108" i="19"/>
  <c r="BS108" i="19"/>
  <c r="BR107" i="19"/>
  <c r="BS107" i="19"/>
  <c r="CZ97" i="10"/>
  <c r="CY97" i="10"/>
  <c r="CY94" i="10"/>
  <c r="CZ94" i="10"/>
  <c r="AR223" i="19"/>
  <c r="BJ243" i="19"/>
  <c r="BI243" i="19"/>
  <c r="BI254" i="19" s="1"/>
  <c r="AV91" i="19"/>
  <c r="AW91" i="19"/>
  <c r="AW103" i="19"/>
  <c r="AV103" i="19"/>
  <c r="BW243" i="19"/>
  <c r="BX254" i="19" s="1"/>
  <c r="AR230" i="19"/>
  <c r="BX243" i="19" s="1"/>
  <c r="AR214" i="19"/>
  <c r="AR243" i="19" s="1"/>
  <c r="AQ243" i="19"/>
  <c r="CK243" i="19"/>
  <c r="AR237" i="19"/>
  <c r="CL243" i="19"/>
  <c r="AW110" i="19"/>
  <c r="AV110" i="19"/>
  <c r="CG243" i="19"/>
  <c r="AR235" i="19"/>
  <c r="CH243" i="19"/>
  <c r="AX215" i="10"/>
  <c r="AT245" i="10" s="1"/>
  <c r="AS245" i="10"/>
  <c r="AX218" i="10"/>
  <c r="AZ245" i="10"/>
  <c r="AY245" i="10"/>
  <c r="AX236" i="10"/>
  <c r="CJ245" i="10" s="1"/>
  <c r="CI245" i="10"/>
  <c r="BE245" i="10"/>
  <c r="BF256" i="10" s="1"/>
  <c r="AX221" i="10"/>
  <c r="BF245" i="10"/>
  <c r="BI245" i="10"/>
  <c r="AX223" i="10"/>
  <c r="BJ245" i="10" s="1"/>
  <c r="BR132" i="10"/>
  <c r="BM151" i="10"/>
  <c r="BS132" i="10"/>
  <c r="BN151" i="10"/>
  <c r="BS105" i="10"/>
  <c r="BR105" i="10"/>
  <c r="BS245" i="10"/>
  <c r="AX228" i="10"/>
  <c r="BT245" i="10"/>
  <c r="BS101" i="10"/>
  <c r="BR101" i="10"/>
  <c r="CD135" i="19"/>
  <c r="BT152" i="19" s="1"/>
  <c r="BT168" i="19" s="1"/>
  <c r="CC135" i="19"/>
  <c r="BS152" i="19" s="1"/>
  <c r="AS246" i="19"/>
  <c r="BA215" i="19"/>
  <c r="AT246" i="19" s="1"/>
  <c r="CD95" i="19"/>
  <c r="CC95" i="19"/>
  <c r="CC110" i="19"/>
  <c r="CD133" i="19"/>
  <c r="BP152" i="19"/>
  <c r="CC133" i="19"/>
  <c r="BO152" i="19" s="1"/>
  <c r="BQ246" i="10"/>
  <c r="BA227" i="10"/>
  <c r="BR246" i="10" s="1"/>
  <c r="CC137" i="10"/>
  <c r="BW152" i="10" s="1"/>
  <c r="CD137" i="10"/>
  <c r="BX152" i="10" s="1"/>
  <c r="BX160" i="10" s="1"/>
  <c r="BA246" i="10"/>
  <c r="BA219" i="10"/>
  <c r="BB246" i="10" s="1"/>
  <c r="AQ246" i="10"/>
  <c r="AQ257" i="10" s="1"/>
  <c r="BA214" i="10"/>
  <c r="AR246" i="10"/>
  <c r="BG246" i="10"/>
  <c r="CC112" i="10"/>
  <c r="CD112" i="10"/>
  <c r="CD122" i="10"/>
  <c r="AT152" i="10"/>
  <c r="CC122" i="10"/>
  <c r="AS152" i="10" s="1"/>
  <c r="BK246" i="10"/>
  <c r="BA224" i="10"/>
  <c r="BL246" i="10" s="1"/>
  <c r="CD98" i="10"/>
  <c r="CC143" i="10"/>
  <c r="CI152" i="10"/>
  <c r="CD143" i="10"/>
  <c r="CJ152" i="10" s="1"/>
  <c r="CK246" i="10"/>
  <c r="BA237" i="10"/>
  <c r="CL246" i="10" s="1"/>
  <c r="CD110" i="10"/>
  <c r="CC110" i="10"/>
  <c r="AV93" i="16"/>
  <c r="AW93" i="16"/>
  <c r="AV142" i="16"/>
  <c r="CG149" i="16"/>
  <c r="AV121" i="16"/>
  <c r="AQ149" i="16" s="1"/>
  <c r="AW103" i="16"/>
  <c r="AV103" i="16"/>
  <c r="BK243" i="16"/>
  <c r="AR224" i="16"/>
  <c r="BL243" i="16" s="1"/>
  <c r="AV133" i="16"/>
  <c r="BO149" i="16" s="1"/>
  <c r="AW133" i="16"/>
  <c r="BP149" i="16" s="1"/>
  <c r="BP165" i="16" s="1"/>
  <c r="AV90" i="16"/>
  <c r="AW90" i="16"/>
  <c r="AU243" i="16"/>
  <c r="AR216" i="16"/>
  <c r="AV243" i="16" s="1"/>
  <c r="CA243" i="16"/>
  <c r="AR232" i="16"/>
  <c r="CB243" i="16" s="1"/>
  <c r="CI244" i="16"/>
  <c r="AU236" i="16"/>
  <c r="CJ244" i="16"/>
  <c r="BG112" i="16"/>
  <c r="BH112" i="16"/>
  <c r="BH140" i="16"/>
  <c r="CD150" i="16"/>
  <c r="BG140" i="16"/>
  <c r="CC150" i="16" s="1"/>
  <c r="BG141" i="16"/>
  <c r="CE150" i="16"/>
  <c r="BG92" i="16"/>
  <c r="BH92" i="16"/>
  <c r="BH133" i="16"/>
  <c r="BP150" i="16"/>
  <c r="BG133" i="16"/>
  <c r="BO150" i="16" s="1"/>
  <c r="BP158" i="16" s="1"/>
  <c r="AU223" i="16"/>
  <c r="BJ244" i="16" s="1"/>
  <c r="BJ255" i="16" s="1"/>
  <c r="AU244" i="16"/>
  <c r="AU216" i="16"/>
  <c r="AV244" i="16" s="1"/>
  <c r="BH90" i="16"/>
  <c r="BG90" i="16"/>
  <c r="BG98" i="16"/>
  <c r="BD235" i="19"/>
  <c r="CH247" i="19"/>
  <c r="CG247" i="19"/>
  <c r="BD221" i="19"/>
  <c r="BF247" i="19"/>
  <c r="BE247" i="19"/>
  <c r="CO95" i="19"/>
  <c r="CO140" i="19"/>
  <c r="CD153" i="19"/>
  <c r="CN140" i="19"/>
  <c r="CC153" i="19"/>
  <c r="BG247" i="19"/>
  <c r="BD222" i="19"/>
  <c r="BH247" i="19" s="1"/>
  <c r="BH258" i="19" s="1"/>
  <c r="CN96" i="19"/>
  <c r="CO96" i="19"/>
  <c r="BM247" i="19"/>
  <c r="BN258" i="19" s="1"/>
  <c r="BC226" i="19"/>
  <c r="BO247" i="19"/>
  <c r="BV247" i="19"/>
  <c r="BV258" i="19" s="1"/>
  <c r="BU247" i="19"/>
  <c r="CN135" i="19"/>
  <c r="BS153" i="19"/>
  <c r="CO135" i="19"/>
  <c r="BT153" i="19"/>
  <c r="CN101" i="19"/>
  <c r="CO101" i="19"/>
  <c r="CN133" i="19"/>
  <c r="BO153" i="19" s="1"/>
  <c r="CO133" i="19"/>
  <c r="BP153" i="19"/>
  <c r="CN92" i="19"/>
  <c r="CO92" i="19"/>
  <c r="CN124" i="10"/>
  <c r="AW153" i="10"/>
  <c r="CO124" i="10"/>
  <c r="AX153" i="10" s="1"/>
  <c r="CN106" i="10"/>
  <c r="CO106" i="10"/>
  <c r="CN139" i="10"/>
  <c r="CA153" i="10" s="1"/>
  <c r="CO139" i="10"/>
  <c r="CB153" i="10"/>
  <c r="BC226" i="10"/>
  <c r="BO247" i="10"/>
  <c r="BM247" i="10"/>
  <c r="CN99" i="10"/>
  <c r="CO99" i="10"/>
  <c r="BK247" i="10"/>
  <c r="BS247" i="10"/>
  <c r="BD228" i="10"/>
  <c r="BT247" i="10" s="1"/>
  <c r="CO143" i="10"/>
  <c r="CJ153" i="10"/>
  <c r="CJ161" i="10" s="1"/>
  <c r="CN143" i="10"/>
  <c r="CI153" i="10" s="1"/>
  <c r="BD218" i="10"/>
  <c r="AZ247" i="10"/>
  <c r="AY247" i="10"/>
  <c r="CN122" i="10"/>
  <c r="AS153" i="10"/>
  <c r="CO122" i="10"/>
  <c r="AT153" i="10"/>
  <c r="AW127" i="10"/>
  <c r="BD149" i="10"/>
  <c r="AV127" i="10"/>
  <c r="BC149" i="10" s="1"/>
  <c r="BP149" i="10"/>
  <c r="AV133" i="10"/>
  <c r="BO149" i="10" s="1"/>
  <c r="BP165" i="10" s="1"/>
  <c r="AW98" i="10"/>
  <c r="AV98" i="10"/>
  <c r="AV105" i="10"/>
  <c r="AW105" i="10"/>
  <c r="AR215" i="10"/>
  <c r="AT243" i="10" s="1"/>
  <c r="AS243" i="10"/>
  <c r="CE243" i="10"/>
  <c r="AR234" i="10"/>
  <c r="CF243" i="10"/>
  <c r="AV111" i="10"/>
  <c r="AW111" i="10"/>
  <c r="BG220" i="19"/>
  <c r="BD248" i="19"/>
  <c r="BD259" i="19" s="1"/>
  <c r="BC248" i="19"/>
  <c r="BC259" i="19"/>
  <c r="CZ112" i="19"/>
  <c r="CY112" i="19"/>
  <c r="BG236" i="19"/>
  <c r="CJ248" i="19" s="1"/>
  <c r="CJ259" i="19" s="1"/>
  <c r="CI248" i="19"/>
  <c r="CI259" i="19"/>
  <c r="CY141" i="19"/>
  <c r="CE154" i="19"/>
  <c r="CZ141" i="19"/>
  <c r="CF154" i="19"/>
  <c r="CZ143" i="19"/>
  <c r="CJ154" i="19" s="1"/>
  <c r="CZ100" i="19"/>
  <c r="CY100" i="19"/>
  <c r="CE248" i="19"/>
  <c r="CE259" i="19"/>
  <c r="BG234" i="19"/>
  <c r="CF248" i="19"/>
  <c r="CF259" i="19"/>
  <c r="BU248" i="19"/>
  <c r="BU259" i="19" s="1"/>
  <c r="BG229" i="19"/>
  <c r="BV248" i="19" s="1"/>
  <c r="BV259" i="19" s="1"/>
  <c r="CZ102" i="19"/>
  <c r="CY102" i="19"/>
  <c r="BI248" i="19"/>
  <c r="BI259" i="19"/>
  <c r="BG223" i="19"/>
  <c r="BJ248" i="19" s="1"/>
  <c r="BJ259" i="19" s="1"/>
  <c r="CZ111" i="19"/>
  <c r="CY111" i="19"/>
  <c r="BG219" i="19"/>
  <c r="BB248" i="19"/>
  <c r="BB259" i="19" s="1"/>
  <c r="BA248" i="19"/>
  <c r="BA259" i="19"/>
  <c r="CZ93" i="19"/>
  <c r="CY93" i="19"/>
  <c r="BL170" i="19"/>
  <c r="BL162" i="19"/>
  <c r="CY89" i="19"/>
  <c r="CZ89" i="19"/>
  <c r="CY138" i="19"/>
  <c r="BY154" i="19"/>
  <c r="CZ138" i="19"/>
  <c r="BZ154" i="19"/>
  <c r="CZ136" i="19"/>
  <c r="BV154" i="19" s="1"/>
  <c r="CY136" i="19"/>
  <c r="BU154" i="19" s="1"/>
  <c r="AU220" i="19"/>
  <c r="BD244" i="19"/>
  <c r="BC244" i="19"/>
  <c r="BG244" i="19"/>
  <c r="AU222" i="19"/>
  <c r="BH244" i="19" s="1"/>
  <c r="BG96" i="19"/>
  <c r="BH96" i="19"/>
  <c r="BG120" i="19"/>
  <c r="AO150" i="19" s="1"/>
  <c r="BG99" i="19"/>
  <c r="BH99" i="19"/>
  <c r="AS244" i="19"/>
  <c r="AU215" i="19"/>
  <c r="AT244" i="19"/>
  <c r="BG102" i="19"/>
  <c r="BH102" i="19"/>
  <c r="CG244" i="19"/>
  <c r="AU235" i="19"/>
  <c r="CH244" i="19" s="1"/>
  <c r="BH136" i="19"/>
  <c r="BV150" i="19"/>
  <c r="BV158" i="19" s="1"/>
  <c r="BG136" i="19"/>
  <c r="BU150" i="19" s="1"/>
  <c r="BS89" i="19"/>
  <c r="BR89" i="19"/>
  <c r="BS91" i="19"/>
  <c r="BR91" i="19"/>
  <c r="BR136" i="19"/>
  <c r="BU151" i="19" s="1"/>
  <c r="AQ245" i="19"/>
  <c r="AX214" i="19"/>
  <c r="AR245" i="19"/>
  <c r="BS112" i="19"/>
  <c r="BR112" i="19"/>
  <c r="BL162" i="10"/>
  <c r="CY112" i="10"/>
  <c r="CZ112" i="10"/>
  <c r="CY132" i="10"/>
  <c r="BM154" i="10" s="1"/>
  <c r="CZ132" i="10"/>
  <c r="BN154" i="10" s="1"/>
  <c r="CZ143" i="10"/>
  <c r="CJ154" i="10"/>
  <c r="CY143" i="10"/>
  <c r="CI154" i="10" s="1"/>
  <c r="BW248" i="10"/>
  <c r="BW259" i="10"/>
  <c r="BA248" i="10"/>
  <c r="BA259" i="10" s="1"/>
  <c r="BG219" i="10"/>
  <c r="BB248" i="10" s="1"/>
  <c r="BB259" i="10" s="1"/>
  <c r="BG229" i="10"/>
  <c r="BV248" i="10" s="1"/>
  <c r="BV259" i="10" s="1"/>
  <c r="BG231" i="10"/>
  <c r="BZ248" i="10" s="1"/>
  <c r="BZ259" i="10" s="1"/>
  <c r="BY248" i="10"/>
  <c r="BY259" i="10"/>
  <c r="BK248" i="10"/>
  <c r="BK259" i="10" s="1"/>
  <c r="BG224" i="10"/>
  <c r="BL248" i="10" s="1"/>
  <c r="BL259" i="10" s="1"/>
  <c r="BG248" i="10"/>
  <c r="BG259" i="10" s="1"/>
  <c r="BG222" i="10"/>
  <c r="BH248" i="10" s="1"/>
  <c r="BH259" i="10" s="1"/>
  <c r="BS248" i="10"/>
  <c r="BS259" i="10" s="1"/>
  <c r="BG228" i="10"/>
  <c r="BT248" i="10" s="1"/>
  <c r="BT259" i="10" s="1"/>
  <c r="CY124" i="10"/>
  <c r="AW154" i="10"/>
  <c r="CZ124" i="10"/>
  <c r="AX154" i="10" s="1"/>
  <c r="AX162" i="10" s="1"/>
  <c r="CZ91" i="10"/>
  <c r="CY91" i="10"/>
  <c r="BG227" i="10"/>
  <c r="BR248" i="10" s="1"/>
  <c r="BR259" i="10"/>
  <c r="BQ248" i="10"/>
  <c r="BQ259" i="10"/>
  <c r="CZ110" i="10"/>
  <c r="CY110" i="10"/>
  <c r="BB32" i="14"/>
  <c r="BF20" i="14"/>
  <c r="DK143" i="16"/>
  <c r="CJ148" i="16" s="1"/>
  <c r="CI164" i="16" s="1"/>
  <c r="CI165" i="16" s="1"/>
  <c r="CI166" i="16" s="1"/>
  <c r="CI167" i="16" s="1"/>
  <c r="CI168" i="16" s="1"/>
  <c r="DJ108" i="16"/>
  <c r="DK108" i="16"/>
  <c r="CG242" i="16"/>
  <c r="BJ235" i="16"/>
  <c r="CH242" i="16" s="1"/>
  <c r="BJ230" i="16"/>
  <c r="BX242" i="16" s="1"/>
  <c r="BX253" i="16" s="1"/>
  <c r="BW242" i="16"/>
  <c r="DJ90" i="16"/>
  <c r="DK90" i="16"/>
  <c r="CG242" i="19"/>
  <c r="BJ235" i="19"/>
  <c r="CH242" i="19" s="1"/>
  <c r="BQ242" i="19"/>
  <c r="BJ227" i="19"/>
  <c r="BR242" i="19"/>
  <c r="BR253" i="19" s="1"/>
  <c r="DJ112" i="10"/>
  <c r="DK112" i="10"/>
  <c r="DJ110" i="10"/>
  <c r="DK110" i="10"/>
  <c r="DJ91" i="10"/>
  <c r="DK91" i="10"/>
  <c r="BG135" i="10"/>
  <c r="BS150" i="10" s="1"/>
  <c r="BG244" i="10"/>
  <c r="BG255" i="10" s="1"/>
  <c r="AU222" i="10"/>
  <c r="BH244" i="10" s="1"/>
  <c r="AU233" i="10"/>
  <c r="CD244" i="10" s="1"/>
  <c r="CC244" i="10"/>
  <c r="AU214" i="10"/>
  <c r="AR244" i="10"/>
  <c r="CG244" i="10"/>
  <c r="AU235" i="10"/>
  <c r="CH244" i="10" s="1"/>
  <c r="BQ244" i="10"/>
  <c r="AU227" i="10"/>
  <c r="BR244" i="10" s="1"/>
  <c r="BD215" i="16"/>
  <c r="AT247" i="16" s="1"/>
  <c r="CO89" i="16"/>
  <c r="CN89" i="16"/>
  <c r="CO124" i="16"/>
  <c r="AX153" i="16" s="1"/>
  <c r="BD214" i="16"/>
  <c r="AR247" i="16" s="1"/>
  <c r="AQ247" i="16"/>
  <c r="CO88" i="16"/>
  <c r="BD222" i="16"/>
  <c r="BH247" i="16"/>
  <c r="BG247" i="16"/>
  <c r="BO154" i="16"/>
  <c r="BP162" i="16" s="1"/>
  <c r="CZ133" i="16"/>
  <c r="BP154" i="16" s="1"/>
  <c r="BO162" i="16" s="1"/>
  <c r="BO178" i="16" s="1"/>
  <c r="BQ248" i="16"/>
  <c r="BQ259" i="16" s="1"/>
  <c r="BG227" i="16"/>
  <c r="BR248" i="16" s="1"/>
  <c r="BR259" i="16" s="1"/>
  <c r="CY134" i="16"/>
  <c r="BQ154" i="16" s="1"/>
  <c r="CZ134" i="16"/>
  <c r="BR154" i="16" s="1"/>
  <c r="BG224" i="16"/>
  <c r="BL248" i="16" s="1"/>
  <c r="BL259" i="16"/>
  <c r="BK248" i="16"/>
  <c r="BK259" i="16" s="1"/>
  <c r="BS242" i="16"/>
  <c r="BJ228" i="16"/>
  <c r="BT242" i="16"/>
  <c r="BI242" i="16"/>
  <c r="BJ223" i="16"/>
  <c r="BJ242" i="16" s="1"/>
  <c r="BJ253" i="16" s="1"/>
  <c r="DK92" i="16"/>
  <c r="DJ92" i="16"/>
  <c r="BM148" i="16"/>
  <c r="DK132" i="16"/>
  <c r="BN148" i="16" s="1"/>
  <c r="BN156" i="16" s="1"/>
  <c r="BG242" i="16"/>
  <c r="BG253" i="16" s="1"/>
  <c r="BJ222" i="16"/>
  <c r="BH242" i="16" s="1"/>
  <c r="BH253" i="16" s="1"/>
  <c r="AQ242" i="16"/>
  <c r="BJ214" i="16"/>
  <c r="AR242" i="16" s="1"/>
  <c r="AW242" i="19"/>
  <c r="BJ217" i="19"/>
  <c r="AX242" i="19"/>
  <c r="DK109" i="10"/>
  <c r="BY242" i="10"/>
  <c r="BY253" i="10" s="1"/>
  <c r="BJ231" i="10"/>
  <c r="BZ242" i="10" s="1"/>
  <c r="BC242" i="10"/>
  <c r="BJ220" i="10"/>
  <c r="BD242" i="10"/>
  <c r="BD253" i="10" s="1"/>
  <c r="AQ242" i="10"/>
  <c r="BJ214" i="10"/>
  <c r="AR242" i="10" s="1"/>
  <c r="AS242" i="10"/>
  <c r="BJ215" i="10"/>
  <c r="AT242" i="10"/>
  <c r="DK139" i="10"/>
  <c r="CB148" i="10" s="1"/>
  <c r="AU220" i="10"/>
  <c r="BD244" i="10" s="1"/>
  <c r="BD255" i="10" s="1"/>
  <c r="BC244" i="10"/>
  <c r="BH102" i="10"/>
  <c r="BG102" i="10"/>
  <c r="BH98" i="10"/>
  <c r="BG98" i="10"/>
  <c r="CE244" i="10"/>
  <c r="AU234" i="10"/>
  <c r="CF244" i="10" s="1"/>
  <c r="AW111" i="19"/>
  <c r="AV111" i="19"/>
  <c r="BS243" i="19"/>
  <c r="BT254" i="19" s="1"/>
  <c r="AR228" i="19"/>
  <c r="BT243" i="19" s="1"/>
  <c r="AV109" i="19"/>
  <c r="BU243" i="19"/>
  <c r="AR229" i="19"/>
  <c r="BV243" i="19" s="1"/>
  <c r="BV254" i="19" s="1"/>
  <c r="AV134" i="19"/>
  <c r="BQ149" i="19" s="1"/>
  <c r="BR165" i="19" s="1"/>
  <c r="AV107" i="19"/>
  <c r="AW107" i="19"/>
  <c r="AW106" i="19"/>
  <c r="AV106" i="19"/>
  <c r="AW126" i="19"/>
  <c r="BB149" i="19" s="1"/>
  <c r="AV126" i="19"/>
  <c r="BA149" i="19" s="1"/>
  <c r="BQ245" i="10"/>
  <c r="AX227" i="10"/>
  <c r="BR245" i="10" s="1"/>
  <c r="BK245" i="10"/>
  <c r="AX224" i="10"/>
  <c r="BL245" i="10"/>
  <c r="BR93" i="10"/>
  <c r="BS93" i="10"/>
  <c r="BR107" i="10"/>
  <c r="BS107" i="10"/>
  <c r="AX220" i="10"/>
  <c r="BD245" i="10" s="1"/>
  <c r="BD256" i="10" s="1"/>
  <c r="BC245" i="10"/>
  <c r="AX235" i="10"/>
  <c r="CH245" i="10"/>
  <c r="CG245" i="10"/>
  <c r="BS136" i="10"/>
  <c r="BV151" i="10"/>
  <c r="BV167" i="10" s="1"/>
  <c r="BR124" i="10"/>
  <c r="AW151" i="10" s="1"/>
  <c r="CC100" i="19"/>
  <c r="BA236" i="19"/>
  <c r="CJ246" i="19" s="1"/>
  <c r="CI246" i="19"/>
  <c r="CD90" i="19"/>
  <c r="CC90" i="19"/>
  <c r="CC123" i="19"/>
  <c r="AU152" i="19"/>
  <c r="CD123" i="19"/>
  <c r="AV152" i="19" s="1"/>
  <c r="CC111" i="19"/>
  <c r="CD111" i="19"/>
  <c r="CC103" i="19"/>
  <c r="CC106" i="19"/>
  <c r="CD106" i="19"/>
  <c r="CD107" i="10"/>
  <c r="BE246" i="10"/>
  <c r="BA221" i="10"/>
  <c r="BF246" i="10" s="1"/>
  <c r="BF257" i="10" s="1"/>
  <c r="CC139" i="10"/>
  <c r="CA152" i="10" s="1"/>
  <c r="CD111" i="10"/>
  <c r="CC111" i="10"/>
  <c r="CC108" i="10"/>
  <c r="CD108" i="10"/>
  <c r="CG243" i="16"/>
  <c r="AR235" i="16"/>
  <c r="CH243" i="16" s="1"/>
  <c r="CK243" i="16"/>
  <c r="AR237" i="16"/>
  <c r="CL243" i="16"/>
  <c r="AW110" i="16"/>
  <c r="AV110" i="16"/>
  <c r="AU221" i="16"/>
  <c r="BF244" i="16" s="1"/>
  <c r="BF255" i="16" s="1"/>
  <c r="BE244" i="16"/>
  <c r="BE255" i="16" s="1"/>
  <c r="BG132" i="16"/>
  <c r="BM150" i="16" s="1"/>
  <c r="BN166" i="16" s="1"/>
  <c r="CE244" i="16"/>
  <c r="AU234" i="16"/>
  <c r="CF244" i="16" s="1"/>
  <c r="BG96" i="16"/>
  <c r="BH96" i="16"/>
  <c r="BG244" i="16"/>
  <c r="AU222" i="16"/>
  <c r="BH244" i="16" s="1"/>
  <c r="BH135" i="16"/>
  <c r="BT150" i="16"/>
  <c r="BG135" i="16"/>
  <c r="BS150" i="16" s="1"/>
  <c r="BD215" i="19"/>
  <c r="AT247" i="19"/>
  <c r="AS247" i="19"/>
  <c r="BD237" i="19"/>
  <c r="CL247" i="19" s="1"/>
  <c r="CN141" i="19"/>
  <c r="CE153" i="19"/>
  <c r="CO141" i="19"/>
  <c r="CF153" i="19"/>
  <c r="CO136" i="19"/>
  <c r="BV153" i="19" s="1"/>
  <c r="CO132" i="19"/>
  <c r="BN153" i="19" s="1"/>
  <c r="CN122" i="19"/>
  <c r="AS153" i="19"/>
  <c r="CO122" i="19"/>
  <c r="AT153" i="19" s="1"/>
  <c r="CO141" i="10"/>
  <c r="CF153" i="10" s="1"/>
  <c r="CN142" i="10"/>
  <c r="CG153" i="10" s="1"/>
  <c r="AU153" i="10"/>
  <c r="CO123" i="10"/>
  <c r="AV153" i="10"/>
  <c r="BD227" i="10"/>
  <c r="BR247" i="10" s="1"/>
  <c r="BR258" i="10" s="1"/>
  <c r="BQ247" i="10"/>
  <c r="CI247" i="10"/>
  <c r="BD236" i="10"/>
  <c r="CJ247" i="10"/>
  <c r="AS247" i="10"/>
  <c r="BD215" i="10"/>
  <c r="AT247" i="10"/>
  <c r="CO89" i="10"/>
  <c r="CN89" i="10"/>
  <c r="CE247" i="10"/>
  <c r="BD234" i="10"/>
  <c r="CF247" i="10"/>
  <c r="CN107" i="10"/>
  <c r="CO107" i="10"/>
  <c r="CO134" i="10"/>
  <c r="BR153" i="10" s="1"/>
  <c r="AU247" i="10"/>
  <c r="BD216" i="10"/>
  <c r="AV247" i="10" s="1"/>
  <c r="CO90" i="10"/>
  <c r="CN90" i="10"/>
  <c r="CO108" i="10"/>
  <c r="CN108" i="10"/>
  <c r="CA247" i="10"/>
  <c r="BD232" i="10"/>
  <c r="CB247" i="10" s="1"/>
  <c r="AW137" i="10"/>
  <c r="BX149" i="10" s="1"/>
  <c r="AV137" i="10"/>
  <c r="BW149" i="10" s="1"/>
  <c r="AW91" i="10"/>
  <c r="AV91" i="10"/>
  <c r="AV124" i="10"/>
  <c r="AW149" i="10" s="1"/>
  <c r="BM243" i="10"/>
  <c r="BM254" i="10" s="1"/>
  <c r="AQ226" i="10"/>
  <c r="BO243" i="10" s="1"/>
  <c r="AR228" i="10"/>
  <c r="BT243" i="10" s="1"/>
  <c r="BS243" i="10"/>
  <c r="AW93" i="10"/>
  <c r="AV93" i="10"/>
  <c r="CZ105" i="19"/>
  <c r="CY105" i="19"/>
  <c r="CZ104" i="19"/>
  <c r="CY104" i="19"/>
  <c r="AQ248" i="19"/>
  <c r="AQ259" i="19"/>
  <c r="BG214" i="19"/>
  <c r="AR248" i="19" s="1"/>
  <c r="AR259" i="19" s="1"/>
  <c r="CY137" i="19"/>
  <c r="BW154" i="19" s="1"/>
  <c r="BW162" i="19" s="1"/>
  <c r="CY108" i="19"/>
  <c r="CZ108" i="19"/>
  <c r="BG248" i="19"/>
  <c r="BG259" i="19"/>
  <c r="BG222" i="19"/>
  <c r="BH248" i="19" s="1"/>
  <c r="BH259" i="19" s="1"/>
  <c r="AU214" i="19"/>
  <c r="AR244" i="19" s="1"/>
  <c r="BG111" i="19"/>
  <c r="BH111" i="19"/>
  <c r="AU233" i="19"/>
  <c r="CD244" i="19" s="1"/>
  <c r="AU230" i="19"/>
  <c r="BX244" i="19" s="1"/>
  <c r="BW244" i="19"/>
  <c r="AX235" i="19"/>
  <c r="CH245" i="19" s="1"/>
  <c r="CG245" i="19"/>
  <c r="CE245" i="19"/>
  <c r="AX234" i="19"/>
  <c r="CF245" i="19"/>
  <c r="CC245" i="19"/>
  <c r="AX233" i="19"/>
  <c r="CD245" i="19" s="1"/>
  <c r="BR94" i="19"/>
  <c r="CY139" i="10"/>
  <c r="CA154" i="10" s="1"/>
  <c r="CA162" i="10" s="1"/>
  <c r="CZ138" i="10"/>
  <c r="BZ154" i="10"/>
  <c r="CY138" i="10"/>
  <c r="BY154" i="10" s="1"/>
  <c r="CZ89" i="10"/>
  <c r="CY89" i="10"/>
  <c r="CF259" i="10"/>
  <c r="CE248" i="10"/>
  <c r="CE259" i="10" s="1"/>
  <c r="CE258" i="10" s="1"/>
  <c r="CE257" i="10" s="1"/>
  <c r="CY107" i="10"/>
  <c r="BI248" i="10"/>
  <c r="BI259" i="10" s="1"/>
  <c r="CY122" i="10"/>
  <c r="AS154" i="10"/>
  <c r="CZ122" i="10"/>
  <c r="AT154" i="10"/>
  <c r="AS162" i="10" s="1"/>
  <c r="BC248" i="10"/>
  <c r="BC259" i="10" s="1"/>
  <c r="BG220" i="10"/>
  <c r="BD248" i="10" s="1"/>
  <c r="BD259" i="10" s="1"/>
  <c r="CY120" i="10"/>
  <c r="AO154" i="10" s="1"/>
  <c r="AW89" i="19"/>
  <c r="AV89" i="19"/>
  <c r="AW112" i="19"/>
  <c r="AV112" i="19"/>
  <c r="AW97" i="19"/>
  <c r="AV97" i="19"/>
  <c r="AW243" i="19"/>
  <c r="AR217" i="19"/>
  <c r="AX243" i="19"/>
  <c r="BE149" i="19"/>
  <c r="AW128" i="19"/>
  <c r="BF149" i="19" s="1"/>
  <c r="AV88" i="19"/>
  <c r="AW88" i="19"/>
  <c r="AV140" i="19"/>
  <c r="CC149" i="19" s="1"/>
  <c r="AW140" i="19"/>
  <c r="CD149" i="19"/>
  <c r="AR216" i="19"/>
  <c r="AV243" i="19"/>
  <c r="AW90" i="19"/>
  <c r="AV90" i="19"/>
  <c r="AV108" i="19"/>
  <c r="AW108" i="19"/>
  <c r="AV132" i="19"/>
  <c r="BM149" i="19" s="1"/>
  <c r="BC243" i="19"/>
  <c r="AR220" i="19"/>
  <c r="BD243" i="19" s="1"/>
  <c r="BO149" i="19"/>
  <c r="AW133" i="19"/>
  <c r="BP149" i="19" s="1"/>
  <c r="BP157" i="19" s="1"/>
  <c r="BR121" i="10"/>
  <c r="AQ151" i="10" s="1"/>
  <c r="BR127" i="10"/>
  <c r="BC151" i="10"/>
  <c r="BS127" i="10"/>
  <c r="BD151" i="10"/>
  <c r="BR123" i="10"/>
  <c r="AU151" i="10" s="1"/>
  <c r="BS123" i="10"/>
  <c r="AV151" i="10" s="1"/>
  <c r="BY151" i="10"/>
  <c r="BS138" i="10"/>
  <c r="BZ151" i="10" s="1"/>
  <c r="BR89" i="10"/>
  <c r="BS89" i="10"/>
  <c r="BR137" i="10"/>
  <c r="BW151" i="10" s="1"/>
  <c r="BS137" i="10"/>
  <c r="BX151" i="10" s="1"/>
  <c r="BS109" i="10"/>
  <c r="BR109" i="10"/>
  <c r="BS97" i="10"/>
  <c r="BR97" i="10"/>
  <c r="CA245" i="10"/>
  <c r="AX232" i="10"/>
  <c r="CB245" i="10"/>
  <c r="CB256" i="10" s="1"/>
  <c r="BS122" i="10"/>
  <c r="AT151" i="10" s="1"/>
  <c r="CC107" i="19"/>
  <c r="CD107" i="19"/>
  <c r="BA234" i="19"/>
  <c r="CF246" i="19" s="1"/>
  <c r="CE246" i="19"/>
  <c r="BA246" i="19"/>
  <c r="BA219" i="19"/>
  <c r="BB246" i="19" s="1"/>
  <c r="BB257" i="19" s="1"/>
  <c r="CD93" i="19"/>
  <c r="CC93" i="19"/>
  <c r="BA220" i="19"/>
  <c r="BD246" i="19"/>
  <c r="BD257" i="19" s="1"/>
  <c r="BC246" i="19"/>
  <c r="CC94" i="19"/>
  <c r="CD94" i="19"/>
  <c r="BG246" i="19"/>
  <c r="BA222" i="19"/>
  <c r="BH246" i="19"/>
  <c r="CD125" i="19"/>
  <c r="AZ152" i="19"/>
  <c r="CC125" i="19"/>
  <c r="AY152" i="19"/>
  <c r="CC120" i="19"/>
  <c r="AO152" i="19" s="1"/>
  <c r="CD120" i="19"/>
  <c r="AP152" i="19" s="1"/>
  <c r="CD112" i="19"/>
  <c r="CC112" i="19"/>
  <c r="BA229" i="19"/>
  <c r="BV246" i="19" s="1"/>
  <c r="BU246" i="19"/>
  <c r="BU257" i="19" s="1"/>
  <c r="CD89" i="19"/>
  <c r="CC89" i="19"/>
  <c r="CC139" i="19"/>
  <c r="CA152" i="19" s="1"/>
  <c r="BE246" i="19"/>
  <c r="BA221" i="19"/>
  <c r="BF246" i="19" s="1"/>
  <c r="BY246" i="19"/>
  <c r="BA231" i="19"/>
  <c r="BZ246" i="19" s="1"/>
  <c r="BZ257" i="19" s="1"/>
  <c r="CK246" i="19"/>
  <c r="BA237" i="19"/>
  <c r="CL246" i="19"/>
  <c r="CD142" i="19"/>
  <c r="CH152" i="19" s="1"/>
  <c r="CC142" i="19"/>
  <c r="CG152" i="19"/>
  <c r="CG152" i="10"/>
  <c r="CD142" i="10"/>
  <c r="CH152" i="10" s="1"/>
  <c r="BS246" i="10"/>
  <c r="BA228" i="10"/>
  <c r="BT246" i="10"/>
  <c r="BT257" i="10" s="1"/>
  <c r="CC92" i="10"/>
  <c r="CD92" i="10"/>
  <c r="AY246" i="10"/>
  <c r="BA218" i="10"/>
  <c r="AZ246" i="10"/>
  <c r="CD88" i="10"/>
  <c r="CC88" i="10"/>
  <c r="CC96" i="10"/>
  <c r="AU246" i="10"/>
  <c r="BA216" i="10"/>
  <c r="AV246" i="10" s="1"/>
  <c r="CC136" i="10"/>
  <c r="BU152" i="10" s="1"/>
  <c r="CD136" i="10"/>
  <c r="BV152" i="10"/>
  <c r="AR219" i="16"/>
  <c r="BB243" i="16" s="1"/>
  <c r="BA243" i="16"/>
  <c r="CC149" i="16"/>
  <c r="AW140" i="16"/>
  <c r="CD149" i="16" s="1"/>
  <c r="AW126" i="16"/>
  <c r="BB149" i="16" s="1"/>
  <c r="AV126" i="16"/>
  <c r="BA149" i="16"/>
  <c r="CD243" i="16"/>
  <c r="CC243" i="16"/>
  <c r="AV106" i="16"/>
  <c r="BW243" i="16"/>
  <c r="AR230" i="16"/>
  <c r="BX243" i="16"/>
  <c r="AV105" i="16"/>
  <c r="AW105" i="16"/>
  <c r="BH108" i="16"/>
  <c r="BM244" i="16"/>
  <c r="AT226" i="16"/>
  <c r="BO244" i="16"/>
  <c r="BG138" i="16"/>
  <c r="BY150" i="16" s="1"/>
  <c r="BH138" i="16"/>
  <c r="BZ150" i="16" s="1"/>
  <c r="BH137" i="16"/>
  <c r="BX150" i="16"/>
  <c r="BG137" i="16"/>
  <c r="BW150" i="16" s="1"/>
  <c r="AU218" i="16"/>
  <c r="AZ244" i="16" s="1"/>
  <c r="AY244" i="16"/>
  <c r="BK244" i="16"/>
  <c r="AU224" i="16"/>
  <c r="BL244" i="16"/>
  <c r="BL255" i="16" s="1"/>
  <c r="CO108" i="19"/>
  <c r="CN108" i="19"/>
  <c r="CN91" i="19"/>
  <c r="CO91" i="19"/>
  <c r="AU247" i="19"/>
  <c r="BD216" i="19"/>
  <c r="AV247" i="19" s="1"/>
  <c r="CN90" i="19"/>
  <c r="CO90" i="19"/>
  <c r="CN99" i="19"/>
  <c r="CO99" i="19"/>
  <c r="CN120" i="19"/>
  <c r="AO153" i="19" s="1"/>
  <c r="CO120" i="19"/>
  <c r="AP153" i="19" s="1"/>
  <c r="BW247" i="19"/>
  <c r="BD230" i="19"/>
  <c r="BX247" i="19"/>
  <c r="BX258" i="19" s="1"/>
  <c r="BD228" i="19"/>
  <c r="BT247" i="19"/>
  <c r="BS247" i="19"/>
  <c r="BD233" i="10"/>
  <c r="CD247" i="10" s="1"/>
  <c r="CO121" i="10"/>
  <c r="AR153" i="10" s="1"/>
  <c r="CN94" i="10"/>
  <c r="CO94" i="10"/>
  <c r="CN120" i="10"/>
  <c r="AO153" i="10"/>
  <c r="CO120" i="10"/>
  <c r="AP153" i="10"/>
  <c r="BD231" i="10"/>
  <c r="BZ247" i="10" s="1"/>
  <c r="BZ258" i="10" s="1"/>
  <c r="BY247" i="10"/>
  <c r="BD214" i="10"/>
  <c r="AR247" i="10"/>
  <c r="AQ247" i="10"/>
  <c r="CN88" i="10"/>
  <c r="CO88" i="10"/>
  <c r="CN91" i="10"/>
  <c r="CO91" i="10"/>
  <c r="BD219" i="10"/>
  <c r="BB247" i="10" s="1"/>
  <c r="BA247" i="10"/>
  <c r="BA258" i="10" s="1"/>
  <c r="CN138" i="10"/>
  <c r="BY153" i="10" s="1"/>
  <c r="CN92" i="10"/>
  <c r="CO92" i="10"/>
  <c r="AV132" i="10"/>
  <c r="BM149" i="10"/>
  <c r="AW132" i="10"/>
  <c r="BN149" i="10" s="1"/>
  <c r="BK243" i="10"/>
  <c r="AR224" i="10"/>
  <c r="BL243" i="10" s="1"/>
  <c r="CI243" i="10"/>
  <c r="AR236" i="10"/>
  <c r="CJ243" i="10"/>
  <c r="BI243" i="10"/>
  <c r="AR223" i="10"/>
  <c r="BJ243" i="10"/>
  <c r="BJ254" i="10" s="1"/>
  <c r="AV97" i="10"/>
  <c r="AW97" i="10"/>
  <c r="CA243" i="10"/>
  <c r="AR232" i="10"/>
  <c r="CB243" i="10" s="1"/>
  <c r="AV89" i="10"/>
  <c r="AW89" i="10"/>
  <c r="AW122" i="10"/>
  <c r="AT149" i="10" s="1"/>
  <c r="CY109" i="19"/>
  <c r="CZ109" i="19"/>
  <c r="BG217" i="19"/>
  <c r="AX248" i="19" s="1"/>
  <c r="AX259" i="19" s="1"/>
  <c r="AW248" i="19"/>
  <c r="AW259" i="19" s="1"/>
  <c r="BQ248" i="19"/>
  <c r="BQ259" i="19"/>
  <c r="BG227" i="19"/>
  <c r="BR248" i="19"/>
  <c r="BR259" i="19" s="1"/>
  <c r="BE248" i="19"/>
  <c r="BE259" i="19"/>
  <c r="BG221" i="19"/>
  <c r="BF248" i="19"/>
  <c r="BF259" i="19" s="1"/>
  <c r="BK248" i="19"/>
  <c r="BK259" i="19" s="1"/>
  <c r="BG224" i="19"/>
  <c r="BL248" i="19" s="1"/>
  <c r="BL259" i="19" s="1"/>
  <c r="CY98" i="19"/>
  <c r="CZ98" i="19"/>
  <c r="AS248" i="19"/>
  <c r="AS259" i="19"/>
  <c r="BG215" i="19"/>
  <c r="AT248" i="19"/>
  <c r="AT259" i="19" s="1"/>
  <c r="AU221" i="19"/>
  <c r="BF244" i="19" s="1"/>
  <c r="BE244" i="19"/>
  <c r="BG132" i="19"/>
  <c r="BM150" i="19" s="1"/>
  <c r="AU216" i="19"/>
  <c r="AV244" i="19"/>
  <c r="AU244" i="19"/>
  <c r="BH90" i="19"/>
  <c r="BG90" i="19"/>
  <c r="BM244" i="19"/>
  <c r="AT226" i="19"/>
  <c r="BO244" i="19" s="1"/>
  <c r="BG124" i="19"/>
  <c r="AW150" i="19"/>
  <c r="BH133" i="19"/>
  <c r="BP150" i="19"/>
  <c r="BG133" i="19"/>
  <c r="BO150" i="19" s="1"/>
  <c r="BH121" i="19"/>
  <c r="AR150" i="19" s="1"/>
  <c r="BG121" i="19"/>
  <c r="AQ150" i="19"/>
  <c r="BI244" i="19"/>
  <c r="AU223" i="19"/>
  <c r="BJ244" i="19"/>
  <c r="BG97" i="19"/>
  <c r="BH97" i="19"/>
  <c r="BG93" i="19"/>
  <c r="AU229" i="19"/>
  <c r="BV244" i="19"/>
  <c r="BU244" i="19"/>
  <c r="BH108" i="19"/>
  <c r="BG108" i="19"/>
  <c r="AX215" i="19"/>
  <c r="AT245" i="19"/>
  <c r="AS245" i="19"/>
  <c r="AW245" i="19"/>
  <c r="AX217" i="19"/>
  <c r="AX245" i="19"/>
  <c r="BR104" i="19"/>
  <c r="BS104" i="19"/>
  <c r="BR88" i="19"/>
  <c r="BS88" i="19"/>
  <c r="AU245" i="19"/>
  <c r="AX216" i="19"/>
  <c r="AV245" i="19" s="1"/>
  <c r="CY133" i="10"/>
  <c r="BO154" i="10" s="1"/>
  <c r="BP162" i="10" s="1"/>
  <c r="CZ133" i="10"/>
  <c r="BP154" i="10"/>
  <c r="CZ103" i="10"/>
  <c r="CY93" i="10"/>
  <c r="CZ93" i="10"/>
  <c r="CY102" i="10"/>
  <c r="CY104" i="10"/>
  <c r="CZ104" i="10"/>
  <c r="CZ123" i="10"/>
  <c r="AV154" i="10" s="1"/>
  <c r="CY123" i="10"/>
  <c r="AU154" i="10" s="1"/>
  <c r="AU162" i="10" s="1"/>
  <c r="AQ248" i="10"/>
  <c r="AQ259" i="10"/>
  <c r="BG214" i="10"/>
  <c r="AR248" i="10"/>
  <c r="AR259" i="10"/>
  <c r="AR258" i="10" s="1"/>
  <c r="AR257" i="10" s="1"/>
  <c r="AW248" i="10"/>
  <c r="AW259" i="10" s="1"/>
  <c r="BG236" i="10"/>
  <c r="CJ248" i="10"/>
  <c r="CJ259" i="10" s="1"/>
  <c r="CJ258" i="10" s="1"/>
  <c r="CK248" i="10"/>
  <c r="CK259" i="10"/>
  <c r="BG237" i="10"/>
  <c r="CL248" i="10" s="1"/>
  <c r="CL259" i="10" s="1"/>
  <c r="CZ105" i="10"/>
  <c r="J14" i="18"/>
  <c r="C48" i="13"/>
  <c r="CY88" i="10"/>
  <c r="CY112" i="16"/>
  <c r="BL168" i="10"/>
  <c r="BL169" i="10"/>
  <c r="BL170" i="10"/>
  <c r="N20" i="14"/>
  <c r="BV253" i="16"/>
  <c r="BM255" i="16"/>
  <c r="BN255" i="16"/>
  <c r="BY257" i="19"/>
  <c r="BH257" i="19"/>
  <c r="BG257" i="19"/>
  <c r="CI258" i="10"/>
  <c r="BH255" i="16"/>
  <c r="BG255" i="16"/>
  <c r="BG254" i="16"/>
  <c r="C35" i="9"/>
  <c r="BT161" i="19"/>
  <c r="BT169" i="19"/>
  <c r="BM258" i="19"/>
  <c r="BG258" i="19"/>
  <c r="BE254" i="10"/>
  <c r="BZ162" i="16"/>
  <c r="BY162" i="16"/>
  <c r="BE257" i="16"/>
  <c r="BF257" i="16"/>
  <c r="BC257" i="16"/>
  <c r="BZ257" i="16"/>
  <c r="BL258" i="16"/>
  <c r="BL257" i="16"/>
  <c r="BK258" i="16"/>
  <c r="BK257" i="16"/>
  <c r="BT162" i="19"/>
  <c r="BS162" i="19"/>
  <c r="BJ258" i="19"/>
  <c r="BA258" i="19"/>
  <c r="BH254" i="16"/>
  <c r="BI257" i="19"/>
  <c r="BN165" i="10"/>
  <c r="N25" i="14"/>
  <c r="BO162" i="10"/>
  <c r="BW258" i="19"/>
  <c r="AU258" i="19"/>
  <c r="AU257" i="19" s="1"/>
  <c r="AV258" i="19"/>
  <c r="AV257" i="19"/>
  <c r="AV256" i="19" s="1"/>
  <c r="AV255" i="19" s="1"/>
  <c r="AV254" i="19" s="1"/>
  <c r="BK255" i="16"/>
  <c r="BK254" i="16"/>
  <c r="BA257" i="19"/>
  <c r="AT162" i="10"/>
  <c r="BX162" i="19"/>
  <c r="BX178" i="19" s="1"/>
  <c r="BX208" i="19" s="1"/>
  <c r="BX170" i="19"/>
  <c r="BG257" i="10"/>
  <c r="BG256" i="10"/>
  <c r="BH257" i="10"/>
  <c r="BH256" i="10"/>
  <c r="BH255" i="10"/>
  <c r="CA258" i="10"/>
  <c r="CA256" i="10"/>
  <c r="CF258" i="10"/>
  <c r="BN169" i="19"/>
  <c r="BN161" i="19"/>
  <c r="BE257" i="10"/>
  <c r="BE256" i="10"/>
  <c r="BM162" i="10"/>
  <c r="BK178" i="19"/>
  <c r="BL178" i="19"/>
  <c r="BD162" i="19"/>
  <c r="BD170" i="19"/>
  <c r="BS257" i="10"/>
  <c r="BS256" i="10"/>
  <c r="BT256" i="10"/>
  <c r="BK258" i="10"/>
  <c r="BK256" i="10"/>
  <c r="BL258" i="10"/>
  <c r="BL256" i="10"/>
  <c r="BO258" i="10"/>
  <c r="BP255" i="19"/>
  <c r="BO255" i="19"/>
  <c r="BB258" i="10"/>
  <c r="AQ258" i="10"/>
  <c r="AQ256" i="10"/>
  <c r="AQ255" i="10" s="1"/>
  <c r="BY258" i="10"/>
  <c r="BY257" i="10"/>
  <c r="BZ257" i="10"/>
  <c r="BS253" i="16"/>
  <c r="BV257" i="19"/>
  <c r="BC257" i="19"/>
  <c r="BZ162" i="10"/>
  <c r="CB162" i="10"/>
  <c r="BR255" i="10"/>
  <c r="BQ258" i="10"/>
  <c r="BQ255" i="10"/>
  <c r="BV169" i="19"/>
  <c r="BV161" i="19"/>
  <c r="CL258" i="19"/>
  <c r="CL257" i="19" s="1"/>
  <c r="CK258" i="19"/>
  <c r="CK257" i="19" s="1"/>
  <c r="AS258" i="19"/>
  <c r="AS257" i="19"/>
  <c r="AS256" i="19" s="1"/>
  <c r="AS255" i="19" s="1"/>
  <c r="AS254" i="19" s="1"/>
  <c r="C58" i="9"/>
  <c r="BC256" i="10"/>
  <c r="BT254" i="10"/>
  <c r="BS254" i="10"/>
  <c r="BC255" i="10"/>
  <c r="BC253" i="10"/>
  <c r="CB257" i="16"/>
  <c r="CA257" i="16"/>
  <c r="BL160" i="10"/>
  <c r="BE255" i="19"/>
  <c r="BE254" i="19"/>
  <c r="BF254" i="19"/>
  <c r="BS255" i="19"/>
  <c r="BS254" i="19"/>
  <c r="BJ255" i="19"/>
  <c r="BJ254" i="19"/>
  <c r="BI255" i="19"/>
  <c r="BU255" i="19"/>
  <c r="BU254" i="19"/>
  <c r="BV255" i="19"/>
  <c r="BG255" i="19"/>
  <c r="BH255" i="19"/>
  <c r="BZ162" i="19"/>
  <c r="BY162" i="19"/>
  <c r="AZ258" i="10"/>
  <c r="AZ257" i="10" s="1"/>
  <c r="AZ256" i="10" s="1"/>
  <c r="BM258" i="10"/>
  <c r="BU258" i="19"/>
  <c r="BZ253" i="10"/>
  <c r="BD255" i="19"/>
  <c r="BD254" i="19"/>
  <c r="BC255" i="19"/>
  <c r="BC254" i="19"/>
  <c r="CD256" i="19"/>
  <c r="CD255" i="19"/>
  <c r="CC258" i="19"/>
  <c r="CC257" i="19" s="1"/>
  <c r="CC256" i="19" s="1"/>
  <c r="BY255" i="16"/>
  <c r="BY253" i="16"/>
  <c r="BZ255" i="16"/>
  <c r="BW255" i="16"/>
  <c r="BW254" i="16"/>
  <c r="BW253" i="16"/>
  <c r="BX255" i="16"/>
  <c r="BX254" i="16"/>
  <c r="BI253" i="16"/>
  <c r="BE254" i="16"/>
  <c r="BF254" i="16"/>
  <c r="BI257" i="10"/>
  <c r="BI256" i="10"/>
  <c r="BJ257" i="10"/>
  <c r="BJ256" i="10"/>
  <c r="BX257" i="19"/>
  <c r="BW257" i="19"/>
  <c r="BW255" i="19"/>
  <c r="BK255" i="19"/>
  <c r="BK254" i="19"/>
  <c r="BL255" i="19"/>
  <c r="BL254" i="19"/>
  <c r="BN255" i="19"/>
  <c r="BN254" i="19"/>
  <c r="BM255" i="19"/>
  <c r="BR257" i="19"/>
  <c r="BQ257" i="19"/>
  <c r="BQ254" i="19"/>
  <c r="BQ253" i="19"/>
  <c r="BK255" i="10"/>
  <c r="BV255" i="10"/>
  <c r="CG166" i="16"/>
  <c r="CG167" i="16" s="1"/>
  <c r="CG168" i="16" s="1"/>
  <c r="CG169" i="16" s="1"/>
  <c r="CG170" i="16" s="1"/>
  <c r="CH164" i="16"/>
  <c r="BH162" i="16"/>
  <c r="BI254" i="10"/>
  <c r="BJ257" i="16"/>
  <c r="BI257" i="16"/>
  <c r="AP164" i="10"/>
  <c r="AO164" i="10"/>
  <c r="AO165" i="10" s="1"/>
  <c r="AO166" i="10" s="1"/>
  <c r="AO167" i="10" s="1"/>
  <c r="AO168" i="10" s="1"/>
  <c r="AO169" i="10"/>
  <c r="AO170" i="10" s="1"/>
  <c r="BL258" i="19"/>
  <c r="BK258" i="19"/>
  <c r="CA258" i="19"/>
  <c r="CB258" i="19"/>
  <c r="BO254" i="10"/>
  <c r="AD20" i="14"/>
  <c r="BP166" i="16"/>
  <c r="BB165" i="16"/>
  <c r="BL178" i="10"/>
  <c r="BK178" i="10"/>
  <c r="BF168" i="10"/>
  <c r="BH165" i="10"/>
  <c r="BJ168" i="10"/>
  <c r="BP170" i="10"/>
  <c r="BN166" i="19"/>
  <c r="BD167" i="10"/>
  <c r="BD169" i="10"/>
  <c r="BT165" i="19"/>
  <c r="BB165" i="19"/>
  <c r="BB166" i="19"/>
  <c r="BZ178" i="19"/>
  <c r="AZ169" i="10"/>
  <c r="AZ170" i="10"/>
  <c r="BY161" i="19"/>
  <c r="BW178" i="19"/>
  <c r="BW208" i="19" s="1"/>
  <c r="BB160" i="16"/>
  <c r="BS161" i="19"/>
  <c r="BS178" i="19"/>
  <c r="BT178" i="19"/>
  <c r="AE18" i="14"/>
  <c r="C6" i="9"/>
  <c r="BX168" i="10"/>
  <c r="C37" i="9"/>
  <c r="BH160" i="16"/>
  <c r="BJ160" i="10"/>
  <c r="BC178" i="19"/>
  <c r="BD178" i="19"/>
  <c r="AS161" i="10"/>
  <c r="BF160" i="10"/>
  <c r="BR168" i="16"/>
  <c r="BB168" i="16"/>
  <c r="BH168" i="16"/>
  <c r="BP168" i="16"/>
  <c r="BY178" i="19"/>
  <c r="BW207" i="19" s="1"/>
  <c r="C64" i="9"/>
  <c r="BG18" i="14"/>
  <c r="BH18" i="14"/>
  <c r="C67" i="23"/>
  <c r="BZ208" i="19"/>
  <c r="BX207" i="19"/>
  <c r="BD159" i="10"/>
  <c r="BH41" i="14"/>
  <c r="BI41" i="14" s="1"/>
  <c r="C30" i="23" s="1"/>
  <c r="C90" i="23"/>
  <c r="BV159" i="10"/>
  <c r="BH39" i="14"/>
  <c r="C88" i="23" s="1"/>
  <c r="BY160" i="19"/>
  <c r="BH19" i="14"/>
  <c r="C68" i="23"/>
  <c r="BN158" i="16"/>
  <c r="BB158" i="19"/>
  <c r="BI18" i="14"/>
  <c r="C7" i="23" s="1"/>
  <c r="BX159" i="10"/>
  <c r="BH40" i="14"/>
  <c r="C89" i="23"/>
  <c r="BN158" i="19"/>
  <c r="CI169" i="16"/>
  <c r="CI170" i="16" s="1"/>
  <c r="BH170" i="16"/>
  <c r="BP170" i="16"/>
  <c r="BB157" i="16"/>
  <c r="BV157" i="16"/>
  <c r="BT157" i="19"/>
  <c r="BR157" i="19"/>
  <c r="BP157" i="16"/>
  <c r="BN157" i="10"/>
  <c r="BB157" i="19"/>
  <c r="BP157" i="10"/>
  <c r="BH178" i="16"/>
  <c r="BG178" i="16"/>
  <c r="BY178" i="16"/>
  <c r="BV156" i="10"/>
  <c r="CJ156" i="16"/>
  <c r="BV156" i="16"/>
  <c r="BW207" i="16"/>
  <c r="BY208" i="16"/>
  <c r="U277" i="10"/>
  <c r="T277" i="10"/>
  <c r="U279" i="10"/>
  <c r="T279" i="10"/>
  <c r="U281" i="10"/>
  <c r="T281" i="10"/>
  <c r="I300" i="10"/>
  <c r="J300" i="10"/>
  <c r="J301" i="10"/>
  <c r="I301" i="10"/>
  <c r="T269" i="10"/>
  <c r="U269" i="10"/>
  <c r="T271" i="10"/>
  <c r="U271" i="10"/>
  <c r="T273" i="10"/>
  <c r="U273" i="10"/>
  <c r="U270" i="10"/>
  <c r="T270" i="10"/>
  <c r="U272" i="10"/>
  <c r="T272" i="10"/>
  <c r="U274" i="10"/>
  <c r="T274" i="10"/>
  <c r="U276" i="10"/>
  <c r="T276" i="10"/>
  <c r="U278" i="10"/>
  <c r="T278" i="10"/>
  <c r="U280" i="10"/>
  <c r="T280" i="10"/>
  <c r="I289" i="10"/>
  <c r="J289" i="10"/>
  <c r="I290" i="10"/>
  <c r="J290" i="10"/>
  <c r="I291" i="10"/>
  <c r="J291" i="10"/>
  <c r="H292" i="10"/>
  <c r="I292" i="10"/>
  <c r="J292" i="10"/>
  <c r="I293" i="10"/>
  <c r="J293" i="10"/>
  <c r="J294" i="10"/>
  <c r="I294" i="10"/>
  <c r="J296" i="10"/>
  <c r="I296" i="10"/>
  <c r="I297" i="10"/>
  <c r="J297" i="10"/>
  <c r="J298" i="10"/>
  <c r="I298" i="10"/>
  <c r="I299" i="10"/>
  <c r="J299" i="10"/>
  <c r="S289" i="10"/>
  <c r="U289" i="10"/>
  <c r="T289" i="10"/>
  <c r="U291" i="10"/>
  <c r="T291" i="10"/>
  <c r="U293" i="10"/>
  <c r="T293" i="10"/>
  <c r="S300" i="10"/>
  <c r="U300" i="10"/>
  <c r="T300" i="10"/>
  <c r="J310" i="10"/>
  <c r="I310" i="10"/>
  <c r="H329" i="10"/>
  <c r="I329" i="10"/>
  <c r="J329" i="10"/>
  <c r="H330" i="10"/>
  <c r="J330" i="10"/>
  <c r="I330" i="10"/>
  <c r="H332" i="10"/>
  <c r="J332" i="10"/>
  <c r="I332" i="10"/>
  <c r="H333" i="10"/>
  <c r="J333" i="10"/>
  <c r="I333" i="10"/>
  <c r="H334" i="10"/>
  <c r="I334" i="10"/>
  <c r="J334" i="10"/>
  <c r="I336" i="10"/>
  <c r="J336" i="10"/>
  <c r="H337" i="10"/>
  <c r="I337" i="10"/>
  <c r="J337" i="10"/>
  <c r="H338" i="10"/>
  <c r="J338" i="10"/>
  <c r="I338" i="10"/>
  <c r="H339" i="10"/>
  <c r="J339" i="10"/>
  <c r="I339" i="10"/>
  <c r="H341" i="10"/>
  <c r="I341" i="10"/>
  <c r="J341" i="10"/>
  <c r="J353" i="10"/>
  <c r="I353" i="10"/>
  <c r="J361" i="10"/>
  <c r="I361" i="10"/>
  <c r="I318" i="10"/>
  <c r="J318" i="10"/>
  <c r="I321" i="10"/>
  <c r="J321" i="10"/>
  <c r="H351" i="10"/>
  <c r="J351" i="10"/>
  <c r="I351" i="10"/>
  <c r="T297" i="10"/>
  <c r="U297" i="10"/>
  <c r="J312" i="10"/>
  <c r="I312" i="10"/>
  <c r="I319" i="10"/>
  <c r="J319" i="10"/>
  <c r="H359" i="10"/>
  <c r="J359" i="10"/>
  <c r="I359" i="10"/>
  <c r="U290" i="10"/>
  <c r="T290" i="10"/>
  <c r="S292" i="10"/>
  <c r="U292" i="10"/>
  <c r="T292" i="10"/>
  <c r="S294" i="10"/>
  <c r="T294" i="10"/>
  <c r="U294" i="10"/>
  <c r="S296" i="10"/>
  <c r="T296" i="10"/>
  <c r="U296" i="10"/>
  <c r="S298" i="10"/>
  <c r="T298" i="10"/>
  <c r="U298" i="10"/>
  <c r="I314" i="10"/>
  <c r="J314" i="10"/>
  <c r="I316" i="10"/>
  <c r="J316" i="10"/>
  <c r="J320" i="10"/>
  <c r="I320" i="10"/>
  <c r="I331" i="10"/>
  <c r="J331" i="10"/>
  <c r="J340" i="10"/>
  <c r="I340" i="10"/>
  <c r="I349" i="10"/>
  <c r="J349" i="10"/>
  <c r="I357" i="10"/>
  <c r="J357" i="10"/>
  <c r="T299" i="10"/>
  <c r="U299" i="10"/>
  <c r="S301" i="10"/>
  <c r="T301" i="10"/>
  <c r="U301" i="10"/>
  <c r="U310" i="10"/>
  <c r="T310" i="10"/>
  <c r="S312" i="10"/>
  <c r="U312" i="10"/>
  <c r="T312" i="10"/>
  <c r="T314" i="10"/>
  <c r="U314" i="10"/>
  <c r="T316" i="10"/>
  <c r="U316" i="10"/>
  <c r="T318" i="10"/>
  <c r="U318" i="10"/>
  <c r="U319" i="10"/>
  <c r="T319" i="10"/>
  <c r="S320" i="10"/>
  <c r="U320" i="10"/>
  <c r="T320" i="10"/>
  <c r="U330" i="10"/>
  <c r="T330" i="10"/>
  <c r="T332" i="10"/>
  <c r="U332" i="10"/>
  <c r="U334" i="10"/>
  <c r="T334" i="10"/>
  <c r="S336" i="10"/>
  <c r="U336" i="10"/>
  <c r="T336" i="10"/>
  <c r="T338" i="10"/>
  <c r="U338" i="10"/>
  <c r="U340" i="10"/>
  <c r="T340" i="10"/>
  <c r="J350" i="10"/>
  <c r="I350" i="10"/>
  <c r="J352" i="10"/>
  <c r="I352" i="10"/>
  <c r="H354" i="10"/>
  <c r="I354" i="10"/>
  <c r="J354" i="10"/>
  <c r="J356" i="10"/>
  <c r="I356" i="10"/>
  <c r="I358" i="10"/>
  <c r="J358" i="10"/>
  <c r="H360" i="10"/>
  <c r="J360" i="10"/>
  <c r="I360" i="10"/>
  <c r="I500" i="10" l="1"/>
  <c r="J499" i="10"/>
  <c r="K499" i="10" s="1"/>
  <c r="CG242" i="10"/>
  <c r="BJ235" i="10"/>
  <c r="CH242" i="10" s="1"/>
  <c r="BS242" i="10"/>
  <c r="BJ228" i="10"/>
  <c r="BT242" i="10" s="1"/>
  <c r="BJ216" i="10"/>
  <c r="AV242" i="10" s="1"/>
  <c r="AU242" i="10"/>
  <c r="AV124" i="19"/>
  <c r="AW149" i="19" s="1"/>
  <c r="AW124" i="19"/>
  <c r="AX149" i="19" s="1"/>
  <c r="BT166" i="10"/>
  <c r="BT158" i="10"/>
  <c r="BV167" i="19"/>
  <c r="BV159" i="19"/>
  <c r="BL257" i="10"/>
  <c r="BK257" i="10"/>
  <c r="R253" i="10"/>
  <c r="P253" i="10"/>
  <c r="S253" i="10" s="1"/>
  <c r="BV170" i="19"/>
  <c r="BU162" i="19"/>
  <c r="BV162" i="19"/>
  <c r="CY139" i="16"/>
  <c r="CA154" i="16" s="1"/>
  <c r="CZ139" i="16"/>
  <c r="CB154" i="16" s="1"/>
  <c r="AV128" i="10"/>
  <c r="BE149" i="10" s="1"/>
  <c r="AW128" i="10"/>
  <c r="BF149" i="10" s="1"/>
  <c r="BX164" i="16"/>
  <c r="BW164" i="16"/>
  <c r="BW165" i="16" s="1"/>
  <c r="BW166" i="16" s="1"/>
  <c r="BW167" i="16" s="1"/>
  <c r="BW168" i="16" s="1"/>
  <c r="BW169" i="16" s="1"/>
  <c r="BW170" i="16" s="1"/>
  <c r="BP158" i="19"/>
  <c r="BP166" i="19"/>
  <c r="CC102" i="19"/>
  <c r="CD102" i="19"/>
  <c r="AU161" i="10"/>
  <c r="BP178" i="16"/>
  <c r="AZ162" i="16"/>
  <c r="AY162" i="16"/>
  <c r="AZ170" i="16"/>
  <c r="BR160" i="19"/>
  <c r="BR168" i="19"/>
  <c r="BV166" i="10"/>
  <c r="BV158" i="10"/>
  <c r="BZ164" i="10"/>
  <c r="CD104" i="10"/>
  <c r="CC104" i="10"/>
  <c r="BG88" i="16"/>
  <c r="BH88" i="16"/>
  <c r="CN93" i="19"/>
  <c r="CO93" i="19"/>
  <c r="CN134" i="19"/>
  <c r="BQ153" i="19" s="1"/>
  <c r="CO134" i="19"/>
  <c r="BR153" i="19" s="1"/>
  <c r="BW247" i="10"/>
  <c r="BD230" i="10"/>
  <c r="BX247" i="10" s="1"/>
  <c r="CN136" i="10"/>
  <c r="BU153" i="10" s="1"/>
  <c r="CO136" i="10"/>
  <c r="BV153" i="10" s="1"/>
  <c r="BI247" i="10"/>
  <c r="BD223" i="10"/>
  <c r="BJ247" i="10" s="1"/>
  <c r="BU247" i="10"/>
  <c r="BD229" i="10"/>
  <c r="BV247" i="10" s="1"/>
  <c r="BD221" i="10"/>
  <c r="BF247" i="10" s="1"/>
  <c r="BE247" i="10"/>
  <c r="CO96" i="10"/>
  <c r="CN96" i="10"/>
  <c r="BH96" i="10"/>
  <c r="BG96" i="10"/>
  <c r="BG108" i="10"/>
  <c r="BH108" i="10"/>
  <c r="AR162" i="19"/>
  <c r="AQ162" i="19"/>
  <c r="DJ91" i="19"/>
  <c r="DK91" i="19"/>
  <c r="CZ93" i="16"/>
  <c r="CY93" i="16"/>
  <c r="CZ135" i="16"/>
  <c r="BT154" i="16" s="1"/>
  <c r="CY135" i="16"/>
  <c r="BS154" i="16" s="1"/>
  <c r="BY162" i="10"/>
  <c r="CC162" i="16"/>
  <c r="CD162" i="16"/>
  <c r="N30" i="14"/>
  <c r="BP258" i="19"/>
  <c r="BO258" i="19"/>
  <c r="BV164" i="10"/>
  <c r="BA162" i="16"/>
  <c r="BB170" i="16"/>
  <c r="BG164" i="10"/>
  <c r="BG165" i="10" s="1"/>
  <c r="BG166" i="10" s="1"/>
  <c r="BH156" i="10"/>
  <c r="DK137" i="10"/>
  <c r="BX148" i="10" s="1"/>
  <c r="DJ137" i="10"/>
  <c r="BW148" i="10" s="1"/>
  <c r="DK94" i="10"/>
  <c r="DJ94" i="10"/>
  <c r="DJ107" i="10"/>
  <c r="DK107" i="10"/>
  <c r="CZ132" i="19"/>
  <c r="BN154" i="19" s="1"/>
  <c r="CY132" i="19"/>
  <c r="BM154" i="19" s="1"/>
  <c r="CY125" i="19"/>
  <c r="AY154" i="19" s="1"/>
  <c r="CZ125" i="19"/>
  <c r="AZ154" i="19" s="1"/>
  <c r="BJ160" i="16"/>
  <c r="BJ168" i="16"/>
  <c r="AV162" i="10"/>
  <c r="AU178" i="10" s="1"/>
  <c r="CH165" i="16"/>
  <c r="BN167" i="10"/>
  <c r="BN159" i="10"/>
  <c r="BO254" i="19"/>
  <c r="BP254" i="19"/>
  <c r="AV162" i="19"/>
  <c r="AU162" i="19"/>
  <c r="DK100" i="19"/>
  <c r="DJ100" i="19"/>
  <c r="DJ122" i="16"/>
  <c r="AS148" i="16" s="1"/>
  <c r="DK122" i="16"/>
  <c r="AT148" i="16" s="1"/>
  <c r="BS140" i="19"/>
  <c r="CD151" i="19" s="1"/>
  <c r="BR140" i="19"/>
  <c r="CC151" i="19" s="1"/>
  <c r="BS120" i="10"/>
  <c r="AP151" i="10" s="1"/>
  <c r="BR120" i="10"/>
  <c r="AO151" i="10" s="1"/>
  <c r="CD100" i="10"/>
  <c r="CC100" i="10"/>
  <c r="CO137" i="19"/>
  <c r="BX153" i="19" s="1"/>
  <c r="CN137" i="19"/>
  <c r="BW153" i="19" s="1"/>
  <c r="BL166" i="19"/>
  <c r="BL158" i="19"/>
  <c r="CW130" i="16"/>
  <c r="CU130" i="16"/>
  <c r="CX130" i="16" s="1"/>
  <c r="AS160" i="10"/>
  <c r="AS177" i="10"/>
  <c r="AT177" i="10"/>
  <c r="BP178" i="10"/>
  <c r="BO178" i="10"/>
  <c r="BD165" i="10"/>
  <c r="BD157" i="10"/>
  <c r="AQ254" i="10"/>
  <c r="AQ253" i="10" s="1"/>
  <c r="AR254" i="10"/>
  <c r="AR253" i="10" s="1"/>
  <c r="DK129" i="10"/>
  <c r="BH148" i="10" s="1"/>
  <c r="BH164" i="10" s="1"/>
  <c r="DK103" i="16"/>
  <c r="DJ103" i="16"/>
  <c r="BD235" i="16"/>
  <c r="CH247" i="16" s="1"/>
  <c r="CG247" i="16"/>
  <c r="AV123" i="19"/>
  <c r="AU149" i="19" s="1"/>
  <c r="AW123" i="19"/>
  <c r="AV149" i="19" s="1"/>
  <c r="AV127" i="19"/>
  <c r="BC149" i="19" s="1"/>
  <c r="AW127" i="19"/>
  <c r="BD149" i="19" s="1"/>
  <c r="BG243" i="19"/>
  <c r="AR222" i="19"/>
  <c r="BH243" i="19" s="1"/>
  <c r="CC243" i="19"/>
  <c r="AR233" i="19"/>
  <c r="CD243" i="19" s="1"/>
  <c r="AV141" i="19"/>
  <c r="CE149" i="19" s="1"/>
  <c r="AW141" i="19"/>
  <c r="CF149" i="19" s="1"/>
  <c r="BR142" i="10"/>
  <c r="CG151" i="10" s="1"/>
  <c r="BS142" i="10"/>
  <c r="CH151" i="10" s="1"/>
  <c r="AX219" i="10"/>
  <c r="BB245" i="10" s="1"/>
  <c r="BA245" i="10"/>
  <c r="BR94" i="10"/>
  <c r="BS94" i="10"/>
  <c r="N34" i="14"/>
  <c r="BA228" i="16"/>
  <c r="BT246" i="16" s="1"/>
  <c r="BS246" i="16"/>
  <c r="BS160" i="19"/>
  <c r="BT177" i="19"/>
  <c r="BS177" i="19"/>
  <c r="BT258" i="19"/>
  <c r="BS258" i="19"/>
  <c r="BP161" i="19"/>
  <c r="BP169" i="19"/>
  <c r="CH164" i="19"/>
  <c r="DJ125" i="16"/>
  <c r="AY148" i="16" s="1"/>
  <c r="DK125" i="16"/>
  <c r="AZ148" i="16" s="1"/>
  <c r="AV104" i="19"/>
  <c r="AW104" i="19"/>
  <c r="AV143" i="19"/>
  <c r="CI149" i="19" s="1"/>
  <c r="AW143" i="19"/>
  <c r="CJ149" i="19" s="1"/>
  <c r="BA243" i="19"/>
  <c r="AR219" i="19"/>
  <c r="BB243" i="19" s="1"/>
  <c r="CY134" i="19"/>
  <c r="BQ154" i="19" s="1"/>
  <c r="CZ134" i="19"/>
  <c r="BR154" i="19" s="1"/>
  <c r="CY133" i="19"/>
  <c r="BO154" i="19" s="1"/>
  <c r="CZ133" i="19"/>
  <c r="BP154" i="19" s="1"/>
  <c r="BH103" i="19"/>
  <c r="BG103" i="19"/>
  <c r="BM161" i="10"/>
  <c r="BM178" i="10"/>
  <c r="BY161" i="16"/>
  <c r="BZ178" i="16"/>
  <c r="AP162" i="10"/>
  <c r="AO162" i="10"/>
  <c r="CJ169" i="10"/>
  <c r="CN123" i="19"/>
  <c r="AU153" i="19" s="1"/>
  <c r="CN143" i="19"/>
  <c r="CI153" i="19" s="1"/>
  <c r="CJ168" i="10"/>
  <c r="CJ160" i="10"/>
  <c r="BR253" i="10"/>
  <c r="BQ253" i="10"/>
  <c r="CJ164" i="16"/>
  <c r="DK129" i="19"/>
  <c r="BH148" i="19" s="1"/>
  <c r="DJ129" i="19"/>
  <c r="BG148" i="19" s="1"/>
  <c r="DK141" i="10"/>
  <c r="CF148" i="10" s="1"/>
  <c r="DJ141" i="10"/>
  <c r="CE148" i="10" s="1"/>
  <c r="DJ108" i="10"/>
  <c r="DK108" i="10"/>
  <c r="AV136" i="10"/>
  <c r="BU149" i="10" s="1"/>
  <c r="BU165" i="10" s="1"/>
  <c r="BU166" i="10" s="1"/>
  <c r="BU167" i="10" s="1"/>
  <c r="BU168" i="10" s="1"/>
  <c r="BU169" i="10" s="1"/>
  <c r="BU170" i="10" s="1"/>
  <c r="AW136" i="10"/>
  <c r="BV149" i="10" s="1"/>
  <c r="CZ106" i="19"/>
  <c r="CY106" i="19"/>
  <c r="CG248" i="19"/>
  <c r="CG259" i="19" s="1"/>
  <c r="CG258" i="19" s="1"/>
  <c r="BG235" i="19"/>
  <c r="CH248" i="19" s="1"/>
  <c r="CH259" i="19" s="1"/>
  <c r="CH258" i="19" s="1"/>
  <c r="CZ121" i="10"/>
  <c r="AR154" i="10" s="1"/>
  <c r="CY121" i="10"/>
  <c r="AQ154" i="10" s="1"/>
  <c r="CY127" i="10"/>
  <c r="BC154" i="10" s="1"/>
  <c r="CZ127" i="10"/>
  <c r="BD154" i="10" s="1"/>
  <c r="AV98" i="19"/>
  <c r="AW98" i="19"/>
  <c r="AW142" i="19"/>
  <c r="CH149" i="19" s="1"/>
  <c r="AV142" i="19"/>
  <c r="CG149" i="19" s="1"/>
  <c r="CY137" i="10"/>
  <c r="BW154" i="10" s="1"/>
  <c r="CZ137" i="10"/>
  <c r="BX154" i="10" s="1"/>
  <c r="CY98" i="10"/>
  <c r="CZ98" i="10"/>
  <c r="CZ109" i="10"/>
  <c r="CY109" i="10"/>
  <c r="BG232" i="10"/>
  <c r="CB248" i="10" s="1"/>
  <c r="CB259" i="10" s="1"/>
  <c r="CA248" i="10"/>
  <c r="CA259" i="10" s="1"/>
  <c r="Z455" i="10"/>
  <c r="C165" i="10"/>
  <c r="AA455" i="10" s="1"/>
  <c r="P278" i="19"/>
  <c r="S278" i="19" s="1"/>
  <c r="R278" i="19"/>
  <c r="BF165" i="19"/>
  <c r="BF157" i="19"/>
  <c r="BT166" i="16"/>
  <c r="BT158" i="16"/>
  <c r="BQ256" i="10"/>
  <c r="BR256" i="10"/>
  <c r="AZ168" i="10"/>
  <c r="AZ160" i="10"/>
  <c r="BD160" i="10"/>
  <c r="BD168" i="10"/>
  <c r="AU162" i="16"/>
  <c r="AV162" i="16"/>
  <c r="DJ128" i="16"/>
  <c r="BE148" i="16" s="1"/>
  <c r="DK128" i="16"/>
  <c r="BF148" i="16" s="1"/>
  <c r="CD137" i="19"/>
  <c r="BX152" i="19" s="1"/>
  <c r="CC137" i="19"/>
  <c r="BW152" i="19" s="1"/>
  <c r="CD91" i="19"/>
  <c r="CC91" i="19"/>
  <c r="BH126" i="16"/>
  <c r="BB150" i="16" s="1"/>
  <c r="BG126" i="16"/>
  <c r="BA150" i="16" s="1"/>
  <c r="BR258" i="19"/>
  <c r="BQ258" i="19"/>
  <c r="CN103" i="10"/>
  <c r="CO103" i="10"/>
  <c r="CO133" i="10"/>
  <c r="BP153" i="10" s="1"/>
  <c r="CN133" i="10"/>
  <c r="BO153" i="10" s="1"/>
  <c r="CY103" i="19"/>
  <c r="CZ103" i="19"/>
  <c r="BF226" i="19"/>
  <c r="BO248" i="19" s="1"/>
  <c r="BO259" i="19" s="1"/>
  <c r="BM248" i="19"/>
  <c r="BM259" i="19" s="1"/>
  <c r="CY120" i="19"/>
  <c r="AO154" i="19" s="1"/>
  <c r="CZ120" i="19"/>
  <c r="AP154" i="19" s="1"/>
  <c r="CZ94" i="19"/>
  <c r="CY94" i="19"/>
  <c r="CJ162" i="19"/>
  <c r="CI162" i="19"/>
  <c r="CZ97" i="19"/>
  <c r="CY97" i="19"/>
  <c r="BG94" i="19"/>
  <c r="BH94" i="19"/>
  <c r="BA244" i="19"/>
  <c r="AU219" i="19"/>
  <c r="BB244" i="19" s="1"/>
  <c r="BG142" i="19"/>
  <c r="CG150" i="19" s="1"/>
  <c r="BH142" i="19"/>
  <c r="CH150" i="19" s="1"/>
  <c r="BP165" i="19"/>
  <c r="BV168" i="10"/>
  <c r="BV160" i="10"/>
  <c r="BN162" i="10"/>
  <c r="BN178" i="10" s="1"/>
  <c r="BN170" i="10"/>
  <c r="BR139" i="10"/>
  <c r="CA151" i="10" s="1"/>
  <c r="BS139" i="10"/>
  <c r="CB151" i="10" s="1"/>
  <c r="BG95" i="16"/>
  <c r="BH95" i="16"/>
  <c r="CO100" i="19"/>
  <c r="CN100" i="19"/>
  <c r="CN126" i="10"/>
  <c r="BA153" i="10" s="1"/>
  <c r="CO126" i="10"/>
  <c r="BB153" i="10" s="1"/>
  <c r="CN97" i="10"/>
  <c r="CO97" i="10"/>
  <c r="CO102" i="10"/>
  <c r="CN102" i="10"/>
  <c r="CN95" i="10"/>
  <c r="CO95" i="10"/>
  <c r="CN105" i="10"/>
  <c r="CO105" i="10"/>
  <c r="CO121" i="19"/>
  <c r="AR153" i="19" s="1"/>
  <c r="CN121" i="19"/>
  <c r="AQ153" i="19" s="1"/>
  <c r="AV120" i="10"/>
  <c r="AO149" i="10" s="1"/>
  <c r="AW120" i="10"/>
  <c r="AP149" i="10" s="1"/>
  <c r="AV134" i="10"/>
  <c r="BQ149" i="10" s="1"/>
  <c r="AW134" i="10"/>
  <c r="BR149" i="10" s="1"/>
  <c r="CZ140" i="19"/>
  <c r="CD154" i="19" s="1"/>
  <c r="CY140" i="19"/>
  <c r="CC154" i="19" s="1"/>
  <c r="CZ142" i="19"/>
  <c r="CH154" i="19" s="1"/>
  <c r="CY142" i="19"/>
  <c r="CG154" i="19" s="1"/>
  <c r="CY122" i="19"/>
  <c r="AS154" i="19" s="1"/>
  <c r="CZ122" i="19"/>
  <c r="AT154" i="19" s="1"/>
  <c r="BW245" i="19"/>
  <c r="AX230" i="19"/>
  <c r="BX245" i="19" s="1"/>
  <c r="BY159" i="19"/>
  <c r="BR162" i="16"/>
  <c r="BQ162" i="16"/>
  <c r="BR170" i="16"/>
  <c r="BQ257" i="10"/>
  <c r="BR257" i="10"/>
  <c r="BA162" i="19"/>
  <c r="BB162" i="19"/>
  <c r="BB170" i="19"/>
  <c r="CN120" i="16"/>
  <c r="AO153" i="16" s="1"/>
  <c r="CO120" i="16"/>
  <c r="AP153" i="16" s="1"/>
  <c r="AV100" i="19"/>
  <c r="AW100" i="19"/>
  <c r="BS98" i="10"/>
  <c r="BR98" i="10"/>
  <c r="AX234" i="10"/>
  <c r="CF245" i="10" s="1"/>
  <c r="CE245" i="10"/>
  <c r="BA235" i="19"/>
  <c r="CH246" i="19" s="1"/>
  <c r="CG246" i="19"/>
  <c r="CD141" i="19"/>
  <c r="CF152" i="19" s="1"/>
  <c r="CC141" i="19"/>
  <c r="CE152" i="19" s="1"/>
  <c r="CD95" i="10"/>
  <c r="CC95" i="10"/>
  <c r="CY91" i="19"/>
  <c r="CZ91" i="19"/>
  <c r="CY124" i="19"/>
  <c r="AW154" i="19" s="1"/>
  <c r="CZ124" i="19"/>
  <c r="AX154" i="19" s="1"/>
  <c r="CY107" i="19"/>
  <c r="CZ107" i="19"/>
  <c r="BF89" i="16"/>
  <c r="BE89" i="16"/>
  <c r="BC89" i="16"/>
  <c r="AT215" i="16"/>
  <c r="BC142" i="16"/>
  <c r="BF142" i="16" s="1"/>
  <c r="BE142" i="16"/>
  <c r="BE134" i="16"/>
  <c r="BC134" i="16"/>
  <c r="BF134" i="16" s="1"/>
  <c r="AT229" i="16"/>
  <c r="BE102" i="16"/>
  <c r="BC102" i="16"/>
  <c r="BF102" i="16" s="1"/>
  <c r="BC121" i="16"/>
  <c r="BF121" i="16" s="1"/>
  <c r="BE121" i="16"/>
  <c r="BC127" i="16"/>
  <c r="BF127" i="16" s="1"/>
  <c r="BE127" i="16"/>
  <c r="AT143" i="16"/>
  <c r="AR143" i="16"/>
  <c r="AU143" i="16" s="1"/>
  <c r="AR141" i="16"/>
  <c r="AU141" i="16" s="1"/>
  <c r="AT141" i="16"/>
  <c r="AQ220" i="16"/>
  <c r="AR94" i="16"/>
  <c r="AU94" i="16"/>
  <c r="AT94" i="16"/>
  <c r="AR134" i="16"/>
  <c r="AU134" i="16" s="1"/>
  <c r="AT134" i="16"/>
  <c r="AR120" i="16"/>
  <c r="AU120" i="16" s="1"/>
  <c r="AT120" i="16"/>
  <c r="AR123" i="16"/>
  <c r="AU123" i="16" s="1"/>
  <c r="AT123" i="16"/>
  <c r="CA178" i="10"/>
  <c r="CA161" i="10"/>
  <c r="CB160" i="10" s="1"/>
  <c r="CB178" i="10"/>
  <c r="DJ112" i="16"/>
  <c r="CE162" i="19"/>
  <c r="CF162" i="19"/>
  <c r="CF161" i="19" s="1"/>
  <c r="BP160" i="19"/>
  <c r="BP168" i="19"/>
  <c r="BS143" i="10"/>
  <c r="CJ151" i="10" s="1"/>
  <c r="CJ159" i="10" s="1"/>
  <c r="DJ134" i="19"/>
  <c r="BQ148" i="19" s="1"/>
  <c r="DK134" i="19"/>
  <c r="BR148" i="19" s="1"/>
  <c r="DJ126" i="10"/>
  <c r="BA148" i="10" s="1"/>
  <c r="DK126" i="10"/>
  <c r="BB148" i="10" s="1"/>
  <c r="BH141" i="10"/>
  <c r="CF150" i="10" s="1"/>
  <c r="BG141" i="10"/>
  <c r="CE150" i="10" s="1"/>
  <c r="AR231" i="19"/>
  <c r="BZ243" i="19" s="1"/>
  <c r="BY243" i="19"/>
  <c r="AW102" i="19"/>
  <c r="AV102" i="19"/>
  <c r="BR140" i="10"/>
  <c r="CC151" i="10" s="1"/>
  <c r="BS140" i="10"/>
  <c r="CD151" i="10" s="1"/>
  <c r="CZ128" i="16"/>
  <c r="BF154" i="16" s="1"/>
  <c r="CY128" i="16"/>
  <c r="BE154" i="16" s="1"/>
  <c r="AV139" i="16"/>
  <c r="CA149" i="16" s="1"/>
  <c r="AW139" i="16"/>
  <c r="CB149" i="16" s="1"/>
  <c r="BG139" i="16"/>
  <c r="CA150" i="16" s="1"/>
  <c r="BH139" i="16"/>
  <c r="CB150" i="16" s="1"/>
  <c r="CO104" i="19"/>
  <c r="CN104" i="19"/>
  <c r="CN88" i="19"/>
  <c r="CO88" i="19"/>
  <c r="BD234" i="19"/>
  <c r="CF247" i="19" s="1"/>
  <c r="CE247" i="19"/>
  <c r="AV95" i="10"/>
  <c r="AW95" i="10"/>
  <c r="CZ135" i="10"/>
  <c r="BT154" i="10" s="1"/>
  <c r="CY135" i="10"/>
  <c r="BS154" i="10" s="1"/>
  <c r="CC93" i="10"/>
  <c r="CD93" i="10"/>
  <c r="BA233" i="10"/>
  <c r="CD246" i="10" s="1"/>
  <c r="CC246" i="10"/>
  <c r="AW101" i="16"/>
  <c r="BH120" i="16"/>
  <c r="AP150" i="16" s="1"/>
  <c r="BG120" i="16"/>
  <c r="AO150" i="16" s="1"/>
  <c r="CI247" i="19"/>
  <c r="BD236" i="19"/>
  <c r="CJ247" i="19" s="1"/>
  <c r="AI28" i="14"/>
  <c r="BB28" i="14"/>
  <c r="BN141" i="19"/>
  <c r="BQ141" i="19" s="1"/>
  <c r="BP141" i="19"/>
  <c r="BP128" i="19"/>
  <c r="BN128" i="19"/>
  <c r="BQ128" i="19" s="1"/>
  <c r="BN134" i="19"/>
  <c r="BQ134" i="19" s="1"/>
  <c r="BP134" i="19"/>
  <c r="BN135" i="19"/>
  <c r="BQ135" i="19" s="1"/>
  <c r="BP135" i="19"/>
  <c r="BF91" i="19"/>
  <c r="BC91" i="19"/>
  <c r="BE91" i="19"/>
  <c r="AT217" i="19"/>
  <c r="BF104" i="19"/>
  <c r="AT231" i="19"/>
  <c r="BE104" i="19"/>
  <c r="BC104" i="19"/>
  <c r="BE110" i="19"/>
  <c r="AT237" i="19"/>
  <c r="BC92" i="19"/>
  <c r="BF92" i="19"/>
  <c r="BE92" i="19"/>
  <c r="AT218" i="19"/>
  <c r="BC129" i="19"/>
  <c r="BF129" i="19" s="1"/>
  <c r="BE129" i="19"/>
  <c r="BE140" i="19"/>
  <c r="BC140" i="19"/>
  <c r="BF140" i="19" s="1"/>
  <c r="Z404" i="10"/>
  <c r="C114" i="10"/>
  <c r="AA404" i="10" s="1"/>
  <c r="Z431" i="10"/>
  <c r="C141" i="10"/>
  <c r="AA431" i="10" s="1"/>
  <c r="BY208" i="19"/>
  <c r="BK254" i="10"/>
  <c r="BL254" i="10"/>
  <c r="AT161" i="10"/>
  <c r="AT160" i="10" s="1"/>
  <c r="CJ167" i="10"/>
  <c r="AX162" i="16"/>
  <c r="AX161" i="16" s="1"/>
  <c r="AW162" i="16"/>
  <c r="DJ132" i="10"/>
  <c r="BM148" i="10" s="1"/>
  <c r="DK132" i="10"/>
  <c r="BN148" i="10" s="1"/>
  <c r="DK127" i="10"/>
  <c r="BD148" i="10" s="1"/>
  <c r="DJ127" i="10"/>
  <c r="BC148" i="10" s="1"/>
  <c r="CO134" i="16"/>
  <c r="BR153" i="16" s="1"/>
  <c r="CN134" i="16"/>
  <c r="BQ153" i="16" s="1"/>
  <c r="CY141" i="16"/>
  <c r="CE154" i="16" s="1"/>
  <c r="CZ141" i="16"/>
  <c r="CF154" i="16" s="1"/>
  <c r="CZ105" i="16"/>
  <c r="CY105" i="16"/>
  <c r="BG218" i="16"/>
  <c r="AZ248" i="16" s="1"/>
  <c r="AZ259" i="16" s="1"/>
  <c r="AZ258" i="16" s="1"/>
  <c r="AY248" i="16"/>
  <c r="AY259" i="16" s="1"/>
  <c r="AY258" i="16" s="1"/>
  <c r="DJ102" i="16"/>
  <c r="DK102" i="16"/>
  <c r="BM244" i="10"/>
  <c r="AT226" i="10"/>
  <c r="BO244" i="10" s="1"/>
  <c r="N26" i="14"/>
  <c r="N24" i="14"/>
  <c r="AV92" i="16"/>
  <c r="AW92" i="16"/>
  <c r="CY106" i="10"/>
  <c r="CZ106" i="10"/>
  <c r="CO132" i="10"/>
  <c r="BN153" i="10" s="1"/>
  <c r="CN132" i="10"/>
  <c r="BM153" i="10" s="1"/>
  <c r="BF169" i="19"/>
  <c r="BK161" i="10"/>
  <c r="BL161" i="10"/>
  <c r="BN109" i="19"/>
  <c r="BP109" i="19"/>
  <c r="AW236" i="19"/>
  <c r="BQ109" i="19"/>
  <c r="BN98" i="19"/>
  <c r="BQ98" i="19" s="1"/>
  <c r="AW224" i="19"/>
  <c r="BP98" i="19"/>
  <c r="BN103" i="19"/>
  <c r="BQ103" i="19" s="1"/>
  <c r="BP103" i="19"/>
  <c r="P293" i="10"/>
  <c r="S293" i="10" s="1"/>
  <c r="R293" i="10"/>
  <c r="G294" i="10"/>
  <c r="E294" i="10"/>
  <c r="H294" i="10" s="1"/>
  <c r="BO161" i="10"/>
  <c r="BO255" i="16"/>
  <c r="BP255" i="16"/>
  <c r="AS178" i="10"/>
  <c r="AT178" i="10"/>
  <c r="BT258" i="10"/>
  <c r="BS258" i="10"/>
  <c r="BB257" i="10"/>
  <c r="BA257" i="10"/>
  <c r="BN253" i="10"/>
  <c r="BM253" i="10"/>
  <c r="BB160" i="10"/>
  <c r="BB168" i="10"/>
  <c r="CO98" i="16"/>
  <c r="CN98" i="16"/>
  <c r="DJ108" i="19"/>
  <c r="DK108" i="19"/>
  <c r="BJ229" i="10"/>
  <c r="BV242" i="10" s="1"/>
  <c r="BU242" i="10"/>
  <c r="CY121" i="16"/>
  <c r="AQ154" i="16" s="1"/>
  <c r="CZ121" i="16"/>
  <c r="AR154" i="16" s="1"/>
  <c r="CY122" i="16"/>
  <c r="AS154" i="16" s="1"/>
  <c r="CZ122" i="16"/>
  <c r="AT154" i="16" s="1"/>
  <c r="BH112" i="10"/>
  <c r="BG112" i="10"/>
  <c r="CC122" i="19"/>
  <c r="AS152" i="19" s="1"/>
  <c r="CD122" i="19"/>
  <c r="AT152" i="19" s="1"/>
  <c r="CD88" i="19"/>
  <c r="CC88" i="19"/>
  <c r="BA232" i="10"/>
  <c r="CB246" i="10" s="1"/>
  <c r="CA246" i="10"/>
  <c r="N27" i="14"/>
  <c r="CI243" i="16"/>
  <c r="AR236" i="16"/>
  <c r="CJ243" i="16" s="1"/>
  <c r="AV127" i="16"/>
  <c r="BC149" i="16" s="1"/>
  <c r="AW127" i="16"/>
  <c r="BD149" i="16" s="1"/>
  <c r="AV132" i="16"/>
  <c r="BM149" i="16" s="1"/>
  <c r="AW132" i="16"/>
  <c r="BN149" i="16" s="1"/>
  <c r="CG248" i="10"/>
  <c r="CG259" i="10" s="1"/>
  <c r="BG235" i="10"/>
  <c r="CH248" i="10" s="1"/>
  <c r="CH259" i="10" s="1"/>
  <c r="CH258" i="10" s="1"/>
  <c r="CH257" i="10" s="1"/>
  <c r="BG233" i="10"/>
  <c r="CD248" i="10" s="1"/>
  <c r="CD259" i="10" s="1"/>
  <c r="CD258" i="10" s="1"/>
  <c r="CC248" i="10"/>
  <c r="CC259" i="10" s="1"/>
  <c r="CC258" i="10" s="1"/>
  <c r="BG109" i="16"/>
  <c r="BH109" i="16"/>
  <c r="AZ168" i="19"/>
  <c r="AZ160" i="19"/>
  <c r="BX167" i="10"/>
  <c r="BH258" i="16"/>
  <c r="BG258" i="16"/>
  <c r="AW162" i="10"/>
  <c r="BV166" i="19"/>
  <c r="CB161" i="10"/>
  <c r="AU242" i="16"/>
  <c r="BJ216" i="16"/>
  <c r="AV242" i="16" s="1"/>
  <c r="BC242" i="19"/>
  <c r="BJ220" i="19"/>
  <c r="BD242" i="19" s="1"/>
  <c r="DK102" i="10"/>
  <c r="DJ102" i="10"/>
  <c r="DK96" i="10"/>
  <c r="DJ96" i="10"/>
  <c r="AW242" i="10"/>
  <c r="BJ217" i="10"/>
  <c r="AX242" i="10" s="1"/>
  <c r="BH106" i="10"/>
  <c r="BG106" i="10"/>
  <c r="DJ88" i="10"/>
  <c r="DK88" i="10"/>
  <c r="DK143" i="10"/>
  <c r="CJ148" i="10" s="1"/>
  <c r="DJ143" i="10"/>
  <c r="CI148" i="10" s="1"/>
  <c r="AQ226" i="16"/>
  <c r="BO243" i="16" s="1"/>
  <c r="BM243" i="16"/>
  <c r="CZ101" i="10"/>
  <c r="CY101" i="10"/>
  <c r="CY100" i="10"/>
  <c r="CZ100" i="10"/>
  <c r="BW254" i="19"/>
  <c r="AU256" i="19"/>
  <c r="AU255" i="19" s="1"/>
  <c r="AU254" i="19" s="1"/>
  <c r="BF255" i="19"/>
  <c r="DK134" i="10"/>
  <c r="BR148" i="10" s="1"/>
  <c r="BD160" i="19"/>
  <c r="BD168" i="19"/>
  <c r="BB162" i="16"/>
  <c r="AT258" i="16"/>
  <c r="AT257" i="16" s="1"/>
  <c r="CY107" i="16"/>
  <c r="CZ107" i="16"/>
  <c r="CZ143" i="16"/>
  <c r="CJ154" i="16" s="1"/>
  <c r="CY143" i="16"/>
  <c r="CI154" i="16" s="1"/>
  <c r="BG143" i="10"/>
  <c r="CI150" i="10" s="1"/>
  <c r="CD121" i="19"/>
  <c r="AR152" i="19" s="1"/>
  <c r="CC108" i="19"/>
  <c r="CD108" i="19"/>
  <c r="CD97" i="19"/>
  <c r="CC97" i="19"/>
  <c r="CD140" i="19"/>
  <c r="CD152" i="19" s="1"/>
  <c r="CC140" i="19"/>
  <c r="CC152" i="19" s="1"/>
  <c r="BU246" i="10"/>
  <c r="BA229" i="10"/>
  <c r="BV246" i="10" s="1"/>
  <c r="BM246" i="10"/>
  <c r="AZ226" i="10"/>
  <c r="BO246" i="10" s="1"/>
  <c r="CD105" i="10"/>
  <c r="CC105" i="10"/>
  <c r="AI33" i="14"/>
  <c r="BB33" i="14"/>
  <c r="AV124" i="16"/>
  <c r="AW149" i="16" s="1"/>
  <c r="BG124" i="16"/>
  <c r="AW150" i="16" s="1"/>
  <c r="BH124" i="16"/>
  <c r="AX150" i="16" s="1"/>
  <c r="CO105" i="19"/>
  <c r="CN105" i="19"/>
  <c r="CO124" i="19"/>
  <c r="AX153" i="19" s="1"/>
  <c r="CN124" i="19"/>
  <c r="AW153" i="19" s="1"/>
  <c r="AQ247" i="19"/>
  <c r="BD214" i="19"/>
  <c r="AR247" i="19" s="1"/>
  <c r="CN106" i="19"/>
  <c r="CO106" i="19"/>
  <c r="CO100" i="10"/>
  <c r="CN100" i="10"/>
  <c r="BG125" i="19"/>
  <c r="AY150" i="19" s="1"/>
  <c r="BH125" i="19"/>
  <c r="AZ150" i="19" s="1"/>
  <c r="BH98" i="19"/>
  <c r="BG98" i="19"/>
  <c r="CY108" i="10"/>
  <c r="CZ108" i="10"/>
  <c r="CD101" i="10"/>
  <c r="CC101" i="10"/>
  <c r="CC134" i="10"/>
  <c r="BQ152" i="10" s="1"/>
  <c r="CD134" i="10"/>
  <c r="BR152" i="10" s="1"/>
  <c r="CD109" i="10"/>
  <c r="CC109" i="10"/>
  <c r="CC133" i="10"/>
  <c r="BO152" i="10" s="1"/>
  <c r="CD133" i="10"/>
  <c r="BP152" i="10" s="1"/>
  <c r="CD106" i="10"/>
  <c r="CC106" i="10"/>
  <c r="CO104" i="10"/>
  <c r="CN104" i="10"/>
  <c r="CO138" i="10"/>
  <c r="BZ153" i="10" s="1"/>
  <c r="BZ161" i="10" s="1"/>
  <c r="BY245" i="19"/>
  <c r="AX231" i="19"/>
  <c r="BZ245" i="19" s="1"/>
  <c r="BR142" i="19"/>
  <c r="CG151" i="19" s="1"/>
  <c r="BS142" i="19"/>
  <c r="CH151" i="19" s="1"/>
  <c r="AU225" i="10"/>
  <c r="BF99" i="10"/>
  <c r="BE132" i="10"/>
  <c r="BC132" i="10"/>
  <c r="BF132" i="10" s="1"/>
  <c r="BE97" i="10"/>
  <c r="BC97" i="10"/>
  <c r="BF97" i="10" s="1"/>
  <c r="DH103" i="19"/>
  <c r="BI230" i="19"/>
  <c r="DF112" i="19"/>
  <c r="DH112" i="19"/>
  <c r="DI112" i="19"/>
  <c r="G211" i="10"/>
  <c r="E211" i="10"/>
  <c r="H211" i="10" s="1"/>
  <c r="BF257" i="19"/>
  <c r="BE257" i="19"/>
  <c r="BX255" i="19"/>
  <c r="AT258" i="19"/>
  <c r="AT257" i="19" s="1"/>
  <c r="AT256" i="19" s="1"/>
  <c r="AT255" i="19" s="1"/>
  <c r="AT254" i="19" s="1"/>
  <c r="CH256" i="10"/>
  <c r="CH255" i="10" s="1"/>
  <c r="CJ162" i="10"/>
  <c r="CI162" i="10"/>
  <c r="BT160" i="19"/>
  <c r="CZ120" i="16"/>
  <c r="AP154" i="16" s="1"/>
  <c r="CY120" i="16"/>
  <c r="AO154" i="16" s="1"/>
  <c r="CY99" i="16"/>
  <c r="CZ99" i="16"/>
  <c r="BG214" i="16"/>
  <c r="AR248" i="16" s="1"/>
  <c r="AR259" i="16" s="1"/>
  <c r="AR258" i="16" s="1"/>
  <c r="AQ248" i="16"/>
  <c r="AQ259" i="16" s="1"/>
  <c r="AQ258" i="16" s="1"/>
  <c r="CY95" i="16"/>
  <c r="CZ95" i="16"/>
  <c r="CZ102" i="16"/>
  <c r="CY102" i="16"/>
  <c r="CG164" i="19"/>
  <c r="CG165" i="19" s="1"/>
  <c r="CG166" i="19" s="1"/>
  <c r="CG167" i="19" s="1"/>
  <c r="BQ164" i="10"/>
  <c r="CC143" i="19"/>
  <c r="CI152" i="19" s="1"/>
  <c r="CD143" i="19"/>
  <c r="CJ152" i="19" s="1"/>
  <c r="CD102" i="10"/>
  <c r="BA220" i="10"/>
  <c r="BD246" i="10" s="1"/>
  <c r="BC246" i="10"/>
  <c r="CC121" i="10"/>
  <c r="AQ152" i="10" s="1"/>
  <c r="CD121" i="10"/>
  <c r="AR152" i="10" s="1"/>
  <c r="AR217" i="16"/>
  <c r="AX243" i="16" s="1"/>
  <c r="AW243" i="16"/>
  <c r="CN126" i="19"/>
  <c r="BA153" i="19" s="1"/>
  <c r="CO126" i="19"/>
  <c r="BB153" i="19" s="1"/>
  <c r="BG123" i="19"/>
  <c r="AU150" i="19" s="1"/>
  <c r="BH123" i="19"/>
  <c r="AV150" i="19" s="1"/>
  <c r="CN138" i="19"/>
  <c r="BY153" i="19" s="1"/>
  <c r="CO138" i="19"/>
  <c r="BZ153" i="19" s="1"/>
  <c r="CN101" i="10"/>
  <c r="CO101" i="10"/>
  <c r="AW247" i="10"/>
  <c r="BD217" i="10"/>
  <c r="AX247" i="10" s="1"/>
  <c r="BG134" i="19"/>
  <c r="BQ150" i="19" s="1"/>
  <c r="BH134" i="19"/>
  <c r="BR150" i="19" s="1"/>
  <c r="BY105" i="19"/>
  <c r="CB105" i="19" s="1"/>
  <c r="AZ232" i="19"/>
  <c r="CA105" i="19"/>
  <c r="CA124" i="19"/>
  <c r="BY124" i="19"/>
  <c r="CB124" i="19" s="1"/>
  <c r="AV131" i="16"/>
  <c r="BK149" i="16" s="1"/>
  <c r="AW131" i="16"/>
  <c r="BL149" i="16" s="1"/>
  <c r="Q88" i="8"/>
  <c r="R88" i="8"/>
  <c r="R211" i="10"/>
  <c r="P211" i="10"/>
  <c r="S211" i="10" s="1"/>
  <c r="CB258" i="10"/>
  <c r="BT255" i="19"/>
  <c r="BY258" i="19"/>
  <c r="BZ258" i="19"/>
  <c r="CG258" i="10"/>
  <c r="CG257" i="10" s="1"/>
  <c r="CG256" i="10" s="1"/>
  <c r="CG255" i="10" s="1"/>
  <c r="AY162" i="10"/>
  <c r="AZ162" i="10"/>
  <c r="CO122" i="16"/>
  <c r="AT153" i="16" s="1"/>
  <c r="CN122" i="16"/>
  <c r="AS153" i="16" s="1"/>
  <c r="CY111" i="16"/>
  <c r="CZ111" i="16"/>
  <c r="CZ104" i="16"/>
  <c r="CY104" i="16"/>
  <c r="CZ88" i="16"/>
  <c r="CY88" i="16"/>
  <c r="DK121" i="16"/>
  <c r="AR148" i="16" s="1"/>
  <c r="DJ121" i="16"/>
  <c r="AQ148" i="16" s="1"/>
  <c r="BI242" i="19"/>
  <c r="BJ223" i="19"/>
  <c r="BJ242" i="19" s="1"/>
  <c r="BG138" i="10"/>
  <c r="BY150" i="10" s="1"/>
  <c r="BH138" i="10"/>
  <c r="BZ150" i="10" s="1"/>
  <c r="CN92" i="16"/>
  <c r="CO92" i="16"/>
  <c r="BH107" i="10"/>
  <c r="BG107" i="10"/>
  <c r="BS133" i="10"/>
  <c r="BP151" i="10" s="1"/>
  <c r="BR133" i="10"/>
  <c r="BO151" i="10" s="1"/>
  <c r="BS110" i="10"/>
  <c r="BR110" i="10"/>
  <c r="BW246" i="10"/>
  <c r="BA230" i="10"/>
  <c r="BX246" i="10" s="1"/>
  <c r="CD94" i="10"/>
  <c r="CC94" i="10"/>
  <c r="BU257" i="16"/>
  <c r="BV257" i="16"/>
  <c r="C60" i="23"/>
  <c r="AW108" i="16"/>
  <c r="AV108" i="16"/>
  <c r="BH111" i="16"/>
  <c r="BG111" i="16"/>
  <c r="CY96" i="19"/>
  <c r="CZ96" i="19"/>
  <c r="AU236" i="19"/>
  <c r="CJ244" i="19" s="1"/>
  <c r="CI244" i="19"/>
  <c r="CC255" i="19"/>
  <c r="BS124" i="19"/>
  <c r="AX151" i="19" s="1"/>
  <c r="BR124" i="19"/>
  <c r="AW151" i="19" s="1"/>
  <c r="BR138" i="19"/>
  <c r="BY151" i="19" s="1"/>
  <c r="BS138" i="19"/>
  <c r="BZ151" i="19" s="1"/>
  <c r="CZ107" i="10"/>
  <c r="AW122" i="19"/>
  <c r="AT149" i="19" s="1"/>
  <c r="AV122" i="19"/>
  <c r="AS149" i="19" s="1"/>
  <c r="AW94" i="19"/>
  <c r="AV94" i="19"/>
  <c r="BS92" i="10"/>
  <c r="BR92" i="10"/>
  <c r="CD136" i="19"/>
  <c r="BV152" i="19" s="1"/>
  <c r="CC136" i="19"/>
  <c r="BU152" i="19" s="1"/>
  <c r="CC140" i="10"/>
  <c r="CC152" i="10" s="1"/>
  <c r="CD140" i="10"/>
  <c r="CD152" i="10" s="1"/>
  <c r="AV128" i="16"/>
  <c r="BE149" i="16" s="1"/>
  <c r="AW128" i="16"/>
  <c r="BF149" i="16" s="1"/>
  <c r="CN142" i="19"/>
  <c r="CG153" i="19" s="1"/>
  <c r="CO142" i="19"/>
  <c r="CH153" i="19" s="1"/>
  <c r="BC247" i="10"/>
  <c r="BD220" i="10"/>
  <c r="BD247" i="10" s="1"/>
  <c r="BR130" i="10"/>
  <c r="BI151" i="10" s="1"/>
  <c r="BS130" i="10"/>
  <c r="BJ151" i="10" s="1"/>
  <c r="AZ228" i="19"/>
  <c r="BY101" i="19"/>
  <c r="CB101" i="19"/>
  <c r="CA101" i="19"/>
  <c r="BY92" i="19"/>
  <c r="CB92" i="19"/>
  <c r="CA92" i="19"/>
  <c r="BY101" i="16"/>
  <c r="CB101" i="16"/>
  <c r="CA101" i="16"/>
  <c r="BY92" i="16"/>
  <c r="AZ218" i="16"/>
  <c r="CA92" i="16"/>
  <c r="CB92" i="16"/>
  <c r="BY108" i="16"/>
  <c r="CB108" i="16"/>
  <c r="CA108" i="16"/>
  <c r="AZ235" i="16"/>
  <c r="CA99" i="16"/>
  <c r="AZ225" i="16"/>
  <c r="CB99" i="16"/>
  <c r="G200" i="10"/>
  <c r="J200" i="10" s="1"/>
  <c r="E200" i="10"/>
  <c r="H200" i="10" s="1"/>
  <c r="C11" i="10"/>
  <c r="AA301" i="10" s="1"/>
  <c r="Z301" i="10"/>
  <c r="C15" i="10"/>
  <c r="AA305" i="10" s="1"/>
  <c r="Z305" i="10"/>
  <c r="AM534" i="10"/>
  <c r="AM535" i="10" s="1"/>
  <c r="AN533" i="10"/>
  <c r="AO533" i="10" s="1"/>
  <c r="BN164" i="16"/>
  <c r="BM164" i="16"/>
  <c r="BF258" i="19"/>
  <c r="BE258" i="19"/>
  <c r="BV164" i="16"/>
  <c r="BU164" i="16"/>
  <c r="BU165" i="16" s="1"/>
  <c r="CH162" i="10"/>
  <c r="CG162" i="10"/>
  <c r="BP253" i="10"/>
  <c r="BO253" i="10"/>
  <c r="BX255" i="10"/>
  <c r="BW255" i="10"/>
  <c r="CY127" i="16"/>
  <c r="BC154" i="16" s="1"/>
  <c r="CZ127" i="16"/>
  <c r="BD154" i="16" s="1"/>
  <c r="CZ101" i="16"/>
  <c r="CY101" i="16"/>
  <c r="CY142" i="16"/>
  <c r="CG154" i="16" s="1"/>
  <c r="CZ142" i="16"/>
  <c r="CH154" i="16" s="1"/>
  <c r="CY106" i="16"/>
  <c r="CZ106" i="16"/>
  <c r="DK105" i="16"/>
  <c r="DJ105" i="16"/>
  <c r="BG120" i="10"/>
  <c r="AO150" i="10" s="1"/>
  <c r="AU223" i="10"/>
  <c r="BJ244" i="10" s="1"/>
  <c r="BI244" i="10"/>
  <c r="CN133" i="16"/>
  <c r="BO153" i="16" s="1"/>
  <c r="CO133" i="16"/>
  <c r="BP153" i="16" s="1"/>
  <c r="BO161" i="16" s="1"/>
  <c r="AW129" i="19"/>
  <c r="BH149" i="19" s="1"/>
  <c r="BR134" i="10"/>
  <c r="BQ151" i="10" s="1"/>
  <c r="BS134" i="10"/>
  <c r="BR151" i="10" s="1"/>
  <c r="BS96" i="10"/>
  <c r="BR96" i="10"/>
  <c r="BR88" i="10"/>
  <c r="BS88" i="10"/>
  <c r="CK245" i="10"/>
  <c r="AX237" i="10"/>
  <c r="CL245" i="10" s="1"/>
  <c r="CC141" i="10"/>
  <c r="CE152" i="10" s="1"/>
  <c r="CD141" i="10"/>
  <c r="CF152" i="10" s="1"/>
  <c r="BG100" i="16"/>
  <c r="BH100" i="16"/>
  <c r="BG247" i="10"/>
  <c r="BD222" i="10"/>
  <c r="BH247" i="10" s="1"/>
  <c r="AV138" i="10"/>
  <c r="BY149" i="10" s="1"/>
  <c r="AW138" i="10"/>
  <c r="BZ149" i="10" s="1"/>
  <c r="BR106" i="19"/>
  <c r="BS106" i="19"/>
  <c r="CZ111" i="10"/>
  <c r="CY111" i="10"/>
  <c r="CY136" i="10"/>
  <c r="BU154" i="10" s="1"/>
  <c r="CZ136" i="10"/>
  <c r="BV154" i="10" s="1"/>
  <c r="CY92" i="10"/>
  <c r="CZ92" i="10"/>
  <c r="AY243" i="19"/>
  <c r="AR218" i="19"/>
  <c r="AZ243" i="19" s="1"/>
  <c r="AV137" i="16"/>
  <c r="BW149" i="16" s="1"/>
  <c r="AW137" i="16"/>
  <c r="BX149" i="16" s="1"/>
  <c r="CN139" i="19"/>
  <c r="CA153" i="19" s="1"/>
  <c r="CO139" i="19"/>
  <c r="CB153" i="19" s="1"/>
  <c r="CO137" i="10"/>
  <c r="BX153" i="10" s="1"/>
  <c r="CN137" i="10"/>
  <c r="BW153" i="10" s="1"/>
  <c r="AV143" i="10"/>
  <c r="CI149" i="10" s="1"/>
  <c r="AW143" i="10"/>
  <c r="CJ149" i="10" s="1"/>
  <c r="CY95" i="19"/>
  <c r="CZ95" i="19"/>
  <c r="BH100" i="19"/>
  <c r="BG100" i="19"/>
  <c r="CY96" i="10"/>
  <c r="CZ96" i="10"/>
  <c r="CC138" i="16"/>
  <c r="BY152" i="16" s="1"/>
  <c r="CD138" i="16"/>
  <c r="BZ152" i="16" s="1"/>
  <c r="CY141" i="10"/>
  <c r="CE154" i="10" s="1"/>
  <c r="CZ141" i="10"/>
  <c r="CF154" i="10" s="1"/>
  <c r="BF216" i="10"/>
  <c r="CW90" i="10"/>
  <c r="CX95" i="10"/>
  <c r="CZ95" i="10" s="1"/>
  <c r="BF221" i="10"/>
  <c r="BN126" i="19"/>
  <c r="BQ126" i="19" s="1"/>
  <c r="BP126" i="19"/>
  <c r="BP123" i="19"/>
  <c r="BN123" i="19"/>
  <c r="BQ123" i="19" s="1"/>
  <c r="BP130" i="19"/>
  <c r="BN130" i="19"/>
  <c r="BQ130" i="19" s="1"/>
  <c r="BP102" i="19"/>
  <c r="BN102" i="19"/>
  <c r="BQ102" i="19" s="1"/>
  <c r="AW229" i="19"/>
  <c r="BG122" i="19"/>
  <c r="AS150" i="19" s="1"/>
  <c r="BH122" i="19"/>
  <c r="AT150" i="19" s="1"/>
  <c r="BC143" i="19"/>
  <c r="BF143" i="19" s="1"/>
  <c r="BE143" i="19"/>
  <c r="BE130" i="19"/>
  <c r="BC130" i="19"/>
  <c r="BF130" i="19" s="1"/>
  <c r="BF106" i="19"/>
  <c r="BE106" i="19"/>
  <c r="BE127" i="19"/>
  <c r="BC127" i="19"/>
  <c r="BF127" i="19" s="1"/>
  <c r="BC135" i="19"/>
  <c r="BF135" i="19" s="1"/>
  <c r="BE135" i="19"/>
  <c r="BF112" i="19"/>
  <c r="BE112" i="19"/>
  <c r="D538" i="10"/>
  <c r="E538" i="10" s="1"/>
  <c r="C539" i="10"/>
  <c r="BL254" i="16"/>
  <c r="BJ231" i="16"/>
  <c r="BZ242" i="16" s="1"/>
  <c r="BZ253" i="16" s="1"/>
  <c r="CZ136" i="16"/>
  <c r="BV154" i="16" s="1"/>
  <c r="CI242" i="10"/>
  <c r="CY132" i="16"/>
  <c r="BM154" i="16" s="1"/>
  <c r="CZ132" i="16"/>
  <c r="BN154" i="16" s="1"/>
  <c r="BG216" i="16"/>
  <c r="AV248" i="16" s="1"/>
  <c r="AV259" i="16" s="1"/>
  <c r="AU248" i="16"/>
  <c r="AU259" i="16" s="1"/>
  <c r="DK100" i="10"/>
  <c r="DJ100" i="10"/>
  <c r="DK123" i="10"/>
  <c r="AV148" i="10" s="1"/>
  <c r="DJ123" i="10"/>
  <c r="AU148" i="10" s="1"/>
  <c r="CY137" i="16"/>
  <c r="BW154" i="16" s="1"/>
  <c r="DJ97" i="16"/>
  <c r="DK97" i="16"/>
  <c r="DJ111" i="10"/>
  <c r="DK111" i="10"/>
  <c r="DK90" i="10"/>
  <c r="DJ90" i="10"/>
  <c r="CC245" i="10"/>
  <c r="AX233" i="10"/>
  <c r="CD245" i="10" s="1"/>
  <c r="AX230" i="10"/>
  <c r="BX245" i="10" s="1"/>
  <c r="BW245" i="10"/>
  <c r="BK246" i="19"/>
  <c r="BA224" i="19"/>
  <c r="BL246" i="19" s="1"/>
  <c r="AV95" i="16"/>
  <c r="AW95" i="16"/>
  <c r="AV107" i="16"/>
  <c r="AW107" i="16"/>
  <c r="CN127" i="19"/>
  <c r="BC153" i="19" s="1"/>
  <c r="CO127" i="19"/>
  <c r="BD153" i="19" s="1"/>
  <c r="BC247" i="19"/>
  <c r="BD220" i="19"/>
  <c r="BD247" i="19" s="1"/>
  <c r="CO140" i="10"/>
  <c r="CD153" i="10" s="1"/>
  <c r="CN134" i="10"/>
  <c r="BQ153" i="10" s="1"/>
  <c r="CZ90" i="19"/>
  <c r="BG107" i="19"/>
  <c r="BH107" i="19"/>
  <c r="BS94" i="19"/>
  <c r="BR91" i="10"/>
  <c r="BR122" i="10"/>
  <c r="AS151" i="10" s="1"/>
  <c r="CC138" i="19"/>
  <c r="BY152" i="19" s="1"/>
  <c r="CD138" i="19"/>
  <c r="BZ152" i="19" s="1"/>
  <c r="CD110" i="19"/>
  <c r="CD96" i="10"/>
  <c r="CC135" i="10"/>
  <c r="BS152" i="10" s="1"/>
  <c r="CD135" i="10"/>
  <c r="BT152" i="10" s="1"/>
  <c r="CC90" i="10"/>
  <c r="CD90" i="10"/>
  <c r="BD217" i="19"/>
  <c r="AX247" i="19" s="1"/>
  <c r="AW247" i="19"/>
  <c r="CN109" i="19"/>
  <c r="CO109" i="19"/>
  <c r="BH93" i="19"/>
  <c r="CY140" i="10"/>
  <c r="CC154" i="10" s="1"/>
  <c r="CZ140" i="10"/>
  <c r="CD154" i="10" s="1"/>
  <c r="CY105" i="10"/>
  <c r="BB24" i="14"/>
  <c r="CN130" i="19"/>
  <c r="BI153" i="19" s="1"/>
  <c r="CO130" i="19"/>
  <c r="BJ153" i="19" s="1"/>
  <c r="DJ130" i="10"/>
  <c r="BI148" i="10" s="1"/>
  <c r="DK130" i="10"/>
  <c r="BJ148" i="10" s="1"/>
  <c r="E17" i="18"/>
  <c r="L28" i="14"/>
  <c r="M28" i="14" s="1"/>
  <c r="H28" i="14"/>
  <c r="F17" i="18" s="1"/>
  <c r="CC131" i="19"/>
  <c r="BK152" i="19" s="1"/>
  <c r="CD131" i="19"/>
  <c r="BL152" i="19" s="1"/>
  <c r="DF97" i="19"/>
  <c r="DI97" i="19"/>
  <c r="DJ97" i="19" s="1"/>
  <c r="DF94" i="19"/>
  <c r="DI94" i="19"/>
  <c r="DH94" i="19"/>
  <c r="AK315" i="10"/>
  <c r="AL315" i="10"/>
  <c r="AG323" i="10"/>
  <c r="AH323" i="10"/>
  <c r="R198" i="10"/>
  <c r="P198" i="10"/>
  <c r="S198" i="10" s="1"/>
  <c r="AE195" i="16"/>
  <c r="AH195" i="16" s="1"/>
  <c r="AG195" i="16"/>
  <c r="BT253" i="16"/>
  <c r="AS257" i="10"/>
  <c r="AS256" i="10" s="1"/>
  <c r="AT257" i="10"/>
  <c r="AT256" i="10" s="1"/>
  <c r="AS248" i="16"/>
  <c r="AS259" i="16" s="1"/>
  <c r="AS258" i="16" s="1"/>
  <c r="AS257" i="16" s="1"/>
  <c r="BG215" i="16"/>
  <c r="AT248" i="16" s="1"/>
  <c r="AT259" i="16" s="1"/>
  <c r="CZ109" i="16"/>
  <c r="CY109" i="16"/>
  <c r="DJ91" i="16"/>
  <c r="DK91" i="16"/>
  <c r="BH121" i="10"/>
  <c r="AR150" i="10" s="1"/>
  <c r="DK134" i="16"/>
  <c r="BR148" i="16" s="1"/>
  <c r="BR156" i="16" s="1"/>
  <c r="BW242" i="10"/>
  <c r="BJ230" i="10"/>
  <c r="BX242" i="10" s="1"/>
  <c r="AV129" i="19"/>
  <c r="BG149" i="19" s="1"/>
  <c r="BS100" i="10"/>
  <c r="BR100" i="10"/>
  <c r="N31" i="14"/>
  <c r="BI243" i="16"/>
  <c r="AR223" i="16"/>
  <c r="BJ243" i="16" s="1"/>
  <c r="BG123" i="16"/>
  <c r="AU150" i="16" s="1"/>
  <c r="AW101" i="10"/>
  <c r="AV101" i="10"/>
  <c r="CZ139" i="19"/>
  <c r="CB154" i="19" s="1"/>
  <c r="CY139" i="19"/>
  <c r="CA154" i="19" s="1"/>
  <c r="BC245" i="19"/>
  <c r="AX220" i="19"/>
  <c r="BD245" i="19" s="1"/>
  <c r="BS133" i="19"/>
  <c r="BP151" i="19" s="1"/>
  <c r="BR133" i="19"/>
  <c r="BO151" i="19" s="1"/>
  <c r="BS111" i="10"/>
  <c r="BR111" i="10"/>
  <c r="CC104" i="19"/>
  <c r="CD104" i="19"/>
  <c r="CI246" i="10"/>
  <c r="BA236" i="10"/>
  <c r="CJ246" i="10" s="1"/>
  <c r="CC138" i="10"/>
  <c r="BY152" i="10" s="1"/>
  <c r="CD138" i="10"/>
  <c r="BZ152" i="10" s="1"/>
  <c r="AW135" i="16"/>
  <c r="BT149" i="16" s="1"/>
  <c r="AV135" i="16"/>
  <c r="BS149" i="16" s="1"/>
  <c r="CG244" i="16"/>
  <c r="AU235" i="16"/>
  <c r="CH244" i="16" s="1"/>
  <c r="CN102" i="19"/>
  <c r="CO102" i="19"/>
  <c r="BG95" i="19"/>
  <c r="BH95" i="19"/>
  <c r="CC129" i="19"/>
  <c r="BG152" i="19" s="1"/>
  <c r="CD129" i="19"/>
  <c r="BH152" i="19" s="1"/>
  <c r="BK164" i="16"/>
  <c r="BL164" i="16"/>
  <c r="BC136" i="16"/>
  <c r="BF136" i="16" s="1"/>
  <c r="BE136" i="16"/>
  <c r="BC107" i="16"/>
  <c r="BF107" i="16"/>
  <c r="BH107" i="16" s="1"/>
  <c r="BC128" i="16"/>
  <c r="BF128" i="16" s="1"/>
  <c r="BE128" i="16"/>
  <c r="AU227" i="16"/>
  <c r="BR244" i="16" s="1"/>
  <c r="BQ244" i="16"/>
  <c r="AQ214" i="16"/>
  <c r="AT88" i="16"/>
  <c r="AR88" i="16"/>
  <c r="AR98" i="16"/>
  <c r="AU98" i="16"/>
  <c r="AV98" i="16" s="1"/>
  <c r="AT138" i="16"/>
  <c r="AR138" i="16"/>
  <c r="AU138" i="16" s="1"/>
  <c r="AT100" i="16"/>
  <c r="AR100" i="16"/>
  <c r="AU100" i="16" s="1"/>
  <c r="AQ227" i="16"/>
  <c r="AQ229" i="16"/>
  <c r="AR102" i="16"/>
  <c r="AU102" i="16" s="1"/>
  <c r="AT102" i="16"/>
  <c r="H33" i="14"/>
  <c r="F22" i="18" s="1"/>
  <c r="BN91" i="10"/>
  <c r="AW217" i="10"/>
  <c r="BN102" i="10"/>
  <c r="BQ102" i="10" s="1"/>
  <c r="BP102" i="10"/>
  <c r="AW229" i="10"/>
  <c r="BP141" i="10"/>
  <c r="BN141" i="10"/>
  <c r="BQ141" i="10" s="1"/>
  <c r="BP99" i="10"/>
  <c r="BQ99" i="10"/>
  <c r="AW225" i="10"/>
  <c r="BQ104" i="10"/>
  <c r="BP104" i="10"/>
  <c r="AW231" i="10"/>
  <c r="AT138" i="19"/>
  <c r="AR138" i="19"/>
  <c r="AU138" i="19" s="1"/>
  <c r="AT92" i="19"/>
  <c r="AU92" i="19"/>
  <c r="AT136" i="19"/>
  <c r="AR136" i="19"/>
  <c r="AU136" i="19" s="1"/>
  <c r="CC131" i="16"/>
  <c r="BK152" i="16" s="1"/>
  <c r="CD131" i="16"/>
  <c r="BL152" i="16" s="1"/>
  <c r="CZ88" i="19"/>
  <c r="CZ89" i="16"/>
  <c r="CY89" i="16"/>
  <c r="AS242" i="16"/>
  <c r="BJ215" i="16"/>
  <c r="AT242" i="16" s="1"/>
  <c r="DK139" i="16"/>
  <c r="CB148" i="16" s="1"/>
  <c r="DJ139" i="16"/>
  <c r="CA148" i="16" s="1"/>
  <c r="DK133" i="10"/>
  <c r="BP148" i="10" s="1"/>
  <c r="DJ133" i="10"/>
  <c r="BO148" i="10" s="1"/>
  <c r="BG242" i="10"/>
  <c r="BJ222" i="10"/>
  <c r="BH242" i="10" s="1"/>
  <c r="BG88" i="10"/>
  <c r="CO126" i="16"/>
  <c r="BB153" i="16" s="1"/>
  <c r="BB169" i="16" s="1"/>
  <c r="CZ97" i="16"/>
  <c r="CY97" i="16"/>
  <c r="AY242" i="16"/>
  <c r="BJ218" i="16"/>
  <c r="AZ242" i="16" s="1"/>
  <c r="DJ96" i="16"/>
  <c r="DK96" i="16"/>
  <c r="DJ88" i="16"/>
  <c r="DK88" i="16"/>
  <c r="DK109" i="19"/>
  <c r="DJ109" i="19"/>
  <c r="DJ124" i="10"/>
  <c r="AW148" i="10" s="1"/>
  <c r="DJ103" i="10"/>
  <c r="DK103" i="10"/>
  <c r="DK138" i="10"/>
  <c r="BZ148" i="10" s="1"/>
  <c r="BY164" i="10" s="1"/>
  <c r="BY165" i="10" s="1"/>
  <c r="BY166" i="10" s="1"/>
  <c r="DJ139" i="10"/>
  <c r="CA148" i="10" s="1"/>
  <c r="AW105" i="19"/>
  <c r="AV105" i="19"/>
  <c r="AW121" i="19"/>
  <c r="AR149" i="19" s="1"/>
  <c r="AV121" i="19"/>
  <c r="AQ149" i="19" s="1"/>
  <c r="AV137" i="19"/>
  <c r="BW149" i="19" s="1"/>
  <c r="AW137" i="19"/>
  <c r="BX149" i="19" s="1"/>
  <c r="CD99" i="19"/>
  <c r="CC99" i="19"/>
  <c r="CC124" i="10"/>
  <c r="AW152" i="10" s="1"/>
  <c r="CD124" i="10"/>
  <c r="AX152" i="10" s="1"/>
  <c r="N33" i="14"/>
  <c r="AV96" i="16"/>
  <c r="BG103" i="16"/>
  <c r="CO111" i="19"/>
  <c r="CN111" i="19"/>
  <c r="CN125" i="19"/>
  <c r="AY153" i="19" s="1"/>
  <c r="CO125" i="19"/>
  <c r="AZ153" i="19" s="1"/>
  <c r="CO142" i="10"/>
  <c r="CH153" i="10" s="1"/>
  <c r="CH161" i="10" s="1"/>
  <c r="AV126" i="10"/>
  <c r="BA149" i="10" s="1"/>
  <c r="AW126" i="10"/>
  <c r="BB149" i="10" s="1"/>
  <c r="CY92" i="19"/>
  <c r="CZ92" i="19"/>
  <c r="BH139" i="19"/>
  <c r="CB150" i="19" s="1"/>
  <c r="BG139" i="19"/>
  <c r="CA150" i="19" s="1"/>
  <c r="CY126" i="10"/>
  <c r="BA154" i="10" s="1"/>
  <c r="CZ126" i="10"/>
  <c r="BB154" i="10" s="1"/>
  <c r="CY99" i="10"/>
  <c r="CZ99" i="10"/>
  <c r="BR125" i="10"/>
  <c r="AY151" i="10" s="1"/>
  <c r="BS125" i="10"/>
  <c r="AZ151" i="10" s="1"/>
  <c r="CD139" i="19"/>
  <c r="CB152" i="19" s="1"/>
  <c r="CD126" i="19"/>
  <c r="BB152" i="19" s="1"/>
  <c r="CD132" i="10"/>
  <c r="BN152" i="10" s="1"/>
  <c r="CC132" i="10"/>
  <c r="BM152" i="10" s="1"/>
  <c r="BG143" i="16"/>
  <c r="CI150" i="16" s="1"/>
  <c r="BH143" i="16"/>
  <c r="CJ150" i="16" s="1"/>
  <c r="CO93" i="10"/>
  <c r="CN93" i="10"/>
  <c r="BG89" i="19"/>
  <c r="BH89" i="19"/>
  <c r="BS90" i="19"/>
  <c r="BR90" i="19"/>
  <c r="BK161" i="19"/>
  <c r="BE91" i="16"/>
  <c r="BC91" i="16"/>
  <c r="BF91" i="16"/>
  <c r="AT217" i="16"/>
  <c r="BG99" i="16"/>
  <c r="BH99" i="16"/>
  <c r="BC106" i="16"/>
  <c r="AT233" i="16"/>
  <c r="BF106" i="16"/>
  <c r="BH106" i="16" s="1"/>
  <c r="BG108" i="16"/>
  <c r="BE110" i="16"/>
  <c r="BC110" i="16"/>
  <c r="BF110" i="16"/>
  <c r="AT237" i="16"/>
  <c r="AR112" i="16"/>
  <c r="AU112" i="16"/>
  <c r="AT112" i="16"/>
  <c r="AU89" i="16"/>
  <c r="AR89" i="16"/>
  <c r="AR122" i="16"/>
  <c r="AU122" i="16" s="1"/>
  <c r="AT122" i="16"/>
  <c r="AR109" i="16"/>
  <c r="AU109" i="16"/>
  <c r="AT109" i="16"/>
  <c r="AR111" i="16"/>
  <c r="AU111" i="16"/>
  <c r="AT111" i="16"/>
  <c r="DH106" i="19"/>
  <c r="DI106" i="19"/>
  <c r="DH94" i="16"/>
  <c r="BI220" i="16"/>
  <c r="CO96" i="16"/>
  <c r="AM518" i="10"/>
  <c r="AN517" i="10"/>
  <c r="AO517" i="10" s="1"/>
  <c r="G321" i="10"/>
  <c r="E321" i="10"/>
  <c r="H321" i="10" s="1"/>
  <c r="CN112" i="16"/>
  <c r="CO112" i="16"/>
  <c r="CY91" i="16"/>
  <c r="DJ104" i="16"/>
  <c r="DK104" i="16"/>
  <c r="BH100" i="10"/>
  <c r="BG100" i="10"/>
  <c r="CA248" i="16"/>
  <c r="CA259" i="16" s="1"/>
  <c r="BG232" i="16"/>
  <c r="CB248" i="16" s="1"/>
  <c r="CB259" i="16" s="1"/>
  <c r="DJ101" i="16"/>
  <c r="DK123" i="16"/>
  <c r="AV148" i="16" s="1"/>
  <c r="DJ123" i="16"/>
  <c r="AU148" i="16" s="1"/>
  <c r="DK140" i="19"/>
  <c r="CD148" i="19" s="1"/>
  <c r="DJ140" i="19"/>
  <c r="CC148" i="19" s="1"/>
  <c r="DK121" i="10"/>
  <c r="AR148" i="10" s="1"/>
  <c r="DJ121" i="10"/>
  <c r="AQ148" i="10" s="1"/>
  <c r="DJ89" i="10"/>
  <c r="BH143" i="10"/>
  <c r="CJ150" i="10" s="1"/>
  <c r="BG122" i="10"/>
  <c r="AS150" i="10" s="1"/>
  <c r="BH122" i="10"/>
  <c r="AT150" i="10" s="1"/>
  <c r="AV96" i="19"/>
  <c r="AW96" i="19"/>
  <c r="BR126" i="10"/>
  <c r="BA151" i="10" s="1"/>
  <c r="BS126" i="10"/>
  <c r="BB151" i="10" s="1"/>
  <c r="AQ246" i="19"/>
  <c r="BA214" i="19"/>
  <c r="AR246" i="19" s="1"/>
  <c r="BM246" i="19"/>
  <c r="AZ226" i="19"/>
  <c r="BO246" i="19" s="1"/>
  <c r="BN168" i="19"/>
  <c r="BN160" i="19"/>
  <c r="CC97" i="10"/>
  <c r="CD97" i="10"/>
  <c r="CC123" i="10"/>
  <c r="AU152" i="10" s="1"/>
  <c r="CD123" i="10"/>
  <c r="AV152" i="10" s="1"/>
  <c r="BG141" i="19"/>
  <c r="CE150" i="19" s="1"/>
  <c r="BH141" i="19"/>
  <c r="CF150" i="19" s="1"/>
  <c r="BR111" i="19"/>
  <c r="BS111" i="19"/>
  <c r="AW132" i="19"/>
  <c r="BN149" i="19" s="1"/>
  <c r="BS95" i="10"/>
  <c r="BR95" i="10"/>
  <c r="BS135" i="10"/>
  <c r="BT151" i="10" s="1"/>
  <c r="BR135" i="10"/>
  <c r="BS151" i="10" s="1"/>
  <c r="CD96" i="19"/>
  <c r="CC96" i="19"/>
  <c r="AW98" i="16"/>
  <c r="BH141" i="16"/>
  <c r="CF150" i="16" s="1"/>
  <c r="CO103" i="19"/>
  <c r="CN103" i="19"/>
  <c r="AY247" i="19"/>
  <c r="BD218" i="19"/>
  <c r="AZ247" i="19" s="1"/>
  <c r="CN135" i="10"/>
  <c r="BS153" i="10" s="1"/>
  <c r="CO135" i="10"/>
  <c r="BT153" i="10" s="1"/>
  <c r="AV109" i="10"/>
  <c r="AW109" i="10"/>
  <c r="AV122" i="10"/>
  <c r="AS149" i="10" s="1"/>
  <c r="BQ244" i="19"/>
  <c r="AU227" i="19"/>
  <c r="BR244" i="19" s="1"/>
  <c r="CY134" i="10"/>
  <c r="BQ154" i="10" s="1"/>
  <c r="CZ134" i="10"/>
  <c r="BR154" i="10" s="1"/>
  <c r="CN129" i="10"/>
  <c r="BG153" i="10" s="1"/>
  <c r="CO129" i="10"/>
  <c r="BH153" i="10" s="1"/>
  <c r="BC97" i="16"/>
  <c r="BF97" i="16"/>
  <c r="BC94" i="16"/>
  <c r="BF94" i="16"/>
  <c r="BH94" i="16" s="1"/>
  <c r="AT220" i="16"/>
  <c r="BC101" i="16"/>
  <c r="BF101" i="16" s="1"/>
  <c r="BE101" i="16"/>
  <c r="AT228" i="16"/>
  <c r="BG125" i="16"/>
  <c r="AY150" i="16" s="1"/>
  <c r="BH125" i="16"/>
  <c r="AZ150" i="16" s="1"/>
  <c r="AT219" i="16"/>
  <c r="BE93" i="16"/>
  <c r="BC93" i="16"/>
  <c r="BF93" i="16"/>
  <c r="AV97" i="16"/>
  <c r="AW97" i="16"/>
  <c r="AQ231" i="16"/>
  <c r="AR104" i="16"/>
  <c r="AU104" i="16"/>
  <c r="AT104" i="16"/>
  <c r="AW99" i="16"/>
  <c r="AQ228" i="16"/>
  <c r="AR101" i="16"/>
  <c r="AU101" i="16" s="1"/>
  <c r="AV101" i="16" s="1"/>
  <c r="G300" i="10"/>
  <c r="E300" i="10"/>
  <c r="H300" i="10" s="1"/>
  <c r="Z319" i="10"/>
  <c r="C29" i="10"/>
  <c r="AA319" i="10" s="1"/>
  <c r="BF159" i="10"/>
  <c r="CD129" i="10"/>
  <c r="BH152" i="10" s="1"/>
  <c r="BP112" i="10"/>
  <c r="BN112" i="10"/>
  <c r="BQ112" i="10"/>
  <c r="BN129" i="10"/>
  <c r="BQ129" i="10" s="1"/>
  <c r="BP129" i="10"/>
  <c r="M256" i="8"/>
  <c r="AD289" i="10"/>
  <c r="AD281" i="10"/>
  <c r="AD270" i="10"/>
  <c r="AD262" i="10"/>
  <c r="AD253" i="10"/>
  <c r="AD245" i="10"/>
  <c r="AD287" i="10"/>
  <c r="AD279" i="10"/>
  <c r="AD268" i="10"/>
  <c r="AD260" i="10"/>
  <c r="AD251" i="10"/>
  <c r="AD243" i="10"/>
  <c r="S335" i="10"/>
  <c r="AD286" i="10"/>
  <c r="AD278" i="10"/>
  <c r="AD267" i="10"/>
  <c r="AD259" i="10"/>
  <c r="AD250" i="10"/>
  <c r="AD242" i="10"/>
  <c r="AG242" i="10" s="1"/>
  <c r="AD284" i="10"/>
  <c r="AD264" i="10"/>
  <c r="AD249" i="10"/>
  <c r="AD283" i="10"/>
  <c r="AD274" i="10"/>
  <c r="AD263" i="10"/>
  <c r="AD248" i="10"/>
  <c r="H195" i="10"/>
  <c r="H212" i="10"/>
  <c r="S315" i="10"/>
  <c r="AD282" i="10"/>
  <c r="AD273" i="10"/>
  <c r="AD261" i="10"/>
  <c r="AD247" i="10"/>
  <c r="H219" i="10"/>
  <c r="H335" i="10"/>
  <c r="AD276" i="10"/>
  <c r="AD258" i="10"/>
  <c r="AH177" i="10"/>
  <c r="AJ177" i="10" s="1"/>
  <c r="AD275" i="10"/>
  <c r="AD256" i="10"/>
  <c r="AH207" i="10"/>
  <c r="H315" i="10"/>
  <c r="S295" i="10"/>
  <c r="AD257" i="10"/>
  <c r="AD255" i="10"/>
  <c r="H215" i="10"/>
  <c r="AD288" i="10"/>
  <c r="AD271" i="10"/>
  <c r="AD252" i="10"/>
  <c r="AH185" i="10"/>
  <c r="AD269" i="10"/>
  <c r="AH237" i="10"/>
  <c r="AJ237" i="10" s="1"/>
  <c r="AD266" i="10"/>
  <c r="S195" i="10"/>
  <c r="T195" i="10" s="1"/>
  <c r="S309" i="10"/>
  <c r="AD265" i="10"/>
  <c r="AH178" i="10"/>
  <c r="AI178" i="10" s="1"/>
  <c r="AH182" i="10"/>
  <c r="AJ182" i="10" s="1"/>
  <c r="H230" i="10"/>
  <c r="H258" i="10"/>
  <c r="AD254" i="10"/>
  <c r="AD244" i="10"/>
  <c r="AD241" i="10"/>
  <c r="AG241" i="10" s="1"/>
  <c r="H251" i="10"/>
  <c r="AD285" i="10"/>
  <c r="J193" i="10"/>
  <c r="R229" i="10"/>
  <c r="P229" i="10"/>
  <c r="S229" i="10" s="1"/>
  <c r="S232" i="10"/>
  <c r="Z321" i="10"/>
  <c r="C31" i="10"/>
  <c r="AA321" i="10" s="1"/>
  <c r="C58" i="10"/>
  <c r="AA348" i="10" s="1"/>
  <c r="AC348" i="10" s="1"/>
  <c r="Z348" i="10"/>
  <c r="S355" i="10"/>
  <c r="T355" i="10" s="1"/>
  <c r="CN130" i="10"/>
  <c r="BI153" i="10" s="1"/>
  <c r="CO130" i="10"/>
  <c r="BJ153" i="10" s="1"/>
  <c r="CD128" i="16"/>
  <c r="BF152" i="16" s="1"/>
  <c r="CC128" i="16"/>
  <c r="BE152" i="16" s="1"/>
  <c r="CC102" i="16"/>
  <c r="CD102" i="16"/>
  <c r="BM131" i="16"/>
  <c r="BP131" i="16" s="1"/>
  <c r="BM111" i="16"/>
  <c r="BM123" i="16"/>
  <c r="BM109" i="16"/>
  <c r="BM142" i="16"/>
  <c r="BM104" i="16"/>
  <c r="BM125" i="16"/>
  <c r="BM108" i="16"/>
  <c r="BM120" i="16"/>
  <c r="BM96" i="16"/>
  <c r="BM126" i="16"/>
  <c r="BM112" i="16"/>
  <c r="BM124" i="16"/>
  <c r="BM105" i="16"/>
  <c r="BM121" i="16"/>
  <c r="BN99" i="16"/>
  <c r="AX225" i="16" s="1"/>
  <c r="BM106" i="16"/>
  <c r="BM88" i="16"/>
  <c r="BM122" i="16"/>
  <c r="BM132" i="16"/>
  <c r="BM102" i="16"/>
  <c r="BM130" i="16"/>
  <c r="BM110" i="16"/>
  <c r="BM141" i="16"/>
  <c r="BM140" i="16"/>
  <c r="BM127" i="16"/>
  <c r="BM98" i="16"/>
  <c r="BM128" i="16"/>
  <c r="BM139" i="16"/>
  <c r="BM95" i="16"/>
  <c r="BM100" i="16"/>
  <c r="BM93" i="16"/>
  <c r="BM92" i="16"/>
  <c r="BM135" i="16"/>
  <c r="BM107" i="16"/>
  <c r="BM99" i="16"/>
  <c r="BM91" i="16"/>
  <c r="BM137" i="16"/>
  <c r="BM97" i="16"/>
  <c r="BM143" i="16"/>
  <c r="BM90" i="16"/>
  <c r="BM129" i="16"/>
  <c r="BM101" i="16"/>
  <c r="BM134" i="16"/>
  <c r="BM94" i="16"/>
  <c r="BM133" i="16"/>
  <c r="BM103" i="16"/>
  <c r="BM89" i="16"/>
  <c r="BM138" i="16"/>
  <c r="A93" i="8"/>
  <c r="B93" i="8" s="1"/>
  <c r="A90" i="8"/>
  <c r="AG511" i="10"/>
  <c r="AG512" i="10" s="1"/>
  <c r="AG513" i="10" s="1"/>
  <c r="AG514" i="10" s="1"/>
  <c r="AG515" i="10" s="1"/>
  <c r="AG516" i="10" s="1"/>
  <c r="AG517" i="10" s="1"/>
  <c r="AH510" i="10"/>
  <c r="AI510" i="10" s="1"/>
  <c r="Z334" i="10"/>
  <c r="C44" i="10"/>
  <c r="AA334" i="10" s="1"/>
  <c r="R336" i="10"/>
  <c r="AC339" i="10"/>
  <c r="C52" i="10"/>
  <c r="AA342" i="10" s="1"/>
  <c r="AC342" i="10" s="1"/>
  <c r="Z342" i="10"/>
  <c r="AV130" i="19"/>
  <c r="BI149" i="19" s="1"/>
  <c r="AW130" i="19"/>
  <c r="BJ149" i="19" s="1"/>
  <c r="CZ129" i="19"/>
  <c r="BH154" i="19" s="1"/>
  <c r="CY129" i="19"/>
  <c r="BG154" i="19" s="1"/>
  <c r="CZ128" i="19"/>
  <c r="BF154" i="19" s="1"/>
  <c r="CY128" i="19"/>
  <c r="BE154" i="19" s="1"/>
  <c r="CJ112" i="19"/>
  <c r="CM112" i="19"/>
  <c r="CL112" i="19"/>
  <c r="BR131" i="10"/>
  <c r="BK151" i="10" s="1"/>
  <c r="AV131" i="19"/>
  <c r="BK149" i="19" s="1"/>
  <c r="AW131" i="19"/>
  <c r="BL149" i="19" s="1"/>
  <c r="M172" i="8"/>
  <c r="M287" i="8"/>
  <c r="AG547" i="10"/>
  <c r="AH546" i="10"/>
  <c r="AI546" i="10" s="1"/>
  <c r="J230" i="10"/>
  <c r="I230" i="10"/>
  <c r="C53" i="10"/>
  <c r="AA343" i="10" s="1"/>
  <c r="Z343" i="10"/>
  <c r="AD36" i="14"/>
  <c r="CD124" i="16"/>
  <c r="AX152" i="16" s="1"/>
  <c r="CC124" i="16"/>
  <c r="AW152" i="16" s="1"/>
  <c r="AT107" i="10"/>
  <c r="AU107" i="10"/>
  <c r="AR107" i="10"/>
  <c r="AT104" i="10"/>
  <c r="AR104" i="10"/>
  <c r="AU104" i="10"/>
  <c r="AQ231" i="10"/>
  <c r="BC237" i="10"/>
  <c r="CL110" i="10"/>
  <c r="CJ98" i="10"/>
  <c r="CM98" i="10"/>
  <c r="CN98" i="10" s="1"/>
  <c r="CN128" i="10"/>
  <c r="BE153" i="10" s="1"/>
  <c r="CO128" i="10"/>
  <c r="BF153" i="10" s="1"/>
  <c r="CM98" i="19"/>
  <c r="BL156" i="16"/>
  <c r="AV129" i="16"/>
  <c r="BG149" i="16" s="1"/>
  <c r="AW129" i="16"/>
  <c r="BH149" i="16" s="1"/>
  <c r="BP136" i="16"/>
  <c r="BN136" i="16"/>
  <c r="BQ136" i="16" s="1"/>
  <c r="AC244" i="10"/>
  <c r="AG243" i="10"/>
  <c r="G312" i="10"/>
  <c r="E312" i="10"/>
  <c r="H312" i="10" s="1"/>
  <c r="C28" i="10"/>
  <c r="AA318" i="10" s="1"/>
  <c r="AC318" i="10" s="1"/>
  <c r="Z318" i="10"/>
  <c r="CJ129" i="19"/>
  <c r="CM129" i="19" s="1"/>
  <c r="CD105" i="16"/>
  <c r="CC105" i="16"/>
  <c r="M194" i="8"/>
  <c r="M255" i="8"/>
  <c r="AM48" i="10"/>
  <c r="AL48" i="10"/>
  <c r="H193" i="10"/>
  <c r="U196" i="10"/>
  <c r="R201" i="10"/>
  <c r="U201" i="10" s="1"/>
  <c r="P201" i="10"/>
  <c r="S201" i="10" s="1"/>
  <c r="I212" i="10"/>
  <c r="O220" i="10"/>
  <c r="O212" i="10"/>
  <c r="O210" i="10"/>
  <c r="O216" i="10"/>
  <c r="O214" i="10"/>
  <c r="O218" i="10"/>
  <c r="O219" i="10"/>
  <c r="O215" i="10"/>
  <c r="R215" i="10" s="1"/>
  <c r="O213" i="10"/>
  <c r="O209" i="10"/>
  <c r="O221" i="10"/>
  <c r="O217" i="10"/>
  <c r="G239" i="10"/>
  <c r="J239" i="10" s="1"/>
  <c r="R269" i="10"/>
  <c r="P269" i="10"/>
  <c r="S269" i="10" s="1"/>
  <c r="D320" i="10"/>
  <c r="AC370" i="10"/>
  <c r="C100" i="10"/>
  <c r="AA390" i="10" s="1"/>
  <c r="Z390" i="10"/>
  <c r="CY129" i="10"/>
  <c r="BG154" i="10" s="1"/>
  <c r="CC130" i="19"/>
  <c r="BI152" i="19" s="1"/>
  <c r="CD130" i="19"/>
  <c r="BJ152" i="19" s="1"/>
  <c r="BG130" i="10"/>
  <c r="BI150" i="10" s="1"/>
  <c r="CY130" i="10"/>
  <c r="BI154" i="10" s="1"/>
  <c r="M247" i="8"/>
  <c r="M232" i="8"/>
  <c r="M63" i="8"/>
  <c r="AH183" i="10"/>
  <c r="AJ183" i="10" s="1"/>
  <c r="AH241" i="10" s="1"/>
  <c r="R193" i="10"/>
  <c r="P193" i="10"/>
  <c r="S193" i="10" s="1"/>
  <c r="C522" i="10"/>
  <c r="D521" i="10"/>
  <c r="E521" i="10" s="1"/>
  <c r="H239" i="10"/>
  <c r="S260" i="10"/>
  <c r="D280" i="10"/>
  <c r="D276" i="10"/>
  <c r="D273" i="10"/>
  <c r="D269" i="10"/>
  <c r="D281" i="10"/>
  <c r="D277" i="10"/>
  <c r="D274" i="10"/>
  <c r="D270" i="10"/>
  <c r="D271" i="10"/>
  <c r="D275" i="10"/>
  <c r="G275" i="10" s="1"/>
  <c r="D279" i="10"/>
  <c r="D278" i="10"/>
  <c r="D272" i="10"/>
  <c r="D319" i="10"/>
  <c r="D315" i="10"/>
  <c r="G315" i="10" s="1"/>
  <c r="D311" i="10"/>
  <c r="D318" i="10"/>
  <c r="D317" i="10"/>
  <c r="D316" i="10"/>
  <c r="D310" i="10"/>
  <c r="D314" i="10"/>
  <c r="D313" i="10"/>
  <c r="D309" i="10"/>
  <c r="BH128" i="19"/>
  <c r="BF150" i="19" s="1"/>
  <c r="BF166" i="19" s="1"/>
  <c r="BS131" i="19"/>
  <c r="BL151" i="19" s="1"/>
  <c r="BL159" i="19" s="1"/>
  <c r="CN131" i="19"/>
  <c r="BK153" i="19" s="1"/>
  <c r="CO131" i="19"/>
  <c r="BL153" i="19" s="1"/>
  <c r="AV130" i="16"/>
  <c r="BI149" i="16" s="1"/>
  <c r="AW130" i="16"/>
  <c r="BJ149" i="16" s="1"/>
  <c r="AH502" i="10"/>
  <c r="AI502" i="10" s="1"/>
  <c r="AH484" i="10"/>
  <c r="AI484" i="10" s="1"/>
  <c r="AH533" i="10"/>
  <c r="AI533" i="10" s="1"/>
  <c r="AH532" i="10"/>
  <c r="AI532" i="10" s="1"/>
  <c r="AH515" i="10"/>
  <c r="AI515" i="10" s="1"/>
  <c r="AH542" i="10"/>
  <c r="AI542" i="10" s="1"/>
  <c r="AH481" i="10"/>
  <c r="AI481" i="10" s="1"/>
  <c r="AH493" i="10"/>
  <c r="AI493" i="10" s="1"/>
  <c r="AH492" i="10"/>
  <c r="AI492" i="10" s="1"/>
  <c r="AH541" i="10"/>
  <c r="AI541" i="10" s="1"/>
  <c r="AH531" i="10"/>
  <c r="AI531" i="10" s="1"/>
  <c r="AH495" i="10"/>
  <c r="AI495" i="10" s="1"/>
  <c r="AH500" i="10"/>
  <c r="AI500" i="10" s="1"/>
  <c r="AH480" i="10"/>
  <c r="AI480" i="10" s="1"/>
  <c r="AH539" i="10"/>
  <c r="AI539" i="10" s="1"/>
  <c r="AH528" i="10"/>
  <c r="AI528" i="10" s="1"/>
  <c r="AH511" i="10"/>
  <c r="AI511" i="10" s="1"/>
  <c r="AH538" i="10"/>
  <c r="AI538" i="10" s="1"/>
  <c r="AH505" i="10"/>
  <c r="AI505" i="10" s="1"/>
  <c r="AH489" i="10"/>
  <c r="AI489" i="10" s="1"/>
  <c r="AH545" i="10"/>
  <c r="AI545" i="10" s="1"/>
  <c r="AH529" i="10"/>
  <c r="AI529" i="10" s="1"/>
  <c r="AH513" i="10"/>
  <c r="AI513" i="10" s="1"/>
  <c r="AH482" i="10"/>
  <c r="AI482" i="10" s="1"/>
  <c r="AH499" i="10"/>
  <c r="AI499" i="10" s="1"/>
  <c r="AH525" i="10"/>
  <c r="AH485" i="10"/>
  <c r="AI485" i="10" s="1"/>
  <c r="AH516" i="10"/>
  <c r="AI516" i="10" s="1"/>
  <c r="AH504" i="10"/>
  <c r="AI504" i="10" s="1"/>
  <c r="AH488" i="10"/>
  <c r="AI488" i="10" s="1"/>
  <c r="AH514" i="10"/>
  <c r="AI514" i="10" s="1"/>
  <c r="AH509" i="10"/>
  <c r="AI509" i="10" s="1"/>
  <c r="AH491" i="10"/>
  <c r="AI491" i="10" s="1"/>
  <c r="AH534" i="10"/>
  <c r="AI534" i="10" s="1"/>
  <c r="AH486" i="10"/>
  <c r="AI486" i="10" s="1"/>
  <c r="AH512" i="10"/>
  <c r="AI512" i="10" s="1"/>
  <c r="AH543" i="10"/>
  <c r="AI543" i="10" s="1"/>
  <c r="AH527" i="10"/>
  <c r="AI527" i="10" s="1"/>
  <c r="AH544" i="10"/>
  <c r="AI544" i="10" s="1"/>
  <c r="AH498" i="10"/>
  <c r="AI498" i="10" s="1"/>
  <c r="AH487" i="10"/>
  <c r="AI487" i="10" s="1"/>
  <c r="AH530" i="10"/>
  <c r="AI530" i="10" s="1"/>
  <c r="AH501" i="10"/>
  <c r="AI501" i="10" s="1"/>
  <c r="M90" i="8"/>
  <c r="A96" i="8"/>
  <c r="B96" i="8" s="1"/>
  <c r="A92" i="8"/>
  <c r="B92" i="8" s="1"/>
  <c r="P191" i="10"/>
  <c r="S191" i="10" s="1"/>
  <c r="T191" i="10" s="1"/>
  <c r="E213" i="10"/>
  <c r="H213" i="10" s="1"/>
  <c r="G213" i="10"/>
  <c r="AC190" i="10"/>
  <c r="AD189" i="10"/>
  <c r="C67" i="10"/>
  <c r="AA357" i="10" s="1"/>
  <c r="AC357" i="10" s="1"/>
  <c r="Z357" i="10"/>
  <c r="AC366" i="10"/>
  <c r="CC97" i="16"/>
  <c r="CY130" i="19"/>
  <c r="BI154" i="19" s="1"/>
  <c r="CZ130" i="19"/>
  <c r="BJ154" i="19" s="1"/>
  <c r="BG129" i="16"/>
  <c r="BG150" i="16" s="1"/>
  <c r="BH129" i="16"/>
  <c r="BH150" i="16" s="1"/>
  <c r="CY131" i="16"/>
  <c r="BK154" i="16" s="1"/>
  <c r="DE121" i="19"/>
  <c r="DE138" i="19"/>
  <c r="DE127" i="19"/>
  <c r="DE132" i="19"/>
  <c r="DE90" i="19"/>
  <c r="DE120" i="19"/>
  <c r="DE105" i="19"/>
  <c r="DE133" i="19"/>
  <c r="DE99" i="19"/>
  <c r="DE95" i="19"/>
  <c r="DE102" i="19"/>
  <c r="DE139" i="19"/>
  <c r="DE98" i="19"/>
  <c r="DE104" i="19"/>
  <c r="DE130" i="19"/>
  <c r="DE141" i="19"/>
  <c r="DE143" i="19"/>
  <c r="DE88" i="19"/>
  <c r="DE110" i="19"/>
  <c r="DE125" i="19"/>
  <c r="DE131" i="19"/>
  <c r="DH131" i="19" s="1"/>
  <c r="DF99" i="19"/>
  <c r="BJ225" i="19" s="1"/>
  <c r="DE126" i="19"/>
  <c r="DE137" i="19"/>
  <c r="DE93" i="19"/>
  <c r="DE111" i="19"/>
  <c r="DE128" i="19"/>
  <c r="DE89" i="19"/>
  <c r="DE96" i="19"/>
  <c r="DE124" i="19"/>
  <c r="DE92" i="19"/>
  <c r="DE135" i="19"/>
  <c r="DE123" i="19"/>
  <c r="DE122" i="19"/>
  <c r="DE136" i="19"/>
  <c r="DE107" i="19"/>
  <c r="DE101" i="19"/>
  <c r="A98" i="8"/>
  <c r="B98" i="8" s="1"/>
  <c r="A95" i="8"/>
  <c r="B95" i="8" s="1"/>
  <c r="AH188" i="10"/>
  <c r="AG234" i="10"/>
  <c r="AE234" i="10"/>
  <c r="AH234" i="10"/>
  <c r="U191" i="10"/>
  <c r="H221" i="10"/>
  <c r="H231" i="10"/>
  <c r="R257" i="10"/>
  <c r="P257" i="10"/>
  <c r="S257" i="10" s="1"/>
  <c r="P297" i="10"/>
  <c r="S297" i="10" s="1"/>
  <c r="R297" i="10"/>
  <c r="S313" i="10"/>
  <c r="AC360" i="10"/>
  <c r="DJ131" i="10"/>
  <c r="BK148" i="10" s="1"/>
  <c r="CB103" i="16"/>
  <c r="AZ230" i="16"/>
  <c r="CA103" i="16"/>
  <c r="A89" i="8"/>
  <c r="A99" i="8"/>
  <c r="B99" i="8" s="1"/>
  <c r="K326" i="8"/>
  <c r="E192" i="10"/>
  <c r="H192" i="10" s="1"/>
  <c r="I192" i="10" s="1"/>
  <c r="H197" i="10"/>
  <c r="G233" i="10"/>
  <c r="I233" i="10" s="1"/>
  <c r="E233" i="10"/>
  <c r="H233" i="10" s="1"/>
  <c r="R291" i="10"/>
  <c r="P291" i="10"/>
  <c r="S291" i="10" s="1"/>
  <c r="C33" i="10"/>
  <c r="AA323" i="10" s="1"/>
  <c r="AC323" i="10" s="1"/>
  <c r="Z323" i="10"/>
  <c r="AC326" i="10"/>
  <c r="C54" i="10"/>
  <c r="AA344" i="10" s="1"/>
  <c r="Z344" i="10"/>
  <c r="G359" i="10"/>
  <c r="Z391" i="10"/>
  <c r="C101" i="10"/>
  <c r="AA391" i="10" s="1"/>
  <c r="C132" i="10"/>
  <c r="AA422" i="10" s="1"/>
  <c r="Z422" i="10"/>
  <c r="AG20" i="14"/>
  <c r="AG36" i="14"/>
  <c r="AG37" i="14"/>
  <c r="AG27" i="14"/>
  <c r="AG38" i="14"/>
  <c r="AG29" i="14"/>
  <c r="AG21" i="14"/>
  <c r="AG26" i="14"/>
  <c r="AG30" i="14"/>
  <c r="G354" i="19"/>
  <c r="E354" i="19"/>
  <c r="H354" i="19" s="1"/>
  <c r="P361" i="19"/>
  <c r="S361" i="19" s="1"/>
  <c r="R361" i="19"/>
  <c r="R312" i="19"/>
  <c r="P312" i="19"/>
  <c r="S312" i="19" s="1"/>
  <c r="G256" i="19"/>
  <c r="E256" i="19"/>
  <c r="H256" i="19" s="1"/>
  <c r="CO128" i="19"/>
  <c r="BF153" i="19" s="1"/>
  <c r="BF161" i="19" s="1"/>
  <c r="BH131" i="19"/>
  <c r="BL150" i="19" s="1"/>
  <c r="BH131" i="16"/>
  <c r="BL150" i="16" s="1"/>
  <c r="CI130" i="16"/>
  <c r="CI91" i="16"/>
  <c r="CI93" i="16"/>
  <c r="CI142" i="16"/>
  <c r="CI106" i="16"/>
  <c r="CI143" i="16"/>
  <c r="CI107" i="16"/>
  <c r="CI99" i="16"/>
  <c r="CI102" i="16"/>
  <c r="CI139" i="16"/>
  <c r="CI111" i="16"/>
  <c r="CI90" i="16"/>
  <c r="CI137" i="16"/>
  <c r="CI129" i="16"/>
  <c r="CI103" i="16"/>
  <c r="CI121" i="16"/>
  <c r="CI141" i="16"/>
  <c r="CI123" i="16"/>
  <c r="CI109" i="16"/>
  <c r="CI140" i="16"/>
  <c r="CI131" i="16"/>
  <c r="CL131" i="16" s="1"/>
  <c r="CI135" i="16"/>
  <c r="CI125" i="16"/>
  <c r="CI128" i="16"/>
  <c r="CI97" i="16"/>
  <c r="CI105" i="16"/>
  <c r="CI100" i="16"/>
  <c r="CJ99" i="16"/>
  <c r="BD225" i="16" s="1"/>
  <c r="CI101" i="16"/>
  <c r="CI104" i="16"/>
  <c r="CI110" i="16"/>
  <c r="CI138" i="16"/>
  <c r="CI94" i="16"/>
  <c r="CI95" i="16"/>
  <c r="CI127" i="16"/>
  <c r="V491" i="19"/>
  <c r="W491" i="19" s="1"/>
  <c r="V503" i="19"/>
  <c r="W503" i="19" s="1"/>
  <c r="V513" i="19"/>
  <c r="W513" i="19" s="1"/>
  <c r="V567" i="19"/>
  <c r="W567" i="19" s="1"/>
  <c r="V545" i="19"/>
  <c r="W545" i="19" s="1"/>
  <c r="V512" i="19"/>
  <c r="W512" i="19" s="1"/>
  <c r="V554" i="19"/>
  <c r="W554" i="19" s="1"/>
  <c r="V539" i="19"/>
  <c r="W539" i="19" s="1"/>
  <c r="V493" i="19"/>
  <c r="W493" i="19" s="1"/>
  <c r="V533" i="19"/>
  <c r="W533" i="19" s="1"/>
  <c r="V564" i="19"/>
  <c r="W564" i="19" s="1"/>
  <c r="V488" i="19"/>
  <c r="W488" i="19" s="1"/>
  <c r="V551" i="19"/>
  <c r="W551" i="19" s="1"/>
  <c r="V520" i="19"/>
  <c r="W520" i="19" s="1"/>
  <c r="V530" i="19"/>
  <c r="W530" i="19" s="1"/>
  <c r="V566" i="19"/>
  <c r="W566" i="19" s="1"/>
  <c r="V492" i="19"/>
  <c r="W492" i="19" s="1"/>
  <c r="V498" i="19"/>
  <c r="W498" i="19" s="1"/>
  <c r="V544" i="19"/>
  <c r="W544" i="19" s="1"/>
  <c r="V483" i="19"/>
  <c r="W483" i="19" s="1"/>
  <c r="V517" i="19"/>
  <c r="W517" i="19" s="1"/>
  <c r="V548" i="19"/>
  <c r="W548" i="19" s="1"/>
  <c r="V531" i="19"/>
  <c r="W531" i="19" s="1"/>
  <c r="V480" i="19"/>
  <c r="W480" i="19" s="1"/>
  <c r="V497" i="19"/>
  <c r="W497" i="19" s="1"/>
  <c r="V521" i="19"/>
  <c r="W521" i="19" s="1"/>
  <c r="V561" i="19"/>
  <c r="W561" i="19" s="1"/>
  <c r="V484" i="19"/>
  <c r="W484" i="19" s="1"/>
  <c r="V506" i="19"/>
  <c r="W506" i="19" s="1"/>
  <c r="V502" i="19"/>
  <c r="W502" i="19" s="1"/>
  <c r="V534" i="19"/>
  <c r="W534" i="19" s="1"/>
  <c r="V549" i="19"/>
  <c r="W549" i="19" s="1"/>
  <c r="V525" i="19"/>
  <c r="BN99" i="19"/>
  <c r="AX225" i="19" s="1"/>
  <c r="BM105" i="19"/>
  <c r="BM132" i="19"/>
  <c r="BM99" i="19"/>
  <c r="BM95" i="19"/>
  <c r="BM120" i="19"/>
  <c r="BM122" i="19"/>
  <c r="BM97" i="19"/>
  <c r="BM127" i="19"/>
  <c r="BM110" i="19"/>
  <c r="BM92" i="19"/>
  <c r="BM100" i="19"/>
  <c r="BM129" i="19"/>
  <c r="BM93" i="19"/>
  <c r="BM125" i="19"/>
  <c r="BM139" i="19"/>
  <c r="BM101" i="19"/>
  <c r="BM143" i="19"/>
  <c r="BM96" i="19"/>
  <c r="BM137" i="19"/>
  <c r="BY94" i="16"/>
  <c r="CB94" i="16"/>
  <c r="CA94" i="16"/>
  <c r="CA88" i="16"/>
  <c r="AZ214" i="16"/>
  <c r="CB88" i="16"/>
  <c r="AL314" i="10"/>
  <c r="AK314" i="10"/>
  <c r="AG328" i="10"/>
  <c r="AH328" i="10"/>
  <c r="J192" i="10"/>
  <c r="O197" i="10"/>
  <c r="O195" i="10"/>
  <c r="R195" i="10" s="1"/>
  <c r="O194" i="10"/>
  <c r="O190" i="10"/>
  <c r="O199" i="10"/>
  <c r="O192" i="10"/>
  <c r="O200" i="10"/>
  <c r="O189" i="10"/>
  <c r="H235" i="10"/>
  <c r="R261" i="10"/>
  <c r="R278" i="10"/>
  <c r="P278" i="10"/>
  <c r="S278" i="10" s="1"/>
  <c r="G292" i="10"/>
  <c r="H295" i="10"/>
  <c r="D289" i="10"/>
  <c r="D290" i="10"/>
  <c r="D298" i="10"/>
  <c r="D295" i="10"/>
  <c r="G295" i="10" s="1"/>
  <c r="D299" i="10"/>
  <c r="D297" i="10"/>
  <c r="D301" i="10"/>
  <c r="D296" i="10"/>
  <c r="D293" i="10"/>
  <c r="D291" i="10"/>
  <c r="R340" i="10"/>
  <c r="P340" i="10"/>
  <c r="S340" i="10" s="1"/>
  <c r="Z388" i="10"/>
  <c r="C98" i="10"/>
  <c r="AA388" i="10" s="1"/>
  <c r="AK318" i="16"/>
  <c r="AL318" i="16"/>
  <c r="G280" i="16"/>
  <c r="E280" i="16"/>
  <c r="H280" i="16" s="1"/>
  <c r="O515" i="10"/>
  <c r="P514" i="10"/>
  <c r="Q514" i="10" s="1"/>
  <c r="AC342" i="16"/>
  <c r="O259" i="16"/>
  <c r="O252" i="16"/>
  <c r="O258" i="16"/>
  <c r="O251" i="16"/>
  <c r="O257" i="16"/>
  <c r="O250" i="16"/>
  <c r="O261" i="16"/>
  <c r="O260" i="16"/>
  <c r="O256" i="16"/>
  <c r="O254" i="16"/>
  <c r="O253" i="16"/>
  <c r="O255" i="16"/>
  <c r="R255" i="16" s="1"/>
  <c r="O249" i="16"/>
  <c r="D296" i="16"/>
  <c r="D293" i="16"/>
  <c r="D294" i="16"/>
  <c r="D292" i="16"/>
  <c r="D301" i="16"/>
  <c r="D298" i="16"/>
  <c r="D299" i="16"/>
  <c r="D297" i="16"/>
  <c r="D295" i="16"/>
  <c r="G295" i="16" s="1"/>
  <c r="D289" i="16"/>
  <c r="D291" i="16"/>
  <c r="D300" i="16"/>
  <c r="D290" i="16"/>
  <c r="CZ131" i="16"/>
  <c r="BL154" i="16" s="1"/>
  <c r="AB525" i="19"/>
  <c r="AB482" i="19"/>
  <c r="AC482" i="19" s="1"/>
  <c r="AB501" i="19"/>
  <c r="AC501" i="19" s="1"/>
  <c r="AB536" i="19"/>
  <c r="AC536" i="19" s="1"/>
  <c r="AB516" i="19"/>
  <c r="AC516" i="19" s="1"/>
  <c r="AB507" i="19"/>
  <c r="AC507" i="19" s="1"/>
  <c r="AB523" i="19"/>
  <c r="AC523" i="19" s="1"/>
  <c r="AB565" i="19"/>
  <c r="AC565" i="19" s="1"/>
  <c r="AB495" i="19"/>
  <c r="AC495" i="19" s="1"/>
  <c r="AB535" i="19"/>
  <c r="AC535" i="19" s="1"/>
  <c r="AB542" i="19"/>
  <c r="AC542" i="19" s="1"/>
  <c r="AB551" i="19"/>
  <c r="AC551" i="19" s="1"/>
  <c r="AB502" i="19"/>
  <c r="AC502" i="19" s="1"/>
  <c r="AB517" i="19"/>
  <c r="AC517" i="19" s="1"/>
  <c r="AB528" i="19"/>
  <c r="AC528" i="19" s="1"/>
  <c r="AB569" i="19"/>
  <c r="AC569" i="19" s="1"/>
  <c r="AB511" i="19"/>
  <c r="AC511" i="19" s="1"/>
  <c r="AB539" i="19"/>
  <c r="AC539" i="19" s="1"/>
  <c r="AB546" i="19"/>
  <c r="AC546" i="19" s="1"/>
  <c r="AB555" i="19"/>
  <c r="AC555" i="19" s="1"/>
  <c r="AB498" i="19"/>
  <c r="AC498" i="19" s="1"/>
  <c r="AB522" i="19"/>
  <c r="AC522" i="19" s="1"/>
  <c r="AB496" i="19"/>
  <c r="AC496" i="19" s="1"/>
  <c r="AB524" i="19"/>
  <c r="AQ123" i="10"/>
  <c r="AQ140" i="10"/>
  <c r="AQ131" i="10"/>
  <c r="AT131" i="10" s="1"/>
  <c r="AQ102" i="10"/>
  <c r="AQ96" i="10"/>
  <c r="AQ110" i="10"/>
  <c r="AQ92" i="10"/>
  <c r="AQ139" i="10"/>
  <c r="AQ130" i="10"/>
  <c r="AQ90" i="10"/>
  <c r="AQ106" i="10"/>
  <c r="AQ94" i="10"/>
  <c r="AR99" i="10"/>
  <c r="AQ125" i="10"/>
  <c r="AQ121" i="10"/>
  <c r="AQ135" i="10"/>
  <c r="AQ108" i="10"/>
  <c r="AQ100" i="10"/>
  <c r="AQ103" i="10"/>
  <c r="AH316" i="10"/>
  <c r="AG316" i="10"/>
  <c r="AK331" i="10"/>
  <c r="AL331" i="10"/>
  <c r="BB142" i="10"/>
  <c r="BB110" i="10"/>
  <c r="BB126" i="10"/>
  <c r="BB101" i="10"/>
  <c r="BB104" i="10"/>
  <c r="BB125" i="10"/>
  <c r="BB127" i="10"/>
  <c r="BB105" i="10"/>
  <c r="BB89" i="10"/>
  <c r="BB139" i="10"/>
  <c r="BB92" i="10"/>
  <c r="BB95" i="10"/>
  <c r="BB128" i="10"/>
  <c r="BB131" i="10"/>
  <c r="BE131" i="10" s="1"/>
  <c r="BB93" i="10"/>
  <c r="BB133" i="10"/>
  <c r="BB91" i="10"/>
  <c r="BB124" i="10"/>
  <c r="BB109" i="10"/>
  <c r="BB134" i="10"/>
  <c r="BB90" i="10"/>
  <c r="AA540" i="10"/>
  <c r="AB539" i="10"/>
  <c r="AC539" i="10" s="1"/>
  <c r="S261" i="10"/>
  <c r="R274" i="10"/>
  <c r="P274" i="10"/>
  <c r="S274" i="10" s="1"/>
  <c r="Z304" i="10"/>
  <c r="C14" i="10"/>
  <c r="AA304" i="10" s="1"/>
  <c r="R350" i="10"/>
  <c r="P350" i="10"/>
  <c r="S350" i="10" s="1"/>
  <c r="R352" i="10"/>
  <c r="P352" i="10"/>
  <c r="S352" i="10" s="1"/>
  <c r="C116" i="10"/>
  <c r="AA406" i="10" s="1"/>
  <c r="Z406" i="10"/>
  <c r="U349" i="16"/>
  <c r="T349" i="16"/>
  <c r="R214" i="16"/>
  <c r="P214" i="16"/>
  <c r="S214" i="16" s="1"/>
  <c r="R193" i="16"/>
  <c r="U193" i="16" s="1"/>
  <c r="P193" i="16"/>
  <c r="S193" i="16" s="1"/>
  <c r="CU128" i="10"/>
  <c r="CX128" i="10" s="1"/>
  <c r="BG129" i="10"/>
  <c r="BG150" i="10" s="1"/>
  <c r="CD128" i="19"/>
  <c r="BF152" i="19" s="1"/>
  <c r="CI136" i="16"/>
  <c r="CI132" i="16"/>
  <c r="R89" i="8"/>
  <c r="M81" i="8"/>
  <c r="S215" i="10"/>
  <c r="I539" i="10"/>
  <c r="J538" i="10"/>
  <c r="K538" i="10" s="1"/>
  <c r="S235" i="10"/>
  <c r="O259" i="10"/>
  <c r="O252" i="10"/>
  <c r="O250" i="10"/>
  <c r="O256" i="10"/>
  <c r="O254" i="10"/>
  <c r="O249" i="10"/>
  <c r="O258" i="10"/>
  <c r="O255" i="10"/>
  <c r="R255" i="10" s="1"/>
  <c r="O251" i="10"/>
  <c r="AC352" i="10"/>
  <c r="H355" i="10"/>
  <c r="AA518" i="10"/>
  <c r="AB517" i="10"/>
  <c r="AC517" i="10" s="1"/>
  <c r="U358" i="16"/>
  <c r="T358" i="16"/>
  <c r="M50" i="8"/>
  <c r="AK313" i="10"/>
  <c r="AL313" i="10"/>
  <c r="AK322" i="10"/>
  <c r="AH53" i="10"/>
  <c r="AI53" i="10"/>
  <c r="H220" i="10"/>
  <c r="I220" i="10" s="1"/>
  <c r="O279" i="10"/>
  <c r="O272" i="10"/>
  <c r="O281" i="10"/>
  <c r="O273" i="10"/>
  <c r="O271" i="10"/>
  <c r="O277" i="10"/>
  <c r="O275" i="10"/>
  <c r="R275" i="10" s="1"/>
  <c r="AC297" i="10"/>
  <c r="G340" i="10"/>
  <c r="E340" i="10"/>
  <c r="H340" i="10" s="1"/>
  <c r="S341" i="10"/>
  <c r="Z436" i="10"/>
  <c r="C146" i="10"/>
  <c r="AA436" i="10" s="1"/>
  <c r="C160" i="10"/>
  <c r="AA450" i="10" s="1"/>
  <c r="Z450" i="10"/>
  <c r="O220" i="16"/>
  <c r="O217" i="16"/>
  <c r="O218" i="16"/>
  <c r="O215" i="16"/>
  <c r="R215" i="16" s="1"/>
  <c r="O216" i="16"/>
  <c r="O212" i="16"/>
  <c r="O210" i="16"/>
  <c r="O221" i="16"/>
  <c r="O209" i="16"/>
  <c r="O219" i="16"/>
  <c r="O211" i="16"/>
  <c r="O239" i="16"/>
  <c r="O232" i="16"/>
  <c r="O238" i="16"/>
  <c r="O230" i="16"/>
  <c r="O237" i="16"/>
  <c r="O231" i="16"/>
  <c r="O240" i="16"/>
  <c r="O236" i="16"/>
  <c r="O235" i="16"/>
  <c r="R235" i="16" s="1"/>
  <c r="O241" i="16"/>
  <c r="O233" i="16"/>
  <c r="O229" i="16"/>
  <c r="O234" i="16"/>
  <c r="T216" i="19"/>
  <c r="U216" i="19"/>
  <c r="R310" i="19"/>
  <c r="P310" i="19"/>
  <c r="S310" i="19" s="1"/>
  <c r="DH129" i="16"/>
  <c r="DF129" i="16"/>
  <c r="DI129" i="16" s="1"/>
  <c r="P501" i="19"/>
  <c r="Q501" i="19" s="1"/>
  <c r="P558" i="19"/>
  <c r="Q558" i="19" s="1"/>
  <c r="P541" i="19"/>
  <c r="Q541" i="19" s="1"/>
  <c r="P491" i="19"/>
  <c r="Q491" i="19" s="1"/>
  <c r="P568" i="19"/>
  <c r="Q568" i="19" s="1"/>
  <c r="P527" i="19"/>
  <c r="Q527" i="19" s="1"/>
  <c r="M52" i="8"/>
  <c r="AH319" i="10"/>
  <c r="AG319" i="10"/>
  <c r="AL323" i="10"/>
  <c r="AK323" i="10"/>
  <c r="AJ324" i="10"/>
  <c r="AJ320" i="10"/>
  <c r="AJ319" i="10"/>
  <c r="AJ328" i="10"/>
  <c r="AJ323" i="10"/>
  <c r="H199" i="10"/>
  <c r="I231" i="10"/>
  <c r="H252" i="10"/>
  <c r="P310" i="10"/>
  <c r="S310" i="10" s="1"/>
  <c r="R310" i="10"/>
  <c r="S317" i="10"/>
  <c r="G331" i="10"/>
  <c r="E331" i="10"/>
  <c r="H331" i="10" s="1"/>
  <c r="E350" i="10"/>
  <c r="H350" i="10" s="1"/>
  <c r="G350" i="10"/>
  <c r="C65" i="10"/>
  <c r="AA355" i="10" s="1"/>
  <c r="Z355" i="10"/>
  <c r="C78" i="10"/>
  <c r="AA368" i="10" s="1"/>
  <c r="Z368" i="10"/>
  <c r="AC376" i="10"/>
  <c r="C140" i="10"/>
  <c r="AA430" i="10" s="1"/>
  <c r="Z430" i="10"/>
  <c r="O537" i="10"/>
  <c r="P536" i="10"/>
  <c r="Q536" i="10" s="1"/>
  <c r="AE196" i="16"/>
  <c r="AH196" i="16" s="1"/>
  <c r="AG196" i="16"/>
  <c r="Z328" i="19"/>
  <c r="C38" i="19"/>
  <c r="AA328" i="19" s="1"/>
  <c r="BE130" i="16"/>
  <c r="BC130" i="16"/>
  <c r="BF130" i="16" s="1"/>
  <c r="AH500" i="19"/>
  <c r="AI500" i="19" s="1"/>
  <c r="AH484" i="19"/>
  <c r="AI484" i="19" s="1"/>
  <c r="AH565" i="19"/>
  <c r="AI565" i="19" s="1"/>
  <c r="AH495" i="19"/>
  <c r="AI495" i="19" s="1"/>
  <c r="AH559" i="19"/>
  <c r="AI559" i="19" s="1"/>
  <c r="AH498" i="19"/>
  <c r="AI498" i="19" s="1"/>
  <c r="AH563" i="19"/>
  <c r="AI563" i="19" s="1"/>
  <c r="AH508" i="19"/>
  <c r="AI508" i="19" s="1"/>
  <c r="AH481" i="19"/>
  <c r="AI481" i="19" s="1"/>
  <c r="AH550" i="19"/>
  <c r="AI550" i="19" s="1"/>
  <c r="AH505" i="19"/>
  <c r="AI505" i="19" s="1"/>
  <c r="AH492" i="19"/>
  <c r="AI492" i="19" s="1"/>
  <c r="AH562" i="19"/>
  <c r="AI562" i="19" s="1"/>
  <c r="AH533" i="19"/>
  <c r="AI533" i="19" s="1"/>
  <c r="AH538" i="19"/>
  <c r="AI538" i="19" s="1"/>
  <c r="AH503" i="19"/>
  <c r="AI503" i="19" s="1"/>
  <c r="AH537" i="19"/>
  <c r="AI537" i="19" s="1"/>
  <c r="AH551" i="19"/>
  <c r="AI551" i="19" s="1"/>
  <c r="AH502" i="19"/>
  <c r="AI502" i="19" s="1"/>
  <c r="AH512" i="19"/>
  <c r="AI512" i="19" s="1"/>
  <c r="AH529" i="19"/>
  <c r="AI529" i="19" s="1"/>
  <c r="AH555" i="19"/>
  <c r="AI555" i="19" s="1"/>
  <c r="AH507" i="19"/>
  <c r="AI507" i="19" s="1"/>
  <c r="AH491" i="19"/>
  <c r="AI491" i="19" s="1"/>
  <c r="AH513" i="19"/>
  <c r="AI513" i="19" s="1"/>
  <c r="AH528" i="19"/>
  <c r="AI528" i="19" s="1"/>
  <c r="AH566" i="19"/>
  <c r="AI566" i="19" s="1"/>
  <c r="AH530" i="19"/>
  <c r="AI530" i="19" s="1"/>
  <c r="AH554" i="19"/>
  <c r="AI554" i="19" s="1"/>
  <c r="AH523" i="19"/>
  <c r="AI523" i="19" s="1"/>
  <c r="AI524" i="19" s="1"/>
  <c r="AI525" i="19" s="1"/>
  <c r="AH520" i="19"/>
  <c r="AI520" i="19" s="1"/>
  <c r="AH510" i="19"/>
  <c r="AI510" i="19" s="1"/>
  <c r="AH540" i="19"/>
  <c r="AI540" i="19" s="1"/>
  <c r="DE93" i="16"/>
  <c r="DE127" i="16"/>
  <c r="DE109" i="16"/>
  <c r="DE120" i="16"/>
  <c r="DE135" i="16"/>
  <c r="DE141" i="16"/>
  <c r="DE130" i="16"/>
  <c r="DE98" i="16"/>
  <c r="DE106" i="16"/>
  <c r="DE124" i="16"/>
  <c r="DE111" i="16"/>
  <c r="DE126" i="16"/>
  <c r="DE138" i="16"/>
  <c r="DE110" i="16"/>
  <c r="DE133" i="16"/>
  <c r="DE140" i="16"/>
  <c r="DE99" i="16"/>
  <c r="DE100" i="16"/>
  <c r="DE95" i="16"/>
  <c r="P524" i="19"/>
  <c r="P538" i="19"/>
  <c r="Q538" i="19" s="1"/>
  <c r="P567" i="19"/>
  <c r="Q567" i="19" s="1"/>
  <c r="P511" i="19"/>
  <c r="Q511" i="19" s="1"/>
  <c r="P569" i="19"/>
  <c r="Q569" i="19" s="1"/>
  <c r="P509" i="19"/>
  <c r="Q509" i="19" s="1"/>
  <c r="P566" i="19"/>
  <c r="Q566" i="19" s="1"/>
  <c r="P540" i="19"/>
  <c r="Q540" i="19" s="1"/>
  <c r="P508" i="19"/>
  <c r="Q508" i="19" s="1"/>
  <c r="P518" i="19"/>
  <c r="Q518" i="19" s="1"/>
  <c r="P545" i="19"/>
  <c r="Q545" i="19" s="1"/>
  <c r="P561" i="19"/>
  <c r="Q561" i="19" s="1"/>
  <c r="P519" i="19"/>
  <c r="Q519" i="19" s="1"/>
  <c r="P551" i="19"/>
  <c r="Q551" i="19" s="1"/>
  <c r="P521" i="19"/>
  <c r="Q521" i="19" s="1"/>
  <c r="P497" i="19"/>
  <c r="Q497" i="19" s="1"/>
  <c r="P534" i="19"/>
  <c r="Q534" i="19" s="1"/>
  <c r="P516" i="19"/>
  <c r="Q516" i="19" s="1"/>
  <c r="P507" i="19"/>
  <c r="Q507" i="19" s="1"/>
  <c r="P557" i="19"/>
  <c r="Q557" i="19" s="1"/>
  <c r="P498" i="19"/>
  <c r="Q498" i="19" s="1"/>
  <c r="P523" i="19"/>
  <c r="Q523" i="19" s="1"/>
  <c r="Q524" i="19" s="1"/>
  <c r="Q525" i="19" s="1"/>
  <c r="P496" i="19"/>
  <c r="Q496" i="19" s="1"/>
  <c r="P506" i="19"/>
  <c r="Q506" i="19" s="1"/>
  <c r="P494" i="19"/>
  <c r="Q494" i="19" s="1"/>
  <c r="P505" i="19"/>
  <c r="Q505" i="19" s="1"/>
  <c r="P530" i="19"/>
  <c r="Q530" i="19" s="1"/>
  <c r="P536" i="19"/>
  <c r="Q536" i="19" s="1"/>
  <c r="P482" i="19"/>
  <c r="Q482" i="19" s="1"/>
  <c r="P532" i="19"/>
  <c r="Q532" i="19" s="1"/>
  <c r="P514" i="19"/>
  <c r="Q514" i="19" s="1"/>
  <c r="P510" i="19"/>
  <c r="Q510" i="19" s="1"/>
  <c r="P490" i="19"/>
  <c r="Q490" i="19" s="1"/>
  <c r="P553" i="19"/>
  <c r="Q553" i="19" s="1"/>
  <c r="P537" i="19"/>
  <c r="Q537" i="19" s="1"/>
  <c r="P555" i="19"/>
  <c r="Q555" i="19" s="1"/>
  <c r="P543" i="19"/>
  <c r="Q543" i="19" s="1"/>
  <c r="P556" i="19"/>
  <c r="Q556" i="19" s="1"/>
  <c r="P562" i="19"/>
  <c r="Q562" i="19" s="1"/>
  <c r="P513" i="19"/>
  <c r="Q513" i="19" s="1"/>
  <c r="P481" i="19"/>
  <c r="Q481" i="19" s="1"/>
  <c r="P564" i="19"/>
  <c r="Q564" i="19" s="1"/>
  <c r="P520" i="19"/>
  <c r="Q520" i="19" s="1"/>
  <c r="AG324" i="10"/>
  <c r="AH324" i="10"/>
  <c r="AI237" i="10"/>
  <c r="D240" i="10"/>
  <c r="D241" i="10"/>
  <c r="D229" i="10"/>
  <c r="D237" i="10"/>
  <c r="D234" i="10"/>
  <c r="D232" i="10"/>
  <c r="D238" i="10"/>
  <c r="D236" i="10"/>
  <c r="S255" i="10"/>
  <c r="O276" i="10"/>
  <c r="AC307" i="10"/>
  <c r="O339" i="10"/>
  <c r="O334" i="10"/>
  <c r="O330" i="10"/>
  <c r="O338" i="10"/>
  <c r="O333" i="10"/>
  <c r="O329" i="10"/>
  <c r="O332" i="10"/>
  <c r="O331" i="10"/>
  <c r="O337" i="10"/>
  <c r="C56" i="10"/>
  <c r="AA346" i="10" s="1"/>
  <c r="AC346" i="10" s="1"/>
  <c r="Z346" i="10"/>
  <c r="G356" i="10"/>
  <c r="E356" i="10"/>
  <c r="H356" i="10" s="1"/>
  <c r="R361" i="10"/>
  <c r="P361" i="10"/>
  <c r="S361" i="10" s="1"/>
  <c r="C79" i="10"/>
  <c r="AA369" i="10" s="1"/>
  <c r="AC369" i="10" s="1"/>
  <c r="Z369" i="10"/>
  <c r="G249" i="16"/>
  <c r="E249" i="16"/>
  <c r="H249" i="16" s="1"/>
  <c r="G234" i="16"/>
  <c r="E234" i="16"/>
  <c r="H234" i="16" s="1"/>
  <c r="C56" i="16"/>
  <c r="AA346" i="16" s="1"/>
  <c r="AC346" i="16" s="1"/>
  <c r="Z346" i="16"/>
  <c r="AC363" i="16"/>
  <c r="AC372" i="16"/>
  <c r="C92" i="16"/>
  <c r="AA382" i="16" s="1"/>
  <c r="AC382" i="16" s="1"/>
  <c r="Z382" i="16"/>
  <c r="AC210" i="16"/>
  <c r="AC211" i="16" s="1"/>
  <c r="AC212" i="16" s="1"/>
  <c r="AC213" i="16" s="1"/>
  <c r="AC214" i="16" s="1"/>
  <c r="AC215" i="16" s="1"/>
  <c r="AC216" i="16" s="1"/>
  <c r="AC217" i="16" s="1"/>
  <c r="AC218" i="16" s="1"/>
  <c r="AD209" i="16"/>
  <c r="O199" i="16"/>
  <c r="O200" i="16"/>
  <c r="O197" i="16"/>
  <c r="O198" i="16"/>
  <c r="O195" i="16"/>
  <c r="R195" i="16" s="1"/>
  <c r="U195" i="16" s="1"/>
  <c r="O194" i="16"/>
  <c r="O192" i="16"/>
  <c r="O190" i="16"/>
  <c r="O196" i="16"/>
  <c r="O201" i="16"/>
  <c r="O189" i="16"/>
  <c r="O191" i="16"/>
  <c r="U483" i="10"/>
  <c r="V482" i="10"/>
  <c r="W482" i="10" s="1"/>
  <c r="AN525" i="10"/>
  <c r="AN505" i="10"/>
  <c r="AO505" i="10" s="1"/>
  <c r="AN534" i="10"/>
  <c r="AO534" i="10" s="1"/>
  <c r="AN489" i="10"/>
  <c r="AO489" i="10" s="1"/>
  <c r="AN491" i="10"/>
  <c r="AO491" i="10" s="1"/>
  <c r="AN511" i="10"/>
  <c r="AO511" i="10" s="1"/>
  <c r="AN502" i="10"/>
  <c r="AO502" i="10" s="1"/>
  <c r="AN514" i="10"/>
  <c r="AO514" i="10" s="1"/>
  <c r="AN495" i="10"/>
  <c r="AO495" i="10" s="1"/>
  <c r="AN497" i="10"/>
  <c r="AO497" i="10" s="1"/>
  <c r="AN508" i="10"/>
  <c r="AO508" i="10" s="1"/>
  <c r="AN506" i="10"/>
  <c r="AO506" i="10" s="1"/>
  <c r="AN503" i="10"/>
  <c r="AO503" i="10" s="1"/>
  <c r="AN532" i="10"/>
  <c r="AO532" i="10" s="1"/>
  <c r="AN498" i="10"/>
  <c r="AO498" i="10" s="1"/>
  <c r="AN509" i="10"/>
  <c r="AO509" i="10" s="1"/>
  <c r="AN482" i="10"/>
  <c r="AO482" i="10" s="1"/>
  <c r="AN484" i="10"/>
  <c r="AO484" i="10" s="1"/>
  <c r="AN528" i="10"/>
  <c r="AO528" i="10" s="1"/>
  <c r="P485" i="19"/>
  <c r="Q485" i="19" s="1"/>
  <c r="P503" i="19"/>
  <c r="Q503" i="19" s="1"/>
  <c r="P515" i="19"/>
  <c r="Q515" i="19" s="1"/>
  <c r="P535" i="19"/>
  <c r="Q535" i="19" s="1"/>
  <c r="P529" i="19"/>
  <c r="Q529" i="19" s="1"/>
  <c r="P549" i="19"/>
  <c r="Q549" i="19" s="1"/>
  <c r="P559" i="19"/>
  <c r="Q559" i="19" s="1"/>
  <c r="AL330" i="10"/>
  <c r="DE106" i="10"/>
  <c r="DE142" i="10"/>
  <c r="DE140" i="10"/>
  <c r="DE98" i="10"/>
  <c r="DE95" i="10"/>
  <c r="DE92" i="10"/>
  <c r="DE97" i="10"/>
  <c r="DE135" i="10"/>
  <c r="DE93" i="10"/>
  <c r="DE122" i="10"/>
  <c r="DE125" i="10"/>
  <c r="DE128" i="10"/>
  <c r="AF49" i="10"/>
  <c r="AE326" i="10"/>
  <c r="AE322" i="10"/>
  <c r="AE315" i="10"/>
  <c r="AI317" i="10"/>
  <c r="AF52" i="10"/>
  <c r="AE331" i="10"/>
  <c r="AE325" i="10"/>
  <c r="AE321" i="10"/>
  <c r="AE314" i="10"/>
  <c r="AI319" i="10"/>
  <c r="AI328" i="10"/>
  <c r="AI324" i="10"/>
  <c r="AI318" i="10"/>
  <c r="AE313" i="10"/>
  <c r="AE320" i="10"/>
  <c r="AI327" i="10"/>
  <c r="AI321" i="10"/>
  <c r="AI329" i="10"/>
  <c r="AE327" i="10"/>
  <c r="AE318" i="10"/>
  <c r="AE329" i="10"/>
  <c r="AF48" i="10"/>
  <c r="AI326" i="10"/>
  <c r="AE317" i="10"/>
  <c r="AI320" i="10"/>
  <c r="H201" i="10"/>
  <c r="I201" i="10" s="1"/>
  <c r="D235" i="10"/>
  <c r="G235" i="10" s="1"/>
  <c r="J235" i="10" s="1"/>
  <c r="O270" i="10"/>
  <c r="O280" i="10"/>
  <c r="AC309" i="10"/>
  <c r="P316" i="10"/>
  <c r="S316" i="10" s="1"/>
  <c r="R316" i="10"/>
  <c r="G336" i="10"/>
  <c r="E336" i="10"/>
  <c r="H336" i="10" s="1"/>
  <c r="O360" i="10"/>
  <c r="O356" i="10"/>
  <c r="O351" i="10"/>
  <c r="O357" i="10"/>
  <c r="O354" i="10"/>
  <c r="O353" i="10"/>
  <c r="O359" i="10"/>
  <c r="O358" i="10"/>
  <c r="O349" i="10"/>
  <c r="C83" i="10"/>
  <c r="AA373" i="10" s="1"/>
  <c r="Z373" i="10"/>
  <c r="AC382" i="10"/>
  <c r="Z399" i="10"/>
  <c r="C109" i="10"/>
  <c r="AA399" i="10" s="1"/>
  <c r="Z412" i="10"/>
  <c r="C122" i="10"/>
  <c r="AA412" i="10" s="1"/>
  <c r="Z428" i="10"/>
  <c r="C138" i="10"/>
  <c r="AA428" i="10" s="1"/>
  <c r="T360" i="16"/>
  <c r="U530" i="10"/>
  <c r="V529" i="10"/>
  <c r="W529" i="10" s="1"/>
  <c r="E253" i="16"/>
  <c r="H253" i="16" s="1"/>
  <c r="G253" i="16"/>
  <c r="O213" i="16"/>
  <c r="AC321" i="16"/>
  <c r="Z448" i="16"/>
  <c r="C158" i="16"/>
  <c r="AA448" i="16" s="1"/>
  <c r="AG234" i="16"/>
  <c r="AE234" i="16"/>
  <c r="AH234" i="16"/>
  <c r="C10" i="16"/>
  <c r="AA300" i="16" s="1"/>
  <c r="Z300" i="16"/>
  <c r="Z454" i="16"/>
  <c r="C164" i="16"/>
  <c r="AA454" i="16" s="1"/>
  <c r="T217" i="19"/>
  <c r="U217" i="19"/>
  <c r="P509" i="10"/>
  <c r="Q509" i="10" s="1"/>
  <c r="P505" i="10"/>
  <c r="Q505" i="10" s="1"/>
  <c r="P504" i="10"/>
  <c r="Q504" i="10" s="1"/>
  <c r="AM49" i="10"/>
  <c r="K186" i="8"/>
  <c r="I275" i="10"/>
  <c r="T331" i="10"/>
  <c r="T317" i="10"/>
  <c r="U215" i="10"/>
  <c r="J309" i="10"/>
  <c r="D194" i="10"/>
  <c r="G210" i="10"/>
  <c r="G219" i="10"/>
  <c r="I219" i="10" s="1"/>
  <c r="O230" i="10"/>
  <c r="O233" i="10"/>
  <c r="G259" i="10"/>
  <c r="P290" i="10"/>
  <c r="S290" i="10" s="1"/>
  <c r="R294" i="10"/>
  <c r="C88" i="10"/>
  <c r="AA378" i="10" s="1"/>
  <c r="Z378" i="10"/>
  <c r="C108" i="10"/>
  <c r="AA398" i="10" s="1"/>
  <c r="Z398" i="10"/>
  <c r="Z444" i="10"/>
  <c r="C154" i="10"/>
  <c r="AA444" i="10" s="1"/>
  <c r="C157" i="10"/>
  <c r="AA447" i="10" s="1"/>
  <c r="Z460" i="10"/>
  <c r="C170" i="10"/>
  <c r="AA460" i="10" s="1"/>
  <c r="E358" i="16"/>
  <c r="H358" i="16" s="1"/>
  <c r="G358" i="16"/>
  <c r="R330" i="16"/>
  <c r="P330" i="16"/>
  <c r="S330" i="16" s="1"/>
  <c r="G336" i="16"/>
  <c r="E336" i="16"/>
  <c r="H336" i="16" s="1"/>
  <c r="G341" i="16"/>
  <c r="E341" i="16"/>
  <c r="H341" i="16" s="1"/>
  <c r="P298" i="16"/>
  <c r="S298" i="16" s="1"/>
  <c r="R298" i="16"/>
  <c r="R272" i="16"/>
  <c r="P272" i="16"/>
  <c r="S272" i="16" s="1"/>
  <c r="P279" i="16"/>
  <c r="S279" i="16" s="1"/>
  <c r="R279" i="16"/>
  <c r="AE191" i="16"/>
  <c r="AH191" i="16" s="1"/>
  <c r="AG191" i="16"/>
  <c r="Z434" i="16"/>
  <c r="C144" i="16"/>
  <c r="AA434" i="16" s="1"/>
  <c r="G238" i="19"/>
  <c r="E238" i="19"/>
  <c r="H238" i="19" s="1"/>
  <c r="C19" i="19"/>
  <c r="AA309" i="19" s="1"/>
  <c r="Z309" i="19"/>
  <c r="C68" i="19"/>
  <c r="AA358" i="19" s="1"/>
  <c r="Z358" i="19"/>
  <c r="AH233" i="10"/>
  <c r="AI233" i="10" s="1"/>
  <c r="AD238" i="10"/>
  <c r="U331" i="10"/>
  <c r="I315" i="10"/>
  <c r="T329" i="10"/>
  <c r="J221" i="10"/>
  <c r="U198" i="10"/>
  <c r="I195" i="10"/>
  <c r="AD181" i="10"/>
  <c r="J311" i="10"/>
  <c r="I309" i="10"/>
  <c r="J335" i="10"/>
  <c r="U275" i="10"/>
  <c r="T211" i="10"/>
  <c r="I197" i="10"/>
  <c r="U193" i="10"/>
  <c r="T234" i="10"/>
  <c r="U232" i="10"/>
  <c r="T237" i="10"/>
  <c r="I252" i="10"/>
  <c r="I257" i="10"/>
  <c r="I261" i="10"/>
  <c r="J251" i="10"/>
  <c r="J250" i="10"/>
  <c r="J231" i="10"/>
  <c r="T239" i="10"/>
  <c r="U257" i="10"/>
  <c r="T249" i="10"/>
  <c r="U250" i="10"/>
  <c r="U256" i="10"/>
  <c r="J281" i="10"/>
  <c r="AD232" i="10"/>
  <c r="AD187" i="10"/>
  <c r="AD179" i="10"/>
  <c r="U339" i="10"/>
  <c r="U321" i="10"/>
  <c r="U313" i="10"/>
  <c r="J313" i="10"/>
  <c r="U195" i="10"/>
  <c r="U329" i="10"/>
  <c r="J315" i="10"/>
  <c r="T309" i="10"/>
  <c r="I295" i="10"/>
  <c r="J212" i="10"/>
  <c r="T230" i="10"/>
  <c r="U239" i="10"/>
  <c r="J233" i="10"/>
  <c r="U238" i="10"/>
  <c r="I249" i="10"/>
  <c r="I253" i="10"/>
  <c r="I258" i="10"/>
  <c r="J219" i="10"/>
  <c r="J252" i="10"/>
  <c r="T232" i="10"/>
  <c r="I239" i="10"/>
  <c r="J220" i="10"/>
  <c r="U259" i="10"/>
  <c r="J272" i="10"/>
  <c r="J276" i="10"/>
  <c r="J279" i="10"/>
  <c r="J273" i="10"/>
  <c r="AD235" i="10"/>
  <c r="AD184" i="10"/>
  <c r="AD180" i="10"/>
  <c r="T337" i="10"/>
  <c r="J201" i="10"/>
  <c r="J197" i="10"/>
  <c r="T339" i="10"/>
  <c r="I317" i="10"/>
  <c r="T311" i="10"/>
  <c r="J295" i="10"/>
  <c r="J195" i="10"/>
  <c r="T215" i="10"/>
  <c r="I221" i="10"/>
  <c r="AD186" i="10"/>
  <c r="U234" i="10"/>
  <c r="U236" i="10"/>
  <c r="I193" i="10"/>
  <c r="J258" i="10"/>
  <c r="T259" i="10"/>
  <c r="T251" i="10"/>
  <c r="U252" i="10"/>
  <c r="U258" i="10"/>
  <c r="I270" i="10"/>
  <c r="J269" i="10"/>
  <c r="D196" i="10"/>
  <c r="D190" i="10"/>
  <c r="D189" i="10"/>
  <c r="D198" i="10"/>
  <c r="D191" i="10"/>
  <c r="H210" i="10"/>
  <c r="O237" i="10"/>
  <c r="O234" i="10"/>
  <c r="O231" i="10"/>
  <c r="O239" i="10"/>
  <c r="H259" i="10"/>
  <c r="D260" i="10"/>
  <c r="D256" i="10"/>
  <c r="D253" i="10"/>
  <c r="D249" i="10"/>
  <c r="D261" i="10"/>
  <c r="D257" i="10"/>
  <c r="D254" i="10"/>
  <c r="D250" i="10"/>
  <c r="S275" i="10"/>
  <c r="AC293" i="10"/>
  <c r="AC322" i="10"/>
  <c r="C64" i="10"/>
  <c r="AA354" i="10" s="1"/>
  <c r="AC354" i="10" s="1"/>
  <c r="Z354" i="10"/>
  <c r="C89" i="10"/>
  <c r="AA379" i="10" s="1"/>
  <c r="Z379" i="10"/>
  <c r="Z420" i="10"/>
  <c r="C130" i="10"/>
  <c r="AA420" i="10" s="1"/>
  <c r="C148" i="10"/>
  <c r="AA438" i="10" s="1"/>
  <c r="Z438" i="10"/>
  <c r="Z463" i="10"/>
  <c r="C173" i="10"/>
  <c r="AA463" i="10" s="1"/>
  <c r="U350" i="16"/>
  <c r="T350" i="16"/>
  <c r="AL316" i="16"/>
  <c r="AK316" i="16"/>
  <c r="P332" i="16"/>
  <c r="S332" i="16" s="1"/>
  <c r="R332" i="16"/>
  <c r="E338" i="16"/>
  <c r="H338" i="16" s="1"/>
  <c r="G338" i="16"/>
  <c r="R300" i="16"/>
  <c r="P300" i="16"/>
  <c r="S300" i="16" s="1"/>
  <c r="AC347" i="16"/>
  <c r="Z418" i="16"/>
  <c r="C128" i="16"/>
  <c r="AA418" i="16" s="1"/>
  <c r="E240" i="19"/>
  <c r="H240" i="19" s="1"/>
  <c r="G240" i="19"/>
  <c r="P513" i="10"/>
  <c r="Q513" i="10" s="1"/>
  <c r="P508" i="10"/>
  <c r="Q508" i="10" s="1"/>
  <c r="P512" i="10"/>
  <c r="Q512" i="10" s="1"/>
  <c r="BX90" i="16"/>
  <c r="BX142" i="16"/>
  <c r="BX110" i="16"/>
  <c r="BX106" i="16"/>
  <c r="BX125" i="16"/>
  <c r="BX122" i="16"/>
  <c r="BX127" i="16"/>
  <c r="BX100" i="16"/>
  <c r="BX96" i="16"/>
  <c r="BX111" i="16"/>
  <c r="BX109" i="16"/>
  <c r="BX137" i="16"/>
  <c r="BX132" i="16"/>
  <c r="BX136" i="16"/>
  <c r="BX107" i="16"/>
  <c r="BX93" i="16"/>
  <c r="BX91" i="16"/>
  <c r="BX120" i="16"/>
  <c r="BX143" i="16"/>
  <c r="BX135" i="16"/>
  <c r="AG185" i="10"/>
  <c r="AG188" i="10"/>
  <c r="U335" i="10"/>
  <c r="I335" i="10"/>
  <c r="T196" i="10"/>
  <c r="T198" i="10"/>
  <c r="U211" i="10"/>
  <c r="I311" i="10"/>
  <c r="U309" i="10"/>
  <c r="AD236" i="10"/>
  <c r="AI177" i="10"/>
  <c r="H4" i="18"/>
  <c r="I4" i="18"/>
  <c r="O236" i="10"/>
  <c r="O238" i="10"/>
  <c r="O240" i="10"/>
  <c r="H255" i="10"/>
  <c r="AC320" i="10"/>
  <c r="O319" i="10"/>
  <c r="O315" i="10"/>
  <c r="R315" i="10" s="1"/>
  <c r="O311" i="10"/>
  <c r="O321" i="10"/>
  <c r="O318" i="10"/>
  <c r="O314" i="10"/>
  <c r="C73" i="10"/>
  <c r="AA363" i="10" s="1"/>
  <c r="AC363" i="10" s="1"/>
  <c r="Z363" i="10"/>
  <c r="C81" i="10"/>
  <c r="AA371" i="10" s="1"/>
  <c r="AC371" i="10" s="1"/>
  <c r="Z371" i="10"/>
  <c r="C85" i="10"/>
  <c r="AA375" i="10" s="1"/>
  <c r="AC375" i="10" s="1"/>
  <c r="Z375" i="10"/>
  <c r="Z396" i="10"/>
  <c r="C106" i="10"/>
  <c r="AA396" i="10" s="1"/>
  <c r="C124" i="10"/>
  <c r="AA414" i="10" s="1"/>
  <c r="Z414" i="10"/>
  <c r="Z454" i="10"/>
  <c r="C164" i="10"/>
  <c r="AA454" i="10" s="1"/>
  <c r="G349" i="16"/>
  <c r="E349" i="16"/>
  <c r="H349" i="16" s="1"/>
  <c r="E329" i="16"/>
  <c r="H329" i="16" s="1"/>
  <c r="G329" i="16"/>
  <c r="T351" i="16"/>
  <c r="U351" i="16"/>
  <c r="P289" i="16"/>
  <c r="S289" i="16" s="1"/>
  <c r="R289" i="16"/>
  <c r="AC345" i="16"/>
  <c r="G190" i="16"/>
  <c r="I190" i="16" s="1"/>
  <c r="E190" i="16"/>
  <c r="H190" i="16" s="1"/>
  <c r="AL320" i="16"/>
  <c r="AK320" i="16"/>
  <c r="AG325" i="16"/>
  <c r="AH325" i="16"/>
  <c r="AH319" i="16"/>
  <c r="AG319" i="16"/>
  <c r="AH328" i="16"/>
  <c r="AG328" i="16"/>
  <c r="AC364" i="16"/>
  <c r="T215" i="19"/>
  <c r="U215" i="19"/>
  <c r="C57" i="10"/>
  <c r="AA347" i="10" s="1"/>
  <c r="AC347" i="10" s="1"/>
  <c r="Z347" i="10"/>
  <c r="C60" i="10"/>
  <c r="AA350" i="10" s="1"/>
  <c r="Z350" i="10"/>
  <c r="C77" i="10"/>
  <c r="AA367" i="10" s="1"/>
  <c r="Z367" i="10"/>
  <c r="C87" i="10"/>
  <c r="AA377" i="10" s="1"/>
  <c r="Z377" i="10"/>
  <c r="C176" i="10"/>
  <c r="AA466" i="10" s="1"/>
  <c r="Z466" i="10"/>
  <c r="I232" i="16"/>
  <c r="T220" i="16"/>
  <c r="J254" i="16"/>
  <c r="I241" i="16"/>
  <c r="J221" i="16"/>
  <c r="U277" i="16"/>
  <c r="J279" i="16"/>
  <c r="U276" i="16"/>
  <c r="I272" i="16"/>
  <c r="U261" i="16"/>
  <c r="U355" i="16"/>
  <c r="T355" i="16"/>
  <c r="AD208" i="16"/>
  <c r="AD235" i="16"/>
  <c r="J314" i="16"/>
  <c r="T338" i="16"/>
  <c r="AH324" i="16"/>
  <c r="AG324" i="16"/>
  <c r="AL325" i="16"/>
  <c r="AK325" i="16"/>
  <c r="C13" i="16"/>
  <c r="AA303" i="16" s="1"/>
  <c r="Z303" i="16"/>
  <c r="AC330" i="16"/>
  <c r="R314" i="19"/>
  <c r="P314" i="19"/>
  <c r="S314" i="19" s="1"/>
  <c r="G318" i="19"/>
  <c r="E318" i="19"/>
  <c r="H318" i="19" s="1"/>
  <c r="P210" i="19"/>
  <c r="S210" i="19" s="1"/>
  <c r="R210" i="19"/>
  <c r="D209" i="10"/>
  <c r="D214" i="10"/>
  <c r="D216" i="10"/>
  <c r="D218" i="10"/>
  <c r="O299" i="10"/>
  <c r="C51" i="10"/>
  <c r="AA341" i="10" s="1"/>
  <c r="Z341" i="10"/>
  <c r="C69" i="10"/>
  <c r="AA359" i="10" s="1"/>
  <c r="Z359" i="10"/>
  <c r="C71" i="10"/>
  <c r="AA361" i="10" s="1"/>
  <c r="Z361" i="10"/>
  <c r="C91" i="10"/>
  <c r="AA381" i="10" s="1"/>
  <c r="AC381" i="10" s="1"/>
  <c r="Z381" i="10"/>
  <c r="C168" i="10"/>
  <c r="AA458" i="10" s="1"/>
  <c r="Z458" i="10"/>
  <c r="J249" i="16"/>
  <c r="I236" i="16"/>
  <c r="U232" i="16"/>
  <c r="J258" i="16"/>
  <c r="J218" i="16"/>
  <c r="I221" i="16"/>
  <c r="J290" i="16"/>
  <c r="T250" i="16"/>
  <c r="U278" i="16"/>
  <c r="I274" i="16"/>
  <c r="T261" i="16"/>
  <c r="T361" i="16"/>
  <c r="U361" i="16"/>
  <c r="G311" i="16"/>
  <c r="E311" i="16"/>
  <c r="H311" i="16" s="1"/>
  <c r="P312" i="16"/>
  <c r="S312" i="16" s="1"/>
  <c r="R312" i="16"/>
  <c r="T300" i="16"/>
  <c r="U314" i="16"/>
  <c r="AL324" i="16"/>
  <c r="AK324" i="16"/>
  <c r="AC329" i="16"/>
  <c r="C123" i="16"/>
  <c r="AA413" i="16" s="1"/>
  <c r="Z413" i="16"/>
  <c r="Z427" i="16"/>
  <c r="C137" i="16"/>
  <c r="AA427" i="16" s="1"/>
  <c r="C138" i="16"/>
  <c r="AA428" i="16" s="1"/>
  <c r="Z428" i="16"/>
  <c r="Z429" i="16"/>
  <c r="C178" i="16"/>
  <c r="AA468" i="16" s="1"/>
  <c r="Z468" i="16"/>
  <c r="AI185" i="19"/>
  <c r="AF243" i="19" s="1"/>
  <c r="AE243" i="19" s="1"/>
  <c r="AJ185" i="19"/>
  <c r="AH243" i="19" s="1"/>
  <c r="G331" i="19"/>
  <c r="E331" i="19"/>
  <c r="H331" i="19" s="1"/>
  <c r="AK327" i="16"/>
  <c r="AL327" i="16"/>
  <c r="U354" i="16"/>
  <c r="T354" i="16"/>
  <c r="E217" i="16"/>
  <c r="H217" i="16" s="1"/>
  <c r="G217" i="16"/>
  <c r="I217" i="16" s="1"/>
  <c r="E220" i="16"/>
  <c r="H220" i="16" s="1"/>
  <c r="G220" i="16"/>
  <c r="Z334" i="16"/>
  <c r="C44" i="16"/>
  <c r="AA334" i="16" s="1"/>
  <c r="Z336" i="16"/>
  <c r="C46" i="16"/>
  <c r="AA336" i="16" s="1"/>
  <c r="AC336" i="16" s="1"/>
  <c r="Z406" i="16"/>
  <c r="C116" i="16"/>
  <c r="AA406" i="16" s="1"/>
  <c r="C161" i="16"/>
  <c r="AA451" i="16" s="1"/>
  <c r="Z451" i="16"/>
  <c r="AD182" i="16"/>
  <c r="I359" i="16"/>
  <c r="I351" i="16"/>
  <c r="I356" i="16"/>
  <c r="U340" i="16"/>
  <c r="U336" i="16"/>
  <c r="U332" i="16"/>
  <c r="T340" i="16"/>
  <c r="T336" i="16"/>
  <c r="T332" i="16"/>
  <c r="U321" i="16"/>
  <c r="U317" i="16"/>
  <c r="T317" i="16"/>
  <c r="I313" i="16"/>
  <c r="I309" i="16"/>
  <c r="U294" i="16"/>
  <c r="I321" i="16"/>
  <c r="J315" i="16"/>
  <c r="J311" i="16"/>
  <c r="T298" i="16"/>
  <c r="U290" i="16"/>
  <c r="AD232" i="16"/>
  <c r="AD211" i="16"/>
  <c r="AD205" i="16"/>
  <c r="AD210" i="16"/>
  <c r="AD206" i="16"/>
  <c r="AD183" i="16"/>
  <c r="J358" i="16"/>
  <c r="J350" i="16"/>
  <c r="J355" i="16"/>
  <c r="J340" i="16"/>
  <c r="J336" i="16"/>
  <c r="J332" i="16"/>
  <c r="I340" i="16"/>
  <c r="I336" i="16"/>
  <c r="I332" i="16"/>
  <c r="J321" i="16"/>
  <c r="J317" i="16"/>
  <c r="U316" i="16"/>
  <c r="U312" i="16"/>
  <c r="T301" i="16"/>
  <c r="T293" i="16"/>
  <c r="J320" i="16"/>
  <c r="T314" i="16"/>
  <c r="T310" i="16"/>
  <c r="U297" i="16"/>
  <c r="U289" i="16"/>
  <c r="AD215" i="16"/>
  <c r="AD199" i="16"/>
  <c r="U235" i="16"/>
  <c r="AD200" i="16"/>
  <c r="AD190" i="16"/>
  <c r="AD189" i="16"/>
  <c r="I357" i="16"/>
  <c r="I349" i="16"/>
  <c r="I354" i="16"/>
  <c r="T339" i="16"/>
  <c r="T335" i="16"/>
  <c r="T331" i="16"/>
  <c r="U339" i="16"/>
  <c r="U335" i="16"/>
  <c r="U331" i="16"/>
  <c r="T320" i="16"/>
  <c r="J330" i="16"/>
  <c r="J316" i="16"/>
  <c r="J312" i="16"/>
  <c r="U300" i="16"/>
  <c r="T292" i="16"/>
  <c r="T319" i="16"/>
  <c r="I314" i="16"/>
  <c r="I310" i="16"/>
  <c r="T296" i="16"/>
  <c r="AD238" i="16"/>
  <c r="AD214" i="16"/>
  <c r="AD179" i="16"/>
  <c r="I353" i="16"/>
  <c r="I352" i="16"/>
  <c r="I337" i="16"/>
  <c r="J349" i="16"/>
  <c r="J335" i="16"/>
  <c r="U329" i="16"/>
  <c r="T321" i="16"/>
  <c r="T313" i="16"/>
  <c r="T297" i="16"/>
  <c r="U318" i="16"/>
  <c r="I312" i="16"/>
  <c r="T294" i="16"/>
  <c r="AD233" i="16"/>
  <c r="AD207" i="16"/>
  <c r="AG207" i="16" s="1"/>
  <c r="AD197" i="16"/>
  <c r="AE207" i="16"/>
  <c r="AH207" i="16" s="1"/>
  <c r="AD198" i="16"/>
  <c r="AD180" i="16"/>
  <c r="T215" i="16"/>
  <c r="J352" i="16"/>
  <c r="J351" i="16"/>
  <c r="I335" i="16"/>
  <c r="U341" i="16"/>
  <c r="T334" i="16"/>
  <c r="J329" i="16"/>
  <c r="U320" i="16"/>
  <c r="T311" i="16"/>
  <c r="U296" i="16"/>
  <c r="I317" i="16"/>
  <c r="U311" i="16"/>
  <c r="U293" i="16"/>
  <c r="U215" i="16"/>
  <c r="AD186" i="16"/>
  <c r="I275" i="16"/>
  <c r="I295" i="16"/>
  <c r="J255" i="16"/>
  <c r="I215" i="16"/>
  <c r="AD181" i="16"/>
  <c r="J361" i="16"/>
  <c r="T341" i="16"/>
  <c r="U334" i="16"/>
  <c r="J341" i="16"/>
  <c r="I334" i="16"/>
  <c r="I320" i="16"/>
  <c r="I319" i="16"/>
  <c r="I311" i="16"/>
  <c r="T295" i="16"/>
  <c r="T316" i="16"/>
  <c r="U309" i="16"/>
  <c r="U292" i="16"/>
  <c r="AD213" i="16"/>
  <c r="AD203" i="16"/>
  <c r="AD212" i="16"/>
  <c r="AD204" i="16"/>
  <c r="AD188" i="16"/>
  <c r="U255" i="16"/>
  <c r="J235" i="16"/>
  <c r="I235" i="16"/>
  <c r="T253" i="16"/>
  <c r="I278" i="16"/>
  <c r="I270" i="16"/>
  <c r="I291" i="16"/>
  <c r="T276" i="16"/>
  <c r="T260" i="16"/>
  <c r="U252" i="16"/>
  <c r="I277" i="16"/>
  <c r="I299" i="16"/>
  <c r="T279" i="16"/>
  <c r="T269" i="16"/>
  <c r="J296" i="16"/>
  <c r="T210" i="16"/>
  <c r="T233" i="16"/>
  <c r="J219" i="16"/>
  <c r="U209" i="16"/>
  <c r="AD185" i="16"/>
  <c r="J356" i="16"/>
  <c r="I341" i="16"/>
  <c r="I331" i="16"/>
  <c r="J333" i="16"/>
  <c r="T329" i="16"/>
  <c r="T309" i="16"/>
  <c r="I316" i="16"/>
  <c r="U299" i="16"/>
  <c r="AD201" i="16"/>
  <c r="AD192" i="16"/>
  <c r="J215" i="16"/>
  <c r="U259" i="16"/>
  <c r="I280" i="16"/>
  <c r="J272" i="16"/>
  <c r="J291" i="16"/>
  <c r="T274" i="16"/>
  <c r="T258" i="16"/>
  <c r="I281" i="16"/>
  <c r="J271" i="16"/>
  <c r="T281" i="16"/>
  <c r="U271" i="16"/>
  <c r="I296" i="16"/>
  <c r="T214" i="16"/>
  <c r="U237" i="16"/>
  <c r="I219" i="16"/>
  <c r="U221" i="16"/>
  <c r="I213" i="16"/>
  <c r="J190" i="16"/>
  <c r="J214" i="16"/>
  <c r="I237" i="16"/>
  <c r="I258" i="16"/>
  <c r="I250" i="16"/>
  <c r="U220" i="16"/>
  <c r="U238" i="16"/>
  <c r="J216" i="16"/>
  <c r="J236" i="16"/>
  <c r="I259" i="16"/>
  <c r="I249" i="16"/>
  <c r="I355" i="16"/>
  <c r="I339" i="16"/>
  <c r="I350" i="16"/>
  <c r="J331" i="16"/>
  <c r="J318" i="16"/>
  <c r="T299" i="16"/>
  <c r="U315" i="16"/>
  <c r="U295" i="16"/>
  <c r="AD216" i="16"/>
  <c r="AD202" i="16"/>
  <c r="AD184" i="16"/>
  <c r="T255" i="16"/>
  <c r="U275" i="16"/>
  <c r="T257" i="16"/>
  <c r="J280" i="16"/>
  <c r="J270" i="16"/>
  <c r="I289" i="16"/>
  <c r="U274" i="16"/>
  <c r="U256" i="16"/>
  <c r="J281" i="16"/>
  <c r="I269" i="16"/>
  <c r="U281" i="16"/>
  <c r="U269" i="16"/>
  <c r="U214" i="16"/>
  <c r="U233" i="16"/>
  <c r="J211" i="16"/>
  <c r="T221" i="16"/>
  <c r="I229" i="16"/>
  <c r="J213" i="16"/>
  <c r="T219" i="16"/>
  <c r="I210" i="16"/>
  <c r="J233" i="16"/>
  <c r="J256" i="16"/>
  <c r="T216" i="16"/>
  <c r="U236" i="16"/>
  <c r="I212" i="16"/>
  <c r="I234" i="16"/>
  <c r="J257" i="16"/>
  <c r="J354" i="16"/>
  <c r="U338" i="16"/>
  <c r="J339" i="16"/>
  <c r="T330" i="16"/>
  <c r="T315" i="16"/>
  <c r="U298" i="16"/>
  <c r="U313" i="16"/>
  <c r="U291" i="16"/>
  <c r="T275" i="16"/>
  <c r="J275" i="16"/>
  <c r="I255" i="16"/>
  <c r="U257" i="16"/>
  <c r="J278" i="16"/>
  <c r="I301" i="16"/>
  <c r="J289" i="16"/>
  <c r="T272" i="16"/>
  <c r="T256" i="16"/>
  <c r="I279" i="16"/>
  <c r="J269" i="16"/>
  <c r="U279" i="16"/>
  <c r="J298" i="16"/>
  <c r="U210" i="16"/>
  <c r="T230" i="16"/>
  <c r="I211" i="16"/>
  <c r="U217" i="16"/>
  <c r="J229" i="16"/>
  <c r="I209" i="16"/>
  <c r="U219" i="16"/>
  <c r="J210" i="16"/>
  <c r="I233" i="16"/>
  <c r="I256" i="16"/>
  <c r="U216" i="16"/>
  <c r="T236" i="16"/>
  <c r="J212" i="16"/>
  <c r="J234" i="16"/>
  <c r="I257" i="16"/>
  <c r="J360" i="16"/>
  <c r="J334" i="16"/>
  <c r="I330" i="16"/>
  <c r="U310" i="16"/>
  <c r="T312" i="16"/>
  <c r="J295" i="16"/>
  <c r="U249" i="16"/>
  <c r="J297" i="16"/>
  <c r="U272" i="16"/>
  <c r="U250" i="16"/>
  <c r="I292" i="16"/>
  <c r="T271" i="16"/>
  <c r="T241" i="16"/>
  <c r="T231" i="16"/>
  <c r="J217" i="16"/>
  <c r="U211" i="16"/>
  <c r="I214" i="16"/>
  <c r="J260" i="16"/>
  <c r="T234" i="16"/>
  <c r="I216" i="16"/>
  <c r="J261" i="16"/>
  <c r="I360" i="16"/>
  <c r="T333" i="16"/>
  <c r="U319" i="16"/>
  <c r="J310" i="16"/>
  <c r="J309" i="16"/>
  <c r="AD187" i="16"/>
  <c r="J357" i="16"/>
  <c r="I338" i="16"/>
  <c r="I318" i="16"/>
  <c r="T289" i="16"/>
  <c r="AD236" i="16"/>
  <c r="AD193" i="16"/>
  <c r="AD194" i="16"/>
  <c r="U253" i="16"/>
  <c r="J274" i="16"/>
  <c r="U280" i="16"/>
  <c r="U258" i="16"/>
  <c r="I273" i="16"/>
  <c r="T277" i="16"/>
  <c r="J300" i="16"/>
  <c r="U230" i="16"/>
  <c r="T217" i="16"/>
  <c r="J239" i="16"/>
  <c r="I254" i="16"/>
  <c r="T240" i="16"/>
  <c r="J238" i="16"/>
  <c r="I253" i="16"/>
  <c r="D215" i="10"/>
  <c r="G215" i="10" s="1"/>
  <c r="D217" i="10"/>
  <c r="C55" i="10"/>
  <c r="AA345" i="10" s="1"/>
  <c r="Z345" i="10"/>
  <c r="D358" i="10"/>
  <c r="D353" i="10"/>
  <c r="D349" i="10"/>
  <c r="D361" i="10"/>
  <c r="D357" i="10"/>
  <c r="D352" i="10"/>
  <c r="C75" i="10"/>
  <c r="AA365" i="10" s="1"/>
  <c r="Z365" i="10"/>
  <c r="C96" i="10"/>
  <c r="AA386" i="10" s="1"/>
  <c r="Z386" i="10"/>
  <c r="C104" i="10"/>
  <c r="AA394" i="10" s="1"/>
  <c r="Z394" i="10"/>
  <c r="C112" i="10"/>
  <c r="AA402" i="10" s="1"/>
  <c r="Z402" i="10"/>
  <c r="C120" i="10"/>
  <c r="AA410" i="10" s="1"/>
  <c r="Z410" i="10"/>
  <c r="C128" i="10"/>
  <c r="AA418" i="10" s="1"/>
  <c r="Z418" i="10"/>
  <c r="C136" i="10"/>
  <c r="AA426" i="10" s="1"/>
  <c r="Z426" i="10"/>
  <c r="C144" i="10"/>
  <c r="AA434" i="10" s="1"/>
  <c r="Z434" i="10"/>
  <c r="C152" i="10"/>
  <c r="AA442" i="10" s="1"/>
  <c r="Z442" i="10"/>
  <c r="J251" i="16"/>
  <c r="J240" i="16"/>
  <c r="U234" i="16"/>
  <c r="J230" i="16"/>
  <c r="J199" i="16"/>
  <c r="T209" i="16"/>
  <c r="T239" i="16"/>
  <c r="I294" i="16"/>
  <c r="J292" i="16"/>
  <c r="T254" i="16"/>
  <c r="T280" i="16"/>
  <c r="I276" i="16"/>
  <c r="G337" i="16"/>
  <c r="T357" i="16"/>
  <c r="AD217" i="16"/>
  <c r="J313" i="16"/>
  <c r="T318" i="16"/>
  <c r="J338" i="16"/>
  <c r="AD178" i="16"/>
  <c r="AL328" i="16"/>
  <c r="AK328" i="16"/>
  <c r="AL313" i="16"/>
  <c r="AK313" i="16"/>
  <c r="Z415" i="16"/>
  <c r="C125" i="16"/>
  <c r="AA415" i="16" s="1"/>
  <c r="Z416" i="16"/>
  <c r="C126" i="16"/>
  <c r="AA416" i="16" s="1"/>
  <c r="D238" i="16"/>
  <c r="D230" i="16"/>
  <c r="D237" i="16"/>
  <c r="D231" i="16"/>
  <c r="D236" i="16"/>
  <c r="D229" i="16"/>
  <c r="D233" i="16"/>
  <c r="D232" i="16"/>
  <c r="D241" i="16"/>
  <c r="D240" i="16"/>
  <c r="D239" i="16"/>
  <c r="D235" i="16"/>
  <c r="G235" i="16" s="1"/>
  <c r="R352" i="19"/>
  <c r="Z437" i="19"/>
  <c r="C147" i="19"/>
  <c r="AA437" i="19" s="1"/>
  <c r="Z446" i="19"/>
  <c r="C156" i="19"/>
  <c r="AA446" i="19" s="1"/>
  <c r="R331" i="16"/>
  <c r="P331" i="16"/>
  <c r="S331" i="16" s="1"/>
  <c r="E314" i="16"/>
  <c r="H314" i="16" s="1"/>
  <c r="G314" i="16"/>
  <c r="AG245" i="16"/>
  <c r="AC246" i="16"/>
  <c r="AC343" i="16"/>
  <c r="AK48" i="16"/>
  <c r="AH48" i="16"/>
  <c r="C140" i="16"/>
  <c r="AA430" i="16" s="1"/>
  <c r="Z430" i="16"/>
  <c r="D320" i="16"/>
  <c r="D321" i="16"/>
  <c r="D318" i="16"/>
  <c r="D317" i="16"/>
  <c r="D319" i="16"/>
  <c r="D316" i="16"/>
  <c r="D310" i="16"/>
  <c r="D315" i="16"/>
  <c r="G315" i="16" s="1"/>
  <c r="J211" i="19"/>
  <c r="I211" i="19"/>
  <c r="U353" i="19"/>
  <c r="T353" i="19"/>
  <c r="G190" i="19"/>
  <c r="E190" i="19"/>
  <c r="H190" i="19" s="1"/>
  <c r="B10" i="2"/>
  <c r="B16" i="2" s="1"/>
  <c r="B4" i="3"/>
  <c r="B5" i="3" s="1"/>
  <c r="G313" i="16"/>
  <c r="E313" i="16"/>
  <c r="H313" i="16" s="1"/>
  <c r="G276" i="16"/>
  <c r="E276" i="16"/>
  <c r="H276" i="16" s="1"/>
  <c r="AC296" i="16"/>
  <c r="C37" i="16"/>
  <c r="AA327" i="16" s="1"/>
  <c r="Z327" i="16"/>
  <c r="D198" i="16"/>
  <c r="D196" i="16"/>
  <c r="D193" i="16"/>
  <c r="D194" i="16"/>
  <c r="D191" i="16"/>
  <c r="D200" i="16"/>
  <c r="D192" i="16"/>
  <c r="D201" i="16"/>
  <c r="D197" i="16"/>
  <c r="D195" i="16"/>
  <c r="G195" i="16" s="1"/>
  <c r="J195" i="16" s="1"/>
  <c r="D189" i="16"/>
  <c r="O341" i="16"/>
  <c r="O338" i="16"/>
  <c r="O339" i="16"/>
  <c r="O336" i="16"/>
  <c r="O337" i="16"/>
  <c r="O334" i="16"/>
  <c r="O335" i="16"/>
  <c r="R335" i="16" s="1"/>
  <c r="U354" i="19"/>
  <c r="T354" i="19"/>
  <c r="Z421" i="19"/>
  <c r="C131" i="19"/>
  <c r="AA421" i="19" s="1"/>
  <c r="G254" i="16"/>
  <c r="R317" i="16"/>
  <c r="R271" i="16"/>
  <c r="P271" i="16"/>
  <c r="S271" i="16" s="1"/>
  <c r="G269" i="16"/>
  <c r="E269" i="16"/>
  <c r="H269" i="16" s="1"/>
  <c r="AI49" i="16"/>
  <c r="AH49" i="16"/>
  <c r="AC304" i="16"/>
  <c r="C58" i="16"/>
  <c r="AA348" i="16" s="1"/>
  <c r="Z348" i="16"/>
  <c r="C78" i="16"/>
  <c r="AA368" i="16" s="1"/>
  <c r="AC368" i="16" s="1"/>
  <c r="Z368" i="16"/>
  <c r="C110" i="16"/>
  <c r="AA400" i="16" s="1"/>
  <c r="Z400" i="16"/>
  <c r="C153" i="16"/>
  <c r="AA443" i="16" s="1"/>
  <c r="Z443" i="16"/>
  <c r="O292" i="16"/>
  <c r="O291" i="16"/>
  <c r="O301" i="16"/>
  <c r="O290" i="16"/>
  <c r="O297" i="16"/>
  <c r="O294" i="16"/>
  <c r="O295" i="16"/>
  <c r="R295" i="16" s="1"/>
  <c r="I214" i="19"/>
  <c r="J214" i="19"/>
  <c r="Z444" i="19"/>
  <c r="C154" i="19"/>
  <c r="AA444" i="19" s="1"/>
  <c r="Z454" i="19"/>
  <c r="C164" i="19"/>
  <c r="AA454" i="19" s="1"/>
  <c r="Z460" i="19"/>
  <c r="C170" i="19"/>
  <c r="AA460" i="19" s="1"/>
  <c r="Z367" i="16"/>
  <c r="C77" i="16"/>
  <c r="AA367" i="16" s="1"/>
  <c r="AC367" i="16" s="1"/>
  <c r="Z399" i="16"/>
  <c r="C109" i="16"/>
  <c r="AA399" i="16" s="1"/>
  <c r="AH53" i="16"/>
  <c r="AI53" i="16"/>
  <c r="AC317" i="16" s="1"/>
  <c r="Z421" i="16"/>
  <c r="C131" i="16"/>
  <c r="AA421" i="16" s="1"/>
  <c r="R359" i="16"/>
  <c r="P359" i="16"/>
  <c r="S359" i="16" s="1"/>
  <c r="R281" i="16"/>
  <c r="P281" i="16"/>
  <c r="S281" i="16" s="1"/>
  <c r="C3" i="16"/>
  <c r="AA293" i="16" s="1"/>
  <c r="AC293" i="16" s="1"/>
  <c r="C7" i="16"/>
  <c r="AA297" i="16" s="1"/>
  <c r="AC297" i="16" s="1"/>
  <c r="C16" i="16"/>
  <c r="AA306" i="16" s="1"/>
  <c r="AC306" i="16" s="1"/>
  <c r="C20" i="16"/>
  <c r="AA310" i="16" s="1"/>
  <c r="AC310" i="16" s="1"/>
  <c r="C38" i="16"/>
  <c r="AA328" i="16" s="1"/>
  <c r="AC328" i="16" s="1"/>
  <c r="AC352" i="16"/>
  <c r="C115" i="16"/>
  <c r="AA405" i="16" s="1"/>
  <c r="U349" i="19"/>
  <c r="T349" i="19"/>
  <c r="J217" i="19"/>
  <c r="I217" i="19"/>
  <c r="E356" i="16"/>
  <c r="H356" i="16" s="1"/>
  <c r="G356" i="16"/>
  <c r="G359" i="16"/>
  <c r="E359" i="16"/>
  <c r="H359" i="16" s="1"/>
  <c r="AC362" i="16"/>
  <c r="D260" i="16"/>
  <c r="D259" i="16"/>
  <c r="D261" i="16"/>
  <c r="D252" i="16"/>
  <c r="D258" i="16"/>
  <c r="D251" i="16"/>
  <c r="D257" i="16"/>
  <c r="D250" i="16"/>
  <c r="U357" i="19"/>
  <c r="T357" i="19"/>
  <c r="J213" i="19"/>
  <c r="I213" i="19"/>
  <c r="AI183" i="19"/>
  <c r="AF241" i="19" s="1"/>
  <c r="AE241" i="19" s="1"/>
  <c r="AJ183" i="19"/>
  <c r="AH241" i="19" s="1"/>
  <c r="Z329" i="19"/>
  <c r="C39" i="19"/>
  <c r="AA329" i="19" s="1"/>
  <c r="C81" i="19"/>
  <c r="AA371" i="19" s="1"/>
  <c r="Z371" i="19"/>
  <c r="I231" i="19"/>
  <c r="J231" i="19"/>
  <c r="O280" i="19"/>
  <c r="O275" i="19"/>
  <c r="R275" i="19" s="1"/>
  <c r="O273" i="19"/>
  <c r="O271" i="19"/>
  <c r="O276" i="19"/>
  <c r="O269" i="19"/>
  <c r="O272" i="19"/>
  <c r="O270" i="19"/>
  <c r="O279" i="19"/>
  <c r="O277" i="19"/>
  <c r="O274" i="19"/>
  <c r="O281" i="19"/>
  <c r="E281" i="19"/>
  <c r="H281" i="19" s="1"/>
  <c r="G281" i="19"/>
  <c r="C60" i="16"/>
  <c r="AA350" i="16" s="1"/>
  <c r="AC350" i="16" s="1"/>
  <c r="C4" i="16"/>
  <c r="AA294" i="16" s="1"/>
  <c r="AC294" i="16" s="1"/>
  <c r="Z294" i="16"/>
  <c r="C17" i="16"/>
  <c r="AA307" i="16" s="1"/>
  <c r="AC307" i="16" s="1"/>
  <c r="Z307" i="16"/>
  <c r="C33" i="16"/>
  <c r="AA323" i="16" s="1"/>
  <c r="AC323" i="16" s="1"/>
  <c r="Z323" i="16"/>
  <c r="AF52" i="16"/>
  <c r="AE331" i="16"/>
  <c r="AE323" i="16"/>
  <c r="AE330" i="16"/>
  <c r="AE316" i="16"/>
  <c r="AE320" i="16"/>
  <c r="AI329" i="16"/>
  <c r="AI321" i="16"/>
  <c r="AI326" i="16"/>
  <c r="AI314" i="16"/>
  <c r="AI315" i="16"/>
  <c r="AE329" i="16"/>
  <c r="AE321" i="16"/>
  <c r="AE326" i="16"/>
  <c r="AE314" i="16"/>
  <c r="AE315" i="16"/>
  <c r="C113" i="16"/>
  <c r="AA403" i="16" s="1"/>
  <c r="C117" i="16"/>
  <c r="AA407" i="16" s="1"/>
  <c r="Z420" i="16"/>
  <c r="C130" i="16"/>
  <c r="AA420" i="16" s="1"/>
  <c r="I230" i="19"/>
  <c r="J230" i="19"/>
  <c r="I216" i="19"/>
  <c r="J216" i="19"/>
  <c r="E349" i="19"/>
  <c r="H349" i="19" s="1"/>
  <c r="G349" i="19"/>
  <c r="P329" i="19"/>
  <c r="S329" i="19" s="1"/>
  <c r="R329" i="19"/>
  <c r="AE184" i="19"/>
  <c r="AH184" i="19" s="1"/>
  <c r="AJ184" i="19" s="1"/>
  <c r="AH242" i="19" s="1"/>
  <c r="AG323" i="19"/>
  <c r="AH323" i="19"/>
  <c r="C5" i="19"/>
  <c r="AA295" i="19" s="1"/>
  <c r="Z295" i="19"/>
  <c r="C8" i="16"/>
  <c r="AA298" i="16" s="1"/>
  <c r="AC298" i="16" s="1"/>
  <c r="Z298" i="16"/>
  <c r="C21" i="16"/>
  <c r="AA311" i="16" s="1"/>
  <c r="AC311" i="16" s="1"/>
  <c r="Z311" i="16"/>
  <c r="C112" i="16"/>
  <c r="AA402" i="16" s="1"/>
  <c r="Z402" i="16"/>
  <c r="C142" i="16"/>
  <c r="AA432" i="16" s="1"/>
  <c r="Z432" i="16"/>
  <c r="Z438" i="16"/>
  <c r="C148" i="16"/>
  <c r="AA438" i="16" s="1"/>
  <c r="AJ177" i="16"/>
  <c r="T356" i="19"/>
  <c r="U356" i="19"/>
  <c r="P341" i="19"/>
  <c r="S341" i="19" s="1"/>
  <c r="R341" i="19"/>
  <c r="E301" i="19"/>
  <c r="H301" i="19" s="1"/>
  <c r="G301" i="19"/>
  <c r="I220" i="19"/>
  <c r="J220" i="19"/>
  <c r="AI48" i="16"/>
  <c r="C12" i="16"/>
  <c r="AA302" i="16" s="1"/>
  <c r="AC302" i="16" s="1"/>
  <c r="Z302" i="16"/>
  <c r="C41" i="16"/>
  <c r="AA331" i="16" s="1"/>
  <c r="AC331" i="16" s="1"/>
  <c r="Z331" i="16"/>
  <c r="Z353" i="16"/>
  <c r="C63" i="16"/>
  <c r="AA353" i="16" s="1"/>
  <c r="AC353" i="16" s="1"/>
  <c r="AI233" i="19"/>
  <c r="AJ233" i="19"/>
  <c r="P339" i="19"/>
  <c r="S339" i="19" s="1"/>
  <c r="R339" i="19"/>
  <c r="G294" i="19"/>
  <c r="E294" i="19"/>
  <c r="H294" i="19" s="1"/>
  <c r="R253" i="19"/>
  <c r="P253" i="19"/>
  <c r="S253" i="19" s="1"/>
  <c r="AC245" i="19"/>
  <c r="AG244" i="19"/>
  <c r="E333" i="19"/>
  <c r="H333" i="19" s="1"/>
  <c r="G333" i="19"/>
  <c r="G219" i="19"/>
  <c r="E219" i="19"/>
  <c r="H219" i="19" s="1"/>
  <c r="C52" i="19"/>
  <c r="AA342" i="19" s="1"/>
  <c r="D360" i="19"/>
  <c r="D351" i="19"/>
  <c r="D357" i="19"/>
  <c r="D356" i="19"/>
  <c r="D350" i="19"/>
  <c r="D358" i="19"/>
  <c r="D359" i="19"/>
  <c r="D353" i="19"/>
  <c r="D361" i="19"/>
  <c r="D352" i="19"/>
  <c r="T212" i="19"/>
  <c r="U212" i="19"/>
  <c r="E297" i="19"/>
  <c r="H297" i="19" s="1"/>
  <c r="G297" i="19"/>
  <c r="P237" i="19"/>
  <c r="S237" i="19" s="1"/>
  <c r="R237" i="19"/>
  <c r="AG325" i="19"/>
  <c r="AH325" i="19"/>
  <c r="D200" i="19"/>
  <c r="D198" i="19"/>
  <c r="D193" i="19"/>
  <c r="D191" i="19"/>
  <c r="D192" i="19"/>
  <c r="D189" i="19"/>
  <c r="D196" i="19"/>
  <c r="D199" i="19"/>
  <c r="D201" i="19"/>
  <c r="R360" i="19"/>
  <c r="P360" i="19"/>
  <c r="S360" i="19" s="1"/>
  <c r="I39" i="8"/>
  <c r="I33" i="8"/>
  <c r="R332" i="19"/>
  <c r="P332" i="19"/>
  <c r="S332" i="19" s="1"/>
  <c r="E221" i="19"/>
  <c r="H221" i="19" s="1"/>
  <c r="G221" i="19"/>
  <c r="D197" i="19"/>
  <c r="D194" i="19"/>
  <c r="AH52" i="19"/>
  <c r="AI52" i="19"/>
  <c r="C109" i="19"/>
  <c r="AA399" i="19" s="1"/>
  <c r="Z399" i="19"/>
  <c r="AC189" i="19"/>
  <c r="AC190" i="19" s="1"/>
  <c r="AD188" i="19"/>
  <c r="O195" i="19"/>
  <c r="R195" i="19" s="1"/>
  <c r="U195" i="19" s="1"/>
  <c r="O191" i="19"/>
  <c r="O189" i="19"/>
  <c r="O192" i="19"/>
  <c r="O196" i="19"/>
  <c r="O190" i="19"/>
  <c r="O198" i="19"/>
  <c r="O200" i="19"/>
  <c r="O199" i="19"/>
  <c r="O193" i="19"/>
  <c r="O201" i="19"/>
  <c r="O197" i="19"/>
  <c r="O290" i="19"/>
  <c r="O298" i="19"/>
  <c r="O295" i="19"/>
  <c r="R295" i="19" s="1"/>
  <c r="O296" i="19"/>
  <c r="O301" i="19"/>
  <c r="O294" i="19"/>
  <c r="O297" i="19"/>
  <c r="O299" i="19"/>
  <c r="O292" i="19"/>
  <c r="O300" i="19"/>
  <c r="O291" i="19"/>
  <c r="O289" i="19"/>
  <c r="O293" i="19"/>
  <c r="D299" i="19"/>
  <c r="D295" i="19"/>
  <c r="G295" i="19" s="1"/>
  <c r="D289" i="19"/>
  <c r="D300" i="19"/>
  <c r="D298" i="19"/>
  <c r="D290" i="19"/>
  <c r="D291" i="19"/>
  <c r="D292" i="19"/>
  <c r="O321" i="19"/>
  <c r="O319" i="19"/>
  <c r="O320" i="19"/>
  <c r="O317" i="19"/>
  <c r="O318" i="19"/>
  <c r="O315" i="19"/>
  <c r="R315" i="19" s="1"/>
  <c r="O313" i="19"/>
  <c r="O311" i="19"/>
  <c r="O309" i="19"/>
  <c r="O316" i="19"/>
  <c r="D330" i="19"/>
  <c r="D329" i="19"/>
  <c r="D341" i="19"/>
  <c r="D339" i="19"/>
  <c r="D340" i="19"/>
  <c r="D337" i="19"/>
  <c r="D338" i="19"/>
  <c r="D336" i="19"/>
  <c r="D334" i="19"/>
  <c r="D332" i="19"/>
  <c r="C88" i="13"/>
  <c r="C70" i="13"/>
  <c r="I24" i="18"/>
  <c r="R330" i="19"/>
  <c r="P330" i="19"/>
  <c r="S330" i="19" s="1"/>
  <c r="P194" i="19"/>
  <c r="S194" i="19" s="1"/>
  <c r="R194" i="19"/>
  <c r="P256" i="19"/>
  <c r="S256" i="19" s="1"/>
  <c r="R256" i="19"/>
  <c r="AE187" i="19"/>
  <c r="AH187" i="19" s="1"/>
  <c r="AG187" i="19"/>
  <c r="G319" i="19"/>
  <c r="R338" i="19"/>
  <c r="AH48" i="19"/>
  <c r="AI48" i="19"/>
  <c r="C44" i="19"/>
  <c r="AA334" i="19" s="1"/>
  <c r="C78" i="19"/>
  <c r="AA368" i="19" s="1"/>
  <c r="Z368" i="19"/>
  <c r="Z409" i="19"/>
  <c r="C119" i="19"/>
  <c r="AA409" i="19" s="1"/>
  <c r="Z386" i="19"/>
  <c r="C96" i="19"/>
  <c r="AA386" i="19" s="1"/>
  <c r="Z419" i="19"/>
  <c r="C129" i="19"/>
  <c r="AA419" i="19" s="1"/>
  <c r="C138" i="19"/>
  <c r="AA428" i="19" s="1"/>
  <c r="Z428" i="19"/>
  <c r="D236" i="19"/>
  <c r="D235" i="19"/>
  <c r="G235" i="19" s="1"/>
  <c r="D241" i="19"/>
  <c r="D234" i="19"/>
  <c r="D239" i="19"/>
  <c r="D237" i="19"/>
  <c r="I12" i="18"/>
  <c r="J210" i="19"/>
  <c r="C35" i="19"/>
  <c r="AA325" i="19" s="1"/>
  <c r="Z325" i="19"/>
  <c r="C102" i="19"/>
  <c r="AA392" i="19" s="1"/>
  <c r="Z392" i="19"/>
  <c r="Z462" i="19"/>
  <c r="C172" i="19"/>
  <c r="AA462" i="19" s="1"/>
  <c r="O213" i="19"/>
  <c r="O211" i="19"/>
  <c r="O220" i="19"/>
  <c r="O209" i="19"/>
  <c r="O218" i="19"/>
  <c r="O221" i="19"/>
  <c r="O214" i="19"/>
  <c r="O241" i="19"/>
  <c r="O234" i="19"/>
  <c r="O240" i="19"/>
  <c r="O233" i="19"/>
  <c r="O239" i="19"/>
  <c r="O232" i="19"/>
  <c r="O238" i="19"/>
  <c r="O230" i="19"/>
  <c r="O236" i="19"/>
  <c r="H12" i="18"/>
  <c r="C14" i="13" s="1"/>
  <c r="C75" i="13" s="1"/>
  <c r="J12" i="18"/>
  <c r="C46" i="13" s="1"/>
  <c r="D233" i="19"/>
  <c r="C58" i="19"/>
  <c r="AA348" i="19" s="1"/>
  <c r="Z348" i="19"/>
  <c r="Z453" i="19"/>
  <c r="C163" i="19"/>
  <c r="AA453" i="19" s="1"/>
  <c r="T280" i="19"/>
  <c r="AD179" i="19"/>
  <c r="J315" i="19"/>
  <c r="J289" i="19"/>
  <c r="J257" i="19"/>
  <c r="I195" i="19"/>
  <c r="U275" i="19"/>
  <c r="T335" i="19"/>
  <c r="J259" i="19"/>
  <c r="J281" i="19"/>
  <c r="T260" i="19"/>
  <c r="AD180" i="19"/>
  <c r="I277" i="19"/>
  <c r="J360" i="19"/>
  <c r="U280" i="19"/>
  <c r="J251" i="19"/>
  <c r="AD186" i="19"/>
  <c r="I260" i="19"/>
  <c r="J295" i="19"/>
  <c r="T315" i="19"/>
  <c r="I335" i="19"/>
  <c r="J195" i="19"/>
  <c r="AD181" i="19"/>
  <c r="AD189" i="19"/>
  <c r="U340" i="19"/>
  <c r="J280" i="19"/>
  <c r="AD238" i="19"/>
  <c r="I253" i="19"/>
  <c r="I269" i="19"/>
  <c r="I273" i="19"/>
  <c r="I289" i="19"/>
  <c r="T292" i="19"/>
  <c r="AD182" i="19"/>
  <c r="I251" i="19"/>
  <c r="I261" i="19"/>
  <c r="I315" i="19"/>
  <c r="J279" i="19"/>
  <c r="AD236" i="19"/>
  <c r="AE207" i="19"/>
  <c r="AH207" i="19" s="1"/>
  <c r="I280" i="19"/>
  <c r="U295" i="19"/>
  <c r="J335" i="19"/>
  <c r="U315" i="19"/>
  <c r="I255" i="19"/>
  <c r="O260" i="19"/>
  <c r="O249" i="19"/>
  <c r="O252" i="19"/>
  <c r="O250" i="19"/>
  <c r="O258" i="19"/>
  <c r="O254" i="19"/>
  <c r="O255" i="19"/>
  <c r="R255" i="19" s="1"/>
  <c r="O261" i="19"/>
  <c r="R340" i="19"/>
  <c r="P340" i="19"/>
  <c r="S340" i="19" s="1"/>
  <c r="AI177" i="19"/>
  <c r="C49" i="19"/>
  <c r="AA339" i="19" s="1"/>
  <c r="Z339" i="19"/>
  <c r="Z344" i="19"/>
  <c r="Z366" i="19"/>
  <c r="C77" i="19"/>
  <c r="AA367" i="19" s="1"/>
  <c r="Z375" i="19"/>
  <c r="H9" i="18"/>
  <c r="C11" i="13" s="1"/>
  <c r="C34" i="19"/>
  <c r="AA324" i="19" s="1"/>
  <c r="C46" i="19"/>
  <c r="AA336" i="19" s="1"/>
  <c r="C80" i="19"/>
  <c r="AA370" i="19" s="1"/>
  <c r="Z370" i="19"/>
  <c r="Z390" i="19"/>
  <c r="C100" i="19"/>
  <c r="AA390" i="19" s="1"/>
  <c r="AF53" i="19"/>
  <c r="AE329" i="19"/>
  <c r="AE321" i="19"/>
  <c r="AE313" i="19"/>
  <c r="AE324" i="19"/>
  <c r="AE316" i="19"/>
  <c r="AI327" i="19"/>
  <c r="AI319" i="19"/>
  <c r="AI330" i="19"/>
  <c r="AI322" i="19"/>
  <c r="AI314" i="19"/>
  <c r="AE327" i="19"/>
  <c r="AE319" i="19"/>
  <c r="AE330" i="19"/>
  <c r="AE322" i="19"/>
  <c r="AE314" i="19"/>
  <c r="AF49" i="19"/>
  <c r="AI325" i="19"/>
  <c r="AI317" i="19"/>
  <c r="AI328" i="19"/>
  <c r="AI320" i="19"/>
  <c r="C83" i="19"/>
  <c r="AA373" i="19" s="1"/>
  <c r="Z373" i="19"/>
  <c r="C84" i="19"/>
  <c r="AA374" i="19" s="1"/>
  <c r="Z374" i="19"/>
  <c r="Z412" i="19"/>
  <c r="C122" i="19"/>
  <c r="AA412" i="19" s="1"/>
  <c r="Z438" i="19"/>
  <c r="C148" i="19"/>
  <c r="AA438" i="19" s="1"/>
  <c r="J27" i="18"/>
  <c r="C61" i="13" s="1"/>
  <c r="H27" i="18"/>
  <c r="C29" i="13" s="1"/>
  <c r="AI237" i="19"/>
  <c r="C10" i="19"/>
  <c r="AA300" i="19" s="1"/>
  <c r="C6" i="19"/>
  <c r="AA296" i="19" s="1"/>
  <c r="C2" i="19"/>
  <c r="AA292" i="19" s="1"/>
  <c r="AJ315" i="19"/>
  <c r="AF331" i="19"/>
  <c r="AF324" i="19"/>
  <c r="AE52" i="19"/>
  <c r="J25" i="18"/>
  <c r="C59" i="13" s="1"/>
  <c r="AF319" i="19"/>
  <c r="AJ314" i="19"/>
  <c r="AF328" i="19"/>
  <c r="AG328" i="19" s="1"/>
  <c r="AG53" i="19"/>
  <c r="D255" i="19"/>
  <c r="G255" i="19" s="1"/>
  <c r="D260" i="19"/>
  <c r="D253" i="19"/>
  <c r="H30" i="18"/>
  <c r="C32" i="13" s="1"/>
  <c r="F16" i="1"/>
  <c r="F20" i="1"/>
  <c r="F21" i="1"/>
  <c r="F22" i="1"/>
  <c r="F23" i="1"/>
  <c r="F24" i="1"/>
  <c r="F25" i="1"/>
  <c r="F26" i="1"/>
  <c r="F27" i="1"/>
  <c r="F28" i="1"/>
  <c r="F18" i="1"/>
  <c r="F17" i="1"/>
  <c r="F19" i="1"/>
  <c r="F15" i="1"/>
  <c r="F30" i="1"/>
  <c r="F29" i="1"/>
  <c r="AF321" i="19"/>
  <c r="AF316" i="19"/>
  <c r="D251" i="19"/>
  <c r="G35" i="14"/>
  <c r="G22" i="14"/>
  <c r="G40" i="14"/>
  <c r="G19" i="14"/>
  <c r="G37" i="14"/>
  <c r="G21" i="14"/>
  <c r="G39" i="14"/>
  <c r="D279" i="19"/>
  <c r="IL15" i="14"/>
  <c r="IM15" i="14" s="1"/>
  <c r="BQ46" i="14"/>
  <c r="BR46" i="14" s="1"/>
  <c r="GE15" i="14"/>
  <c r="GF15" i="14" s="1"/>
  <c r="KS15" i="14"/>
  <c r="KT15" i="14" s="1"/>
  <c r="DV15" i="14"/>
  <c r="IJ46" i="14"/>
  <c r="KQ15" i="14"/>
  <c r="GC15" i="14"/>
  <c r="KQ46" i="14"/>
  <c r="H46" i="14"/>
  <c r="BO46" i="14"/>
  <c r="DV46" i="14"/>
  <c r="IJ15" i="14"/>
  <c r="GC46" i="14"/>
  <c r="BO15" i="14"/>
  <c r="G6" i="1"/>
  <c r="G24" i="1"/>
  <c r="G23" i="1"/>
  <c r="G6" i="3"/>
  <c r="G7" i="3" s="1"/>
  <c r="B159" i="8" s="1"/>
  <c r="G21" i="1"/>
  <c r="G15" i="1"/>
  <c r="G14" i="1"/>
  <c r="G26" i="1"/>
  <c r="G29" i="1"/>
  <c r="G30" i="1"/>
  <c r="G22" i="1"/>
  <c r="G25" i="1"/>
  <c r="G28" i="1"/>
  <c r="G19" i="1"/>
  <c r="F6" i="1"/>
  <c r="F6" i="3"/>
  <c r="F7" i="3" s="1"/>
  <c r="B131" i="8" s="1"/>
  <c r="F9" i="2"/>
  <c r="B89" i="8"/>
  <c r="R97" i="8"/>
  <c r="L10" i="2"/>
  <c r="L17" i="2" s="1"/>
  <c r="L4" i="3"/>
  <c r="L5" i="3" s="1"/>
  <c r="R105" i="8"/>
  <c r="Q105" i="8"/>
  <c r="I207" i="8"/>
  <c r="I201" i="8"/>
  <c r="H17" i="1"/>
  <c r="H22" i="1"/>
  <c r="H19" i="1"/>
  <c r="H21" i="1"/>
  <c r="H20" i="1"/>
  <c r="H28" i="1"/>
  <c r="H18" i="1"/>
  <c r="H14" i="1"/>
  <c r="E33" i="2"/>
  <c r="N99" i="8" s="1"/>
  <c r="P99" i="8" s="1"/>
  <c r="E31" i="2"/>
  <c r="Q97" i="8"/>
  <c r="J17" i="1"/>
  <c r="J21" i="1"/>
  <c r="J27" i="1"/>
  <c r="J20" i="1"/>
  <c r="J24" i="1"/>
  <c r="J22" i="1"/>
  <c r="J16" i="1"/>
  <c r="J26" i="1"/>
  <c r="J19" i="1"/>
  <c r="J28" i="1"/>
  <c r="J23" i="1"/>
  <c r="J25" i="1"/>
  <c r="G17" i="1"/>
  <c r="B28" i="1"/>
  <c r="H27" i="1"/>
  <c r="H26" i="1"/>
  <c r="H24" i="1"/>
  <c r="H23" i="1"/>
  <c r="H25" i="1"/>
  <c r="H6" i="1"/>
  <c r="H6" i="3"/>
  <c r="H7" i="3" s="1"/>
  <c r="B187" i="8" s="1"/>
  <c r="B23" i="1"/>
  <c r="B27" i="1"/>
  <c r="B17" i="1"/>
  <c r="B24" i="1"/>
  <c r="B18" i="1"/>
  <c r="B21" i="1"/>
  <c r="B25" i="1"/>
  <c r="B26" i="1"/>
  <c r="B16" i="1"/>
  <c r="B19" i="1"/>
  <c r="E21" i="1"/>
  <c r="E22" i="1"/>
  <c r="E23" i="1"/>
  <c r="E24" i="1"/>
  <c r="E25" i="1"/>
  <c r="E26" i="1"/>
  <c r="E27" i="1"/>
  <c r="E19" i="1"/>
  <c r="E17" i="1"/>
  <c r="I67" i="8"/>
  <c r="I61" i="8"/>
  <c r="E17" i="2"/>
  <c r="I235" i="8"/>
  <c r="I229" i="8"/>
  <c r="I313" i="8"/>
  <c r="I319" i="8"/>
  <c r="D25" i="1"/>
  <c r="D24" i="1"/>
  <c r="D23" i="1"/>
  <c r="D18" i="1"/>
  <c r="D6" i="1"/>
  <c r="C20" i="1"/>
  <c r="C18" i="1"/>
  <c r="C6" i="1"/>
  <c r="B6" i="3"/>
  <c r="B7" i="3" s="1"/>
  <c r="B19" i="8" s="1"/>
  <c r="K10" i="2"/>
  <c r="K17" i="2" s="1"/>
  <c r="K4" i="3"/>
  <c r="K5" i="3" s="1"/>
  <c r="L6" i="3"/>
  <c r="L7" i="3" s="1"/>
  <c r="B299" i="8" s="1"/>
  <c r="L27" i="1"/>
  <c r="I6" i="1"/>
  <c r="J4" i="3"/>
  <c r="J5" i="3" s="1"/>
  <c r="J10" i="2"/>
  <c r="L9" i="2"/>
  <c r="L18" i="1"/>
  <c r="C23" i="1"/>
  <c r="C27" i="1"/>
  <c r="I25" i="1"/>
  <c r="M25" i="1"/>
  <c r="M22" i="1"/>
  <c r="M26" i="1"/>
  <c r="K28" i="1"/>
  <c r="K25" i="1"/>
  <c r="K21" i="1"/>
  <c r="K27" i="1"/>
  <c r="L17" i="1"/>
  <c r="L24" i="1"/>
  <c r="L23" i="1"/>
  <c r="I257" i="8"/>
  <c r="I263" i="8"/>
  <c r="M6" i="1"/>
  <c r="M17" i="1"/>
  <c r="M20" i="1"/>
  <c r="K18" i="2"/>
  <c r="M18" i="2"/>
  <c r="L18" i="2"/>
  <c r="K31" i="2"/>
  <c r="N265" i="8" s="1"/>
  <c r="M16" i="1"/>
  <c r="M23" i="1"/>
  <c r="M27" i="1"/>
  <c r="L20" i="1"/>
  <c r="K17" i="1"/>
  <c r="K19" i="1"/>
  <c r="M21" i="1"/>
  <c r="M24" i="1"/>
  <c r="M28" i="1"/>
  <c r="L16" i="1"/>
  <c r="K20" i="1"/>
  <c r="I7" i="1"/>
  <c r="I27" i="1" s="1"/>
  <c r="I18" i="1"/>
  <c r="H16" i="1"/>
  <c r="L19" i="1"/>
  <c r="L21" i="1"/>
  <c r="L25" i="1"/>
  <c r="J18" i="1"/>
  <c r="K16" i="2"/>
  <c r="BY167" i="10" l="1"/>
  <c r="BY168" i="10" s="1"/>
  <c r="BP177" i="16"/>
  <c r="BO160" i="16"/>
  <c r="BO177" i="16"/>
  <c r="L42" i="2"/>
  <c r="L43" i="2"/>
  <c r="L40" i="2"/>
  <c r="L41" i="2"/>
  <c r="M216" i="8"/>
  <c r="AS207" i="10"/>
  <c r="AU208" i="10"/>
  <c r="M329" i="8"/>
  <c r="M48" i="8"/>
  <c r="M14" i="8"/>
  <c r="M242" i="8"/>
  <c r="M134" i="8"/>
  <c r="P261" i="19"/>
  <c r="S261" i="19" s="1"/>
  <c r="R261" i="19"/>
  <c r="E236" i="19"/>
  <c r="H236" i="19" s="1"/>
  <c r="G236" i="19"/>
  <c r="G299" i="19"/>
  <c r="E299" i="19"/>
  <c r="H299" i="19" s="1"/>
  <c r="R191" i="19"/>
  <c r="P191" i="19"/>
  <c r="S191" i="19" s="1"/>
  <c r="U360" i="19"/>
  <c r="T360" i="19"/>
  <c r="AH315" i="16"/>
  <c r="AG315" i="16"/>
  <c r="G252" i="16"/>
  <c r="E252" i="16"/>
  <c r="H252" i="16" s="1"/>
  <c r="G238" i="16"/>
  <c r="E238" i="16"/>
  <c r="H238" i="16" s="1"/>
  <c r="AE198" i="16"/>
  <c r="AH198" i="16" s="1"/>
  <c r="AG198" i="16"/>
  <c r="AE183" i="16"/>
  <c r="AH183" i="16" s="1"/>
  <c r="AG183" i="16"/>
  <c r="P236" i="10"/>
  <c r="S236" i="10" s="1"/>
  <c r="R236" i="10"/>
  <c r="I240" i="19"/>
  <c r="J240" i="19"/>
  <c r="AK326" i="10"/>
  <c r="AL326" i="10"/>
  <c r="DH128" i="10"/>
  <c r="DF128" i="10"/>
  <c r="DI128" i="10" s="1"/>
  <c r="DI106" i="16"/>
  <c r="DH106" i="16"/>
  <c r="BI233" i="16"/>
  <c r="DF106" i="16"/>
  <c r="R252" i="10"/>
  <c r="P252" i="10"/>
  <c r="S252" i="10" s="1"/>
  <c r="BC134" i="10"/>
  <c r="BF134" i="10" s="1"/>
  <c r="BE134" i="10"/>
  <c r="AT130" i="10"/>
  <c r="AR130" i="10"/>
  <c r="AU130" i="10" s="1"/>
  <c r="G293" i="10"/>
  <c r="E293" i="10"/>
  <c r="H293" i="10" s="1"/>
  <c r="AH26" i="14"/>
  <c r="BB26" i="14" s="1"/>
  <c r="DH126" i="19"/>
  <c r="DF126" i="19"/>
  <c r="DI126" i="19" s="1"/>
  <c r="BI232" i="19"/>
  <c r="DF105" i="19"/>
  <c r="DI105" i="19"/>
  <c r="DH105" i="19"/>
  <c r="G318" i="10"/>
  <c r="E318" i="10"/>
  <c r="H318" i="10" s="1"/>
  <c r="R209" i="10"/>
  <c r="P209" i="10"/>
  <c r="S209" i="10" s="1"/>
  <c r="CK247" i="10"/>
  <c r="BD237" i="10"/>
  <c r="CL247" i="10" s="1"/>
  <c r="BP140" i="16"/>
  <c r="BN140" i="16"/>
  <c r="BQ140" i="16" s="1"/>
  <c r="AW104" i="16"/>
  <c r="AV104" i="16"/>
  <c r="BT167" i="10"/>
  <c r="BT159" i="10"/>
  <c r="BJ159" i="10"/>
  <c r="BJ167" i="10"/>
  <c r="CG168" i="19"/>
  <c r="CG169" i="19" s="1"/>
  <c r="CG170" i="19" s="1"/>
  <c r="DK103" i="19"/>
  <c r="DJ103" i="19"/>
  <c r="BM257" i="10"/>
  <c r="BN257" i="10"/>
  <c r="AU231" i="19"/>
  <c r="BZ244" i="19" s="1"/>
  <c r="BY244" i="19"/>
  <c r="BR164" i="19"/>
  <c r="BQ164" i="19"/>
  <c r="BQ165" i="19" s="1"/>
  <c r="BQ166" i="19" s="1"/>
  <c r="BR156" i="19"/>
  <c r="BY158" i="19"/>
  <c r="BY175" i="19"/>
  <c r="BZ158" i="19"/>
  <c r="CJ161" i="19"/>
  <c r="CJ169" i="19"/>
  <c r="M325" i="8"/>
  <c r="M44" i="8"/>
  <c r="D10" i="2"/>
  <c r="D4" i="3"/>
  <c r="D5" i="3" s="1"/>
  <c r="M244" i="8"/>
  <c r="M161" i="8"/>
  <c r="M135" i="8"/>
  <c r="R209" i="19"/>
  <c r="P209" i="19"/>
  <c r="S209" i="19" s="1"/>
  <c r="G337" i="19"/>
  <c r="E337" i="19"/>
  <c r="H337" i="19" s="1"/>
  <c r="P301" i="19"/>
  <c r="S301" i="19" s="1"/>
  <c r="R301" i="19"/>
  <c r="G200" i="19"/>
  <c r="E200" i="19"/>
  <c r="H200" i="19" s="1"/>
  <c r="P281" i="19"/>
  <c r="S281" i="19" s="1"/>
  <c r="R281" i="19"/>
  <c r="G198" i="16"/>
  <c r="E198" i="16"/>
  <c r="H198" i="16" s="1"/>
  <c r="AC247" i="16"/>
  <c r="AG246" i="16"/>
  <c r="I215" i="10"/>
  <c r="J215" i="10"/>
  <c r="AE206" i="16"/>
  <c r="AH206" i="16" s="1"/>
  <c r="AG206" i="16"/>
  <c r="BY106" i="16"/>
  <c r="CB106" i="16"/>
  <c r="AZ233" i="16"/>
  <c r="CA106" i="16"/>
  <c r="U531" i="10"/>
  <c r="V530" i="10"/>
  <c r="W530" i="10" s="1"/>
  <c r="DH125" i="10"/>
  <c r="DF125" i="10"/>
  <c r="DI125" i="10" s="1"/>
  <c r="P334" i="10"/>
  <c r="S334" i="10" s="1"/>
  <c r="R334" i="10"/>
  <c r="P272" i="10"/>
  <c r="S272" i="10" s="1"/>
  <c r="R272" i="10"/>
  <c r="AR135" i="10"/>
  <c r="AU135" i="10" s="1"/>
  <c r="AT135" i="10"/>
  <c r="G296" i="10"/>
  <c r="E296" i="10"/>
  <c r="H296" i="10" s="1"/>
  <c r="BC221" i="16"/>
  <c r="CM95" i="16"/>
  <c r="CL95" i="16"/>
  <c r="CJ95" i="16"/>
  <c r="CM91" i="16"/>
  <c r="CJ91" i="16"/>
  <c r="BC217" i="16"/>
  <c r="CL91" i="16"/>
  <c r="DF124" i="19"/>
  <c r="DI124" i="19" s="1"/>
  <c r="DH124" i="19"/>
  <c r="G271" i="10"/>
  <c r="E271" i="10"/>
  <c r="H271" i="10" s="1"/>
  <c r="BY243" i="10"/>
  <c r="AR231" i="10"/>
  <c r="BZ243" i="10" s="1"/>
  <c r="BN143" i="16"/>
  <c r="BQ143" i="16" s="1"/>
  <c r="BP143" i="16"/>
  <c r="BQ108" i="16"/>
  <c r="BN108" i="16"/>
  <c r="BP108" i="16"/>
  <c r="AW235" i="16"/>
  <c r="BG91" i="16"/>
  <c r="BH91" i="16"/>
  <c r="CB164" i="10"/>
  <c r="CA164" i="10"/>
  <c r="CA165" i="10" s="1"/>
  <c r="CA166" i="10" s="1"/>
  <c r="CA167" i="10" s="1"/>
  <c r="AW100" i="16"/>
  <c r="AV100" i="16"/>
  <c r="BR130" i="19"/>
  <c r="BI151" i="19" s="1"/>
  <c r="BS130" i="19"/>
  <c r="BJ151" i="19" s="1"/>
  <c r="BL157" i="16"/>
  <c r="BL165" i="16"/>
  <c r="BZ161" i="19"/>
  <c r="BP168" i="10"/>
  <c r="BP160" i="10"/>
  <c r="CB165" i="16"/>
  <c r="BG121" i="16"/>
  <c r="AQ150" i="16" s="1"/>
  <c r="BH121" i="16"/>
  <c r="AR150" i="16" s="1"/>
  <c r="AT206" i="10"/>
  <c r="AT203" i="10"/>
  <c r="AR209" i="10"/>
  <c r="AR202" i="10"/>
  <c r="CB162" i="16"/>
  <c r="CA162" i="16"/>
  <c r="E34" i="2"/>
  <c r="N100" i="8" s="1"/>
  <c r="P100" i="8" s="1"/>
  <c r="E35" i="2"/>
  <c r="N101" i="8" s="1"/>
  <c r="P101" i="8" s="1"/>
  <c r="E36" i="2"/>
  <c r="N102" i="8" s="1"/>
  <c r="P102" i="8" s="1"/>
  <c r="E37" i="2"/>
  <c r="N103" i="8" s="1"/>
  <c r="P103" i="8" s="1"/>
  <c r="E38" i="2"/>
  <c r="N104" i="8" s="1"/>
  <c r="P104" i="8" s="1"/>
  <c r="E39" i="2"/>
  <c r="E26" i="2"/>
  <c r="E40" i="2"/>
  <c r="E41" i="2"/>
  <c r="E21" i="2"/>
  <c r="E24" i="2"/>
  <c r="E22" i="2"/>
  <c r="E29" i="2"/>
  <c r="E44" i="2"/>
  <c r="E42" i="2"/>
  <c r="E28" i="2"/>
  <c r="N94" i="8" s="1"/>
  <c r="P94" i="8" s="1"/>
  <c r="E27" i="2"/>
  <c r="E23" i="2"/>
  <c r="E43" i="2"/>
  <c r="E25" i="2"/>
  <c r="M21" i="8"/>
  <c r="I145" i="8"/>
  <c r="I151" i="8"/>
  <c r="P254" i="19"/>
  <c r="S254" i="19" s="1"/>
  <c r="R254" i="19"/>
  <c r="P233" i="19"/>
  <c r="S233" i="19" s="1"/>
  <c r="R233" i="19"/>
  <c r="R313" i="19"/>
  <c r="P313" i="19"/>
  <c r="S313" i="19" s="1"/>
  <c r="R200" i="19"/>
  <c r="P200" i="19"/>
  <c r="S200" i="19" s="1"/>
  <c r="G353" i="19"/>
  <c r="E353" i="19"/>
  <c r="H353" i="19" s="1"/>
  <c r="AH326" i="16"/>
  <c r="AG326" i="16"/>
  <c r="G259" i="16"/>
  <c r="E259" i="16"/>
  <c r="H259" i="16" s="1"/>
  <c r="E201" i="16"/>
  <c r="H201" i="16" s="1"/>
  <c r="G201" i="16"/>
  <c r="AG184" i="16"/>
  <c r="AE184" i="16"/>
  <c r="AH184" i="16" s="1"/>
  <c r="AH181" i="16"/>
  <c r="AE181" i="16"/>
  <c r="AG181" i="16"/>
  <c r="AE210" i="16"/>
  <c r="AH210" i="16" s="1"/>
  <c r="AG210" i="16"/>
  <c r="P233" i="10"/>
  <c r="S233" i="10" s="1"/>
  <c r="R233" i="10"/>
  <c r="R351" i="10"/>
  <c r="P351" i="10"/>
  <c r="S351" i="10" s="1"/>
  <c r="AI52" i="10"/>
  <c r="AH52" i="10"/>
  <c r="R279" i="10"/>
  <c r="P279" i="10"/>
  <c r="S279" i="10" s="1"/>
  <c r="L16" i="2"/>
  <c r="L36" i="2" s="1"/>
  <c r="L31" i="2"/>
  <c r="N293" i="8" s="1"/>
  <c r="L32" i="2"/>
  <c r="N294" i="8" s="1"/>
  <c r="L28" i="2"/>
  <c r="N290" i="8" s="1"/>
  <c r="L29" i="2"/>
  <c r="N291" i="8" s="1"/>
  <c r="P291" i="8" s="1"/>
  <c r="L19" i="2"/>
  <c r="L27" i="2"/>
  <c r="N289" i="8" s="1"/>
  <c r="L23" i="2"/>
  <c r="L22" i="2"/>
  <c r="L26" i="2"/>
  <c r="M270" i="8"/>
  <c r="J17" i="2"/>
  <c r="J16" i="2"/>
  <c r="M73" i="8"/>
  <c r="M99" i="8"/>
  <c r="GJ29" i="14"/>
  <c r="GK29" i="14" s="1"/>
  <c r="GL29" i="14" s="1"/>
  <c r="M243" i="8"/>
  <c r="O95" i="8"/>
  <c r="F12" i="5" s="1"/>
  <c r="O97" i="8"/>
  <c r="F14" i="5" s="1"/>
  <c r="O94" i="8"/>
  <c r="O100" i="8"/>
  <c r="O104" i="8"/>
  <c r="O102" i="8"/>
  <c r="O101" i="8"/>
  <c r="O105" i="8"/>
  <c r="O103" i="8"/>
  <c r="O96" i="8"/>
  <c r="O93" i="8"/>
  <c r="F10" i="5" s="1"/>
  <c r="O98" i="8"/>
  <c r="O99" i="8"/>
  <c r="O110" i="8"/>
  <c r="F27" i="5" s="1"/>
  <c r="O88" i="8"/>
  <c r="F5" i="5" s="1"/>
  <c r="O108" i="8"/>
  <c r="O107" i="8"/>
  <c r="O92" i="8"/>
  <c r="F9" i="5" s="1"/>
  <c r="O109" i="8"/>
  <c r="O106" i="8"/>
  <c r="O90" i="8"/>
  <c r="F7" i="5" s="1"/>
  <c r="O89" i="8"/>
  <c r="F6" i="5" s="1"/>
  <c r="O87" i="8"/>
  <c r="F28" i="5" s="1"/>
  <c r="O91" i="8"/>
  <c r="F8" i="5" s="1"/>
  <c r="M122" i="8"/>
  <c r="AC296" i="19"/>
  <c r="P250" i="19"/>
  <c r="S250" i="19" s="1"/>
  <c r="R250" i="19"/>
  <c r="C69" i="22"/>
  <c r="J23" i="14"/>
  <c r="R213" i="19"/>
  <c r="P213" i="19"/>
  <c r="S213" i="19" s="1"/>
  <c r="P318" i="19"/>
  <c r="S318" i="19" s="1"/>
  <c r="R318" i="19"/>
  <c r="P298" i="19"/>
  <c r="S298" i="19" s="1"/>
  <c r="R298" i="19"/>
  <c r="AH329" i="16"/>
  <c r="AG329" i="16"/>
  <c r="R280" i="19"/>
  <c r="P280" i="19"/>
  <c r="S280" i="19" s="1"/>
  <c r="R290" i="16"/>
  <c r="P290" i="16"/>
  <c r="S290" i="16" s="1"/>
  <c r="E310" i="16"/>
  <c r="H310" i="16" s="1"/>
  <c r="G310" i="16"/>
  <c r="T352" i="19"/>
  <c r="U352" i="19"/>
  <c r="G353" i="10"/>
  <c r="E353" i="10"/>
  <c r="H353" i="10" s="1"/>
  <c r="AE216" i="16"/>
  <c r="AH216" i="16" s="1"/>
  <c r="AG216" i="16"/>
  <c r="AH182" i="16"/>
  <c r="AE182" i="16"/>
  <c r="AG182" i="16"/>
  <c r="G209" i="10"/>
  <c r="E209" i="10"/>
  <c r="H209" i="10" s="1"/>
  <c r="AZ222" i="16"/>
  <c r="BY96" i="16"/>
  <c r="CB96" i="16"/>
  <c r="CA96" i="16"/>
  <c r="AG187" i="10"/>
  <c r="AE187" i="10"/>
  <c r="AH187" i="10" s="1"/>
  <c r="R349" i="10"/>
  <c r="P349" i="10"/>
  <c r="S349" i="10" s="1"/>
  <c r="R360" i="10"/>
  <c r="P360" i="10"/>
  <c r="S360" i="10" s="1"/>
  <c r="AG327" i="10"/>
  <c r="AH327" i="10"/>
  <c r="AK328" i="10"/>
  <c r="AL328" i="10"/>
  <c r="AH315" i="10"/>
  <c r="AG315" i="10"/>
  <c r="G232" i="10"/>
  <c r="E232" i="10"/>
  <c r="H232" i="10" s="1"/>
  <c r="AJ233" i="10"/>
  <c r="DH135" i="16"/>
  <c r="DF135" i="16"/>
  <c r="DI135" i="16" s="1"/>
  <c r="R241" i="16"/>
  <c r="P241" i="16"/>
  <c r="S241" i="16" s="1"/>
  <c r="AC300" i="10"/>
  <c r="AC338" i="10"/>
  <c r="AC306" i="10"/>
  <c r="AC337" i="10"/>
  <c r="AC374" i="10"/>
  <c r="AC340" i="10"/>
  <c r="AC303" i="10"/>
  <c r="AC351" i="10"/>
  <c r="AC335" i="10"/>
  <c r="AC332" i="10"/>
  <c r="AC336" i="10"/>
  <c r="AC312" i="10"/>
  <c r="AC317" i="10"/>
  <c r="AC372" i="10"/>
  <c r="AC333" i="10"/>
  <c r="AC327" i="10"/>
  <c r="AC310" i="10"/>
  <c r="AC356" i="10"/>
  <c r="AC328" i="10"/>
  <c r="AC324" i="10"/>
  <c r="AC331" i="10"/>
  <c r="AC325" i="10"/>
  <c r="I540" i="10"/>
  <c r="J539" i="10"/>
  <c r="K539" i="10" s="1"/>
  <c r="BH158" i="10"/>
  <c r="BH166" i="10"/>
  <c r="BC133" i="10"/>
  <c r="BF133" i="10" s="1"/>
  <c r="BE133" i="10"/>
  <c r="AR96" i="10"/>
  <c r="AU96" i="10" s="1"/>
  <c r="AQ222" i="10"/>
  <c r="AT96" i="10"/>
  <c r="E294" i="16"/>
  <c r="H294" i="16" s="1"/>
  <c r="G294" i="16"/>
  <c r="CJ125" i="16"/>
  <c r="CM125" i="16" s="1"/>
  <c r="CL125" i="16"/>
  <c r="CM107" i="16"/>
  <c r="CL107" i="16"/>
  <c r="BC234" i="16"/>
  <c r="CJ107" i="16"/>
  <c r="DF128" i="19"/>
  <c r="DI128" i="19" s="1"/>
  <c r="DH128" i="19"/>
  <c r="DH127" i="19"/>
  <c r="DF127" i="19"/>
  <c r="DI127" i="19" s="1"/>
  <c r="BH158" i="16"/>
  <c r="BH166" i="16"/>
  <c r="G277" i="10"/>
  <c r="E277" i="10"/>
  <c r="H277" i="10" s="1"/>
  <c r="AC295" i="10"/>
  <c r="AV104" i="10"/>
  <c r="AW104" i="10"/>
  <c r="BL157" i="19"/>
  <c r="BL165" i="19"/>
  <c r="BN91" i="16"/>
  <c r="BP91" i="16"/>
  <c r="AW217" i="16"/>
  <c r="BQ91" i="16"/>
  <c r="BN124" i="16"/>
  <c r="BQ124" i="16" s="1"/>
  <c r="BP124" i="16"/>
  <c r="BN165" i="19"/>
  <c r="BN157" i="19"/>
  <c r="BB167" i="10"/>
  <c r="BB159" i="10"/>
  <c r="CK244" i="16"/>
  <c r="AU237" i="16"/>
  <c r="CL244" i="16" s="1"/>
  <c r="BB165" i="10"/>
  <c r="BB157" i="10"/>
  <c r="BC23" i="14"/>
  <c r="BJ169" i="19"/>
  <c r="BJ161" i="19"/>
  <c r="BH106" i="19"/>
  <c r="BG106" i="19"/>
  <c r="BS126" i="19"/>
  <c r="BB151" i="19" s="1"/>
  <c r="BR126" i="19"/>
  <c r="BA151" i="19" s="1"/>
  <c r="CD99" i="16"/>
  <c r="CC99" i="16"/>
  <c r="BG132" i="10"/>
  <c r="BM150" i="10" s="1"/>
  <c r="BH132" i="10"/>
  <c r="BN150" i="10" s="1"/>
  <c r="CE256" i="10"/>
  <c r="CE255" i="10" s="1"/>
  <c r="CE254" i="10" s="1"/>
  <c r="CE253" i="10" s="1"/>
  <c r="CF256" i="10"/>
  <c r="CF255" i="10" s="1"/>
  <c r="CF254" i="10" s="1"/>
  <c r="CF253" i="10" s="1"/>
  <c r="AT162" i="19"/>
  <c r="AS162" i="19"/>
  <c r="BG94" i="16"/>
  <c r="M235" i="8"/>
  <c r="M289" i="8"/>
  <c r="IQ54" i="14"/>
  <c r="IR54" i="14" s="1"/>
  <c r="IS54" i="14" s="1"/>
  <c r="M328" i="8"/>
  <c r="K29" i="2"/>
  <c r="K32" i="2"/>
  <c r="N266" i="8" s="1"/>
  <c r="K33" i="2"/>
  <c r="K19" i="2"/>
  <c r="K28" i="2"/>
  <c r="N262" i="8" s="1"/>
  <c r="P262" i="8" s="1"/>
  <c r="K22" i="2"/>
  <c r="K25" i="2"/>
  <c r="K26" i="2"/>
  <c r="K21" i="2"/>
  <c r="K24" i="2"/>
  <c r="K23" i="2"/>
  <c r="K27" i="2"/>
  <c r="M296" i="8"/>
  <c r="M327" i="8"/>
  <c r="B17" i="2"/>
  <c r="M300" i="8"/>
  <c r="K37" i="2"/>
  <c r="K34" i="2"/>
  <c r="K36" i="2"/>
  <c r="N270" i="8" s="1"/>
  <c r="P270" i="8" s="1"/>
  <c r="K38" i="2"/>
  <c r="N272" i="8" s="1"/>
  <c r="P272" i="8" s="1"/>
  <c r="K35" i="2"/>
  <c r="K39" i="2"/>
  <c r="N273" i="8" s="1"/>
  <c r="K43" i="2"/>
  <c r="K41" i="2"/>
  <c r="K42" i="2"/>
  <c r="K44" i="2"/>
  <c r="K40" i="2"/>
  <c r="M39" i="8"/>
  <c r="J323" i="8"/>
  <c r="J327" i="8" s="1"/>
  <c r="J328" i="8" s="1"/>
  <c r="K323" i="8"/>
  <c r="K327" i="8" s="1"/>
  <c r="K328" i="8" s="1"/>
  <c r="M104" i="8"/>
  <c r="M18" i="8"/>
  <c r="M185" i="8"/>
  <c r="M150" i="8"/>
  <c r="M241" i="8"/>
  <c r="E30" i="2"/>
  <c r="N96" i="8" s="1"/>
  <c r="P96" i="8" s="1"/>
  <c r="M182" i="8"/>
  <c r="F4" i="3"/>
  <c r="F5" i="3" s="1"/>
  <c r="F10" i="2"/>
  <c r="M147" i="8"/>
  <c r="AX4" i="18"/>
  <c r="AY4" i="18" s="1"/>
  <c r="II22" i="14"/>
  <c r="II18" i="14"/>
  <c r="II36" i="14"/>
  <c r="II37" i="14"/>
  <c r="II20" i="14"/>
  <c r="II21" i="14"/>
  <c r="II39" i="14"/>
  <c r="II38" i="14"/>
  <c r="II19" i="14"/>
  <c r="II40" i="14"/>
  <c r="II41" i="14"/>
  <c r="JI32" i="14"/>
  <c r="JI41" i="14"/>
  <c r="II24" i="14"/>
  <c r="JI21" i="14"/>
  <c r="II26" i="14"/>
  <c r="JI37" i="14"/>
  <c r="JI30" i="14"/>
  <c r="II35" i="14"/>
  <c r="JI36" i="14"/>
  <c r="II33" i="14"/>
  <c r="JI34" i="14"/>
  <c r="JI33" i="14"/>
  <c r="II31" i="14"/>
  <c r="JI18" i="14"/>
  <c r="II28" i="14"/>
  <c r="JI28" i="14"/>
  <c r="JI22" i="14"/>
  <c r="JI31" i="14"/>
  <c r="II23" i="14"/>
  <c r="JI40" i="14"/>
  <c r="JI25" i="14"/>
  <c r="II30" i="14"/>
  <c r="JI27" i="14"/>
  <c r="JI39" i="14"/>
  <c r="II29" i="14"/>
  <c r="JI20" i="14"/>
  <c r="II34" i="14"/>
  <c r="II25" i="14"/>
  <c r="JI38" i="14"/>
  <c r="JI26" i="14"/>
  <c r="JI35" i="14"/>
  <c r="II27" i="14"/>
  <c r="IJ29" i="14"/>
  <c r="AX18" i="18" s="1"/>
  <c r="JI19" i="14"/>
  <c r="II32" i="14"/>
  <c r="JI24" i="14"/>
  <c r="JI29" i="14"/>
  <c r="JI23" i="14"/>
  <c r="DU18" i="14"/>
  <c r="DU37" i="14"/>
  <c r="DU19" i="14"/>
  <c r="DU20" i="14"/>
  <c r="DU21" i="14"/>
  <c r="DU22" i="14"/>
  <c r="DU23" i="14"/>
  <c r="AB4" i="18"/>
  <c r="AC4" i="18" s="1"/>
  <c r="DU41" i="14"/>
  <c r="DU36" i="14"/>
  <c r="DU38" i="14"/>
  <c r="DU35" i="14"/>
  <c r="DU40" i="14"/>
  <c r="DU39" i="14"/>
  <c r="DU29" i="14"/>
  <c r="DU32" i="14"/>
  <c r="DV29" i="14"/>
  <c r="AB18" i="18" s="1"/>
  <c r="EU30" i="14"/>
  <c r="EU41" i="14"/>
  <c r="EU22" i="14"/>
  <c r="DU26" i="14"/>
  <c r="EU32" i="14"/>
  <c r="EU26" i="14"/>
  <c r="DU25" i="14"/>
  <c r="EU38" i="14"/>
  <c r="DU30" i="14"/>
  <c r="EU36" i="14"/>
  <c r="EU33" i="14"/>
  <c r="EU37" i="14"/>
  <c r="EU18" i="14"/>
  <c r="EU21" i="14"/>
  <c r="EU35" i="14"/>
  <c r="EU27" i="14"/>
  <c r="DU33" i="14"/>
  <c r="DU31" i="14"/>
  <c r="EU31" i="14"/>
  <c r="DU34" i="14"/>
  <c r="DU24" i="14"/>
  <c r="EU24" i="14"/>
  <c r="EU40" i="14"/>
  <c r="EU39" i="14"/>
  <c r="EU29" i="14"/>
  <c r="EU25" i="14"/>
  <c r="EU23" i="14"/>
  <c r="DU28" i="14"/>
  <c r="EU20" i="14"/>
  <c r="EU34" i="14"/>
  <c r="EU28" i="14"/>
  <c r="DU27" i="14"/>
  <c r="EU19" i="14"/>
  <c r="E10" i="18"/>
  <c r="L21" i="14"/>
  <c r="M21" i="14" s="1"/>
  <c r="BE21" i="14"/>
  <c r="AR21" i="14"/>
  <c r="C40" i="23" s="1"/>
  <c r="W21" i="14"/>
  <c r="C9" i="22" s="1"/>
  <c r="AC21" i="14"/>
  <c r="I21" i="14"/>
  <c r="AI21" i="14" s="1"/>
  <c r="H21" i="14"/>
  <c r="F10" i="18" s="1"/>
  <c r="BA21" i="14"/>
  <c r="M132" i="8"/>
  <c r="M121" i="8"/>
  <c r="AJ321" i="19"/>
  <c r="AJ322" i="19"/>
  <c r="AL322" i="19" s="1"/>
  <c r="AJ329" i="19"/>
  <c r="AJ328" i="19"/>
  <c r="AL328" i="19" s="1"/>
  <c r="AJ327" i="19"/>
  <c r="AJ324" i="19"/>
  <c r="AJ323" i="19"/>
  <c r="AJ330" i="19"/>
  <c r="AJ326" i="19"/>
  <c r="AJ331" i="19"/>
  <c r="AJ319" i="19"/>
  <c r="AK319" i="19" s="1"/>
  <c r="AJ320" i="19"/>
  <c r="AL320" i="19" s="1"/>
  <c r="AJ325" i="19"/>
  <c r="C90" i="13"/>
  <c r="AH322" i="19"/>
  <c r="AG322" i="19"/>
  <c r="AK327" i="19"/>
  <c r="AL327" i="19"/>
  <c r="R260" i="19"/>
  <c r="P260" i="19"/>
  <c r="S260" i="19" s="1"/>
  <c r="AH182" i="19"/>
  <c r="AE182" i="19"/>
  <c r="AG182" i="19"/>
  <c r="R238" i="19"/>
  <c r="P238" i="19"/>
  <c r="S238" i="19" s="1"/>
  <c r="P221" i="19"/>
  <c r="S221" i="19" s="1"/>
  <c r="R221" i="19"/>
  <c r="I235" i="19"/>
  <c r="J235" i="19"/>
  <c r="E336" i="19"/>
  <c r="H336" i="19" s="1"/>
  <c r="G336" i="19"/>
  <c r="R316" i="19"/>
  <c r="P316" i="19"/>
  <c r="S316" i="19" s="1"/>
  <c r="R319" i="19"/>
  <c r="P319" i="19"/>
  <c r="S319" i="19" s="1"/>
  <c r="R297" i="19"/>
  <c r="P297" i="19"/>
  <c r="S297" i="19" s="1"/>
  <c r="P201" i="19"/>
  <c r="S201" i="19" s="1"/>
  <c r="R201" i="19"/>
  <c r="R189" i="19"/>
  <c r="P189" i="19"/>
  <c r="S189" i="19" s="1"/>
  <c r="I221" i="19"/>
  <c r="J221" i="19"/>
  <c r="G193" i="19"/>
  <c r="E193" i="19"/>
  <c r="H193" i="19" s="1"/>
  <c r="E357" i="19"/>
  <c r="H357" i="19" s="1"/>
  <c r="G357" i="19"/>
  <c r="AK326" i="16"/>
  <c r="AL326" i="16"/>
  <c r="AI52" i="16"/>
  <c r="AH52" i="16"/>
  <c r="P269" i="19"/>
  <c r="S269" i="19" s="1"/>
  <c r="R269" i="19"/>
  <c r="G258" i="16"/>
  <c r="E258" i="16"/>
  <c r="H258" i="16" s="1"/>
  <c r="T359" i="16"/>
  <c r="U359" i="16"/>
  <c r="R292" i="16"/>
  <c r="P292" i="16"/>
  <c r="S292" i="16" s="1"/>
  <c r="AC348" i="16"/>
  <c r="G189" i="16"/>
  <c r="E189" i="16"/>
  <c r="H189" i="16" s="1"/>
  <c r="G193" i="16"/>
  <c r="E193" i="16"/>
  <c r="H193" i="16" s="1"/>
  <c r="E317" i="16"/>
  <c r="H317" i="16" s="1"/>
  <c r="G317" i="16"/>
  <c r="AC295" i="16"/>
  <c r="G240" i="16"/>
  <c r="E240" i="16"/>
  <c r="H240" i="16" s="1"/>
  <c r="G230" i="16"/>
  <c r="E230" i="16"/>
  <c r="H230" i="16" s="1"/>
  <c r="AC365" i="10"/>
  <c r="AC345" i="10"/>
  <c r="AE192" i="16"/>
  <c r="AH192" i="16" s="1"/>
  <c r="AG192" i="16"/>
  <c r="AE186" i="16"/>
  <c r="AH186" i="16" s="1"/>
  <c r="AG186" i="16"/>
  <c r="AH180" i="16"/>
  <c r="AE180" i="16"/>
  <c r="AG180" i="16"/>
  <c r="AG232" i="16"/>
  <c r="AH232" i="16"/>
  <c r="AE232" i="16"/>
  <c r="J220" i="16"/>
  <c r="I220" i="16"/>
  <c r="AC341" i="10"/>
  <c r="AC301" i="16"/>
  <c r="AG208" i="16"/>
  <c r="AE208" i="16"/>
  <c r="AH208" i="16" s="1"/>
  <c r="AC350" i="10"/>
  <c r="R318" i="10"/>
  <c r="P318" i="10"/>
  <c r="S318" i="10" s="1"/>
  <c r="R238" i="10"/>
  <c r="P238" i="10"/>
  <c r="S238" i="10" s="1"/>
  <c r="BY136" i="16"/>
  <c r="CB136" i="16" s="1"/>
  <c r="CA136" i="16"/>
  <c r="CA122" i="16"/>
  <c r="BY122" i="16"/>
  <c r="CB122" i="16" s="1"/>
  <c r="G261" i="10"/>
  <c r="E261" i="10"/>
  <c r="H261" i="10" s="1"/>
  <c r="P234" i="10"/>
  <c r="S234" i="10" s="1"/>
  <c r="R234" i="10"/>
  <c r="AE186" i="10"/>
  <c r="AH186" i="10" s="1"/>
  <c r="AG186" i="10"/>
  <c r="AE184" i="10"/>
  <c r="AH184" i="10" s="1"/>
  <c r="AG184" i="10"/>
  <c r="AE181" i="10"/>
  <c r="AH181" i="10"/>
  <c r="AG181" i="10"/>
  <c r="AG238" i="10"/>
  <c r="AE238" i="10"/>
  <c r="AH238" i="10"/>
  <c r="R353" i="10"/>
  <c r="P353" i="10"/>
  <c r="S353" i="10" s="1"/>
  <c r="AH317" i="10"/>
  <c r="AG317" i="10"/>
  <c r="AL327" i="10"/>
  <c r="AK327" i="10"/>
  <c r="AG321" i="10"/>
  <c r="AH321" i="10"/>
  <c r="AH49" i="10"/>
  <c r="AI49" i="10"/>
  <c r="DF95" i="10"/>
  <c r="DI95" i="10"/>
  <c r="DH95" i="10"/>
  <c r="BI221" i="10"/>
  <c r="P194" i="16"/>
  <c r="S194" i="16" s="1"/>
  <c r="R194" i="16"/>
  <c r="R338" i="10"/>
  <c r="P338" i="10"/>
  <c r="S338" i="10" s="1"/>
  <c r="AC298" i="10"/>
  <c r="G229" i="10"/>
  <c r="E229" i="10"/>
  <c r="H229" i="10" s="1"/>
  <c r="BI227" i="16"/>
  <c r="DF100" i="16"/>
  <c r="DI100" i="16" s="1"/>
  <c r="DH100" i="16"/>
  <c r="DF124" i="16"/>
  <c r="DI124" i="16" s="1"/>
  <c r="DH124" i="16"/>
  <c r="DH127" i="16"/>
  <c r="DF127" i="16"/>
  <c r="DI127" i="16" s="1"/>
  <c r="R240" i="16"/>
  <c r="P240" i="16"/>
  <c r="S240" i="16" s="1"/>
  <c r="P219" i="16"/>
  <c r="S219" i="16" s="1"/>
  <c r="R219" i="16"/>
  <c r="P217" i="16"/>
  <c r="S217" i="16" s="1"/>
  <c r="R217" i="16"/>
  <c r="R273" i="10"/>
  <c r="P273" i="10"/>
  <c r="S273" i="10" s="1"/>
  <c r="R250" i="10"/>
  <c r="P250" i="10"/>
  <c r="S250" i="10" s="1"/>
  <c r="AC304" i="10"/>
  <c r="BC90" i="10"/>
  <c r="BF90" i="10"/>
  <c r="BE90" i="10"/>
  <c r="AT216" i="10"/>
  <c r="BC128" i="10"/>
  <c r="BF128" i="10" s="1"/>
  <c r="BE128" i="10"/>
  <c r="BC104" i="10"/>
  <c r="BF104" i="10"/>
  <c r="BE104" i="10"/>
  <c r="AT231" i="10"/>
  <c r="AR100" i="10"/>
  <c r="AU100" i="10" s="1"/>
  <c r="AQ227" i="10"/>
  <c r="AT100" i="10"/>
  <c r="AU90" i="10"/>
  <c r="AT90" i="10"/>
  <c r="AQ216" i="10"/>
  <c r="AR90" i="10"/>
  <c r="AR140" i="10"/>
  <c r="AU140" i="10" s="1"/>
  <c r="AT140" i="10"/>
  <c r="G297" i="16"/>
  <c r="E297" i="16"/>
  <c r="H297" i="16" s="1"/>
  <c r="R249" i="16"/>
  <c r="P249" i="16"/>
  <c r="S249" i="16" s="1"/>
  <c r="R257" i="16"/>
  <c r="P257" i="16"/>
  <c r="S257" i="16" s="1"/>
  <c r="E291" i="10"/>
  <c r="H291" i="10" s="1"/>
  <c r="G291" i="10"/>
  <c r="G290" i="10"/>
  <c r="E290" i="10"/>
  <c r="H290" i="10" s="1"/>
  <c r="R189" i="10"/>
  <c r="P189" i="10"/>
  <c r="S189" i="10" s="1"/>
  <c r="CC88" i="16"/>
  <c r="CD88" i="16"/>
  <c r="BP139" i="19"/>
  <c r="BN139" i="19"/>
  <c r="BQ139" i="19" s="1"/>
  <c r="AW223" i="19"/>
  <c r="BN97" i="19"/>
  <c r="BQ97" i="19"/>
  <c r="BP97" i="19"/>
  <c r="BN247" i="16"/>
  <c r="BD226" i="16"/>
  <c r="BP247" i="16" s="1"/>
  <c r="CJ140" i="16"/>
  <c r="CM140" i="16" s="1"/>
  <c r="CL140" i="16"/>
  <c r="BC216" i="16"/>
  <c r="CL90" i="16"/>
  <c r="CJ90" i="16"/>
  <c r="CM90" i="16"/>
  <c r="CL142" i="16"/>
  <c r="CJ142" i="16"/>
  <c r="CM142" i="16" s="1"/>
  <c r="AH30" i="14"/>
  <c r="BB30" i="14" s="1"/>
  <c r="AH20" i="14"/>
  <c r="BB20" i="14" s="1"/>
  <c r="BH20" i="14"/>
  <c r="AC344" i="10"/>
  <c r="BL156" i="10"/>
  <c r="BK164" i="10"/>
  <c r="BK165" i="10" s="1"/>
  <c r="BL164" i="10"/>
  <c r="DF135" i="19"/>
  <c r="DI135" i="19" s="1"/>
  <c r="DH135" i="19"/>
  <c r="DF137" i="19"/>
  <c r="DI137" i="19" s="1"/>
  <c r="DH137" i="19"/>
  <c r="DF141" i="19"/>
  <c r="DI141" i="19" s="1"/>
  <c r="DH141" i="19"/>
  <c r="DF133" i="19"/>
  <c r="DI133" i="19" s="1"/>
  <c r="DH133" i="19"/>
  <c r="Q90" i="8"/>
  <c r="R90" i="8"/>
  <c r="BL169" i="19"/>
  <c r="BL161" i="19"/>
  <c r="G317" i="10"/>
  <c r="E317" i="10"/>
  <c r="H317" i="10" s="1"/>
  <c r="E279" i="10"/>
  <c r="H279" i="10" s="1"/>
  <c r="G279" i="10"/>
  <c r="E273" i="10"/>
  <c r="H273" i="10" s="1"/>
  <c r="G273" i="10"/>
  <c r="T193" i="10"/>
  <c r="R221" i="10"/>
  <c r="P221" i="10"/>
  <c r="S221" i="10" s="1"/>
  <c r="P210" i="10"/>
  <c r="S210" i="10" s="1"/>
  <c r="R210" i="10"/>
  <c r="CN129" i="19"/>
  <c r="BG153" i="19" s="1"/>
  <c r="CO129" i="19"/>
  <c r="BH153" i="19" s="1"/>
  <c r="CO110" i="10"/>
  <c r="CN110" i="10"/>
  <c r="AV107" i="10"/>
  <c r="AW107" i="10"/>
  <c r="BP129" i="16"/>
  <c r="BN129" i="16"/>
  <c r="BQ129" i="16" s="1"/>
  <c r="BN135" i="16"/>
  <c r="BQ135" i="16" s="1"/>
  <c r="BP135" i="16"/>
  <c r="BN127" i="16"/>
  <c r="BQ127" i="16" s="1"/>
  <c r="BP127" i="16"/>
  <c r="BQ88" i="16"/>
  <c r="BP88" i="16"/>
  <c r="AW214" i="16"/>
  <c r="BN88" i="16"/>
  <c r="BP96" i="16"/>
  <c r="BQ96" i="16"/>
  <c r="BN96" i="16"/>
  <c r="AW222" i="16"/>
  <c r="BP111" i="16"/>
  <c r="BQ111" i="16"/>
  <c r="BN111" i="16"/>
  <c r="BR129" i="10"/>
  <c r="BG151" i="10" s="1"/>
  <c r="BG167" i="10" s="1"/>
  <c r="BG168" i="10" s="1"/>
  <c r="BG169" i="10" s="1"/>
  <c r="BG170" i="10" s="1"/>
  <c r="BS129" i="10"/>
  <c r="BH151" i="10" s="1"/>
  <c r="BC244" i="16"/>
  <c r="AU220" i="16"/>
  <c r="BD244" i="16" s="1"/>
  <c r="BR162" i="10"/>
  <c r="BR170" i="10"/>
  <c r="BQ162" i="10"/>
  <c r="BO257" i="19"/>
  <c r="BP257" i="19"/>
  <c r="AU164" i="16"/>
  <c r="AU165" i="16" s="1"/>
  <c r="AU166" i="16" s="1"/>
  <c r="AU167" i="16" s="1"/>
  <c r="AV164" i="16"/>
  <c r="AV111" i="16"/>
  <c r="AW111" i="16"/>
  <c r="BH110" i="16"/>
  <c r="BG110" i="16"/>
  <c r="BB160" i="19"/>
  <c r="BB168" i="19"/>
  <c r="AZ161" i="19"/>
  <c r="AZ169" i="19"/>
  <c r="CB164" i="16"/>
  <c r="CA164" i="16"/>
  <c r="CA165" i="16" s="1"/>
  <c r="CA166" i="16" s="1"/>
  <c r="CA167" i="16" s="1"/>
  <c r="AW88" i="16"/>
  <c r="AV88" i="16"/>
  <c r="BG136" i="16"/>
  <c r="BU150" i="16" s="1"/>
  <c r="BH136" i="16"/>
  <c r="BV150" i="16" s="1"/>
  <c r="BI254" i="16"/>
  <c r="BJ254" i="16"/>
  <c r="DK94" i="19"/>
  <c r="DJ94" i="19"/>
  <c r="AT159" i="10"/>
  <c r="BV162" i="16"/>
  <c r="BU162" i="16"/>
  <c r="BV170" i="16"/>
  <c r="BG130" i="19"/>
  <c r="BI150" i="19" s="1"/>
  <c r="BH130" i="19"/>
  <c r="BJ150" i="19" s="1"/>
  <c r="BS102" i="19"/>
  <c r="BR102" i="19"/>
  <c r="DK97" i="19"/>
  <c r="CH178" i="10"/>
  <c r="CG161" i="10"/>
  <c r="CG178" i="10"/>
  <c r="BM165" i="16"/>
  <c r="BM166" i="16" s="1"/>
  <c r="AC301" i="10"/>
  <c r="BW257" i="10"/>
  <c r="BX257" i="10"/>
  <c r="AY178" i="10"/>
  <c r="AW207" i="10" s="1"/>
  <c r="AZ178" i="10"/>
  <c r="AX207" i="10" s="1"/>
  <c r="AY161" i="10"/>
  <c r="CO98" i="10"/>
  <c r="BQ165" i="10"/>
  <c r="BW242" i="19"/>
  <c r="BJ230" i="19"/>
  <c r="BX242" i="19" s="1"/>
  <c r="BO257" i="10"/>
  <c r="BP257" i="10"/>
  <c r="BR164" i="10"/>
  <c r="BR156" i="10"/>
  <c r="BD165" i="16"/>
  <c r="BD157" i="16"/>
  <c r="AR162" i="16"/>
  <c r="AQ162" i="16"/>
  <c r="BS109" i="19"/>
  <c r="BR109" i="19"/>
  <c r="BO255" i="10"/>
  <c r="AW161" i="16"/>
  <c r="AW178" i="16"/>
  <c r="AX178" i="16"/>
  <c r="BG104" i="19"/>
  <c r="BH104" i="19"/>
  <c r="AV94" i="16"/>
  <c r="AW94" i="16"/>
  <c r="BG127" i="16"/>
  <c r="BC150" i="16" s="1"/>
  <c r="BH127" i="16"/>
  <c r="BD150" i="16" s="1"/>
  <c r="CD162" i="19"/>
  <c r="CC162" i="19"/>
  <c r="BG107" i="16"/>
  <c r="BX207" i="16"/>
  <c r="BZ208" i="16"/>
  <c r="BP162" i="19"/>
  <c r="BP170" i="19"/>
  <c r="BO162" i="19"/>
  <c r="CJ157" i="19"/>
  <c r="CJ165" i="19"/>
  <c r="BT257" i="16"/>
  <c r="BS257" i="16"/>
  <c r="BF158" i="19"/>
  <c r="BN162" i="19"/>
  <c r="BM162" i="19"/>
  <c r="BN170" i="19"/>
  <c r="BY178" i="10"/>
  <c r="BZ178" i="10"/>
  <c r="BY161" i="10"/>
  <c r="BZ160" i="10" s="1"/>
  <c r="BU258" i="10"/>
  <c r="BV258" i="10"/>
  <c r="BR169" i="19"/>
  <c r="BR161" i="19"/>
  <c r="M298" i="8"/>
  <c r="M297" i="8"/>
  <c r="M41" i="8"/>
  <c r="M103" i="8"/>
  <c r="M187" i="8"/>
  <c r="M180" i="8"/>
  <c r="DU54" i="14"/>
  <c r="DU67" i="14"/>
  <c r="DU53" i="14"/>
  <c r="AB36" i="18"/>
  <c r="AC36" i="18" s="1"/>
  <c r="DU50" i="14"/>
  <c r="DU49" i="14"/>
  <c r="DU51" i="14"/>
  <c r="DU71" i="14"/>
  <c r="DU52" i="14"/>
  <c r="DU70" i="14"/>
  <c r="DU72" i="14"/>
  <c r="DU68" i="14"/>
  <c r="DU69" i="14"/>
  <c r="DU66" i="14"/>
  <c r="EU60" i="14"/>
  <c r="EU69" i="14"/>
  <c r="DV60" i="14"/>
  <c r="AB50" i="18" s="1"/>
  <c r="DU55" i="14"/>
  <c r="EU61" i="14"/>
  <c r="DU60" i="14"/>
  <c r="EU72" i="14"/>
  <c r="EU58" i="14"/>
  <c r="EU51" i="14"/>
  <c r="DU61" i="14"/>
  <c r="EU63" i="14"/>
  <c r="EU52" i="14"/>
  <c r="EU57" i="14"/>
  <c r="EU50" i="14"/>
  <c r="EU54" i="14"/>
  <c r="DU58" i="14"/>
  <c r="EU62" i="14"/>
  <c r="DU63" i="14"/>
  <c r="EU59" i="14"/>
  <c r="EU66" i="14"/>
  <c r="DU65" i="14"/>
  <c r="EU71" i="14"/>
  <c r="EU55" i="14"/>
  <c r="EU68" i="14"/>
  <c r="EU64" i="14"/>
  <c r="EU67" i="14"/>
  <c r="DU57" i="14"/>
  <c r="DU59" i="14"/>
  <c r="DU56" i="14"/>
  <c r="EU49" i="14"/>
  <c r="EU70" i="14"/>
  <c r="EU53" i="14"/>
  <c r="DU62" i="14"/>
  <c r="DU64" i="14"/>
  <c r="EU65" i="14"/>
  <c r="EU56" i="14"/>
  <c r="M131" i="8"/>
  <c r="N38" i="14"/>
  <c r="AD38" i="14"/>
  <c r="AH316" i="19"/>
  <c r="AG316" i="19"/>
  <c r="P232" i="19"/>
  <c r="S232" i="19" s="1"/>
  <c r="R232" i="19"/>
  <c r="T194" i="19"/>
  <c r="U194" i="19"/>
  <c r="P309" i="19"/>
  <c r="S309" i="19" s="1"/>
  <c r="R309" i="19"/>
  <c r="P193" i="19"/>
  <c r="S193" i="19" s="1"/>
  <c r="R193" i="19"/>
  <c r="E198" i="19"/>
  <c r="H198" i="19" s="1"/>
  <c r="G198" i="19"/>
  <c r="P276" i="19"/>
  <c r="S276" i="19" s="1"/>
  <c r="R276" i="19"/>
  <c r="G318" i="16"/>
  <c r="E318" i="16"/>
  <c r="H318" i="16" s="1"/>
  <c r="E217" i="10"/>
  <c r="H217" i="10" s="1"/>
  <c r="G217" i="10"/>
  <c r="AG238" i="16"/>
  <c r="AE238" i="16"/>
  <c r="AH238" i="16"/>
  <c r="R299" i="10"/>
  <c r="P299" i="10"/>
  <c r="S299" i="10" s="1"/>
  <c r="CA132" i="16"/>
  <c r="BY132" i="16"/>
  <c r="CB132" i="16" s="1"/>
  <c r="E249" i="10"/>
  <c r="H249" i="10" s="1"/>
  <c r="G249" i="10"/>
  <c r="AG325" i="10"/>
  <c r="AH325" i="10"/>
  <c r="P330" i="10"/>
  <c r="S330" i="10" s="1"/>
  <c r="R330" i="10"/>
  <c r="G241" i="10"/>
  <c r="E241" i="10"/>
  <c r="H241" i="10" s="1"/>
  <c r="BI219" i="16"/>
  <c r="DI93" i="16"/>
  <c r="DH93" i="16"/>
  <c r="DF93" i="16"/>
  <c r="P220" i="16"/>
  <c r="S220" i="16" s="1"/>
  <c r="R220" i="16"/>
  <c r="G299" i="16"/>
  <c r="E299" i="16"/>
  <c r="H299" i="16" s="1"/>
  <c r="E289" i="10"/>
  <c r="H289" i="10" s="1"/>
  <c r="G289" i="10"/>
  <c r="CC94" i="16"/>
  <c r="CD94" i="16"/>
  <c r="CJ109" i="16"/>
  <c r="BC236" i="16"/>
  <c r="CM109" i="16"/>
  <c r="CL109" i="16"/>
  <c r="E276" i="10"/>
  <c r="H276" i="10" s="1"/>
  <c r="G276" i="10"/>
  <c r="BN92" i="16"/>
  <c r="BQ92" i="16"/>
  <c r="BP92" i="16"/>
  <c r="AW218" i="16"/>
  <c r="BP120" i="16"/>
  <c r="BN120" i="16"/>
  <c r="BQ120" i="16" s="1"/>
  <c r="BM257" i="19"/>
  <c r="BN257" i="19"/>
  <c r="BD256" i="19"/>
  <c r="BC256" i="19"/>
  <c r="BC258" i="19"/>
  <c r="BD258" i="19"/>
  <c r="BG143" i="19"/>
  <c r="CI150" i="19" s="1"/>
  <c r="BH143" i="19"/>
  <c r="CJ150" i="19" s="1"/>
  <c r="BR167" i="10"/>
  <c r="BR159" i="10"/>
  <c r="AW178" i="10"/>
  <c r="AX178" i="10"/>
  <c r="AW161" i="10"/>
  <c r="AX160" i="10" s="1"/>
  <c r="CE258" i="19"/>
  <c r="CE257" i="19" s="1"/>
  <c r="CE256" i="19" s="1"/>
  <c r="CE255" i="19" s="1"/>
  <c r="CE254" i="19" s="1"/>
  <c r="CF258" i="19"/>
  <c r="CF257" i="19" s="1"/>
  <c r="CF256" i="19" s="1"/>
  <c r="CF255" i="19" s="1"/>
  <c r="CF254" i="19" s="1"/>
  <c r="BG134" i="16"/>
  <c r="BQ150" i="16" s="1"/>
  <c r="BH134" i="16"/>
  <c r="BR150" i="16" s="1"/>
  <c r="BB166" i="16"/>
  <c r="BB158" i="16"/>
  <c r="BR164" i="16"/>
  <c r="BV157" i="10"/>
  <c r="BV165" i="10"/>
  <c r="AU161" i="19"/>
  <c r="AU178" i="19"/>
  <c r="AV178" i="19"/>
  <c r="BF165" i="10"/>
  <c r="BF157" i="10"/>
  <c r="M294" i="8"/>
  <c r="M290" i="8"/>
  <c r="M154" i="8"/>
  <c r="M130" i="8"/>
  <c r="AG238" i="19"/>
  <c r="AE238" i="19"/>
  <c r="AH238" i="19"/>
  <c r="G233" i="19"/>
  <c r="E233" i="19"/>
  <c r="H233" i="19" s="1"/>
  <c r="AI187" i="19"/>
  <c r="AF245" i="19" s="1"/>
  <c r="AE245" i="19" s="1"/>
  <c r="AJ187" i="19"/>
  <c r="AH245" i="19" s="1"/>
  <c r="P293" i="19"/>
  <c r="S293" i="19" s="1"/>
  <c r="R293" i="19"/>
  <c r="E361" i="19"/>
  <c r="H361" i="19" s="1"/>
  <c r="G361" i="19"/>
  <c r="P271" i="19"/>
  <c r="S271" i="19" s="1"/>
  <c r="R271" i="19"/>
  <c r="R334" i="16"/>
  <c r="P334" i="16"/>
  <c r="S334" i="16" s="1"/>
  <c r="E321" i="16"/>
  <c r="H321" i="16" s="1"/>
  <c r="G321" i="16"/>
  <c r="AE187" i="16"/>
  <c r="AH187" i="16" s="1"/>
  <c r="AG187" i="16"/>
  <c r="AG204" i="16"/>
  <c r="AE204" i="16"/>
  <c r="AH204" i="16" s="1"/>
  <c r="P311" i="10"/>
  <c r="S311" i="10" s="1"/>
  <c r="R311" i="10"/>
  <c r="CA137" i="16"/>
  <c r="BY137" i="16"/>
  <c r="CB137" i="16" s="1"/>
  <c r="AG313" i="10"/>
  <c r="AH313" i="10"/>
  <c r="R198" i="16"/>
  <c r="P198" i="16"/>
  <c r="S198" i="16" s="1"/>
  <c r="E240" i="10"/>
  <c r="H240" i="10" s="1"/>
  <c r="G240" i="10"/>
  <c r="DH140" i="16"/>
  <c r="DF140" i="16"/>
  <c r="DI140" i="16" s="1"/>
  <c r="AC328" i="19"/>
  <c r="P237" i="16"/>
  <c r="S237" i="16" s="1"/>
  <c r="R237" i="16"/>
  <c r="CJ132" i="16"/>
  <c r="CM132" i="16" s="1"/>
  <c r="CL132" i="16"/>
  <c r="U352" i="10"/>
  <c r="T352" i="10"/>
  <c r="BC92" i="10"/>
  <c r="AT218" i="10"/>
  <c r="BF92" i="10"/>
  <c r="BE92" i="10"/>
  <c r="AR139" i="10"/>
  <c r="AU139" i="10" s="1"/>
  <c r="AT139" i="10"/>
  <c r="P253" i="16"/>
  <c r="S253" i="16" s="1"/>
  <c r="R253" i="16"/>
  <c r="AH21" i="14"/>
  <c r="BB21" i="14" s="1"/>
  <c r="BJ226" i="19"/>
  <c r="BP242" i="19" s="1"/>
  <c r="BN242" i="19"/>
  <c r="DF120" i="19"/>
  <c r="DI120" i="19" s="1"/>
  <c r="DH120" i="19"/>
  <c r="AI183" i="10"/>
  <c r="AF241" i="10" s="1"/>
  <c r="AE241" i="10" s="1"/>
  <c r="G311" i="10"/>
  <c r="E311" i="10"/>
  <c r="H311" i="10" s="1"/>
  <c r="R220" i="10"/>
  <c r="P220" i="10"/>
  <c r="S220" i="10" s="1"/>
  <c r="AW215" i="16"/>
  <c r="BQ89" i="16"/>
  <c r="BP89" i="16"/>
  <c r="BN89" i="16"/>
  <c r="CB162" i="19"/>
  <c r="CA162" i="19"/>
  <c r="CB161" i="19" s="1"/>
  <c r="CD162" i="10"/>
  <c r="CC162" i="10"/>
  <c r="CD161" i="10" s="1"/>
  <c r="BZ165" i="10"/>
  <c r="BZ166" i="10"/>
  <c r="BZ167" i="10" s="1"/>
  <c r="BZ168" i="10" s="1"/>
  <c r="AI182" i="10"/>
  <c r="U355" i="10"/>
  <c r="BR161" i="16"/>
  <c r="BR169" i="16"/>
  <c r="BG92" i="19"/>
  <c r="BH92" i="19"/>
  <c r="BR170" i="19"/>
  <c r="BR162" i="19"/>
  <c r="BQ162" i="19"/>
  <c r="BT162" i="16"/>
  <c r="BS162" i="16"/>
  <c r="BT170" i="16"/>
  <c r="BI258" i="10"/>
  <c r="BJ258" i="10"/>
  <c r="BT253" i="10"/>
  <c r="BS253" i="10"/>
  <c r="M322" i="8"/>
  <c r="M321" i="8"/>
  <c r="M101" i="8"/>
  <c r="GJ31" i="14"/>
  <c r="GK31" i="14" s="1"/>
  <c r="GL31" i="14" s="1"/>
  <c r="M238" i="8"/>
  <c r="M158" i="8"/>
  <c r="E29" i="18"/>
  <c r="BA40" i="14"/>
  <c r="I40" i="14"/>
  <c r="L40" i="14"/>
  <c r="M40" i="14" s="1"/>
  <c r="H40" i="14"/>
  <c r="F29" i="18" s="1"/>
  <c r="BE40" i="14"/>
  <c r="AC40" i="14"/>
  <c r="AR40" i="14"/>
  <c r="W40" i="14"/>
  <c r="C28" i="22" s="1"/>
  <c r="AG313" i="19"/>
  <c r="AH313" i="19"/>
  <c r="T195" i="19"/>
  <c r="R220" i="19"/>
  <c r="P220" i="19"/>
  <c r="S220" i="19" s="1"/>
  <c r="E291" i="19"/>
  <c r="H291" i="19" s="1"/>
  <c r="G291" i="19"/>
  <c r="AG188" i="19"/>
  <c r="AE188" i="19"/>
  <c r="AH188" i="19" s="1"/>
  <c r="AH320" i="16"/>
  <c r="AG320" i="16"/>
  <c r="P294" i="16"/>
  <c r="S294" i="16" s="1"/>
  <c r="R294" i="16"/>
  <c r="E361" i="10"/>
  <c r="H361" i="10" s="1"/>
  <c r="G361" i="10"/>
  <c r="AH179" i="16"/>
  <c r="AE179" i="16"/>
  <c r="AG179" i="16"/>
  <c r="G216" i="10"/>
  <c r="E216" i="10"/>
  <c r="H216" i="10" s="1"/>
  <c r="BY143" i="16"/>
  <c r="CB143" i="16" s="1"/>
  <c r="CA143" i="16"/>
  <c r="E256" i="10"/>
  <c r="H256" i="10" s="1"/>
  <c r="G256" i="10"/>
  <c r="J238" i="19"/>
  <c r="I238" i="19"/>
  <c r="AH329" i="10"/>
  <c r="AG329" i="10"/>
  <c r="DH142" i="10"/>
  <c r="DF142" i="10"/>
  <c r="DI142" i="10" s="1"/>
  <c r="P197" i="16"/>
  <c r="S197" i="16" s="1"/>
  <c r="R197" i="16"/>
  <c r="DH130" i="16"/>
  <c r="DF130" i="16"/>
  <c r="DI130" i="16" s="1"/>
  <c r="R230" i="16"/>
  <c r="P230" i="16"/>
  <c r="S230" i="16" s="1"/>
  <c r="BC110" i="10"/>
  <c r="AT237" i="10"/>
  <c r="BF110" i="10"/>
  <c r="BE110" i="10"/>
  <c r="R254" i="16"/>
  <c r="P254" i="16"/>
  <c r="S254" i="16" s="1"/>
  <c r="R252" i="16"/>
  <c r="P252" i="16"/>
  <c r="S252" i="16" s="1"/>
  <c r="G301" i="10"/>
  <c r="E301" i="10"/>
  <c r="H301" i="10" s="1"/>
  <c r="R199" i="10"/>
  <c r="P199" i="10"/>
  <c r="S199" i="10" s="1"/>
  <c r="BN129" i="19"/>
  <c r="BQ129" i="19" s="1"/>
  <c r="BP129" i="19"/>
  <c r="BN95" i="19"/>
  <c r="BQ95" i="19"/>
  <c r="BP95" i="19"/>
  <c r="AW221" i="19"/>
  <c r="BC220" i="16"/>
  <c r="CL94" i="16"/>
  <c r="CJ94" i="16"/>
  <c r="CM94" i="16" s="1"/>
  <c r="CL97" i="16"/>
  <c r="BC223" i="16"/>
  <c r="CJ97" i="16"/>
  <c r="CM97" i="16" s="1"/>
  <c r="CJ141" i="16"/>
  <c r="CM141" i="16" s="1"/>
  <c r="CL141" i="16"/>
  <c r="CJ102" i="16"/>
  <c r="CM102" i="16" s="1"/>
  <c r="CL102" i="16"/>
  <c r="BC229" i="16"/>
  <c r="CL130" i="16"/>
  <c r="CJ130" i="16"/>
  <c r="CM130" i="16" s="1"/>
  <c r="U361" i="19"/>
  <c r="T361" i="19"/>
  <c r="AH29" i="14"/>
  <c r="BB29" i="14" s="1"/>
  <c r="CD103" i="16"/>
  <c r="CC103" i="16"/>
  <c r="DH101" i="19"/>
  <c r="BI228" i="19"/>
  <c r="DF101" i="19"/>
  <c r="DI101" i="19" s="1"/>
  <c r="BI222" i="19"/>
  <c r="DF96" i="19"/>
  <c r="DI96" i="19"/>
  <c r="DH96" i="19"/>
  <c r="DJ131" i="19"/>
  <c r="BK148" i="19" s="1"/>
  <c r="DK131" i="19"/>
  <c r="BL148" i="19" s="1"/>
  <c r="DH98" i="19"/>
  <c r="DF98" i="19"/>
  <c r="DI98" i="19" s="1"/>
  <c r="BI224" i="19"/>
  <c r="DF90" i="19"/>
  <c r="BI216" i="19"/>
  <c r="DI90" i="19"/>
  <c r="DH90" i="19"/>
  <c r="BK162" i="16"/>
  <c r="BL162" i="16"/>
  <c r="BL170" i="16"/>
  <c r="G309" i="10"/>
  <c r="E309" i="10"/>
  <c r="H309" i="10" s="1"/>
  <c r="G270" i="10"/>
  <c r="E270" i="10"/>
  <c r="H270" i="10" s="1"/>
  <c r="BI162" i="10"/>
  <c r="BJ170" i="10"/>
  <c r="BJ162" i="10"/>
  <c r="G320" i="10"/>
  <c r="E320" i="10"/>
  <c r="H320" i="10" s="1"/>
  <c r="CN98" i="19"/>
  <c r="CO98" i="19"/>
  <c r="X36" i="14"/>
  <c r="C53" i="9"/>
  <c r="BP103" i="16"/>
  <c r="AW230" i="16"/>
  <c r="BN103" i="16"/>
  <c r="BQ103" i="16"/>
  <c r="AW223" i="16"/>
  <c r="BP97" i="16"/>
  <c r="BN97" i="16"/>
  <c r="BQ97" i="16"/>
  <c r="BN100" i="16"/>
  <c r="BQ100" i="16" s="1"/>
  <c r="AW227" i="16"/>
  <c r="BP100" i="16"/>
  <c r="BN110" i="16"/>
  <c r="BQ110" i="16"/>
  <c r="BP110" i="16"/>
  <c r="AW237" i="16"/>
  <c r="BP121" i="16"/>
  <c r="BN121" i="16"/>
  <c r="BQ121" i="16" s="1"/>
  <c r="BP125" i="16"/>
  <c r="BN125" i="16"/>
  <c r="BQ125" i="16" s="1"/>
  <c r="BH97" i="16"/>
  <c r="BG97" i="16"/>
  <c r="AQ257" i="19"/>
  <c r="AQ256" i="19" s="1"/>
  <c r="AQ255" i="19" s="1"/>
  <c r="AQ254" i="19" s="1"/>
  <c r="AR257" i="19"/>
  <c r="AR256" i="19" s="1"/>
  <c r="AR255" i="19" s="1"/>
  <c r="AR254" i="19" s="1"/>
  <c r="AW109" i="16"/>
  <c r="AV109" i="16"/>
  <c r="AU233" i="16"/>
  <c r="CD244" i="16" s="1"/>
  <c r="CC244" i="16"/>
  <c r="BK160" i="19"/>
  <c r="BL177" i="19"/>
  <c r="BK177" i="19"/>
  <c r="BG106" i="16"/>
  <c r="AZ167" i="10"/>
  <c r="AZ159" i="10"/>
  <c r="BL160" i="16"/>
  <c r="BL168" i="16"/>
  <c r="BS104" i="10"/>
  <c r="BR104" i="10"/>
  <c r="BS102" i="10"/>
  <c r="BR102" i="10"/>
  <c r="AV102" i="16"/>
  <c r="AW102" i="16"/>
  <c r="BK165" i="16"/>
  <c r="BK166" i="16" s="1"/>
  <c r="BJ156" i="10"/>
  <c r="BI164" i="10"/>
  <c r="BJ164" i="10"/>
  <c r="BT168" i="10"/>
  <c r="BT160" i="10"/>
  <c r="BD161" i="19"/>
  <c r="BD169" i="19"/>
  <c r="BK257" i="19"/>
  <c r="BL257" i="19"/>
  <c r="C540" i="10"/>
  <c r="D539" i="10"/>
  <c r="E539" i="10" s="1"/>
  <c r="BC161" i="19"/>
  <c r="BU166" i="16"/>
  <c r="CD92" i="16"/>
  <c r="CC92" i="16"/>
  <c r="BD258" i="10"/>
  <c r="BC258" i="10"/>
  <c r="BP167" i="10"/>
  <c r="BP159" i="10"/>
  <c r="BC257" i="10"/>
  <c r="BD257" i="10"/>
  <c r="AO162" i="16"/>
  <c r="AP162" i="16"/>
  <c r="J211" i="10"/>
  <c r="BH97" i="10"/>
  <c r="BG97" i="10"/>
  <c r="BZ256" i="19"/>
  <c r="BY256" i="19"/>
  <c r="BU257" i="10"/>
  <c r="BV257" i="10"/>
  <c r="BP254" i="16"/>
  <c r="BO254" i="16"/>
  <c r="BC253" i="19"/>
  <c r="BD253" i="19"/>
  <c r="BK245" i="19"/>
  <c r="AX224" i="19"/>
  <c r="BL245" i="19" s="1"/>
  <c r="BK160" i="10"/>
  <c r="BK177" i="10"/>
  <c r="BL177" i="10"/>
  <c r="AW244" i="19"/>
  <c r="AU217" i="19"/>
  <c r="AX244" i="19" s="1"/>
  <c r="BS162" i="10"/>
  <c r="BT162" i="10"/>
  <c r="BT170" i="10"/>
  <c r="BE162" i="16"/>
  <c r="BF162" i="16"/>
  <c r="BF170" i="16"/>
  <c r="CF178" i="19"/>
  <c r="CE178" i="19"/>
  <c r="CE161" i="19"/>
  <c r="BC243" i="16"/>
  <c r="AR220" i="16"/>
  <c r="BD243" i="16" s="1"/>
  <c r="CH257" i="19"/>
  <c r="CH256" i="19" s="1"/>
  <c r="CH255" i="19" s="1"/>
  <c r="CH254" i="19" s="1"/>
  <c r="CH253" i="19" s="1"/>
  <c r="CG257" i="19"/>
  <c r="CG256" i="19" s="1"/>
  <c r="CG255" i="19" s="1"/>
  <c r="CG254" i="19" s="1"/>
  <c r="CG253" i="19" s="1"/>
  <c r="BX256" i="19"/>
  <c r="BW256" i="19"/>
  <c r="BR165" i="10"/>
  <c r="BR157" i="10"/>
  <c r="BB169" i="10"/>
  <c r="BB161" i="10"/>
  <c r="BM160" i="10"/>
  <c r="BM177" i="10"/>
  <c r="BN177" i="10"/>
  <c r="AQ202" i="10"/>
  <c r="AS206" i="10"/>
  <c r="AQ209" i="10"/>
  <c r="AS203" i="10"/>
  <c r="BX169" i="19"/>
  <c r="BW161" i="19"/>
  <c r="BX161" i="19"/>
  <c r="M177" i="8"/>
  <c r="I17" i="1"/>
  <c r="K30" i="2"/>
  <c r="N264" i="8" s="1"/>
  <c r="P264" i="8" s="1"/>
  <c r="M19" i="2"/>
  <c r="M318" i="8"/>
  <c r="M266" i="8"/>
  <c r="GJ59" i="14"/>
  <c r="GK59" i="14" s="1"/>
  <c r="GL59" i="14" s="1"/>
  <c r="M72" i="8"/>
  <c r="J231" i="8"/>
  <c r="J233" i="8" s="1"/>
  <c r="J234" i="8" s="1"/>
  <c r="K231" i="8"/>
  <c r="K233" i="8" s="1"/>
  <c r="K234" i="8" s="1"/>
  <c r="K63" i="8"/>
  <c r="K65" i="8" s="1"/>
  <c r="K66" i="8" s="1"/>
  <c r="J63" i="8"/>
  <c r="J65" i="8" s="1"/>
  <c r="J66" i="8" s="1"/>
  <c r="M100" i="8"/>
  <c r="GJ30" i="14"/>
  <c r="GK30" i="14" s="1"/>
  <c r="GL30" i="14" s="1"/>
  <c r="M10" i="8"/>
  <c r="I173" i="8"/>
  <c r="I179" i="8"/>
  <c r="M236" i="8"/>
  <c r="M234" i="8"/>
  <c r="M175" i="8"/>
  <c r="M155" i="8"/>
  <c r="M156" i="8"/>
  <c r="KP67" i="14"/>
  <c r="KP50" i="14"/>
  <c r="KP51" i="14"/>
  <c r="BI36" i="18"/>
  <c r="BJ36" i="18" s="1"/>
  <c r="KP66" i="14"/>
  <c r="KP53" i="14"/>
  <c r="KP72" i="14"/>
  <c r="KP70" i="14"/>
  <c r="KP54" i="14"/>
  <c r="KP71" i="14"/>
  <c r="KP52" i="14"/>
  <c r="KP68" i="14"/>
  <c r="KP69" i="14"/>
  <c r="KP49" i="14"/>
  <c r="LP68" i="14"/>
  <c r="LP67" i="14"/>
  <c r="LP69" i="14"/>
  <c r="LP51" i="14"/>
  <c r="LP49" i="14"/>
  <c r="KP57" i="14"/>
  <c r="LP50" i="14"/>
  <c r="KP64" i="14"/>
  <c r="LP71" i="14"/>
  <c r="KP59" i="14"/>
  <c r="LP63" i="14"/>
  <c r="LP70" i="14"/>
  <c r="LP66" i="14"/>
  <c r="LP59" i="14"/>
  <c r="KP61" i="14"/>
  <c r="KP55" i="14"/>
  <c r="LP56" i="14"/>
  <c r="KP56" i="14"/>
  <c r="KP62" i="14"/>
  <c r="LP60" i="14"/>
  <c r="LP61" i="14"/>
  <c r="KP63" i="14"/>
  <c r="LP52" i="14"/>
  <c r="KQ72" i="14"/>
  <c r="BI62" i="18" s="1"/>
  <c r="LP65" i="14"/>
  <c r="LP53" i="14"/>
  <c r="KQ60" i="14"/>
  <c r="BI50" i="18" s="1"/>
  <c r="KP58" i="14"/>
  <c r="LP64" i="14"/>
  <c r="KP65" i="14"/>
  <c r="LP58" i="14"/>
  <c r="LP62" i="14"/>
  <c r="LP54" i="14"/>
  <c r="LP55" i="14"/>
  <c r="KP60" i="14"/>
  <c r="LP57" i="14"/>
  <c r="LP72" i="14"/>
  <c r="E11" i="18"/>
  <c r="AR22" i="14"/>
  <c r="C41" i="23" s="1"/>
  <c r="BE22" i="14"/>
  <c r="BF22" i="14" s="1"/>
  <c r="AC22" i="14"/>
  <c r="L22" i="14"/>
  <c r="M22" i="14" s="1"/>
  <c r="H22" i="14"/>
  <c r="F11" i="18" s="1"/>
  <c r="BA22" i="14"/>
  <c r="I22" i="14"/>
  <c r="W22" i="14"/>
  <c r="C10" i="22" s="1"/>
  <c r="M124" i="8"/>
  <c r="M128" i="8"/>
  <c r="AC292" i="19"/>
  <c r="AL317" i="19"/>
  <c r="AK317" i="19"/>
  <c r="AK314" i="19"/>
  <c r="AL314" i="19"/>
  <c r="AG321" i="19"/>
  <c r="AH321" i="19"/>
  <c r="AC324" i="19"/>
  <c r="R258" i="19"/>
  <c r="P258" i="19"/>
  <c r="S258" i="19" s="1"/>
  <c r="AE186" i="19"/>
  <c r="AH186" i="19" s="1"/>
  <c r="AG186" i="19"/>
  <c r="K23" i="14"/>
  <c r="R23" i="14" s="1"/>
  <c r="AD23" i="14"/>
  <c r="N23" i="14"/>
  <c r="R240" i="19"/>
  <c r="P240" i="19"/>
  <c r="S240" i="19" s="1"/>
  <c r="P211" i="19"/>
  <c r="S211" i="19" s="1"/>
  <c r="R211" i="19"/>
  <c r="G237" i="19"/>
  <c r="E237" i="19"/>
  <c r="H237" i="19" s="1"/>
  <c r="C64" i="22"/>
  <c r="J18" i="14"/>
  <c r="K18" i="14" s="1"/>
  <c r="R18" i="14" s="1"/>
  <c r="BC18" i="14"/>
  <c r="AF18" i="14"/>
  <c r="E339" i="19"/>
  <c r="H339" i="19" s="1"/>
  <c r="G339" i="19"/>
  <c r="G290" i="19"/>
  <c r="E290" i="19"/>
  <c r="H290" i="19" s="1"/>
  <c r="R291" i="19"/>
  <c r="P291" i="19"/>
  <c r="S291" i="19" s="1"/>
  <c r="P198" i="19"/>
  <c r="S198" i="19" s="1"/>
  <c r="R198" i="19"/>
  <c r="AC191" i="19"/>
  <c r="AD190" i="19"/>
  <c r="E196" i="19"/>
  <c r="H196" i="19" s="1"/>
  <c r="G196" i="19"/>
  <c r="G359" i="19"/>
  <c r="E359" i="19"/>
  <c r="H359" i="19" s="1"/>
  <c r="AG321" i="16"/>
  <c r="AH321" i="16"/>
  <c r="AG316" i="16"/>
  <c r="AH316" i="16"/>
  <c r="R277" i="19"/>
  <c r="P277" i="19"/>
  <c r="S277" i="19" s="1"/>
  <c r="G260" i="16"/>
  <c r="E260" i="16"/>
  <c r="H260" i="16" s="1"/>
  <c r="AC356" i="16"/>
  <c r="AC373" i="16"/>
  <c r="AC341" i="16"/>
  <c r="AC359" i="16"/>
  <c r="AC370" i="16"/>
  <c r="AC299" i="16"/>
  <c r="AC380" i="16"/>
  <c r="AC332" i="16"/>
  <c r="AC366" i="16"/>
  <c r="AC349" i="16"/>
  <c r="AC376" i="16"/>
  <c r="AC358" i="16"/>
  <c r="AC322" i="16"/>
  <c r="AC360" i="16"/>
  <c r="AC357" i="16"/>
  <c r="AC371" i="16"/>
  <c r="AC309" i="16"/>
  <c r="AC339" i="16"/>
  <c r="AC316" i="16"/>
  <c r="AC377" i="16"/>
  <c r="AC335" i="16"/>
  <c r="AC312" i="16"/>
  <c r="AC344" i="16"/>
  <c r="AC314" i="16"/>
  <c r="AC308" i="16"/>
  <c r="AC340" i="16"/>
  <c r="AC337" i="16"/>
  <c r="AC338" i="16"/>
  <c r="AC354" i="16"/>
  <c r="AC313" i="16"/>
  <c r="AC369" i="16"/>
  <c r="AC365" i="16"/>
  <c r="AC315" i="16"/>
  <c r="AC375" i="16"/>
  <c r="AC333" i="16"/>
  <c r="AC378" i="16"/>
  <c r="AC319" i="16"/>
  <c r="AC324" i="16"/>
  <c r="AC361" i="16"/>
  <c r="AC374" i="16"/>
  <c r="AC318" i="16"/>
  <c r="AC381" i="16"/>
  <c r="R297" i="16"/>
  <c r="P297" i="16"/>
  <c r="S297" i="16" s="1"/>
  <c r="P336" i="16"/>
  <c r="S336" i="16" s="1"/>
  <c r="R336" i="16"/>
  <c r="G192" i="16"/>
  <c r="E192" i="16"/>
  <c r="H192" i="16" s="1"/>
  <c r="AC327" i="16"/>
  <c r="G229" i="16"/>
  <c r="E229" i="16"/>
  <c r="H229" i="16" s="1"/>
  <c r="G349" i="10"/>
  <c r="E349" i="10"/>
  <c r="H349" i="10" s="1"/>
  <c r="AG193" i="16"/>
  <c r="AE193" i="16"/>
  <c r="AH193" i="16" s="1"/>
  <c r="AG202" i="16"/>
  <c r="AE202" i="16"/>
  <c r="AH202" i="16" s="1"/>
  <c r="AG203" i="16"/>
  <c r="AE203" i="16"/>
  <c r="AH203" i="16" s="1"/>
  <c r="AJ207" i="16"/>
  <c r="AH265" i="16" s="1"/>
  <c r="AI207" i="16"/>
  <c r="AF265" i="16" s="1"/>
  <c r="AE265" i="16" s="1"/>
  <c r="T195" i="16"/>
  <c r="AC334" i="16"/>
  <c r="AC361" i="10"/>
  <c r="G214" i="10"/>
  <c r="E214" i="10"/>
  <c r="H214" i="10" s="1"/>
  <c r="AC355" i="16"/>
  <c r="AC377" i="10"/>
  <c r="P319" i="10"/>
  <c r="S319" i="10" s="1"/>
  <c r="R319" i="10"/>
  <c r="AI185" i="10"/>
  <c r="AF243" i="10" s="1"/>
  <c r="AE243" i="10" s="1"/>
  <c r="AJ185" i="10"/>
  <c r="AH243" i="10" s="1"/>
  <c r="BY120" i="16"/>
  <c r="CB120" i="16" s="1"/>
  <c r="CA120" i="16"/>
  <c r="BY111" i="16"/>
  <c r="CB111" i="16"/>
  <c r="CA111" i="16"/>
  <c r="CA142" i="16"/>
  <c r="BY142" i="16"/>
  <c r="CB142" i="16" s="1"/>
  <c r="E260" i="10"/>
  <c r="H260" i="10" s="1"/>
  <c r="G260" i="10"/>
  <c r="G198" i="10"/>
  <c r="E198" i="10"/>
  <c r="H198" i="10" s="1"/>
  <c r="AG235" i="10"/>
  <c r="AH235" i="10"/>
  <c r="AE235" i="10"/>
  <c r="T201" i="10"/>
  <c r="AE179" i="10"/>
  <c r="AG179" i="10"/>
  <c r="AH179" i="10"/>
  <c r="I235" i="10"/>
  <c r="R230" i="10"/>
  <c r="P230" i="10"/>
  <c r="S230" i="10" s="1"/>
  <c r="AC305" i="16"/>
  <c r="AC373" i="10"/>
  <c r="R356" i="10"/>
  <c r="P356" i="10"/>
  <c r="S356" i="10" s="1"/>
  <c r="R270" i="10"/>
  <c r="P270" i="10"/>
  <c r="S270" i="10" s="1"/>
  <c r="AG318" i="10"/>
  <c r="AH318" i="10"/>
  <c r="AK324" i="10"/>
  <c r="AL324" i="10"/>
  <c r="AK317" i="10"/>
  <c r="AL317" i="10"/>
  <c r="DF93" i="10"/>
  <c r="DI93" i="10"/>
  <c r="BI219" i="10"/>
  <c r="DH93" i="10"/>
  <c r="DI106" i="10"/>
  <c r="DH106" i="10"/>
  <c r="BI233" i="10"/>
  <c r="DF106" i="10"/>
  <c r="P201" i="16"/>
  <c r="S201" i="16" s="1"/>
  <c r="R201" i="16"/>
  <c r="R200" i="16"/>
  <c r="P200" i="16"/>
  <c r="S200" i="16" s="1"/>
  <c r="AC364" i="10"/>
  <c r="P331" i="10"/>
  <c r="S331" i="10" s="1"/>
  <c r="R331" i="10"/>
  <c r="AC314" i="10"/>
  <c r="G238" i="10"/>
  <c r="E238" i="10"/>
  <c r="H238" i="10" s="1"/>
  <c r="DF110" i="16"/>
  <c r="DI110" i="16"/>
  <c r="BI237" i="16"/>
  <c r="DH110" i="16"/>
  <c r="DF141" i="16"/>
  <c r="DI141" i="16" s="1"/>
  <c r="DH141" i="16"/>
  <c r="AJ196" i="16"/>
  <c r="AH254" i="16" s="1"/>
  <c r="AI196" i="16"/>
  <c r="AF254" i="16" s="1"/>
  <c r="AE254" i="16" s="1"/>
  <c r="AC368" i="10"/>
  <c r="P233" i="16"/>
  <c r="S233" i="16" s="1"/>
  <c r="R233" i="16"/>
  <c r="P238" i="16"/>
  <c r="S238" i="16" s="1"/>
  <c r="R238" i="16"/>
  <c r="R212" i="16"/>
  <c r="P212" i="16"/>
  <c r="S212" i="16" s="1"/>
  <c r="AC296" i="10"/>
  <c r="R258" i="10"/>
  <c r="P258" i="10"/>
  <c r="S258" i="10" s="1"/>
  <c r="BF160" i="19"/>
  <c r="BF168" i="19"/>
  <c r="U350" i="10"/>
  <c r="T350" i="10"/>
  <c r="BE91" i="10"/>
  <c r="AT217" i="10"/>
  <c r="BF91" i="10"/>
  <c r="BC91" i="10"/>
  <c r="AT215" i="10"/>
  <c r="BF89" i="10"/>
  <c r="BE89" i="10"/>
  <c r="BC89" i="10"/>
  <c r="BE142" i="10"/>
  <c r="BC142" i="10"/>
  <c r="BF142" i="10" s="1"/>
  <c r="AT125" i="10"/>
  <c r="AR125" i="10"/>
  <c r="AU125" i="10" s="1"/>
  <c r="AR110" i="10"/>
  <c r="AT110" i="10"/>
  <c r="AQ237" i="10"/>
  <c r="AU110" i="10"/>
  <c r="AC524" i="19"/>
  <c r="AC525" i="19" s="1"/>
  <c r="E300" i="16"/>
  <c r="H300" i="16" s="1"/>
  <c r="G300" i="16"/>
  <c r="G292" i="16"/>
  <c r="E292" i="16"/>
  <c r="H292" i="16" s="1"/>
  <c r="P256" i="16"/>
  <c r="S256" i="16" s="1"/>
  <c r="R256" i="16"/>
  <c r="P259" i="16"/>
  <c r="S259" i="16" s="1"/>
  <c r="R259" i="16"/>
  <c r="G297" i="10"/>
  <c r="E297" i="10"/>
  <c r="H297" i="10" s="1"/>
  <c r="R190" i="10"/>
  <c r="P190" i="10"/>
  <c r="S190" i="10" s="1"/>
  <c r="BN137" i="19"/>
  <c r="BQ137" i="19" s="1"/>
  <c r="BP137" i="19"/>
  <c r="BP100" i="19"/>
  <c r="BN100" i="19"/>
  <c r="BQ100" i="19"/>
  <c r="AW227" i="19"/>
  <c r="BQ99" i="19"/>
  <c r="AW225" i="19"/>
  <c r="BP99" i="19"/>
  <c r="CJ138" i="16"/>
  <c r="CM138" i="16" s="1"/>
  <c r="CL138" i="16"/>
  <c r="CL128" i="16"/>
  <c r="CJ128" i="16"/>
  <c r="CM128" i="16" s="1"/>
  <c r="CL121" i="16"/>
  <c r="CJ121" i="16"/>
  <c r="CM121" i="16" s="1"/>
  <c r="CM99" i="16"/>
  <c r="BC225" i="16"/>
  <c r="CL99" i="16"/>
  <c r="BL166" i="16"/>
  <c r="BL158" i="16"/>
  <c r="AH38" i="14"/>
  <c r="BB38" i="14" s="1"/>
  <c r="BC38" i="14" s="1"/>
  <c r="BH38" i="14"/>
  <c r="BW246" i="16"/>
  <c r="BA230" i="16"/>
  <c r="BX246" i="16" s="1"/>
  <c r="AI234" i="10"/>
  <c r="AJ234" i="10"/>
  <c r="DI107" i="19"/>
  <c r="BI234" i="19"/>
  <c r="DF107" i="19"/>
  <c r="DH107" i="19"/>
  <c r="BI215" i="19"/>
  <c r="DF89" i="19"/>
  <c r="DH89" i="19"/>
  <c r="DI89" i="19"/>
  <c r="DH125" i="19"/>
  <c r="DF125" i="19"/>
  <c r="DI125" i="19" s="1"/>
  <c r="DH139" i="19"/>
  <c r="DF139" i="19"/>
  <c r="DI139" i="19" s="1"/>
  <c r="DH132" i="19"/>
  <c r="DF132" i="19"/>
  <c r="DI132" i="19" s="1"/>
  <c r="AC311" i="10"/>
  <c r="G313" i="10"/>
  <c r="E313" i="10"/>
  <c r="H313" i="10" s="1"/>
  <c r="G319" i="10"/>
  <c r="E319" i="10"/>
  <c r="H319" i="10" s="1"/>
  <c r="G274" i="10"/>
  <c r="E274" i="10"/>
  <c r="H274" i="10" s="1"/>
  <c r="BJ158" i="10"/>
  <c r="BJ166" i="10"/>
  <c r="R219" i="10"/>
  <c r="P219" i="10"/>
  <c r="S219" i="10" s="1"/>
  <c r="BG162" i="19"/>
  <c r="BH162" i="19"/>
  <c r="BH170" i="19"/>
  <c r="AC334" i="10"/>
  <c r="BN133" i="16"/>
  <c r="BQ133" i="16" s="1"/>
  <c r="BP133" i="16"/>
  <c r="BP137" i="16"/>
  <c r="BN137" i="16"/>
  <c r="BQ137" i="16" s="1"/>
  <c r="AW221" i="16"/>
  <c r="BP95" i="16"/>
  <c r="BN95" i="16"/>
  <c r="BQ95" i="16" s="1"/>
  <c r="BN130" i="16"/>
  <c r="BQ130" i="16" s="1"/>
  <c r="BP130" i="16"/>
  <c r="AW232" i="16"/>
  <c r="BN105" i="16"/>
  <c r="BP105" i="16"/>
  <c r="BQ105" i="16"/>
  <c r="BN104" i="16"/>
  <c r="BQ104" i="16" s="1"/>
  <c r="AW231" i="16"/>
  <c r="BP104" i="16"/>
  <c r="BF168" i="16"/>
  <c r="BF160" i="16"/>
  <c r="AC321" i="10"/>
  <c r="R256" i="8"/>
  <c r="BR112" i="10"/>
  <c r="BS112" i="10"/>
  <c r="BY243" i="16"/>
  <c r="AR231" i="16"/>
  <c r="BZ243" i="16" s="1"/>
  <c r="AQ164" i="10"/>
  <c r="AQ165" i="10" s="1"/>
  <c r="AQ166" i="10" s="1"/>
  <c r="AR164" i="10"/>
  <c r="BJ220" i="16"/>
  <c r="BD242" i="16" s="1"/>
  <c r="BC242" i="16"/>
  <c r="BH253" i="10"/>
  <c r="BG253" i="10"/>
  <c r="AV138" i="16"/>
  <c r="BY149" i="16" s="1"/>
  <c r="AW138" i="16"/>
  <c r="BZ149" i="16" s="1"/>
  <c r="BH128" i="16"/>
  <c r="BF150" i="16" s="1"/>
  <c r="BG128" i="16"/>
  <c r="BE150" i="16" s="1"/>
  <c r="BT165" i="16"/>
  <c r="BT157" i="16"/>
  <c r="BW256" i="10"/>
  <c r="BX256" i="10"/>
  <c r="BH127" i="19"/>
  <c r="BD150" i="19" s="1"/>
  <c r="BG127" i="19"/>
  <c r="BC150" i="19" s="1"/>
  <c r="BR123" i="19"/>
  <c r="AU151" i="19" s="1"/>
  <c r="BS123" i="19"/>
  <c r="AV151" i="19" s="1"/>
  <c r="CF162" i="10"/>
  <c r="CE162" i="10"/>
  <c r="BX165" i="16"/>
  <c r="BX166" i="16" s="1"/>
  <c r="BH258" i="10"/>
  <c r="BG258" i="10"/>
  <c r="BP161" i="16"/>
  <c r="BP169" i="16"/>
  <c r="AM536" i="10"/>
  <c r="AN535" i="10"/>
  <c r="AO535" i="10" s="1"/>
  <c r="BM246" i="16"/>
  <c r="AZ226" i="16"/>
  <c r="BO246" i="16" s="1"/>
  <c r="AY246" i="16"/>
  <c r="BA218" i="16"/>
  <c r="AZ246" i="16" s="1"/>
  <c r="CC101" i="19"/>
  <c r="CD101" i="19"/>
  <c r="BV168" i="19"/>
  <c r="BV160" i="19"/>
  <c r="BI253" i="19"/>
  <c r="BJ253" i="19"/>
  <c r="CD124" i="19"/>
  <c r="AX152" i="19" s="1"/>
  <c r="CC124" i="19"/>
  <c r="AW152" i="19" s="1"/>
  <c r="AX258" i="10"/>
  <c r="AX257" i="10" s="1"/>
  <c r="AW258" i="10"/>
  <c r="AW257" i="10" s="1"/>
  <c r="AQ258" i="19"/>
  <c r="AR258" i="19"/>
  <c r="AT208" i="10"/>
  <c r="AR207" i="10"/>
  <c r="BD164" i="10"/>
  <c r="BC164" i="10"/>
  <c r="BC165" i="10" s="1"/>
  <c r="BD156" i="10"/>
  <c r="BG91" i="19"/>
  <c r="BH91" i="19"/>
  <c r="BS128" i="19"/>
  <c r="BF151" i="19" s="1"/>
  <c r="BR128" i="19"/>
  <c r="BE151" i="19" s="1"/>
  <c r="AW120" i="16"/>
  <c r="AP149" i="16" s="1"/>
  <c r="AV120" i="16"/>
  <c r="AO149" i="16" s="1"/>
  <c r="AW141" i="16"/>
  <c r="CF149" i="16" s="1"/>
  <c r="AV141" i="16"/>
  <c r="CE149" i="16" s="1"/>
  <c r="AS244" i="16"/>
  <c r="AU215" i="16"/>
  <c r="AT244" i="16" s="1"/>
  <c r="AX162" i="19"/>
  <c r="AW162" i="19"/>
  <c r="AP161" i="16"/>
  <c r="BQ161" i="16"/>
  <c r="BR178" i="16"/>
  <c r="BQ178" i="16"/>
  <c r="AP162" i="19"/>
  <c r="AO162" i="19"/>
  <c r="BF164" i="16"/>
  <c r="BE164" i="16"/>
  <c r="BE165" i="16" s="1"/>
  <c r="BE166" i="16" s="1"/>
  <c r="BF156" i="16"/>
  <c r="CE164" i="10"/>
  <c r="CF164" i="10"/>
  <c r="AZ164" i="16"/>
  <c r="AY164" i="16"/>
  <c r="CH258" i="16"/>
  <c r="CG258" i="16"/>
  <c r="AT176" i="10"/>
  <c r="AS159" i="10"/>
  <c r="AS176" i="10"/>
  <c r="AT164" i="16"/>
  <c r="AS164" i="16"/>
  <c r="AS165" i="16" s="1"/>
  <c r="BA161" i="16"/>
  <c r="BA178" i="16"/>
  <c r="BB178" i="16"/>
  <c r="CC161" i="16"/>
  <c r="CC178" i="16"/>
  <c r="CD178" i="16"/>
  <c r="BV169" i="10"/>
  <c r="BV161" i="10"/>
  <c r="M324" i="8"/>
  <c r="I291" i="8"/>
  <c r="I285" i="8"/>
  <c r="N97" i="8"/>
  <c r="P97" i="8" s="1"/>
  <c r="GJ27" i="14"/>
  <c r="GK27" i="14" s="1"/>
  <c r="GL27" i="14" s="1"/>
  <c r="M148" i="8"/>
  <c r="AC373" i="19"/>
  <c r="AG181" i="19"/>
  <c r="AE181" i="19"/>
  <c r="AH181" i="19"/>
  <c r="G338" i="19"/>
  <c r="E338" i="19"/>
  <c r="H338" i="19" s="1"/>
  <c r="P294" i="19"/>
  <c r="S294" i="19" s="1"/>
  <c r="R294" i="19"/>
  <c r="G352" i="19"/>
  <c r="E352" i="19"/>
  <c r="H352" i="19" s="1"/>
  <c r="AL321" i="16"/>
  <c r="AK321" i="16"/>
  <c r="G352" i="10"/>
  <c r="E352" i="10"/>
  <c r="H352" i="10" s="1"/>
  <c r="AE188" i="16"/>
  <c r="AH188" i="16" s="1"/>
  <c r="AG188" i="16"/>
  <c r="R354" i="10"/>
  <c r="P354" i="10"/>
  <c r="S354" i="10" s="1"/>
  <c r="R276" i="10"/>
  <c r="P276" i="10"/>
  <c r="S276" i="10" s="1"/>
  <c r="DH99" i="16"/>
  <c r="BI225" i="16"/>
  <c r="DI99" i="16"/>
  <c r="R231" i="16"/>
  <c r="P231" i="16"/>
  <c r="S231" i="16" s="1"/>
  <c r="R281" i="10"/>
  <c r="P281" i="10"/>
  <c r="S281" i="10" s="1"/>
  <c r="BC95" i="10"/>
  <c r="BF95" i="10" s="1"/>
  <c r="BE95" i="10"/>
  <c r="AT221" i="10"/>
  <c r="AR108" i="10"/>
  <c r="AU108" i="10"/>
  <c r="AT108" i="10"/>
  <c r="AQ235" i="10"/>
  <c r="AR123" i="10"/>
  <c r="AU123" i="10" s="1"/>
  <c r="AT123" i="10"/>
  <c r="R200" i="10"/>
  <c r="P200" i="10"/>
  <c r="S200" i="10" s="1"/>
  <c r="BN125" i="19"/>
  <c r="BQ125" i="19" s="1"/>
  <c r="BP125" i="19"/>
  <c r="CL127" i="16"/>
  <c r="CJ127" i="16"/>
  <c r="CM127" i="16" s="1"/>
  <c r="CJ111" i="16"/>
  <c r="CM111" i="16"/>
  <c r="CL111" i="16"/>
  <c r="DH130" i="19"/>
  <c r="DF130" i="19"/>
  <c r="DI130" i="19" s="1"/>
  <c r="R212" i="10"/>
  <c r="P212" i="10"/>
  <c r="S212" i="10" s="1"/>
  <c r="BH157" i="16"/>
  <c r="BH165" i="16"/>
  <c r="AH547" i="10"/>
  <c r="AI547" i="10" s="1"/>
  <c r="AG548" i="10"/>
  <c r="BN138" i="16"/>
  <c r="BQ138" i="16" s="1"/>
  <c r="BP138" i="16"/>
  <c r="BQ106" i="16"/>
  <c r="BP106" i="16"/>
  <c r="AW233" i="16"/>
  <c r="BN106" i="16"/>
  <c r="AV89" i="16"/>
  <c r="AW89" i="16"/>
  <c r="AW138" i="19"/>
  <c r="BZ149" i="19" s="1"/>
  <c r="AV138" i="19"/>
  <c r="BY149" i="19" s="1"/>
  <c r="BS141" i="10"/>
  <c r="CF151" i="10" s="1"/>
  <c r="BR141" i="10"/>
  <c r="CE151" i="10" s="1"/>
  <c r="AR214" i="16"/>
  <c r="AR243" i="16" s="1"/>
  <c r="AQ243" i="16"/>
  <c r="CJ257" i="10"/>
  <c r="CJ256" i="10" s="1"/>
  <c r="CI257" i="10"/>
  <c r="CI256" i="10" s="1"/>
  <c r="CD92" i="19"/>
  <c r="CC92" i="19"/>
  <c r="BU253" i="10"/>
  <c r="BV253" i="10"/>
  <c r="BO160" i="10"/>
  <c r="BM255" i="10"/>
  <c r="AY244" i="19"/>
  <c r="AU218" i="19"/>
  <c r="AZ244" i="19" s="1"/>
  <c r="BZ254" i="19"/>
  <c r="BY254" i="19"/>
  <c r="BD162" i="10"/>
  <c r="BC162" i="10"/>
  <c r="BD170" i="10"/>
  <c r="BY160" i="16"/>
  <c r="BD165" i="19"/>
  <c r="BD157" i="19"/>
  <c r="M326" i="8"/>
  <c r="M102" i="8"/>
  <c r="GJ32" i="14"/>
  <c r="GK32" i="14" s="1"/>
  <c r="GL32" i="14" s="1"/>
  <c r="M188" i="8"/>
  <c r="B298" i="8"/>
  <c r="L9" i="3"/>
  <c r="L8" i="3"/>
  <c r="E8" i="18"/>
  <c r="BA19" i="14"/>
  <c r="H19" i="14"/>
  <c r="F8" i="18" s="1"/>
  <c r="AC19" i="14"/>
  <c r="L19" i="14"/>
  <c r="M19" i="14" s="1"/>
  <c r="BE19" i="14"/>
  <c r="BF19" i="14" s="1"/>
  <c r="I19" i="14"/>
  <c r="AR19" i="14"/>
  <c r="W19" i="14"/>
  <c r="C7" i="22" s="1"/>
  <c r="AG331" i="19"/>
  <c r="AH331" i="19"/>
  <c r="AH319" i="19"/>
  <c r="AG319" i="19"/>
  <c r="AH324" i="19"/>
  <c r="AG324" i="19"/>
  <c r="R239" i="19"/>
  <c r="P239" i="19"/>
  <c r="S239" i="19" s="1"/>
  <c r="P311" i="19"/>
  <c r="S311" i="19" s="1"/>
  <c r="R311" i="19"/>
  <c r="R199" i="19"/>
  <c r="P199" i="19"/>
  <c r="S199" i="19" s="1"/>
  <c r="E201" i="19"/>
  <c r="H201" i="19" s="1"/>
  <c r="G201" i="19"/>
  <c r="G360" i="19"/>
  <c r="E360" i="19"/>
  <c r="H360" i="19" s="1"/>
  <c r="AC246" i="19"/>
  <c r="AG245" i="19"/>
  <c r="AH314" i="16"/>
  <c r="AG314" i="16"/>
  <c r="B18" i="8"/>
  <c r="B8" i="3"/>
  <c r="B9" i="3"/>
  <c r="AE178" i="16"/>
  <c r="AG178" i="16"/>
  <c r="AH178" i="16"/>
  <c r="G218" i="10"/>
  <c r="E218" i="10"/>
  <c r="H218" i="10" s="1"/>
  <c r="CA135" i="16"/>
  <c r="BY135" i="16"/>
  <c r="CB135" i="16" s="1"/>
  <c r="E253" i="10"/>
  <c r="H253" i="10" s="1"/>
  <c r="G253" i="10"/>
  <c r="AI234" i="16"/>
  <c r="AJ234" i="16"/>
  <c r="AI48" i="10"/>
  <c r="AH48" i="10"/>
  <c r="DF140" i="10"/>
  <c r="DI140" i="10" s="1"/>
  <c r="DH140" i="10"/>
  <c r="P191" i="16"/>
  <c r="S191" i="16" s="1"/>
  <c r="R191" i="16"/>
  <c r="BI224" i="16"/>
  <c r="DH98" i="16"/>
  <c r="DF98" i="16"/>
  <c r="DI98" i="16" s="1"/>
  <c r="I199" i="10"/>
  <c r="J199" i="10"/>
  <c r="R221" i="16"/>
  <c r="P221" i="16"/>
  <c r="S221" i="16" s="1"/>
  <c r="R251" i="10"/>
  <c r="P251" i="10"/>
  <c r="S251" i="10" s="1"/>
  <c r="BC109" i="10"/>
  <c r="BF109" i="10"/>
  <c r="BE109" i="10"/>
  <c r="AT236" i="10"/>
  <c r="G298" i="16"/>
  <c r="E298" i="16"/>
  <c r="H298" i="16" s="1"/>
  <c r="R192" i="10"/>
  <c r="P192" i="10"/>
  <c r="S192" i="10" s="1"/>
  <c r="BP93" i="19"/>
  <c r="BN93" i="19"/>
  <c r="BQ93" i="19" s="1"/>
  <c r="AW219" i="19"/>
  <c r="BN120" i="19"/>
  <c r="BQ120" i="19" s="1"/>
  <c r="BP120" i="19"/>
  <c r="CL123" i="16"/>
  <c r="CJ123" i="16"/>
  <c r="CM123" i="16" s="1"/>
  <c r="E280" i="10"/>
  <c r="H280" i="10" s="1"/>
  <c r="G280" i="10"/>
  <c r="BE162" i="19"/>
  <c r="BF170" i="19"/>
  <c r="BF162" i="19"/>
  <c r="BQ93" i="16"/>
  <c r="BN93" i="16"/>
  <c r="BP93" i="16"/>
  <c r="AW219" i="16"/>
  <c r="AX226" i="16"/>
  <c r="BP245" i="16" s="1"/>
  <c r="BN245" i="16"/>
  <c r="AU219" i="16"/>
  <c r="BB244" i="16" s="1"/>
  <c r="BA244" i="16"/>
  <c r="BR255" i="19"/>
  <c r="BQ255" i="19"/>
  <c r="AV112" i="16"/>
  <c r="AW112" i="16"/>
  <c r="AX231" i="10"/>
  <c r="BZ245" i="10" s="1"/>
  <c r="BY245" i="10"/>
  <c r="BG216" i="10"/>
  <c r="AV248" i="10" s="1"/>
  <c r="AV259" i="10" s="1"/>
  <c r="AV258" i="10" s="1"/>
  <c r="AV257" i="10" s="1"/>
  <c r="AV256" i="10" s="1"/>
  <c r="AU248" i="10"/>
  <c r="AU259" i="10" s="1"/>
  <c r="AU258" i="10" s="1"/>
  <c r="AU257" i="10" s="1"/>
  <c r="AU256" i="10" s="1"/>
  <c r="BV162" i="10"/>
  <c r="BU162" i="10"/>
  <c r="BV170" i="10"/>
  <c r="BR166" i="19"/>
  <c r="BR158" i="19"/>
  <c r="BM254" i="16"/>
  <c r="BN254" i="16"/>
  <c r="BR98" i="19"/>
  <c r="BS98" i="19"/>
  <c r="CJ258" i="19"/>
  <c r="CJ257" i="19" s="1"/>
  <c r="CI258" i="19"/>
  <c r="CI257" i="19" s="1"/>
  <c r="AW123" i="16"/>
  <c r="AV149" i="16" s="1"/>
  <c r="AV123" i="16"/>
  <c r="AU149" i="16" s="1"/>
  <c r="BG142" i="16"/>
  <c r="CG150" i="16" s="1"/>
  <c r="BH142" i="16"/>
  <c r="CH150" i="16" s="1"/>
  <c r="AR162" i="10"/>
  <c r="AQ162" i="10"/>
  <c r="M292" i="8"/>
  <c r="M272" i="8"/>
  <c r="GJ65" i="14"/>
  <c r="GK65" i="14" s="1"/>
  <c r="GL65" i="14" s="1"/>
  <c r="M67" i="8"/>
  <c r="M17" i="8"/>
  <c r="M178" i="8"/>
  <c r="G53" i="14"/>
  <c r="G67" i="14"/>
  <c r="G68" i="14"/>
  <c r="G50" i="14"/>
  <c r="G49" i="14"/>
  <c r="G51" i="14"/>
  <c r="F36" i="18"/>
  <c r="G36" i="18" s="1"/>
  <c r="G52" i="14"/>
  <c r="G72" i="14"/>
  <c r="G71" i="14"/>
  <c r="G70" i="14"/>
  <c r="G69" i="14"/>
  <c r="AG66" i="14"/>
  <c r="AG55" i="14"/>
  <c r="AG63" i="14"/>
  <c r="AG71" i="14"/>
  <c r="G58" i="14"/>
  <c r="AG70" i="14"/>
  <c r="G63" i="14"/>
  <c r="AG50" i="14"/>
  <c r="G60" i="14"/>
  <c r="G66" i="14"/>
  <c r="AG60" i="14"/>
  <c r="G61" i="14"/>
  <c r="H60" i="14"/>
  <c r="F50" i="18" s="1"/>
  <c r="AG61" i="14"/>
  <c r="AG54" i="14"/>
  <c r="AG56" i="14"/>
  <c r="H72" i="14"/>
  <c r="F62" i="18" s="1"/>
  <c r="AG65" i="14"/>
  <c r="AG51" i="14"/>
  <c r="G59" i="14"/>
  <c r="G65" i="14"/>
  <c r="AG62" i="14"/>
  <c r="G56" i="14"/>
  <c r="AG53" i="14"/>
  <c r="AG59" i="14"/>
  <c r="AG52" i="14"/>
  <c r="AG64" i="14"/>
  <c r="AG69" i="14"/>
  <c r="AG68" i="14"/>
  <c r="G62" i="14"/>
  <c r="G57" i="14"/>
  <c r="G55" i="14"/>
  <c r="G54" i="14"/>
  <c r="AG49" i="14"/>
  <c r="AG72" i="14"/>
  <c r="AG67" i="14"/>
  <c r="G64" i="14"/>
  <c r="AG58" i="14"/>
  <c r="AG57" i="14"/>
  <c r="M120" i="8"/>
  <c r="AC339" i="19"/>
  <c r="AG180" i="19"/>
  <c r="AE180" i="19"/>
  <c r="AH180" i="19"/>
  <c r="P289" i="19"/>
  <c r="S289" i="19" s="1"/>
  <c r="R289" i="19"/>
  <c r="G199" i="19"/>
  <c r="E199" i="19"/>
  <c r="H199" i="19" s="1"/>
  <c r="AC342" i="19"/>
  <c r="P274" i="19"/>
  <c r="S274" i="19" s="1"/>
  <c r="R274" i="19"/>
  <c r="R337" i="16"/>
  <c r="P337" i="16"/>
  <c r="S337" i="16" s="1"/>
  <c r="E233" i="16"/>
  <c r="H233" i="16" s="1"/>
  <c r="G233" i="16"/>
  <c r="AE185" i="16"/>
  <c r="AH185" i="16" s="1"/>
  <c r="AG185" i="16"/>
  <c r="AE197" i="16"/>
  <c r="AH197" i="16" s="1"/>
  <c r="AG197" i="16"/>
  <c r="G12" i="18"/>
  <c r="G24" i="18"/>
  <c r="G21" i="18"/>
  <c r="H21" i="18" s="1"/>
  <c r="C23" i="13" s="1"/>
  <c r="C84" i="13" s="1"/>
  <c r="G23" i="18"/>
  <c r="H23" i="18" s="1"/>
  <c r="C25" i="13" s="1"/>
  <c r="C86" i="13" s="1"/>
  <c r="G30" i="18"/>
  <c r="G26" i="18"/>
  <c r="G8" i="18"/>
  <c r="G14" i="18"/>
  <c r="H14" i="18" s="1"/>
  <c r="C16" i="13" s="1"/>
  <c r="C77" i="13" s="1"/>
  <c r="G7" i="18"/>
  <c r="G27" i="18"/>
  <c r="G11" i="18"/>
  <c r="G10" i="18"/>
  <c r="G28" i="18"/>
  <c r="G25" i="18"/>
  <c r="G22" i="18"/>
  <c r="H22" i="18" s="1"/>
  <c r="C24" i="13" s="1"/>
  <c r="C85" i="13" s="1"/>
  <c r="G13" i="18"/>
  <c r="H13" i="18" s="1"/>
  <c r="C15" i="13" s="1"/>
  <c r="C76" i="13" s="1"/>
  <c r="G17" i="18"/>
  <c r="H17" i="18" s="1"/>
  <c r="C19" i="13" s="1"/>
  <c r="C80" i="13" s="1"/>
  <c r="G9" i="18"/>
  <c r="G18" i="18"/>
  <c r="H18" i="18" s="1"/>
  <c r="C20" i="13" s="1"/>
  <c r="C81" i="13" s="1"/>
  <c r="G20" i="18"/>
  <c r="H20" i="18" s="1"/>
  <c r="C22" i="13" s="1"/>
  <c r="C83" i="13" s="1"/>
  <c r="G29" i="18"/>
  <c r="G15" i="18"/>
  <c r="H15" i="18" s="1"/>
  <c r="C17" i="13" s="1"/>
  <c r="C78" i="13" s="1"/>
  <c r="G19" i="18"/>
  <c r="H19" i="18" s="1"/>
  <c r="C21" i="13" s="1"/>
  <c r="C82" i="13" s="1"/>
  <c r="G16" i="18"/>
  <c r="H16" i="18" s="1"/>
  <c r="C18" i="13" s="1"/>
  <c r="C79" i="13" s="1"/>
  <c r="AZ236" i="16"/>
  <c r="BY109" i="16"/>
  <c r="CA109" i="16"/>
  <c r="CB109" i="16"/>
  <c r="G191" i="10"/>
  <c r="E191" i="10"/>
  <c r="H191" i="10" s="1"/>
  <c r="P280" i="10"/>
  <c r="S280" i="10" s="1"/>
  <c r="R280" i="10"/>
  <c r="AK318" i="10"/>
  <c r="AL318" i="10"/>
  <c r="DF122" i="10"/>
  <c r="DI122" i="10" s="1"/>
  <c r="DH122" i="10"/>
  <c r="P189" i="16"/>
  <c r="S189" i="16" s="1"/>
  <c r="R189" i="16"/>
  <c r="P339" i="10"/>
  <c r="S339" i="10" s="1"/>
  <c r="R339" i="10"/>
  <c r="P210" i="16"/>
  <c r="S210" i="16" s="1"/>
  <c r="R210" i="16"/>
  <c r="CL136" i="16"/>
  <c r="CJ136" i="16"/>
  <c r="CM136" i="16" s="1"/>
  <c r="BE139" i="10"/>
  <c r="BC139" i="10"/>
  <c r="BF139" i="10" s="1"/>
  <c r="G301" i="16"/>
  <c r="E301" i="16"/>
  <c r="H301" i="16" s="1"/>
  <c r="M207" i="8"/>
  <c r="M214" i="8"/>
  <c r="J239" i="8"/>
  <c r="J243" i="8" s="1"/>
  <c r="J244" i="8" s="1"/>
  <c r="K239" i="8"/>
  <c r="K243" i="8" s="1"/>
  <c r="K244" i="8" s="1"/>
  <c r="M12" i="8"/>
  <c r="H10" i="2"/>
  <c r="H4" i="3"/>
  <c r="H5" i="3" s="1"/>
  <c r="M163" i="8"/>
  <c r="G279" i="19"/>
  <c r="E279" i="19"/>
  <c r="H279" i="19" s="1"/>
  <c r="M127" i="8"/>
  <c r="C72" i="13"/>
  <c r="X20" i="14"/>
  <c r="G239" i="19"/>
  <c r="E239" i="19"/>
  <c r="H239" i="19" s="1"/>
  <c r="G341" i="19"/>
  <c r="E341" i="19"/>
  <c r="H341" i="19" s="1"/>
  <c r="R300" i="19"/>
  <c r="P300" i="19"/>
  <c r="S300" i="19" s="1"/>
  <c r="G189" i="19"/>
  <c r="E189" i="19"/>
  <c r="H189" i="19" s="1"/>
  <c r="E358" i="19"/>
  <c r="H358" i="19" s="1"/>
  <c r="G358" i="19"/>
  <c r="AH330" i="16"/>
  <c r="AG330" i="16"/>
  <c r="G250" i="16"/>
  <c r="E250" i="16"/>
  <c r="H250" i="16" s="1"/>
  <c r="E200" i="16"/>
  <c r="H200" i="16" s="1"/>
  <c r="G200" i="16"/>
  <c r="AG236" i="16"/>
  <c r="AE236" i="16"/>
  <c r="AH236" i="16"/>
  <c r="AE189" i="16"/>
  <c r="AH189" i="16" s="1"/>
  <c r="AG189" i="16"/>
  <c r="CB91" i="16"/>
  <c r="AZ217" i="16"/>
  <c r="CA91" i="16"/>
  <c r="BY91" i="16"/>
  <c r="G250" i="10"/>
  <c r="E250" i="10"/>
  <c r="H250" i="10" s="1"/>
  <c r="AC358" i="19"/>
  <c r="DF135" i="10"/>
  <c r="DI135" i="10" s="1"/>
  <c r="DH135" i="10"/>
  <c r="R196" i="16"/>
  <c r="P196" i="16"/>
  <c r="S196" i="16" s="1"/>
  <c r="R216" i="16"/>
  <c r="P216" i="16"/>
  <c r="S216" i="16" s="1"/>
  <c r="G291" i="16"/>
  <c r="E291" i="16"/>
  <c r="H291" i="16" s="1"/>
  <c r="G299" i="10"/>
  <c r="E299" i="10"/>
  <c r="H299" i="10" s="1"/>
  <c r="BN96" i="19"/>
  <c r="BQ96" i="19"/>
  <c r="AW222" i="19"/>
  <c r="BP96" i="19"/>
  <c r="BN92" i="19"/>
  <c r="BQ92" i="19"/>
  <c r="BP92" i="19"/>
  <c r="AW218" i="19"/>
  <c r="CJ110" i="16"/>
  <c r="CL110" i="16"/>
  <c r="CM110" i="16"/>
  <c r="BC237" i="16"/>
  <c r="BC230" i="16"/>
  <c r="CL103" i="16"/>
  <c r="CJ103" i="16"/>
  <c r="CM103" i="16" s="1"/>
  <c r="DF110" i="19"/>
  <c r="BI237" i="19"/>
  <c r="DH110" i="19"/>
  <c r="DI110" i="19"/>
  <c r="E314" i="10"/>
  <c r="H314" i="10" s="1"/>
  <c r="G314" i="10"/>
  <c r="AC315" i="10"/>
  <c r="R218" i="10"/>
  <c r="P218" i="10"/>
  <c r="S218" i="10" s="1"/>
  <c r="AC343" i="10"/>
  <c r="BP94" i="16"/>
  <c r="BQ94" i="16"/>
  <c r="BN94" i="16"/>
  <c r="AW220" i="16"/>
  <c r="BP102" i="16"/>
  <c r="AW229" i="16"/>
  <c r="BN102" i="16"/>
  <c r="BQ102" i="16" s="1"/>
  <c r="DJ94" i="16"/>
  <c r="DK94" i="16"/>
  <c r="AW136" i="19"/>
  <c r="BV149" i="19" s="1"/>
  <c r="AV136" i="19"/>
  <c r="BU149" i="19" s="1"/>
  <c r="BM245" i="10"/>
  <c r="AW226" i="10"/>
  <c r="BO245" i="10" s="1"/>
  <c r="BH157" i="19"/>
  <c r="BH165" i="19"/>
  <c r="BJ255" i="10"/>
  <c r="BI255" i="10"/>
  <c r="AX161" i="19"/>
  <c r="AC292" i="10"/>
  <c r="X293" i="10" s="1"/>
  <c r="CA257" i="10"/>
  <c r="CB257" i="10"/>
  <c r="AQ207" i="10"/>
  <c r="AS208" i="10"/>
  <c r="BS141" i="19"/>
  <c r="CF151" i="19" s="1"/>
  <c r="BR141" i="19"/>
  <c r="CE151" i="19" s="1"/>
  <c r="BG102" i="16"/>
  <c r="BH102" i="16"/>
  <c r="AP165" i="10"/>
  <c r="AP178" i="10"/>
  <c r="AP208" i="10" s="1"/>
  <c r="AO178" i="10"/>
  <c r="AO208" i="10" s="1"/>
  <c r="AO161" i="10"/>
  <c r="AP161" i="10"/>
  <c r="CC254" i="19"/>
  <c r="CC253" i="19" s="1"/>
  <c r="CD254" i="19"/>
  <c r="CD253" i="19" s="1"/>
  <c r="BF258" i="10"/>
  <c r="BE258" i="10"/>
  <c r="AV178" i="10"/>
  <c r="BU161" i="19"/>
  <c r="BV178" i="19"/>
  <c r="BU178" i="19"/>
  <c r="AX161" i="10"/>
  <c r="M262" i="8"/>
  <c r="GJ55" i="14"/>
  <c r="GK55" i="14" s="1"/>
  <c r="GL55" i="14" s="1"/>
  <c r="K267" i="8"/>
  <c r="K271" i="8" s="1"/>
  <c r="K272" i="8" s="1"/>
  <c r="J267" i="8"/>
  <c r="J271" i="8" s="1"/>
  <c r="J272" i="8" s="1"/>
  <c r="B242" i="8"/>
  <c r="Q232" i="8" s="1"/>
  <c r="J9" i="3"/>
  <c r="J8" i="3"/>
  <c r="M74" i="8"/>
  <c r="M98" i="8"/>
  <c r="M9" i="8"/>
  <c r="M16" i="8"/>
  <c r="M186" i="8"/>
  <c r="M233" i="8"/>
  <c r="M189" i="8"/>
  <c r="K203" i="8"/>
  <c r="K205" i="8" s="1"/>
  <c r="K206" i="8" s="1"/>
  <c r="J203" i="8"/>
  <c r="J205" i="8" s="1"/>
  <c r="J206" i="8" s="1"/>
  <c r="M162" i="8"/>
  <c r="G4" i="3"/>
  <c r="G5" i="3" s="1"/>
  <c r="G10" i="2"/>
  <c r="BN18" i="14"/>
  <c r="Q4" i="18"/>
  <c r="R4" i="18" s="1"/>
  <c r="BN37" i="14"/>
  <c r="BN19" i="14"/>
  <c r="BN23" i="14"/>
  <c r="BN22" i="14"/>
  <c r="BN21" i="14"/>
  <c r="BN36" i="14"/>
  <c r="BN35" i="14"/>
  <c r="BN20" i="14"/>
  <c r="BN40" i="14"/>
  <c r="BN39" i="14"/>
  <c r="BN38" i="14"/>
  <c r="BN41" i="14"/>
  <c r="CN34" i="14"/>
  <c r="BN33" i="14"/>
  <c r="CN39" i="14"/>
  <c r="CN40" i="14"/>
  <c r="CN19" i="14"/>
  <c r="CN38" i="14"/>
  <c r="BN34" i="14"/>
  <c r="CN33" i="14"/>
  <c r="CN28" i="14"/>
  <c r="BO29" i="14"/>
  <c r="Q18" i="18" s="1"/>
  <c r="CN22" i="14"/>
  <c r="BN27" i="14"/>
  <c r="BN25" i="14"/>
  <c r="BN28" i="14"/>
  <c r="CN18" i="14"/>
  <c r="CN27" i="14"/>
  <c r="CN25" i="14"/>
  <c r="CN41" i="14"/>
  <c r="CN23" i="14"/>
  <c r="BN24" i="14"/>
  <c r="CN21" i="14"/>
  <c r="CN20" i="14"/>
  <c r="BN31" i="14"/>
  <c r="CN37" i="14"/>
  <c r="CN30" i="14"/>
  <c r="CN29" i="14"/>
  <c r="CN32" i="14"/>
  <c r="CN24" i="14"/>
  <c r="CN26" i="14"/>
  <c r="BN29" i="14"/>
  <c r="CN35" i="14"/>
  <c r="BN26" i="14"/>
  <c r="BN32" i="14"/>
  <c r="CN31" i="14"/>
  <c r="BN30" i="14"/>
  <c r="CN36" i="14"/>
  <c r="KP18" i="14"/>
  <c r="KP19" i="14"/>
  <c r="BI4" i="18"/>
  <c r="BJ4" i="18" s="1"/>
  <c r="KP20" i="14"/>
  <c r="KP22" i="14"/>
  <c r="KP37" i="14"/>
  <c r="KP36" i="14"/>
  <c r="KP41" i="14"/>
  <c r="KP38" i="14"/>
  <c r="KP39" i="14"/>
  <c r="KP21" i="14"/>
  <c r="KP40" i="14"/>
  <c r="LP18" i="14"/>
  <c r="KP23" i="14"/>
  <c r="KP30" i="14"/>
  <c r="KP28" i="14"/>
  <c r="KP26" i="14"/>
  <c r="LP28" i="14"/>
  <c r="KP31" i="14"/>
  <c r="LP41" i="14"/>
  <c r="LP38" i="14"/>
  <c r="LP19" i="14"/>
  <c r="LP31" i="14"/>
  <c r="KP27" i="14"/>
  <c r="LP33" i="14"/>
  <c r="LP32" i="14"/>
  <c r="LP36" i="14"/>
  <c r="LP21" i="14"/>
  <c r="LP22" i="14"/>
  <c r="LP29" i="14"/>
  <c r="KP35" i="14"/>
  <c r="LP25" i="14"/>
  <c r="LP26" i="14"/>
  <c r="KP33" i="14"/>
  <c r="LP39" i="14"/>
  <c r="LP20" i="14"/>
  <c r="KP24" i="14"/>
  <c r="LP24" i="14"/>
  <c r="LP35" i="14"/>
  <c r="LP37" i="14"/>
  <c r="LP34" i="14"/>
  <c r="LP27" i="14"/>
  <c r="KP32" i="14"/>
  <c r="LP40" i="14"/>
  <c r="KP25" i="14"/>
  <c r="LP23" i="14"/>
  <c r="LP30" i="14"/>
  <c r="KQ29" i="14"/>
  <c r="BI18" i="18" s="1"/>
  <c r="KP34" i="14"/>
  <c r="KP29" i="14"/>
  <c r="E251" i="19"/>
  <c r="H251" i="19" s="1"/>
  <c r="G251" i="19"/>
  <c r="M123" i="8"/>
  <c r="M126" i="8"/>
  <c r="E253" i="19"/>
  <c r="H253" i="19" s="1"/>
  <c r="G253" i="19"/>
  <c r="AI49" i="19"/>
  <c r="AH49" i="19"/>
  <c r="AL330" i="19"/>
  <c r="AK330" i="19"/>
  <c r="AH53" i="19"/>
  <c r="AI53" i="19"/>
  <c r="AC300" i="19" s="1"/>
  <c r="P252" i="19"/>
  <c r="S252" i="19" s="1"/>
  <c r="R252" i="19"/>
  <c r="R236" i="19"/>
  <c r="P236" i="19"/>
  <c r="S236" i="19" s="1"/>
  <c r="R241" i="19"/>
  <c r="P241" i="19"/>
  <c r="S241" i="19" s="1"/>
  <c r="G234" i="19"/>
  <c r="E234" i="19"/>
  <c r="H234" i="19" s="1"/>
  <c r="G332" i="19"/>
  <c r="E332" i="19"/>
  <c r="H332" i="19" s="1"/>
  <c r="E329" i="19"/>
  <c r="H329" i="19" s="1"/>
  <c r="G329" i="19"/>
  <c r="P317" i="19"/>
  <c r="S317" i="19" s="1"/>
  <c r="R317" i="19"/>
  <c r="G300" i="19"/>
  <c r="E300" i="19"/>
  <c r="H300" i="19" s="1"/>
  <c r="P292" i="19"/>
  <c r="S292" i="19" s="1"/>
  <c r="R292" i="19"/>
  <c r="R290" i="19"/>
  <c r="P290" i="19"/>
  <c r="S290" i="19" s="1"/>
  <c r="R196" i="19"/>
  <c r="P196" i="19"/>
  <c r="S196" i="19" s="1"/>
  <c r="E194" i="19"/>
  <c r="H194" i="19" s="1"/>
  <c r="G194" i="19"/>
  <c r="J35" i="8"/>
  <c r="J37" i="8" s="1"/>
  <c r="J38" i="8" s="1"/>
  <c r="K35" i="8"/>
  <c r="K37" i="8" s="1"/>
  <c r="K38" i="8" s="1"/>
  <c r="E192" i="19"/>
  <c r="H192" i="19" s="1"/>
  <c r="G192" i="19"/>
  <c r="AH328" i="19"/>
  <c r="G350" i="19"/>
  <c r="E350" i="19"/>
  <c r="H350" i="19" s="1"/>
  <c r="I219" i="19"/>
  <c r="J219" i="19"/>
  <c r="AI184" i="19"/>
  <c r="AF242" i="19" s="1"/>
  <c r="AE242" i="19" s="1"/>
  <c r="AL315" i="16"/>
  <c r="AK315" i="16"/>
  <c r="AG323" i="16"/>
  <c r="AH323" i="16"/>
  <c r="R270" i="19"/>
  <c r="P270" i="19"/>
  <c r="S270" i="19" s="1"/>
  <c r="G257" i="16"/>
  <c r="E257" i="16"/>
  <c r="H257" i="16" s="1"/>
  <c r="R301" i="16"/>
  <c r="P301" i="16"/>
  <c r="S301" i="16" s="1"/>
  <c r="P338" i="16"/>
  <c r="S338" i="16" s="1"/>
  <c r="R338" i="16"/>
  <c r="G191" i="16"/>
  <c r="E191" i="16"/>
  <c r="H191" i="16" s="1"/>
  <c r="G316" i="16"/>
  <c r="E316" i="16"/>
  <c r="H316" i="16" s="1"/>
  <c r="E231" i="16"/>
  <c r="H231" i="16" s="1"/>
  <c r="G231" i="16"/>
  <c r="AG217" i="16"/>
  <c r="AE217" i="16"/>
  <c r="AH217" i="16" s="1"/>
  <c r="G358" i="10"/>
  <c r="E358" i="10"/>
  <c r="H358" i="10" s="1"/>
  <c r="T193" i="16"/>
  <c r="AG233" i="16"/>
  <c r="AE233" i="16"/>
  <c r="AH233" i="16"/>
  <c r="AE190" i="16"/>
  <c r="AH190" i="16" s="1"/>
  <c r="AG190" i="16"/>
  <c r="AE211" i="16"/>
  <c r="AH211" i="16" s="1"/>
  <c r="AG211" i="16"/>
  <c r="AC326" i="16"/>
  <c r="AC359" i="10"/>
  <c r="T210" i="19"/>
  <c r="U210" i="19"/>
  <c r="AC367" i="10"/>
  <c r="AC325" i="16"/>
  <c r="AC358" i="10"/>
  <c r="AG236" i="10"/>
  <c r="AE236" i="10"/>
  <c r="AH236" i="10"/>
  <c r="AZ219" i="16"/>
  <c r="BY93" i="16"/>
  <c r="CB93" i="16" s="1"/>
  <c r="CA93" i="16"/>
  <c r="CA100" i="16"/>
  <c r="AZ227" i="16"/>
  <c r="BY100" i="16"/>
  <c r="CB100" i="16"/>
  <c r="G254" i="10"/>
  <c r="E254" i="10"/>
  <c r="H254" i="10" s="1"/>
  <c r="R239" i="10"/>
  <c r="P239" i="10"/>
  <c r="S239" i="10" s="1"/>
  <c r="E190" i="10"/>
  <c r="H190" i="10" s="1"/>
  <c r="G190" i="10"/>
  <c r="AE232" i="10"/>
  <c r="AH232" i="10"/>
  <c r="AG232" i="10"/>
  <c r="I211" i="10"/>
  <c r="AJ191" i="16"/>
  <c r="AH249" i="16" s="1"/>
  <c r="AI191" i="16"/>
  <c r="AF249" i="16" s="1"/>
  <c r="AE249" i="16" s="1"/>
  <c r="AC378" i="10"/>
  <c r="J210" i="10"/>
  <c r="AC300" i="16"/>
  <c r="P213" i="16"/>
  <c r="S213" i="16" s="1"/>
  <c r="R213" i="16"/>
  <c r="R358" i="10"/>
  <c r="P358" i="10"/>
  <c r="S358" i="10" s="1"/>
  <c r="AL329" i="10"/>
  <c r="AK329" i="10"/>
  <c r="AL319" i="10"/>
  <c r="AK319" i="10"/>
  <c r="AG322" i="10"/>
  <c r="AH322" i="10"/>
  <c r="DF97" i="10"/>
  <c r="DI97" i="10" s="1"/>
  <c r="DH97" i="10"/>
  <c r="BI223" i="10"/>
  <c r="R190" i="16"/>
  <c r="P190" i="16"/>
  <c r="S190" i="16" s="1"/>
  <c r="AE209" i="16"/>
  <c r="AH209" i="16" s="1"/>
  <c r="AG209" i="16"/>
  <c r="T361" i="10"/>
  <c r="U361" i="10"/>
  <c r="R329" i="10"/>
  <c r="P329" i="10"/>
  <c r="S329" i="10" s="1"/>
  <c r="AC302" i="10"/>
  <c r="G234" i="10"/>
  <c r="E234" i="10"/>
  <c r="H234" i="10" s="1"/>
  <c r="DH126" i="16"/>
  <c r="DF126" i="16"/>
  <c r="DI126" i="16" s="1"/>
  <c r="DF120" i="16"/>
  <c r="DI120" i="16" s="1"/>
  <c r="DH120" i="16"/>
  <c r="AC355" i="10"/>
  <c r="R239" i="16"/>
  <c r="P239" i="16"/>
  <c r="S239" i="16" s="1"/>
  <c r="AC380" i="10"/>
  <c r="R277" i="10"/>
  <c r="P277" i="10"/>
  <c r="S277" i="10" s="1"/>
  <c r="R254" i="10"/>
  <c r="P254" i="10"/>
  <c r="S254" i="10" s="1"/>
  <c r="CY128" i="10"/>
  <c r="BE154" i="10" s="1"/>
  <c r="CZ128" i="10"/>
  <c r="BF154" i="10" s="1"/>
  <c r="AC316" i="10"/>
  <c r="AA541" i="10"/>
  <c r="AB540" i="10"/>
  <c r="AC540" i="10" s="1"/>
  <c r="BC93" i="10"/>
  <c r="BF93" i="10"/>
  <c r="BE93" i="10"/>
  <c r="AT219" i="10"/>
  <c r="BE127" i="10"/>
  <c r="BC127" i="10"/>
  <c r="BF127" i="10" s="1"/>
  <c r="AR94" i="10"/>
  <c r="AU94" i="10" s="1"/>
  <c r="AQ220" i="10"/>
  <c r="AT94" i="10"/>
  <c r="AR102" i="10"/>
  <c r="AT102" i="10"/>
  <c r="AU102" i="10"/>
  <c r="AQ229" i="10"/>
  <c r="G289" i="16"/>
  <c r="E289" i="16"/>
  <c r="H289" i="16" s="1"/>
  <c r="E293" i="16"/>
  <c r="H293" i="16" s="1"/>
  <c r="G293" i="16"/>
  <c r="R261" i="16"/>
  <c r="P261" i="16"/>
  <c r="S261" i="16" s="1"/>
  <c r="BP143" i="19"/>
  <c r="BN143" i="19"/>
  <c r="BQ143" i="19" s="1"/>
  <c r="BQ110" i="19"/>
  <c r="BN110" i="19"/>
  <c r="BP110" i="19"/>
  <c r="AW237" i="19"/>
  <c r="BN105" i="19"/>
  <c r="BQ105" i="19"/>
  <c r="AW232" i="19"/>
  <c r="BP105" i="19"/>
  <c r="CJ104" i="16"/>
  <c r="CM104" i="16" s="1"/>
  <c r="CL104" i="16"/>
  <c r="BC231" i="16"/>
  <c r="CL135" i="16"/>
  <c r="CJ135" i="16"/>
  <c r="CM135" i="16" s="1"/>
  <c r="CJ129" i="16"/>
  <c r="CM129" i="16" s="1"/>
  <c r="CL129" i="16"/>
  <c r="CL143" i="16"/>
  <c r="CJ143" i="16"/>
  <c r="CM143" i="16" s="1"/>
  <c r="AH37" i="14"/>
  <c r="AC349" i="10"/>
  <c r="DH122" i="19"/>
  <c r="DF122" i="19"/>
  <c r="DI122" i="19" s="1"/>
  <c r="DF111" i="19"/>
  <c r="DH111" i="19"/>
  <c r="DI111" i="19"/>
  <c r="DF88" i="19"/>
  <c r="DH88" i="19"/>
  <c r="BI214" i="19"/>
  <c r="DI88" i="19"/>
  <c r="BI221" i="19"/>
  <c r="DH95" i="19"/>
  <c r="DF95" i="19"/>
  <c r="DI95" i="19" s="1"/>
  <c r="DF138" i="19"/>
  <c r="DI138" i="19" s="1"/>
  <c r="DH138" i="19"/>
  <c r="AD190" i="10"/>
  <c r="AC191" i="10"/>
  <c r="BJ157" i="16"/>
  <c r="BJ165" i="16"/>
  <c r="G310" i="10"/>
  <c r="E310" i="10"/>
  <c r="H310" i="10" s="1"/>
  <c r="E272" i="10"/>
  <c r="H272" i="10" s="1"/>
  <c r="G272" i="10"/>
  <c r="G281" i="10"/>
  <c r="E281" i="10"/>
  <c r="H281" i="10" s="1"/>
  <c r="C523" i="10"/>
  <c r="D522" i="10"/>
  <c r="E522" i="10" s="1"/>
  <c r="BJ160" i="19"/>
  <c r="BJ168" i="19"/>
  <c r="R214" i="10"/>
  <c r="P214" i="10"/>
  <c r="S214" i="10" s="1"/>
  <c r="BL167" i="10"/>
  <c r="BL159" i="10"/>
  <c r="BN134" i="16"/>
  <c r="BQ134" i="16" s="1"/>
  <c r="BP134" i="16"/>
  <c r="AW225" i="16"/>
  <c r="BP99" i="16"/>
  <c r="BQ99" i="16"/>
  <c r="BN128" i="16"/>
  <c r="BQ128" i="16" s="1"/>
  <c r="BP128" i="16"/>
  <c r="BP132" i="16"/>
  <c r="BN132" i="16"/>
  <c r="BQ132" i="16" s="1"/>
  <c r="BQ112" i="16"/>
  <c r="BP112" i="16"/>
  <c r="BN112" i="16"/>
  <c r="BN109" i="16"/>
  <c r="BP109" i="16"/>
  <c r="BQ109" i="16"/>
  <c r="AW236" i="16"/>
  <c r="BH101" i="16"/>
  <c r="BG101" i="16"/>
  <c r="BH169" i="10"/>
  <c r="BH161" i="10"/>
  <c r="CC164" i="19"/>
  <c r="CD164" i="19"/>
  <c r="AV122" i="16"/>
  <c r="AS149" i="16" s="1"/>
  <c r="AW122" i="16"/>
  <c r="AT149" i="16" s="1"/>
  <c r="BN168" i="10"/>
  <c r="BN160" i="10"/>
  <c r="AW164" i="10"/>
  <c r="AX164" i="10"/>
  <c r="AX217" i="10"/>
  <c r="AX245" i="10" s="1"/>
  <c r="AW245" i="10"/>
  <c r="AR229" i="16"/>
  <c r="BV243" i="16" s="1"/>
  <c r="BU243" i="16"/>
  <c r="BP167" i="19"/>
  <c r="BP159" i="19"/>
  <c r="BL160" i="19"/>
  <c r="BL168" i="19"/>
  <c r="BL167" i="19"/>
  <c r="AW258" i="19"/>
  <c r="AW257" i="19" s="1"/>
  <c r="AW256" i="19" s="1"/>
  <c r="AX258" i="19"/>
  <c r="AX257" i="19" s="1"/>
  <c r="AX256" i="19" s="1"/>
  <c r="BR169" i="10"/>
  <c r="BR161" i="10"/>
  <c r="BX162" i="16"/>
  <c r="BW162" i="16"/>
  <c r="BX170" i="16"/>
  <c r="BM162" i="16"/>
  <c r="BN162" i="16"/>
  <c r="BN170" i="16"/>
  <c r="CJ165" i="10"/>
  <c r="CJ157" i="10"/>
  <c r="CH162" i="16"/>
  <c r="CG162" i="16"/>
  <c r="AC305" i="10"/>
  <c r="BA235" i="16"/>
  <c r="CH246" i="16" s="1"/>
  <c r="CG246" i="16"/>
  <c r="CD101" i="16"/>
  <c r="CC101" i="16"/>
  <c r="BZ159" i="19"/>
  <c r="BZ175" i="19" s="1"/>
  <c r="CA246" i="19"/>
  <c r="BA232" i="19"/>
  <c r="CB246" i="19" s="1"/>
  <c r="BB161" i="19"/>
  <c r="BB169" i="19"/>
  <c r="DJ112" i="19"/>
  <c r="DK112" i="19"/>
  <c r="BH99" i="10"/>
  <c r="BG99" i="10"/>
  <c r="BR160" i="10"/>
  <c r="BR168" i="10"/>
  <c r="CJ166" i="10"/>
  <c r="CJ158" i="10"/>
  <c r="CI164" i="10"/>
  <c r="CI165" i="10" s="1"/>
  <c r="CI166" i="10" s="1"/>
  <c r="CI167" i="10" s="1"/>
  <c r="CI168" i="10" s="1"/>
  <c r="CI169" i="10" s="1"/>
  <c r="CJ164" i="10"/>
  <c r="BN165" i="16"/>
  <c r="BN157" i="16"/>
  <c r="AS162" i="16"/>
  <c r="AT161" i="16" s="1"/>
  <c r="AT162" i="16"/>
  <c r="BN169" i="10"/>
  <c r="BN161" i="10"/>
  <c r="BG140" i="19"/>
  <c r="CC150" i="19" s="1"/>
  <c r="BH140" i="19"/>
  <c r="CD150" i="19" s="1"/>
  <c r="BG110" i="19"/>
  <c r="BH110" i="19"/>
  <c r="CA160" i="10"/>
  <c r="CB177" i="10"/>
  <c r="CA177" i="10"/>
  <c r="AW134" i="16"/>
  <c r="BR149" i="16" s="1"/>
  <c r="AV134" i="16"/>
  <c r="BQ149" i="16" s="1"/>
  <c r="BH89" i="16"/>
  <c r="BG89" i="16"/>
  <c r="CH162" i="19"/>
  <c r="CG162" i="19"/>
  <c r="AR161" i="19"/>
  <c r="AU178" i="16"/>
  <c r="AU161" i="16"/>
  <c r="AV178" i="16"/>
  <c r="CY95" i="10"/>
  <c r="BG164" i="19"/>
  <c r="BG165" i="19" s="1"/>
  <c r="BH156" i="19"/>
  <c r="BH164" i="19"/>
  <c r="BB256" i="10"/>
  <c r="BA256" i="10"/>
  <c r="CY130" i="16"/>
  <c r="BI154" i="16" s="1"/>
  <c r="CZ130" i="16"/>
  <c r="BJ154" i="16" s="1"/>
  <c r="AV161" i="10"/>
  <c r="AU177" i="10" s="1"/>
  <c r="BX164" i="10"/>
  <c r="BW164" i="10"/>
  <c r="BX258" i="10"/>
  <c r="BW258" i="10"/>
  <c r="I501" i="10"/>
  <c r="J500" i="10"/>
  <c r="K500" i="10" s="1"/>
  <c r="M323" i="8"/>
  <c r="K315" i="8"/>
  <c r="K317" i="8" s="1"/>
  <c r="K318" i="8" s="1"/>
  <c r="J315" i="8"/>
  <c r="J317" i="8" s="1"/>
  <c r="J318" i="8" s="1"/>
  <c r="M237" i="8"/>
  <c r="M152" i="8"/>
  <c r="E26" i="18"/>
  <c r="W37" i="14"/>
  <c r="C25" i="22" s="1"/>
  <c r="AR37" i="14"/>
  <c r="C56" i="23" s="1"/>
  <c r="AC37" i="14"/>
  <c r="H37" i="14"/>
  <c r="F26" i="18" s="1"/>
  <c r="BE37" i="14"/>
  <c r="BA37" i="14"/>
  <c r="I37" i="14"/>
  <c r="AI37" i="14" s="1"/>
  <c r="L37" i="14"/>
  <c r="M37" i="14" s="1"/>
  <c r="AH330" i="19"/>
  <c r="AG330" i="19"/>
  <c r="AH236" i="19"/>
  <c r="AG236" i="19"/>
  <c r="AE236" i="19"/>
  <c r="P218" i="19"/>
  <c r="S218" i="19" s="1"/>
  <c r="R218" i="19"/>
  <c r="P321" i="19"/>
  <c r="S321" i="19" s="1"/>
  <c r="R321" i="19"/>
  <c r="G351" i="19"/>
  <c r="E351" i="19"/>
  <c r="H351" i="19" s="1"/>
  <c r="AC371" i="19"/>
  <c r="G196" i="16"/>
  <c r="E196" i="16"/>
  <c r="H196" i="16" s="1"/>
  <c r="G241" i="16"/>
  <c r="E241" i="16"/>
  <c r="H241" i="16" s="1"/>
  <c r="I195" i="16"/>
  <c r="R321" i="10"/>
  <c r="P321" i="10"/>
  <c r="S321" i="10" s="1"/>
  <c r="BY125" i="16"/>
  <c r="CB125" i="16" s="1"/>
  <c r="CA125" i="16"/>
  <c r="P237" i="10"/>
  <c r="S237" i="10" s="1"/>
  <c r="R237" i="10"/>
  <c r="AC309" i="19"/>
  <c r="AH320" i="10"/>
  <c r="AG320" i="10"/>
  <c r="DH98" i="10"/>
  <c r="DF98" i="10"/>
  <c r="DI98" i="10" s="1"/>
  <c r="BI224" i="10"/>
  <c r="U484" i="10"/>
  <c r="V483" i="10"/>
  <c r="W483" i="10" s="1"/>
  <c r="R209" i="16"/>
  <c r="P209" i="16"/>
  <c r="S209" i="16" s="1"/>
  <c r="BE101" i="10"/>
  <c r="BC101" i="10"/>
  <c r="BF101" i="10" s="1"/>
  <c r="AT228" i="10"/>
  <c r="R251" i="16"/>
  <c r="P251" i="16"/>
  <c r="S251" i="16" s="1"/>
  <c r="BP122" i="19"/>
  <c r="BN122" i="19"/>
  <c r="BQ122" i="19" s="1"/>
  <c r="CM100" i="16"/>
  <c r="CL100" i="16"/>
  <c r="BC227" i="16"/>
  <c r="CJ100" i="16"/>
  <c r="CL93" i="16"/>
  <c r="CJ93" i="16"/>
  <c r="CM93" i="16"/>
  <c r="BC219" i="16"/>
  <c r="DH92" i="19"/>
  <c r="DI92" i="19"/>
  <c r="BI218" i="19"/>
  <c r="DF92" i="19"/>
  <c r="AX160" i="16"/>
  <c r="AW216" i="16"/>
  <c r="BQ90" i="16"/>
  <c r="BN90" i="16"/>
  <c r="BP90" i="16"/>
  <c r="BR131" i="16"/>
  <c r="BK151" i="16" s="1"/>
  <c r="BS131" i="16"/>
  <c r="BL151" i="16" s="1"/>
  <c r="BH93" i="16"/>
  <c r="BG93" i="16"/>
  <c r="AY258" i="19"/>
  <c r="AY257" i="19" s="1"/>
  <c r="AZ258" i="19"/>
  <c r="AZ257" i="19" s="1"/>
  <c r="J17" i="18"/>
  <c r="C51" i="13" s="1"/>
  <c r="BH135" i="19"/>
  <c r="BT150" i="19" s="1"/>
  <c r="BG135" i="19"/>
  <c r="BS150" i="19" s="1"/>
  <c r="CY90" i="10"/>
  <c r="CZ90" i="10"/>
  <c r="BF165" i="16"/>
  <c r="BF157" i="16"/>
  <c r="CE162" i="16"/>
  <c r="CF162" i="16"/>
  <c r="BS134" i="19"/>
  <c r="BR151" i="19" s="1"/>
  <c r="BR134" i="19"/>
  <c r="BQ151" i="19" s="1"/>
  <c r="BP169" i="10"/>
  <c r="BP161" i="10"/>
  <c r="BP177" i="10" s="1"/>
  <c r="BW162" i="10"/>
  <c r="BX170" i="10"/>
  <c r="BX162" i="10"/>
  <c r="M317" i="8"/>
  <c r="M11" i="8"/>
  <c r="M240" i="8"/>
  <c r="M183" i="8"/>
  <c r="BN49" i="14"/>
  <c r="BN53" i="14"/>
  <c r="BN52" i="14"/>
  <c r="Q36" i="18"/>
  <c r="R36" i="18" s="1"/>
  <c r="BN67" i="14"/>
  <c r="BN69" i="14"/>
  <c r="BN51" i="14"/>
  <c r="BN68" i="14"/>
  <c r="BN50" i="14"/>
  <c r="BN72" i="14"/>
  <c r="BN70" i="14"/>
  <c r="BN71" i="14"/>
  <c r="CN59" i="14"/>
  <c r="CN58" i="14"/>
  <c r="BO60" i="14"/>
  <c r="Q50" i="18" s="1"/>
  <c r="CN69" i="14"/>
  <c r="BN65" i="14"/>
  <c r="CN51" i="14"/>
  <c r="BN64" i="14"/>
  <c r="BN62" i="14"/>
  <c r="BN60" i="14"/>
  <c r="CN53" i="14"/>
  <c r="CN52" i="14"/>
  <c r="CN68" i="14"/>
  <c r="CN60" i="14"/>
  <c r="BN61" i="14"/>
  <c r="CN61" i="14"/>
  <c r="BN58" i="14"/>
  <c r="BO72" i="14"/>
  <c r="Q62" i="18" s="1"/>
  <c r="BN56" i="14"/>
  <c r="CN64" i="14"/>
  <c r="CN50" i="14"/>
  <c r="CN65" i="14"/>
  <c r="CN70" i="14"/>
  <c r="CN49" i="14"/>
  <c r="BN57" i="14"/>
  <c r="BN54" i="14"/>
  <c r="CN67" i="14"/>
  <c r="CN54" i="14"/>
  <c r="CN55" i="14"/>
  <c r="CN66" i="14"/>
  <c r="BN63" i="14"/>
  <c r="CN71" i="14"/>
  <c r="CN72" i="14"/>
  <c r="BN55" i="14"/>
  <c r="CN56" i="14"/>
  <c r="CN62" i="14"/>
  <c r="BN66" i="14"/>
  <c r="CN63" i="14"/>
  <c r="CN57" i="14"/>
  <c r="BN59" i="14"/>
  <c r="G292" i="19"/>
  <c r="E292" i="19"/>
  <c r="H292" i="19" s="1"/>
  <c r="AL329" i="16"/>
  <c r="AK329" i="16"/>
  <c r="E261" i="16"/>
  <c r="H261" i="16" s="1"/>
  <c r="G261" i="16"/>
  <c r="E197" i="16"/>
  <c r="H197" i="16" s="1"/>
  <c r="G197" i="16"/>
  <c r="E232" i="16"/>
  <c r="H232" i="16" s="1"/>
  <c r="G232" i="16"/>
  <c r="G357" i="10"/>
  <c r="E357" i="10"/>
  <c r="H357" i="10" s="1"/>
  <c r="AE201" i="16"/>
  <c r="AH201" i="16" s="1"/>
  <c r="AG201" i="16"/>
  <c r="AE199" i="16"/>
  <c r="AH199" i="16" s="1"/>
  <c r="AG199" i="16"/>
  <c r="R357" i="10"/>
  <c r="P357" i="10"/>
  <c r="S357" i="10" s="1"/>
  <c r="AH331" i="10"/>
  <c r="AG331" i="10"/>
  <c r="R234" i="16"/>
  <c r="P234" i="16"/>
  <c r="S234" i="16" s="1"/>
  <c r="P259" i="10"/>
  <c r="S259" i="10" s="1"/>
  <c r="R259" i="10"/>
  <c r="BE126" i="10"/>
  <c r="BC126" i="10"/>
  <c r="BF126" i="10" s="1"/>
  <c r="R258" i="16"/>
  <c r="P258" i="16"/>
  <c r="S258" i="16" s="1"/>
  <c r="BC232" i="16"/>
  <c r="CJ105" i="16"/>
  <c r="CM105" i="16"/>
  <c r="CL105" i="16"/>
  <c r="CL139" i="16"/>
  <c r="CJ139" i="16"/>
  <c r="CM139" i="16" s="1"/>
  <c r="BI231" i="19"/>
  <c r="DF104" i="19"/>
  <c r="DI104" i="19" s="1"/>
  <c r="DH104" i="19"/>
  <c r="R213" i="10"/>
  <c r="P213" i="10"/>
  <c r="S213" i="10" s="1"/>
  <c r="R287" i="8"/>
  <c r="Q287" i="8"/>
  <c r="BN141" i="16"/>
  <c r="BQ141" i="16" s="1"/>
  <c r="BP141" i="16"/>
  <c r="AX229" i="10"/>
  <c r="BV245" i="10" s="1"/>
  <c r="BU245" i="10"/>
  <c r="BR255" i="16"/>
  <c r="BQ255" i="16"/>
  <c r="BC162" i="16"/>
  <c r="BD162" i="16"/>
  <c r="BD170" i="16"/>
  <c r="I200" i="10"/>
  <c r="BQ164" i="16"/>
  <c r="CH165" i="19"/>
  <c r="CH166" i="19" s="1"/>
  <c r="CH167" i="19" s="1"/>
  <c r="CH168" i="19" s="1"/>
  <c r="CH169" i="19" s="1"/>
  <c r="AV161" i="19"/>
  <c r="AZ178" i="16"/>
  <c r="AX207" i="16" s="1"/>
  <c r="AY178" i="16"/>
  <c r="AW207" i="16" s="1"/>
  <c r="M291" i="8"/>
  <c r="M245" i="8"/>
  <c r="E32" i="2"/>
  <c r="N98" i="8" s="1"/>
  <c r="P98" i="8" s="1"/>
  <c r="M129" i="8"/>
  <c r="AL315" i="19"/>
  <c r="AK315" i="19"/>
  <c r="AG327" i="19"/>
  <c r="AH327" i="19"/>
  <c r="AC336" i="19"/>
  <c r="AG179" i="19"/>
  <c r="AH179" i="19"/>
  <c r="AE179" i="19"/>
  <c r="AC325" i="19"/>
  <c r="AC368" i="19"/>
  <c r="E340" i="19"/>
  <c r="H340" i="19" s="1"/>
  <c r="G340" i="19"/>
  <c r="R296" i="19"/>
  <c r="P296" i="19"/>
  <c r="S296" i="19" s="1"/>
  <c r="P273" i="19"/>
  <c r="S273" i="19" s="1"/>
  <c r="R273" i="19"/>
  <c r="E320" i="16"/>
  <c r="H320" i="16" s="1"/>
  <c r="G320" i="16"/>
  <c r="AG194" i="16"/>
  <c r="AE194" i="16"/>
  <c r="AH194" i="16" s="1"/>
  <c r="AE212" i="16"/>
  <c r="AH212" i="16" s="1"/>
  <c r="AG212" i="16"/>
  <c r="AE215" i="16"/>
  <c r="AH215" i="16" s="1"/>
  <c r="AG215" i="16"/>
  <c r="AZ237" i="16"/>
  <c r="BY110" i="16"/>
  <c r="CB110" i="16"/>
  <c r="CA110" i="16"/>
  <c r="R337" i="10"/>
  <c r="P337" i="10"/>
  <c r="S337" i="10" s="1"/>
  <c r="G236" i="10"/>
  <c r="E236" i="10"/>
  <c r="H236" i="10" s="1"/>
  <c r="DF133" i="16"/>
  <c r="DI133" i="16" s="1"/>
  <c r="DH133" i="16"/>
  <c r="R229" i="16"/>
  <c r="P229" i="16"/>
  <c r="S229" i="16" s="1"/>
  <c r="BE124" i="10"/>
  <c r="BC124" i="10"/>
  <c r="BF124" i="10" s="1"/>
  <c r="AT121" i="10"/>
  <c r="AR121" i="10"/>
  <c r="AU121" i="10" s="1"/>
  <c r="AR92" i="10"/>
  <c r="AU92" i="10"/>
  <c r="AQ218" i="10"/>
  <c r="AT92" i="10"/>
  <c r="G290" i="16"/>
  <c r="E290" i="16"/>
  <c r="H290" i="16" s="1"/>
  <c r="M264" i="8"/>
  <c r="GJ57" i="14"/>
  <c r="GK57" i="14" s="1"/>
  <c r="GL57" i="14" s="1"/>
  <c r="M4" i="3"/>
  <c r="M5" i="3" s="1"/>
  <c r="M10" i="2"/>
  <c r="K71" i="8"/>
  <c r="K75" i="8" s="1"/>
  <c r="K76" i="8" s="1"/>
  <c r="J71" i="8"/>
  <c r="J75" i="8" s="1"/>
  <c r="J76" i="8" s="1"/>
  <c r="M20" i="8"/>
  <c r="M179" i="8"/>
  <c r="M157" i="8"/>
  <c r="AM4" i="18"/>
  <c r="AN4" i="18" s="1"/>
  <c r="GB37" i="14"/>
  <c r="GB21" i="14"/>
  <c r="GB22" i="14"/>
  <c r="GB20" i="14"/>
  <c r="GB36" i="14"/>
  <c r="GB18" i="14"/>
  <c r="GB41" i="14"/>
  <c r="GB40" i="14"/>
  <c r="GB39" i="14"/>
  <c r="GB38" i="14"/>
  <c r="GB19" i="14"/>
  <c r="HB40" i="14"/>
  <c r="HB23" i="14"/>
  <c r="HB31" i="14"/>
  <c r="HB22" i="14"/>
  <c r="GB27" i="14"/>
  <c r="HB19" i="14"/>
  <c r="HB26" i="14"/>
  <c r="HB28" i="14"/>
  <c r="GB26" i="14"/>
  <c r="GB24" i="14"/>
  <c r="HB35" i="14"/>
  <c r="HB27" i="14"/>
  <c r="HB38" i="14"/>
  <c r="HB21" i="14"/>
  <c r="GC29" i="14"/>
  <c r="AM18" i="18" s="1"/>
  <c r="HB29" i="14"/>
  <c r="HB32" i="14"/>
  <c r="HB36" i="14"/>
  <c r="GB33" i="14"/>
  <c r="GB29" i="14"/>
  <c r="HB37" i="14"/>
  <c r="HB39" i="14"/>
  <c r="GB28" i="14"/>
  <c r="HB34" i="14"/>
  <c r="GB30" i="14"/>
  <c r="GB35" i="14"/>
  <c r="GB34" i="14"/>
  <c r="HB41" i="14"/>
  <c r="HB30" i="14"/>
  <c r="HB18" i="14"/>
  <c r="HB24" i="14"/>
  <c r="HB33" i="14"/>
  <c r="HB25" i="14"/>
  <c r="GB32" i="14"/>
  <c r="HB20" i="14"/>
  <c r="GB31" i="14"/>
  <c r="GB23" i="14"/>
  <c r="GB25" i="14"/>
  <c r="E24" i="18"/>
  <c r="W35" i="14"/>
  <c r="C23" i="22" s="1"/>
  <c r="L35" i="14"/>
  <c r="M35" i="14" s="1"/>
  <c r="H35" i="14"/>
  <c r="F24" i="18" s="1"/>
  <c r="AC35" i="14"/>
  <c r="BE35" i="14"/>
  <c r="BA35" i="14"/>
  <c r="I35" i="14"/>
  <c r="AR35" i="14"/>
  <c r="C54" i="23" s="1"/>
  <c r="C93" i="13"/>
  <c r="X41" i="14"/>
  <c r="AL325" i="19"/>
  <c r="AK325" i="19"/>
  <c r="AG329" i="19"/>
  <c r="AH329" i="19"/>
  <c r="R234" i="19"/>
  <c r="P234" i="19"/>
  <c r="S234" i="19" s="1"/>
  <c r="C82" i="22"/>
  <c r="J36" i="14"/>
  <c r="K36" i="14" s="1"/>
  <c r="R36" i="14" s="1"/>
  <c r="G298" i="19"/>
  <c r="E298" i="19"/>
  <c r="H298" i="19" s="1"/>
  <c r="P190" i="19"/>
  <c r="S190" i="19" s="1"/>
  <c r="R190" i="19"/>
  <c r="P279" i="19"/>
  <c r="S279" i="19" s="1"/>
  <c r="R279" i="19"/>
  <c r="R339" i="16"/>
  <c r="P339" i="16"/>
  <c r="S339" i="16" s="1"/>
  <c r="G236" i="16"/>
  <c r="E236" i="16"/>
  <c r="H236" i="16" s="1"/>
  <c r="AE213" i="16"/>
  <c r="AH213" i="16" s="1"/>
  <c r="AG213" i="16"/>
  <c r="AE214" i="16"/>
  <c r="AH214" i="16" s="1"/>
  <c r="AG214" i="16"/>
  <c r="AE205" i="16"/>
  <c r="AH205" i="16" s="1"/>
  <c r="AG205" i="16"/>
  <c r="CB90" i="16"/>
  <c r="CA90" i="16"/>
  <c r="AZ216" i="16"/>
  <c r="BY90" i="16"/>
  <c r="E189" i="10"/>
  <c r="H189" i="10" s="1"/>
  <c r="G189" i="10"/>
  <c r="P199" i="16"/>
  <c r="S199" i="16" s="1"/>
  <c r="R199" i="16"/>
  <c r="R332" i="10"/>
  <c r="P332" i="10"/>
  <c r="S332" i="10" s="1"/>
  <c r="DH138" i="16"/>
  <c r="DF138" i="16"/>
  <c r="DI138" i="16" s="1"/>
  <c r="DJ129" i="16"/>
  <c r="BG148" i="16" s="1"/>
  <c r="DK129" i="16"/>
  <c r="BH148" i="16" s="1"/>
  <c r="R232" i="16"/>
  <c r="P232" i="16"/>
  <c r="S232" i="16" s="1"/>
  <c r="R249" i="10"/>
  <c r="P249" i="10"/>
  <c r="S249" i="10" s="1"/>
  <c r="AC330" i="10"/>
  <c r="BF105" i="10"/>
  <c r="AT232" i="10"/>
  <c r="BE105" i="10"/>
  <c r="BC105" i="10"/>
  <c r="AR225" i="10"/>
  <c r="AU99" i="10"/>
  <c r="R260" i="16"/>
  <c r="P260" i="16"/>
  <c r="S260" i="16" s="1"/>
  <c r="R194" i="10"/>
  <c r="P194" i="10"/>
  <c r="S194" i="10" s="1"/>
  <c r="BN132" i="19"/>
  <c r="BQ132" i="19" s="1"/>
  <c r="BP132" i="19"/>
  <c r="AH27" i="14"/>
  <c r="BB27" i="14" s="1"/>
  <c r="BC27" i="14" s="1"/>
  <c r="C80" i="21" s="1"/>
  <c r="DH136" i="19"/>
  <c r="DF136" i="19"/>
  <c r="DI136" i="19" s="1"/>
  <c r="DF102" i="19"/>
  <c r="DI102" i="19"/>
  <c r="DH102" i="19"/>
  <c r="BI229" i="19"/>
  <c r="AE189" i="10"/>
  <c r="AH189" i="10" s="1"/>
  <c r="AG189" i="10"/>
  <c r="BF161" i="10"/>
  <c r="BF169" i="10"/>
  <c r="BN139" i="16"/>
  <c r="BQ139" i="16" s="1"/>
  <c r="BP139" i="16"/>
  <c r="BP142" i="16"/>
  <c r="BN142" i="16"/>
  <c r="BQ142" i="16" s="1"/>
  <c r="BH168" i="10"/>
  <c r="BH160" i="10"/>
  <c r="BS244" i="16"/>
  <c r="AU228" i="16"/>
  <c r="BT244" i="16" s="1"/>
  <c r="BP164" i="10"/>
  <c r="BO164" i="10"/>
  <c r="BO165" i="10" s="1"/>
  <c r="BP156" i="10"/>
  <c r="BH160" i="19"/>
  <c r="BH168" i="19"/>
  <c r="AI195" i="16"/>
  <c r="AF253" i="16" s="1"/>
  <c r="AE253" i="16" s="1"/>
  <c r="AJ195" i="16"/>
  <c r="AH253" i="16" s="1"/>
  <c r="AC329" i="10"/>
  <c r="BU245" i="19"/>
  <c r="AX229" i="19"/>
  <c r="BV245" i="19" s="1"/>
  <c r="AQ164" i="16"/>
  <c r="AR164" i="16"/>
  <c r="CD105" i="19"/>
  <c r="CC105" i="19"/>
  <c r="CK244" i="19"/>
  <c r="AU237" i="19"/>
  <c r="CL244" i="19" s="1"/>
  <c r="BB161" i="16"/>
  <c r="CB208" i="10"/>
  <c r="BZ207" i="10"/>
  <c r="AR178" i="19"/>
  <c r="AQ161" i="19"/>
  <c r="AQ178" i="19"/>
  <c r="I16" i="1"/>
  <c r="I22" i="1"/>
  <c r="I21" i="1"/>
  <c r="I20" i="1"/>
  <c r="I19" i="1"/>
  <c r="I24" i="1"/>
  <c r="I28" i="1"/>
  <c r="I29" i="1"/>
  <c r="I26" i="1"/>
  <c r="I15" i="1"/>
  <c r="I23" i="1"/>
  <c r="I30" i="1"/>
  <c r="I10" i="1"/>
  <c r="I12" i="1"/>
  <c r="I33" i="1"/>
  <c r="I14" i="1"/>
  <c r="I32" i="1"/>
  <c r="I11" i="1"/>
  <c r="I31" i="1"/>
  <c r="I13" i="1"/>
  <c r="I8" i="1"/>
  <c r="M273" i="8"/>
  <c r="GJ66" i="14"/>
  <c r="GK66" i="14" s="1"/>
  <c r="GL66" i="14" s="1"/>
  <c r="I5" i="8"/>
  <c r="I11" i="8"/>
  <c r="M94" i="8"/>
  <c r="GJ24" i="14"/>
  <c r="GK24" i="14" s="1"/>
  <c r="GL24" i="14" s="1"/>
  <c r="M265" i="8"/>
  <c r="GJ58" i="14"/>
  <c r="GK58" i="14" s="1"/>
  <c r="GL58" i="14" s="1"/>
  <c r="M293" i="8"/>
  <c r="IQ58" i="14"/>
  <c r="IR58" i="14" s="1"/>
  <c r="IS58" i="14" s="1"/>
  <c r="J259" i="8"/>
  <c r="J261" i="8" s="1"/>
  <c r="J262" i="8" s="1"/>
  <c r="K259" i="8"/>
  <c r="K261" i="8" s="1"/>
  <c r="K262" i="8" s="1"/>
  <c r="I4" i="3"/>
  <c r="I5" i="3" s="1"/>
  <c r="I10" i="2"/>
  <c r="B270" i="8"/>
  <c r="P265" i="8" s="1"/>
  <c r="K9" i="3"/>
  <c r="K8" i="3"/>
  <c r="C4" i="3"/>
  <c r="C5" i="3" s="1"/>
  <c r="C10" i="2"/>
  <c r="M96" i="8"/>
  <c r="GJ26" i="14"/>
  <c r="GK26" i="14" s="1"/>
  <c r="GL26" i="14" s="1"/>
  <c r="M19" i="8"/>
  <c r="M184" i="8"/>
  <c r="M239" i="8"/>
  <c r="M181" i="8"/>
  <c r="K211" i="8"/>
  <c r="K215" i="8" s="1"/>
  <c r="K216" i="8" s="1"/>
  <c r="J211" i="8"/>
  <c r="J215" i="8" s="1"/>
  <c r="J216" i="8" s="1"/>
  <c r="I123" i="8"/>
  <c r="I117" i="8"/>
  <c r="M159" i="8"/>
  <c r="GB49" i="14"/>
  <c r="GB54" i="14"/>
  <c r="GB67" i="14"/>
  <c r="GB50" i="14"/>
  <c r="AM36" i="18"/>
  <c r="AN36" i="18" s="1"/>
  <c r="GB66" i="14"/>
  <c r="GB52" i="14"/>
  <c r="GB71" i="14"/>
  <c r="GB70" i="14"/>
  <c r="GB69" i="14"/>
  <c r="GB68" i="14"/>
  <c r="GB53" i="14"/>
  <c r="GB72" i="14"/>
  <c r="GB51" i="14"/>
  <c r="HB56" i="14"/>
  <c r="HB60" i="14"/>
  <c r="GB61" i="14"/>
  <c r="GB57" i="14"/>
  <c r="HB50" i="14"/>
  <c r="HB64" i="14"/>
  <c r="HB66" i="14"/>
  <c r="HB63" i="14"/>
  <c r="GB64" i="14"/>
  <c r="HB71" i="14"/>
  <c r="HB68" i="14"/>
  <c r="GB63" i="14"/>
  <c r="HB51" i="14"/>
  <c r="GB58" i="14"/>
  <c r="GC72" i="14"/>
  <c r="AM62" i="18" s="1"/>
  <c r="GB59" i="14"/>
  <c r="GB62" i="14"/>
  <c r="HB65" i="14"/>
  <c r="HB70" i="14"/>
  <c r="GB56" i="14"/>
  <c r="HB49" i="14"/>
  <c r="HB55" i="14"/>
  <c r="HB57" i="14"/>
  <c r="HB59" i="14"/>
  <c r="HB54" i="14"/>
  <c r="GB55" i="14"/>
  <c r="GB60" i="14"/>
  <c r="HB58" i="14"/>
  <c r="HB53" i="14"/>
  <c r="HB61" i="14"/>
  <c r="GB65" i="14"/>
  <c r="HB62" i="14"/>
  <c r="HB67" i="14"/>
  <c r="HB52" i="14"/>
  <c r="HB69" i="14"/>
  <c r="HB72" i="14"/>
  <c r="GC60" i="14"/>
  <c r="AM50" i="18" s="1"/>
  <c r="AX36" i="18"/>
  <c r="AY36" i="18" s="1"/>
  <c r="II49" i="14"/>
  <c r="II66" i="14"/>
  <c r="II67" i="14"/>
  <c r="II50" i="14"/>
  <c r="II51" i="14"/>
  <c r="II52" i="14"/>
  <c r="II53" i="14"/>
  <c r="II54" i="14"/>
  <c r="II68" i="14"/>
  <c r="II70" i="14"/>
  <c r="II72" i="14"/>
  <c r="II69" i="14"/>
  <c r="II71" i="14"/>
  <c r="JI53" i="14"/>
  <c r="II56" i="14"/>
  <c r="JI68" i="14"/>
  <c r="JI69" i="14"/>
  <c r="JI50" i="14"/>
  <c r="JI62" i="14"/>
  <c r="II60" i="14"/>
  <c r="JI60" i="14"/>
  <c r="II58" i="14"/>
  <c r="JI67" i="14"/>
  <c r="II63" i="14"/>
  <c r="II55" i="14"/>
  <c r="JI71" i="14"/>
  <c r="JI61" i="14"/>
  <c r="II61" i="14"/>
  <c r="II64" i="14"/>
  <c r="JI66" i="14"/>
  <c r="IJ60" i="14"/>
  <c r="AX50" i="18" s="1"/>
  <c r="JI64" i="14"/>
  <c r="JI56" i="14"/>
  <c r="JI72" i="14"/>
  <c r="JI54" i="14"/>
  <c r="JI58" i="14"/>
  <c r="JI55" i="14"/>
  <c r="II59" i="14"/>
  <c r="JI70" i="14"/>
  <c r="JI52" i="14"/>
  <c r="II65" i="14"/>
  <c r="JI59" i="14"/>
  <c r="JI63" i="14"/>
  <c r="II57" i="14"/>
  <c r="II62" i="14"/>
  <c r="IJ72" i="14"/>
  <c r="AX62" i="18" s="1"/>
  <c r="JI65" i="14"/>
  <c r="JI49" i="14"/>
  <c r="JI51" i="14"/>
  <c r="JI57" i="14"/>
  <c r="E28" i="18"/>
  <c r="L39" i="14"/>
  <c r="M39" i="14" s="1"/>
  <c r="W39" i="14"/>
  <c r="C27" i="22" s="1"/>
  <c r="BA39" i="14"/>
  <c r="AR39" i="14"/>
  <c r="BE39" i="14"/>
  <c r="AC39" i="14"/>
  <c r="I39" i="14"/>
  <c r="H39" i="14"/>
  <c r="F28" i="18" s="1"/>
  <c r="M133" i="8"/>
  <c r="M125" i="8"/>
  <c r="G260" i="19"/>
  <c r="E260" i="19"/>
  <c r="H260" i="19" s="1"/>
  <c r="N36" i="14"/>
  <c r="AC374" i="19"/>
  <c r="AH314" i="19"/>
  <c r="AG314" i="19"/>
  <c r="AC367" i="19"/>
  <c r="R249" i="19"/>
  <c r="P249" i="19"/>
  <c r="S249" i="19" s="1"/>
  <c r="AE189" i="19"/>
  <c r="AH189" i="19" s="1"/>
  <c r="AG189" i="19"/>
  <c r="R230" i="19"/>
  <c r="P230" i="19"/>
  <c r="S230" i="19" s="1"/>
  <c r="P214" i="19"/>
  <c r="S214" i="19" s="1"/>
  <c r="R214" i="19"/>
  <c r="E241" i="19"/>
  <c r="H241" i="19" s="1"/>
  <c r="G241" i="19"/>
  <c r="E334" i="19"/>
  <c r="H334" i="19" s="1"/>
  <c r="G334" i="19"/>
  <c r="G330" i="19"/>
  <c r="E330" i="19"/>
  <c r="H330" i="19" s="1"/>
  <c r="R320" i="19"/>
  <c r="P320" i="19"/>
  <c r="S320" i="19" s="1"/>
  <c r="E289" i="19"/>
  <c r="H289" i="19" s="1"/>
  <c r="G289" i="19"/>
  <c r="P299" i="19"/>
  <c r="S299" i="19" s="1"/>
  <c r="R299" i="19"/>
  <c r="R197" i="19"/>
  <c r="P197" i="19"/>
  <c r="S197" i="19" s="1"/>
  <c r="P192" i="19"/>
  <c r="S192" i="19" s="1"/>
  <c r="R192" i="19"/>
  <c r="G197" i="19"/>
  <c r="E197" i="19"/>
  <c r="H197" i="19" s="1"/>
  <c r="K43" i="8"/>
  <c r="K47" i="8" s="1"/>
  <c r="K48" i="8" s="1"/>
  <c r="J43" i="8"/>
  <c r="J47" i="8" s="1"/>
  <c r="J48" i="8" s="1"/>
  <c r="G191" i="19"/>
  <c r="E191" i="19"/>
  <c r="H191" i="19" s="1"/>
  <c r="G356" i="19"/>
  <c r="E356" i="19"/>
  <c r="H356" i="19" s="1"/>
  <c r="AL314" i="16"/>
  <c r="AK314" i="16"/>
  <c r="AH331" i="16"/>
  <c r="AG331" i="16"/>
  <c r="P272" i="19"/>
  <c r="S272" i="19" s="1"/>
  <c r="R272" i="19"/>
  <c r="G251" i="16"/>
  <c r="E251" i="16"/>
  <c r="H251" i="16" s="1"/>
  <c r="R291" i="16"/>
  <c r="P291" i="16"/>
  <c r="S291" i="16" s="1"/>
  <c r="R341" i="16"/>
  <c r="P341" i="16"/>
  <c r="S341" i="16" s="1"/>
  <c r="E194" i="16"/>
  <c r="H194" i="16" s="1"/>
  <c r="G194" i="16"/>
  <c r="I190" i="19"/>
  <c r="J190" i="19"/>
  <c r="E319" i="16"/>
  <c r="H319" i="16" s="1"/>
  <c r="G319" i="16"/>
  <c r="AL48" i="16"/>
  <c r="AM48" i="16"/>
  <c r="G239" i="16"/>
  <c r="E239" i="16"/>
  <c r="H239" i="16" s="1"/>
  <c r="G237" i="16"/>
  <c r="E237" i="16"/>
  <c r="H237" i="16" s="1"/>
  <c r="AE200" i="16"/>
  <c r="AH200" i="16" s="1"/>
  <c r="AG200" i="16"/>
  <c r="AC379" i="16"/>
  <c r="AC303" i="16"/>
  <c r="AE235" i="16"/>
  <c r="AH235" i="16"/>
  <c r="AG235" i="16"/>
  <c r="R314" i="10"/>
  <c r="P314" i="10"/>
  <c r="S314" i="10" s="1"/>
  <c r="R240" i="10"/>
  <c r="P240" i="10"/>
  <c r="S240" i="10" s="1"/>
  <c r="AI188" i="10"/>
  <c r="AF246" i="10" s="1"/>
  <c r="AE246" i="10" s="1"/>
  <c r="AJ188" i="10"/>
  <c r="AH246" i="10" s="1"/>
  <c r="CB107" i="16"/>
  <c r="AZ234" i="16"/>
  <c r="BY107" i="16"/>
  <c r="CA107" i="16"/>
  <c r="BY127" i="16"/>
  <c r="CB127" i="16" s="1"/>
  <c r="CA127" i="16"/>
  <c r="AC379" i="10"/>
  <c r="G257" i="10"/>
  <c r="E257" i="10"/>
  <c r="H257" i="10" s="1"/>
  <c r="R231" i="10"/>
  <c r="P231" i="10"/>
  <c r="S231" i="10" s="1"/>
  <c r="E196" i="10"/>
  <c r="H196" i="10" s="1"/>
  <c r="G196" i="10"/>
  <c r="AH180" i="10"/>
  <c r="AE180" i="10"/>
  <c r="AG180" i="10"/>
  <c r="I210" i="10"/>
  <c r="AC313" i="10"/>
  <c r="E194" i="10"/>
  <c r="H194" i="10" s="1"/>
  <c r="G194" i="10"/>
  <c r="AC351" i="16"/>
  <c r="P359" i="10"/>
  <c r="S359" i="10" s="1"/>
  <c r="R359" i="10"/>
  <c r="AK320" i="10"/>
  <c r="AL320" i="10"/>
  <c r="AL321" i="10"/>
  <c r="AK321" i="10"/>
  <c r="AG314" i="10"/>
  <c r="AH314" i="10"/>
  <c r="AG326" i="10"/>
  <c r="AH326" i="10"/>
  <c r="BI218" i="10"/>
  <c r="DH92" i="10"/>
  <c r="DF92" i="10"/>
  <c r="DI92" i="10"/>
  <c r="P192" i="16"/>
  <c r="S192" i="16" s="1"/>
  <c r="R192" i="16"/>
  <c r="AC219" i="16"/>
  <c r="AD218" i="16"/>
  <c r="R333" i="10"/>
  <c r="P333" i="10"/>
  <c r="S333" i="10" s="1"/>
  <c r="AC299" i="10"/>
  <c r="E237" i="10"/>
  <c r="H237" i="10" s="1"/>
  <c r="G237" i="10"/>
  <c r="DH95" i="16"/>
  <c r="BI221" i="16"/>
  <c r="DF95" i="16"/>
  <c r="DI95" i="16"/>
  <c r="DI111" i="16"/>
  <c r="DF111" i="16"/>
  <c r="DH111" i="16"/>
  <c r="DF109" i="16"/>
  <c r="DI109" i="16"/>
  <c r="DH109" i="16"/>
  <c r="BI236" i="16"/>
  <c r="BG130" i="16"/>
  <c r="BI150" i="16" s="1"/>
  <c r="BH130" i="16"/>
  <c r="BJ150" i="16" s="1"/>
  <c r="O538" i="10"/>
  <c r="P537" i="10"/>
  <c r="Q537" i="10" s="1"/>
  <c r="AC353" i="10"/>
  <c r="AC294" i="10"/>
  <c r="R236" i="16"/>
  <c r="P236" i="16"/>
  <c r="S236" i="16" s="1"/>
  <c r="P211" i="16"/>
  <c r="S211" i="16" s="1"/>
  <c r="R211" i="16"/>
  <c r="R218" i="16"/>
  <c r="P218" i="16"/>
  <c r="S218" i="16" s="1"/>
  <c r="AC362" i="10"/>
  <c r="R271" i="10"/>
  <c r="P271" i="10"/>
  <c r="S271" i="10" s="1"/>
  <c r="AA519" i="10"/>
  <c r="AB518" i="10"/>
  <c r="AC518" i="10" s="1"/>
  <c r="R256" i="10"/>
  <c r="P256" i="10"/>
  <c r="S256" i="10" s="1"/>
  <c r="AC320" i="16"/>
  <c r="AC308" i="10"/>
  <c r="AJ178" i="10"/>
  <c r="BG131" i="10"/>
  <c r="BK150" i="10" s="1"/>
  <c r="BH131" i="10"/>
  <c r="BL150" i="10" s="1"/>
  <c r="BE125" i="10"/>
  <c r="BC125" i="10"/>
  <c r="BF125" i="10" s="1"/>
  <c r="AR103" i="10"/>
  <c r="AU103" i="10"/>
  <c r="AT103" i="10"/>
  <c r="AQ230" i="10"/>
  <c r="AT106" i="10"/>
  <c r="AR106" i="10"/>
  <c r="AU106" i="10"/>
  <c r="AQ233" i="10"/>
  <c r="AV131" i="10"/>
  <c r="BK149" i="10" s="1"/>
  <c r="AW131" i="10"/>
  <c r="BL149" i="10" s="1"/>
  <c r="G296" i="16"/>
  <c r="E296" i="16"/>
  <c r="H296" i="16" s="1"/>
  <c r="P250" i="16"/>
  <c r="S250" i="16" s="1"/>
  <c r="R250" i="16"/>
  <c r="O516" i="10"/>
  <c r="P515" i="10"/>
  <c r="Q515" i="10" s="1"/>
  <c r="G298" i="10"/>
  <c r="E298" i="10"/>
  <c r="H298" i="10" s="1"/>
  <c r="R197" i="10"/>
  <c r="P197" i="10"/>
  <c r="S197" i="10" s="1"/>
  <c r="AQ246" i="16"/>
  <c r="BA214" i="16"/>
  <c r="AR246" i="16" s="1"/>
  <c r="AW228" i="19"/>
  <c r="BP101" i="19"/>
  <c r="BN101" i="19"/>
  <c r="BQ101" i="19" s="1"/>
  <c r="BN127" i="19"/>
  <c r="BQ127" i="19" s="1"/>
  <c r="BP127" i="19"/>
  <c r="BN245" i="19"/>
  <c r="AX226" i="19"/>
  <c r="BP245" i="19" s="1"/>
  <c r="CL101" i="16"/>
  <c r="BC228" i="16"/>
  <c r="CJ101" i="16"/>
  <c r="CM101" i="16"/>
  <c r="CO131" i="16"/>
  <c r="BL153" i="16" s="1"/>
  <c r="CN131" i="16"/>
  <c r="BK153" i="16" s="1"/>
  <c r="CL137" i="16"/>
  <c r="CJ137" i="16"/>
  <c r="CM137" i="16" s="1"/>
  <c r="CJ106" i="16"/>
  <c r="CM106" i="16"/>
  <c r="BC233" i="16"/>
  <c r="CL106" i="16"/>
  <c r="AC292" i="16"/>
  <c r="X293" i="16" s="1"/>
  <c r="X294" i="16" s="1"/>
  <c r="AH36" i="14"/>
  <c r="BB36" i="14" s="1"/>
  <c r="BC36" i="14" s="1"/>
  <c r="DF123" i="19"/>
  <c r="DI123" i="19" s="1"/>
  <c r="DH123" i="19"/>
  <c r="DI93" i="19"/>
  <c r="BI219" i="19"/>
  <c r="DH93" i="19"/>
  <c r="DF93" i="19"/>
  <c r="DH143" i="19"/>
  <c r="DF143" i="19"/>
  <c r="DI143" i="19" s="1"/>
  <c r="DH99" i="19"/>
  <c r="BI225" i="19"/>
  <c r="DI99" i="19"/>
  <c r="DF121" i="19"/>
  <c r="DI121" i="19" s="1"/>
  <c r="DH121" i="19"/>
  <c r="BI162" i="19"/>
  <c r="BJ170" i="19"/>
  <c r="BJ162" i="19"/>
  <c r="J213" i="10"/>
  <c r="I213" i="10"/>
  <c r="G316" i="10"/>
  <c r="E316" i="10"/>
  <c r="H316" i="10" s="1"/>
  <c r="G278" i="10"/>
  <c r="E278" i="10"/>
  <c r="H278" i="10" s="1"/>
  <c r="E269" i="10"/>
  <c r="H269" i="10" s="1"/>
  <c r="G269" i="10"/>
  <c r="BG162" i="10"/>
  <c r="BH162" i="10"/>
  <c r="BH170" i="10"/>
  <c r="P217" i="10"/>
  <c r="S217" i="10" s="1"/>
  <c r="R217" i="10"/>
  <c r="R216" i="10"/>
  <c r="P216" i="10"/>
  <c r="S216" i="10" s="1"/>
  <c r="R255" i="8"/>
  <c r="Q255" i="8"/>
  <c r="AC245" i="10"/>
  <c r="AG244" i="10"/>
  <c r="BS136" i="16"/>
  <c r="BV151" i="16" s="1"/>
  <c r="BR136" i="16"/>
  <c r="BU151" i="16" s="1"/>
  <c r="CN112" i="19"/>
  <c r="CO112" i="19"/>
  <c r="BJ157" i="19"/>
  <c r="BJ165" i="19"/>
  <c r="AG518" i="10"/>
  <c r="AH517" i="10"/>
  <c r="AI517" i="10" s="1"/>
  <c r="BN101" i="16"/>
  <c r="AW228" i="16"/>
  <c r="BP101" i="16"/>
  <c r="BQ101" i="16"/>
  <c r="BP107" i="16"/>
  <c r="BQ107" i="16"/>
  <c r="BN107" i="16"/>
  <c r="AW234" i="16"/>
  <c r="BN98" i="16"/>
  <c r="BQ98" i="16" s="1"/>
  <c r="BP98" i="16"/>
  <c r="AW224" i="16"/>
  <c r="BN122" i="16"/>
  <c r="BQ122" i="16" s="1"/>
  <c r="BP122" i="16"/>
  <c r="BN126" i="16"/>
  <c r="BQ126" i="16" s="1"/>
  <c r="BP126" i="16"/>
  <c r="BP123" i="16"/>
  <c r="BN123" i="16"/>
  <c r="BQ123" i="16" s="1"/>
  <c r="BJ161" i="10"/>
  <c r="BJ169" i="10"/>
  <c r="AC319" i="10"/>
  <c r="AR228" i="16"/>
  <c r="BT243" i="16" s="1"/>
  <c r="BS243" i="16"/>
  <c r="BT161" i="10"/>
  <c r="BT169" i="10"/>
  <c r="AM519" i="10"/>
  <c r="AN518" i="10"/>
  <c r="AO518" i="10" s="1"/>
  <c r="DK106" i="19"/>
  <c r="DJ106" i="19"/>
  <c r="AU217" i="16"/>
  <c r="AX244" i="16" s="1"/>
  <c r="AW244" i="16"/>
  <c r="BA162" i="10"/>
  <c r="BB162" i="10"/>
  <c r="BB170" i="10"/>
  <c r="AW92" i="19"/>
  <c r="AV92" i="19"/>
  <c r="BS99" i="10"/>
  <c r="BR99" i="10"/>
  <c r="AR227" i="16"/>
  <c r="BR243" i="16" s="1"/>
  <c r="BQ243" i="16"/>
  <c r="BW253" i="10"/>
  <c r="BX253" i="10"/>
  <c r="BC24" i="14"/>
  <c r="C77" i="21" s="1"/>
  <c r="BZ160" i="19"/>
  <c r="CC256" i="10"/>
  <c r="CC255" i="10" s="1"/>
  <c r="AV164" i="10"/>
  <c r="AU164" i="10"/>
  <c r="AU165" i="10" s="1"/>
  <c r="BH112" i="19"/>
  <c r="BG112" i="19"/>
  <c r="BG221" i="10"/>
  <c r="BF248" i="10" s="1"/>
  <c r="BF259" i="10" s="1"/>
  <c r="BE248" i="10"/>
  <c r="BE259" i="10" s="1"/>
  <c r="BX161" i="10"/>
  <c r="BX169" i="10"/>
  <c r="AP166" i="10"/>
  <c r="AP167" i="10" s="1"/>
  <c r="AP168" i="10" s="1"/>
  <c r="AP169" i="10" s="1"/>
  <c r="AP170" i="10" s="1"/>
  <c r="CD108" i="16"/>
  <c r="CC108" i="16"/>
  <c r="BA228" i="19"/>
  <c r="BT246" i="19" s="1"/>
  <c r="BS246" i="19"/>
  <c r="CH161" i="19"/>
  <c r="CJ168" i="19"/>
  <c r="CJ160" i="19"/>
  <c r="CJ178" i="10"/>
  <c r="CI161" i="10"/>
  <c r="CI178" i="10"/>
  <c r="BN244" i="10"/>
  <c r="BN255" i="10" s="1"/>
  <c r="AU226" i="10"/>
  <c r="BP244" i="10" s="1"/>
  <c r="BP255" i="10" s="1"/>
  <c r="CJ162" i="16"/>
  <c r="CI162" i="16"/>
  <c r="BR103" i="19"/>
  <c r="BS103" i="19"/>
  <c r="CI245" i="19"/>
  <c r="AX236" i="19"/>
  <c r="CJ245" i="19" s="1"/>
  <c r="BM164" i="10"/>
  <c r="BM165" i="10" s="1"/>
  <c r="BM166" i="10" s="1"/>
  <c r="BM167" i="10" s="1"/>
  <c r="BM168" i="10" s="1"/>
  <c r="BM169" i="10" s="1"/>
  <c r="BM170" i="10" s="1"/>
  <c r="BN164" i="10"/>
  <c r="BN156" i="10"/>
  <c r="BH129" i="19"/>
  <c r="BH150" i="19" s="1"/>
  <c r="BG129" i="19"/>
  <c r="BG150" i="19" s="1"/>
  <c r="BS135" i="19"/>
  <c r="BT151" i="19" s="1"/>
  <c r="BR135" i="19"/>
  <c r="BS151" i="19" s="1"/>
  <c r="CC257" i="10"/>
  <c r="CD257" i="10"/>
  <c r="CD256" i="10" s="1"/>
  <c r="CD255" i="10" s="1"/>
  <c r="BB164" i="10"/>
  <c r="BA164" i="10"/>
  <c r="BA165" i="10" s="1"/>
  <c r="BB156" i="10"/>
  <c r="CA208" i="10"/>
  <c r="BY207" i="10"/>
  <c r="AV143" i="16"/>
  <c r="CI149" i="16" s="1"/>
  <c r="AW143" i="16"/>
  <c r="CJ149" i="16" s="1"/>
  <c r="BU244" i="16"/>
  <c r="AU229" i="16"/>
  <c r="BV244" i="16" s="1"/>
  <c r="BB178" i="19"/>
  <c r="BA178" i="19"/>
  <c r="BA161" i="19"/>
  <c r="CI178" i="19"/>
  <c r="CI161" i="19"/>
  <c r="CJ178" i="19"/>
  <c r="BX160" i="19"/>
  <c r="BX168" i="19"/>
  <c r="BS176" i="19"/>
  <c r="BT176" i="19"/>
  <c r="BH254" i="19"/>
  <c r="BG254" i="19"/>
  <c r="AY162" i="19"/>
  <c r="AZ162" i="19"/>
  <c r="AZ170" i="19"/>
  <c r="AU160" i="10"/>
  <c r="AV177" i="10"/>
  <c r="N298" i="8" l="1"/>
  <c r="P298" i="8" s="1"/>
  <c r="IQ63" i="14"/>
  <c r="IR63" i="14" s="1"/>
  <c r="IS63" i="14" s="1"/>
  <c r="V36" i="14"/>
  <c r="AU36" i="14"/>
  <c r="AJ36" i="14"/>
  <c r="AP36" i="14" s="1"/>
  <c r="S36" i="14"/>
  <c r="AX36" i="14"/>
  <c r="AL36" i="14"/>
  <c r="AN36" i="14"/>
  <c r="AO36" i="14"/>
  <c r="AT36" i="14"/>
  <c r="Z36" i="14"/>
  <c r="AB36" i="14"/>
  <c r="T36" i="14"/>
  <c r="AM36" i="14"/>
  <c r="Y36" i="14"/>
  <c r="AK36" i="14"/>
  <c r="AA36" i="14"/>
  <c r="AV36" i="14"/>
  <c r="AS36" i="14"/>
  <c r="AY36" i="14" s="1"/>
  <c r="U36" i="14"/>
  <c r="AW36" i="14"/>
  <c r="BZ196" i="19"/>
  <c r="BZ193" i="19"/>
  <c r="BX199" i="19"/>
  <c r="BX192" i="19"/>
  <c r="J28" i="14"/>
  <c r="BC28" i="14"/>
  <c r="C81" i="21" s="1"/>
  <c r="AU206" i="10"/>
  <c r="AS202" i="10"/>
  <c r="AU203" i="10"/>
  <c r="AS209" i="10"/>
  <c r="CJ256" i="19"/>
  <c r="CJ255" i="19" s="1"/>
  <c r="CJ254" i="19" s="1"/>
  <c r="CJ253" i="19" s="1"/>
  <c r="CI256" i="19"/>
  <c r="CI255" i="19" s="1"/>
  <c r="CI254" i="19" s="1"/>
  <c r="CI253" i="19" s="1"/>
  <c r="AA520" i="10"/>
  <c r="AB519" i="10"/>
  <c r="AC519" i="10" s="1"/>
  <c r="J191" i="19"/>
  <c r="I191" i="19"/>
  <c r="HC72" i="14"/>
  <c r="IC72" i="14"/>
  <c r="AL47" i="18"/>
  <c r="GD57" i="14"/>
  <c r="HD57" i="14" s="1"/>
  <c r="GG57" i="14"/>
  <c r="GH57" i="14" s="1"/>
  <c r="GC57" i="14"/>
  <c r="AM47" i="18" s="1"/>
  <c r="M200" i="8"/>
  <c r="GD32" i="14"/>
  <c r="HD32" i="14" s="1"/>
  <c r="AL21" i="18"/>
  <c r="GG32" i="14"/>
  <c r="GH32" i="14" s="1"/>
  <c r="GC32" i="14"/>
  <c r="AM21" i="18" s="1"/>
  <c r="GC24" i="14"/>
  <c r="AM13" i="18" s="1"/>
  <c r="GG24" i="14"/>
  <c r="GH24" i="14" s="1"/>
  <c r="GD24" i="14"/>
  <c r="HD24" i="14" s="1"/>
  <c r="AL13" i="18"/>
  <c r="DK133" i="16"/>
  <c r="BP148" i="16" s="1"/>
  <c r="DJ133" i="16"/>
  <c r="BO148" i="16" s="1"/>
  <c r="CD110" i="16"/>
  <c r="CC110" i="16"/>
  <c r="AJ179" i="19"/>
  <c r="AI179" i="19"/>
  <c r="CO57" i="14"/>
  <c r="BP61" i="14"/>
  <c r="CP61" i="14" s="1"/>
  <c r="BS61" i="14"/>
  <c r="BT61" i="14" s="1"/>
  <c r="BO61" i="14"/>
  <c r="Q51" i="18" s="1"/>
  <c r="P51" i="18"/>
  <c r="A313" i="8"/>
  <c r="A323" i="8"/>
  <c r="B323" i="8" s="1"/>
  <c r="DK111" i="19"/>
  <c r="DJ111" i="19"/>
  <c r="CN143" i="16"/>
  <c r="CI153" i="16" s="1"/>
  <c r="CO143" i="16"/>
  <c r="CJ153" i="16" s="1"/>
  <c r="AA542" i="10"/>
  <c r="AB541" i="10"/>
  <c r="AC541" i="10" s="1"/>
  <c r="LQ37" i="14"/>
  <c r="MQ37" i="14"/>
  <c r="CO24" i="14"/>
  <c r="P9" i="18"/>
  <c r="BP20" i="14"/>
  <c r="CP20" i="14" s="1"/>
  <c r="CY20" i="14"/>
  <c r="D39" i="23" s="1"/>
  <c r="CJ20" i="14"/>
  <c r="DL20" i="14"/>
  <c r="BO20" i="14"/>
  <c r="Q9" i="18" s="1"/>
  <c r="BS20" i="14"/>
  <c r="BT20" i="14" s="1"/>
  <c r="DH20" i="14"/>
  <c r="CD20" i="14"/>
  <c r="D8" i="22" s="1"/>
  <c r="BS94" i="16"/>
  <c r="BR94" i="16"/>
  <c r="CI246" i="16"/>
  <c r="BA236" i="16"/>
  <c r="CJ246" i="16" s="1"/>
  <c r="E47" i="18"/>
  <c r="I57" i="14"/>
  <c r="AI57" i="14" s="1"/>
  <c r="H57" i="14"/>
  <c r="F47" i="18" s="1"/>
  <c r="L57" i="14"/>
  <c r="M57" i="14" s="1"/>
  <c r="E53" i="18"/>
  <c r="I63" i="14"/>
  <c r="AI63" i="14" s="1"/>
  <c r="L63" i="14"/>
  <c r="M63" i="14" s="1"/>
  <c r="H63" i="14"/>
  <c r="F53" i="18" s="1"/>
  <c r="T191" i="16"/>
  <c r="U191" i="16"/>
  <c r="LQ51" i="14"/>
  <c r="CO94" i="16"/>
  <c r="CN94" i="16"/>
  <c r="AJ179" i="16"/>
  <c r="AI179" i="16"/>
  <c r="EV66" i="14"/>
  <c r="AA57" i="18"/>
  <c r="DZ67" i="14"/>
  <c r="EA67" i="14" s="1"/>
  <c r="FO67" i="14"/>
  <c r="EK67" i="14"/>
  <c r="K24" i="22" s="1"/>
  <c r="FS67" i="14"/>
  <c r="FT67" i="14" s="1"/>
  <c r="DW67" i="14"/>
  <c r="EW67" i="14" s="1"/>
  <c r="DV67" i="14"/>
  <c r="AB57" i="18" s="1"/>
  <c r="FF67" i="14"/>
  <c r="K55" i="23" s="1"/>
  <c r="EQ67" i="14"/>
  <c r="AU168" i="16"/>
  <c r="AU169" i="16" s="1"/>
  <c r="BS96" i="16"/>
  <c r="BR96" i="16"/>
  <c r="J193" i="19"/>
  <c r="I193" i="19"/>
  <c r="C44" i="21"/>
  <c r="H10" i="18"/>
  <c r="C12" i="13" s="1"/>
  <c r="J10" i="18"/>
  <c r="C44" i="13" s="1"/>
  <c r="AA20" i="18"/>
  <c r="DW31" i="14"/>
  <c r="EW31" i="14" s="1"/>
  <c r="DZ31" i="14"/>
  <c r="EA31" i="14" s="1"/>
  <c r="DV31" i="14"/>
  <c r="AB20" i="18" s="1"/>
  <c r="AA8" i="18"/>
  <c r="DV19" i="14"/>
  <c r="AB8" i="18" s="1"/>
  <c r="EK19" i="14"/>
  <c r="E7" i="22" s="1"/>
  <c r="FS19" i="14"/>
  <c r="DZ19" i="14"/>
  <c r="EA19" i="14" s="1"/>
  <c r="FO19" i="14"/>
  <c r="EQ19" i="14"/>
  <c r="DW19" i="14"/>
  <c r="EW19" i="14" s="1"/>
  <c r="FF19" i="14"/>
  <c r="E38" i="23" s="1"/>
  <c r="AW18" i="18"/>
  <c r="IK29" i="14"/>
  <c r="JK29" i="14" s="1"/>
  <c r="IN29" i="14"/>
  <c r="IO29" i="14" s="1"/>
  <c r="JE37" i="14"/>
  <c r="IY37" i="14"/>
  <c r="G25" i="22" s="1"/>
  <c r="AW26" i="18"/>
  <c r="IN37" i="14"/>
  <c r="IO37" i="14" s="1"/>
  <c r="IK37" i="14"/>
  <c r="JK37" i="14" s="1"/>
  <c r="KC37" i="14"/>
  <c r="JT37" i="14"/>
  <c r="G56" i="23" s="1"/>
  <c r="IJ37" i="14"/>
  <c r="AX26" i="18" s="1"/>
  <c r="KG37" i="14"/>
  <c r="KH37" i="14" s="1"/>
  <c r="N260" i="8"/>
  <c r="P260" i="8" s="1"/>
  <c r="GJ53" i="14"/>
  <c r="GK53" i="14" s="1"/>
  <c r="GL53" i="14" s="1"/>
  <c r="BB159" i="19"/>
  <c r="BB167" i="19"/>
  <c r="N105" i="8"/>
  <c r="P105" i="8" s="1"/>
  <c r="F22" i="5" s="1"/>
  <c r="GJ35" i="14"/>
  <c r="GK35" i="14" s="1"/>
  <c r="GL35" i="14" s="1"/>
  <c r="BA177" i="19"/>
  <c r="BA160" i="19"/>
  <c r="BB177" i="19"/>
  <c r="JJ60" i="14"/>
  <c r="HC68" i="14"/>
  <c r="IC68" i="14"/>
  <c r="A261" i="8"/>
  <c r="B261" i="8" s="1"/>
  <c r="A258" i="8"/>
  <c r="M205" i="8"/>
  <c r="BR139" i="16"/>
  <c r="CA151" i="16" s="1"/>
  <c r="BS139" i="16"/>
  <c r="CB151" i="16" s="1"/>
  <c r="AI214" i="16"/>
  <c r="AF272" i="16" s="1"/>
  <c r="AE272" i="16" s="1"/>
  <c r="AJ214" i="16"/>
  <c r="AH272" i="16" s="1"/>
  <c r="GC30" i="14"/>
  <c r="AM19" i="18" s="1"/>
  <c r="GD30" i="14"/>
  <c r="HD30" i="14" s="1"/>
  <c r="GG30" i="14"/>
  <c r="GH30" i="14" s="1"/>
  <c r="AL19" i="18"/>
  <c r="AL9" i="18"/>
  <c r="HV20" i="14"/>
  <c r="GD20" i="14"/>
  <c r="HD20" i="14" s="1"/>
  <c r="GC20" i="14"/>
  <c r="AM9" i="18" s="1"/>
  <c r="HM20" i="14"/>
  <c r="F39" i="23" s="1"/>
  <c r="HZ20" i="14"/>
  <c r="IA20" i="14" s="1"/>
  <c r="GG20" i="14"/>
  <c r="GH20" i="14" s="1"/>
  <c r="GR20" i="14"/>
  <c r="F8" i="22" s="1"/>
  <c r="GX20" i="14"/>
  <c r="AI194" i="16"/>
  <c r="AF252" i="16" s="1"/>
  <c r="AE252" i="16" s="1"/>
  <c r="AJ194" i="16"/>
  <c r="AH252" i="16" s="1"/>
  <c r="CO63" i="14"/>
  <c r="DI63" i="14" s="1"/>
  <c r="BS65" i="14"/>
  <c r="BT65" i="14" s="1"/>
  <c r="P55" i="18"/>
  <c r="BO65" i="14"/>
  <c r="Q55" i="18" s="1"/>
  <c r="BP65" i="14"/>
  <c r="CP65" i="14" s="1"/>
  <c r="R317" i="8"/>
  <c r="A317" i="8"/>
  <c r="A314" i="8"/>
  <c r="J234" i="10"/>
  <c r="I234" i="10"/>
  <c r="LQ35" i="14"/>
  <c r="MK35" i="14" s="1"/>
  <c r="MQ35" i="14"/>
  <c r="LF36" i="14"/>
  <c r="H24" i="22" s="1"/>
  <c r="KR36" i="14"/>
  <c r="LR36" i="14" s="1"/>
  <c r="LL36" i="14"/>
  <c r="KU36" i="14"/>
  <c r="KV36" i="14" s="1"/>
  <c r="BH25" i="18"/>
  <c r="MJ36" i="14"/>
  <c r="KQ36" i="14"/>
  <c r="BI25" i="18" s="1"/>
  <c r="MA36" i="14"/>
  <c r="H55" i="23" s="1"/>
  <c r="MN36" i="14"/>
  <c r="CO22" i="14"/>
  <c r="R9" i="8"/>
  <c r="Q9" i="8"/>
  <c r="CN110" i="16"/>
  <c r="CO110" i="16"/>
  <c r="A232" i="8"/>
  <c r="B232" i="8" s="1"/>
  <c r="A236" i="8"/>
  <c r="B236" i="8" s="1"/>
  <c r="J24" i="14"/>
  <c r="K24" i="14" s="1"/>
  <c r="R24" i="14" s="1"/>
  <c r="AH70" i="14"/>
  <c r="BB70" i="14" s="1"/>
  <c r="BH70" i="14"/>
  <c r="CH166" i="16"/>
  <c r="AO161" i="19"/>
  <c r="AP178" i="19"/>
  <c r="AP208" i="19" s="1"/>
  <c r="AO178" i="19"/>
  <c r="AO208" i="19" s="1"/>
  <c r="AP161" i="19"/>
  <c r="AM537" i="10"/>
  <c r="AN536" i="10"/>
  <c r="AO536" i="10" s="1"/>
  <c r="BG161" i="19"/>
  <c r="BH178" i="19"/>
  <c r="BG178" i="19"/>
  <c r="CO128" i="16"/>
  <c r="BF153" i="16" s="1"/>
  <c r="BE161" i="16" s="1"/>
  <c r="CN128" i="16"/>
  <c r="BE153" i="16" s="1"/>
  <c r="KQ62" i="14"/>
  <c r="BI52" i="18" s="1"/>
  <c r="KR62" i="14"/>
  <c r="LR62" i="14" s="1"/>
  <c r="BH52" i="18"/>
  <c r="KU62" i="14"/>
  <c r="KV62" i="14" s="1"/>
  <c r="BH57" i="18"/>
  <c r="LF67" i="14"/>
  <c r="N24" i="22" s="1"/>
  <c r="KU67" i="14"/>
  <c r="KV67" i="14" s="1"/>
  <c r="LL67" i="14"/>
  <c r="KQ67" i="14"/>
  <c r="BI57" i="18" s="1"/>
  <c r="KR67" i="14"/>
  <c r="LR67" i="14" s="1"/>
  <c r="MA67" i="14"/>
  <c r="N55" i="23" s="1"/>
  <c r="MN67" i="14"/>
  <c r="MJ67" i="14"/>
  <c r="F17" i="5"/>
  <c r="Q100" i="8"/>
  <c r="R100" i="8"/>
  <c r="DJ101" i="19"/>
  <c r="DK101" i="19"/>
  <c r="DK93" i="16"/>
  <c r="DJ93" i="16"/>
  <c r="U193" i="19"/>
  <c r="T193" i="19"/>
  <c r="DW57" i="14"/>
  <c r="EW57" i="14" s="1"/>
  <c r="DV57" i="14"/>
  <c r="AB47" i="18" s="1"/>
  <c r="AA47" i="18"/>
  <c r="DZ57" i="14"/>
  <c r="EA57" i="14" s="1"/>
  <c r="AA44" i="18"/>
  <c r="FO54" i="14"/>
  <c r="DW54" i="14"/>
  <c r="EW54" i="14" s="1"/>
  <c r="EK54" i="14"/>
  <c r="K11" i="22" s="1"/>
  <c r="EQ54" i="14"/>
  <c r="DV54" i="14"/>
  <c r="AB44" i="18" s="1"/>
  <c r="FF54" i="14"/>
  <c r="K42" i="23" s="1"/>
  <c r="DZ54" i="14"/>
  <c r="EA54" i="14" s="1"/>
  <c r="FS54" i="14"/>
  <c r="BD158" i="16"/>
  <c r="BD166" i="16"/>
  <c r="T210" i="10"/>
  <c r="U210" i="10"/>
  <c r="DJ133" i="19"/>
  <c r="BO148" i="19" s="1"/>
  <c r="DK133" i="19"/>
  <c r="BP148" i="19" s="1"/>
  <c r="DK95" i="10"/>
  <c r="DJ95" i="10"/>
  <c r="AJ181" i="10"/>
  <c r="AI181" i="10"/>
  <c r="EV29" i="14"/>
  <c r="JJ39" i="14"/>
  <c r="KJ39" i="14"/>
  <c r="IY36" i="14"/>
  <c r="G24" i="22" s="1"/>
  <c r="AW25" i="18"/>
  <c r="IN36" i="14"/>
  <c r="IO36" i="14" s="1"/>
  <c r="JE36" i="14"/>
  <c r="IK36" i="14"/>
  <c r="JK36" i="14" s="1"/>
  <c r="KC36" i="14"/>
  <c r="IJ36" i="14"/>
  <c r="AX25" i="18" s="1"/>
  <c r="KG36" i="14"/>
  <c r="JT36" i="14"/>
  <c r="G55" i="23" s="1"/>
  <c r="R39" i="8"/>
  <c r="Q39" i="8"/>
  <c r="CA242" i="19"/>
  <c r="BJ232" i="19"/>
  <c r="CB242" i="19" s="1"/>
  <c r="CC242" i="16"/>
  <c r="BJ233" i="16"/>
  <c r="CD242" i="16" s="1"/>
  <c r="IQ67" i="14"/>
  <c r="IR67" i="14" s="1"/>
  <c r="IS67" i="14" s="1"/>
  <c r="N302" i="8"/>
  <c r="P302" i="8" s="1"/>
  <c r="BR101" i="16"/>
  <c r="BS101" i="16"/>
  <c r="BJ158" i="16"/>
  <c r="BJ166" i="16"/>
  <c r="A40" i="8"/>
  <c r="B40" i="8" s="1"/>
  <c r="A36" i="8"/>
  <c r="B36" i="8" s="1"/>
  <c r="AW51" i="18"/>
  <c r="IN61" i="14"/>
  <c r="IO61" i="14" s="1"/>
  <c r="IK61" i="14"/>
  <c r="JK61" i="14" s="1"/>
  <c r="IJ61" i="14"/>
  <c r="AX51" i="18" s="1"/>
  <c r="AW40" i="18"/>
  <c r="KC50" i="14"/>
  <c r="KG50" i="14"/>
  <c r="IJ50" i="14"/>
  <c r="AX40" i="18" s="1"/>
  <c r="JT50" i="14"/>
  <c r="M38" i="23" s="1"/>
  <c r="IY50" i="14"/>
  <c r="M7" i="22" s="1"/>
  <c r="JE50" i="14"/>
  <c r="IK50" i="14"/>
  <c r="JK50" i="14" s="1"/>
  <c r="IN50" i="14"/>
  <c r="IO50" i="14" s="1"/>
  <c r="HC60" i="14"/>
  <c r="A267" i="8"/>
  <c r="B267" i="8" s="1"/>
  <c r="A257" i="8"/>
  <c r="HC28" i="14"/>
  <c r="R245" i="8"/>
  <c r="Q245" i="8"/>
  <c r="BU256" i="10"/>
  <c r="BV256" i="10"/>
  <c r="BG126" i="10"/>
  <c r="BA150" i="10" s="1"/>
  <c r="BA166" i="10" s="1"/>
  <c r="BA167" i="10" s="1"/>
  <c r="BA168" i="10" s="1"/>
  <c r="BA169" i="10" s="1"/>
  <c r="BA170" i="10" s="1"/>
  <c r="BH126" i="10"/>
  <c r="BB150" i="10" s="1"/>
  <c r="CO69" i="14"/>
  <c r="DO69" i="14"/>
  <c r="Q247" i="8"/>
  <c r="CB257" i="19"/>
  <c r="CA257" i="19"/>
  <c r="U190" i="16"/>
  <c r="T190" i="16"/>
  <c r="J190" i="10"/>
  <c r="I190" i="10"/>
  <c r="AJ211" i="16"/>
  <c r="AH269" i="16" s="1"/>
  <c r="AI211" i="16"/>
  <c r="AF269" i="16" s="1"/>
  <c r="AE269" i="16" s="1"/>
  <c r="LQ19" i="14"/>
  <c r="MQ19" i="14"/>
  <c r="KR23" i="14"/>
  <c r="LR23" i="14" s="1"/>
  <c r="BH12" i="18"/>
  <c r="KU23" i="14"/>
  <c r="KV23" i="14" s="1"/>
  <c r="KQ23" i="14"/>
  <c r="BI12" i="18" s="1"/>
  <c r="LF37" i="14"/>
  <c r="H25" i="22" s="1"/>
  <c r="KR37" i="14"/>
  <c r="LR37" i="14" s="1"/>
  <c r="BH26" i="18"/>
  <c r="KU37" i="14"/>
  <c r="KV37" i="14" s="1"/>
  <c r="LL37" i="14"/>
  <c r="MJ37" i="14"/>
  <c r="KQ37" i="14"/>
  <c r="BI26" i="18" s="1"/>
  <c r="MN37" i="14"/>
  <c r="MA37" i="14"/>
  <c r="H56" i="23" s="1"/>
  <c r="P22" i="18"/>
  <c r="BS33" i="14"/>
  <c r="BT33" i="14" s="1"/>
  <c r="BO33" i="14"/>
  <c r="Q22" i="18" s="1"/>
  <c r="BP33" i="14"/>
  <c r="CP33" i="14" s="1"/>
  <c r="A264" i="8"/>
  <c r="B264" i="8" s="1"/>
  <c r="A260" i="8"/>
  <c r="B260" i="8" s="1"/>
  <c r="BG139" i="10"/>
  <c r="CA150" i="10" s="1"/>
  <c r="BH139" i="10"/>
  <c r="CB150" i="10" s="1"/>
  <c r="J33" i="14"/>
  <c r="K33" i="14" s="1"/>
  <c r="R33" i="14" s="1"/>
  <c r="AI180" i="19"/>
  <c r="AJ180" i="19"/>
  <c r="BK242" i="16"/>
  <c r="BJ224" i="16"/>
  <c r="BL242" i="16" s="1"/>
  <c r="BF167" i="19"/>
  <c r="BF159" i="19"/>
  <c r="DK141" i="16"/>
  <c r="CF148" i="16" s="1"/>
  <c r="DJ141" i="16"/>
  <c r="CE148" i="16" s="1"/>
  <c r="AJ18" i="14"/>
  <c r="AT18" i="14"/>
  <c r="Y18" i="14"/>
  <c r="AU18" i="14"/>
  <c r="AA18" i="14"/>
  <c r="AW18" i="14"/>
  <c r="AB18" i="14"/>
  <c r="V18" i="14"/>
  <c r="AO18" i="14"/>
  <c r="AK18" i="14"/>
  <c r="AN18" i="14"/>
  <c r="AS18" i="14"/>
  <c r="AY18" i="14" s="1"/>
  <c r="AV18" i="14"/>
  <c r="AX18" i="14"/>
  <c r="U18" i="14"/>
  <c r="AL18" i="14"/>
  <c r="S18" i="14"/>
  <c r="Z18" i="14"/>
  <c r="T18" i="14"/>
  <c r="AM18" i="14"/>
  <c r="AQ18" i="14" s="1"/>
  <c r="LQ67" i="14"/>
  <c r="BE245" i="19"/>
  <c r="AX221" i="19"/>
  <c r="BF245" i="19" s="1"/>
  <c r="AU237" i="10"/>
  <c r="CL244" i="10" s="1"/>
  <c r="CK244" i="10"/>
  <c r="AI188" i="19"/>
  <c r="AF246" i="19" s="1"/>
  <c r="AE246" i="19" s="1"/>
  <c r="AJ188" i="19"/>
  <c r="AH246" i="19" s="1"/>
  <c r="R321" i="8"/>
  <c r="Q321" i="8"/>
  <c r="BR166" i="16"/>
  <c r="BR158" i="16"/>
  <c r="EV67" i="14"/>
  <c r="FV67" i="14"/>
  <c r="AA61" i="18"/>
  <c r="EQ71" i="14"/>
  <c r="DW71" i="14"/>
  <c r="EW71" i="14" s="1"/>
  <c r="FO71" i="14"/>
  <c r="DV71" i="14"/>
  <c r="AB61" i="18" s="1"/>
  <c r="DZ71" i="14"/>
  <c r="EA71" i="14" s="1"/>
  <c r="FF71" i="14"/>
  <c r="K59" i="23" s="1"/>
  <c r="FS71" i="14"/>
  <c r="FT71" i="14" s="1"/>
  <c r="EK71" i="14"/>
  <c r="K28" i="22" s="1"/>
  <c r="CN142" i="16"/>
  <c r="CG153" i="16" s="1"/>
  <c r="CO142" i="16"/>
  <c r="CH153" i="16" s="1"/>
  <c r="AL331" i="19"/>
  <c r="AK331" i="19"/>
  <c r="AA16" i="18"/>
  <c r="DW27" i="14"/>
  <c r="EW27" i="14" s="1"/>
  <c r="DZ27" i="14"/>
  <c r="EA27" i="14" s="1"/>
  <c r="DV27" i="14"/>
  <c r="AB16" i="18" s="1"/>
  <c r="JJ35" i="14"/>
  <c r="KD35" i="14" s="1"/>
  <c r="KJ35" i="14"/>
  <c r="AW29" i="18"/>
  <c r="IY40" i="14"/>
  <c r="G28" i="22" s="1"/>
  <c r="KC40" i="14"/>
  <c r="IJ40" i="14"/>
  <c r="AX29" i="18" s="1"/>
  <c r="IN40" i="14"/>
  <c r="IO40" i="14" s="1"/>
  <c r="JE40" i="14"/>
  <c r="KG40" i="14"/>
  <c r="IK40" i="14"/>
  <c r="JK40" i="14" s="1"/>
  <c r="JT40" i="14"/>
  <c r="G59" i="23" s="1"/>
  <c r="N274" i="8"/>
  <c r="P274" i="8" s="1"/>
  <c r="GJ67" i="14"/>
  <c r="GK67" i="14" s="1"/>
  <c r="GL67" i="14" s="1"/>
  <c r="R232" i="8"/>
  <c r="U349" i="10"/>
  <c r="T349" i="10"/>
  <c r="P294" i="8"/>
  <c r="BS143" i="16"/>
  <c r="CJ151" i="16" s="1"/>
  <c r="BR143" i="16"/>
  <c r="CI151" i="16" s="1"/>
  <c r="AJ206" i="16"/>
  <c r="AH264" i="16" s="1"/>
  <c r="AI206" i="16"/>
  <c r="AF264" i="16" s="1"/>
  <c r="AE264" i="16" s="1"/>
  <c r="DK106" i="16"/>
  <c r="DJ106" i="16"/>
  <c r="AM520" i="10"/>
  <c r="AN519" i="10"/>
  <c r="AO519" i="10" s="1"/>
  <c r="BS245" i="16"/>
  <c r="AX228" i="16"/>
  <c r="BT245" i="16" s="1"/>
  <c r="AE218" i="16"/>
  <c r="AH218" i="16" s="1"/>
  <c r="AG218" i="16"/>
  <c r="JJ63" i="14"/>
  <c r="KD63" i="14" s="1"/>
  <c r="HC67" i="14"/>
  <c r="HW67" i="14" s="1"/>
  <c r="GG62" i="14"/>
  <c r="GH62" i="14" s="1"/>
  <c r="GD62" i="14"/>
  <c r="HD62" i="14" s="1"/>
  <c r="AL52" i="18"/>
  <c r="GC62" i="14"/>
  <c r="AM52" i="18" s="1"/>
  <c r="DJ102" i="19"/>
  <c r="DK102" i="19"/>
  <c r="HC26" i="14"/>
  <c r="IQ56" i="14"/>
  <c r="IR56" i="14" s="1"/>
  <c r="IS56" i="14" s="1"/>
  <c r="CO62" i="14"/>
  <c r="P41" i="18"/>
  <c r="DL51" i="14"/>
  <c r="DM51" i="14" s="1"/>
  <c r="CJ51" i="14"/>
  <c r="CD51" i="14"/>
  <c r="J8" i="22" s="1"/>
  <c r="DH51" i="14"/>
  <c r="BO51" i="14"/>
  <c r="Q41" i="18" s="1"/>
  <c r="BS51" i="14"/>
  <c r="BT51" i="14" s="1"/>
  <c r="BP51" i="14"/>
  <c r="CP51" i="14" s="1"/>
  <c r="CY51" i="14"/>
  <c r="J39" i="23" s="1"/>
  <c r="N28" i="14"/>
  <c r="K28" i="14"/>
  <c r="R28" i="14" s="1"/>
  <c r="R323" i="8"/>
  <c r="BZ202" i="10"/>
  <c r="CB206" i="10"/>
  <c r="CB203" i="10"/>
  <c r="BZ209" i="10"/>
  <c r="AX236" i="16"/>
  <c r="CJ245" i="16" s="1"/>
  <c r="CI245" i="16"/>
  <c r="AV102" i="10"/>
  <c r="AW102" i="10"/>
  <c r="BI242" i="10"/>
  <c r="BJ223" i="10"/>
  <c r="BJ242" i="10" s="1"/>
  <c r="CC100" i="16"/>
  <c r="CD100" i="16"/>
  <c r="LQ18" i="14"/>
  <c r="MK18" i="14" s="1"/>
  <c r="MQ18" i="14"/>
  <c r="CO25" i="14"/>
  <c r="BV165" i="19"/>
  <c r="BV157" i="19"/>
  <c r="I200" i="16"/>
  <c r="J200" i="16"/>
  <c r="J26" i="14"/>
  <c r="K26" i="14" s="1"/>
  <c r="R26" i="14" s="1"/>
  <c r="AJ185" i="16"/>
  <c r="AH243" i="16" s="1"/>
  <c r="AI185" i="16"/>
  <c r="AF243" i="16" s="1"/>
  <c r="AE243" i="16" s="1"/>
  <c r="I59" i="14"/>
  <c r="AI59" i="14" s="1"/>
  <c r="H59" i="14"/>
  <c r="F49" i="18" s="1"/>
  <c r="E49" i="18"/>
  <c r="L59" i="14"/>
  <c r="M59" i="14" s="1"/>
  <c r="C42" i="21"/>
  <c r="BS138" i="16"/>
  <c r="BZ151" i="16" s="1"/>
  <c r="BR138" i="16"/>
  <c r="BY151" i="16" s="1"/>
  <c r="R324" i="8"/>
  <c r="BH89" i="10"/>
  <c r="BG89" i="10"/>
  <c r="AJ202" i="16"/>
  <c r="AH260" i="16" s="1"/>
  <c r="AI202" i="16"/>
  <c r="AF260" i="16" s="1"/>
  <c r="AE260" i="16" s="1"/>
  <c r="LQ56" i="14"/>
  <c r="R236" i="8"/>
  <c r="Q236" i="8"/>
  <c r="BI245" i="16"/>
  <c r="AX223" i="16"/>
  <c r="BJ245" i="16" s="1"/>
  <c r="AA52" i="18"/>
  <c r="DW62" i="14"/>
  <c r="EW62" i="14" s="1"/>
  <c r="DZ62" i="14"/>
  <c r="EA62" i="14" s="1"/>
  <c r="DV62" i="14"/>
  <c r="AB52" i="18" s="1"/>
  <c r="EV60" i="14"/>
  <c r="FP60" i="14" s="1"/>
  <c r="AW160" i="16"/>
  <c r="AX177" i="16"/>
  <c r="AW177" i="16"/>
  <c r="BJ166" i="19"/>
  <c r="BJ158" i="19"/>
  <c r="DJ124" i="16"/>
  <c r="AW148" i="16" s="1"/>
  <c r="DK124" i="16"/>
  <c r="AX148" i="16" s="1"/>
  <c r="X295" i="16"/>
  <c r="X296" i="16" s="1"/>
  <c r="X297" i="16" s="1"/>
  <c r="X298" i="16" s="1"/>
  <c r="Y295" i="16"/>
  <c r="Y296" i="16" s="1"/>
  <c r="Y297" i="16" s="1"/>
  <c r="Y298" i="16" s="1"/>
  <c r="Y299" i="16" s="1"/>
  <c r="Y300" i="16" s="1"/>
  <c r="Y301" i="16" s="1"/>
  <c r="Y302" i="16" s="1"/>
  <c r="Y303" i="16" s="1"/>
  <c r="Y304" i="16" s="1"/>
  <c r="Y305" i="16" s="1"/>
  <c r="Y306" i="16" s="1"/>
  <c r="Y307" i="16" s="1"/>
  <c r="Y308" i="16" s="1"/>
  <c r="Y309" i="16" s="1"/>
  <c r="Y310" i="16" s="1"/>
  <c r="Y311" i="16" s="1"/>
  <c r="Y312" i="16" s="1"/>
  <c r="Y313" i="16" s="1"/>
  <c r="Y314" i="16" s="1"/>
  <c r="Y315" i="16" s="1"/>
  <c r="Y316" i="16" s="1"/>
  <c r="Y317" i="16" s="1"/>
  <c r="Y318" i="16" s="1"/>
  <c r="Y319" i="16" s="1"/>
  <c r="Y320" i="16" s="1"/>
  <c r="Y321" i="16" s="1"/>
  <c r="Y322" i="16" s="1"/>
  <c r="Y323" i="16" s="1"/>
  <c r="Y324" i="16" s="1"/>
  <c r="Y325" i="16" s="1"/>
  <c r="Y326" i="16" s="1"/>
  <c r="Y327" i="16" s="1"/>
  <c r="Y328" i="16" s="1"/>
  <c r="Y329" i="16" s="1"/>
  <c r="Y330" i="16" s="1"/>
  <c r="Y331" i="16" s="1"/>
  <c r="Y332" i="16" s="1"/>
  <c r="Y333" i="16" s="1"/>
  <c r="Y334" i="16" s="1"/>
  <c r="Y335" i="16" s="1"/>
  <c r="Y336" i="16" s="1"/>
  <c r="Y337" i="16" s="1"/>
  <c r="Y338" i="16" s="1"/>
  <c r="Y339" i="16" s="1"/>
  <c r="Y340" i="16" s="1"/>
  <c r="Y341" i="16" s="1"/>
  <c r="Y342" i="16" s="1"/>
  <c r="Y343" i="16" s="1"/>
  <c r="Y344" i="16" s="1"/>
  <c r="Y345" i="16" s="1"/>
  <c r="Y346" i="16" s="1"/>
  <c r="Y347" i="16" s="1"/>
  <c r="Y348" i="16" s="1"/>
  <c r="Y349" i="16" s="1"/>
  <c r="Y350" i="16" s="1"/>
  <c r="Y351" i="16" s="1"/>
  <c r="Y352" i="16" s="1"/>
  <c r="Y353" i="16" s="1"/>
  <c r="Y354" i="16" s="1"/>
  <c r="Y355" i="16" s="1"/>
  <c r="Y356" i="16" s="1"/>
  <c r="Y357" i="16" s="1"/>
  <c r="Y358" i="16" s="1"/>
  <c r="Y359" i="16" s="1"/>
  <c r="Y360" i="16" s="1"/>
  <c r="Y361" i="16" s="1"/>
  <c r="Y362" i="16" s="1"/>
  <c r="Y363" i="16" s="1"/>
  <c r="Y364" i="16" s="1"/>
  <c r="Y365" i="16" s="1"/>
  <c r="Y366" i="16" s="1"/>
  <c r="Y367" i="16" s="1"/>
  <c r="Y368" i="16" s="1"/>
  <c r="Y369" i="16" s="1"/>
  <c r="Y370" i="16" s="1"/>
  <c r="Y371" i="16" s="1"/>
  <c r="Y372" i="16" s="1"/>
  <c r="Y373" i="16" s="1"/>
  <c r="Y374" i="16" s="1"/>
  <c r="Y375" i="16" s="1"/>
  <c r="Y376" i="16" s="1"/>
  <c r="Y377" i="16" s="1"/>
  <c r="Y378" i="16" s="1"/>
  <c r="Y379" i="16" s="1"/>
  <c r="Y380" i="16" s="1"/>
  <c r="Y381" i="16" s="1"/>
  <c r="Y382" i="16" s="1"/>
  <c r="EV28" i="14"/>
  <c r="FP28" i="14" s="1"/>
  <c r="JJ23" i="14"/>
  <c r="KJ23" i="14"/>
  <c r="JJ37" i="14"/>
  <c r="KD37" i="14" s="1"/>
  <c r="KJ37" i="14"/>
  <c r="GJ71" i="14"/>
  <c r="GK71" i="14" s="1"/>
  <c r="GL71" i="14" s="1"/>
  <c r="N278" i="8"/>
  <c r="P278" i="8" s="1"/>
  <c r="Q296" i="8"/>
  <c r="R296" i="8"/>
  <c r="Q289" i="8"/>
  <c r="R289" i="8"/>
  <c r="AH145" i="10"/>
  <c r="AH129" i="10"/>
  <c r="AH129" i="19"/>
  <c r="P293" i="8"/>
  <c r="J197" i="19"/>
  <c r="I197" i="19"/>
  <c r="JJ57" i="14"/>
  <c r="JJ59" i="14"/>
  <c r="JJ71" i="14"/>
  <c r="KJ71" i="14"/>
  <c r="JJ50" i="14"/>
  <c r="KD50" i="14" s="1"/>
  <c r="KJ50" i="14"/>
  <c r="AW60" i="18"/>
  <c r="JT70" i="14"/>
  <c r="M58" i="23" s="1"/>
  <c r="IY70" i="14"/>
  <c r="M27" i="22" s="1"/>
  <c r="KC70" i="14"/>
  <c r="JE70" i="14"/>
  <c r="IK70" i="14"/>
  <c r="JK70" i="14" s="1"/>
  <c r="IJ70" i="14"/>
  <c r="AX60" i="18" s="1"/>
  <c r="KG70" i="14"/>
  <c r="IN70" i="14"/>
  <c r="IO70" i="14" s="1"/>
  <c r="AW56" i="18"/>
  <c r="JE66" i="14"/>
  <c r="IN66" i="14"/>
  <c r="IO66" i="14" s="1"/>
  <c r="IK66" i="14"/>
  <c r="JK66" i="14" s="1"/>
  <c r="KC66" i="14"/>
  <c r="IJ66" i="14"/>
  <c r="AX56" i="18" s="1"/>
  <c r="IY66" i="14"/>
  <c r="M23" i="22" s="1"/>
  <c r="KG66" i="14"/>
  <c r="JT66" i="14"/>
  <c r="M54" i="23" s="1"/>
  <c r="HC62" i="14"/>
  <c r="HW62" i="14" s="1"/>
  <c r="HC59" i="14"/>
  <c r="GD59" i="14"/>
  <c r="HD59" i="14" s="1"/>
  <c r="GG59" i="14"/>
  <c r="GH59" i="14" s="1"/>
  <c r="GC59" i="14"/>
  <c r="AM49" i="18" s="1"/>
  <c r="AL49" i="18"/>
  <c r="HC63" i="14"/>
  <c r="AL41" i="18"/>
  <c r="GC51" i="14"/>
  <c r="AM41" i="18" s="1"/>
  <c r="GD51" i="14"/>
  <c r="HD51" i="14" s="1"/>
  <c r="GG51" i="14"/>
  <c r="GH51" i="14" s="1"/>
  <c r="HZ51" i="14"/>
  <c r="HV51" i="14"/>
  <c r="HM51" i="14"/>
  <c r="L39" i="23" s="1"/>
  <c r="GX51" i="14"/>
  <c r="GR51" i="14"/>
  <c r="L8" i="22" s="1"/>
  <c r="AL56" i="18"/>
  <c r="GD66" i="14"/>
  <c r="HD66" i="14" s="1"/>
  <c r="GR66" i="14"/>
  <c r="L23" i="22" s="1"/>
  <c r="GC66" i="14"/>
  <c r="AM56" i="18" s="1"/>
  <c r="HZ66" i="14"/>
  <c r="HV66" i="14"/>
  <c r="HM66" i="14"/>
  <c r="L54" i="23" s="1"/>
  <c r="GX66" i="14"/>
  <c r="GG66" i="14"/>
  <c r="GH66" i="14" s="1"/>
  <c r="J119" i="8"/>
  <c r="J121" i="8" s="1"/>
  <c r="J122" i="8" s="1"/>
  <c r="K119" i="8"/>
  <c r="K121" i="8" s="1"/>
  <c r="K122" i="8" s="1"/>
  <c r="Q293" i="8"/>
  <c r="R293" i="8"/>
  <c r="R273" i="8"/>
  <c r="Q273" i="8"/>
  <c r="M201" i="8"/>
  <c r="M213" i="8"/>
  <c r="AR208" i="19"/>
  <c r="AP207" i="19"/>
  <c r="BS255" i="16"/>
  <c r="BT255" i="16"/>
  <c r="CA244" i="10"/>
  <c r="AU232" i="10"/>
  <c r="CB244" i="10" s="1"/>
  <c r="BH156" i="16"/>
  <c r="BH164" i="16"/>
  <c r="BG164" i="16"/>
  <c r="BG165" i="16" s="1"/>
  <c r="BG166" i="16" s="1"/>
  <c r="AI35" i="14"/>
  <c r="BB35" i="14"/>
  <c r="AL14" i="18"/>
  <c r="GC25" i="14"/>
  <c r="AM14" i="18" s="1"/>
  <c r="GD25" i="14"/>
  <c r="HD25" i="14" s="1"/>
  <c r="GG25" i="14"/>
  <c r="GH25" i="14" s="1"/>
  <c r="HC18" i="14"/>
  <c r="IC18" i="14"/>
  <c r="HC39" i="14"/>
  <c r="IC39" i="14"/>
  <c r="HC21" i="14"/>
  <c r="IC21" i="14"/>
  <c r="HC19" i="14"/>
  <c r="HW19" i="14" s="1"/>
  <c r="IC19" i="14"/>
  <c r="AL28" i="18"/>
  <c r="HZ39" i="14"/>
  <c r="HV39" i="14"/>
  <c r="GG39" i="14"/>
  <c r="GH39" i="14" s="1"/>
  <c r="HM39" i="14"/>
  <c r="F58" i="23" s="1"/>
  <c r="GR39" i="14"/>
  <c r="F27" i="22" s="1"/>
  <c r="GC39" i="14"/>
  <c r="AM28" i="18" s="1"/>
  <c r="GD39" i="14"/>
  <c r="HD39" i="14" s="1"/>
  <c r="GX39" i="14"/>
  <c r="AL26" i="18"/>
  <c r="GC37" i="14"/>
  <c r="AM26" i="18" s="1"/>
  <c r="HM37" i="14"/>
  <c r="F56" i="23" s="1"/>
  <c r="HV37" i="14"/>
  <c r="GX37" i="14"/>
  <c r="HZ37" i="14"/>
  <c r="IA37" i="14" s="1"/>
  <c r="GG37" i="14"/>
  <c r="GH37" i="14" s="1"/>
  <c r="GD37" i="14"/>
  <c r="HD37" i="14" s="1"/>
  <c r="GR37" i="14"/>
  <c r="F25" i="22" s="1"/>
  <c r="A70" i="8"/>
  <c r="A67" i="8"/>
  <c r="AW92" i="10"/>
  <c r="AV92" i="10"/>
  <c r="AI215" i="16"/>
  <c r="AF273" i="16" s="1"/>
  <c r="AE273" i="16" s="1"/>
  <c r="AJ215" i="16"/>
  <c r="AH273" i="16" s="1"/>
  <c r="Q291" i="8"/>
  <c r="R291" i="8"/>
  <c r="BS141" i="16"/>
  <c r="CF151" i="16" s="1"/>
  <c r="BR141" i="16"/>
  <c r="CE151" i="16" s="1"/>
  <c r="T213" i="10"/>
  <c r="U213" i="10"/>
  <c r="CO56" i="14"/>
  <c r="DI56" i="14" s="1"/>
  <c r="CO67" i="14"/>
  <c r="DI67" i="14" s="1"/>
  <c r="DO67" i="14"/>
  <c r="P46" i="18"/>
  <c r="BS56" i="14"/>
  <c r="BT56" i="14" s="1"/>
  <c r="BP56" i="14"/>
  <c r="CP56" i="14" s="1"/>
  <c r="BO56" i="14"/>
  <c r="Q46" i="18" s="1"/>
  <c r="CO53" i="14"/>
  <c r="DO53" i="14"/>
  <c r="CO58" i="14"/>
  <c r="P59" i="18"/>
  <c r="CY69" i="14"/>
  <c r="J57" i="23" s="1"/>
  <c r="BP69" i="14"/>
  <c r="CP69" i="14" s="1"/>
  <c r="CD69" i="14"/>
  <c r="J26" i="22" s="1"/>
  <c r="CJ69" i="14"/>
  <c r="BS69" i="14"/>
  <c r="BT69" i="14" s="1"/>
  <c r="DL69" i="14"/>
  <c r="DH69" i="14"/>
  <c r="BO69" i="14"/>
  <c r="Q59" i="18" s="1"/>
  <c r="BW161" i="10"/>
  <c r="BW178" i="10"/>
  <c r="BW208" i="10" s="1"/>
  <c r="BX178" i="10"/>
  <c r="BX208" i="10" s="1"/>
  <c r="BS90" i="16"/>
  <c r="BR90" i="16"/>
  <c r="R247" i="8"/>
  <c r="CO93" i="16"/>
  <c r="CN93" i="16"/>
  <c r="U485" i="10"/>
  <c r="V484" i="10"/>
  <c r="W484" i="10" s="1"/>
  <c r="T218" i="19"/>
  <c r="U218" i="19"/>
  <c r="BG166" i="19"/>
  <c r="CA159" i="10"/>
  <c r="CA176" i="10"/>
  <c r="CB176" i="10"/>
  <c r="CI170" i="10"/>
  <c r="CJ170" i="10"/>
  <c r="BU254" i="16"/>
  <c r="BV254" i="16"/>
  <c r="AW165" i="10"/>
  <c r="AW166" i="10" s="1"/>
  <c r="AX165" i="10"/>
  <c r="BS128" i="16"/>
  <c r="BF151" i="16" s="1"/>
  <c r="BR128" i="16"/>
  <c r="BE151" i="16" s="1"/>
  <c r="AE190" i="10"/>
  <c r="AH190" i="10" s="1"/>
  <c r="AG190" i="10"/>
  <c r="BJ214" i="19"/>
  <c r="AR242" i="19" s="1"/>
  <c r="AQ242" i="19"/>
  <c r="CN135" i="16"/>
  <c r="BS153" i="16" s="1"/>
  <c r="CO135" i="16"/>
  <c r="BT153" i="16" s="1"/>
  <c r="BS161" i="16" s="1"/>
  <c r="BG93" i="10"/>
  <c r="BH93" i="10"/>
  <c r="DJ120" i="16"/>
  <c r="AO148" i="16" s="1"/>
  <c r="DK120" i="16"/>
  <c r="AP148" i="16" s="1"/>
  <c r="DK97" i="10"/>
  <c r="DJ97" i="10"/>
  <c r="CD93" i="16"/>
  <c r="CC93" i="16"/>
  <c r="AI190" i="16"/>
  <c r="AF248" i="16" s="1"/>
  <c r="AE248" i="16" s="1"/>
  <c r="AJ190" i="16"/>
  <c r="AH248" i="16" s="1"/>
  <c r="AC295" i="19"/>
  <c r="LQ40" i="14"/>
  <c r="MK40" i="14" s="1"/>
  <c r="MQ40" i="14"/>
  <c r="LQ20" i="14"/>
  <c r="MQ20" i="14"/>
  <c r="MQ21" i="14"/>
  <c r="LQ21" i="14"/>
  <c r="MK21" i="14" s="1"/>
  <c r="LQ41" i="14"/>
  <c r="MQ41" i="14"/>
  <c r="BH29" i="18"/>
  <c r="LL40" i="14"/>
  <c r="MA40" i="14"/>
  <c r="H59" i="23" s="1"/>
  <c r="LF40" i="14"/>
  <c r="H28" i="22" s="1"/>
  <c r="KQ40" i="14"/>
  <c r="BI29" i="18" s="1"/>
  <c r="MN40" i="14"/>
  <c r="MO40" i="14" s="1"/>
  <c r="KR40" i="14"/>
  <c r="LR40" i="14" s="1"/>
  <c r="MJ40" i="14"/>
  <c r="KU40" i="14"/>
  <c r="KV40" i="14" s="1"/>
  <c r="BH9" i="18"/>
  <c r="LF20" i="14"/>
  <c r="H8" i="22" s="1"/>
  <c r="KQ20" i="14"/>
  <c r="BI9" i="18" s="1"/>
  <c r="KR20" i="14"/>
  <c r="LR20" i="14" s="1"/>
  <c r="MA20" i="14"/>
  <c r="H39" i="23" s="1"/>
  <c r="LL20" i="14"/>
  <c r="KU20" i="14"/>
  <c r="KV20" i="14" s="1"/>
  <c r="MN20" i="14"/>
  <c r="MJ20" i="14"/>
  <c r="BS26" i="14"/>
  <c r="BT26" i="14" s="1"/>
  <c r="BO26" i="14"/>
  <c r="Q15" i="18" s="1"/>
  <c r="BP26" i="14"/>
  <c r="CP26" i="14" s="1"/>
  <c r="P15" i="18"/>
  <c r="CO37" i="14"/>
  <c r="DI37" i="14" s="1"/>
  <c r="DO37" i="14"/>
  <c r="CO27" i="14"/>
  <c r="DI27" i="14" s="1"/>
  <c r="CO33" i="14"/>
  <c r="P30" i="18"/>
  <c r="CD41" i="14"/>
  <c r="D29" i="22" s="1"/>
  <c r="CJ41" i="14"/>
  <c r="BP41" i="14"/>
  <c r="CP41" i="14" s="1"/>
  <c r="DL41" i="14"/>
  <c r="DM41" i="14" s="1"/>
  <c r="DH41" i="14"/>
  <c r="CY41" i="14"/>
  <c r="D60" i="23" s="1"/>
  <c r="BO41" i="14"/>
  <c r="Q30" i="18" s="1"/>
  <c r="BS41" i="14"/>
  <c r="BT41" i="14" s="1"/>
  <c r="P11" i="18"/>
  <c r="BS22" i="14"/>
  <c r="BT22" i="14" s="1"/>
  <c r="DL22" i="14"/>
  <c r="DM22" i="14" s="1"/>
  <c r="CJ22" i="14"/>
  <c r="CY22" i="14"/>
  <c r="D41" i="23" s="1"/>
  <c r="BO22" i="14"/>
  <c r="Q11" i="18" s="1"/>
  <c r="DH22" i="14"/>
  <c r="BP22" i="14"/>
  <c r="CP22" i="14" s="1"/>
  <c r="CD22" i="14"/>
  <c r="D10" i="22" s="1"/>
  <c r="R162" i="8"/>
  <c r="Q162" i="8"/>
  <c r="R262" i="8"/>
  <c r="Q262" i="8"/>
  <c r="CN103" i="16"/>
  <c r="CO103" i="16"/>
  <c r="BR92" i="19"/>
  <c r="BS92" i="19"/>
  <c r="U196" i="16"/>
  <c r="T196" i="16"/>
  <c r="I189" i="19"/>
  <c r="J189" i="19"/>
  <c r="C66" i="22"/>
  <c r="J20" i="14"/>
  <c r="K20" i="14" s="1"/>
  <c r="R20" i="14" s="1"/>
  <c r="CN136" i="16"/>
  <c r="BU153" i="16" s="1"/>
  <c r="CO136" i="16"/>
  <c r="BV153" i="16" s="1"/>
  <c r="I191" i="10"/>
  <c r="J191" i="10"/>
  <c r="AK328" i="19"/>
  <c r="AH72" i="14"/>
  <c r="BB72" i="14" s="1"/>
  <c r="BH72" i="14"/>
  <c r="AH64" i="14"/>
  <c r="BH64" i="14"/>
  <c r="AH51" i="14"/>
  <c r="BH51" i="14"/>
  <c r="AH60" i="14"/>
  <c r="AH63" i="14"/>
  <c r="BB63" i="14" s="1"/>
  <c r="H36" i="18"/>
  <c r="I36" i="18"/>
  <c r="I51" i="18"/>
  <c r="I41" i="18"/>
  <c r="I61" i="18"/>
  <c r="I45" i="18"/>
  <c r="I53" i="18"/>
  <c r="I47" i="18"/>
  <c r="I48" i="18"/>
  <c r="I44" i="18"/>
  <c r="I62" i="18"/>
  <c r="I39" i="18"/>
  <c r="I52" i="18"/>
  <c r="I50" i="18"/>
  <c r="I60" i="18"/>
  <c r="I40" i="18"/>
  <c r="I55" i="18"/>
  <c r="I49" i="18"/>
  <c r="I54" i="18"/>
  <c r="I56" i="18"/>
  <c r="I46" i="18"/>
  <c r="I59" i="18"/>
  <c r="I42" i="18"/>
  <c r="I43" i="18"/>
  <c r="I58" i="18"/>
  <c r="I57" i="18"/>
  <c r="R292" i="8"/>
  <c r="Q292" i="8"/>
  <c r="BS120" i="19"/>
  <c r="AP151" i="19" s="1"/>
  <c r="BR120" i="19"/>
  <c r="AO151" i="19" s="1"/>
  <c r="H8" i="18"/>
  <c r="C10" i="13" s="1"/>
  <c r="J8" i="18"/>
  <c r="C42" i="13" s="1"/>
  <c r="BY159" i="16"/>
  <c r="DJ130" i="19"/>
  <c r="BI148" i="19" s="1"/>
  <c r="DK130" i="19"/>
  <c r="BJ148" i="19" s="1"/>
  <c r="BE244" i="10"/>
  <c r="AU221" i="10"/>
  <c r="BF244" i="10" s="1"/>
  <c r="U354" i="10"/>
  <c r="T354" i="10"/>
  <c r="Q148" i="8"/>
  <c r="CC160" i="16"/>
  <c r="AS158" i="10"/>
  <c r="AS175" i="10"/>
  <c r="AT175" i="10"/>
  <c r="BS104" i="16"/>
  <c r="BR104" i="16"/>
  <c r="BR130" i="16"/>
  <c r="BI151" i="16" s="1"/>
  <c r="BS130" i="16"/>
  <c r="BJ151" i="16" s="1"/>
  <c r="BR133" i="16"/>
  <c r="BO151" i="16" s="1"/>
  <c r="BS133" i="16"/>
  <c r="BP151" i="16" s="1"/>
  <c r="DK89" i="19"/>
  <c r="DJ89" i="19"/>
  <c r="BC226" i="16"/>
  <c r="BO247" i="16" s="1"/>
  <c r="BM247" i="16"/>
  <c r="BS99" i="19"/>
  <c r="BR99" i="19"/>
  <c r="AW110" i="10"/>
  <c r="AV110" i="10"/>
  <c r="DK110" i="16"/>
  <c r="DJ110" i="16"/>
  <c r="DK106" i="10"/>
  <c r="DJ106" i="10"/>
  <c r="J192" i="16"/>
  <c r="I192" i="16"/>
  <c r="Y293" i="16"/>
  <c r="Y294" i="16" s="1"/>
  <c r="I196" i="19"/>
  <c r="J196" i="19"/>
  <c r="AC334" i="19"/>
  <c r="X23" i="14"/>
  <c r="C40" i="9"/>
  <c r="LQ62" i="14"/>
  <c r="MK62" i="14" s="1"/>
  <c r="KR55" i="14"/>
  <c r="LR55" i="14" s="1"/>
  <c r="BH45" i="18"/>
  <c r="KQ55" i="14"/>
  <c r="BI45" i="18" s="1"/>
  <c r="KU55" i="14"/>
  <c r="KV55" i="14" s="1"/>
  <c r="KQ64" i="14"/>
  <c r="BI54" i="18" s="1"/>
  <c r="BH54" i="18"/>
  <c r="KU64" i="14"/>
  <c r="KV64" i="14" s="1"/>
  <c r="KR64" i="14"/>
  <c r="LR64" i="14" s="1"/>
  <c r="BH39" i="18"/>
  <c r="MN49" i="14"/>
  <c r="LF49" i="14"/>
  <c r="N6" i="22" s="1"/>
  <c r="KR49" i="14"/>
  <c r="LR49" i="14" s="1"/>
  <c r="MJ49" i="14"/>
  <c r="MA49" i="14"/>
  <c r="N37" i="23" s="1"/>
  <c r="KQ49" i="14"/>
  <c r="BI39" i="18" s="1"/>
  <c r="KU49" i="14"/>
  <c r="KV49" i="14" s="1"/>
  <c r="LL49" i="14"/>
  <c r="BH43" i="18"/>
  <c r="MN53" i="14"/>
  <c r="MO53" i="14" s="1"/>
  <c r="KQ53" i="14"/>
  <c r="BI43" i="18" s="1"/>
  <c r="LL53" i="14"/>
  <c r="MJ53" i="14"/>
  <c r="LF53" i="14"/>
  <c r="N10" i="22" s="1"/>
  <c r="KR53" i="14"/>
  <c r="LR53" i="14" s="1"/>
  <c r="MA53" i="14"/>
  <c r="N41" i="23" s="1"/>
  <c r="KU53" i="14"/>
  <c r="KV53" i="14" s="1"/>
  <c r="K183" i="8"/>
  <c r="K187" i="8" s="1"/>
  <c r="K188" i="8" s="1"/>
  <c r="J183" i="8"/>
  <c r="J187" i="8" s="1"/>
  <c r="J188" i="8" s="1"/>
  <c r="A230" i="8"/>
  <c r="A233" i="8"/>
  <c r="B233" i="8" s="1"/>
  <c r="AW255" i="19"/>
  <c r="AW254" i="19" s="1"/>
  <c r="AW253" i="19" s="1"/>
  <c r="AX255" i="19"/>
  <c r="AX254" i="19" s="1"/>
  <c r="AX253" i="19" s="1"/>
  <c r="BU167" i="16"/>
  <c r="BU168" i="16" s="1"/>
  <c r="BU169" i="16" s="1"/>
  <c r="BU170" i="16" s="1"/>
  <c r="AV160" i="10"/>
  <c r="AV159" i="10" s="1"/>
  <c r="BR100" i="16"/>
  <c r="BS100" i="16"/>
  <c r="AE36" i="14"/>
  <c r="C24" i="9"/>
  <c r="BK242" i="19"/>
  <c r="BJ224" i="19"/>
  <c r="BL242" i="19" s="1"/>
  <c r="BU247" i="16"/>
  <c r="BD229" i="16"/>
  <c r="BV247" i="16" s="1"/>
  <c r="BD223" i="16"/>
  <c r="BJ247" i="16" s="1"/>
  <c r="BI247" i="16"/>
  <c r="C57" i="22"/>
  <c r="Q158" i="8"/>
  <c r="R158" i="8"/>
  <c r="R322" i="8"/>
  <c r="J240" i="10"/>
  <c r="I240" i="10"/>
  <c r="R290" i="8"/>
  <c r="Q290" i="8"/>
  <c r="AY245" i="16"/>
  <c r="AX218" i="16"/>
  <c r="AZ245" i="16" s="1"/>
  <c r="CN109" i="16"/>
  <c r="CO109" i="16"/>
  <c r="AI238" i="16"/>
  <c r="AJ238" i="16"/>
  <c r="EV53" i="14"/>
  <c r="FP53" i="14" s="1"/>
  <c r="FV53" i="14"/>
  <c r="EV68" i="14"/>
  <c r="FV68" i="14"/>
  <c r="DZ58" i="14"/>
  <c r="EA58" i="14" s="1"/>
  <c r="DW58" i="14"/>
  <c r="EW58" i="14" s="1"/>
  <c r="AA48" i="18"/>
  <c r="DV58" i="14"/>
  <c r="AB48" i="18" s="1"/>
  <c r="EV58" i="14"/>
  <c r="FP58" i="14" s="1"/>
  <c r="AA56" i="18"/>
  <c r="EQ66" i="14"/>
  <c r="DV66" i="14"/>
  <c r="AB56" i="18" s="1"/>
  <c r="EK66" i="14"/>
  <c r="K23" i="22" s="1"/>
  <c r="FO66" i="14"/>
  <c r="FF66" i="14"/>
  <c r="K54" i="23" s="1"/>
  <c r="DZ66" i="14"/>
  <c r="EA66" i="14" s="1"/>
  <c r="FS66" i="14"/>
  <c r="DW66" i="14"/>
  <c r="EW66" i="14" s="1"/>
  <c r="AA39" i="18"/>
  <c r="FO49" i="14"/>
  <c r="FS49" i="14"/>
  <c r="DV49" i="14"/>
  <c r="AB39" i="18" s="1"/>
  <c r="EQ49" i="14"/>
  <c r="EK49" i="14"/>
  <c r="K6" i="22" s="1"/>
  <c r="DW49" i="14"/>
  <c r="EW49" i="14" s="1"/>
  <c r="FF49" i="14"/>
  <c r="K37" i="23" s="1"/>
  <c r="DZ49" i="14"/>
  <c r="EA49" i="14" s="1"/>
  <c r="BW207" i="10"/>
  <c r="BY208" i="10"/>
  <c r="CE207" i="10"/>
  <c r="CG208" i="10"/>
  <c r="BR111" i="16"/>
  <c r="BS111" i="16"/>
  <c r="T221" i="10"/>
  <c r="U221" i="10"/>
  <c r="U189" i="10"/>
  <c r="T189" i="10"/>
  <c r="AI184" i="10"/>
  <c r="AF242" i="10" s="1"/>
  <c r="AE242" i="10" s="1"/>
  <c r="AJ184" i="10"/>
  <c r="AH242" i="10" s="1"/>
  <c r="T189" i="19"/>
  <c r="U189" i="19"/>
  <c r="EV34" i="14"/>
  <c r="EV24" i="14"/>
  <c r="EV21" i="14"/>
  <c r="FP21" i="14" s="1"/>
  <c r="FV21" i="14"/>
  <c r="EV26" i="14"/>
  <c r="FP26" i="14" s="1"/>
  <c r="DZ29" i="14"/>
  <c r="EA29" i="14" s="1"/>
  <c r="DW29" i="14"/>
  <c r="EW29" i="14" s="1"/>
  <c r="AA18" i="18"/>
  <c r="AA12" i="18"/>
  <c r="DW23" i="14"/>
  <c r="EW23" i="14" s="1"/>
  <c r="DZ23" i="14"/>
  <c r="EA23" i="14" s="1"/>
  <c r="FS23" i="14"/>
  <c r="EQ23" i="14"/>
  <c r="FF23" i="14"/>
  <c r="E42" i="23" s="1"/>
  <c r="EK23" i="14"/>
  <c r="E11" i="22" s="1"/>
  <c r="FO23" i="14"/>
  <c r="DV23" i="14"/>
  <c r="AB12" i="18" s="1"/>
  <c r="JJ29" i="14"/>
  <c r="KD29" i="14" s="1"/>
  <c r="JJ38" i="14"/>
  <c r="KJ38" i="14"/>
  <c r="JJ25" i="14"/>
  <c r="KD25" i="14" s="1"/>
  <c r="KJ25" i="14"/>
  <c r="AW20" i="18"/>
  <c r="IN31" i="14"/>
  <c r="IO31" i="14" s="1"/>
  <c r="IK31" i="14"/>
  <c r="JK31" i="14" s="1"/>
  <c r="IJ31" i="14"/>
  <c r="AX20" i="18" s="1"/>
  <c r="IJ26" i="14"/>
  <c r="AX15" i="18" s="1"/>
  <c r="AW15" i="18"/>
  <c r="IN26" i="14"/>
  <c r="IO26" i="14" s="1"/>
  <c r="IK26" i="14"/>
  <c r="JK26" i="14" s="1"/>
  <c r="AW27" i="18"/>
  <c r="JE38" i="14"/>
  <c r="IK38" i="14"/>
  <c r="JK38" i="14" s="1"/>
  <c r="KG38" i="14"/>
  <c r="JT38" i="14"/>
  <c r="G57" i="23" s="1"/>
  <c r="IY38" i="14"/>
  <c r="G26" i="22" s="1"/>
  <c r="KC38" i="14"/>
  <c r="IN38" i="14"/>
  <c r="IO38" i="14" s="1"/>
  <c r="IJ38" i="14"/>
  <c r="AX27" i="18" s="1"/>
  <c r="BA4" i="18"/>
  <c r="AZ4" i="18"/>
  <c r="BA18" i="18"/>
  <c r="BA24" i="18"/>
  <c r="BA16" i="18"/>
  <c r="BA7" i="18"/>
  <c r="BA9" i="18"/>
  <c r="BA23" i="18"/>
  <c r="BA19" i="18"/>
  <c r="BA27" i="18"/>
  <c r="BA21" i="18"/>
  <c r="BA30" i="18"/>
  <c r="BA15" i="18"/>
  <c r="BA29" i="18"/>
  <c r="BA20" i="18"/>
  <c r="BA12" i="18"/>
  <c r="BA13" i="18"/>
  <c r="BA17" i="18"/>
  <c r="BA22" i="18"/>
  <c r="BA28" i="18"/>
  <c r="BA8" i="18"/>
  <c r="BA14" i="18"/>
  <c r="BA10" i="18"/>
  <c r="BA25" i="18"/>
  <c r="BA11" i="18"/>
  <c r="BA26" i="18"/>
  <c r="GJ34" i="14"/>
  <c r="GK34" i="14" s="1"/>
  <c r="GL34" i="14" s="1"/>
  <c r="GJ69" i="14"/>
  <c r="GK69" i="14" s="1"/>
  <c r="GL69" i="14" s="1"/>
  <c r="N276" i="8"/>
  <c r="P276" i="8" s="1"/>
  <c r="N271" i="8"/>
  <c r="P271" i="8" s="1"/>
  <c r="GJ64" i="14"/>
  <c r="GK64" i="14" s="1"/>
  <c r="GL64" i="14" s="1"/>
  <c r="GJ54" i="14"/>
  <c r="GK54" i="14" s="1"/>
  <c r="GL54" i="14" s="1"/>
  <c r="N261" i="8"/>
  <c r="P261" i="8" s="1"/>
  <c r="AI187" i="10"/>
  <c r="AF245" i="10" s="1"/>
  <c r="AE245" i="10" s="1"/>
  <c r="AJ187" i="10"/>
  <c r="AH245" i="10" s="1"/>
  <c r="I209" i="10"/>
  <c r="J209" i="10"/>
  <c r="Q122" i="8"/>
  <c r="R122" i="8"/>
  <c r="AH143" i="10"/>
  <c r="AH127" i="10"/>
  <c r="AH127" i="19"/>
  <c r="J29" i="2"/>
  <c r="J28" i="2"/>
  <c r="J42" i="2"/>
  <c r="J44" i="2"/>
  <c r="J26" i="2"/>
  <c r="J41" i="2"/>
  <c r="J43" i="2"/>
  <c r="J24" i="2"/>
  <c r="J22" i="2"/>
  <c r="J23" i="2"/>
  <c r="J21" i="2"/>
  <c r="J40" i="2"/>
  <c r="J25" i="2"/>
  <c r="J27" i="2"/>
  <c r="J33" i="2"/>
  <c r="J30" i="2"/>
  <c r="J39" i="2"/>
  <c r="J34" i="2"/>
  <c r="J35" i="2"/>
  <c r="J37" i="2"/>
  <c r="J38" i="2"/>
  <c r="J36" i="2"/>
  <c r="J31" i="2"/>
  <c r="J32" i="2"/>
  <c r="U351" i="10"/>
  <c r="T351" i="10"/>
  <c r="GJ19" i="14"/>
  <c r="GK19" i="14" s="1"/>
  <c r="GL19" i="14" s="1"/>
  <c r="N89" i="8"/>
  <c r="P89" i="8" s="1"/>
  <c r="N87" i="8"/>
  <c r="P87" i="8" s="1"/>
  <c r="GJ41" i="14"/>
  <c r="GK41" i="14" s="1"/>
  <c r="GL41" i="14" s="1"/>
  <c r="AV135" i="10"/>
  <c r="BS149" i="10" s="1"/>
  <c r="AW135" i="10"/>
  <c r="BT149" i="10" s="1"/>
  <c r="CC106" i="16"/>
  <c r="CD106" i="16"/>
  <c r="AC370" i="19"/>
  <c r="R244" i="8"/>
  <c r="Q244" i="8"/>
  <c r="BY174" i="19"/>
  <c r="BY157" i="19"/>
  <c r="BZ174" i="19"/>
  <c r="BG134" i="10"/>
  <c r="BQ150" i="10" s="1"/>
  <c r="BH134" i="10"/>
  <c r="BR150" i="10" s="1"/>
  <c r="Q134" i="8"/>
  <c r="R134" i="8"/>
  <c r="L37" i="2"/>
  <c r="L44" i="2"/>
  <c r="BY169" i="10"/>
  <c r="BZ169" i="10"/>
  <c r="CG207" i="19"/>
  <c r="CI208" i="19"/>
  <c r="JJ66" i="14"/>
  <c r="KD66" i="14" s="1"/>
  <c r="HC58" i="14"/>
  <c r="AL59" i="18"/>
  <c r="HM69" i="14"/>
  <c r="L57" i="23" s="1"/>
  <c r="GX69" i="14"/>
  <c r="GR69" i="14"/>
  <c r="L26" i="22" s="1"/>
  <c r="GD69" i="14"/>
  <c r="HD69" i="14" s="1"/>
  <c r="HV69" i="14"/>
  <c r="GC69" i="14"/>
  <c r="AM59" i="18" s="1"/>
  <c r="HZ69" i="14"/>
  <c r="GG69" i="14"/>
  <c r="GH69" i="14" s="1"/>
  <c r="B214" i="8"/>
  <c r="Q214" i="8" s="1"/>
  <c r="I9" i="3"/>
  <c r="I8" i="3"/>
  <c r="M211" i="8"/>
  <c r="AW99" i="10"/>
  <c r="AV99" i="10"/>
  <c r="HC36" i="14"/>
  <c r="IC36" i="14"/>
  <c r="CO51" i="14"/>
  <c r="DI51" i="14" s="1"/>
  <c r="DO51" i="14"/>
  <c r="DJ92" i="19"/>
  <c r="DK92" i="19"/>
  <c r="BG101" i="10"/>
  <c r="BH101" i="10"/>
  <c r="DJ98" i="10"/>
  <c r="DK98" i="10"/>
  <c r="BR165" i="16"/>
  <c r="BR157" i="16"/>
  <c r="KU27" i="14"/>
  <c r="KV27" i="14" s="1"/>
  <c r="BH16" i="18"/>
  <c r="KQ27" i="14"/>
  <c r="BI16" i="18" s="1"/>
  <c r="KR27" i="14"/>
  <c r="LR27" i="14" s="1"/>
  <c r="CO40" i="14"/>
  <c r="DO40" i="14"/>
  <c r="B229" i="8"/>
  <c r="B230" i="8"/>
  <c r="B227" i="8"/>
  <c r="C227" i="8" s="1"/>
  <c r="Q228" i="8"/>
  <c r="B226" i="8"/>
  <c r="C226" i="8" s="1"/>
  <c r="R228" i="8"/>
  <c r="Q249" i="8"/>
  <c r="R249" i="8"/>
  <c r="Q248" i="8"/>
  <c r="R229" i="8"/>
  <c r="Q250" i="8"/>
  <c r="Q229" i="8"/>
  <c r="R250" i="8"/>
  <c r="R248" i="8"/>
  <c r="R231" i="8"/>
  <c r="Q231" i="8"/>
  <c r="Q227" i="8"/>
  <c r="Q246" i="8"/>
  <c r="R227" i="8"/>
  <c r="Q230" i="8"/>
  <c r="R246" i="8"/>
  <c r="R230" i="8"/>
  <c r="DJ110" i="19"/>
  <c r="DK110" i="19"/>
  <c r="BG245" i="19"/>
  <c r="AX222" i="19"/>
  <c r="BH245" i="19" s="1"/>
  <c r="R12" i="8"/>
  <c r="Q12" i="8"/>
  <c r="H56" i="14"/>
  <c r="F46" i="18" s="1"/>
  <c r="E46" i="18"/>
  <c r="I56" i="14"/>
  <c r="AI56" i="14" s="1"/>
  <c r="L56" i="14"/>
  <c r="M56" i="14" s="1"/>
  <c r="L68" i="14"/>
  <c r="M68" i="14" s="1"/>
  <c r="AC68" i="14"/>
  <c r="E58" i="18"/>
  <c r="I68" i="14"/>
  <c r="AI68" i="14" s="1"/>
  <c r="W68" i="14"/>
  <c r="I25" i="22" s="1"/>
  <c r="BE68" i="14"/>
  <c r="AR68" i="14"/>
  <c r="I56" i="23" s="1"/>
  <c r="H68" i="14"/>
  <c r="F58" i="18" s="1"/>
  <c r="BA68" i="14"/>
  <c r="BO159" i="10"/>
  <c r="BP176" i="10"/>
  <c r="BO176" i="10"/>
  <c r="CC245" i="16"/>
  <c r="AX233" i="16"/>
  <c r="CD245" i="16" s="1"/>
  <c r="J287" i="8"/>
  <c r="J289" i="8" s="1"/>
  <c r="J290" i="8" s="1"/>
  <c r="K287" i="8"/>
  <c r="K289" i="8" s="1"/>
  <c r="K290" i="8" s="1"/>
  <c r="BR95" i="16"/>
  <c r="BS95" i="16"/>
  <c r="U198" i="19"/>
  <c r="T198" i="19"/>
  <c r="LQ60" i="14"/>
  <c r="BH40" i="18"/>
  <c r="LL50" i="14"/>
  <c r="MJ50" i="14"/>
  <c r="KQ50" i="14"/>
  <c r="BI40" i="18" s="1"/>
  <c r="MN50" i="14"/>
  <c r="MO50" i="14" s="1"/>
  <c r="MA50" i="14"/>
  <c r="N38" i="23" s="1"/>
  <c r="KR50" i="14"/>
  <c r="LR50" i="14" s="1"/>
  <c r="KU50" i="14"/>
  <c r="KV50" i="14" s="1"/>
  <c r="LF50" i="14"/>
  <c r="N7" i="22" s="1"/>
  <c r="CF208" i="19"/>
  <c r="CD207" i="19"/>
  <c r="EV56" i="14"/>
  <c r="FP56" i="14" s="1"/>
  <c r="DV55" i="14"/>
  <c r="AB45" i="18" s="1"/>
  <c r="DZ55" i="14"/>
  <c r="EA55" i="14" s="1"/>
  <c r="DW55" i="14"/>
  <c r="EW55" i="14" s="1"/>
  <c r="AA45" i="18"/>
  <c r="EV25" i="14"/>
  <c r="AA27" i="18"/>
  <c r="EQ38" i="14"/>
  <c r="FS38" i="14"/>
  <c r="FF38" i="14"/>
  <c r="E57" i="23" s="1"/>
  <c r="EK38" i="14"/>
  <c r="E26" i="22" s="1"/>
  <c r="DZ38" i="14"/>
  <c r="EA38" i="14" s="1"/>
  <c r="DW38" i="14"/>
  <c r="EW38" i="14" s="1"/>
  <c r="FO38" i="14"/>
  <c r="DV38" i="14"/>
  <c r="AB27" i="18" s="1"/>
  <c r="JJ32" i="14"/>
  <c r="AS178" i="19"/>
  <c r="AT178" i="19"/>
  <c r="AS161" i="19"/>
  <c r="AT161" i="19"/>
  <c r="I541" i="10"/>
  <c r="J540" i="10"/>
  <c r="K540" i="10" s="1"/>
  <c r="I232" i="10"/>
  <c r="J232" i="10"/>
  <c r="U360" i="10"/>
  <c r="T360" i="10"/>
  <c r="AX224" i="16"/>
  <c r="BL245" i="16" s="1"/>
  <c r="BK245" i="16"/>
  <c r="JJ55" i="14"/>
  <c r="KD55" i="14" s="1"/>
  <c r="AW61" i="18"/>
  <c r="JT71" i="14"/>
  <c r="M59" i="23" s="1"/>
  <c r="IK71" i="14"/>
  <c r="JK71" i="14" s="1"/>
  <c r="IY71" i="14"/>
  <c r="M28" i="22" s="1"/>
  <c r="IN71" i="14"/>
  <c r="IO71" i="14" s="1"/>
  <c r="KC71" i="14"/>
  <c r="JE71" i="14"/>
  <c r="KG71" i="14"/>
  <c r="KH71" i="14" s="1"/>
  <c r="IJ71" i="14"/>
  <c r="AX61" i="18" s="1"/>
  <c r="AW41" i="18"/>
  <c r="IN51" i="14"/>
  <c r="IO51" i="14" s="1"/>
  <c r="IK51" i="14"/>
  <c r="JK51" i="14" s="1"/>
  <c r="KG51" i="14"/>
  <c r="JT51" i="14"/>
  <c r="M39" i="23" s="1"/>
  <c r="KC51" i="14"/>
  <c r="IY51" i="14"/>
  <c r="M8" i="22" s="1"/>
  <c r="JE51" i="14"/>
  <c r="IJ51" i="14"/>
  <c r="AX41" i="18" s="1"/>
  <c r="GG60" i="14"/>
  <c r="GH60" i="14" s="1"/>
  <c r="AL50" i="18"/>
  <c r="GD60" i="14"/>
  <c r="HD60" i="14" s="1"/>
  <c r="AL39" i="18"/>
  <c r="GG49" i="14"/>
  <c r="GH49" i="14" s="1"/>
  <c r="HV49" i="14"/>
  <c r="GC49" i="14"/>
  <c r="AM39" i="18" s="1"/>
  <c r="HZ49" i="14"/>
  <c r="HM49" i="14"/>
  <c r="L37" i="23" s="1"/>
  <c r="GX49" i="14"/>
  <c r="GR49" i="14"/>
  <c r="L6" i="22" s="1"/>
  <c r="GD49" i="14"/>
  <c r="HD49" i="14" s="1"/>
  <c r="M221" i="8"/>
  <c r="CC90" i="16"/>
  <c r="CD90" i="16"/>
  <c r="HC32" i="14"/>
  <c r="HW32" i="14" s="1"/>
  <c r="CO65" i="14"/>
  <c r="DI65" i="14" s="1"/>
  <c r="DO65" i="14"/>
  <c r="P39" i="18"/>
  <c r="DH49" i="14"/>
  <c r="BS49" i="14"/>
  <c r="BT49" i="14" s="1"/>
  <c r="CD49" i="14"/>
  <c r="J6" i="22" s="1"/>
  <c r="CY49" i="14"/>
  <c r="J37" i="23" s="1"/>
  <c r="BO49" i="14"/>
  <c r="Q39" i="18" s="1"/>
  <c r="DL49" i="14"/>
  <c r="DM49" i="14" s="1"/>
  <c r="CJ49" i="14"/>
  <c r="BP49" i="14"/>
  <c r="CP49" i="14" s="1"/>
  <c r="BD219" i="16"/>
  <c r="BB247" i="16" s="1"/>
  <c r="BA247" i="16"/>
  <c r="DJ95" i="19"/>
  <c r="DK95" i="19"/>
  <c r="BS105" i="19"/>
  <c r="BR105" i="19"/>
  <c r="BU243" i="10"/>
  <c r="AR229" i="10"/>
  <c r="BV243" i="10" s="1"/>
  <c r="LQ31" i="14"/>
  <c r="BO30" i="14"/>
  <c r="Q19" i="18" s="1"/>
  <c r="BP30" i="14"/>
  <c r="CP30" i="14" s="1"/>
  <c r="BS30" i="14"/>
  <c r="BT30" i="14" s="1"/>
  <c r="P19" i="18"/>
  <c r="CO39" i="14"/>
  <c r="DO39" i="14"/>
  <c r="A266" i="8"/>
  <c r="B266" i="8" s="1"/>
  <c r="A263" i="8"/>
  <c r="B263" i="8" s="1"/>
  <c r="CK242" i="19"/>
  <c r="BJ237" i="19"/>
  <c r="CL242" i="19" s="1"/>
  <c r="J27" i="14"/>
  <c r="K27" i="14" s="1"/>
  <c r="R27" i="14" s="1"/>
  <c r="AI197" i="16"/>
  <c r="AF255" i="16" s="1"/>
  <c r="AE255" i="16" s="1"/>
  <c r="AJ197" i="16"/>
  <c r="AH255" i="16" s="1"/>
  <c r="AH62" i="14"/>
  <c r="E61" i="18"/>
  <c r="AR71" i="14"/>
  <c r="I59" i="23" s="1"/>
  <c r="L71" i="14"/>
  <c r="M71" i="14" s="1"/>
  <c r="AC71" i="14"/>
  <c r="BA71" i="14"/>
  <c r="W71" i="14"/>
  <c r="I28" i="22" s="1"/>
  <c r="H71" i="14"/>
  <c r="F61" i="18" s="1"/>
  <c r="I71" i="14"/>
  <c r="AI71" i="14" s="1"/>
  <c r="BE71" i="14"/>
  <c r="U199" i="19"/>
  <c r="T199" i="19"/>
  <c r="J295" i="8"/>
  <c r="J299" i="8" s="1"/>
  <c r="J300" i="8" s="1"/>
  <c r="K295" i="8"/>
  <c r="K299" i="8" s="1"/>
  <c r="K300" i="8" s="1"/>
  <c r="AX178" i="19"/>
  <c r="AW161" i="19"/>
  <c r="AW178" i="19"/>
  <c r="CE178" i="10"/>
  <c r="CE161" i="10"/>
  <c r="CF178" i="10"/>
  <c r="CF161" i="10"/>
  <c r="BE245" i="16"/>
  <c r="AX221" i="16"/>
  <c r="BF245" i="16" s="1"/>
  <c r="CE242" i="19"/>
  <c r="BJ234" i="19"/>
  <c r="CF242" i="19" s="1"/>
  <c r="BG91" i="10"/>
  <c r="BH91" i="10"/>
  <c r="J238" i="10"/>
  <c r="I238" i="10"/>
  <c r="KU60" i="14"/>
  <c r="KV60" i="14" s="1"/>
  <c r="KR60" i="14"/>
  <c r="LR60" i="14" s="1"/>
  <c r="BH50" i="18"/>
  <c r="BH44" i="18"/>
  <c r="KR54" i="14"/>
  <c r="LR54" i="14" s="1"/>
  <c r="KU54" i="14"/>
  <c r="KV54" i="14" s="1"/>
  <c r="LF54" i="14"/>
  <c r="N11" i="22" s="1"/>
  <c r="LL54" i="14"/>
  <c r="KQ54" i="14"/>
  <c r="BI44" i="18" s="1"/>
  <c r="MA54" i="14"/>
  <c r="N42" i="23" s="1"/>
  <c r="MJ54" i="14"/>
  <c r="MN54" i="14"/>
  <c r="Q234" i="8"/>
  <c r="R234" i="8"/>
  <c r="R266" i="8"/>
  <c r="Q266" i="8"/>
  <c r="AO161" i="16"/>
  <c r="AP178" i="16"/>
  <c r="AP208" i="16" s="1"/>
  <c r="AO178" i="16"/>
  <c r="AO208" i="16" s="1"/>
  <c r="C541" i="10"/>
  <c r="D540" i="10"/>
  <c r="E540" i="10" s="1"/>
  <c r="BR110" i="16"/>
  <c r="BS110" i="16"/>
  <c r="U199" i="10"/>
  <c r="T199" i="10"/>
  <c r="AY244" i="10"/>
  <c r="AU218" i="10"/>
  <c r="AZ244" i="10" s="1"/>
  <c r="EV59" i="14"/>
  <c r="AV207" i="16"/>
  <c r="AX208" i="16"/>
  <c r="BY244" i="10"/>
  <c r="AU231" i="10"/>
  <c r="BZ244" i="10" s="1"/>
  <c r="T221" i="19"/>
  <c r="U221" i="19"/>
  <c r="AK329" i="19"/>
  <c r="AL329" i="19"/>
  <c r="EV30" i="14"/>
  <c r="AA26" i="18"/>
  <c r="FS37" i="14"/>
  <c r="DV37" i="14"/>
  <c r="AB26" i="18" s="1"/>
  <c r="DZ37" i="14"/>
  <c r="EA37" i="14" s="1"/>
  <c r="DW37" i="14"/>
  <c r="EW37" i="14" s="1"/>
  <c r="FF37" i="14"/>
  <c r="E56" i="23" s="1"/>
  <c r="EQ37" i="14"/>
  <c r="EK37" i="14"/>
  <c r="E25" i="22" s="1"/>
  <c r="FO37" i="14"/>
  <c r="AW30" i="18"/>
  <c r="KG41" i="14"/>
  <c r="JE41" i="14"/>
  <c r="IK41" i="14"/>
  <c r="JK41" i="14" s="1"/>
  <c r="JT41" i="14"/>
  <c r="G60" i="23" s="1"/>
  <c r="IJ41" i="14"/>
  <c r="AX30" i="18" s="1"/>
  <c r="IY41" i="14"/>
  <c r="G29" i="22" s="1"/>
  <c r="IN41" i="14"/>
  <c r="IO41" i="14" s="1"/>
  <c r="KC41" i="14"/>
  <c r="N259" i="8"/>
  <c r="P259" i="8" s="1"/>
  <c r="GJ52" i="14"/>
  <c r="GK52" i="14" s="1"/>
  <c r="GL52" i="14" s="1"/>
  <c r="BG243" i="10"/>
  <c r="AR222" i="10"/>
  <c r="BH243" i="10" s="1"/>
  <c r="N284" i="8"/>
  <c r="P284" i="8" s="1"/>
  <c r="IQ49" i="14"/>
  <c r="IR49" i="14" s="1"/>
  <c r="IS49" i="14" s="1"/>
  <c r="I198" i="16"/>
  <c r="J198" i="16"/>
  <c r="Q14" i="8"/>
  <c r="R14" i="8"/>
  <c r="BR98" i="16"/>
  <c r="BS98" i="16"/>
  <c r="BL161" i="16"/>
  <c r="BL169" i="16"/>
  <c r="HC52" i="14"/>
  <c r="IC52" i="14"/>
  <c r="GC55" i="14"/>
  <c r="AM45" i="18" s="1"/>
  <c r="GG55" i="14"/>
  <c r="GH55" i="14" s="1"/>
  <c r="AL45" i="18"/>
  <c r="GD55" i="14"/>
  <c r="HD55" i="14" s="1"/>
  <c r="AL61" i="18"/>
  <c r="GC71" i="14"/>
  <c r="AM61" i="18" s="1"/>
  <c r="GG71" i="14"/>
  <c r="GH71" i="14" s="1"/>
  <c r="HM71" i="14"/>
  <c r="L59" i="23" s="1"/>
  <c r="GD71" i="14"/>
  <c r="HD71" i="14" s="1"/>
  <c r="HZ71" i="14"/>
  <c r="IA71" i="14" s="1"/>
  <c r="GX71" i="14"/>
  <c r="HV71" i="14"/>
  <c r="GR71" i="14"/>
  <c r="L28" i="22" s="1"/>
  <c r="C17" i="2"/>
  <c r="C16" i="2"/>
  <c r="M218" i="8"/>
  <c r="C87" i="22"/>
  <c r="J41" i="14"/>
  <c r="K41" i="14" s="1"/>
  <c r="R41" i="14" s="1"/>
  <c r="BC41" i="14"/>
  <c r="HC29" i="14"/>
  <c r="BS66" i="14"/>
  <c r="BT66" i="14" s="1"/>
  <c r="BP66" i="14"/>
  <c r="CP66" i="14" s="1"/>
  <c r="P56" i="18"/>
  <c r="BO66" i="14"/>
  <c r="Q56" i="18" s="1"/>
  <c r="CO68" i="14"/>
  <c r="DO68" i="14"/>
  <c r="BR122" i="19"/>
  <c r="AS151" i="19" s="1"/>
  <c r="BS122" i="19"/>
  <c r="AT151" i="19" s="1"/>
  <c r="BH127" i="10"/>
  <c r="BD150" i="10" s="1"/>
  <c r="BG127" i="10"/>
  <c r="BC150" i="10" s="1"/>
  <c r="LQ23" i="14"/>
  <c r="MQ23" i="14"/>
  <c r="CO31" i="14"/>
  <c r="P25" i="18"/>
  <c r="DH36" i="14"/>
  <c r="BO36" i="14"/>
  <c r="Q25" i="18" s="1"/>
  <c r="CD36" i="14"/>
  <c r="D24" i="22" s="1"/>
  <c r="BS36" i="14"/>
  <c r="BT36" i="14" s="1"/>
  <c r="CY36" i="14"/>
  <c r="D55" i="23" s="1"/>
  <c r="DL36" i="14"/>
  <c r="DM36" i="14" s="1"/>
  <c r="CJ36" i="14"/>
  <c r="BP36" i="14"/>
  <c r="CP36" i="14" s="1"/>
  <c r="GJ28" i="14"/>
  <c r="GK28" i="14" s="1"/>
  <c r="GL28" i="14" s="1"/>
  <c r="BN256" i="10"/>
  <c r="BM256" i="10"/>
  <c r="AJ236" i="16"/>
  <c r="AI236" i="16"/>
  <c r="A238" i="8"/>
  <c r="B238" i="8" s="1"/>
  <c r="A235" i="8"/>
  <c r="B235" i="8" s="1"/>
  <c r="AH68" i="14"/>
  <c r="BH68" i="14"/>
  <c r="H58" i="14"/>
  <c r="F48" i="18" s="1"/>
  <c r="E48" i="18"/>
  <c r="I58" i="14"/>
  <c r="AI58" i="14" s="1"/>
  <c r="L58" i="14"/>
  <c r="M58" i="14" s="1"/>
  <c r="Q272" i="8"/>
  <c r="R272" i="8"/>
  <c r="BS125" i="19"/>
  <c r="AZ151" i="19" s="1"/>
  <c r="BR125" i="19"/>
  <c r="AY151" i="19" s="1"/>
  <c r="LQ55" i="14"/>
  <c r="MK55" i="14" s="1"/>
  <c r="BH46" i="18"/>
  <c r="KU56" i="14"/>
  <c r="KV56" i="14" s="1"/>
  <c r="KQ56" i="14"/>
  <c r="BI46" i="18" s="1"/>
  <c r="KR56" i="14"/>
  <c r="LR56" i="14" s="1"/>
  <c r="BS97" i="16"/>
  <c r="BR97" i="16"/>
  <c r="DK96" i="19"/>
  <c r="DJ96" i="19"/>
  <c r="AI187" i="16"/>
  <c r="AF245" i="16" s="1"/>
  <c r="AE245" i="16" s="1"/>
  <c r="AJ187" i="16"/>
  <c r="AH245" i="16" s="1"/>
  <c r="R154" i="8"/>
  <c r="EV69" i="14"/>
  <c r="FV69" i="14"/>
  <c r="BY160" i="10"/>
  <c r="BZ177" i="10"/>
  <c r="BY177" i="10"/>
  <c r="AW208" i="16"/>
  <c r="AU207" i="16"/>
  <c r="J229" i="10"/>
  <c r="I229" i="10"/>
  <c r="EV39" i="14"/>
  <c r="FP39" i="14" s="1"/>
  <c r="FV39" i="14"/>
  <c r="JJ27" i="14"/>
  <c r="AW7" i="18"/>
  <c r="KG18" i="14"/>
  <c r="IY18" i="14"/>
  <c r="G6" i="22" s="1"/>
  <c r="JT18" i="14"/>
  <c r="G37" i="23" s="1"/>
  <c r="IN18" i="14"/>
  <c r="IO18" i="14" s="1"/>
  <c r="IJ18" i="14"/>
  <c r="AX7" i="18" s="1"/>
  <c r="JE18" i="14"/>
  <c r="KC18" i="14"/>
  <c r="IK18" i="14"/>
  <c r="JK18" i="14" s="1"/>
  <c r="N256" i="8"/>
  <c r="P256" i="8" s="1"/>
  <c r="GJ49" i="14"/>
  <c r="GK49" i="14" s="1"/>
  <c r="GL49" i="14" s="1"/>
  <c r="BG246" i="16"/>
  <c r="BA222" i="16"/>
  <c r="BH246" i="16" s="1"/>
  <c r="N285" i="8"/>
  <c r="P285" i="8" s="1"/>
  <c r="IQ50" i="14"/>
  <c r="IR50" i="14" s="1"/>
  <c r="IS50" i="14" s="1"/>
  <c r="N91" i="8"/>
  <c r="P91" i="8" s="1"/>
  <c r="GJ21" i="14"/>
  <c r="GK21" i="14" s="1"/>
  <c r="GL21" i="14" s="1"/>
  <c r="R161" i="8"/>
  <c r="Q161" i="8"/>
  <c r="AI198" i="16"/>
  <c r="AF256" i="16" s="1"/>
  <c r="AE256" i="16" s="1"/>
  <c r="AJ198" i="16"/>
  <c r="AH256" i="16" s="1"/>
  <c r="IQ70" i="14"/>
  <c r="IR70" i="14" s="1"/>
  <c r="IS70" i="14" s="1"/>
  <c r="N305" i="8"/>
  <c r="P305" i="8" s="1"/>
  <c r="BV167" i="16"/>
  <c r="BV159" i="16"/>
  <c r="U216" i="10"/>
  <c r="T216" i="10"/>
  <c r="BI161" i="19"/>
  <c r="BJ178" i="19"/>
  <c r="BI178" i="19"/>
  <c r="CI242" i="16"/>
  <c r="BJ236" i="16"/>
  <c r="CJ242" i="16" s="1"/>
  <c r="H28" i="18"/>
  <c r="C30" i="13" s="1"/>
  <c r="J28" i="18"/>
  <c r="C62" i="13" s="1"/>
  <c r="JJ62" i="14"/>
  <c r="HC56" i="14"/>
  <c r="B46" i="8"/>
  <c r="Q48" i="8" s="1"/>
  <c r="C9" i="3"/>
  <c r="C8" i="3"/>
  <c r="HC24" i="14"/>
  <c r="HW24" i="14" s="1"/>
  <c r="IC24" i="14"/>
  <c r="AL27" i="18"/>
  <c r="GX38" i="14"/>
  <c r="GR38" i="14"/>
  <c r="F26" i="22" s="1"/>
  <c r="GG38" i="14"/>
  <c r="GH38" i="14" s="1"/>
  <c r="GD38" i="14"/>
  <c r="HD38" i="14" s="1"/>
  <c r="HM38" i="14"/>
  <c r="F57" i="23" s="1"/>
  <c r="GC38" i="14"/>
  <c r="AM27" i="18" s="1"/>
  <c r="HZ38" i="14"/>
  <c r="HV38" i="14"/>
  <c r="R20" i="8"/>
  <c r="Q20" i="8"/>
  <c r="CK246" i="16"/>
  <c r="BA237" i="16"/>
  <c r="CL246" i="16" s="1"/>
  <c r="CO54" i="14"/>
  <c r="DI54" i="14" s="1"/>
  <c r="DO54" i="14"/>
  <c r="H26" i="18"/>
  <c r="C28" i="13" s="1"/>
  <c r="J26" i="18"/>
  <c r="C60" i="13" s="1"/>
  <c r="AC192" i="10"/>
  <c r="AD191" i="10"/>
  <c r="DJ122" i="19"/>
  <c r="AS148" i="19" s="1"/>
  <c r="DK122" i="19"/>
  <c r="AT148" i="19" s="1"/>
  <c r="LQ22" i="14"/>
  <c r="MQ22" i="14"/>
  <c r="P21" i="18"/>
  <c r="BP32" i="14"/>
  <c r="CP32" i="14" s="1"/>
  <c r="BS32" i="14"/>
  <c r="BT32" i="14" s="1"/>
  <c r="BO32" i="14"/>
  <c r="Q21" i="18" s="1"/>
  <c r="CO28" i="14"/>
  <c r="B158" i="8"/>
  <c r="G8" i="3"/>
  <c r="G9" i="3"/>
  <c r="R233" i="8"/>
  <c r="Q233" i="8"/>
  <c r="BR102" i="16"/>
  <c r="BS102" i="16"/>
  <c r="T218" i="10"/>
  <c r="U218" i="10"/>
  <c r="AH69" i="14"/>
  <c r="BH69" i="14"/>
  <c r="AC52" i="14"/>
  <c r="I52" i="14"/>
  <c r="AI52" i="14" s="1"/>
  <c r="L52" i="14"/>
  <c r="M52" i="14" s="1"/>
  <c r="E42" i="18"/>
  <c r="W52" i="14"/>
  <c r="I9" i="22" s="1"/>
  <c r="H52" i="14"/>
  <c r="F42" i="18" s="1"/>
  <c r="BE52" i="14"/>
  <c r="BF52" i="14" s="1"/>
  <c r="AR52" i="14"/>
  <c r="I40" i="23" s="1"/>
  <c r="BA52" i="14"/>
  <c r="BZ256" i="10"/>
  <c r="BY256" i="10"/>
  <c r="F19" i="5"/>
  <c r="Q102" i="8"/>
  <c r="R102" i="8"/>
  <c r="CA207" i="16"/>
  <c r="CC208" i="16"/>
  <c r="BD253" i="16"/>
  <c r="BC253" i="16"/>
  <c r="BZ254" i="16"/>
  <c r="BY254" i="16"/>
  <c r="CA245" i="16"/>
  <c r="AX232" i="16"/>
  <c r="CB245" i="16" s="1"/>
  <c r="U219" i="10"/>
  <c r="T219" i="10"/>
  <c r="BR137" i="19"/>
  <c r="BW151" i="19" s="1"/>
  <c r="BS137" i="19"/>
  <c r="BX151" i="19" s="1"/>
  <c r="CK243" i="10"/>
  <c r="AR237" i="10"/>
  <c r="CL243" i="10" s="1"/>
  <c r="BJ233" i="10"/>
  <c r="CD242" i="10" s="1"/>
  <c r="CC242" i="10"/>
  <c r="LQ65" i="14"/>
  <c r="MK65" i="14" s="1"/>
  <c r="BH62" i="18"/>
  <c r="LF72" i="14"/>
  <c r="N29" i="22" s="1"/>
  <c r="KU72" i="14"/>
  <c r="KV72" i="14" s="1"/>
  <c r="MN72" i="14"/>
  <c r="MA72" i="14"/>
  <c r="N60" i="23" s="1"/>
  <c r="MJ72" i="14"/>
  <c r="KR72" i="14"/>
  <c r="LR72" i="14" s="1"/>
  <c r="LL72" i="14"/>
  <c r="BN176" i="10"/>
  <c r="BM176" i="10"/>
  <c r="BM159" i="10"/>
  <c r="DJ140" i="16"/>
  <c r="CC148" i="16" s="1"/>
  <c r="DK140" i="16"/>
  <c r="CD148" i="16" s="1"/>
  <c r="J233" i="19"/>
  <c r="I233" i="19"/>
  <c r="AU160" i="19"/>
  <c r="AU177" i="19"/>
  <c r="AV177" i="19"/>
  <c r="AV160" i="19"/>
  <c r="X38" i="14"/>
  <c r="C55" i="9"/>
  <c r="EV51" i="14"/>
  <c r="FV51" i="14"/>
  <c r="Q180" i="8"/>
  <c r="BQ161" i="10"/>
  <c r="BR178" i="10"/>
  <c r="BQ178" i="10"/>
  <c r="BR88" i="16"/>
  <c r="BS88" i="16"/>
  <c r="AK326" i="19"/>
  <c r="AL326" i="19"/>
  <c r="AK321" i="19"/>
  <c r="AL321" i="19"/>
  <c r="C38" i="22"/>
  <c r="AD21" i="14"/>
  <c r="EV35" i="14"/>
  <c r="FP35" i="14" s="1"/>
  <c r="AA21" i="18"/>
  <c r="DV32" i="14"/>
  <c r="AB21" i="18" s="1"/>
  <c r="DW32" i="14"/>
  <c r="EW32" i="14" s="1"/>
  <c r="DZ32" i="14"/>
  <c r="EA32" i="14" s="1"/>
  <c r="AD4" i="18"/>
  <c r="AE4" i="18"/>
  <c r="AE9" i="18"/>
  <c r="AE30" i="18"/>
  <c r="AE17" i="18"/>
  <c r="AE7" i="18"/>
  <c r="AE11" i="18"/>
  <c r="AE14" i="18"/>
  <c r="AE8" i="18"/>
  <c r="AE20" i="18"/>
  <c r="AE25" i="18"/>
  <c r="AE16" i="18"/>
  <c r="AE22" i="18"/>
  <c r="AE26" i="18"/>
  <c r="AE21" i="18"/>
  <c r="AE28" i="18"/>
  <c r="AE18" i="18"/>
  <c r="AE29" i="18"/>
  <c r="AE27" i="18"/>
  <c r="AE23" i="18"/>
  <c r="AE19" i="18"/>
  <c r="AE15" i="18"/>
  <c r="AE10" i="18"/>
  <c r="AE13" i="18"/>
  <c r="AE12" i="18"/>
  <c r="AE24" i="18"/>
  <c r="JJ18" i="14"/>
  <c r="KD18" i="14" s="1"/>
  <c r="KJ18" i="14"/>
  <c r="AW11" i="18"/>
  <c r="IN22" i="14"/>
  <c r="IO22" i="14" s="1"/>
  <c r="IK22" i="14"/>
  <c r="JK22" i="14" s="1"/>
  <c r="JE22" i="14"/>
  <c r="IY22" i="14"/>
  <c r="G10" i="22" s="1"/>
  <c r="KC22" i="14"/>
  <c r="IJ22" i="14"/>
  <c r="AX11" i="18" s="1"/>
  <c r="JT22" i="14"/>
  <c r="G41" i="23" s="1"/>
  <c r="KG22" i="14"/>
  <c r="KH22" i="14" s="1"/>
  <c r="R18" i="8"/>
  <c r="Q18" i="8"/>
  <c r="N268" i="8"/>
  <c r="P268" i="8" s="1"/>
  <c r="GJ61" i="14"/>
  <c r="GK61" i="14" s="1"/>
  <c r="GL61" i="14" s="1"/>
  <c r="BS91" i="16"/>
  <c r="BR91" i="16"/>
  <c r="BH133" i="10"/>
  <c r="BP150" i="10" s="1"/>
  <c r="BG133" i="10"/>
  <c r="BO150" i="10" s="1"/>
  <c r="P289" i="8"/>
  <c r="U209" i="19"/>
  <c r="T209" i="19"/>
  <c r="BS140" i="16"/>
  <c r="CD151" i="16" s="1"/>
  <c r="BR140" i="16"/>
  <c r="CC151" i="16" s="1"/>
  <c r="DK126" i="19"/>
  <c r="BB148" i="19" s="1"/>
  <c r="DJ126" i="19"/>
  <c r="BA148" i="19" s="1"/>
  <c r="AV130" i="10"/>
  <c r="BI149" i="10" s="1"/>
  <c r="AW130" i="10"/>
  <c r="BJ149" i="10" s="1"/>
  <c r="N304" i="8"/>
  <c r="P304" i="8" s="1"/>
  <c r="IQ69" i="14"/>
  <c r="IR69" i="14" s="1"/>
  <c r="IS69" i="14" s="1"/>
  <c r="AY178" i="19"/>
  <c r="AW207" i="19" s="1"/>
  <c r="AZ178" i="19"/>
  <c r="AX207" i="19" s="1"/>
  <c r="AY161" i="19"/>
  <c r="DK93" i="19"/>
  <c r="DJ93" i="19"/>
  <c r="DJ109" i="16"/>
  <c r="DK109" i="16"/>
  <c r="AI39" i="14"/>
  <c r="BB39" i="14"/>
  <c r="JJ72" i="14"/>
  <c r="KJ72" i="14"/>
  <c r="BU255" i="16"/>
  <c r="BV255" i="16"/>
  <c r="BR254" i="16"/>
  <c r="BQ254" i="16"/>
  <c r="BA161" i="10"/>
  <c r="BB178" i="10"/>
  <c r="BA178" i="10"/>
  <c r="BS126" i="16"/>
  <c r="BB151" i="16" s="1"/>
  <c r="BR126" i="16"/>
  <c r="BA151" i="16" s="1"/>
  <c r="CE245" i="16"/>
  <c r="AX234" i="16"/>
  <c r="CF245" i="16" s="1"/>
  <c r="BJ219" i="19"/>
  <c r="BB242" i="19" s="1"/>
  <c r="BA242" i="19"/>
  <c r="CC247" i="16"/>
  <c r="BD233" i="16"/>
  <c r="CD247" i="16" s="1"/>
  <c r="BL157" i="10"/>
  <c r="BL165" i="10"/>
  <c r="X294" i="10"/>
  <c r="DJ95" i="16"/>
  <c r="DK95" i="16"/>
  <c r="U192" i="16"/>
  <c r="T192" i="16"/>
  <c r="J196" i="10"/>
  <c r="I196" i="10"/>
  <c r="AI200" i="16"/>
  <c r="AF258" i="16" s="1"/>
  <c r="AE258" i="16" s="1"/>
  <c r="AJ200" i="16"/>
  <c r="AH258" i="16" s="1"/>
  <c r="T192" i="19"/>
  <c r="U192" i="19"/>
  <c r="T214" i="19"/>
  <c r="U214" i="19"/>
  <c r="C56" i="22"/>
  <c r="JJ51" i="14"/>
  <c r="KD51" i="14" s="1"/>
  <c r="KJ51" i="14"/>
  <c r="AW55" i="18"/>
  <c r="IN65" i="14"/>
  <c r="IO65" i="14" s="1"/>
  <c r="IK65" i="14"/>
  <c r="JK65" i="14" s="1"/>
  <c r="IJ65" i="14"/>
  <c r="AX55" i="18" s="1"/>
  <c r="JJ56" i="14"/>
  <c r="IJ55" i="14"/>
  <c r="AX45" i="18" s="1"/>
  <c r="AW45" i="18"/>
  <c r="IN55" i="14"/>
  <c r="IO55" i="14" s="1"/>
  <c r="IK55" i="14"/>
  <c r="JK55" i="14" s="1"/>
  <c r="JJ69" i="14"/>
  <c r="KD69" i="14" s="1"/>
  <c r="KJ69" i="14"/>
  <c r="AW58" i="18"/>
  <c r="IK68" i="14"/>
  <c r="JK68" i="14" s="1"/>
  <c r="IJ68" i="14"/>
  <c r="AX58" i="18" s="1"/>
  <c r="KC68" i="14"/>
  <c r="IN68" i="14"/>
  <c r="IO68" i="14" s="1"/>
  <c r="KG68" i="14"/>
  <c r="KH68" i="14" s="1"/>
  <c r="JE68" i="14"/>
  <c r="IY68" i="14"/>
  <c r="M25" i="22" s="1"/>
  <c r="JT68" i="14"/>
  <c r="M56" i="23" s="1"/>
  <c r="AW39" i="18"/>
  <c r="IN49" i="14"/>
  <c r="IO49" i="14" s="1"/>
  <c r="JT49" i="14"/>
  <c r="M37" i="23" s="1"/>
  <c r="IY49" i="14"/>
  <c r="M6" i="22" s="1"/>
  <c r="KG49" i="14"/>
  <c r="KH49" i="14" s="1"/>
  <c r="JE49" i="14"/>
  <c r="KC49" i="14"/>
  <c r="IK49" i="14"/>
  <c r="JK49" i="14" s="1"/>
  <c r="IJ49" i="14"/>
  <c r="AX39" i="18" s="1"/>
  <c r="AL55" i="18"/>
  <c r="GG65" i="14"/>
  <c r="GH65" i="14" s="1"/>
  <c r="GD65" i="14"/>
  <c r="HD65" i="14" s="1"/>
  <c r="GC65" i="14"/>
  <c r="AM55" i="18" s="1"/>
  <c r="HC57" i="14"/>
  <c r="HW57" i="14" s="1"/>
  <c r="HC66" i="14"/>
  <c r="HW66" i="14" s="1"/>
  <c r="AL62" i="18"/>
  <c r="HZ72" i="14"/>
  <c r="GG72" i="14"/>
  <c r="GH72" i="14" s="1"/>
  <c r="HV72" i="14"/>
  <c r="GX72" i="14"/>
  <c r="GR72" i="14"/>
  <c r="L29" i="22" s="1"/>
  <c r="HM72" i="14"/>
  <c r="L60" i="23" s="1"/>
  <c r="GD72" i="14"/>
  <c r="HD72" i="14" s="1"/>
  <c r="AO36" i="18"/>
  <c r="AP36" i="18"/>
  <c r="AP53" i="18"/>
  <c r="AP59" i="18"/>
  <c r="AP45" i="18"/>
  <c r="AP47" i="18"/>
  <c r="AP62" i="18"/>
  <c r="AP39" i="18"/>
  <c r="AP57" i="18"/>
  <c r="AP40" i="18"/>
  <c r="AP50" i="18"/>
  <c r="AP48" i="18"/>
  <c r="AP42" i="18"/>
  <c r="AP49" i="18"/>
  <c r="AP51" i="18"/>
  <c r="AP54" i="18"/>
  <c r="AP41" i="18"/>
  <c r="AP61" i="18"/>
  <c r="AP52" i="18"/>
  <c r="AP58" i="18"/>
  <c r="AP60" i="18"/>
  <c r="AP55" i="18"/>
  <c r="AP43" i="18"/>
  <c r="AP46" i="18"/>
  <c r="AP44" i="18"/>
  <c r="AP56" i="18"/>
  <c r="J127" i="8"/>
  <c r="J131" i="8" s="1"/>
  <c r="J132" i="8" s="1"/>
  <c r="K127" i="8"/>
  <c r="K131" i="8" s="1"/>
  <c r="K132" i="8" s="1"/>
  <c r="M199" i="8"/>
  <c r="M208" i="8"/>
  <c r="U194" i="10"/>
  <c r="T194" i="10"/>
  <c r="J189" i="10"/>
  <c r="I189" i="10"/>
  <c r="U190" i="19"/>
  <c r="T190" i="19"/>
  <c r="C58" i="21"/>
  <c r="AL12" i="18"/>
  <c r="GG23" i="14"/>
  <c r="GH23" i="14" s="1"/>
  <c r="GD23" i="14"/>
  <c r="HD23" i="14" s="1"/>
  <c r="GC23" i="14"/>
  <c r="AM12" i="18" s="1"/>
  <c r="HC30" i="14"/>
  <c r="HW30" i="14" s="1"/>
  <c r="HC37" i="14"/>
  <c r="HW37" i="14" s="1"/>
  <c r="IC37" i="14"/>
  <c r="HC38" i="14"/>
  <c r="IC38" i="14"/>
  <c r="GG27" i="14"/>
  <c r="GH27" i="14" s="1"/>
  <c r="AL16" i="18"/>
  <c r="GD27" i="14"/>
  <c r="HD27" i="14" s="1"/>
  <c r="GC27" i="14"/>
  <c r="AM16" i="18" s="1"/>
  <c r="AL29" i="18"/>
  <c r="HM40" i="14"/>
  <c r="F59" i="23" s="1"/>
  <c r="HZ40" i="14"/>
  <c r="IA40" i="14" s="1"/>
  <c r="GD40" i="14"/>
  <c r="HD40" i="14" s="1"/>
  <c r="GG40" i="14"/>
  <c r="GH40" i="14" s="1"/>
  <c r="GR40" i="14"/>
  <c r="F28" i="22" s="1"/>
  <c r="HV40" i="14"/>
  <c r="GX40" i="14"/>
  <c r="GC40" i="14"/>
  <c r="AM29" i="18" s="1"/>
  <c r="AP4" i="18"/>
  <c r="AO4" i="18"/>
  <c r="AP19" i="18"/>
  <c r="AP30" i="18"/>
  <c r="AP10" i="18"/>
  <c r="AP12" i="18"/>
  <c r="AP21" i="18"/>
  <c r="AP15" i="18"/>
  <c r="AP23" i="18"/>
  <c r="AP7" i="18"/>
  <c r="AP26" i="18"/>
  <c r="AP29" i="18"/>
  <c r="AP28" i="18"/>
  <c r="AP20" i="18"/>
  <c r="AP14" i="18"/>
  <c r="AP18" i="18"/>
  <c r="AP13" i="18"/>
  <c r="AP16" i="18"/>
  <c r="AP8" i="18"/>
  <c r="AP22" i="18"/>
  <c r="AP17" i="18"/>
  <c r="AP24" i="18"/>
  <c r="AP9" i="18"/>
  <c r="AP27" i="18"/>
  <c r="AP25" i="18"/>
  <c r="AP11" i="18"/>
  <c r="A68" i="8"/>
  <c r="A64" i="8"/>
  <c r="B64" i="8" s="1"/>
  <c r="AY243" i="10"/>
  <c r="AR218" i="10"/>
  <c r="AZ243" i="10" s="1"/>
  <c r="BQ165" i="16"/>
  <c r="BQ166" i="16" s="1"/>
  <c r="DJ104" i="19"/>
  <c r="DK104" i="19"/>
  <c r="AI199" i="16"/>
  <c r="AF257" i="16" s="1"/>
  <c r="AE257" i="16" s="1"/>
  <c r="AJ199" i="16"/>
  <c r="AH257" i="16" s="1"/>
  <c r="J197" i="16"/>
  <c r="I197" i="16"/>
  <c r="BP55" i="14"/>
  <c r="CP55" i="14" s="1"/>
  <c r="P45" i="18"/>
  <c r="BO55" i="14"/>
  <c r="Q45" i="18" s="1"/>
  <c r="BS55" i="14"/>
  <c r="BT55" i="14" s="1"/>
  <c r="BO54" i="14"/>
  <c r="Q44" i="18" s="1"/>
  <c r="BS54" i="14"/>
  <c r="BT54" i="14" s="1"/>
  <c r="P44" i="18"/>
  <c r="BP54" i="14"/>
  <c r="CP54" i="14" s="1"/>
  <c r="BS60" i="14"/>
  <c r="BT60" i="14" s="1"/>
  <c r="P50" i="18"/>
  <c r="BP60" i="14"/>
  <c r="CP60" i="14" s="1"/>
  <c r="CO59" i="14"/>
  <c r="CD67" i="14"/>
  <c r="J24" i="22" s="1"/>
  <c r="BP67" i="14"/>
  <c r="CP67" i="14" s="1"/>
  <c r="BS67" i="14"/>
  <c r="BT67" i="14" s="1"/>
  <c r="CJ67" i="14"/>
  <c r="P57" i="18"/>
  <c r="DH67" i="14"/>
  <c r="BO67" i="14"/>
  <c r="Q57" i="18" s="1"/>
  <c r="DL67" i="14"/>
  <c r="CY67" i="14"/>
  <c r="J55" i="23" s="1"/>
  <c r="Q240" i="8"/>
  <c r="R240" i="8"/>
  <c r="AU228" i="10"/>
  <c r="BT244" i="10" s="1"/>
  <c r="BS244" i="10"/>
  <c r="BJ224" i="10"/>
  <c r="BL242" i="10" s="1"/>
  <c r="BK242" i="10"/>
  <c r="C60" i="21"/>
  <c r="R152" i="8"/>
  <c r="Q152" i="8"/>
  <c r="I502" i="10"/>
  <c r="J501" i="10"/>
  <c r="K501" i="10" s="1"/>
  <c r="BI162" i="16"/>
  <c r="BJ162" i="16"/>
  <c r="BJ170" i="16"/>
  <c r="CH170" i="19"/>
  <c r="BM178" i="16"/>
  <c r="BN178" i="16"/>
  <c r="BR109" i="16"/>
  <c r="BS109" i="16"/>
  <c r="DK138" i="19"/>
  <c r="BZ148" i="19" s="1"/>
  <c r="DJ138" i="19"/>
  <c r="BY148" i="19" s="1"/>
  <c r="DK88" i="19"/>
  <c r="DJ88" i="19"/>
  <c r="BB37" i="14"/>
  <c r="BY247" i="16"/>
  <c r="BD231" i="16"/>
  <c r="BZ247" i="16" s="1"/>
  <c r="CK245" i="19"/>
  <c r="AX237" i="19"/>
  <c r="CL245" i="19" s="1"/>
  <c r="AV94" i="10"/>
  <c r="AW94" i="10"/>
  <c r="AI217" i="16"/>
  <c r="AF275" i="16" s="1"/>
  <c r="AE275" i="16" s="1"/>
  <c r="AJ217" i="16"/>
  <c r="AH275" i="16" s="1"/>
  <c r="A34" i="8"/>
  <c r="A37" i="8"/>
  <c r="B37" i="8" s="1"/>
  <c r="KR32" i="14"/>
  <c r="LR32" i="14" s="1"/>
  <c r="BH21" i="18"/>
  <c r="KU32" i="14"/>
  <c r="KV32" i="14" s="1"/>
  <c r="KQ32" i="14"/>
  <c r="BI21" i="18" s="1"/>
  <c r="LQ39" i="14"/>
  <c r="MQ39" i="14"/>
  <c r="LQ36" i="14"/>
  <c r="MK36" i="14" s="1"/>
  <c r="MQ36" i="14"/>
  <c r="BH20" i="18"/>
  <c r="KR31" i="14"/>
  <c r="LR31" i="14" s="1"/>
  <c r="KU31" i="14"/>
  <c r="KV31" i="14" s="1"/>
  <c r="KQ31" i="14"/>
  <c r="BI20" i="18" s="1"/>
  <c r="BH10" i="18"/>
  <c r="KU21" i="14"/>
  <c r="KV21" i="14" s="1"/>
  <c r="LF21" i="14"/>
  <c r="H9" i="22" s="1"/>
  <c r="KR21" i="14"/>
  <c r="LR21" i="14" s="1"/>
  <c r="LL21" i="14"/>
  <c r="MN21" i="14"/>
  <c r="KQ21" i="14"/>
  <c r="BI10" i="18" s="1"/>
  <c r="MJ21" i="14"/>
  <c r="MA21" i="14"/>
  <c r="H40" i="23" s="1"/>
  <c r="BL4" i="18"/>
  <c r="BK4" i="18"/>
  <c r="BL20" i="18"/>
  <c r="BL19" i="18"/>
  <c r="BL7" i="18"/>
  <c r="BL22" i="18"/>
  <c r="BL18" i="18"/>
  <c r="BL9" i="18"/>
  <c r="BL30" i="18"/>
  <c r="BL27" i="18"/>
  <c r="BL15" i="18"/>
  <c r="BL17" i="18"/>
  <c r="BL21" i="18"/>
  <c r="BL29" i="18"/>
  <c r="BL23" i="18"/>
  <c r="BL24" i="18"/>
  <c r="BL16" i="18"/>
  <c r="BL12" i="18"/>
  <c r="BL8" i="18"/>
  <c r="BL14" i="18"/>
  <c r="BL28" i="18"/>
  <c r="BL13" i="18"/>
  <c r="BL11" i="18"/>
  <c r="BL25" i="18"/>
  <c r="BL10" i="18"/>
  <c r="BL26" i="18"/>
  <c r="CO35" i="14"/>
  <c r="BO31" i="14"/>
  <c r="Q20" i="18" s="1"/>
  <c r="P20" i="18"/>
  <c r="BP31" i="14"/>
  <c r="CP31" i="14" s="1"/>
  <c r="BS31" i="14"/>
  <c r="BT31" i="14" s="1"/>
  <c r="CO18" i="14"/>
  <c r="DO18" i="14"/>
  <c r="BP34" i="14"/>
  <c r="CP34" i="14" s="1"/>
  <c r="BS34" i="14"/>
  <c r="BT34" i="14" s="1"/>
  <c r="BO34" i="14"/>
  <c r="Q23" i="18" s="1"/>
  <c r="P23" i="18"/>
  <c r="P27" i="18"/>
  <c r="DL38" i="14"/>
  <c r="CY38" i="14"/>
  <c r="D57" i="23" s="1"/>
  <c r="DH38" i="14"/>
  <c r="CD38" i="14"/>
  <c r="D26" i="22" s="1"/>
  <c r="BO38" i="14"/>
  <c r="Q27" i="18" s="1"/>
  <c r="BS38" i="14"/>
  <c r="BT38" i="14" s="1"/>
  <c r="CJ38" i="14"/>
  <c r="BP38" i="14"/>
  <c r="CP38" i="14" s="1"/>
  <c r="P12" i="18"/>
  <c r="DH23" i="14"/>
  <c r="CD23" i="14"/>
  <c r="D11" i="22" s="1"/>
  <c r="BP23" i="14"/>
  <c r="CP23" i="14" s="1"/>
  <c r="CJ23" i="14"/>
  <c r="BO23" i="14"/>
  <c r="Q12" i="18" s="1"/>
  <c r="CY23" i="14"/>
  <c r="D42" i="23" s="1"/>
  <c r="DL23" i="14"/>
  <c r="BS23" i="14"/>
  <c r="BT23" i="14" s="1"/>
  <c r="BC245" i="16"/>
  <c r="AX220" i="16"/>
  <c r="BD245" i="16" s="1"/>
  <c r="DJ135" i="10"/>
  <c r="BS148" i="10" s="1"/>
  <c r="DK135" i="10"/>
  <c r="BT148" i="10" s="1"/>
  <c r="CC91" i="16"/>
  <c r="CD91" i="16"/>
  <c r="AK322" i="19"/>
  <c r="B186" i="8"/>
  <c r="H9" i="3"/>
  <c r="H8" i="3"/>
  <c r="DK122" i="10"/>
  <c r="AT148" i="10" s="1"/>
  <c r="DJ122" i="10"/>
  <c r="AS148" i="10" s="1"/>
  <c r="J31" i="14"/>
  <c r="K31" i="14" s="1"/>
  <c r="R31" i="14" s="1"/>
  <c r="BC31" i="14"/>
  <c r="C84" i="21" s="1"/>
  <c r="J34" i="14"/>
  <c r="K34" i="14" s="1"/>
  <c r="R34" i="14" s="1"/>
  <c r="BC34" i="14"/>
  <c r="C87" i="21" s="1"/>
  <c r="J199" i="19"/>
  <c r="I199" i="19"/>
  <c r="AH49" i="14"/>
  <c r="BH49" i="14"/>
  <c r="AH52" i="14"/>
  <c r="BB52" i="14" s="1"/>
  <c r="BH52" i="14"/>
  <c r="AH65" i="14"/>
  <c r="BB65" i="14" s="1"/>
  <c r="BH65" i="14"/>
  <c r="L66" i="14"/>
  <c r="M66" i="14" s="1"/>
  <c r="E56" i="18"/>
  <c r="I66" i="14"/>
  <c r="AI66" i="14" s="1"/>
  <c r="H66" i="14"/>
  <c r="F56" i="18" s="1"/>
  <c r="AH55" i="14"/>
  <c r="BH55" i="14"/>
  <c r="E41" i="18"/>
  <c r="AR51" i="14"/>
  <c r="I39" i="23" s="1"/>
  <c r="W51" i="14"/>
  <c r="I8" i="22" s="1"/>
  <c r="I51" i="14"/>
  <c r="AI51" i="14" s="1"/>
  <c r="L51" i="14"/>
  <c r="M51" i="14" s="1"/>
  <c r="AC51" i="14"/>
  <c r="BE51" i="14"/>
  <c r="BA51" i="14"/>
  <c r="H51" i="14"/>
  <c r="F41" i="18" s="1"/>
  <c r="BA245" i="16"/>
  <c r="AX219" i="16"/>
  <c r="BB245" i="16" s="1"/>
  <c r="J218" i="10"/>
  <c r="I218" i="10"/>
  <c r="B5" i="8"/>
  <c r="R15" i="8"/>
  <c r="C3" i="8"/>
  <c r="B2" i="8"/>
  <c r="C2" i="8" s="1"/>
  <c r="C4" i="8" s="1"/>
  <c r="R7" i="8"/>
  <c r="Q6" i="8"/>
  <c r="R6" i="8"/>
  <c r="R24" i="8"/>
  <c r="Q24" i="8"/>
  <c r="R3" i="8"/>
  <c r="Q26" i="8"/>
  <c r="Q3" i="8"/>
  <c r="B6" i="8"/>
  <c r="R4" i="8"/>
  <c r="R26" i="8"/>
  <c r="B3" i="8"/>
  <c r="Q7" i="8"/>
  <c r="R22" i="8"/>
  <c r="R8" i="8"/>
  <c r="Q4" i="8"/>
  <c r="Q5" i="8"/>
  <c r="Q22" i="8"/>
  <c r="Q23" i="8"/>
  <c r="Q25" i="8"/>
  <c r="R13" i="8"/>
  <c r="Q15" i="8"/>
  <c r="Q8" i="8"/>
  <c r="R23" i="8"/>
  <c r="R5" i="8"/>
  <c r="R25" i="8"/>
  <c r="Q13" i="8"/>
  <c r="C38" i="23"/>
  <c r="BI19" i="14"/>
  <c r="C8" i="23" s="1"/>
  <c r="AT158" i="10"/>
  <c r="AG549" i="10"/>
  <c r="AH548" i="10"/>
  <c r="AI548" i="10" s="1"/>
  <c r="CO111" i="16"/>
  <c r="CN111" i="16"/>
  <c r="U200" i="10"/>
  <c r="T200" i="10"/>
  <c r="BG95" i="10"/>
  <c r="BH95" i="10"/>
  <c r="AR204" i="10"/>
  <c r="AT198" i="10"/>
  <c r="AT201" i="10"/>
  <c r="AR197" i="10"/>
  <c r="CE165" i="10"/>
  <c r="CF165" i="10"/>
  <c r="BC33" i="14"/>
  <c r="C86" i="21" s="1"/>
  <c r="AY257" i="16"/>
  <c r="AZ257" i="16"/>
  <c r="BF166" i="16"/>
  <c r="BF158" i="16"/>
  <c r="AX231" i="16"/>
  <c r="BZ245" i="16" s="1"/>
  <c r="BY245" i="16"/>
  <c r="BM245" i="19"/>
  <c r="AW226" i="19"/>
  <c r="BO245" i="19" s="1"/>
  <c r="AU215" i="10"/>
  <c r="AT244" i="10" s="1"/>
  <c r="AS244" i="10"/>
  <c r="CK242" i="16"/>
  <c r="BJ237" i="16"/>
  <c r="CL242" i="16" s="1"/>
  <c r="CC142" i="16"/>
  <c r="CG152" i="16" s="1"/>
  <c r="CD142" i="16"/>
  <c r="CH152" i="16" s="1"/>
  <c r="AJ193" i="16"/>
  <c r="AH251" i="16" s="1"/>
  <c r="AI193" i="16"/>
  <c r="AF251" i="16" s="1"/>
  <c r="AE251" i="16" s="1"/>
  <c r="X299" i="16"/>
  <c r="X300" i="16" s="1"/>
  <c r="X301" i="16" s="1"/>
  <c r="X302" i="16" s="1"/>
  <c r="X303" i="16" s="1"/>
  <c r="X304" i="16" s="1"/>
  <c r="X305" i="16" s="1"/>
  <c r="X306" i="16" s="1"/>
  <c r="X307" i="16" s="1"/>
  <c r="X308" i="16" s="1"/>
  <c r="X309" i="16" s="1"/>
  <c r="X310" i="16" s="1"/>
  <c r="X311" i="16" s="1"/>
  <c r="X312" i="16" s="1"/>
  <c r="X313" i="16" s="1"/>
  <c r="X314" i="16" s="1"/>
  <c r="X315" i="16" s="1"/>
  <c r="X316" i="16" s="1"/>
  <c r="X317" i="16" s="1"/>
  <c r="X318" i="16" s="1"/>
  <c r="X319" i="16" s="1"/>
  <c r="X320" i="16" s="1"/>
  <c r="X321" i="16" s="1"/>
  <c r="X322" i="16" s="1"/>
  <c r="X323" i="16" s="1"/>
  <c r="X324" i="16" s="1"/>
  <c r="X325" i="16" s="1"/>
  <c r="X326" i="16" s="1"/>
  <c r="X327" i="16" s="1"/>
  <c r="X328" i="16" s="1"/>
  <c r="X329" i="16" s="1"/>
  <c r="X330" i="16" s="1"/>
  <c r="X331" i="16" s="1"/>
  <c r="X332" i="16" s="1"/>
  <c r="X333" i="16" s="1"/>
  <c r="X334" i="16" s="1"/>
  <c r="X335" i="16" s="1"/>
  <c r="X336" i="16" s="1"/>
  <c r="X337" i="16" s="1"/>
  <c r="X338" i="16" s="1"/>
  <c r="X339" i="16" s="1"/>
  <c r="X340" i="16" s="1"/>
  <c r="X341" i="16" s="1"/>
  <c r="X342" i="16" s="1"/>
  <c r="X343" i="16" s="1"/>
  <c r="X344" i="16" s="1"/>
  <c r="X345" i="16" s="1"/>
  <c r="X346" i="16" s="1"/>
  <c r="X347" i="16" s="1"/>
  <c r="X348" i="16" s="1"/>
  <c r="X349" i="16" s="1"/>
  <c r="X350" i="16" s="1"/>
  <c r="X351" i="16" s="1"/>
  <c r="X352" i="16" s="1"/>
  <c r="X353" i="16" s="1"/>
  <c r="X354" i="16" s="1"/>
  <c r="X355" i="16" s="1"/>
  <c r="X356" i="16" s="1"/>
  <c r="X357" i="16" s="1"/>
  <c r="X358" i="16" s="1"/>
  <c r="X359" i="16" s="1"/>
  <c r="X360" i="16" s="1"/>
  <c r="X361" i="16" s="1"/>
  <c r="X362" i="16" s="1"/>
  <c r="X363" i="16" s="1"/>
  <c r="X364" i="16" s="1"/>
  <c r="X365" i="16" s="1"/>
  <c r="X366" i="16" s="1"/>
  <c r="X367" i="16" s="1"/>
  <c r="X368" i="16" s="1"/>
  <c r="X369" i="16" s="1"/>
  <c r="X370" i="16" s="1"/>
  <c r="X371" i="16" s="1"/>
  <c r="X372" i="16" s="1"/>
  <c r="X373" i="16" s="1"/>
  <c r="X374" i="16" s="1"/>
  <c r="X375" i="16" s="1"/>
  <c r="X376" i="16" s="1"/>
  <c r="X377" i="16" s="1"/>
  <c r="X378" i="16" s="1"/>
  <c r="X379" i="16" s="1"/>
  <c r="X380" i="16" s="1"/>
  <c r="X381" i="16" s="1"/>
  <c r="X382" i="16" s="1"/>
  <c r="AV23" i="14"/>
  <c r="AZ23" i="14" s="1"/>
  <c r="U23" i="14"/>
  <c r="AM23" i="14"/>
  <c r="Y23" i="14"/>
  <c r="AW23" i="14"/>
  <c r="V23" i="14"/>
  <c r="AN23" i="14"/>
  <c r="Z23" i="14"/>
  <c r="AS23" i="14"/>
  <c r="AY23" i="14" s="1"/>
  <c r="AX23" i="14"/>
  <c r="AO23" i="14"/>
  <c r="AA23" i="14"/>
  <c r="AT23" i="14"/>
  <c r="T23" i="14"/>
  <c r="AU23" i="14"/>
  <c r="AJ23" i="14"/>
  <c r="AK23" i="14"/>
  <c r="AB23" i="14"/>
  <c r="S23" i="14"/>
  <c r="AL23" i="14"/>
  <c r="R124" i="8"/>
  <c r="LQ58" i="14"/>
  <c r="MK58" i="14" s="1"/>
  <c r="LQ52" i="14"/>
  <c r="BH51" i="18"/>
  <c r="KR61" i="14"/>
  <c r="LR61" i="14" s="1"/>
  <c r="KU61" i="14"/>
  <c r="KV61" i="14" s="1"/>
  <c r="KQ61" i="14"/>
  <c r="BI51" i="18" s="1"/>
  <c r="LQ50" i="14"/>
  <c r="MK50" i="14" s="1"/>
  <c r="MQ50" i="14"/>
  <c r="BH59" i="18"/>
  <c r="KQ69" i="14"/>
  <c r="BI59" i="18" s="1"/>
  <c r="LL69" i="14"/>
  <c r="KU69" i="14"/>
  <c r="KV69" i="14" s="1"/>
  <c r="MJ69" i="14"/>
  <c r="MA69" i="14"/>
  <c r="N57" i="23" s="1"/>
  <c r="LF69" i="14"/>
  <c r="N26" i="22" s="1"/>
  <c r="KR69" i="14"/>
  <c r="LR69" i="14" s="1"/>
  <c r="MN69" i="14"/>
  <c r="MO69" i="14" s="1"/>
  <c r="BH56" i="18"/>
  <c r="MJ66" i="14"/>
  <c r="KR66" i="14"/>
  <c r="LR66" i="14" s="1"/>
  <c r="KQ66" i="14"/>
  <c r="BI56" i="18" s="1"/>
  <c r="LL66" i="14"/>
  <c r="MA66" i="14"/>
  <c r="N54" i="23" s="1"/>
  <c r="LF66" i="14"/>
  <c r="N23" i="22" s="1"/>
  <c r="KU66" i="14"/>
  <c r="KV66" i="14" s="1"/>
  <c r="MN66" i="14"/>
  <c r="R155" i="8"/>
  <c r="Q155" i="8"/>
  <c r="J175" i="8"/>
  <c r="J177" i="8" s="1"/>
  <c r="J178" i="8" s="1"/>
  <c r="K175" i="8"/>
  <c r="K177" i="8" s="1"/>
  <c r="K178" i="8" s="1"/>
  <c r="A239" i="8"/>
  <c r="B239" i="8" s="1"/>
  <c r="A229" i="8"/>
  <c r="BD254" i="16"/>
  <c r="BC254" i="16"/>
  <c r="BE178" i="16"/>
  <c r="BF178" i="16"/>
  <c r="BC160" i="19"/>
  <c r="BC177" i="19"/>
  <c r="BD177" i="19"/>
  <c r="BK167" i="16"/>
  <c r="BK168" i="16" s="1"/>
  <c r="BK169" i="16" s="1"/>
  <c r="BK170" i="16" s="1"/>
  <c r="BK159" i="19"/>
  <c r="BL176" i="19"/>
  <c r="BK176" i="19"/>
  <c r="BR125" i="16"/>
  <c r="AY151" i="16" s="1"/>
  <c r="BS125" i="16"/>
  <c r="AZ151" i="16" s="1"/>
  <c r="BQ245" i="16"/>
  <c r="AX227" i="16"/>
  <c r="BR245" i="16" s="1"/>
  <c r="BG242" i="19"/>
  <c r="BJ222" i="19"/>
  <c r="BH242" i="19" s="1"/>
  <c r="CN102" i="16"/>
  <c r="CO102" i="16"/>
  <c r="CO97" i="16"/>
  <c r="CN97" i="16"/>
  <c r="BF40" i="14"/>
  <c r="BQ178" i="19"/>
  <c r="BR178" i="19"/>
  <c r="BQ161" i="19"/>
  <c r="BS89" i="16"/>
  <c r="BR89" i="16"/>
  <c r="DK120" i="19"/>
  <c r="AP148" i="19" s="1"/>
  <c r="DJ120" i="19"/>
  <c r="AO148" i="19" s="1"/>
  <c r="AW139" i="10"/>
  <c r="CB149" i="10" s="1"/>
  <c r="AV139" i="10"/>
  <c r="CA149" i="10" s="1"/>
  <c r="CN132" i="16"/>
  <c r="BM153" i="16" s="1"/>
  <c r="CO132" i="16"/>
  <c r="BN153" i="16" s="1"/>
  <c r="CD137" i="16"/>
  <c r="BX152" i="16" s="1"/>
  <c r="CC137" i="16"/>
  <c r="BW152" i="16" s="1"/>
  <c r="IQ59" i="14"/>
  <c r="IR59" i="14" s="1"/>
  <c r="IS59" i="14" s="1"/>
  <c r="AX177" i="10"/>
  <c r="AW177" i="10"/>
  <c r="AW160" i="10"/>
  <c r="BS92" i="16"/>
  <c r="BR92" i="16"/>
  <c r="I241" i="10"/>
  <c r="J241" i="10"/>
  <c r="CC132" i="16"/>
  <c r="BM152" i="16" s="1"/>
  <c r="CD132" i="16"/>
  <c r="BN152" i="16" s="1"/>
  <c r="J217" i="10"/>
  <c r="I217" i="10"/>
  <c r="EV70" i="14"/>
  <c r="FV70" i="14"/>
  <c r="EV55" i="14"/>
  <c r="FP55" i="14" s="1"/>
  <c r="EV54" i="14"/>
  <c r="EV72" i="14"/>
  <c r="FP72" i="14" s="1"/>
  <c r="FV72" i="14"/>
  <c r="AA59" i="18"/>
  <c r="DW69" i="14"/>
  <c r="EW69" i="14" s="1"/>
  <c r="EK69" i="14"/>
  <c r="K26" i="22" s="1"/>
  <c r="FS69" i="14"/>
  <c r="DV69" i="14"/>
  <c r="AB59" i="18" s="1"/>
  <c r="FO69" i="14"/>
  <c r="FF69" i="14"/>
  <c r="K57" i="23" s="1"/>
  <c r="DZ69" i="14"/>
  <c r="EA69" i="14" s="1"/>
  <c r="EQ69" i="14"/>
  <c r="AA40" i="18"/>
  <c r="EK50" i="14"/>
  <c r="K7" i="22" s="1"/>
  <c r="FO50" i="14"/>
  <c r="DZ50" i="14"/>
  <c r="EA50" i="14" s="1"/>
  <c r="DV50" i="14"/>
  <c r="AB40" i="18" s="1"/>
  <c r="EQ50" i="14"/>
  <c r="FS50" i="14"/>
  <c r="DW50" i="14"/>
  <c r="EW50" i="14" s="1"/>
  <c r="FF50" i="14"/>
  <c r="K38" i="23" s="1"/>
  <c r="Q298" i="8"/>
  <c r="R298" i="8"/>
  <c r="BO161" i="19"/>
  <c r="BP178" i="19"/>
  <c r="BO178" i="19"/>
  <c r="CB166" i="16"/>
  <c r="AZ177" i="10"/>
  <c r="AY177" i="10"/>
  <c r="AY160" i="10"/>
  <c r="CH177" i="10"/>
  <c r="CG160" i="10"/>
  <c r="CG177" i="10"/>
  <c r="CH160" i="10"/>
  <c r="BU161" i="16"/>
  <c r="BV178" i="16"/>
  <c r="BU178" i="16"/>
  <c r="AX222" i="16"/>
  <c r="BH245" i="16" s="1"/>
  <c r="BG245" i="16"/>
  <c r="BS127" i="16"/>
  <c r="BD151" i="16" s="1"/>
  <c r="BR127" i="16"/>
  <c r="BC151" i="16" s="1"/>
  <c r="DK137" i="19"/>
  <c r="BX148" i="19" s="1"/>
  <c r="DJ137" i="19"/>
  <c r="BW148" i="19" s="1"/>
  <c r="C69" i="23"/>
  <c r="BI20" i="14"/>
  <c r="C9" i="23" s="1"/>
  <c r="CO90" i="16"/>
  <c r="CN90" i="16"/>
  <c r="AV100" i="10"/>
  <c r="AW100" i="10"/>
  <c r="BG128" i="10"/>
  <c r="BE150" i="10" s="1"/>
  <c r="BH128" i="10"/>
  <c r="BF150" i="10" s="1"/>
  <c r="DK100" i="16"/>
  <c r="DJ100" i="16"/>
  <c r="T353" i="10"/>
  <c r="U353" i="10"/>
  <c r="CC122" i="16"/>
  <c r="AS152" i="16" s="1"/>
  <c r="CD122" i="16"/>
  <c r="AT152" i="16" s="1"/>
  <c r="AI232" i="16"/>
  <c r="AJ232" i="16"/>
  <c r="U201" i="19"/>
  <c r="T201" i="19"/>
  <c r="AJ182" i="19"/>
  <c r="AI182" i="19"/>
  <c r="AL323" i="19"/>
  <c r="AK323" i="19"/>
  <c r="R121" i="8"/>
  <c r="Q121" i="8"/>
  <c r="FV20" i="14"/>
  <c r="EV20" i="14"/>
  <c r="FP20" i="14" s="1"/>
  <c r="DV24" i="14"/>
  <c r="AB13" i="18" s="1"/>
  <c r="DW24" i="14"/>
  <c r="EW24" i="14" s="1"/>
  <c r="DZ24" i="14"/>
  <c r="EA24" i="14" s="1"/>
  <c r="AA13" i="18"/>
  <c r="EV18" i="14"/>
  <c r="FV18" i="14"/>
  <c r="EV32" i="14"/>
  <c r="FP32" i="14" s="1"/>
  <c r="AA28" i="18"/>
  <c r="EK39" i="14"/>
  <c r="E27" i="22" s="1"/>
  <c r="DZ39" i="14"/>
  <c r="EA39" i="14" s="1"/>
  <c r="FO39" i="14"/>
  <c r="DV39" i="14"/>
  <c r="AB28" i="18" s="1"/>
  <c r="FF39" i="14"/>
  <c r="E58" i="23" s="1"/>
  <c r="FS39" i="14"/>
  <c r="DW39" i="14"/>
  <c r="EW39" i="14" s="1"/>
  <c r="EQ39" i="14"/>
  <c r="AA11" i="18"/>
  <c r="DW22" i="14"/>
  <c r="EW22" i="14" s="1"/>
  <c r="EQ22" i="14"/>
  <c r="FS22" i="14"/>
  <c r="EK22" i="14"/>
  <c r="E10" i="22" s="1"/>
  <c r="DV22" i="14"/>
  <c r="AB11" i="18" s="1"/>
  <c r="FF22" i="14"/>
  <c r="E41" i="23" s="1"/>
  <c r="FO22" i="14"/>
  <c r="DZ22" i="14"/>
  <c r="EA22" i="14" s="1"/>
  <c r="JJ24" i="14"/>
  <c r="KD24" i="14" s="1"/>
  <c r="KJ24" i="14"/>
  <c r="AW14" i="18"/>
  <c r="IJ25" i="14"/>
  <c r="AX14" i="18" s="1"/>
  <c r="IK25" i="14"/>
  <c r="JK25" i="14" s="1"/>
  <c r="IN25" i="14"/>
  <c r="IO25" i="14" s="1"/>
  <c r="JJ40" i="14"/>
  <c r="KJ40" i="14"/>
  <c r="JJ33" i="14"/>
  <c r="KJ33" i="14"/>
  <c r="JJ21" i="14"/>
  <c r="KD21" i="14" s="1"/>
  <c r="KJ21" i="14"/>
  <c r="AW28" i="18"/>
  <c r="IY39" i="14"/>
  <c r="G27" i="22" s="1"/>
  <c r="IJ39" i="14"/>
  <c r="AX28" i="18" s="1"/>
  <c r="KC39" i="14"/>
  <c r="IK39" i="14"/>
  <c r="JK39" i="14" s="1"/>
  <c r="JT39" i="14"/>
  <c r="G58" i="23" s="1"/>
  <c r="IN39" i="14"/>
  <c r="IO39" i="14" s="1"/>
  <c r="JE39" i="14"/>
  <c r="KG39" i="14"/>
  <c r="R147" i="8"/>
  <c r="Q147" i="8"/>
  <c r="Q241" i="8"/>
  <c r="R241" i="8"/>
  <c r="F21" i="5"/>
  <c r="R104" i="8"/>
  <c r="Q104" i="8"/>
  <c r="GJ68" i="14"/>
  <c r="GK68" i="14" s="1"/>
  <c r="GL68" i="14" s="1"/>
  <c r="N275" i="8"/>
  <c r="P275" i="8" s="1"/>
  <c r="GJ50" i="14"/>
  <c r="GK50" i="14" s="1"/>
  <c r="GL50" i="14" s="1"/>
  <c r="N257" i="8"/>
  <c r="P257" i="8" s="1"/>
  <c r="N267" i="8"/>
  <c r="P267" i="8" s="1"/>
  <c r="GJ60" i="14"/>
  <c r="GK60" i="14" s="1"/>
  <c r="GL60" i="14" s="1"/>
  <c r="Q235" i="8"/>
  <c r="R235" i="8"/>
  <c r="BN158" i="10"/>
  <c r="BN166" i="10"/>
  <c r="DK135" i="16"/>
  <c r="BT148" i="16" s="1"/>
  <c r="DJ135" i="16"/>
  <c r="BS148" i="16" s="1"/>
  <c r="AJ182" i="16"/>
  <c r="AI182" i="16"/>
  <c r="U213" i="19"/>
  <c r="T213" i="19"/>
  <c r="GJ63" i="14"/>
  <c r="GK63" i="14" s="1"/>
  <c r="GL63" i="14" s="1"/>
  <c r="L25" i="2"/>
  <c r="AJ184" i="16"/>
  <c r="AH242" i="16" s="1"/>
  <c r="AI184" i="16"/>
  <c r="AF242" i="16" s="1"/>
  <c r="AE242" i="16" s="1"/>
  <c r="N93" i="8"/>
  <c r="P93" i="8" s="1"/>
  <c r="GJ23" i="14"/>
  <c r="GK23" i="14" s="1"/>
  <c r="GL23" i="14" s="1"/>
  <c r="GJ37" i="14"/>
  <c r="GK37" i="14" s="1"/>
  <c r="GL37" i="14" s="1"/>
  <c r="N107" i="8"/>
  <c r="P107" i="8" s="1"/>
  <c r="F24" i="5" s="1"/>
  <c r="BY177" i="19"/>
  <c r="BZ177" i="19"/>
  <c r="BY254" i="10"/>
  <c r="BZ254" i="10"/>
  <c r="DJ125" i="10"/>
  <c r="AY148" i="10" s="1"/>
  <c r="DK125" i="10"/>
  <c r="AZ148" i="10" s="1"/>
  <c r="CC246" i="16"/>
  <c r="BA233" i="16"/>
  <c r="CD246" i="16" s="1"/>
  <c r="I200" i="19"/>
  <c r="J200" i="19"/>
  <c r="AK320" i="19"/>
  <c r="B74" i="8"/>
  <c r="D8" i="3"/>
  <c r="D9" i="3"/>
  <c r="U191" i="19"/>
  <c r="T191" i="19"/>
  <c r="R329" i="8"/>
  <c r="Q329" i="8"/>
  <c r="L38" i="2"/>
  <c r="L35" i="2"/>
  <c r="AV206" i="10"/>
  <c r="AT202" i="10"/>
  <c r="AV203" i="10"/>
  <c r="AT209" i="10"/>
  <c r="BG161" i="10"/>
  <c r="BG178" i="10"/>
  <c r="BH178" i="10"/>
  <c r="DJ99" i="19"/>
  <c r="DK99" i="19"/>
  <c r="AI235" i="16"/>
  <c r="AJ235" i="16"/>
  <c r="C62" i="21"/>
  <c r="JJ53" i="14"/>
  <c r="GD56" i="14"/>
  <c r="HD56" i="14" s="1"/>
  <c r="GG56" i="14"/>
  <c r="GH56" i="14" s="1"/>
  <c r="AL46" i="18"/>
  <c r="GC56" i="14"/>
  <c r="AM46" i="18" s="1"/>
  <c r="AL44" i="18"/>
  <c r="GX54" i="14"/>
  <c r="GR54" i="14"/>
  <c r="L11" i="22" s="1"/>
  <c r="GG54" i="14"/>
  <c r="GH54" i="14" s="1"/>
  <c r="HV54" i="14"/>
  <c r="HZ54" i="14"/>
  <c r="GD54" i="14"/>
  <c r="HD54" i="14" s="1"/>
  <c r="HM54" i="14"/>
  <c r="L42" i="23" s="1"/>
  <c r="GC54" i="14"/>
  <c r="AM44" i="18" s="1"/>
  <c r="F11" i="5"/>
  <c r="R94" i="8"/>
  <c r="Q94" i="8"/>
  <c r="M204" i="8"/>
  <c r="BV256" i="19"/>
  <c r="BU256" i="19"/>
  <c r="BR142" i="16"/>
  <c r="CG151" i="16" s="1"/>
  <c r="BS142" i="16"/>
  <c r="CH151" i="16" s="1"/>
  <c r="HC23" i="14"/>
  <c r="HW23" i="14" s="1"/>
  <c r="IC23" i="14"/>
  <c r="BJ231" i="19"/>
  <c r="BZ242" i="19" s="1"/>
  <c r="BY242" i="19"/>
  <c r="CO70" i="14"/>
  <c r="DO70" i="14"/>
  <c r="CJ53" i="14"/>
  <c r="P43" i="18"/>
  <c r="BS53" i="14"/>
  <c r="BT53" i="14" s="1"/>
  <c r="CD53" i="14"/>
  <c r="J10" i="22" s="1"/>
  <c r="BP53" i="14"/>
  <c r="CP53" i="14" s="1"/>
  <c r="DH53" i="14"/>
  <c r="CY53" i="14"/>
  <c r="J41" i="23" s="1"/>
  <c r="DL53" i="14"/>
  <c r="DM53" i="14" s="1"/>
  <c r="BO53" i="14"/>
  <c r="Q43" i="18" s="1"/>
  <c r="BT166" i="19"/>
  <c r="BT158" i="19"/>
  <c r="C54" i="22"/>
  <c r="AU208" i="16"/>
  <c r="AS207" i="16"/>
  <c r="BS112" i="16"/>
  <c r="BR112" i="16"/>
  <c r="AI233" i="16"/>
  <c r="AJ233" i="16"/>
  <c r="LQ25" i="14"/>
  <c r="MQ25" i="14"/>
  <c r="KU28" i="14"/>
  <c r="KV28" i="14" s="1"/>
  <c r="BH17" i="18"/>
  <c r="KR28" i="14"/>
  <c r="LR28" i="14" s="1"/>
  <c r="KQ28" i="14"/>
  <c r="BI17" i="18" s="1"/>
  <c r="BH30" i="18"/>
  <c r="LL41" i="14"/>
  <c r="KU41" i="14"/>
  <c r="KV41" i="14" s="1"/>
  <c r="MJ41" i="14"/>
  <c r="KQ41" i="14"/>
  <c r="BI30" i="18" s="1"/>
  <c r="MN41" i="14"/>
  <c r="MA41" i="14"/>
  <c r="H60" i="23" s="1"/>
  <c r="KR41" i="14"/>
  <c r="LR41" i="14" s="1"/>
  <c r="LF41" i="14"/>
  <c r="H29" i="22" s="1"/>
  <c r="P13" i="18"/>
  <c r="BP24" i="14"/>
  <c r="CP24" i="14" s="1"/>
  <c r="BO24" i="14"/>
  <c r="Q13" i="18" s="1"/>
  <c r="BS24" i="14"/>
  <c r="BT24" i="14" s="1"/>
  <c r="T4" i="18"/>
  <c r="S4" i="18"/>
  <c r="T20" i="18"/>
  <c r="T13" i="18"/>
  <c r="T26" i="18"/>
  <c r="T10" i="18"/>
  <c r="T7" i="18"/>
  <c r="T9" i="18"/>
  <c r="T30" i="18"/>
  <c r="T27" i="18"/>
  <c r="T19" i="18"/>
  <c r="T17" i="18"/>
  <c r="T8" i="18"/>
  <c r="T28" i="18"/>
  <c r="T18" i="18"/>
  <c r="T21" i="18"/>
  <c r="T11" i="18"/>
  <c r="T22" i="18"/>
  <c r="T29" i="18"/>
  <c r="T16" i="18"/>
  <c r="T23" i="18"/>
  <c r="T14" i="18"/>
  <c r="T25" i="18"/>
  <c r="T15" i="18"/>
  <c r="T24" i="18"/>
  <c r="T12" i="18"/>
  <c r="AH57" i="14"/>
  <c r="BB57" i="14" s="1"/>
  <c r="E60" i="18"/>
  <c r="BE70" i="14"/>
  <c r="BF70" i="14" s="1"/>
  <c r="H70" i="14"/>
  <c r="F60" i="18" s="1"/>
  <c r="AC70" i="14"/>
  <c r="W70" i="14"/>
  <c r="I27" i="22" s="1"/>
  <c r="BA70" i="14"/>
  <c r="AR70" i="14"/>
  <c r="I58" i="23" s="1"/>
  <c r="I70" i="14"/>
  <c r="AI70" i="14" s="1"/>
  <c r="L70" i="14"/>
  <c r="M70" i="14" s="1"/>
  <c r="CG243" i="10"/>
  <c r="AR235" i="10"/>
  <c r="CH243" i="10" s="1"/>
  <c r="DJ139" i="19"/>
  <c r="CA148" i="19" s="1"/>
  <c r="DK139" i="19"/>
  <c r="CB148" i="19" s="1"/>
  <c r="U201" i="16"/>
  <c r="T201" i="16"/>
  <c r="C45" i="21"/>
  <c r="LQ70" i="14"/>
  <c r="MQ70" i="14"/>
  <c r="AX237" i="16"/>
  <c r="CL245" i="16" s="1"/>
  <c r="CK245" i="16"/>
  <c r="DJ90" i="19"/>
  <c r="DK90" i="19"/>
  <c r="BS242" i="19"/>
  <c r="BJ228" i="19"/>
  <c r="BT242" i="19" s="1"/>
  <c r="CO141" i="16"/>
  <c r="CF153" i="16" s="1"/>
  <c r="CN141" i="16"/>
  <c r="CE153" i="16" s="1"/>
  <c r="U197" i="16"/>
  <c r="T197" i="16"/>
  <c r="F18" i="5"/>
  <c r="R101" i="8"/>
  <c r="Q101" i="8"/>
  <c r="Q130" i="8"/>
  <c r="R130" i="8"/>
  <c r="EV52" i="14"/>
  <c r="FP52" i="14" s="1"/>
  <c r="FV52" i="14"/>
  <c r="BJ227" i="16"/>
  <c r="BR242" i="16" s="1"/>
  <c r="BQ242" i="16"/>
  <c r="AJ238" i="10"/>
  <c r="AI238" i="10"/>
  <c r="EV41" i="14"/>
  <c r="FP41" i="14" s="1"/>
  <c r="FV41" i="14"/>
  <c r="JJ36" i="14"/>
  <c r="KD36" i="14" s="1"/>
  <c r="KJ36" i="14"/>
  <c r="B130" i="8"/>
  <c r="Q128" i="8" s="1"/>
  <c r="F8" i="3"/>
  <c r="F9" i="3"/>
  <c r="AV96" i="10"/>
  <c r="AW96" i="10"/>
  <c r="F16" i="5"/>
  <c r="Q99" i="8"/>
  <c r="R99" i="8"/>
  <c r="DJ124" i="19"/>
  <c r="AW148" i="19" s="1"/>
  <c r="DK124" i="19"/>
  <c r="AX148" i="19" s="1"/>
  <c r="BQ167" i="19"/>
  <c r="BQ168" i="19" s="1"/>
  <c r="BQ169" i="19" s="1"/>
  <c r="BQ170" i="19" s="1"/>
  <c r="AI183" i="16"/>
  <c r="AF241" i="16" s="1"/>
  <c r="AE241" i="16" s="1"/>
  <c r="AJ183" i="16"/>
  <c r="AH241" i="16" s="1"/>
  <c r="J236" i="19"/>
  <c r="I236" i="19"/>
  <c r="CI160" i="10"/>
  <c r="CI177" i="10"/>
  <c r="CJ177" i="10"/>
  <c r="BD36" i="14"/>
  <c r="C89" i="21"/>
  <c r="C29" i="21" s="1"/>
  <c r="AV106" i="10"/>
  <c r="AW106" i="10"/>
  <c r="DJ92" i="10"/>
  <c r="DK92" i="10"/>
  <c r="J194" i="16"/>
  <c r="I194" i="16"/>
  <c r="A42" i="8"/>
  <c r="B42" i="8" s="1"/>
  <c r="A39" i="8"/>
  <c r="B39" i="8" s="1"/>
  <c r="IK64" i="14"/>
  <c r="JK64" i="14" s="1"/>
  <c r="IN64" i="14"/>
  <c r="IO64" i="14" s="1"/>
  <c r="AW54" i="18"/>
  <c r="IJ64" i="14"/>
  <c r="AX54" i="18" s="1"/>
  <c r="HC70" i="14"/>
  <c r="IC70" i="14"/>
  <c r="AL51" i="18"/>
  <c r="GD61" i="14"/>
  <c r="HD61" i="14" s="1"/>
  <c r="GC61" i="14"/>
  <c r="AM51" i="18" s="1"/>
  <c r="GG61" i="14"/>
  <c r="GH61" i="14" s="1"/>
  <c r="Q96" i="8"/>
  <c r="R96" i="8"/>
  <c r="F13" i="5" s="1"/>
  <c r="M215" i="8"/>
  <c r="C29" i="9"/>
  <c r="AE41" i="14"/>
  <c r="HC40" i="14"/>
  <c r="HW40" i="14" s="1"/>
  <c r="IC40" i="14"/>
  <c r="R264" i="8"/>
  <c r="Q264" i="8"/>
  <c r="AW121" i="10"/>
  <c r="AR149" i="10" s="1"/>
  <c r="AV121" i="10"/>
  <c r="AQ149" i="10" s="1"/>
  <c r="CO60" i="14"/>
  <c r="BW165" i="10"/>
  <c r="BX165" i="10"/>
  <c r="CO129" i="16"/>
  <c r="BH153" i="16" s="1"/>
  <c r="CN129" i="16"/>
  <c r="BG153" i="16" s="1"/>
  <c r="LQ30" i="14"/>
  <c r="KU30" i="14"/>
  <c r="KV30" i="14" s="1"/>
  <c r="KQ30" i="14"/>
  <c r="BI19" i="18" s="1"/>
  <c r="KR30" i="14"/>
  <c r="LR30" i="14" s="1"/>
  <c r="BH19" i="18"/>
  <c r="CO23" i="14"/>
  <c r="DI23" i="14" s="1"/>
  <c r="P24" i="18"/>
  <c r="BP35" i="14"/>
  <c r="CP35" i="14" s="1"/>
  <c r="BS35" i="14"/>
  <c r="BT35" i="14" s="1"/>
  <c r="CJ35" i="14"/>
  <c r="CD35" i="14"/>
  <c r="D23" i="22" s="1"/>
  <c r="CY35" i="14"/>
  <c r="D54" i="23" s="1"/>
  <c r="DH35" i="14"/>
  <c r="BO35" i="14"/>
  <c r="Q24" i="18" s="1"/>
  <c r="DL35" i="14"/>
  <c r="Q189" i="8"/>
  <c r="R189" i="8"/>
  <c r="AV208" i="10"/>
  <c r="AT207" i="10"/>
  <c r="BP256" i="10"/>
  <c r="BO256" i="10"/>
  <c r="AH58" i="14"/>
  <c r="BB58" i="14" s="1"/>
  <c r="H62" i="14"/>
  <c r="F52" i="18" s="1"/>
  <c r="E52" i="18"/>
  <c r="I62" i="14"/>
  <c r="AI62" i="14" s="1"/>
  <c r="L62" i="14"/>
  <c r="M62" i="14" s="1"/>
  <c r="AC67" i="14"/>
  <c r="L67" i="14"/>
  <c r="M67" i="14" s="1"/>
  <c r="I67" i="14"/>
  <c r="AI67" i="14" s="1"/>
  <c r="E57" i="18"/>
  <c r="W67" i="14"/>
  <c r="I24" i="22" s="1"/>
  <c r="AR67" i="14"/>
  <c r="I55" i="23" s="1"/>
  <c r="H67" i="14"/>
  <c r="F57" i="18" s="1"/>
  <c r="BA67" i="14"/>
  <c r="BE67" i="14"/>
  <c r="BF67" i="14" s="1"/>
  <c r="BR93" i="19"/>
  <c r="BS93" i="19"/>
  <c r="DJ98" i="16"/>
  <c r="DK98" i="16"/>
  <c r="AI178" i="16"/>
  <c r="AJ178" i="16"/>
  <c r="BR106" i="16"/>
  <c r="BS106" i="16"/>
  <c r="AW108" i="10"/>
  <c r="AV108" i="10"/>
  <c r="AY165" i="16"/>
  <c r="AZ165" i="16"/>
  <c r="BS105" i="16"/>
  <c r="BR105" i="16"/>
  <c r="BH142" i="10"/>
  <c r="CH150" i="10" s="1"/>
  <c r="BG142" i="10"/>
  <c r="CG150" i="10" s="1"/>
  <c r="CD120" i="16"/>
  <c r="AP152" i="16" s="1"/>
  <c r="CC120" i="16"/>
  <c r="AO152" i="16" s="1"/>
  <c r="LQ63" i="14"/>
  <c r="MK63" i="14" s="1"/>
  <c r="BI165" i="10"/>
  <c r="BI166" i="10" s="1"/>
  <c r="BI167" i="10" s="1"/>
  <c r="BI168" i="10" s="1"/>
  <c r="BI169" i="10" s="1"/>
  <c r="BI170" i="10" s="1"/>
  <c r="C63" i="21"/>
  <c r="CB178" i="19"/>
  <c r="CA161" i="19"/>
  <c r="CA178" i="19"/>
  <c r="AT207" i="19"/>
  <c r="AV208" i="19"/>
  <c r="EV63" i="14"/>
  <c r="BH159" i="10"/>
  <c r="BH167" i="10"/>
  <c r="EV19" i="14"/>
  <c r="FV19" i="14"/>
  <c r="DZ30" i="14"/>
  <c r="EA30" i="14" s="1"/>
  <c r="DW30" i="14"/>
  <c r="EW30" i="14" s="1"/>
  <c r="AA19" i="18"/>
  <c r="DV30" i="14"/>
  <c r="AB19" i="18" s="1"/>
  <c r="AA25" i="18"/>
  <c r="DZ36" i="14"/>
  <c r="EA36" i="14" s="1"/>
  <c r="FF36" i="14"/>
  <c r="E55" i="23" s="1"/>
  <c r="DV36" i="14"/>
  <c r="AB25" i="18" s="1"/>
  <c r="EQ36" i="14"/>
  <c r="FO36" i="14"/>
  <c r="DW36" i="14"/>
  <c r="EW36" i="14" s="1"/>
  <c r="FS36" i="14"/>
  <c r="FT36" i="14" s="1"/>
  <c r="EK36" i="14"/>
  <c r="E24" i="22" s="1"/>
  <c r="IN27" i="14"/>
  <c r="IO27" i="14" s="1"/>
  <c r="AW16" i="18"/>
  <c r="IJ27" i="14"/>
  <c r="AX16" i="18" s="1"/>
  <c r="IK27" i="14"/>
  <c r="JK27" i="14" s="1"/>
  <c r="AW24" i="18"/>
  <c r="IK35" i="14"/>
  <c r="JK35" i="14" s="1"/>
  <c r="IN35" i="14"/>
  <c r="IO35" i="14" s="1"/>
  <c r="IJ35" i="14"/>
  <c r="AX24" i="18" s="1"/>
  <c r="Q327" i="8"/>
  <c r="R327" i="8"/>
  <c r="CN125" i="16"/>
  <c r="AY153" i="16" s="1"/>
  <c r="CO125" i="16"/>
  <c r="AZ153" i="16" s="1"/>
  <c r="P290" i="8"/>
  <c r="R21" i="8"/>
  <c r="Q21" i="8"/>
  <c r="U532" i="10"/>
  <c r="V531" i="10"/>
  <c r="W531" i="10" s="1"/>
  <c r="T209" i="10"/>
  <c r="U209" i="10"/>
  <c r="BP176" i="16"/>
  <c r="BO159" i="16"/>
  <c r="BO176" i="16"/>
  <c r="BH158" i="19"/>
  <c r="BH166" i="19"/>
  <c r="CH207" i="10"/>
  <c r="CJ208" i="10"/>
  <c r="AU166" i="10"/>
  <c r="DJ143" i="19"/>
  <c r="CI148" i="19" s="1"/>
  <c r="DK143" i="19"/>
  <c r="CJ148" i="19" s="1"/>
  <c r="BR127" i="19"/>
  <c r="BC151" i="19" s="1"/>
  <c r="BS127" i="19"/>
  <c r="BD151" i="19" s="1"/>
  <c r="BW243" i="10"/>
  <c r="AR230" i="10"/>
  <c r="BX243" i="10" s="1"/>
  <c r="AW47" i="18"/>
  <c r="IK57" i="14"/>
  <c r="JK57" i="14" s="1"/>
  <c r="IN57" i="14"/>
  <c r="IO57" i="14" s="1"/>
  <c r="IJ57" i="14"/>
  <c r="AX47" i="18" s="1"/>
  <c r="IK60" i="14"/>
  <c r="JK60" i="14" s="1"/>
  <c r="IN60" i="14"/>
  <c r="IO60" i="14" s="1"/>
  <c r="AW50" i="18"/>
  <c r="HC65" i="14"/>
  <c r="HW65" i="14" s="1"/>
  <c r="M203" i="8"/>
  <c r="AQ208" i="19"/>
  <c r="AO207" i="19"/>
  <c r="BJ229" i="19"/>
  <c r="BV242" i="19" s="1"/>
  <c r="BU242" i="19"/>
  <c r="BR132" i="19"/>
  <c r="BM151" i="19" s="1"/>
  <c r="BS132" i="19"/>
  <c r="BN151" i="19" s="1"/>
  <c r="HC33" i="14"/>
  <c r="AL8" i="18"/>
  <c r="HM19" i="14"/>
  <c r="F38" i="23" s="1"/>
  <c r="GD19" i="14"/>
  <c r="HD19" i="14" s="1"/>
  <c r="GR19" i="14"/>
  <c r="F7" i="22" s="1"/>
  <c r="GG19" i="14"/>
  <c r="GH19" i="14" s="1"/>
  <c r="GX19" i="14"/>
  <c r="HV19" i="14"/>
  <c r="GC19" i="14"/>
  <c r="AM8" i="18" s="1"/>
  <c r="HZ19" i="14"/>
  <c r="IA19" i="14" s="1"/>
  <c r="CO139" i="16"/>
  <c r="CB153" i="16" s="1"/>
  <c r="CN139" i="16"/>
  <c r="CA153" i="16" s="1"/>
  <c r="U357" i="10"/>
  <c r="T357" i="10"/>
  <c r="CO50" i="14"/>
  <c r="DO50" i="14"/>
  <c r="CA203" i="10"/>
  <c r="BY209" i="10"/>
  <c r="CA206" i="10"/>
  <c r="BY202" i="10"/>
  <c r="CA245" i="19"/>
  <c r="AX232" i="19"/>
  <c r="CB245" i="19" s="1"/>
  <c r="AJ236" i="10"/>
  <c r="AI236" i="10"/>
  <c r="T196" i="19"/>
  <c r="U196" i="19"/>
  <c r="LQ24" i="14"/>
  <c r="MQ24" i="14"/>
  <c r="CO29" i="14"/>
  <c r="DI29" i="14" s="1"/>
  <c r="G16" i="2"/>
  <c r="G17" i="2"/>
  <c r="BU245" i="16"/>
  <c r="AX229" i="16"/>
  <c r="BV245" i="16" s="1"/>
  <c r="J30" i="14"/>
  <c r="K30" i="14" s="1"/>
  <c r="R30" i="14" s="1"/>
  <c r="I65" i="14"/>
  <c r="AI65" i="14" s="1"/>
  <c r="L65" i="14"/>
  <c r="M65" i="14" s="1"/>
  <c r="E55" i="18"/>
  <c r="H65" i="14"/>
  <c r="F55" i="18" s="1"/>
  <c r="W53" i="14"/>
  <c r="I10" i="22" s="1"/>
  <c r="AC53" i="14"/>
  <c r="E43" i="18"/>
  <c r="I53" i="14"/>
  <c r="AI53" i="14" s="1"/>
  <c r="L53" i="14"/>
  <c r="M53" i="14" s="1"/>
  <c r="H53" i="14"/>
  <c r="F43" i="18" s="1"/>
  <c r="BA53" i="14"/>
  <c r="BE53" i="14"/>
  <c r="AR53" i="14"/>
  <c r="I41" i="23" s="1"/>
  <c r="AV165" i="16"/>
  <c r="AV166" i="16" s="1"/>
  <c r="AJ181" i="19"/>
  <c r="AI181" i="19"/>
  <c r="DJ125" i="19"/>
  <c r="AY148" i="19" s="1"/>
  <c r="DK125" i="19"/>
  <c r="AZ148" i="19" s="1"/>
  <c r="CN138" i="16"/>
  <c r="BY153" i="16" s="1"/>
  <c r="CO138" i="16"/>
  <c r="BZ153" i="16" s="1"/>
  <c r="BR100" i="19"/>
  <c r="BS100" i="19"/>
  <c r="KU59" i="14"/>
  <c r="KV59" i="14" s="1"/>
  <c r="KQ59" i="14"/>
  <c r="BI49" i="18" s="1"/>
  <c r="BH49" i="18"/>
  <c r="KR59" i="14"/>
  <c r="LR59" i="14" s="1"/>
  <c r="M206" i="8"/>
  <c r="AU242" i="19"/>
  <c r="BJ216" i="19"/>
  <c r="AV242" i="19" s="1"/>
  <c r="CD143" i="16"/>
  <c r="CJ152" i="16" s="1"/>
  <c r="CC143" i="16"/>
  <c r="CI152" i="16" s="1"/>
  <c r="BS178" i="16"/>
  <c r="BT178" i="16"/>
  <c r="AA53" i="18"/>
  <c r="DW63" i="14"/>
  <c r="EW63" i="14" s="1"/>
  <c r="DZ63" i="14"/>
  <c r="EA63" i="14" s="1"/>
  <c r="DV63" i="14"/>
  <c r="AB53" i="18" s="1"/>
  <c r="AQ245" i="16"/>
  <c r="AX214" i="16"/>
  <c r="AR245" i="16" s="1"/>
  <c r="AU243" i="10"/>
  <c r="AR216" i="10"/>
  <c r="AV243" i="10" s="1"/>
  <c r="EV38" i="14"/>
  <c r="FP38" i="14" s="1"/>
  <c r="FV38" i="14"/>
  <c r="JJ30" i="14"/>
  <c r="KD30" i="14" s="1"/>
  <c r="Q182" i="8"/>
  <c r="R182" i="8"/>
  <c r="AH141" i="10"/>
  <c r="AH125" i="10"/>
  <c r="AH125" i="19"/>
  <c r="R73" i="8"/>
  <c r="Q73" i="8"/>
  <c r="GJ18" i="14"/>
  <c r="GK18" i="14" s="1"/>
  <c r="GL18" i="14" s="1"/>
  <c r="N88" i="8"/>
  <c r="P88" i="8" s="1"/>
  <c r="CA168" i="10"/>
  <c r="CO91" i="16"/>
  <c r="CN91" i="16"/>
  <c r="BY196" i="19"/>
  <c r="BY193" i="19"/>
  <c r="BW192" i="19"/>
  <c r="BW199" i="19"/>
  <c r="BZ255" i="19"/>
  <c r="BY255" i="19"/>
  <c r="BS257" i="19"/>
  <c r="BT257" i="19"/>
  <c r="AW103" i="10"/>
  <c r="AV103" i="10"/>
  <c r="J241" i="19"/>
  <c r="I241" i="19"/>
  <c r="JJ54" i="14"/>
  <c r="HC54" i="14"/>
  <c r="HW54" i="14" s="1"/>
  <c r="AL42" i="18"/>
  <c r="GG52" i="14"/>
  <c r="GH52" i="14" s="1"/>
  <c r="GX52" i="14"/>
  <c r="HM52" i="14"/>
  <c r="L40" i="23" s="1"/>
  <c r="HZ52" i="14"/>
  <c r="IA52" i="14" s="1"/>
  <c r="GC52" i="14"/>
  <c r="AM42" i="18" s="1"/>
  <c r="GD52" i="14"/>
  <c r="HD52" i="14" s="1"/>
  <c r="GR52" i="14"/>
  <c r="L9" i="22" s="1"/>
  <c r="HV52" i="14"/>
  <c r="Q239" i="8"/>
  <c r="R239" i="8"/>
  <c r="M222" i="8"/>
  <c r="AQ160" i="19"/>
  <c r="AQ177" i="19"/>
  <c r="AR177" i="19"/>
  <c r="AR160" i="19"/>
  <c r="BG105" i="10"/>
  <c r="BH105" i="10"/>
  <c r="U199" i="16"/>
  <c r="T199" i="16"/>
  <c r="AI213" i="16"/>
  <c r="AF271" i="16" s="1"/>
  <c r="AE271" i="16" s="1"/>
  <c r="AJ213" i="16"/>
  <c r="AH271" i="16" s="1"/>
  <c r="GC28" i="14"/>
  <c r="AM17" i="18" s="1"/>
  <c r="AL17" i="18"/>
  <c r="GD28" i="14"/>
  <c r="HD28" i="14" s="1"/>
  <c r="GG28" i="14"/>
  <c r="GH28" i="14" s="1"/>
  <c r="AL10" i="18"/>
  <c r="HZ21" i="14"/>
  <c r="IA21" i="14" s="1"/>
  <c r="GR21" i="14"/>
  <c r="F9" i="22" s="1"/>
  <c r="HV21" i="14"/>
  <c r="GX21" i="14"/>
  <c r="GD21" i="14"/>
  <c r="HD21" i="14" s="1"/>
  <c r="HM21" i="14"/>
  <c r="F40" i="23" s="1"/>
  <c r="GG21" i="14"/>
  <c r="GH21" i="14" s="1"/>
  <c r="GC21" i="14"/>
  <c r="AM10" i="18" s="1"/>
  <c r="BG124" i="10"/>
  <c r="AW150" i="10" s="1"/>
  <c r="BH124" i="10"/>
  <c r="AX150" i="10" s="1"/>
  <c r="J236" i="10"/>
  <c r="I236" i="10"/>
  <c r="CN105" i="16"/>
  <c r="CO105" i="16"/>
  <c r="CO52" i="14"/>
  <c r="DO52" i="14"/>
  <c r="CG161" i="19"/>
  <c r="CG178" i="19"/>
  <c r="CH178" i="19"/>
  <c r="CG161" i="16"/>
  <c r="CH178" i="16"/>
  <c r="CG178" i="16"/>
  <c r="BE162" i="10"/>
  <c r="BF170" i="10"/>
  <c r="BF162" i="10"/>
  <c r="R123" i="8"/>
  <c r="Q123" i="8"/>
  <c r="KQ25" i="14"/>
  <c r="BI14" i="18" s="1"/>
  <c r="BH14" i="18"/>
  <c r="KR25" i="14"/>
  <c r="LR25" i="14" s="1"/>
  <c r="KU25" i="14"/>
  <c r="KV25" i="14" s="1"/>
  <c r="BH13" i="18"/>
  <c r="KQ24" i="14"/>
  <c r="BI13" i="18" s="1"/>
  <c r="KU24" i="14"/>
  <c r="KV24" i="14" s="1"/>
  <c r="KR24" i="14"/>
  <c r="LR24" i="14" s="1"/>
  <c r="LF22" i="14"/>
  <c r="H10" i="22" s="1"/>
  <c r="LL22" i="14"/>
  <c r="BH11" i="18"/>
  <c r="KR22" i="14"/>
  <c r="LR22" i="14" s="1"/>
  <c r="KU22" i="14"/>
  <c r="KV22" i="14" s="1"/>
  <c r="MA22" i="14"/>
  <c r="H41" i="23" s="1"/>
  <c r="MJ22" i="14"/>
  <c r="MN22" i="14"/>
  <c r="MO22" i="14" s="1"/>
  <c r="KQ22" i="14"/>
  <c r="BI11" i="18" s="1"/>
  <c r="CO34" i="14"/>
  <c r="AX218" i="19"/>
  <c r="AZ245" i="19" s="1"/>
  <c r="AY245" i="19"/>
  <c r="T189" i="16"/>
  <c r="U189" i="16"/>
  <c r="AH67" i="14"/>
  <c r="BB67" i="14" s="1"/>
  <c r="BH67" i="14"/>
  <c r="H61" i="14"/>
  <c r="F51" i="18" s="1"/>
  <c r="E51" i="18"/>
  <c r="L61" i="14"/>
  <c r="M61" i="14" s="1"/>
  <c r="I61" i="14"/>
  <c r="AI61" i="14" s="1"/>
  <c r="CO123" i="16"/>
  <c r="AV153" i="16" s="1"/>
  <c r="CN123" i="16"/>
  <c r="AU153" i="16" s="1"/>
  <c r="AG246" i="19"/>
  <c r="AC247" i="19"/>
  <c r="AQ204" i="10"/>
  <c r="AS198" i="10"/>
  <c r="AS201" i="10"/>
  <c r="AQ197" i="10"/>
  <c r="BS137" i="16"/>
  <c r="BX151" i="16" s="1"/>
  <c r="BR137" i="16"/>
  <c r="BW151" i="16" s="1"/>
  <c r="CN99" i="16"/>
  <c r="CO99" i="16"/>
  <c r="T356" i="10"/>
  <c r="U356" i="10"/>
  <c r="C39" i="22"/>
  <c r="LQ71" i="14"/>
  <c r="MK71" i="14" s="1"/>
  <c r="MQ71" i="14"/>
  <c r="A62" i="8"/>
  <c r="A65" i="8"/>
  <c r="BI161" i="10"/>
  <c r="BJ178" i="10"/>
  <c r="BI178" i="10"/>
  <c r="C59" i="23"/>
  <c r="BI40" i="14"/>
  <c r="C29" i="23" s="1"/>
  <c r="IQ55" i="14"/>
  <c r="IR55" i="14" s="1"/>
  <c r="IS55" i="14" s="1"/>
  <c r="CJ166" i="19"/>
  <c r="CJ158" i="19"/>
  <c r="BS120" i="16"/>
  <c r="AP151" i="16" s="1"/>
  <c r="BR120" i="16"/>
  <c r="AO151" i="16" s="1"/>
  <c r="BJ219" i="16"/>
  <c r="BB242" i="16" s="1"/>
  <c r="BA242" i="16"/>
  <c r="EV64" i="14"/>
  <c r="AA41" i="18"/>
  <c r="EQ51" i="14"/>
  <c r="DW51" i="14"/>
  <c r="EW51" i="14" s="1"/>
  <c r="DV51" i="14"/>
  <c r="AB41" i="18" s="1"/>
  <c r="EK51" i="14"/>
  <c r="K8" i="22" s="1"/>
  <c r="FS51" i="14"/>
  <c r="FT51" i="14" s="1"/>
  <c r="FO51" i="14"/>
  <c r="FF51" i="14"/>
  <c r="K39" i="23" s="1"/>
  <c r="DZ51" i="14"/>
  <c r="EA51" i="14" s="1"/>
  <c r="BZ208" i="10"/>
  <c r="BX207" i="10"/>
  <c r="BQ166" i="10"/>
  <c r="BQ167" i="10" s="1"/>
  <c r="BQ168" i="10" s="1"/>
  <c r="BQ169" i="10" s="1"/>
  <c r="BQ170" i="10" s="1"/>
  <c r="DJ141" i="19"/>
  <c r="CE148" i="19" s="1"/>
  <c r="DK141" i="19"/>
  <c r="CF148" i="19" s="1"/>
  <c r="AW90" i="10"/>
  <c r="AV90" i="10"/>
  <c r="EV40" i="14"/>
  <c r="FV40" i="14"/>
  <c r="DV25" i="14"/>
  <c r="AB14" i="18" s="1"/>
  <c r="AA14" i="18"/>
  <c r="DW25" i="14"/>
  <c r="EW25" i="14" s="1"/>
  <c r="DZ25" i="14"/>
  <c r="EA25" i="14" s="1"/>
  <c r="JJ26" i="14"/>
  <c r="KD26" i="14" s="1"/>
  <c r="AW19" i="18"/>
  <c r="IN30" i="14"/>
  <c r="IO30" i="14" s="1"/>
  <c r="IK30" i="14"/>
  <c r="JK30" i="14" s="1"/>
  <c r="IJ30" i="14"/>
  <c r="AX19" i="18" s="1"/>
  <c r="AW8" i="18"/>
  <c r="JT19" i="14"/>
  <c r="G38" i="23" s="1"/>
  <c r="KG19" i="14"/>
  <c r="JE19" i="14"/>
  <c r="KC19" i="14"/>
  <c r="IJ19" i="14"/>
  <c r="AX8" i="18" s="1"/>
  <c r="IN19" i="14"/>
  <c r="IO19" i="14" s="1"/>
  <c r="IK19" i="14"/>
  <c r="JK19" i="14" s="1"/>
  <c r="IY19" i="14"/>
  <c r="G7" i="22" s="1"/>
  <c r="DK128" i="19"/>
  <c r="BF148" i="19" s="1"/>
  <c r="DJ128" i="19"/>
  <c r="BE148" i="19" s="1"/>
  <c r="N90" i="8"/>
  <c r="P90" i="8" s="1"/>
  <c r="GJ20" i="14"/>
  <c r="GK20" i="14" s="1"/>
  <c r="GL20" i="14" s="1"/>
  <c r="AW247" i="16"/>
  <c r="BD217" i="16"/>
  <c r="AX247" i="16" s="1"/>
  <c r="CI161" i="16"/>
  <c r="CJ178" i="16"/>
  <c r="CI178" i="16"/>
  <c r="BR123" i="16"/>
  <c r="AU151" i="16" s="1"/>
  <c r="BS123" i="16"/>
  <c r="AV151" i="16" s="1"/>
  <c r="T217" i="10"/>
  <c r="U217" i="10"/>
  <c r="DJ121" i="19"/>
  <c r="AQ148" i="19" s="1"/>
  <c r="DK121" i="19"/>
  <c r="AR148" i="19" s="1"/>
  <c r="CN106" i="16"/>
  <c r="CO106" i="16"/>
  <c r="BE242" i="16"/>
  <c r="BJ221" i="16"/>
  <c r="BF242" i="16" s="1"/>
  <c r="AC220" i="16"/>
  <c r="AD219" i="16"/>
  <c r="CC127" i="16"/>
  <c r="BC152" i="16" s="1"/>
  <c r="CD127" i="16"/>
  <c r="BD152" i="16" s="1"/>
  <c r="CJ208" i="19"/>
  <c r="CH207" i="19"/>
  <c r="BZ176" i="19"/>
  <c r="BY176" i="19"/>
  <c r="BT254" i="16"/>
  <c r="BS254" i="16"/>
  <c r="AG519" i="10"/>
  <c r="AH518" i="10"/>
  <c r="AI518" i="10" s="1"/>
  <c r="AG245" i="10"/>
  <c r="AC246" i="10"/>
  <c r="BS247" i="16"/>
  <c r="BD228" i="16"/>
  <c r="BT247" i="16" s="1"/>
  <c r="BR101" i="19"/>
  <c r="BS101" i="19"/>
  <c r="CC243" i="10"/>
  <c r="AR233" i="10"/>
  <c r="CD243" i="10" s="1"/>
  <c r="I237" i="10"/>
  <c r="J237" i="10"/>
  <c r="I194" i="10"/>
  <c r="J194" i="10"/>
  <c r="CD107" i="16"/>
  <c r="CC107" i="16"/>
  <c r="AL319" i="19"/>
  <c r="BF39" i="14"/>
  <c r="KJ49" i="14"/>
  <c r="JJ49" i="14"/>
  <c r="KD49" i="14" s="1"/>
  <c r="JJ52" i="14"/>
  <c r="JJ64" i="14"/>
  <c r="IN63" i="14"/>
  <c r="IO63" i="14" s="1"/>
  <c r="IJ63" i="14"/>
  <c r="AX53" i="18" s="1"/>
  <c r="IK63" i="14"/>
  <c r="JK63" i="14" s="1"/>
  <c r="AW53" i="18"/>
  <c r="JJ68" i="14"/>
  <c r="KD68" i="14" s="1"/>
  <c r="AW44" i="18"/>
  <c r="JE54" i="14"/>
  <c r="IJ54" i="14"/>
  <c r="AX44" i="18" s="1"/>
  <c r="IN54" i="14"/>
  <c r="IO54" i="14" s="1"/>
  <c r="KC54" i="14"/>
  <c r="JT54" i="14"/>
  <c r="M42" i="23" s="1"/>
  <c r="IK54" i="14"/>
  <c r="JK54" i="14" s="1"/>
  <c r="IY54" i="14"/>
  <c r="M11" i="22" s="1"/>
  <c r="KG54" i="14"/>
  <c r="BA36" i="18"/>
  <c r="AZ36" i="18"/>
  <c r="BA59" i="18"/>
  <c r="BA53" i="18"/>
  <c r="BA54" i="18"/>
  <c r="BA51" i="18"/>
  <c r="BA61" i="18"/>
  <c r="BA45" i="18"/>
  <c r="BA55" i="18"/>
  <c r="BA58" i="18"/>
  <c r="BA42" i="18"/>
  <c r="BA50" i="18"/>
  <c r="BA62" i="18"/>
  <c r="BA52" i="18"/>
  <c r="BA41" i="18"/>
  <c r="BA46" i="18"/>
  <c r="BA39" i="18"/>
  <c r="BA60" i="18"/>
  <c r="BA57" i="18"/>
  <c r="BA48" i="18"/>
  <c r="BA47" i="18"/>
  <c r="BA40" i="18"/>
  <c r="BA49" i="18"/>
  <c r="BA43" i="18"/>
  <c r="BA56" i="18"/>
  <c r="BA44" i="18"/>
  <c r="HC61" i="14"/>
  <c r="HW61" i="14" s="1"/>
  <c r="HC55" i="14"/>
  <c r="HW55" i="14" s="1"/>
  <c r="GD58" i="14"/>
  <c r="HD58" i="14" s="1"/>
  <c r="GG58" i="14"/>
  <c r="GH58" i="14" s="1"/>
  <c r="AL48" i="18"/>
  <c r="GC58" i="14"/>
  <c r="AM48" i="18" s="1"/>
  <c r="HC64" i="14"/>
  <c r="AL43" i="18"/>
  <c r="HM53" i="14"/>
  <c r="L41" i="23" s="1"/>
  <c r="GD53" i="14"/>
  <c r="HD53" i="14" s="1"/>
  <c r="GR53" i="14"/>
  <c r="L10" i="22" s="1"/>
  <c r="GG53" i="14"/>
  <c r="GH53" i="14" s="1"/>
  <c r="HZ53" i="14"/>
  <c r="GX53" i="14"/>
  <c r="GC53" i="14"/>
  <c r="AM43" i="18" s="1"/>
  <c r="HV53" i="14"/>
  <c r="AL40" i="18"/>
  <c r="HM50" i="14"/>
  <c r="L38" i="23" s="1"/>
  <c r="HV50" i="14"/>
  <c r="GC50" i="14"/>
  <c r="AM40" i="18" s="1"/>
  <c r="GR50" i="14"/>
  <c r="L7" i="22" s="1"/>
  <c r="GX50" i="14"/>
  <c r="GD50" i="14"/>
  <c r="HD50" i="14" s="1"/>
  <c r="HZ50" i="14"/>
  <c r="GG50" i="14"/>
  <c r="GH50" i="14" s="1"/>
  <c r="A210" i="8"/>
  <c r="B210" i="8" s="1"/>
  <c r="A207" i="8"/>
  <c r="B207" i="8" s="1"/>
  <c r="B257" i="8"/>
  <c r="Q263" i="8"/>
  <c r="B255" i="8"/>
  <c r="R261" i="8"/>
  <c r="Q261" i="8"/>
  <c r="C255" i="8"/>
  <c r="R271" i="8"/>
  <c r="R268" i="8"/>
  <c r="R269" i="8"/>
  <c r="Q274" i="8"/>
  <c r="Q271" i="8"/>
  <c r="R274" i="8"/>
  <c r="R258" i="8"/>
  <c r="R260" i="8"/>
  <c r="R257" i="8"/>
  <c r="Q267" i="8"/>
  <c r="Q278" i="8"/>
  <c r="Q277" i="8"/>
  <c r="R267" i="8"/>
  <c r="R277" i="8"/>
  <c r="B258" i="8"/>
  <c r="B254" i="8"/>
  <c r="C254" i="8" s="1"/>
  <c r="Q258" i="8"/>
  <c r="Q260" i="8"/>
  <c r="Q268" i="8"/>
  <c r="Q259" i="8"/>
  <c r="R259" i="8"/>
  <c r="Q269" i="8"/>
  <c r="Q257" i="8"/>
  <c r="R276" i="8"/>
  <c r="R275" i="8"/>
  <c r="R278" i="8"/>
  <c r="Q275" i="8"/>
  <c r="Q276" i="8"/>
  <c r="R263" i="8"/>
  <c r="R265" i="8"/>
  <c r="Q265" i="8"/>
  <c r="M202" i="8"/>
  <c r="M219" i="8"/>
  <c r="M209" i="8"/>
  <c r="AQ165" i="16"/>
  <c r="AQ166" i="16" s="1"/>
  <c r="AQ167" i="16" s="1"/>
  <c r="AR165" i="16"/>
  <c r="DK138" i="16"/>
  <c r="BZ148" i="16" s="1"/>
  <c r="DJ138" i="16"/>
  <c r="BY148" i="16" s="1"/>
  <c r="BF35" i="14"/>
  <c r="C106" i="14"/>
  <c r="GC31" i="14"/>
  <c r="AM20" i="18" s="1"/>
  <c r="GG31" i="14"/>
  <c r="GH31" i="14" s="1"/>
  <c r="GD31" i="14"/>
  <c r="HD31" i="14" s="1"/>
  <c r="AL20" i="18"/>
  <c r="HC41" i="14"/>
  <c r="IC41" i="14"/>
  <c r="GD29" i="14"/>
  <c r="HD29" i="14" s="1"/>
  <c r="GG29" i="14"/>
  <c r="GH29" i="14" s="1"/>
  <c r="AL18" i="18"/>
  <c r="HC27" i="14"/>
  <c r="HW27" i="14" s="1"/>
  <c r="HC22" i="14"/>
  <c r="IC22" i="14"/>
  <c r="AL30" i="18"/>
  <c r="GX41" i="14"/>
  <c r="HZ41" i="14"/>
  <c r="IA41" i="14" s="1"/>
  <c r="GC41" i="14"/>
  <c r="AM30" i="18" s="1"/>
  <c r="HV41" i="14"/>
  <c r="GD41" i="14"/>
  <c r="HD41" i="14" s="1"/>
  <c r="HM41" i="14"/>
  <c r="F60" i="23" s="1"/>
  <c r="GG41" i="14"/>
  <c r="GH41" i="14" s="1"/>
  <c r="GR41" i="14"/>
  <c r="F29" i="22" s="1"/>
  <c r="M16" i="2"/>
  <c r="M17" i="2"/>
  <c r="Y293" i="10"/>
  <c r="Y294" i="10" s="1"/>
  <c r="Y295" i="10" s="1"/>
  <c r="Y296" i="10" s="1"/>
  <c r="Y297" i="10" s="1"/>
  <c r="Y298" i="10" s="1"/>
  <c r="Y299" i="10" s="1"/>
  <c r="Y300" i="10" s="1"/>
  <c r="Y301" i="10" s="1"/>
  <c r="Y302" i="10" s="1"/>
  <c r="Y303" i="10" s="1"/>
  <c r="Y304" i="10" s="1"/>
  <c r="Y305" i="10" s="1"/>
  <c r="Y306" i="10" s="1"/>
  <c r="Y307" i="10" s="1"/>
  <c r="Y308" i="10" s="1"/>
  <c r="Y309" i="10" s="1"/>
  <c r="Y310" i="10" s="1"/>
  <c r="Y311" i="10" s="1"/>
  <c r="Y312" i="10" s="1"/>
  <c r="Y313" i="10" s="1"/>
  <c r="Y314" i="10" s="1"/>
  <c r="Y315" i="10" s="1"/>
  <c r="Y316" i="10" s="1"/>
  <c r="Y317" i="10" s="1"/>
  <c r="Y318" i="10" s="1"/>
  <c r="Y319" i="10" s="1"/>
  <c r="Y320" i="10" s="1"/>
  <c r="Y321" i="10" s="1"/>
  <c r="Y322" i="10" s="1"/>
  <c r="Y323" i="10" s="1"/>
  <c r="Y324" i="10" s="1"/>
  <c r="Y325" i="10" s="1"/>
  <c r="Y326" i="10" s="1"/>
  <c r="Y327" i="10" s="1"/>
  <c r="Y328" i="10" s="1"/>
  <c r="Y329" i="10" s="1"/>
  <c r="Y330" i="10" s="1"/>
  <c r="Y331" i="10" s="1"/>
  <c r="Y332" i="10" s="1"/>
  <c r="Y333" i="10" s="1"/>
  <c r="Y334" i="10" s="1"/>
  <c r="Y335" i="10" s="1"/>
  <c r="Y336" i="10" s="1"/>
  <c r="Y337" i="10" s="1"/>
  <c r="Y338" i="10" s="1"/>
  <c r="Y339" i="10" s="1"/>
  <c r="Y340" i="10" s="1"/>
  <c r="Y341" i="10" s="1"/>
  <c r="Y342" i="10" s="1"/>
  <c r="Y343" i="10" s="1"/>
  <c r="Y344" i="10" s="1"/>
  <c r="Y345" i="10" s="1"/>
  <c r="Y346" i="10" s="1"/>
  <c r="Y347" i="10" s="1"/>
  <c r="Y348" i="10" s="1"/>
  <c r="Y349" i="10" s="1"/>
  <c r="Y350" i="10" s="1"/>
  <c r="Y351" i="10" s="1"/>
  <c r="Y352" i="10" s="1"/>
  <c r="Y353" i="10" s="1"/>
  <c r="Y354" i="10" s="1"/>
  <c r="Y355" i="10" s="1"/>
  <c r="Y356" i="10" s="1"/>
  <c r="Y357" i="10" s="1"/>
  <c r="Y358" i="10" s="1"/>
  <c r="Y359" i="10" s="1"/>
  <c r="Y360" i="10" s="1"/>
  <c r="Y361" i="10" s="1"/>
  <c r="Y362" i="10" s="1"/>
  <c r="Y363" i="10" s="1"/>
  <c r="Y364" i="10" s="1"/>
  <c r="Y365" i="10" s="1"/>
  <c r="Y366" i="10" s="1"/>
  <c r="Y367" i="10" s="1"/>
  <c r="Y368" i="10" s="1"/>
  <c r="Y369" i="10" s="1"/>
  <c r="Y370" i="10" s="1"/>
  <c r="Y371" i="10" s="1"/>
  <c r="Y372" i="10" s="1"/>
  <c r="Y373" i="10" s="1"/>
  <c r="Y374" i="10" s="1"/>
  <c r="Y375" i="10" s="1"/>
  <c r="Y376" i="10" s="1"/>
  <c r="Y377" i="10" s="1"/>
  <c r="Y378" i="10" s="1"/>
  <c r="Y379" i="10" s="1"/>
  <c r="Y380" i="10" s="1"/>
  <c r="Y381" i="10" s="1"/>
  <c r="Y382" i="10" s="1"/>
  <c r="AJ212" i="16"/>
  <c r="AH270" i="16" s="1"/>
  <c r="AI212" i="16"/>
  <c r="AF270" i="16" s="1"/>
  <c r="AE270" i="16" s="1"/>
  <c r="BC178" i="16"/>
  <c r="BD178" i="16"/>
  <c r="BD232" i="16"/>
  <c r="CB247" i="16" s="1"/>
  <c r="CA247" i="16"/>
  <c r="CO72" i="14"/>
  <c r="DI72" i="14" s="1"/>
  <c r="DO72" i="14"/>
  <c r="BP57" i="14"/>
  <c r="CP57" i="14" s="1"/>
  <c r="BO57" i="14"/>
  <c r="Q47" i="18" s="1"/>
  <c r="P47" i="18"/>
  <c r="BS57" i="14"/>
  <c r="BT57" i="14" s="1"/>
  <c r="P48" i="18"/>
  <c r="BO58" i="14"/>
  <c r="Q48" i="18" s="1"/>
  <c r="BS58" i="14"/>
  <c r="BT58" i="14" s="1"/>
  <c r="BP58" i="14"/>
  <c r="CP58" i="14" s="1"/>
  <c r="P52" i="18"/>
  <c r="BP62" i="14"/>
  <c r="CP62" i="14" s="1"/>
  <c r="BS62" i="14"/>
  <c r="BT62" i="14" s="1"/>
  <c r="BO62" i="14"/>
  <c r="Q52" i="18" s="1"/>
  <c r="P61" i="18"/>
  <c r="DH71" i="14"/>
  <c r="BS71" i="14"/>
  <c r="BT71" i="14" s="1"/>
  <c r="BP71" i="14"/>
  <c r="CP71" i="14" s="1"/>
  <c r="BO71" i="14"/>
  <c r="Q61" i="18" s="1"/>
  <c r="DL71" i="14"/>
  <c r="CD71" i="14"/>
  <c r="J28" i="22" s="1"/>
  <c r="CY71" i="14"/>
  <c r="J59" i="23" s="1"/>
  <c r="CJ71" i="14"/>
  <c r="S36" i="18"/>
  <c r="T36" i="18"/>
  <c r="T53" i="18"/>
  <c r="T52" i="18"/>
  <c r="T60" i="18"/>
  <c r="T59" i="18"/>
  <c r="T41" i="18"/>
  <c r="T61" i="18"/>
  <c r="T42" i="18"/>
  <c r="T54" i="18"/>
  <c r="T50" i="18"/>
  <c r="T56" i="18"/>
  <c r="T62" i="18"/>
  <c r="T47" i="18"/>
  <c r="T55" i="18"/>
  <c r="T45" i="18"/>
  <c r="T51" i="18"/>
  <c r="T40" i="18"/>
  <c r="T58" i="18"/>
  <c r="T44" i="18"/>
  <c r="T48" i="18"/>
  <c r="T46" i="18"/>
  <c r="T39" i="18"/>
  <c r="T49" i="18"/>
  <c r="T43" i="18"/>
  <c r="T57" i="18"/>
  <c r="BJ218" i="19"/>
  <c r="AZ242" i="19" s="1"/>
  <c r="AY242" i="19"/>
  <c r="BD227" i="16"/>
  <c r="BR247" i="16" s="1"/>
  <c r="BQ247" i="16"/>
  <c r="CD125" i="16"/>
  <c r="AZ152" i="16" s="1"/>
  <c r="CC125" i="16"/>
  <c r="AY152" i="16" s="1"/>
  <c r="I196" i="16"/>
  <c r="J196" i="16"/>
  <c r="BF37" i="14"/>
  <c r="AT207" i="16"/>
  <c r="AV208" i="16"/>
  <c r="AW256" i="10"/>
  <c r="AX256" i="10"/>
  <c r="CC165" i="19"/>
  <c r="CC166" i="19" s="1"/>
  <c r="CD165" i="19"/>
  <c r="CD166" i="19" s="1"/>
  <c r="U214" i="10"/>
  <c r="T214" i="10"/>
  <c r="CO104" i="16"/>
  <c r="CN104" i="16"/>
  <c r="BS110" i="19"/>
  <c r="BR110" i="19"/>
  <c r="AR220" i="10"/>
  <c r="BD243" i="10" s="1"/>
  <c r="BC243" i="10"/>
  <c r="U358" i="10"/>
  <c r="T358" i="10"/>
  <c r="A33" i="8"/>
  <c r="A43" i="8"/>
  <c r="KU29" i="14"/>
  <c r="KV29" i="14" s="1"/>
  <c r="BH18" i="18"/>
  <c r="KR29" i="14"/>
  <c r="LR29" i="14" s="1"/>
  <c r="LQ27" i="14"/>
  <c r="BH22" i="18"/>
  <c r="KQ33" i="14"/>
  <c r="BI22" i="18" s="1"/>
  <c r="KR33" i="14"/>
  <c r="LR33" i="14" s="1"/>
  <c r="KU33" i="14"/>
  <c r="KV33" i="14" s="1"/>
  <c r="LQ32" i="14"/>
  <c r="MK32" i="14" s="1"/>
  <c r="MQ32" i="14"/>
  <c r="LQ28" i="14"/>
  <c r="MK28" i="14" s="1"/>
  <c r="BH28" i="18"/>
  <c r="LL39" i="14"/>
  <c r="KU39" i="14"/>
  <c r="KV39" i="14" s="1"/>
  <c r="MA39" i="14"/>
  <c r="H58" i="23" s="1"/>
  <c r="MJ39" i="14"/>
  <c r="MN39" i="14"/>
  <c r="MO39" i="14" s="1"/>
  <c r="LF39" i="14"/>
  <c r="H27" i="22" s="1"/>
  <c r="KQ39" i="14"/>
  <c r="BI28" i="18" s="1"/>
  <c r="KR39" i="14"/>
  <c r="LR39" i="14" s="1"/>
  <c r="BH8" i="18"/>
  <c r="LF19" i="14"/>
  <c r="H7" i="22" s="1"/>
  <c r="MA19" i="14"/>
  <c r="H38" i="23" s="1"/>
  <c r="KQ19" i="14"/>
  <c r="BI8" i="18" s="1"/>
  <c r="LL19" i="14"/>
  <c r="MN19" i="14"/>
  <c r="MO19" i="14" s="1"/>
  <c r="KR19" i="14"/>
  <c r="LR19" i="14" s="1"/>
  <c r="MJ19" i="14"/>
  <c r="KU19" i="14"/>
  <c r="KV19" i="14" s="1"/>
  <c r="P18" i="18"/>
  <c r="BP29" i="14"/>
  <c r="CP29" i="14" s="1"/>
  <c r="BS29" i="14"/>
  <c r="BT29" i="14" s="1"/>
  <c r="CO20" i="14"/>
  <c r="DO20" i="14"/>
  <c r="BS28" i="14"/>
  <c r="BT28" i="14" s="1"/>
  <c r="BO28" i="14"/>
  <c r="Q17" i="18" s="1"/>
  <c r="BP28" i="14"/>
  <c r="CP28" i="14" s="1"/>
  <c r="P17" i="18"/>
  <c r="CO38" i="14"/>
  <c r="DO38" i="14"/>
  <c r="P28" i="18"/>
  <c r="CJ39" i="14"/>
  <c r="CY39" i="14"/>
  <c r="D58" i="23" s="1"/>
  <c r="DL39" i="14"/>
  <c r="DM39" i="14" s="1"/>
  <c r="BS39" i="14"/>
  <c r="BT39" i="14" s="1"/>
  <c r="DH39" i="14"/>
  <c r="BO39" i="14"/>
  <c r="Q28" i="18" s="1"/>
  <c r="BP39" i="14"/>
  <c r="CP39" i="14" s="1"/>
  <c r="CD39" i="14"/>
  <c r="D27" i="22" s="1"/>
  <c r="P8" i="18"/>
  <c r="CY19" i="14"/>
  <c r="D38" i="23" s="1"/>
  <c r="BO19" i="14"/>
  <c r="Q8" i="18" s="1"/>
  <c r="BS19" i="14"/>
  <c r="BT19" i="14" s="1"/>
  <c r="BP19" i="14"/>
  <c r="CP19" i="14" s="1"/>
  <c r="DL19" i="14"/>
  <c r="DM19" i="14" s="1"/>
  <c r="CD19" i="14"/>
  <c r="D7" i="22" s="1"/>
  <c r="CJ19" i="14"/>
  <c r="DH19" i="14"/>
  <c r="A211" i="8"/>
  <c r="A201" i="8"/>
  <c r="BW247" i="16"/>
  <c r="BD230" i="16"/>
  <c r="BX247" i="16" s="1"/>
  <c r="BA217" i="16"/>
  <c r="AX246" i="16" s="1"/>
  <c r="AW246" i="16"/>
  <c r="AI189" i="16"/>
  <c r="AF247" i="16" s="1"/>
  <c r="AE247" i="16" s="1"/>
  <c r="AJ189" i="16"/>
  <c r="AH247" i="16" s="1"/>
  <c r="H16" i="2"/>
  <c r="H17" i="2"/>
  <c r="R207" i="8"/>
  <c r="Q207" i="8"/>
  <c r="CD109" i="16"/>
  <c r="CC109" i="16"/>
  <c r="J29" i="14"/>
  <c r="K29" i="14" s="1"/>
  <c r="R29" i="14" s="1"/>
  <c r="J32" i="14"/>
  <c r="K32" i="14" s="1"/>
  <c r="R32" i="14" s="1"/>
  <c r="BC32" i="14"/>
  <c r="C85" i="21" s="1"/>
  <c r="R120" i="8"/>
  <c r="Q120" i="8"/>
  <c r="E44" i="18"/>
  <c r="I54" i="14"/>
  <c r="AI54" i="14" s="1"/>
  <c r="L54" i="14"/>
  <c r="M54" i="14" s="1"/>
  <c r="H54" i="14"/>
  <c r="F44" i="18" s="1"/>
  <c r="AH59" i="14"/>
  <c r="I60" i="14"/>
  <c r="AI60" i="14" s="1"/>
  <c r="E50" i="18"/>
  <c r="L60" i="14"/>
  <c r="M60" i="14" s="1"/>
  <c r="AH66" i="14"/>
  <c r="BB66" i="14" s="1"/>
  <c r="BH66" i="14"/>
  <c r="E39" i="18"/>
  <c r="BE49" i="14"/>
  <c r="AC49" i="14"/>
  <c r="W49" i="14"/>
  <c r="I6" i="22" s="1"/>
  <c r="BA49" i="14"/>
  <c r="L49" i="14"/>
  <c r="M49" i="14" s="1"/>
  <c r="H49" i="14"/>
  <c r="F39" i="18" s="1"/>
  <c r="AR49" i="14"/>
  <c r="I37" i="23" s="1"/>
  <c r="I49" i="14"/>
  <c r="AI49" i="14" s="1"/>
  <c r="R17" i="8"/>
  <c r="Q17" i="8"/>
  <c r="AR178" i="10"/>
  <c r="AQ178" i="10"/>
  <c r="AQ161" i="10"/>
  <c r="AR161" i="10"/>
  <c r="BS93" i="16"/>
  <c r="BR93" i="16"/>
  <c r="BA245" i="19"/>
  <c r="AX219" i="19"/>
  <c r="BB245" i="19" s="1"/>
  <c r="CI244" i="10"/>
  <c r="AU236" i="10"/>
  <c r="CJ244" i="10" s="1"/>
  <c r="J201" i="19"/>
  <c r="I201" i="19"/>
  <c r="AI19" i="14"/>
  <c r="BB19" i="14"/>
  <c r="BC161" i="10"/>
  <c r="BD178" i="10"/>
  <c r="BC178" i="10"/>
  <c r="BO177" i="10"/>
  <c r="AV123" i="10"/>
  <c r="AU149" i="10" s="1"/>
  <c r="AW123" i="10"/>
  <c r="AV149" i="10" s="1"/>
  <c r="BQ160" i="16"/>
  <c r="BQ177" i="16"/>
  <c r="BR177" i="16"/>
  <c r="BP257" i="16"/>
  <c r="BO257" i="16"/>
  <c r="DK132" i="19"/>
  <c r="BN148" i="19" s="1"/>
  <c r="DJ132" i="19"/>
  <c r="BM148" i="19" s="1"/>
  <c r="AS242" i="19"/>
  <c r="BJ215" i="19"/>
  <c r="AT242" i="19" s="1"/>
  <c r="BW257" i="16"/>
  <c r="BX257" i="16"/>
  <c r="U190" i="10"/>
  <c r="T190" i="10"/>
  <c r="DJ93" i="10"/>
  <c r="DK93" i="10"/>
  <c r="CD111" i="16"/>
  <c r="CC111" i="16"/>
  <c r="AE190" i="19"/>
  <c r="AH190" i="19" s="1"/>
  <c r="AG190" i="19"/>
  <c r="J237" i="19"/>
  <c r="I237" i="19"/>
  <c r="AJ186" i="19"/>
  <c r="AH244" i="19" s="1"/>
  <c r="AI186" i="19"/>
  <c r="AF244" i="19" s="1"/>
  <c r="AE244" i="19" s="1"/>
  <c r="H11" i="18"/>
  <c r="C13" i="13" s="1"/>
  <c r="J11" i="18"/>
  <c r="C45" i="13" s="1"/>
  <c r="KU65" i="14"/>
  <c r="KV65" i="14" s="1"/>
  <c r="KQ65" i="14"/>
  <c r="BI55" i="18" s="1"/>
  <c r="BH55" i="18"/>
  <c r="KR65" i="14"/>
  <c r="LR65" i="14" s="1"/>
  <c r="KQ63" i="14"/>
  <c r="BI53" i="18" s="1"/>
  <c r="KU63" i="14"/>
  <c r="KV63" i="14" s="1"/>
  <c r="KR63" i="14"/>
  <c r="LR63" i="14" s="1"/>
  <c r="BH53" i="18"/>
  <c r="LQ59" i="14"/>
  <c r="KU57" i="14"/>
  <c r="KV57" i="14" s="1"/>
  <c r="KQ57" i="14"/>
  <c r="BI47" i="18" s="1"/>
  <c r="BH47" i="18"/>
  <c r="KR57" i="14"/>
  <c r="LR57" i="14" s="1"/>
  <c r="BH58" i="18"/>
  <c r="MN68" i="14"/>
  <c r="KQ68" i="14"/>
  <c r="BI58" i="18" s="1"/>
  <c r="MA68" i="14"/>
  <c r="N56" i="23" s="1"/>
  <c r="LF68" i="14"/>
  <c r="N25" i="22" s="1"/>
  <c r="MJ68" i="14"/>
  <c r="KR68" i="14"/>
  <c r="LR68" i="14" s="1"/>
  <c r="KU68" i="14"/>
  <c r="KV68" i="14" s="1"/>
  <c r="LL68" i="14"/>
  <c r="BK36" i="18"/>
  <c r="BL36" i="18"/>
  <c r="BL61" i="18"/>
  <c r="BL48" i="18"/>
  <c r="BL43" i="18"/>
  <c r="BL58" i="18"/>
  <c r="BL40" i="18"/>
  <c r="BL39" i="18"/>
  <c r="BL53" i="18"/>
  <c r="BL41" i="18"/>
  <c r="BL57" i="18"/>
  <c r="BL47" i="18"/>
  <c r="BL50" i="18"/>
  <c r="BL55" i="18"/>
  <c r="BL45" i="18"/>
  <c r="BL42" i="18"/>
  <c r="BL49" i="18"/>
  <c r="BL59" i="18"/>
  <c r="BL60" i="18"/>
  <c r="BL51" i="18"/>
  <c r="BL62" i="18"/>
  <c r="BL54" i="18"/>
  <c r="BL52" i="18"/>
  <c r="BL46" i="18"/>
  <c r="BL56" i="18"/>
  <c r="BL44" i="18"/>
  <c r="R175" i="8"/>
  <c r="CE160" i="19"/>
  <c r="CF159" i="19" s="1"/>
  <c r="CE177" i="19"/>
  <c r="CF177" i="19"/>
  <c r="BW245" i="16"/>
  <c r="AX230" i="16"/>
  <c r="BX245" i="16" s="1"/>
  <c r="BS129" i="19"/>
  <c r="BH151" i="19" s="1"/>
  <c r="BR129" i="19"/>
  <c r="BG151" i="19" s="1"/>
  <c r="U220" i="19"/>
  <c r="T220" i="19"/>
  <c r="Q238" i="8"/>
  <c r="R238" i="8"/>
  <c r="AI238" i="19"/>
  <c r="AJ238" i="19"/>
  <c r="Q294" i="8"/>
  <c r="R294" i="8"/>
  <c r="AX208" i="10"/>
  <c r="AV207" i="10"/>
  <c r="CI247" i="16"/>
  <c r="BD236" i="16"/>
  <c r="CJ247" i="16" s="1"/>
  <c r="EV49" i="14"/>
  <c r="FV49" i="14"/>
  <c r="EV71" i="14"/>
  <c r="FV71" i="14"/>
  <c r="EV50" i="14"/>
  <c r="FV50" i="14"/>
  <c r="AA50" i="18"/>
  <c r="DW60" i="14"/>
  <c r="EW60" i="14" s="1"/>
  <c r="DZ60" i="14"/>
  <c r="EA60" i="14" s="1"/>
  <c r="AA58" i="18"/>
  <c r="DW68" i="14"/>
  <c r="EW68" i="14" s="1"/>
  <c r="DV68" i="14"/>
  <c r="AB58" i="18" s="1"/>
  <c r="EQ68" i="14"/>
  <c r="EK68" i="14"/>
  <c r="K25" i="22" s="1"/>
  <c r="DZ68" i="14"/>
  <c r="EA68" i="14" s="1"/>
  <c r="FS68" i="14"/>
  <c r="FO68" i="14"/>
  <c r="FF68" i="14"/>
  <c r="K56" i="23" s="1"/>
  <c r="AD36" i="18"/>
  <c r="AE36" i="18"/>
  <c r="AE53" i="18"/>
  <c r="AE42" i="18"/>
  <c r="AE45" i="18"/>
  <c r="AE46" i="18"/>
  <c r="AE43" i="18"/>
  <c r="AE55" i="18"/>
  <c r="AE54" i="18"/>
  <c r="AE48" i="18"/>
  <c r="AE62" i="18"/>
  <c r="AE51" i="18"/>
  <c r="AE47" i="18"/>
  <c r="AE61" i="18"/>
  <c r="AE59" i="18"/>
  <c r="AE39" i="18"/>
  <c r="AE60" i="18"/>
  <c r="AE41" i="18"/>
  <c r="AE52" i="18"/>
  <c r="AE49" i="18"/>
  <c r="AE58" i="18"/>
  <c r="AE40" i="18"/>
  <c r="AE57" i="18"/>
  <c r="AE50" i="18"/>
  <c r="AE56" i="18"/>
  <c r="AE44" i="18"/>
  <c r="GJ33" i="14"/>
  <c r="GK33" i="14" s="1"/>
  <c r="GL33" i="14" s="1"/>
  <c r="BN178" i="19"/>
  <c r="BM178" i="19"/>
  <c r="BM161" i="19"/>
  <c r="CC178" i="19"/>
  <c r="CC161" i="19"/>
  <c r="CD178" i="19"/>
  <c r="CD161" i="19"/>
  <c r="CH208" i="10"/>
  <c r="CF207" i="10"/>
  <c r="BV166" i="16"/>
  <c r="BV158" i="16"/>
  <c r="BC20" i="14"/>
  <c r="AU247" i="16"/>
  <c r="BD216" i="16"/>
  <c r="AV247" i="16" s="1"/>
  <c r="AX223" i="19"/>
  <c r="BJ245" i="19" s="1"/>
  <c r="BI245" i="19"/>
  <c r="AR227" i="10"/>
  <c r="BR243" i="10" s="1"/>
  <c r="BQ243" i="10"/>
  <c r="T194" i="16"/>
  <c r="U194" i="16"/>
  <c r="AJ186" i="10"/>
  <c r="AH244" i="10" s="1"/>
  <c r="AI186" i="10"/>
  <c r="AF244" i="10" s="1"/>
  <c r="AE244" i="10" s="1"/>
  <c r="CD136" i="16"/>
  <c r="BV152" i="16" s="1"/>
  <c r="CC136" i="16"/>
  <c r="BU152" i="16" s="1"/>
  <c r="AJ208" i="16"/>
  <c r="AH266" i="16" s="1"/>
  <c r="AI208" i="16"/>
  <c r="AF266" i="16" s="1"/>
  <c r="AE266" i="16" s="1"/>
  <c r="AJ180" i="16"/>
  <c r="AI180" i="16"/>
  <c r="C84" i="22"/>
  <c r="J38" i="14"/>
  <c r="K38" i="14" s="1"/>
  <c r="R38" i="14" s="1"/>
  <c r="AL324" i="19"/>
  <c r="AK324" i="19"/>
  <c r="BF21" i="14"/>
  <c r="DW28" i="14"/>
  <c r="EW28" i="14" s="1"/>
  <c r="DV28" i="14"/>
  <c r="AB17" i="18" s="1"/>
  <c r="AA17" i="18"/>
  <c r="DZ28" i="14"/>
  <c r="EA28" i="14" s="1"/>
  <c r="DZ34" i="14"/>
  <c r="EA34" i="14" s="1"/>
  <c r="AA23" i="18"/>
  <c r="DW34" i="14"/>
  <c r="EW34" i="14" s="1"/>
  <c r="DV34" i="14"/>
  <c r="AB23" i="18" s="1"/>
  <c r="EV37" i="14"/>
  <c r="FP37" i="14" s="1"/>
  <c r="FV37" i="14"/>
  <c r="AA15" i="18"/>
  <c r="DV26" i="14"/>
  <c r="AB15" i="18" s="1"/>
  <c r="DW26" i="14"/>
  <c r="EW26" i="14" s="1"/>
  <c r="DZ26" i="14"/>
  <c r="EA26" i="14" s="1"/>
  <c r="AA29" i="18"/>
  <c r="DZ40" i="14"/>
  <c r="EA40" i="14" s="1"/>
  <c r="FO40" i="14"/>
  <c r="FF40" i="14"/>
  <c r="E59" i="23" s="1"/>
  <c r="EQ40" i="14"/>
  <c r="EK40" i="14"/>
  <c r="E28" i="22" s="1"/>
  <c r="DV40" i="14"/>
  <c r="AB29" i="18" s="1"/>
  <c r="FS40" i="14"/>
  <c r="DW40" i="14"/>
  <c r="EW40" i="14" s="1"/>
  <c r="AA10" i="18"/>
  <c r="EK21" i="14"/>
  <c r="E9" i="22" s="1"/>
  <c r="FO21" i="14"/>
  <c r="FF21" i="14"/>
  <c r="E40" i="23" s="1"/>
  <c r="FS21" i="14"/>
  <c r="DW21" i="14"/>
  <c r="EW21" i="14" s="1"/>
  <c r="DV21" i="14"/>
  <c r="AB10" i="18" s="1"/>
  <c r="EQ21" i="14"/>
  <c r="DZ21" i="14"/>
  <c r="EA21" i="14" s="1"/>
  <c r="AW21" i="18"/>
  <c r="IK32" i="14"/>
  <c r="JK32" i="14" s="1"/>
  <c r="IJ32" i="14"/>
  <c r="AX21" i="18" s="1"/>
  <c r="IN32" i="14"/>
  <c r="IO32" i="14" s="1"/>
  <c r="AW23" i="18"/>
  <c r="IJ34" i="14"/>
  <c r="AX23" i="18" s="1"/>
  <c r="IN34" i="14"/>
  <c r="IO34" i="14" s="1"/>
  <c r="IK34" i="14"/>
  <c r="JK34" i="14" s="1"/>
  <c r="IK23" i="14"/>
  <c r="JK23" i="14" s="1"/>
  <c r="IJ23" i="14"/>
  <c r="AX12" i="18" s="1"/>
  <c r="IN23" i="14"/>
  <c r="IO23" i="14" s="1"/>
  <c r="AW12" i="18"/>
  <c r="JJ34" i="14"/>
  <c r="KJ34" i="14"/>
  <c r="IK24" i="14"/>
  <c r="JK24" i="14" s="1"/>
  <c r="IN24" i="14"/>
  <c r="IO24" i="14" s="1"/>
  <c r="IJ24" i="14"/>
  <c r="AX13" i="18" s="1"/>
  <c r="AW13" i="18"/>
  <c r="IN21" i="14"/>
  <c r="IO21" i="14" s="1"/>
  <c r="IK21" i="14"/>
  <c r="JK21" i="14" s="1"/>
  <c r="IY21" i="14"/>
  <c r="G9" i="22" s="1"/>
  <c r="JE21" i="14"/>
  <c r="AW10" i="18"/>
  <c r="KC21" i="14"/>
  <c r="IJ21" i="14"/>
  <c r="AX10" i="18" s="1"/>
  <c r="JT21" i="14"/>
  <c r="G40" i="23" s="1"/>
  <c r="KG21" i="14"/>
  <c r="KH21" i="14" s="1"/>
  <c r="A320" i="8"/>
  <c r="B320" i="8" s="1"/>
  <c r="A316" i="8"/>
  <c r="B316" i="8" s="1"/>
  <c r="GJ70" i="14"/>
  <c r="GK70" i="14" s="1"/>
  <c r="GL70" i="14" s="1"/>
  <c r="N277" i="8"/>
  <c r="P277" i="8" s="1"/>
  <c r="Q300" i="8"/>
  <c r="R300" i="8"/>
  <c r="GJ51" i="14"/>
  <c r="GK51" i="14" s="1"/>
  <c r="GL51" i="14" s="1"/>
  <c r="N258" i="8"/>
  <c r="P258" i="8" s="1"/>
  <c r="P266" i="8"/>
  <c r="C76" i="21"/>
  <c r="C16" i="21" s="1"/>
  <c r="BD23" i="14"/>
  <c r="CE247" i="16"/>
  <c r="BD234" i="16"/>
  <c r="CF247" i="16" s="1"/>
  <c r="Q243" i="8"/>
  <c r="R243" i="8"/>
  <c r="Q270" i="8"/>
  <c r="R270" i="8"/>
  <c r="L24" i="2"/>
  <c r="I201" i="16"/>
  <c r="J201" i="16"/>
  <c r="K155" i="8"/>
  <c r="K159" i="8" s="1"/>
  <c r="K160" i="8" s="1"/>
  <c r="J155" i="8"/>
  <c r="J159" i="8" s="1"/>
  <c r="J160" i="8" s="1"/>
  <c r="GJ36" i="14"/>
  <c r="GK36" i="14" s="1"/>
  <c r="GL36" i="14" s="1"/>
  <c r="N106" i="8"/>
  <c r="P106" i="8" s="1"/>
  <c r="F23" i="5" s="1"/>
  <c r="AR166" i="16"/>
  <c r="BJ159" i="19"/>
  <c r="BJ167" i="19"/>
  <c r="CG245" i="16"/>
  <c r="AX235" i="16"/>
  <c r="CH245" i="16" s="1"/>
  <c r="D17" i="2"/>
  <c r="D16" i="2"/>
  <c r="CF160" i="19"/>
  <c r="DJ105" i="19"/>
  <c r="DK105" i="19"/>
  <c r="L33" i="2"/>
  <c r="L39" i="2"/>
  <c r="BT167" i="19"/>
  <c r="BT159" i="19"/>
  <c r="CG207" i="10"/>
  <c r="CI208" i="10"/>
  <c r="BR107" i="16"/>
  <c r="BS107" i="16"/>
  <c r="O539" i="10"/>
  <c r="P538" i="10"/>
  <c r="Q538" i="10" s="1"/>
  <c r="CE246" i="16"/>
  <c r="BA234" i="16"/>
  <c r="CF246" i="16" s="1"/>
  <c r="U197" i="19"/>
  <c r="T197" i="19"/>
  <c r="R125" i="8"/>
  <c r="Q125" i="8"/>
  <c r="IK59" i="14"/>
  <c r="JK59" i="14" s="1"/>
  <c r="AW49" i="18"/>
  <c r="IJ59" i="14"/>
  <c r="AX49" i="18" s="1"/>
  <c r="IN59" i="14"/>
  <c r="IO59" i="14" s="1"/>
  <c r="IJ58" i="14"/>
  <c r="AX48" i="18" s="1"/>
  <c r="IN58" i="14"/>
  <c r="IO58" i="14" s="1"/>
  <c r="IK58" i="14"/>
  <c r="JK58" i="14" s="1"/>
  <c r="AW48" i="18"/>
  <c r="AW42" i="18"/>
  <c r="KC52" i="14"/>
  <c r="IN52" i="14"/>
  <c r="IO52" i="14" s="1"/>
  <c r="JT52" i="14"/>
  <c r="M40" i="23" s="1"/>
  <c r="JE52" i="14"/>
  <c r="IK52" i="14"/>
  <c r="JK52" i="14" s="1"/>
  <c r="KG52" i="14"/>
  <c r="KH52" i="14" s="1"/>
  <c r="IY52" i="14"/>
  <c r="M9" i="22" s="1"/>
  <c r="IJ52" i="14"/>
  <c r="AX42" i="18" s="1"/>
  <c r="GD63" i="14"/>
  <c r="HD63" i="14" s="1"/>
  <c r="AL53" i="18"/>
  <c r="GC63" i="14"/>
  <c r="AM53" i="18" s="1"/>
  <c r="GG63" i="14"/>
  <c r="GH63" i="14" s="1"/>
  <c r="AI189" i="10"/>
  <c r="AF247" i="10" s="1"/>
  <c r="AE247" i="10" s="1"/>
  <c r="AJ189" i="10"/>
  <c r="AH247" i="10" s="1"/>
  <c r="AU246" i="16"/>
  <c r="BA216" i="16"/>
  <c r="AV246" i="16" s="1"/>
  <c r="GC35" i="14"/>
  <c r="AM24" i="18" s="1"/>
  <c r="AL24" i="18"/>
  <c r="GG35" i="14"/>
  <c r="GH35" i="14" s="1"/>
  <c r="GD35" i="14"/>
  <c r="HD35" i="14" s="1"/>
  <c r="GR36" i="14"/>
  <c r="F24" i="22" s="1"/>
  <c r="GX36" i="14"/>
  <c r="GD36" i="14"/>
  <c r="HD36" i="14" s="1"/>
  <c r="AL25" i="18"/>
  <c r="GG36" i="14"/>
  <c r="GH36" i="14" s="1"/>
  <c r="HV36" i="14"/>
  <c r="GC36" i="14"/>
  <c r="AM25" i="18" s="1"/>
  <c r="HM36" i="14"/>
  <c r="F55" i="23" s="1"/>
  <c r="HZ36" i="14"/>
  <c r="IA36" i="14" s="1"/>
  <c r="BS63" i="14"/>
  <c r="BT63" i="14" s="1"/>
  <c r="P53" i="18"/>
  <c r="BP63" i="14"/>
  <c r="CP63" i="14" s="1"/>
  <c r="BO63" i="14"/>
  <c r="Q53" i="18" s="1"/>
  <c r="P62" i="18"/>
  <c r="CY72" i="14"/>
  <c r="J60" i="23" s="1"/>
  <c r="CD72" i="14"/>
  <c r="J29" i="22" s="1"/>
  <c r="DH72" i="14"/>
  <c r="BS72" i="14"/>
  <c r="BT72" i="14" s="1"/>
  <c r="BP72" i="14"/>
  <c r="CP72" i="14" s="1"/>
  <c r="CJ72" i="14"/>
  <c r="DL72" i="14"/>
  <c r="BM245" i="16"/>
  <c r="AW226" i="16"/>
  <c r="BO245" i="16" s="1"/>
  <c r="J234" i="19"/>
  <c r="I234" i="19"/>
  <c r="CO36" i="14"/>
  <c r="BP27" i="14"/>
  <c r="CP27" i="14" s="1"/>
  <c r="BO27" i="14"/>
  <c r="Q16" i="18" s="1"/>
  <c r="P16" i="18"/>
  <c r="BS27" i="14"/>
  <c r="BT27" i="14" s="1"/>
  <c r="BU160" i="19"/>
  <c r="BU177" i="19"/>
  <c r="BV177" i="19"/>
  <c r="AH54" i="14"/>
  <c r="BB54" i="14" s="1"/>
  <c r="BH54" i="14"/>
  <c r="DK99" i="16"/>
  <c r="DJ99" i="16"/>
  <c r="BD38" i="14"/>
  <c r="C91" i="21"/>
  <c r="C31" i="21" s="1"/>
  <c r="AW244" i="10"/>
  <c r="AU217" i="10"/>
  <c r="AX244" i="10" s="1"/>
  <c r="LQ57" i="14"/>
  <c r="KU58" i="14"/>
  <c r="KV58" i="14" s="1"/>
  <c r="KR58" i="14"/>
  <c r="LR58" i="14" s="1"/>
  <c r="BH48" i="18"/>
  <c r="KQ58" i="14"/>
  <c r="BI48" i="18" s="1"/>
  <c r="BH61" i="18"/>
  <c r="MA71" i="14"/>
  <c r="N59" i="23" s="1"/>
  <c r="KQ71" i="14"/>
  <c r="BI61" i="18" s="1"/>
  <c r="LL71" i="14"/>
  <c r="LF71" i="14"/>
  <c r="N28" i="22" s="1"/>
  <c r="KU71" i="14"/>
  <c r="KV71" i="14" s="1"/>
  <c r="KR71" i="14"/>
  <c r="LR71" i="14" s="1"/>
  <c r="MJ71" i="14"/>
  <c r="MN71" i="14"/>
  <c r="BS178" i="10"/>
  <c r="BS161" i="10"/>
  <c r="BT178" i="10"/>
  <c r="BH110" i="10"/>
  <c r="BG110" i="10"/>
  <c r="AI40" i="14"/>
  <c r="BB40" i="14"/>
  <c r="DV59" i="14"/>
  <c r="AB49" i="18" s="1"/>
  <c r="DW59" i="14"/>
  <c r="EW59" i="14" s="1"/>
  <c r="DZ59" i="14"/>
  <c r="EA59" i="14" s="1"/>
  <c r="AA49" i="18"/>
  <c r="AA60" i="18"/>
  <c r="DZ70" i="14"/>
  <c r="EA70" i="14" s="1"/>
  <c r="EK70" i="14"/>
  <c r="K27" i="22" s="1"/>
  <c r="DW70" i="14"/>
  <c r="EW70" i="14" s="1"/>
  <c r="FF70" i="14"/>
  <c r="K58" i="23" s="1"/>
  <c r="FO70" i="14"/>
  <c r="EQ70" i="14"/>
  <c r="DV70" i="14"/>
  <c r="AB60" i="18" s="1"/>
  <c r="FS70" i="14"/>
  <c r="FT70" i="14" s="1"/>
  <c r="BH161" i="19"/>
  <c r="BH169" i="19"/>
  <c r="BR139" i="19"/>
  <c r="CA151" i="19" s="1"/>
  <c r="BS139" i="19"/>
  <c r="CB151" i="19" s="1"/>
  <c r="BG90" i="10"/>
  <c r="BH90" i="10"/>
  <c r="BE242" i="10"/>
  <c r="BJ221" i="10"/>
  <c r="BF242" i="10" s="1"/>
  <c r="EV36" i="14"/>
  <c r="FP36" i="14" s="1"/>
  <c r="FV36" i="14"/>
  <c r="JJ22" i="14"/>
  <c r="KD22" i="14" s="1"/>
  <c r="KJ22" i="14"/>
  <c r="N269" i="8"/>
  <c r="P269" i="8" s="1"/>
  <c r="GJ62" i="14"/>
  <c r="GK62" i="14" s="1"/>
  <c r="GL62" i="14" s="1"/>
  <c r="AI216" i="16"/>
  <c r="AF274" i="16" s="1"/>
  <c r="AE274" i="16" s="1"/>
  <c r="AJ216" i="16"/>
  <c r="AH274" i="16" s="1"/>
  <c r="N288" i="8"/>
  <c r="P288" i="8" s="1"/>
  <c r="IQ53" i="14"/>
  <c r="IR53" i="14" s="1"/>
  <c r="IS53" i="14" s="1"/>
  <c r="N110" i="8"/>
  <c r="P110" i="8" s="1"/>
  <c r="GJ40" i="14"/>
  <c r="GK40" i="14" s="1"/>
  <c r="GL40" i="14" s="1"/>
  <c r="R44" i="8"/>
  <c r="Q44" i="8"/>
  <c r="N303" i="8"/>
  <c r="P303" i="8" s="1"/>
  <c r="IQ68" i="14"/>
  <c r="IR68" i="14" s="1"/>
  <c r="IS68" i="14" s="1"/>
  <c r="AU159" i="10"/>
  <c r="CN137" i="16"/>
  <c r="BW153" i="16" s="1"/>
  <c r="CO137" i="16"/>
  <c r="BX153" i="16" s="1"/>
  <c r="AQ257" i="16"/>
  <c r="AR257" i="16"/>
  <c r="BL166" i="10"/>
  <c r="BL158" i="10"/>
  <c r="AI189" i="19"/>
  <c r="AF247" i="19" s="1"/>
  <c r="AE247" i="19" s="1"/>
  <c r="AJ189" i="19"/>
  <c r="AH247" i="19" s="1"/>
  <c r="IK62" i="14"/>
  <c r="JK62" i="14" s="1"/>
  <c r="IN62" i="14"/>
  <c r="IO62" i="14" s="1"/>
  <c r="AW52" i="18"/>
  <c r="IJ62" i="14"/>
  <c r="AX52" i="18" s="1"/>
  <c r="HC69" i="14"/>
  <c r="IC69" i="14"/>
  <c r="AL60" i="18"/>
  <c r="GC70" i="14"/>
  <c r="AM60" i="18" s="1"/>
  <c r="HZ70" i="14"/>
  <c r="GR70" i="14"/>
  <c r="L27" i="22" s="1"/>
  <c r="GG70" i="14"/>
  <c r="GH70" i="14" s="1"/>
  <c r="HM70" i="14"/>
  <c r="L58" i="23" s="1"/>
  <c r="HV70" i="14"/>
  <c r="GX70" i="14"/>
  <c r="GD70" i="14"/>
  <c r="HD70" i="14" s="1"/>
  <c r="J15" i="8"/>
  <c r="J19" i="8" s="1"/>
  <c r="J20" i="8" s="1"/>
  <c r="K15" i="8"/>
  <c r="K19" i="8" s="1"/>
  <c r="K20" i="8" s="1"/>
  <c r="AR226" i="10"/>
  <c r="BP243" i="10" s="1"/>
  <c r="BP254" i="10" s="1"/>
  <c r="BN243" i="10"/>
  <c r="BN254" i="10" s="1"/>
  <c r="HC25" i="14"/>
  <c r="HW25" i="14" s="1"/>
  <c r="GD26" i="14"/>
  <c r="HD26" i="14" s="1"/>
  <c r="AL15" i="18"/>
  <c r="GG26" i="14"/>
  <c r="GH26" i="14" s="1"/>
  <c r="GC26" i="14"/>
  <c r="AM15" i="18" s="1"/>
  <c r="CO66" i="14"/>
  <c r="DI66" i="14" s="1"/>
  <c r="DO66" i="14"/>
  <c r="P40" i="18"/>
  <c r="CD50" i="14"/>
  <c r="J7" i="22" s="1"/>
  <c r="CY50" i="14"/>
  <c r="J38" i="23" s="1"/>
  <c r="BO50" i="14"/>
  <c r="Q40" i="18" s="1"/>
  <c r="CJ50" i="14"/>
  <c r="DH50" i="14"/>
  <c r="BP50" i="14"/>
  <c r="CP50" i="14" s="1"/>
  <c r="DL50" i="14"/>
  <c r="BS50" i="14"/>
  <c r="BT50" i="14" s="1"/>
  <c r="BS134" i="16"/>
  <c r="BR151" i="16" s="1"/>
  <c r="BR134" i="16"/>
  <c r="BQ151" i="16" s="1"/>
  <c r="Q126" i="8"/>
  <c r="R126" i="8"/>
  <c r="KU35" i="14"/>
  <c r="KV35" i="14" s="1"/>
  <c r="BH24" i="18"/>
  <c r="KR35" i="14"/>
  <c r="LR35" i="14" s="1"/>
  <c r="KQ35" i="14"/>
  <c r="BI24" i="18" s="1"/>
  <c r="CO32" i="14"/>
  <c r="P7" i="18"/>
  <c r="CJ18" i="14"/>
  <c r="CY18" i="14"/>
  <c r="D37" i="23" s="1"/>
  <c r="DH18" i="14"/>
  <c r="DL18" i="14"/>
  <c r="DM18" i="14" s="1"/>
  <c r="BP18" i="14"/>
  <c r="CP18" i="14" s="1"/>
  <c r="CD18" i="14"/>
  <c r="D6" i="22" s="1"/>
  <c r="BS18" i="14"/>
  <c r="BT18" i="14" s="1"/>
  <c r="BO18" i="14"/>
  <c r="Q7" i="18" s="1"/>
  <c r="J25" i="14"/>
  <c r="K25" i="14" s="1"/>
  <c r="R25" i="14" s="1"/>
  <c r="BC25" i="14"/>
  <c r="C78" i="21" s="1"/>
  <c r="AH61" i="14"/>
  <c r="BB61" i="14" s="1"/>
  <c r="C36" i="22"/>
  <c r="AD19" i="14"/>
  <c r="CN127" i="16"/>
  <c r="BC153" i="16" s="1"/>
  <c r="BC161" i="16" s="1"/>
  <c r="CO127" i="16"/>
  <c r="BD153" i="16" s="1"/>
  <c r="AS166" i="16"/>
  <c r="AS167" i="16" s="1"/>
  <c r="AS168" i="16" s="1"/>
  <c r="I198" i="10"/>
  <c r="J198" i="10"/>
  <c r="AJ203" i="16"/>
  <c r="AH261" i="16" s="1"/>
  <c r="AI203" i="16"/>
  <c r="AF261" i="16" s="1"/>
  <c r="AE261" i="16" s="1"/>
  <c r="BD18" i="14"/>
  <c r="C71" i="21"/>
  <c r="C11" i="21" s="1"/>
  <c r="LQ69" i="14"/>
  <c r="BK256" i="19"/>
  <c r="BL256" i="19"/>
  <c r="BL156" i="19"/>
  <c r="BL164" i="19"/>
  <c r="BK164" i="19"/>
  <c r="BK165" i="19" s="1"/>
  <c r="BK166" i="19" s="1"/>
  <c r="BK167" i="19" s="1"/>
  <c r="BK168" i="19" s="1"/>
  <c r="BK169" i="19" s="1"/>
  <c r="BK170" i="19" s="1"/>
  <c r="BC247" i="16"/>
  <c r="BD220" i="16"/>
  <c r="BD247" i="16" s="1"/>
  <c r="T220" i="10"/>
  <c r="U220" i="10"/>
  <c r="AI204" i="16"/>
  <c r="AF262" i="16" s="1"/>
  <c r="AE262" i="16" s="1"/>
  <c r="AJ204" i="16"/>
  <c r="AH262" i="16" s="1"/>
  <c r="EV65" i="14"/>
  <c r="AA42" i="18"/>
  <c r="DZ52" i="14"/>
  <c r="EA52" i="14" s="1"/>
  <c r="DW52" i="14"/>
  <c r="EW52" i="14" s="1"/>
  <c r="FO52" i="14"/>
  <c r="EK52" i="14"/>
  <c r="K9" i="22" s="1"/>
  <c r="FS52" i="14"/>
  <c r="EQ52" i="14"/>
  <c r="DV52" i="14"/>
  <c r="AB42" i="18" s="1"/>
  <c r="FF52" i="14"/>
  <c r="K40" i="23" s="1"/>
  <c r="AQ161" i="16"/>
  <c r="AQ178" i="16"/>
  <c r="AR178" i="16"/>
  <c r="AI186" i="16"/>
  <c r="AF244" i="16" s="1"/>
  <c r="AE244" i="16" s="1"/>
  <c r="AJ186" i="16"/>
  <c r="AH244" i="16" s="1"/>
  <c r="I189" i="16"/>
  <c r="J189" i="16"/>
  <c r="DV33" i="14"/>
  <c r="AB22" i="18" s="1"/>
  <c r="AA22" i="18"/>
  <c r="DW33" i="14"/>
  <c r="EW33" i="14" s="1"/>
  <c r="DZ33" i="14"/>
  <c r="EA33" i="14" s="1"/>
  <c r="JJ28" i="14"/>
  <c r="KD28" i="14" s="1"/>
  <c r="X295" i="10"/>
  <c r="X296" i="10" s="1"/>
  <c r="X297" i="10" s="1"/>
  <c r="X298" i="10" s="1"/>
  <c r="X299" i="10" s="1"/>
  <c r="X300" i="10" s="1"/>
  <c r="X301" i="10" s="1"/>
  <c r="X302" i="10" s="1"/>
  <c r="X303" i="10" s="1"/>
  <c r="X304" i="10" s="1"/>
  <c r="X305" i="10" s="1"/>
  <c r="X306" i="10" s="1"/>
  <c r="X307" i="10" s="1"/>
  <c r="X308" i="10" s="1"/>
  <c r="X309" i="10" s="1"/>
  <c r="X310" i="10" s="1"/>
  <c r="X311" i="10" s="1"/>
  <c r="X312" i="10" s="1"/>
  <c r="X313" i="10" s="1"/>
  <c r="X314" i="10" s="1"/>
  <c r="X315" i="10" s="1"/>
  <c r="X316" i="10" s="1"/>
  <c r="X317" i="10" s="1"/>
  <c r="X318" i="10" s="1"/>
  <c r="X319" i="10" s="1"/>
  <c r="X320" i="10" s="1"/>
  <c r="X321" i="10" s="1"/>
  <c r="X322" i="10" s="1"/>
  <c r="X323" i="10" s="1"/>
  <c r="X324" i="10" s="1"/>
  <c r="X325" i="10" s="1"/>
  <c r="X326" i="10" s="1"/>
  <c r="X327" i="10" s="1"/>
  <c r="X328" i="10" s="1"/>
  <c r="X329" i="10" s="1"/>
  <c r="X330" i="10" s="1"/>
  <c r="X331" i="10" s="1"/>
  <c r="X332" i="10" s="1"/>
  <c r="X333" i="10" s="1"/>
  <c r="X334" i="10" s="1"/>
  <c r="X335" i="10" s="1"/>
  <c r="X336" i="10" s="1"/>
  <c r="X337" i="10" s="1"/>
  <c r="X338" i="10" s="1"/>
  <c r="X339" i="10" s="1"/>
  <c r="X340" i="10" s="1"/>
  <c r="X341" i="10" s="1"/>
  <c r="X342" i="10" s="1"/>
  <c r="X343" i="10" s="1"/>
  <c r="X344" i="10" s="1"/>
  <c r="X345" i="10" s="1"/>
  <c r="X346" i="10" s="1"/>
  <c r="X347" i="10" s="1"/>
  <c r="X348" i="10" s="1"/>
  <c r="X349" i="10" s="1"/>
  <c r="X350" i="10" s="1"/>
  <c r="X351" i="10" s="1"/>
  <c r="X352" i="10" s="1"/>
  <c r="X353" i="10" s="1"/>
  <c r="X354" i="10" s="1"/>
  <c r="X355" i="10" s="1"/>
  <c r="X356" i="10" s="1"/>
  <c r="X357" i="10" s="1"/>
  <c r="X358" i="10" s="1"/>
  <c r="X359" i="10" s="1"/>
  <c r="X360" i="10" s="1"/>
  <c r="X361" i="10" s="1"/>
  <c r="X362" i="10" s="1"/>
  <c r="X363" i="10" s="1"/>
  <c r="X364" i="10" s="1"/>
  <c r="X365" i="10" s="1"/>
  <c r="X366" i="10" s="1"/>
  <c r="X367" i="10" s="1"/>
  <c r="X368" i="10" s="1"/>
  <c r="X369" i="10" s="1"/>
  <c r="X370" i="10" s="1"/>
  <c r="X371" i="10" s="1"/>
  <c r="X372" i="10" s="1"/>
  <c r="X373" i="10" s="1"/>
  <c r="X374" i="10" s="1"/>
  <c r="X375" i="10" s="1"/>
  <c r="X376" i="10" s="1"/>
  <c r="X377" i="10" s="1"/>
  <c r="X378" i="10" s="1"/>
  <c r="X379" i="10" s="1"/>
  <c r="X380" i="10" s="1"/>
  <c r="X381" i="10" s="1"/>
  <c r="X382" i="10" s="1"/>
  <c r="AI181" i="16"/>
  <c r="AJ181" i="16"/>
  <c r="N95" i="8"/>
  <c r="P95" i="8" s="1"/>
  <c r="GJ25" i="14"/>
  <c r="GK25" i="14" s="1"/>
  <c r="GL25" i="14" s="1"/>
  <c r="BE247" i="16"/>
  <c r="BD221" i="16"/>
  <c r="BF247" i="16" s="1"/>
  <c r="BJ218" i="10"/>
  <c r="AZ242" i="10" s="1"/>
  <c r="AY242" i="10"/>
  <c r="AI180" i="10"/>
  <c r="AJ180" i="10"/>
  <c r="JJ58" i="14"/>
  <c r="AW59" i="18"/>
  <c r="KC69" i="14"/>
  <c r="JT69" i="14"/>
  <c r="M57" i="23" s="1"/>
  <c r="IJ69" i="14"/>
  <c r="AX59" i="18" s="1"/>
  <c r="KG69" i="14"/>
  <c r="KH69" i="14" s="1"/>
  <c r="IY69" i="14"/>
  <c r="M26" i="22" s="1"/>
  <c r="JE69" i="14"/>
  <c r="IN69" i="14"/>
  <c r="IO69" i="14" s="1"/>
  <c r="IK69" i="14"/>
  <c r="JK69" i="14" s="1"/>
  <c r="HC71" i="14"/>
  <c r="HW71" i="14" s="1"/>
  <c r="IC71" i="14"/>
  <c r="K7" i="8"/>
  <c r="K9" i="8" s="1"/>
  <c r="K10" i="8" s="1"/>
  <c r="J7" i="8"/>
  <c r="J9" i="8" s="1"/>
  <c r="J10" i="8" s="1"/>
  <c r="HC34" i="14"/>
  <c r="IC34" i="14"/>
  <c r="GG22" i="14"/>
  <c r="GH22" i="14" s="1"/>
  <c r="GD22" i="14"/>
  <c r="HD22" i="14" s="1"/>
  <c r="GR22" i="14"/>
  <c r="F10" i="22" s="1"/>
  <c r="AL11" i="18"/>
  <c r="GX22" i="14"/>
  <c r="HV22" i="14"/>
  <c r="GC22" i="14"/>
  <c r="AM11" i="18" s="1"/>
  <c r="HZ22" i="14"/>
  <c r="HM22" i="14"/>
  <c r="F41" i="23" s="1"/>
  <c r="CO55" i="14"/>
  <c r="DI55" i="14" s="1"/>
  <c r="DO55" i="14"/>
  <c r="P58" i="18"/>
  <c r="CY68" i="14"/>
  <c r="J56" i="23" s="1"/>
  <c r="DL68" i="14"/>
  <c r="DM68" i="14" s="1"/>
  <c r="CJ68" i="14"/>
  <c r="BO68" i="14"/>
  <c r="Q58" i="18" s="1"/>
  <c r="BS68" i="14"/>
  <c r="BT68" i="14" s="1"/>
  <c r="CD68" i="14"/>
  <c r="J25" i="22" s="1"/>
  <c r="DH68" i="14"/>
  <c r="BP68" i="14"/>
  <c r="CP68" i="14" s="1"/>
  <c r="D523" i="10"/>
  <c r="E523" i="10" s="1"/>
  <c r="E524" i="10" s="1"/>
  <c r="E525" i="10" s="1"/>
  <c r="C524" i="10"/>
  <c r="D524" i="10" s="1"/>
  <c r="BJ221" i="19"/>
  <c r="BF242" i="19" s="1"/>
  <c r="BE242" i="19"/>
  <c r="BS143" i="19"/>
  <c r="CJ151" i="19" s="1"/>
  <c r="BR143" i="19"/>
  <c r="CI151" i="19" s="1"/>
  <c r="BQ246" i="16"/>
  <c r="BA227" i="16"/>
  <c r="BR246" i="16" s="1"/>
  <c r="LQ29" i="14"/>
  <c r="MK29" i="14" s="1"/>
  <c r="DO41" i="14"/>
  <c r="CO41" i="14"/>
  <c r="I239" i="19"/>
  <c r="J239" i="19"/>
  <c r="I64" i="14"/>
  <c r="AI64" i="14" s="1"/>
  <c r="H64" i="14"/>
  <c r="F54" i="18" s="1"/>
  <c r="E54" i="18"/>
  <c r="L64" i="14"/>
  <c r="M64" i="14" s="1"/>
  <c r="E62" i="18"/>
  <c r="BA72" i="14"/>
  <c r="L72" i="14"/>
  <c r="M72" i="14" s="1"/>
  <c r="AR72" i="14"/>
  <c r="I60" i="23" s="1"/>
  <c r="AC72" i="14"/>
  <c r="BE72" i="14"/>
  <c r="BF72" i="14" s="1"/>
  <c r="W72" i="14"/>
  <c r="I29" i="22" s="1"/>
  <c r="I72" i="14"/>
  <c r="AI72" i="14" s="1"/>
  <c r="DJ140" i="10"/>
  <c r="CC148" i="10" s="1"/>
  <c r="DK140" i="10"/>
  <c r="CD148" i="10" s="1"/>
  <c r="U212" i="10"/>
  <c r="T212" i="10"/>
  <c r="CD208" i="16"/>
  <c r="CB207" i="16"/>
  <c r="AJ179" i="10"/>
  <c r="AI179" i="10"/>
  <c r="J214" i="10"/>
  <c r="I214" i="10"/>
  <c r="LQ53" i="14"/>
  <c r="MK53" i="14" s="1"/>
  <c r="BH60" i="18"/>
  <c r="LL70" i="14"/>
  <c r="MN70" i="14"/>
  <c r="MJ70" i="14"/>
  <c r="KQ70" i="14"/>
  <c r="BI60" i="18" s="1"/>
  <c r="LF70" i="14"/>
  <c r="N27" i="22" s="1"/>
  <c r="MA70" i="14"/>
  <c r="N58" i="23" s="1"/>
  <c r="KU70" i="14"/>
  <c r="KV70" i="14" s="1"/>
  <c r="KR70" i="14"/>
  <c r="LR70" i="14" s="1"/>
  <c r="A71" i="8"/>
  <c r="A61" i="8"/>
  <c r="H29" i="18"/>
  <c r="C31" i="13" s="1"/>
  <c r="J29" i="18"/>
  <c r="C63" i="13" s="1"/>
  <c r="AS207" i="19"/>
  <c r="AU208" i="19"/>
  <c r="DW64" i="14"/>
  <c r="EW64" i="14" s="1"/>
  <c r="AA54" i="18"/>
  <c r="DZ64" i="14"/>
  <c r="EA64" i="14" s="1"/>
  <c r="DV64" i="14"/>
  <c r="AB54" i="18" s="1"/>
  <c r="AA51" i="18"/>
  <c r="DW61" i="14"/>
  <c r="EW61" i="14" s="1"/>
  <c r="DV61" i="14"/>
  <c r="AB51" i="18" s="1"/>
  <c r="DZ61" i="14"/>
  <c r="EA61" i="14" s="1"/>
  <c r="BW253" i="19"/>
  <c r="BX253" i="19"/>
  <c r="CA168" i="16"/>
  <c r="CA169" i="16" s="1"/>
  <c r="BR129" i="16"/>
  <c r="BG151" i="16" s="1"/>
  <c r="BS129" i="16"/>
  <c r="BH151" i="16" s="1"/>
  <c r="BK166" i="10"/>
  <c r="BK167" i="10" s="1"/>
  <c r="BK168" i="10" s="1"/>
  <c r="BK169" i="10" s="1"/>
  <c r="BK170" i="10" s="1"/>
  <c r="BG104" i="10"/>
  <c r="BH104" i="10"/>
  <c r="DJ127" i="16"/>
  <c r="BC148" i="16" s="1"/>
  <c r="DK127" i="16"/>
  <c r="BD148" i="16" s="1"/>
  <c r="EV27" i="14"/>
  <c r="FP27" i="14" s="1"/>
  <c r="AA30" i="18"/>
  <c r="DZ41" i="14"/>
  <c r="EA41" i="14" s="1"/>
  <c r="DW41" i="14"/>
  <c r="EW41" i="14" s="1"/>
  <c r="FO41" i="14"/>
  <c r="DV41" i="14"/>
  <c r="AB30" i="18" s="1"/>
  <c r="FF41" i="14"/>
  <c r="E60" i="23" s="1"/>
  <c r="FS41" i="14"/>
  <c r="FT41" i="14" s="1"/>
  <c r="EK41" i="14"/>
  <c r="E29" i="22" s="1"/>
  <c r="EQ41" i="14"/>
  <c r="AA7" i="18"/>
  <c r="EK18" i="14"/>
  <c r="E6" i="22" s="1"/>
  <c r="EQ18" i="14"/>
  <c r="FS18" i="14"/>
  <c r="FT18" i="14" s="1"/>
  <c r="DZ18" i="14"/>
  <c r="EA18" i="14" s="1"/>
  <c r="FO18" i="14"/>
  <c r="DW18" i="14"/>
  <c r="EW18" i="14" s="1"/>
  <c r="DV18" i="14"/>
  <c r="AB7" i="18" s="1"/>
  <c r="FF18" i="14"/>
  <c r="E37" i="23" s="1"/>
  <c r="IK28" i="14"/>
  <c r="JK28" i="14" s="1"/>
  <c r="AW17" i="18"/>
  <c r="IN28" i="14"/>
  <c r="IO28" i="14" s="1"/>
  <c r="IJ28" i="14"/>
  <c r="AX17" i="18" s="1"/>
  <c r="AW245" i="16"/>
  <c r="AX217" i="16"/>
  <c r="AX245" i="16" s="1"/>
  <c r="DK127" i="19"/>
  <c r="BD148" i="19" s="1"/>
  <c r="DJ127" i="19"/>
  <c r="BC148" i="19" s="1"/>
  <c r="BS159" i="19"/>
  <c r="T197" i="10"/>
  <c r="U197" i="10"/>
  <c r="U359" i="10"/>
  <c r="T359" i="10"/>
  <c r="JJ61" i="14"/>
  <c r="AW62" i="18"/>
  <c r="KG72" i="14"/>
  <c r="KH72" i="14" s="1"/>
  <c r="KC72" i="14"/>
  <c r="IN72" i="14"/>
  <c r="IO72" i="14" s="1"/>
  <c r="JT72" i="14"/>
  <c r="M60" i="23" s="1"/>
  <c r="IY72" i="14"/>
  <c r="M29" i="22" s="1"/>
  <c r="IK72" i="14"/>
  <c r="JK72" i="14" s="1"/>
  <c r="JE72" i="14"/>
  <c r="AW57" i="18"/>
  <c r="KC67" i="14"/>
  <c r="JT67" i="14"/>
  <c r="M55" i="23" s="1"/>
  <c r="IN67" i="14"/>
  <c r="IO67" i="14" s="1"/>
  <c r="JE67" i="14"/>
  <c r="IJ67" i="14"/>
  <c r="AX57" i="18" s="1"/>
  <c r="IY67" i="14"/>
  <c r="M24" i="22" s="1"/>
  <c r="IK67" i="14"/>
  <c r="JK67" i="14" s="1"/>
  <c r="KG67" i="14"/>
  <c r="GC64" i="14"/>
  <c r="AM54" i="18" s="1"/>
  <c r="AL54" i="18"/>
  <c r="GG64" i="14"/>
  <c r="GH64" i="14" s="1"/>
  <c r="GD64" i="14"/>
  <c r="HD64" i="14" s="1"/>
  <c r="M217" i="8"/>
  <c r="H24" i="18"/>
  <c r="C26" i="13" s="1"/>
  <c r="J24" i="18"/>
  <c r="C58" i="13" s="1"/>
  <c r="CO64" i="14"/>
  <c r="CE161" i="16"/>
  <c r="CE178" i="16"/>
  <c r="CF178" i="16"/>
  <c r="BL159" i="16"/>
  <c r="BL167" i="16"/>
  <c r="AT165" i="16"/>
  <c r="AT166" i="16" s="1"/>
  <c r="BR132" i="16"/>
  <c r="BM151" i="16" s="1"/>
  <c r="BS132" i="16"/>
  <c r="BN151" i="16" s="1"/>
  <c r="BA244" i="10"/>
  <c r="AU219" i="10"/>
  <c r="BB244" i="10" s="1"/>
  <c r="J191" i="16"/>
  <c r="I191" i="16"/>
  <c r="I192" i="19"/>
  <c r="J192" i="19"/>
  <c r="LQ38" i="14"/>
  <c r="MK38" i="14" s="1"/>
  <c r="MQ38" i="14"/>
  <c r="CO30" i="14"/>
  <c r="DI30" i="14" s="1"/>
  <c r="P10" i="18"/>
  <c r="CJ21" i="14"/>
  <c r="BS21" i="14"/>
  <c r="BT21" i="14" s="1"/>
  <c r="CY21" i="14"/>
  <c r="D40" i="23" s="1"/>
  <c r="BO21" i="14"/>
  <c r="Q10" i="18" s="1"/>
  <c r="CD21" i="14"/>
  <c r="D9" i="22" s="1"/>
  <c r="DH21" i="14"/>
  <c r="DL21" i="14"/>
  <c r="BP21" i="14"/>
  <c r="CP21" i="14" s="1"/>
  <c r="F15" i="5"/>
  <c r="Q98" i="8"/>
  <c r="R98" i="8"/>
  <c r="AE20" i="14"/>
  <c r="C8" i="9"/>
  <c r="Q163" i="8"/>
  <c r="R163" i="8"/>
  <c r="AH71" i="14"/>
  <c r="BB71" i="14" s="1"/>
  <c r="BH71" i="14"/>
  <c r="BE161" i="19"/>
  <c r="BF178" i="19"/>
  <c r="BE178" i="19"/>
  <c r="U192" i="10"/>
  <c r="T192" i="10"/>
  <c r="CC135" i="16"/>
  <c r="BS152" i="16" s="1"/>
  <c r="CD135" i="16"/>
  <c r="BT152" i="16" s="1"/>
  <c r="LQ54" i="14"/>
  <c r="LQ68" i="14"/>
  <c r="MK68" i="14" s="1"/>
  <c r="R156" i="8"/>
  <c r="Q156" i="8"/>
  <c r="R318" i="8"/>
  <c r="Q318" i="8"/>
  <c r="CN130" i="16"/>
  <c r="BI153" i="16" s="1"/>
  <c r="CO130" i="16"/>
  <c r="BJ153" i="16" s="1"/>
  <c r="BS95" i="19"/>
  <c r="BR95" i="19"/>
  <c r="DJ142" i="10"/>
  <c r="CG148" i="10" s="1"/>
  <c r="DK142" i="10"/>
  <c r="CH148" i="10" s="1"/>
  <c r="EV62" i="14"/>
  <c r="FP62" i="14" s="1"/>
  <c r="Q297" i="8"/>
  <c r="R297" i="8"/>
  <c r="BR97" i="19"/>
  <c r="BS97" i="19"/>
  <c r="AJ192" i="16"/>
  <c r="AH250" i="16" s="1"/>
  <c r="AI192" i="16"/>
  <c r="AF250" i="16" s="1"/>
  <c r="AE250" i="16" s="1"/>
  <c r="N109" i="8"/>
  <c r="P109" i="8" s="1"/>
  <c r="F26" i="5" s="1"/>
  <c r="GJ39" i="14"/>
  <c r="GK39" i="14" s="1"/>
  <c r="GL39" i="14" s="1"/>
  <c r="CJ177" i="19"/>
  <c r="CI177" i="19"/>
  <c r="CI160" i="19"/>
  <c r="CJ165" i="16"/>
  <c r="CJ166" i="16" s="1"/>
  <c r="CJ157" i="16"/>
  <c r="BS122" i="16"/>
  <c r="AT151" i="16" s="1"/>
  <c r="BR122" i="16"/>
  <c r="AS151" i="16" s="1"/>
  <c r="BI226" i="19"/>
  <c r="BO242" i="19" s="1"/>
  <c r="BM242" i="19"/>
  <c r="DK123" i="19"/>
  <c r="AV148" i="19" s="1"/>
  <c r="DJ123" i="19"/>
  <c r="AU148" i="19" s="1"/>
  <c r="CO101" i="16"/>
  <c r="CN101" i="16"/>
  <c r="BS245" i="19"/>
  <c r="AX228" i="19"/>
  <c r="BT245" i="19" s="1"/>
  <c r="O517" i="10"/>
  <c r="P516" i="10"/>
  <c r="Q516" i="10" s="1"/>
  <c r="BH125" i="10"/>
  <c r="AZ150" i="10" s="1"/>
  <c r="BG125" i="10"/>
  <c r="AY150" i="10" s="1"/>
  <c r="DK111" i="16"/>
  <c r="DJ111" i="16"/>
  <c r="C58" i="23"/>
  <c r="BI39" i="14"/>
  <c r="C28" i="23" s="1"/>
  <c r="JJ65" i="14"/>
  <c r="JJ70" i="14"/>
  <c r="KD70" i="14" s="1"/>
  <c r="KJ70" i="14"/>
  <c r="JJ67" i="14"/>
  <c r="KD67" i="14" s="1"/>
  <c r="IK56" i="14"/>
  <c r="JK56" i="14" s="1"/>
  <c r="AW46" i="18"/>
  <c r="IN56" i="14"/>
  <c r="IO56" i="14" s="1"/>
  <c r="IJ56" i="14"/>
  <c r="AX46" i="18" s="1"/>
  <c r="AW43" i="18"/>
  <c r="KC53" i="14"/>
  <c r="KG53" i="14"/>
  <c r="IY53" i="14"/>
  <c r="M10" i="22" s="1"/>
  <c r="IK53" i="14"/>
  <c r="JK53" i="14" s="1"/>
  <c r="JE53" i="14"/>
  <c r="IN53" i="14"/>
  <c r="IO53" i="14" s="1"/>
  <c r="IJ53" i="14"/>
  <c r="AX43" i="18" s="1"/>
  <c r="JT53" i="14"/>
  <c r="M41" i="23" s="1"/>
  <c r="HC53" i="14"/>
  <c r="HC49" i="14"/>
  <c r="HW49" i="14" s="1"/>
  <c r="IC49" i="14"/>
  <c r="HC51" i="14"/>
  <c r="HW51" i="14" s="1"/>
  <c r="IC51" i="14"/>
  <c r="HC50" i="14"/>
  <c r="HW50" i="14" s="1"/>
  <c r="IC50" i="14"/>
  <c r="AL58" i="18"/>
  <c r="GR68" i="14"/>
  <c r="L25" i="22" s="1"/>
  <c r="HV68" i="14"/>
  <c r="HM68" i="14"/>
  <c r="L56" i="23" s="1"/>
  <c r="GD68" i="14"/>
  <c r="HD68" i="14" s="1"/>
  <c r="GC68" i="14"/>
  <c r="AM58" i="18" s="1"/>
  <c r="HZ68" i="14"/>
  <c r="IA68" i="14" s="1"/>
  <c r="GX68" i="14"/>
  <c r="GG68" i="14"/>
  <c r="GH68" i="14" s="1"/>
  <c r="AL57" i="18"/>
  <c r="GX67" i="14"/>
  <c r="HV67" i="14"/>
  <c r="HZ67" i="14"/>
  <c r="IA67" i="14" s="1"/>
  <c r="GG67" i="14"/>
  <c r="GH67" i="14" s="1"/>
  <c r="GD67" i="14"/>
  <c r="HD67" i="14" s="1"/>
  <c r="GR67" i="14"/>
  <c r="L24" i="22" s="1"/>
  <c r="GC67" i="14"/>
  <c r="AM57" i="18" s="1"/>
  <c r="HM67" i="14"/>
  <c r="L55" i="23" s="1"/>
  <c r="A208" i="8"/>
  <c r="A204" i="8"/>
  <c r="Q19" i="8"/>
  <c r="R19" i="8"/>
  <c r="I16" i="2"/>
  <c r="I17" i="2"/>
  <c r="M220" i="8"/>
  <c r="M212" i="8"/>
  <c r="M210" i="8"/>
  <c r="BO166" i="10"/>
  <c r="BO167" i="10" s="1"/>
  <c r="BO168" i="10" s="1"/>
  <c r="BO169" i="10" s="1"/>
  <c r="BO170" i="10" s="1"/>
  <c r="DJ136" i="19"/>
  <c r="BU148" i="19" s="1"/>
  <c r="DK136" i="19"/>
  <c r="BV148" i="19" s="1"/>
  <c r="AJ205" i="16"/>
  <c r="AH263" i="16" s="1"/>
  <c r="AI205" i="16"/>
  <c r="AF263" i="16" s="1"/>
  <c r="AE263" i="16" s="1"/>
  <c r="AD35" i="14"/>
  <c r="C52" i="22"/>
  <c r="HC20" i="14"/>
  <c r="HW20" i="14" s="1"/>
  <c r="IC20" i="14"/>
  <c r="AL23" i="18"/>
  <c r="GD34" i="14"/>
  <c r="HD34" i="14" s="1"/>
  <c r="GG34" i="14"/>
  <c r="GH34" i="14" s="1"/>
  <c r="GC34" i="14"/>
  <c r="AM23" i="18" s="1"/>
  <c r="GC33" i="14"/>
  <c r="AM22" i="18" s="1"/>
  <c r="AL22" i="18"/>
  <c r="GG33" i="14"/>
  <c r="GH33" i="14" s="1"/>
  <c r="GD33" i="14"/>
  <c r="HD33" i="14" s="1"/>
  <c r="HC35" i="14"/>
  <c r="IC35" i="14"/>
  <c r="HC31" i="14"/>
  <c r="AL7" i="18"/>
  <c r="HZ18" i="14"/>
  <c r="HM18" i="14"/>
  <c r="F37" i="23" s="1"/>
  <c r="HV18" i="14"/>
  <c r="GD18" i="14"/>
  <c r="HD18" i="14" s="1"/>
  <c r="GX18" i="14"/>
  <c r="GG18" i="14"/>
  <c r="GH18" i="14" s="1"/>
  <c r="GR18" i="14"/>
  <c r="F6" i="22" s="1"/>
  <c r="GC18" i="14"/>
  <c r="AM7" i="18" s="1"/>
  <c r="Q157" i="8"/>
  <c r="R157" i="8"/>
  <c r="B326" i="8"/>
  <c r="Q317" i="8" s="1"/>
  <c r="M8" i="3"/>
  <c r="M9" i="3"/>
  <c r="R129" i="8"/>
  <c r="Q129" i="8"/>
  <c r="AI201" i="16"/>
  <c r="AF259" i="16" s="1"/>
  <c r="AE259" i="16" s="1"/>
  <c r="AJ201" i="16"/>
  <c r="AH259" i="16" s="1"/>
  <c r="BS59" i="14"/>
  <c r="BT59" i="14" s="1"/>
  <c r="BP59" i="14"/>
  <c r="CP59" i="14" s="1"/>
  <c r="BO59" i="14"/>
  <c r="Q49" i="18" s="1"/>
  <c r="P49" i="18"/>
  <c r="CO71" i="14"/>
  <c r="DO71" i="14"/>
  <c r="CO49" i="14"/>
  <c r="DI49" i="14" s="1"/>
  <c r="DO49" i="14"/>
  <c r="CO61" i="14"/>
  <c r="BP64" i="14"/>
  <c r="CP64" i="14" s="1"/>
  <c r="P54" i="18"/>
  <c r="BS64" i="14"/>
  <c r="BT64" i="14" s="1"/>
  <c r="BO64" i="14"/>
  <c r="Q54" i="18" s="1"/>
  <c r="P60" i="18"/>
  <c r="CJ70" i="14"/>
  <c r="BS70" i="14"/>
  <c r="BT70" i="14" s="1"/>
  <c r="DH70" i="14"/>
  <c r="CD70" i="14"/>
  <c r="J27" i="22" s="1"/>
  <c r="CY70" i="14"/>
  <c r="J58" i="23" s="1"/>
  <c r="DL70" i="14"/>
  <c r="BP70" i="14"/>
  <c r="CP70" i="14" s="1"/>
  <c r="BO70" i="14"/>
  <c r="Q60" i="18" s="1"/>
  <c r="P42" i="18"/>
  <c r="CD52" i="14"/>
  <c r="J9" i="22" s="1"/>
  <c r="DH52" i="14"/>
  <c r="BO52" i="14"/>
  <c r="Q42" i="18" s="1"/>
  <c r="BP52" i="14"/>
  <c r="CP52" i="14" s="1"/>
  <c r="DL52" i="14"/>
  <c r="CY52" i="14"/>
  <c r="J40" i="23" s="1"/>
  <c r="CJ52" i="14"/>
  <c r="BS52" i="14"/>
  <c r="BT52" i="14" s="1"/>
  <c r="R11" i="8"/>
  <c r="Q11" i="8"/>
  <c r="BR167" i="19"/>
  <c r="BR159" i="19"/>
  <c r="AU245" i="16"/>
  <c r="AX216" i="16"/>
  <c r="AV245" i="16" s="1"/>
  <c r="CO100" i="16"/>
  <c r="CN100" i="16"/>
  <c r="AI236" i="19"/>
  <c r="AJ236" i="19"/>
  <c r="R237" i="8"/>
  <c r="Q237" i="8"/>
  <c r="AU160" i="16"/>
  <c r="AS161" i="16"/>
  <c r="AT178" i="16"/>
  <c r="AS178" i="16"/>
  <c r="CH257" i="16"/>
  <c r="CG257" i="16"/>
  <c r="BW178" i="16"/>
  <c r="BW208" i="16" s="1"/>
  <c r="BX178" i="16"/>
  <c r="BX208" i="16" s="1"/>
  <c r="BS99" i="16"/>
  <c r="BR99" i="16"/>
  <c r="DK126" i="16"/>
  <c r="BB148" i="16" s="1"/>
  <c r="DJ126" i="16"/>
  <c r="BA148" i="16" s="1"/>
  <c r="AJ209" i="16"/>
  <c r="AH267" i="16" s="1"/>
  <c r="AI209" i="16"/>
  <c r="AF267" i="16" s="1"/>
  <c r="AE267" i="16" s="1"/>
  <c r="AJ232" i="10"/>
  <c r="AI232" i="10"/>
  <c r="BA219" i="16"/>
  <c r="BB246" i="16" s="1"/>
  <c r="BA246" i="16"/>
  <c r="I194" i="19"/>
  <c r="J194" i="19"/>
  <c r="AC319" i="19"/>
  <c r="AC362" i="19"/>
  <c r="AC382" i="19"/>
  <c r="AC360" i="19"/>
  <c r="AC335" i="19"/>
  <c r="AC355" i="19"/>
  <c r="AC321" i="19"/>
  <c r="AC311" i="19"/>
  <c r="AC377" i="19"/>
  <c r="AC359" i="19"/>
  <c r="AC302" i="19"/>
  <c r="AC378" i="19"/>
  <c r="AC326" i="19"/>
  <c r="AC341" i="19"/>
  <c r="AC343" i="19"/>
  <c r="AC340" i="19"/>
  <c r="AC293" i="19"/>
  <c r="AC294" i="19"/>
  <c r="AC332" i="19"/>
  <c r="AC376" i="19"/>
  <c r="AC365" i="19"/>
  <c r="AC338" i="19"/>
  <c r="AC327" i="19"/>
  <c r="AC352" i="19"/>
  <c r="AC320" i="19"/>
  <c r="AC333" i="19"/>
  <c r="AC310" i="19"/>
  <c r="AC350" i="19"/>
  <c r="AC357" i="19"/>
  <c r="AC344" i="19"/>
  <c r="AC372" i="19"/>
  <c r="AC297" i="19"/>
  <c r="AC316" i="19"/>
  <c r="AC314" i="19"/>
  <c r="AC345" i="19"/>
  <c r="AC298" i="19"/>
  <c r="AC307" i="19"/>
  <c r="AC305" i="19"/>
  <c r="AC379" i="19"/>
  <c r="AC361" i="19"/>
  <c r="AC304" i="19"/>
  <c r="AC323" i="19"/>
  <c r="AC331" i="19"/>
  <c r="AC315" i="19"/>
  <c r="AC351" i="19"/>
  <c r="AC381" i="19"/>
  <c r="AC299" i="19"/>
  <c r="AC318" i="19"/>
  <c r="AC346" i="19"/>
  <c r="AC330" i="19"/>
  <c r="AC380" i="19"/>
  <c r="AC347" i="19"/>
  <c r="AC301" i="19"/>
  <c r="AC322" i="19"/>
  <c r="AC354" i="19"/>
  <c r="AC303" i="19"/>
  <c r="AC363" i="19"/>
  <c r="AC337" i="19"/>
  <c r="AC369" i="19"/>
  <c r="AC306" i="19"/>
  <c r="AC366" i="19"/>
  <c r="AC313" i="19"/>
  <c r="AC312" i="19"/>
  <c r="AC375" i="19"/>
  <c r="AC364" i="19"/>
  <c r="AC353" i="19"/>
  <c r="AC308" i="19"/>
  <c r="AC349" i="19"/>
  <c r="AC317" i="19"/>
  <c r="AC356" i="19"/>
  <c r="KU34" i="14"/>
  <c r="KV34" i="14" s="1"/>
  <c r="KR34" i="14"/>
  <c r="LR34" i="14" s="1"/>
  <c r="BH23" i="18"/>
  <c r="KQ34" i="14"/>
  <c r="BI23" i="18" s="1"/>
  <c r="LQ34" i="14"/>
  <c r="MK34" i="14" s="1"/>
  <c r="MQ34" i="14"/>
  <c r="LQ26" i="14"/>
  <c r="MK26" i="14" s="1"/>
  <c r="MQ26" i="14"/>
  <c r="LQ33" i="14"/>
  <c r="MQ33" i="14"/>
  <c r="KR26" i="14"/>
  <c r="LR26" i="14" s="1"/>
  <c r="BH15" i="18"/>
  <c r="KQ26" i="14"/>
  <c r="BI15" i="18" s="1"/>
  <c r="KU26" i="14"/>
  <c r="KV26" i="14" s="1"/>
  <c r="BH27" i="18"/>
  <c r="MJ38" i="14"/>
  <c r="MN38" i="14"/>
  <c r="MO38" i="14" s="1"/>
  <c r="LL38" i="14"/>
  <c r="MA38" i="14"/>
  <c r="H57" i="23" s="1"/>
  <c r="KR38" i="14"/>
  <c r="LR38" i="14" s="1"/>
  <c r="LF38" i="14"/>
  <c r="H26" i="22" s="1"/>
  <c r="KQ38" i="14"/>
  <c r="BI27" i="18" s="1"/>
  <c r="KU38" i="14"/>
  <c r="KV38" i="14" s="1"/>
  <c r="BH7" i="18"/>
  <c r="KQ18" i="14"/>
  <c r="BI7" i="18" s="1"/>
  <c r="LF18" i="14"/>
  <c r="H6" i="22" s="1"/>
  <c r="MJ18" i="14"/>
  <c r="KU18" i="14"/>
  <c r="KV18" i="14" s="1"/>
  <c r="MA18" i="14"/>
  <c r="H37" i="23" s="1"/>
  <c r="MN18" i="14"/>
  <c r="MO18" i="14" s="1"/>
  <c r="LL18" i="14"/>
  <c r="KR18" i="14"/>
  <c r="LR18" i="14" s="1"/>
  <c r="CO26" i="14"/>
  <c r="DI26" i="14" s="1"/>
  <c r="CO21" i="14"/>
  <c r="DI21" i="14" s="1"/>
  <c r="DO21" i="14"/>
  <c r="BO25" i="14"/>
  <c r="Q14" i="18" s="1"/>
  <c r="P14" i="18"/>
  <c r="BS25" i="14"/>
  <c r="BT25" i="14" s="1"/>
  <c r="BP25" i="14"/>
  <c r="CP25" i="14" s="1"/>
  <c r="CO19" i="14"/>
  <c r="DO19" i="14"/>
  <c r="P29" i="18"/>
  <c r="DL40" i="14"/>
  <c r="DM40" i="14" s="1"/>
  <c r="CJ40" i="14"/>
  <c r="CD40" i="14"/>
  <c r="D28" i="22" s="1"/>
  <c r="BP40" i="14"/>
  <c r="CP40" i="14" s="1"/>
  <c r="DH40" i="14"/>
  <c r="BS40" i="14"/>
  <c r="BT40" i="14" s="1"/>
  <c r="CY40" i="14"/>
  <c r="D59" i="23" s="1"/>
  <c r="BO40" i="14"/>
  <c r="Q29" i="18" s="1"/>
  <c r="P26" i="18"/>
  <c r="DL37" i="14"/>
  <c r="DM37" i="14" s="1"/>
  <c r="BP37" i="14"/>
  <c r="CP37" i="14" s="1"/>
  <c r="BO37" i="14"/>
  <c r="Q26" i="18" s="1"/>
  <c r="CD37" i="14"/>
  <c r="D25" i="22" s="1"/>
  <c r="CJ37" i="14"/>
  <c r="CY37" i="14"/>
  <c r="D56" i="23" s="1"/>
  <c r="BS37" i="14"/>
  <c r="BT37" i="14" s="1"/>
  <c r="DH37" i="14"/>
  <c r="A205" i="8"/>
  <c r="B205" i="8" s="1"/>
  <c r="A202" i="8"/>
  <c r="R16" i="8"/>
  <c r="Q16" i="8"/>
  <c r="AO160" i="10"/>
  <c r="AO177" i="10"/>
  <c r="AP177" i="10"/>
  <c r="AP160" i="10"/>
  <c r="BD237" i="16"/>
  <c r="CL247" i="16" s="1"/>
  <c r="CK247" i="16"/>
  <c r="BR96" i="19"/>
  <c r="BS96" i="19"/>
  <c r="E45" i="18"/>
  <c r="H55" i="14"/>
  <c r="F45" i="18" s="1"/>
  <c r="I55" i="14"/>
  <c r="AI55" i="14" s="1"/>
  <c r="L55" i="14"/>
  <c r="M55" i="14" s="1"/>
  <c r="AH53" i="14"/>
  <c r="BB53" i="14" s="1"/>
  <c r="BH53" i="14"/>
  <c r="AH56" i="14"/>
  <c r="BH56" i="14"/>
  <c r="AH50" i="14"/>
  <c r="BH50" i="14"/>
  <c r="E59" i="18"/>
  <c r="BE69" i="14"/>
  <c r="BF69" i="14" s="1"/>
  <c r="H69" i="14"/>
  <c r="F59" i="18" s="1"/>
  <c r="W69" i="14"/>
  <c r="I26" i="22" s="1"/>
  <c r="BA69" i="14"/>
  <c r="AR69" i="14"/>
  <c r="I57" i="23" s="1"/>
  <c r="AC69" i="14"/>
  <c r="I69" i="14"/>
  <c r="AI69" i="14" s="1"/>
  <c r="L69" i="14"/>
  <c r="M69" i="14" s="1"/>
  <c r="E40" i="18"/>
  <c r="BE50" i="14"/>
  <c r="AR50" i="14"/>
  <c r="I38" i="23" s="1"/>
  <c r="L50" i="14"/>
  <c r="M50" i="14" s="1"/>
  <c r="W50" i="14"/>
  <c r="I7" i="22" s="1"/>
  <c r="I50" i="14"/>
  <c r="AI50" i="14" s="1"/>
  <c r="BA50" i="14"/>
  <c r="AC50" i="14"/>
  <c r="H50" i="14"/>
  <c r="F40" i="18" s="1"/>
  <c r="BV178" i="10"/>
  <c r="BU161" i="10"/>
  <c r="BU178" i="10"/>
  <c r="BG109" i="10"/>
  <c r="BH109" i="10"/>
  <c r="B285" i="8"/>
  <c r="B282" i="8"/>
  <c r="C282" i="8" s="1"/>
  <c r="C284" i="8" s="1"/>
  <c r="B286" i="8"/>
  <c r="R305" i="8"/>
  <c r="R284" i="8"/>
  <c r="Q284" i="8"/>
  <c r="B283" i="8"/>
  <c r="C283" i="8"/>
  <c r="Q288" i="8"/>
  <c r="R288" i="8"/>
  <c r="Q304" i="8"/>
  <c r="Q305" i="8"/>
  <c r="R303" i="8"/>
  <c r="R302" i="8"/>
  <c r="R286" i="8"/>
  <c r="R299" i="8"/>
  <c r="Q286" i="8"/>
  <c r="Q299" i="8"/>
  <c r="R285" i="8"/>
  <c r="Q283" i="8"/>
  <c r="R304" i="8"/>
  <c r="R295" i="8"/>
  <c r="Q301" i="8"/>
  <c r="Q285" i="8"/>
  <c r="Q295" i="8"/>
  <c r="R283" i="8"/>
  <c r="R306" i="8"/>
  <c r="Q303" i="8"/>
  <c r="Q306" i="8"/>
  <c r="R301" i="8"/>
  <c r="Q302" i="8"/>
  <c r="BZ157" i="19"/>
  <c r="BI226" i="16"/>
  <c r="BO242" i="16" s="1"/>
  <c r="BM242" i="16"/>
  <c r="AI188" i="16"/>
  <c r="AF246" i="16" s="1"/>
  <c r="AE246" i="16" s="1"/>
  <c r="AJ188" i="16"/>
  <c r="AH246" i="16" s="1"/>
  <c r="AC348" i="19"/>
  <c r="BA160" i="16"/>
  <c r="BA177" i="16"/>
  <c r="BB177" i="16"/>
  <c r="BE167" i="16"/>
  <c r="BE168" i="16" s="1"/>
  <c r="BM257" i="16"/>
  <c r="BN257" i="16"/>
  <c r="BD166" i="19"/>
  <c r="BD158" i="19"/>
  <c r="AQ167" i="10"/>
  <c r="Q256" i="8"/>
  <c r="DK107" i="19"/>
  <c r="DJ107" i="19"/>
  <c r="C87" i="23"/>
  <c r="BI38" i="14"/>
  <c r="C27" i="23" s="1"/>
  <c r="CN121" i="16"/>
  <c r="AQ153" i="16" s="1"/>
  <c r="CO121" i="16"/>
  <c r="AR153" i="16" s="1"/>
  <c r="AX227" i="19"/>
  <c r="BR245" i="19" s="1"/>
  <c r="BQ245" i="19"/>
  <c r="AW125" i="10"/>
  <c r="AZ149" i="10" s="1"/>
  <c r="AV125" i="10"/>
  <c r="AY149" i="10" s="1"/>
  <c r="U200" i="16"/>
  <c r="T200" i="16"/>
  <c r="BA242" i="10"/>
  <c r="BJ219" i="10"/>
  <c r="BB242" i="10" s="1"/>
  <c r="AJ235" i="10"/>
  <c r="AI235" i="10"/>
  <c r="AC329" i="19"/>
  <c r="AC192" i="19"/>
  <c r="AD191" i="19"/>
  <c r="U211" i="19"/>
  <c r="T211" i="19"/>
  <c r="BB22" i="14"/>
  <c r="AI22" i="14"/>
  <c r="LQ72" i="14"/>
  <c r="MQ72" i="14"/>
  <c r="LQ64" i="14"/>
  <c r="MK64" i="14" s="1"/>
  <c r="LQ61" i="14"/>
  <c r="MK61" i="14" s="1"/>
  <c r="LQ66" i="14"/>
  <c r="MK66" i="14" s="1"/>
  <c r="LQ49" i="14"/>
  <c r="MQ49" i="14"/>
  <c r="BH42" i="18"/>
  <c r="MN52" i="14"/>
  <c r="MA52" i="14"/>
  <c r="N40" i="23" s="1"/>
  <c r="KR52" i="14"/>
  <c r="LR52" i="14" s="1"/>
  <c r="KU52" i="14"/>
  <c r="KV52" i="14" s="1"/>
  <c r="KQ52" i="14"/>
  <c r="BI42" i="18" s="1"/>
  <c r="LL52" i="14"/>
  <c r="MJ52" i="14"/>
  <c r="LF52" i="14"/>
  <c r="N9" i="22" s="1"/>
  <c r="BH41" i="18"/>
  <c r="MN51" i="14"/>
  <c r="MO51" i="14" s="1"/>
  <c r="MJ51" i="14"/>
  <c r="KQ51" i="14"/>
  <c r="BI41" i="18" s="1"/>
  <c r="LL51" i="14"/>
  <c r="LF51" i="14"/>
  <c r="N8" i="22" s="1"/>
  <c r="KR51" i="14"/>
  <c r="LR51" i="14" s="1"/>
  <c r="MA51" i="14"/>
  <c r="N39" i="23" s="1"/>
  <c r="KU51" i="14"/>
  <c r="KV51" i="14" s="1"/>
  <c r="R10" i="8"/>
  <c r="Q10" i="8"/>
  <c r="BX177" i="19"/>
  <c r="BW177" i="19"/>
  <c r="BW160" i="19"/>
  <c r="CC207" i="19"/>
  <c r="CE208" i="19"/>
  <c r="BK159" i="10"/>
  <c r="BL176" i="10"/>
  <c r="BK176" i="10"/>
  <c r="BR121" i="16"/>
  <c r="AQ151" i="16" s="1"/>
  <c r="BS121" i="16"/>
  <c r="AR151" i="16" s="1"/>
  <c r="BR103" i="16"/>
  <c r="BS103" i="16"/>
  <c r="BK161" i="16"/>
  <c r="BK178" i="16"/>
  <c r="BL178" i="16"/>
  <c r="DJ98" i="19"/>
  <c r="DK98" i="19"/>
  <c r="BC29" i="14"/>
  <c r="C82" i="21" s="1"/>
  <c r="DJ130" i="16"/>
  <c r="BI148" i="16" s="1"/>
  <c r="DK130" i="16"/>
  <c r="BJ148" i="16" s="1"/>
  <c r="J216" i="10"/>
  <c r="I216" i="10"/>
  <c r="CD178" i="10"/>
  <c r="CC161" i="10"/>
  <c r="CC178" i="10"/>
  <c r="AS245" i="16"/>
  <c r="AX215" i="16"/>
  <c r="AT245" i="16" s="1"/>
  <c r="BG92" i="10"/>
  <c r="BH92" i="10"/>
  <c r="T198" i="16"/>
  <c r="U198" i="16"/>
  <c r="AU207" i="10"/>
  <c r="AW208" i="10"/>
  <c r="I198" i="19"/>
  <c r="J198" i="19"/>
  <c r="R131" i="8"/>
  <c r="Q131" i="8"/>
  <c r="DV56" i="14"/>
  <c r="AB46" i="18" s="1"/>
  <c r="DZ56" i="14"/>
  <c r="EA56" i="14" s="1"/>
  <c r="AA46" i="18"/>
  <c r="DW56" i="14"/>
  <c r="EW56" i="14" s="1"/>
  <c r="AA55" i="18"/>
  <c r="DW65" i="14"/>
  <c r="EW65" i="14" s="1"/>
  <c r="DZ65" i="14"/>
  <c r="EA65" i="14" s="1"/>
  <c r="DV65" i="14"/>
  <c r="AB55" i="18" s="1"/>
  <c r="EV57" i="14"/>
  <c r="FP57" i="14" s="1"/>
  <c r="EV61" i="14"/>
  <c r="FP61" i="14" s="1"/>
  <c r="AA62" i="18"/>
  <c r="DW72" i="14"/>
  <c r="EW72" i="14" s="1"/>
  <c r="FF72" i="14"/>
  <c r="K60" i="23" s="1"/>
  <c r="DZ72" i="14"/>
  <c r="EA72" i="14" s="1"/>
  <c r="DV72" i="14"/>
  <c r="AB62" i="18" s="1"/>
  <c r="FS72" i="14"/>
  <c r="FT72" i="14" s="1"/>
  <c r="EQ72" i="14"/>
  <c r="FO72" i="14"/>
  <c r="EK72" i="14"/>
  <c r="K29" i="22" s="1"/>
  <c r="AA43" i="18"/>
  <c r="FO53" i="14"/>
  <c r="DV53" i="14"/>
  <c r="AB43" i="18" s="1"/>
  <c r="DW53" i="14"/>
  <c r="EW53" i="14" s="1"/>
  <c r="FS53" i="14"/>
  <c r="FT53" i="14" s="1"/>
  <c r="EQ53" i="14"/>
  <c r="FF53" i="14"/>
  <c r="K41" i="23" s="1"/>
  <c r="DZ53" i="14"/>
  <c r="EA53" i="14" s="1"/>
  <c r="EK53" i="14"/>
  <c r="K10" i="22" s="1"/>
  <c r="F20" i="5"/>
  <c r="Q103" i="8"/>
  <c r="R103" i="8"/>
  <c r="BD255" i="16"/>
  <c r="BC255" i="16"/>
  <c r="BR135" i="16"/>
  <c r="BS151" i="16" s="1"/>
  <c r="BS135" i="16"/>
  <c r="BT151" i="16" s="1"/>
  <c r="DJ135" i="19"/>
  <c r="BS148" i="19" s="1"/>
  <c r="DK135" i="19"/>
  <c r="BT148" i="19" s="1"/>
  <c r="BC30" i="14"/>
  <c r="C83" i="21" s="1"/>
  <c r="CN140" i="16"/>
  <c r="CC153" i="16" s="1"/>
  <c r="CO140" i="16"/>
  <c r="CD153" i="16" s="1"/>
  <c r="AV140" i="10"/>
  <c r="CC149" i="10" s="1"/>
  <c r="AW140" i="10"/>
  <c r="CD149" i="10" s="1"/>
  <c r="AU244" i="10"/>
  <c r="AU216" i="10"/>
  <c r="AV244" i="10" s="1"/>
  <c r="I193" i="16"/>
  <c r="J193" i="16"/>
  <c r="R132" i="8"/>
  <c r="Q132" i="8"/>
  <c r="EV23" i="14"/>
  <c r="FP23" i="14" s="1"/>
  <c r="EV31" i="14"/>
  <c r="EV33" i="14"/>
  <c r="FP33" i="14" s="1"/>
  <c r="EV22" i="14"/>
  <c r="FV22" i="14"/>
  <c r="AA24" i="18"/>
  <c r="DW35" i="14"/>
  <c r="EW35" i="14" s="1"/>
  <c r="EQ35" i="14"/>
  <c r="EK35" i="14"/>
  <c r="E23" i="22" s="1"/>
  <c r="FS35" i="14"/>
  <c r="FO35" i="14"/>
  <c r="DV35" i="14"/>
  <c r="AB24" i="18" s="1"/>
  <c r="DZ35" i="14"/>
  <c r="EA35" i="14" s="1"/>
  <c r="FF35" i="14"/>
  <c r="E54" i="23" s="1"/>
  <c r="AA9" i="18"/>
  <c r="EQ20" i="14"/>
  <c r="FS20" i="14"/>
  <c r="FT20" i="14" s="1"/>
  <c r="FO20" i="14"/>
  <c r="DV20" i="14"/>
  <c r="AB9" i="18" s="1"/>
  <c r="DZ20" i="14"/>
  <c r="EA20" i="14" s="1"/>
  <c r="FF20" i="14"/>
  <c r="E39" i="23" s="1"/>
  <c r="EK20" i="14"/>
  <c r="E8" i="22" s="1"/>
  <c r="DW20" i="14"/>
  <c r="EW20" i="14" s="1"/>
  <c r="JJ19" i="14"/>
  <c r="KD19" i="14" s="1"/>
  <c r="KJ19" i="14"/>
  <c r="JJ20" i="14"/>
  <c r="KJ20" i="14"/>
  <c r="JJ31" i="14"/>
  <c r="KD31" i="14" s="1"/>
  <c r="IN33" i="14"/>
  <c r="IO33" i="14" s="1"/>
  <c r="AW22" i="18"/>
  <c r="IJ33" i="14"/>
  <c r="AX22" i="18" s="1"/>
  <c r="IK33" i="14"/>
  <c r="JK33" i="14" s="1"/>
  <c r="JJ41" i="14"/>
  <c r="KD41" i="14" s="1"/>
  <c r="KJ41" i="14"/>
  <c r="AW9" i="18"/>
  <c r="JT20" i="14"/>
  <c r="G39" i="23" s="1"/>
  <c r="IK20" i="14"/>
  <c r="JK20" i="14" s="1"/>
  <c r="KC20" i="14"/>
  <c r="IN20" i="14"/>
  <c r="IO20" i="14" s="1"/>
  <c r="IJ20" i="14"/>
  <c r="AX9" i="18" s="1"/>
  <c r="JE20" i="14"/>
  <c r="IY20" i="14"/>
  <c r="G8" i="22" s="1"/>
  <c r="KG20" i="14"/>
  <c r="F17" i="2"/>
  <c r="F16" i="2"/>
  <c r="Q150" i="8"/>
  <c r="R150" i="8"/>
  <c r="A322" i="8"/>
  <c r="B322" i="8" s="1"/>
  <c r="A319" i="8"/>
  <c r="B319" i="8" s="1"/>
  <c r="P273" i="8"/>
  <c r="B34" i="2"/>
  <c r="B39" i="2"/>
  <c r="B38" i="2"/>
  <c r="B35" i="2"/>
  <c r="B36" i="2"/>
  <c r="B37" i="2"/>
  <c r="B22" i="2"/>
  <c r="B41" i="2"/>
  <c r="B23" i="2"/>
  <c r="B43" i="2"/>
  <c r="B30" i="2"/>
  <c r="B28" i="2"/>
  <c r="B21" i="2"/>
  <c r="B42" i="2"/>
  <c r="B26" i="2"/>
  <c r="B27" i="2"/>
  <c r="B25" i="2"/>
  <c r="B29" i="2"/>
  <c r="B44" i="2"/>
  <c r="B24" i="2"/>
  <c r="B40" i="2"/>
  <c r="B31" i="2"/>
  <c r="B33" i="2"/>
  <c r="B32" i="2"/>
  <c r="N255" i="8"/>
  <c r="P255" i="8" s="1"/>
  <c r="GJ72" i="14"/>
  <c r="GK72" i="14" s="1"/>
  <c r="GL72" i="14" s="1"/>
  <c r="N263" i="8"/>
  <c r="P263" i="8" s="1"/>
  <c r="GJ56" i="14"/>
  <c r="GK56" i="14" s="1"/>
  <c r="GL56" i="14" s="1"/>
  <c r="BS124" i="16"/>
  <c r="AX151" i="16" s="1"/>
  <c r="BR124" i="16"/>
  <c r="AW151" i="16" s="1"/>
  <c r="CN107" i="16"/>
  <c r="CO107" i="16"/>
  <c r="CD96" i="16"/>
  <c r="CC96" i="16"/>
  <c r="L30" i="2"/>
  <c r="L21" i="2"/>
  <c r="AJ210" i="16"/>
  <c r="AH268" i="16" s="1"/>
  <c r="AI210" i="16"/>
  <c r="AF268" i="16" s="1"/>
  <c r="AE268" i="16" s="1"/>
  <c r="U200" i="19"/>
  <c r="T200" i="19"/>
  <c r="K147" i="8"/>
  <c r="K149" i="8" s="1"/>
  <c r="K150" i="8" s="1"/>
  <c r="J147" i="8"/>
  <c r="J149" i="8" s="1"/>
  <c r="J150" i="8" s="1"/>
  <c r="N108" i="8"/>
  <c r="P108" i="8" s="1"/>
  <c r="F25" i="5" s="1"/>
  <c r="GJ38" i="14"/>
  <c r="GK38" i="14" s="1"/>
  <c r="GL38" i="14" s="1"/>
  <c r="N92" i="8"/>
  <c r="P92" i="8" s="1"/>
  <c r="GJ22" i="14"/>
  <c r="GK22" i="14" s="1"/>
  <c r="GL22" i="14" s="1"/>
  <c r="CA161" i="16"/>
  <c r="CB178" i="16"/>
  <c r="CA178" i="16"/>
  <c r="BR108" i="16"/>
  <c r="BS108" i="16"/>
  <c r="CO95" i="16"/>
  <c r="CN95" i="16"/>
  <c r="AG247" i="16"/>
  <c r="AC248" i="16"/>
  <c r="Q135" i="8"/>
  <c r="R135" i="8"/>
  <c r="CB159" i="10"/>
  <c r="CL258" i="10"/>
  <c r="CL257" i="10" s="1"/>
  <c r="CL256" i="10" s="1"/>
  <c r="CK258" i="10"/>
  <c r="CK257" i="10" s="1"/>
  <c r="CK256" i="10" s="1"/>
  <c r="BC26" i="14"/>
  <c r="C79" i="21" s="1"/>
  <c r="DK128" i="10"/>
  <c r="BF148" i="10" s="1"/>
  <c r="DJ128" i="10"/>
  <c r="BE148" i="10" s="1"/>
  <c r="R242" i="8"/>
  <c r="Q242" i="8"/>
  <c r="L34" i="2"/>
  <c r="BC160" i="16" l="1"/>
  <c r="AH153" i="10"/>
  <c r="AH137" i="19"/>
  <c r="AH137" i="10"/>
  <c r="BE160" i="16"/>
  <c r="BF177" i="16"/>
  <c r="BS160" i="16"/>
  <c r="AH144" i="10"/>
  <c r="AH128" i="19"/>
  <c r="AH128" i="10"/>
  <c r="N283" i="8"/>
  <c r="P283" i="8" s="1"/>
  <c r="IQ72" i="14"/>
  <c r="IR72" i="14" s="1"/>
  <c r="IS72" i="14" s="1"/>
  <c r="N11" i="8"/>
  <c r="P11" i="8" s="1"/>
  <c r="O25" i="14"/>
  <c r="P25" i="14" s="1"/>
  <c r="Q25" i="14" s="1"/>
  <c r="N21" i="8"/>
  <c r="P21" i="8" s="1"/>
  <c r="O35" i="14"/>
  <c r="P35" i="14" s="1"/>
  <c r="Q35" i="14" s="1"/>
  <c r="FR35" i="14"/>
  <c r="E58" i="21"/>
  <c r="BW176" i="19"/>
  <c r="BW159" i="19"/>
  <c r="BX176" i="19"/>
  <c r="BV177" i="10"/>
  <c r="BU177" i="10"/>
  <c r="BU160" i="10"/>
  <c r="ML26" i="14"/>
  <c r="H79" i="21" s="1"/>
  <c r="L54" i="22"/>
  <c r="AZ43" i="18"/>
  <c r="M13" i="13" s="1"/>
  <c r="BB43" i="18"/>
  <c r="M45" i="13" s="1"/>
  <c r="AT167" i="16"/>
  <c r="E58" i="22"/>
  <c r="CD164" i="10"/>
  <c r="CC164" i="10"/>
  <c r="CC165" i="10" s="1"/>
  <c r="H62" i="18"/>
  <c r="I32" i="13" s="1"/>
  <c r="J62" i="18"/>
  <c r="I64" i="13" s="1"/>
  <c r="AQ160" i="16"/>
  <c r="KE22" i="14"/>
  <c r="G75" i="21" s="1"/>
  <c r="AQ206" i="19"/>
  <c r="AO202" i="19"/>
  <c r="AO209" i="19"/>
  <c r="AQ203" i="19"/>
  <c r="CJ168" i="16"/>
  <c r="CJ160" i="16"/>
  <c r="J55" i="18"/>
  <c r="I57" i="13" s="1"/>
  <c r="I53" i="22"/>
  <c r="N300" i="8"/>
  <c r="P300" i="8" s="1"/>
  <c r="IQ65" i="14"/>
  <c r="IR65" i="14" s="1"/>
  <c r="IS65" i="14" s="1"/>
  <c r="G56" i="22"/>
  <c r="JF39" i="14"/>
  <c r="AD40" i="18"/>
  <c r="K10" i="13" s="1"/>
  <c r="K71" i="13" s="1"/>
  <c r="AF40" i="18"/>
  <c r="K42" i="13" s="1"/>
  <c r="BK158" i="19"/>
  <c r="BL175" i="19"/>
  <c r="BK175" i="19"/>
  <c r="F86" i="23"/>
  <c r="ID37" i="14"/>
  <c r="F26" i="23" s="1"/>
  <c r="M54" i="22"/>
  <c r="JF68" i="14"/>
  <c r="BB45" i="18"/>
  <c r="M47" i="13" s="1"/>
  <c r="AZ45" i="18"/>
  <c r="M15" i="13" s="1"/>
  <c r="M76" i="13" s="1"/>
  <c r="AD21" i="18"/>
  <c r="E23" i="13" s="1"/>
  <c r="AF21" i="18"/>
  <c r="E55" i="13" s="1"/>
  <c r="AV206" i="19"/>
  <c r="AT202" i="19"/>
  <c r="AV203" i="19"/>
  <c r="AT209" i="19"/>
  <c r="H42" i="18"/>
  <c r="I12" i="13" s="1"/>
  <c r="J42" i="18"/>
  <c r="I44" i="13" s="1"/>
  <c r="N39" i="14"/>
  <c r="BW202" i="10"/>
  <c r="BY203" i="10"/>
  <c r="BY206" i="10"/>
  <c r="BW209" i="10"/>
  <c r="J48" i="18"/>
  <c r="I50" i="13" s="1"/>
  <c r="BD166" i="10"/>
  <c r="BD158" i="10"/>
  <c r="I57" i="22"/>
  <c r="AD71" i="14"/>
  <c r="R211" i="8"/>
  <c r="Q211" i="8"/>
  <c r="N241" i="8"/>
  <c r="P241" i="8" s="1"/>
  <c r="EC62" i="14"/>
  <c r="ED62" i="14" s="1"/>
  <c r="EE62" i="14" s="1"/>
  <c r="K71" i="23"/>
  <c r="FW53" i="14"/>
  <c r="K11" i="23" s="1"/>
  <c r="AY256" i="16"/>
  <c r="AY255" i="16" s="1"/>
  <c r="AY254" i="16" s="1"/>
  <c r="AY253" i="16" s="1"/>
  <c r="AZ256" i="16"/>
  <c r="AZ255" i="16" s="1"/>
  <c r="AZ254" i="16" s="1"/>
  <c r="AZ253" i="16" s="1"/>
  <c r="N45" i="21"/>
  <c r="ML21" i="14"/>
  <c r="H74" i="21" s="1"/>
  <c r="AP164" i="16"/>
  <c r="AO164" i="16"/>
  <c r="U46" i="18"/>
  <c r="J48" i="13" s="1"/>
  <c r="AZ56" i="18"/>
  <c r="M26" i="13" s="1"/>
  <c r="BB56" i="18"/>
  <c r="M58" i="13" s="1"/>
  <c r="T26" i="14"/>
  <c r="AK26" i="14"/>
  <c r="AL26" i="14"/>
  <c r="AT26" i="14"/>
  <c r="S26" i="14"/>
  <c r="AV26" i="14"/>
  <c r="AX26" i="14"/>
  <c r="AS26" i="14"/>
  <c r="AY26" i="14" s="1"/>
  <c r="AO26" i="14"/>
  <c r="AM26" i="14"/>
  <c r="AA26" i="14"/>
  <c r="AW26" i="14"/>
  <c r="AN26" i="14"/>
  <c r="V26" i="14"/>
  <c r="U26" i="14"/>
  <c r="Z26" i="14"/>
  <c r="Y26" i="14"/>
  <c r="AC26" i="14" s="1"/>
  <c r="AB26" i="14"/>
  <c r="AJ26" i="14"/>
  <c r="AP26" i="14" s="1"/>
  <c r="AU26" i="14"/>
  <c r="J43" i="21"/>
  <c r="K63" i="21"/>
  <c r="G53" i="22"/>
  <c r="BB176" i="19"/>
  <c r="BA176" i="19"/>
  <c r="BA159" i="19"/>
  <c r="JF37" i="14"/>
  <c r="G54" i="22"/>
  <c r="BB18" i="18"/>
  <c r="G52" i="13" s="1"/>
  <c r="D37" i="22"/>
  <c r="N292" i="8"/>
  <c r="P292" i="8" s="1"/>
  <c r="IQ57" i="14"/>
  <c r="IR57" i="14" s="1"/>
  <c r="IS57" i="14" s="1"/>
  <c r="N5" i="8"/>
  <c r="P5" i="8" s="1"/>
  <c r="O19" i="14"/>
  <c r="P19" i="14" s="1"/>
  <c r="Q19" i="14" s="1"/>
  <c r="E43" i="21"/>
  <c r="BM253" i="16"/>
  <c r="BN253" i="16"/>
  <c r="AP206" i="10"/>
  <c r="AP203" i="10"/>
  <c r="U26" i="18"/>
  <c r="D60" i="13" s="1"/>
  <c r="S26" i="18"/>
  <c r="D28" i="13" s="1"/>
  <c r="X293" i="19"/>
  <c r="X294" i="19" s="1"/>
  <c r="X295" i="19" s="1"/>
  <c r="X296" i="19" s="1"/>
  <c r="X297" i="19" s="1"/>
  <c r="X298" i="19" s="1"/>
  <c r="X299" i="19" s="1"/>
  <c r="X300" i="19" s="1"/>
  <c r="X301" i="19" s="1"/>
  <c r="X302" i="19" s="1"/>
  <c r="X303" i="19" s="1"/>
  <c r="X304" i="19" s="1"/>
  <c r="X305" i="19" s="1"/>
  <c r="X306" i="19" s="1"/>
  <c r="X307" i="19" s="1"/>
  <c r="X308" i="19" s="1"/>
  <c r="X309" i="19" s="1"/>
  <c r="X310" i="19" s="1"/>
  <c r="X311" i="19" s="1"/>
  <c r="X312" i="19" s="1"/>
  <c r="X313" i="19" s="1"/>
  <c r="X314" i="19" s="1"/>
  <c r="X315" i="19" s="1"/>
  <c r="X316" i="19" s="1"/>
  <c r="X317" i="19" s="1"/>
  <c r="X318" i="19" s="1"/>
  <c r="X319" i="19" s="1"/>
  <c r="X320" i="19" s="1"/>
  <c r="X321" i="19" s="1"/>
  <c r="X322" i="19" s="1"/>
  <c r="X323" i="19" s="1"/>
  <c r="X324" i="19" s="1"/>
  <c r="X325" i="19" s="1"/>
  <c r="X326" i="19" s="1"/>
  <c r="X327" i="19" s="1"/>
  <c r="X328" i="19" s="1"/>
  <c r="X329" i="19" s="1"/>
  <c r="X330" i="19" s="1"/>
  <c r="X331" i="19" s="1"/>
  <c r="X332" i="19" s="1"/>
  <c r="X333" i="19" s="1"/>
  <c r="X334" i="19" s="1"/>
  <c r="X335" i="19" s="1"/>
  <c r="X336" i="19" s="1"/>
  <c r="X337" i="19" s="1"/>
  <c r="X338" i="19" s="1"/>
  <c r="X339" i="19" s="1"/>
  <c r="X340" i="19" s="1"/>
  <c r="X341" i="19" s="1"/>
  <c r="X342" i="19" s="1"/>
  <c r="X343" i="19" s="1"/>
  <c r="X344" i="19" s="1"/>
  <c r="X345" i="19" s="1"/>
  <c r="X346" i="19" s="1"/>
  <c r="X347" i="19" s="1"/>
  <c r="X348" i="19" s="1"/>
  <c r="X349" i="19" s="1"/>
  <c r="X350" i="19" s="1"/>
  <c r="X351" i="19" s="1"/>
  <c r="X352" i="19" s="1"/>
  <c r="X353" i="19" s="1"/>
  <c r="X354" i="19" s="1"/>
  <c r="X355" i="19" s="1"/>
  <c r="X356" i="19" s="1"/>
  <c r="X357" i="19" s="1"/>
  <c r="X358" i="19" s="1"/>
  <c r="X359" i="19" s="1"/>
  <c r="X360" i="19" s="1"/>
  <c r="X361" i="19" s="1"/>
  <c r="X362" i="19" s="1"/>
  <c r="X363" i="19" s="1"/>
  <c r="X364" i="19" s="1"/>
  <c r="X365" i="19" s="1"/>
  <c r="X366" i="19" s="1"/>
  <c r="X367" i="19" s="1"/>
  <c r="X368" i="19" s="1"/>
  <c r="X369" i="19" s="1"/>
  <c r="X370" i="19" s="1"/>
  <c r="X371" i="19" s="1"/>
  <c r="X372" i="19" s="1"/>
  <c r="X373" i="19" s="1"/>
  <c r="X374" i="19" s="1"/>
  <c r="X375" i="19" s="1"/>
  <c r="X376" i="19" s="1"/>
  <c r="X377" i="19" s="1"/>
  <c r="X378" i="19" s="1"/>
  <c r="X379" i="19" s="1"/>
  <c r="X380" i="19" s="1"/>
  <c r="X381" i="19" s="1"/>
  <c r="X382" i="19" s="1"/>
  <c r="Y293" i="19"/>
  <c r="Y294" i="19" s="1"/>
  <c r="Y295" i="19" s="1"/>
  <c r="Y296" i="19" s="1"/>
  <c r="Y297" i="19" s="1"/>
  <c r="Y298" i="19" s="1"/>
  <c r="Y299" i="19" s="1"/>
  <c r="Y300" i="19" s="1"/>
  <c r="Y301" i="19" s="1"/>
  <c r="Y302" i="19" s="1"/>
  <c r="Y303" i="19" s="1"/>
  <c r="Y304" i="19" s="1"/>
  <c r="Y305" i="19" s="1"/>
  <c r="Y306" i="19" s="1"/>
  <c r="Y307" i="19" s="1"/>
  <c r="Y308" i="19" s="1"/>
  <c r="Y309" i="19" s="1"/>
  <c r="Y310" i="19" s="1"/>
  <c r="Y311" i="19" s="1"/>
  <c r="Y312" i="19" s="1"/>
  <c r="Y313" i="19" s="1"/>
  <c r="Y314" i="19" s="1"/>
  <c r="Y315" i="19" s="1"/>
  <c r="Y316" i="19" s="1"/>
  <c r="Y317" i="19" s="1"/>
  <c r="Y318" i="19" s="1"/>
  <c r="Y319" i="19" s="1"/>
  <c r="Y320" i="19" s="1"/>
  <c r="Y321" i="19" s="1"/>
  <c r="Y322" i="19" s="1"/>
  <c r="Y323" i="19" s="1"/>
  <c r="Y324" i="19" s="1"/>
  <c r="Y325" i="19" s="1"/>
  <c r="Y326" i="19" s="1"/>
  <c r="Y327" i="19" s="1"/>
  <c r="Y328" i="19" s="1"/>
  <c r="Y329" i="19" s="1"/>
  <c r="Y330" i="19" s="1"/>
  <c r="Y331" i="19" s="1"/>
  <c r="Y332" i="19" s="1"/>
  <c r="Y333" i="19" s="1"/>
  <c r="Y334" i="19" s="1"/>
  <c r="Y335" i="19" s="1"/>
  <c r="Y336" i="19" s="1"/>
  <c r="Y337" i="19" s="1"/>
  <c r="Y338" i="19" s="1"/>
  <c r="Y339" i="19" s="1"/>
  <c r="Y340" i="19" s="1"/>
  <c r="Y341" i="19" s="1"/>
  <c r="Y342" i="19" s="1"/>
  <c r="Y343" i="19" s="1"/>
  <c r="Y344" i="19" s="1"/>
  <c r="Y345" i="19" s="1"/>
  <c r="Y346" i="19" s="1"/>
  <c r="Y347" i="19" s="1"/>
  <c r="Y348" i="19" s="1"/>
  <c r="Y349" i="19" s="1"/>
  <c r="Y350" i="19" s="1"/>
  <c r="Y351" i="19" s="1"/>
  <c r="Y352" i="19" s="1"/>
  <c r="Y353" i="19" s="1"/>
  <c r="Y354" i="19" s="1"/>
  <c r="Y355" i="19" s="1"/>
  <c r="Y356" i="19" s="1"/>
  <c r="Y357" i="19" s="1"/>
  <c r="Y358" i="19" s="1"/>
  <c r="Y359" i="19" s="1"/>
  <c r="Y360" i="19" s="1"/>
  <c r="Y361" i="19" s="1"/>
  <c r="Y362" i="19" s="1"/>
  <c r="Y363" i="19" s="1"/>
  <c r="Y364" i="19" s="1"/>
  <c r="Y365" i="19" s="1"/>
  <c r="Y366" i="19" s="1"/>
  <c r="Y367" i="19" s="1"/>
  <c r="Y368" i="19" s="1"/>
  <c r="Y369" i="19" s="1"/>
  <c r="Y370" i="19" s="1"/>
  <c r="Y371" i="19" s="1"/>
  <c r="Y372" i="19" s="1"/>
  <c r="Y373" i="19" s="1"/>
  <c r="Y374" i="19" s="1"/>
  <c r="Y375" i="19" s="1"/>
  <c r="Y376" i="19" s="1"/>
  <c r="Y377" i="19" s="1"/>
  <c r="Y378" i="19" s="1"/>
  <c r="Y379" i="19" s="1"/>
  <c r="Y380" i="19" s="1"/>
  <c r="Y381" i="19" s="1"/>
  <c r="Y382" i="19" s="1"/>
  <c r="AD42" i="18"/>
  <c r="K12" i="13" s="1"/>
  <c r="K73" i="13" s="1"/>
  <c r="FQ52" i="14" s="1"/>
  <c r="AF42" i="18"/>
  <c r="K44" i="13" s="1"/>
  <c r="J42" i="21"/>
  <c r="L56" i="22"/>
  <c r="GY70" i="14"/>
  <c r="N57" i="22"/>
  <c r="U16" i="18"/>
  <c r="D50" i="13" s="1"/>
  <c r="S62" i="18"/>
  <c r="J32" i="13" s="1"/>
  <c r="U62" i="18"/>
  <c r="J64" i="13" s="1"/>
  <c r="M44" i="21"/>
  <c r="AZ23" i="18"/>
  <c r="G25" i="13" s="1"/>
  <c r="G86" i="13" s="1"/>
  <c r="BB23" i="18"/>
  <c r="G57" i="13" s="1"/>
  <c r="E44" i="21"/>
  <c r="K60" i="21"/>
  <c r="N22" i="14"/>
  <c r="H50" i="18"/>
  <c r="I20" i="13" s="1"/>
  <c r="I81" i="13" s="1"/>
  <c r="J50" i="18"/>
  <c r="I52" i="13" s="1"/>
  <c r="D87" i="23"/>
  <c r="DP38" i="14"/>
  <c r="D27" i="23" s="1"/>
  <c r="AG246" i="10"/>
  <c r="AC247" i="10"/>
  <c r="CG160" i="19"/>
  <c r="CG177" i="19"/>
  <c r="CH177" i="19"/>
  <c r="CH160" i="19"/>
  <c r="I59" i="21"/>
  <c r="BD67" i="14"/>
  <c r="K70" i="23"/>
  <c r="FW52" i="14"/>
  <c r="K10" i="23" s="1"/>
  <c r="AH142" i="10"/>
  <c r="AH155" i="10" s="1"/>
  <c r="AH126" i="10"/>
  <c r="AH126" i="19"/>
  <c r="B61" i="8"/>
  <c r="Q76" i="8"/>
  <c r="Q69" i="8"/>
  <c r="R68" i="8"/>
  <c r="Q68" i="8"/>
  <c r="B62" i="8"/>
  <c r="B59" i="8"/>
  <c r="C59" i="8"/>
  <c r="Q59" i="8"/>
  <c r="Q66" i="8"/>
  <c r="R78" i="8"/>
  <c r="R64" i="8"/>
  <c r="R66" i="8"/>
  <c r="Q78" i="8"/>
  <c r="R80" i="8"/>
  <c r="Q64" i="8"/>
  <c r="Q62" i="8"/>
  <c r="R65" i="8"/>
  <c r="Q65" i="8"/>
  <c r="Q80" i="8"/>
  <c r="R62" i="8"/>
  <c r="R59" i="8"/>
  <c r="Q79" i="8"/>
  <c r="R82" i="8"/>
  <c r="R76" i="8"/>
  <c r="Q71" i="8"/>
  <c r="R61" i="8"/>
  <c r="Q82" i="8"/>
  <c r="Q70" i="8"/>
  <c r="R71" i="8"/>
  <c r="B58" i="8"/>
  <c r="C58" i="8" s="1"/>
  <c r="Q77" i="8"/>
  <c r="R75" i="8"/>
  <c r="Q61" i="8"/>
  <c r="R70" i="8"/>
  <c r="Q60" i="8"/>
  <c r="Q75" i="8"/>
  <c r="R69" i="8"/>
  <c r="R79" i="8"/>
  <c r="R77" i="8"/>
  <c r="R60" i="8"/>
  <c r="Q63" i="8"/>
  <c r="R81" i="8"/>
  <c r="Q81" i="8"/>
  <c r="R63" i="8"/>
  <c r="AD11" i="18"/>
  <c r="E13" i="13" s="1"/>
  <c r="AF11" i="18"/>
  <c r="E45" i="13" s="1"/>
  <c r="AT160" i="16"/>
  <c r="AT168" i="16"/>
  <c r="AT169" i="16" s="1"/>
  <c r="CH176" i="10"/>
  <c r="CG159" i="10"/>
  <c r="CG176" i="10"/>
  <c r="CH159" i="10"/>
  <c r="K55" i="22"/>
  <c r="FP70" i="14"/>
  <c r="BH253" i="19"/>
  <c r="BG253" i="19"/>
  <c r="B173" i="8"/>
  <c r="B174" i="8"/>
  <c r="Q191" i="8"/>
  <c r="R193" i="8"/>
  <c r="Q171" i="8"/>
  <c r="R171" i="8"/>
  <c r="Q173" i="8"/>
  <c r="B171" i="8"/>
  <c r="C171" i="8" s="1"/>
  <c r="R173" i="8"/>
  <c r="Q193" i="8"/>
  <c r="Q192" i="8"/>
  <c r="Q176" i="8"/>
  <c r="R191" i="8"/>
  <c r="R192" i="8"/>
  <c r="Q190" i="8"/>
  <c r="R190" i="8"/>
  <c r="R174" i="8"/>
  <c r="Q174" i="8"/>
  <c r="B170" i="8"/>
  <c r="C170" i="8" s="1"/>
  <c r="R176" i="8"/>
  <c r="R194" i="8"/>
  <c r="Q194" i="8"/>
  <c r="Q172" i="8"/>
  <c r="R172" i="8"/>
  <c r="R74" i="8"/>
  <c r="BM10" i="18"/>
  <c r="H44" i="13" s="1"/>
  <c r="BK10" i="18"/>
  <c r="H12" i="13" s="1"/>
  <c r="H73" i="13" s="1"/>
  <c r="BI161" i="16"/>
  <c r="BJ178" i="16"/>
  <c r="BI178" i="16"/>
  <c r="R184" i="8"/>
  <c r="R180" i="8"/>
  <c r="BK62" i="18"/>
  <c r="N32" i="13" s="1"/>
  <c r="N93" i="13" s="1"/>
  <c r="BM62" i="18"/>
  <c r="N64" i="13" s="1"/>
  <c r="FP30" i="14"/>
  <c r="AZ255" i="10"/>
  <c r="AY255" i="10"/>
  <c r="AY254" i="10" s="1"/>
  <c r="AY253" i="10" s="1"/>
  <c r="BK44" i="18"/>
  <c r="N14" i="13" s="1"/>
  <c r="BM44" i="18"/>
  <c r="N46" i="13" s="1"/>
  <c r="LM54" i="14" s="1"/>
  <c r="S27" i="14"/>
  <c r="AA27" i="14"/>
  <c r="AV27" i="14"/>
  <c r="T27" i="14"/>
  <c r="U27" i="14"/>
  <c r="AB27" i="14"/>
  <c r="AL27" i="14"/>
  <c r="AK27" i="14"/>
  <c r="AU27" i="14"/>
  <c r="AT27" i="14"/>
  <c r="V27" i="14"/>
  <c r="Y27" i="14"/>
  <c r="AX27" i="14"/>
  <c r="AM27" i="14"/>
  <c r="AO27" i="14"/>
  <c r="AN27" i="14"/>
  <c r="Z27" i="14"/>
  <c r="AJ27" i="14"/>
  <c r="AW27" i="14"/>
  <c r="AS27" i="14"/>
  <c r="J41" i="21"/>
  <c r="KE55" i="14"/>
  <c r="M77" i="21" s="1"/>
  <c r="DP51" i="14"/>
  <c r="J9" i="23" s="1"/>
  <c r="J69" i="23"/>
  <c r="N229" i="8"/>
  <c r="P229" i="8" s="1"/>
  <c r="EC50" i="14"/>
  <c r="ED50" i="14" s="1"/>
  <c r="EE50" i="14" s="1"/>
  <c r="K52" i="22"/>
  <c r="BV258" i="16"/>
  <c r="BU258" i="16"/>
  <c r="N39" i="22"/>
  <c r="AQ199" i="10"/>
  <c r="AS196" i="10"/>
  <c r="AS193" i="10"/>
  <c r="AQ192" i="10"/>
  <c r="U20" i="14"/>
  <c r="AW20" i="14"/>
  <c r="V20" i="14"/>
  <c r="S20" i="14"/>
  <c r="Y20" i="14"/>
  <c r="AJ20" i="14"/>
  <c r="AU20" i="14"/>
  <c r="AA20" i="14"/>
  <c r="AK20" i="14"/>
  <c r="Z20" i="14"/>
  <c r="AV20" i="14"/>
  <c r="AZ20" i="14" s="1"/>
  <c r="AB20" i="14"/>
  <c r="AN20" i="14"/>
  <c r="AO20" i="14"/>
  <c r="AS20" i="14"/>
  <c r="AX20" i="14"/>
  <c r="AM20" i="14"/>
  <c r="AQ20" i="14" s="1"/>
  <c r="T20" i="14"/>
  <c r="AT20" i="14"/>
  <c r="AL20" i="14"/>
  <c r="J85" i="23"/>
  <c r="DP67" i="14"/>
  <c r="J25" i="23" s="1"/>
  <c r="F70" i="23"/>
  <c r="ID21" i="14"/>
  <c r="F10" i="23" s="1"/>
  <c r="AZ60" i="18"/>
  <c r="M30" i="13" s="1"/>
  <c r="BB60" i="18"/>
  <c r="M62" i="13" s="1"/>
  <c r="HW26" i="14"/>
  <c r="MO37" i="14"/>
  <c r="AO160" i="19"/>
  <c r="AO177" i="19"/>
  <c r="AP177" i="19"/>
  <c r="AP160" i="19"/>
  <c r="AP159" i="19" s="1"/>
  <c r="AD8" i="18"/>
  <c r="E10" i="13" s="1"/>
  <c r="E71" i="13" s="1"/>
  <c r="AF8" i="18"/>
  <c r="E42" i="13" s="1"/>
  <c r="N9" i="8"/>
  <c r="P9" i="8" s="1"/>
  <c r="O23" i="14"/>
  <c r="P23" i="14" s="1"/>
  <c r="Q23" i="14" s="1"/>
  <c r="CA207" i="10"/>
  <c r="CC208" i="10"/>
  <c r="AR167" i="16"/>
  <c r="AR168" i="16" s="1"/>
  <c r="AR169" i="16" s="1"/>
  <c r="BK42" i="18"/>
  <c r="N12" i="13" s="1"/>
  <c r="BM42" i="18"/>
  <c r="N44" i="13" s="1"/>
  <c r="BQ256" i="19"/>
  <c r="BR256" i="19"/>
  <c r="S29" i="18"/>
  <c r="D31" i="13" s="1"/>
  <c r="U29" i="18"/>
  <c r="D63" i="13" s="1"/>
  <c r="H61" i="21"/>
  <c r="J56" i="22"/>
  <c r="CK70" i="14"/>
  <c r="DI71" i="14"/>
  <c r="AQ22" i="18"/>
  <c r="F56" i="13" s="1"/>
  <c r="MK54" i="14"/>
  <c r="AF20" i="14"/>
  <c r="C66" i="9"/>
  <c r="BG20" i="14"/>
  <c r="CC207" i="16"/>
  <c r="CE208" i="16"/>
  <c r="M59" i="21"/>
  <c r="BD164" i="19"/>
  <c r="BC164" i="19"/>
  <c r="BC165" i="19" s="1"/>
  <c r="BC166" i="19" s="1"/>
  <c r="BC167" i="19" s="1"/>
  <c r="BC168" i="19" s="1"/>
  <c r="BC169" i="19" s="1"/>
  <c r="BC170" i="19" s="1"/>
  <c r="BD156" i="19"/>
  <c r="N40" i="14"/>
  <c r="S58" i="18"/>
  <c r="J28" i="13" s="1"/>
  <c r="J89" i="13" s="1"/>
  <c r="U58" i="18"/>
  <c r="J60" i="13" s="1"/>
  <c r="AQ11" i="18"/>
  <c r="F45" i="13" s="1"/>
  <c r="AO11" i="18"/>
  <c r="F13" i="13" s="1"/>
  <c r="F74" i="13" s="1"/>
  <c r="L89" i="23"/>
  <c r="ID71" i="14"/>
  <c r="L29" i="23" s="1"/>
  <c r="DI32" i="14"/>
  <c r="DJ32" i="14" s="1"/>
  <c r="D85" i="21" s="1"/>
  <c r="J36" i="22"/>
  <c r="L62" i="21"/>
  <c r="FP50" i="14"/>
  <c r="MO68" i="14"/>
  <c r="CB258" i="16"/>
  <c r="CA258" i="16"/>
  <c r="M46" i="21"/>
  <c r="BZ201" i="19"/>
  <c r="BX197" i="19"/>
  <c r="BZ198" i="19"/>
  <c r="BX204" i="19"/>
  <c r="G42" i="21"/>
  <c r="CF164" i="19"/>
  <c r="CE164" i="19"/>
  <c r="DI34" i="14"/>
  <c r="AQ256" i="16"/>
  <c r="AQ255" i="16" s="1"/>
  <c r="AQ254" i="16" s="1"/>
  <c r="AQ253" i="16" s="1"/>
  <c r="AR256" i="16"/>
  <c r="AR255" i="16" s="1"/>
  <c r="AR254" i="16" s="1"/>
  <c r="AR253" i="16" s="1"/>
  <c r="BF53" i="14"/>
  <c r="BB47" i="18"/>
  <c r="M49" i="13" s="1"/>
  <c r="CH167" i="16"/>
  <c r="AO44" i="18"/>
  <c r="L14" i="13" s="1"/>
  <c r="AQ44" i="18"/>
  <c r="L46" i="13" s="1"/>
  <c r="AD28" i="18"/>
  <c r="E30" i="13" s="1"/>
  <c r="AF28" i="18"/>
  <c r="E62" i="13" s="1"/>
  <c r="BG256" i="16"/>
  <c r="BH256" i="16"/>
  <c r="CF209" i="10"/>
  <c r="CH203" i="10"/>
  <c r="CF202" i="10"/>
  <c r="CH206" i="10"/>
  <c r="FT50" i="14"/>
  <c r="FW72" i="14"/>
  <c r="K30" i="23" s="1"/>
  <c r="K90" i="23"/>
  <c r="AN11" i="18"/>
  <c r="AN25" i="18"/>
  <c r="AN20" i="18"/>
  <c r="AN22" i="18"/>
  <c r="AO22" i="18" s="1"/>
  <c r="F24" i="13" s="1"/>
  <c r="F85" i="13" s="1"/>
  <c r="AN19" i="18"/>
  <c r="AO19" i="18" s="1"/>
  <c r="F21" i="13" s="1"/>
  <c r="F82" i="13" s="1"/>
  <c r="AN12" i="18"/>
  <c r="AO12" i="18" s="1"/>
  <c r="F14" i="13" s="1"/>
  <c r="F75" i="13" s="1"/>
  <c r="AN17" i="18"/>
  <c r="AN24" i="18"/>
  <c r="AO24" i="18" s="1"/>
  <c r="F26" i="13" s="1"/>
  <c r="F87" i="13" s="1"/>
  <c r="AN15" i="18"/>
  <c r="AN7" i="18"/>
  <c r="AN13" i="18"/>
  <c r="AN21" i="18"/>
  <c r="AN18" i="18"/>
  <c r="AO18" i="18" s="1"/>
  <c r="F20" i="13" s="1"/>
  <c r="F81" i="13" s="1"/>
  <c r="AN8" i="18"/>
  <c r="AN27" i="18"/>
  <c r="AN10" i="18"/>
  <c r="AN26" i="18"/>
  <c r="AN9" i="18"/>
  <c r="AN14" i="18"/>
  <c r="AN30" i="18"/>
  <c r="AN28" i="18"/>
  <c r="AN23" i="18"/>
  <c r="AO23" i="18" s="1"/>
  <c r="F25" i="13" s="1"/>
  <c r="F86" i="13" s="1"/>
  <c r="AN29" i="18"/>
  <c r="AN16" i="18"/>
  <c r="Q184" i="8"/>
  <c r="BJ157" i="10"/>
  <c r="BJ165" i="10"/>
  <c r="AU159" i="19"/>
  <c r="AV176" i="19"/>
  <c r="AU176" i="19"/>
  <c r="S21" i="18"/>
  <c r="D23" i="13" s="1"/>
  <c r="D84" i="13" s="1"/>
  <c r="U21" i="18"/>
  <c r="D55" i="13" s="1"/>
  <c r="I86" i="23"/>
  <c r="BI68" i="14"/>
  <c r="I26" i="23" s="1"/>
  <c r="D59" i="21"/>
  <c r="BU254" i="10"/>
  <c r="BV254" i="10"/>
  <c r="BW177" i="10"/>
  <c r="BX177" i="10"/>
  <c r="BW160" i="10"/>
  <c r="F60" i="21"/>
  <c r="L58" i="21"/>
  <c r="M68" i="23"/>
  <c r="KK50" i="14"/>
  <c r="M8" i="23" s="1"/>
  <c r="G84" i="23"/>
  <c r="AZ18" i="14"/>
  <c r="KH50" i="14"/>
  <c r="K94" i="14"/>
  <c r="FT54" i="14"/>
  <c r="CA208" i="16"/>
  <c r="BY207" i="16"/>
  <c r="N15" i="8"/>
  <c r="P15" i="8" s="1"/>
  <c r="O29" i="14"/>
  <c r="P29" i="14" s="1"/>
  <c r="Q29" i="14" s="1"/>
  <c r="G90" i="23"/>
  <c r="KK41" i="14"/>
  <c r="G30" i="23" s="1"/>
  <c r="E37" i="22"/>
  <c r="N44" i="21"/>
  <c r="BA253" i="10"/>
  <c r="H35" i="22"/>
  <c r="BK27" i="18"/>
  <c r="H29" i="13" s="1"/>
  <c r="BM27" i="18"/>
  <c r="H61" i="13" s="1"/>
  <c r="AS208" i="16"/>
  <c r="AQ207" i="16"/>
  <c r="C92" i="13"/>
  <c r="BC40" i="14" s="1"/>
  <c r="M61" i="21"/>
  <c r="K38" i="22"/>
  <c r="ER52" i="14"/>
  <c r="BX161" i="16"/>
  <c r="BX169" i="16"/>
  <c r="AD60" i="18"/>
  <c r="K30" i="13" s="1"/>
  <c r="AF60" i="18"/>
  <c r="K62" i="13" s="1"/>
  <c r="BB49" i="18"/>
  <c r="M51" i="13" s="1"/>
  <c r="AD10" i="18"/>
  <c r="E12" i="13" s="1"/>
  <c r="AF10" i="18"/>
  <c r="E44" i="13" s="1"/>
  <c r="H36" i="2"/>
  <c r="H27" i="2"/>
  <c r="H33" i="2"/>
  <c r="H31" i="2"/>
  <c r="H30" i="2"/>
  <c r="H29" i="2"/>
  <c r="H35" i="2"/>
  <c r="H25" i="2"/>
  <c r="H26" i="2"/>
  <c r="H39" i="2"/>
  <c r="H40" i="2"/>
  <c r="H34" i="2"/>
  <c r="H38" i="2"/>
  <c r="H37" i="2"/>
  <c r="H41" i="2"/>
  <c r="H42" i="2"/>
  <c r="H43" i="2"/>
  <c r="H24" i="2"/>
  <c r="H21" i="2"/>
  <c r="H23" i="2"/>
  <c r="H44" i="2"/>
  <c r="H22" i="2"/>
  <c r="H32" i="2"/>
  <c r="H28" i="2"/>
  <c r="R43" i="18"/>
  <c r="R57" i="18"/>
  <c r="R53" i="18"/>
  <c r="S53" i="18" s="1"/>
  <c r="J23" i="13" s="1"/>
  <c r="J84" i="13" s="1"/>
  <c r="R52" i="18"/>
  <c r="S52" i="18" s="1"/>
  <c r="J22" i="13" s="1"/>
  <c r="J83" i="13" s="1"/>
  <c r="R62" i="18"/>
  <c r="R41" i="18"/>
  <c r="R59" i="18"/>
  <c r="R61" i="18"/>
  <c r="R55" i="18"/>
  <c r="R54" i="18"/>
  <c r="S54" i="18" s="1"/>
  <c r="J24" i="13" s="1"/>
  <c r="J85" i="13" s="1"/>
  <c r="R44" i="18"/>
  <c r="S44" i="18" s="1"/>
  <c r="J14" i="13" s="1"/>
  <c r="J75" i="13" s="1"/>
  <c r="R60" i="18"/>
  <c r="R39" i="18"/>
  <c r="R42" i="18"/>
  <c r="R58" i="18"/>
  <c r="R40" i="18"/>
  <c r="R45" i="18"/>
  <c r="R50" i="18"/>
  <c r="R48" i="18"/>
  <c r="S48" i="18" s="1"/>
  <c r="J18" i="13" s="1"/>
  <c r="J79" i="13" s="1"/>
  <c r="R51" i="18"/>
  <c r="S51" i="18" s="1"/>
  <c r="J21" i="13" s="1"/>
  <c r="J82" i="13" s="1"/>
  <c r="R49" i="18"/>
  <c r="R46" i="18"/>
  <c r="S46" i="18" s="1"/>
  <c r="J16" i="13" s="1"/>
  <c r="J77" i="13" s="1"/>
  <c r="R47" i="18"/>
  <c r="R56" i="18"/>
  <c r="J63" i="21"/>
  <c r="U47" i="18"/>
  <c r="J49" i="13" s="1"/>
  <c r="S47" i="18"/>
  <c r="J17" i="13" s="1"/>
  <c r="J78" i="13" s="1"/>
  <c r="HW41" i="14"/>
  <c r="BE161" i="10"/>
  <c r="BE178" i="10"/>
  <c r="BF178" i="10"/>
  <c r="AZ198" i="19"/>
  <c r="AY198" i="19"/>
  <c r="AY196" i="19"/>
  <c r="AY199" i="19"/>
  <c r="AY197" i="19"/>
  <c r="AZ196" i="19"/>
  <c r="AZ199" i="19"/>
  <c r="AZ197" i="19"/>
  <c r="AF53" i="18"/>
  <c r="K55" i="13" s="1"/>
  <c r="FP19" i="14"/>
  <c r="U24" i="18"/>
  <c r="D58" i="13" s="1"/>
  <c r="CK35" i="14" s="1"/>
  <c r="S24" i="18"/>
  <c r="D26" i="13" s="1"/>
  <c r="U13" i="18"/>
  <c r="D47" i="13" s="1"/>
  <c r="BZ203" i="19"/>
  <c r="BX202" i="19"/>
  <c r="BZ206" i="19"/>
  <c r="BX209" i="19"/>
  <c r="BS164" i="16"/>
  <c r="BS165" i="16" s="1"/>
  <c r="BS166" i="16" s="1"/>
  <c r="BS167" i="16" s="1"/>
  <c r="BS168" i="16" s="1"/>
  <c r="BS169" i="16" s="1"/>
  <c r="BS170" i="16" s="1"/>
  <c r="BT164" i="16"/>
  <c r="BT156" i="16"/>
  <c r="AY159" i="10"/>
  <c r="AZ176" i="10"/>
  <c r="AY176" i="10"/>
  <c r="I503" i="10"/>
  <c r="J502" i="10"/>
  <c r="K502" i="10" s="1"/>
  <c r="S45" i="18"/>
  <c r="J15" i="13" s="1"/>
  <c r="J76" i="13" s="1"/>
  <c r="DJ55" i="14" s="1"/>
  <c r="J77" i="21" s="1"/>
  <c r="U45" i="18"/>
  <c r="J47" i="13" s="1"/>
  <c r="H71" i="23"/>
  <c r="MR22" i="14"/>
  <c r="H11" i="23" s="1"/>
  <c r="U25" i="18"/>
  <c r="D59" i="13" s="1"/>
  <c r="S25" i="18"/>
  <c r="D27" i="13" s="1"/>
  <c r="D88" i="13" s="1"/>
  <c r="Q41" i="8"/>
  <c r="CE253" i="19"/>
  <c r="CF253" i="19"/>
  <c r="H61" i="18"/>
  <c r="I31" i="13" s="1"/>
  <c r="J61" i="18"/>
  <c r="I63" i="13" s="1"/>
  <c r="I60" i="21"/>
  <c r="O233" i="8"/>
  <c r="K10" i="5" s="1"/>
  <c r="O234" i="8"/>
  <c r="K11" i="5" s="1"/>
  <c r="O241" i="8"/>
  <c r="K18" i="5" s="1"/>
  <c r="O238" i="8"/>
  <c r="K15" i="5" s="1"/>
  <c r="O244" i="8"/>
  <c r="O240" i="8"/>
  <c r="O243" i="8"/>
  <c r="O236" i="8"/>
  <c r="O235" i="8"/>
  <c r="O239" i="8"/>
  <c r="O237" i="8"/>
  <c r="K14" i="5" s="1"/>
  <c r="O245" i="8"/>
  <c r="K22" i="5" s="1"/>
  <c r="O242" i="8"/>
  <c r="O249" i="8"/>
  <c r="O227" i="8"/>
  <c r="O247" i="8"/>
  <c r="O246" i="8"/>
  <c r="K23" i="5" s="1"/>
  <c r="O250" i="8"/>
  <c r="O248" i="8"/>
  <c r="K25" i="5" s="1"/>
  <c r="O232" i="8"/>
  <c r="K9" i="5" s="1"/>
  <c r="O231" i="8"/>
  <c r="O230" i="8"/>
  <c r="K7" i="5" s="1"/>
  <c r="O229" i="8"/>
  <c r="O228" i="8"/>
  <c r="F85" i="23"/>
  <c r="ID36" i="14"/>
  <c r="F25" i="23" s="1"/>
  <c r="N238" i="8"/>
  <c r="P238" i="8" s="1"/>
  <c r="EC59" i="14"/>
  <c r="ED59" i="14" s="1"/>
  <c r="EE59" i="14" s="1"/>
  <c r="A180" i="8"/>
  <c r="B180" i="8" s="1"/>
  <c r="A176" i="8"/>
  <c r="B176" i="8" s="1"/>
  <c r="N19" i="14"/>
  <c r="BZ204" i="10"/>
  <c r="BZ197" i="10"/>
  <c r="CB201" i="10"/>
  <c r="CB198" i="10"/>
  <c r="S59" i="18"/>
  <c r="J29" i="13" s="1"/>
  <c r="U59" i="18"/>
  <c r="J61" i="13" s="1"/>
  <c r="F88" i="23"/>
  <c r="ID39" i="14"/>
  <c r="F28" i="23" s="1"/>
  <c r="L106" i="14"/>
  <c r="IA66" i="14"/>
  <c r="L43" i="21"/>
  <c r="HY51" i="14"/>
  <c r="G86" i="23"/>
  <c r="KK37" i="14"/>
  <c r="G26" i="23" s="1"/>
  <c r="MK56" i="14"/>
  <c r="H60" i="21"/>
  <c r="BG160" i="19"/>
  <c r="BH177" i="19"/>
  <c r="BG177" i="19"/>
  <c r="G60" i="21"/>
  <c r="K59" i="21"/>
  <c r="FR67" i="14"/>
  <c r="CB208" i="16"/>
  <c r="BZ207" i="16"/>
  <c r="O38" i="14"/>
  <c r="P38" i="14" s="1"/>
  <c r="Q38" i="14" s="1"/>
  <c r="N24" i="8"/>
  <c r="P24" i="8" s="1"/>
  <c r="G37" i="22"/>
  <c r="AZ22" i="18"/>
  <c r="G24" i="13" s="1"/>
  <c r="BB22" i="18"/>
  <c r="G56" i="13" s="1"/>
  <c r="N3" i="8"/>
  <c r="P3" i="8" s="1"/>
  <c r="O41" i="14"/>
  <c r="P41" i="14" s="1"/>
  <c r="Q41" i="14" s="1"/>
  <c r="N10" i="8"/>
  <c r="P10" i="8" s="1"/>
  <c r="O24" i="14"/>
  <c r="P24" i="14" s="1"/>
  <c r="Q24" i="14" s="1"/>
  <c r="E71" i="23"/>
  <c r="FW22" i="14"/>
  <c r="E11" i="23" s="1"/>
  <c r="N296" i="8"/>
  <c r="P296" i="8" s="1"/>
  <c r="IQ61" i="14"/>
  <c r="IR61" i="14" s="1"/>
  <c r="IS61" i="14" s="1"/>
  <c r="O40" i="14"/>
  <c r="P40" i="14" s="1"/>
  <c r="Q40" i="14" s="1"/>
  <c r="N26" i="8"/>
  <c r="P26" i="8" s="1"/>
  <c r="N12" i="8"/>
  <c r="P12" i="8" s="1"/>
  <c r="O26" i="14"/>
  <c r="P26" i="14" s="1"/>
  <c r="Q26" i="14" s="1"/>
  <c r="N20" i="8"/>
  <c r="P20" i="8" s="1"/>
  <c r="O34" i="14"/>
  <c r="P34" i="14" s="1"/>
  <c r="Q34" i="14" s="1"/>
  <c r="G43" i="21"/>
  <c r="KE31" i="14"/>
  <c r="G84" i="21" s="1"/>
  <c r="FP22" i="14"/>
  <c r="BT159" i="16"/>
  <c r="BT167" i="16"/>
  <c r="K64" i="21"/>
  <c r="N43" i="21"/>
  <c r="I61" i="21"/>
  <c r="BB56" i="14"/>
  <c r="H41" i="21"/>
  <c r="H75" i="23"/>
  <c r="BW161" i="16"/>
  <c r="DP49" i="14"/>
  <c r="J7" i="23" s="1"/>
  <c r="J67" i="23"/>
  <c r="IA18" i="14"/>
  <c r="F69" i="23"/>
  <c r="ID20" i="14"/>
  <c r="F9" i="23" s="1"/>
  <c r="BV164" i="19"/>
  <c r="BU164" i="19"/>
  <c r="BU165" i="19" s="1"/>
  <c r="BU166" i="19" s="1"/>
  <c r="BU167" i="19" s="1"/>
  <c r="BU168" i="19" s="1"/>
  <c r="BU169" i="19" s="1"/>
  <c r="BU170" i="19" s="1"/>
  <c r="BV156" i="19"/>
  <c r="I28" i="2"/>
  <c r="I35" i="2"/>
  <c r="I39" i="2"/>
  <c r="I34" i="2"/>
  <c r="I37" i="2"/>
  <c r="I30" i="2"/>
  <c r="I38" i="2"/>
  <c r="I31" i="2"/>
  <c r="I32" i="2"/>
  <c r="I36" i="2"/>
  <c r="I26" i="2"/>
  <c r="I29" i="2"/>
  <c r="I40" i="2"/>
  <c r="I42" i="2"/>
  <c r="I44" i="2"/>
  <c r="I22" i="2"/>
  <c r="I25" i="2"/>
  <c r="I23" i="2"/>
  <c r="I21" i="2"/>
  <c r="I43" i="2"/>
  <c r="I41" i="2"/>
  <c r="I24" i="2"/>
  <c r="I27" i="2"/>
  <c r="I33" i="2"/>
  <c r="AO58" i="18"/>
  <c r="L28" i="13" s="1"/>
  <c r="AQ58" i="18"/>
  <c r="L60" i="13" s="1"/>
  <c r="GY68" i="14" s="1"/>
  <c r="HW53" i="14"/>
  <c r="M45" i="21"/>
  <c r="O518" i="10"/>
  <c r="P517" i="10"/>
  <c r="Q517" i="10" s="1"/>
  <c r="BO253" i="19"/>
  <c r="BP253" i="19"/>
  <c r="DM21" i="14"/>
  <c r="C87" i="13"/>
  <c r="M53" i="22"/>
  <c r="AD7" i="18"/>
  <c r="E9" i="13" s="1"/>
  <c r="AF7" i="18"/>
  <c r="E41" i="13" s="1"/>
  <c r="I64" i="21"/>
  <c r="H54" i="18"/>
  <c r="I24" i="13" s="1"/>
  <c r="I85" i="13" s="1"/>
  <c r="J54" i="18"/>
  <c r="I56" i="13" s="1"/>
  <c r="J54" i="22"/>
  <c r="CK68" i="14"/>
  <c r="HW34" i="14"/>
  <c r="AO207" i="16"/>
  <c r="AQ208" i="16"/>
  <c r="MK69" i="14"/>
  <c r="Z25" i="14"/>
  <c r="S25" i="14"/>
  <c r="AM25" i="14"/>
  <c r="Y25" i="14"/>
  <c r="AJ25" i="14"/>
  <c r="V25" i="14"/>
  <c r="AS25" i="14"/>
  <c r="AY25" i="14" s="1"/>
  <c r="AA25" i="14"/>
  <c r="AO25" i="14"/>
  <c r="AN25" i="14"/>
  <c r="AU25" i="14"/>
  <c r="AK25" i="14"/>
  <c r="AL25" i="14"/>
  <c r="AW25" i="14"/>
  <c r="U25" i="14"/>
  <c r="AV25" i="14"/>
  <c r="AZ25" i="14" s="1"/>
  <c r="AX25" i="14"/>
  <c r="T25" i="14"/>
  <c r="AT25" i="14"/>
  <c r="AB25" i="14"/>
  <c r="D35" i="22"/>
  <c r="CK18" i="14"/>
  <c r="DM50" i="14"/>
  <c r="J84" i="23"/>
  <c r="A11" i="8"/>
  <c r="B11" i="8" s="1"/>
  <c r="A14" i="8"/>
  <c r="B14" i="8" s="1"/>
  <c r="BB52" i="18"/>
  <c r="M54" i="13" s="1"/>
  <c r="AU176" i="10"/>
  <c r="G71" i="23"/>
  <c r="KK22" i="14"/>
  <c r="G11" i="23" s="1"/>
  <c r="MK57" i="14"/>
  <c r="AQ53" i="18"/>
  <c r="L55" i="13" s="1"/>
  <c r="CF258" i="16"/>
  <c r="CF257" i="16" s="1"/>
  <c r="CF256" i="16" s="1"/>
  <c r="CF255" i="16" s="1"/>
  <c r="CF254" i="16" s="1"/>
  <c r="CF253" i="16" s="1"/>
  <c r="CE258" i="16"/>
  <c r="CE257" i="16" s="1"/>
  <c r="CE256" i="16" s="1"/>
  <c r="CE255" i="16" s="1"/>
  <c r="CE254" i="16" s="1"/>
  <c r="CE253" i="16" s="1"/>
  <c r="G44" i="21"/>
  <c r="KD34" i="14"/>
  <c r="FT21" i="14"/>
  <c r="AF23" i="18"/>
  <c r="E57" i="13" s="1"/>
  <c r="AD17" i="18"/>
  <c r="E19" i="13" s="1"/>
  <c r="AF17" i="18"/>
  <c r="E51" i="13" s="1"/>
  <c r="CD208" i="19"/>
  <c r="CB207" i="19"/>
  <c r="AC44" i="18"/>
  <c r="AC56" i="18"/>
  <c r="AC52" i="18"/>
  <c r="AC55" i="18"/>
  <c r="AC54" i="18"/>
  <c r="AD54" i="18" s="1"/>
  <c r="K24" i="13" s="1"/>
  <c r="K85" i="13" s="1"/>
  <c r="AC53" i="18"/>
  <c r="AD53" i="18" s="1"/>
  <c r="K23" i="13" s="1"/>
  <c r="K84" i="13" s="1"/>
  <c r="AC47" i="18"/>
  <c r="AD47" i="18" s="1"/>
  <c r="K17" i="13" s="1"/>
  <c r="K78" i="13" s="1"/>
  <c r="AC58" i="18"/>
  <c r="AC40" i="18"/>
  <c r="AC39" i="18"/>
  <c r="AC41" i="18"/>
  <c r="AC45" i="18"/>
  <c r="AC62" i="18"/>
  <c r="AC43" i="18"/>
  <c r="AC49" i="18"/>
  <c r="AD49" i="18" s="1"/>
  <c r="K19" i="13" s="1"/>
  <c r="K80" i="13" s="1"/>
  <c r="AC42" i="18"/>
  <c r="AC60" i="18"/>
  <c r="AC57" i="18"/>
  <c r="AC48" i="18"/>
  <c r="AC59" i="18"/>
  <c r="AC51" i="18"/>
  <c r="AD51" i="18" s="1"/>
  <c r="K21" i="13" s="1"/>
  <c r="K82" i="13" s="1"/>
  <c r="AC50" i="18"/>
  <c r="AD50" i="18" s="1"/>
  <c r="K20" i="13" s="1"/>
  <c r="K81" i="13" s="1"/>
  <c r="AC61" i="18"/>
  <c r="AC46" i="18"/>
  <c r="Q175" i="8"/>
  <c r="BM53" i="18"/>
  <c r="N55" i="13" s="1"/>
  <c r="AJ190" i="19"/>
  <c r="AH248" i="19" s="1"/>
  <c r="AI190" i="19"/>
  <c r="AF248" i="19" s="1"/>
  <c r="AE248" i="19" s="1"/>
  <c r="BQ176" i="16"/>
  <c r="BR176" i="16"/>
  <c r="BQ159" i="16"/>
  <c r="BF49" i="14"/>
  <c r="AW257" i="16"/>
  <c r="D42" i="21"/>
  <c r="S8" i="18"/>
  <c r="D10" i="13" s="1"/>
  <c r="U8" i="18"/>
  <c r="D42" i="13" s="1"/>
  <c r="D56" i="22"/>
  <c r="CK39" i="14"/>
  <c r="H42" i="21"/>
  <c r="BK28" i="18"/>
  <c r="H30" i="13" s="1"/>
  <c r="BM28" i="18"/>
  <c r="H62" i="13" s="1"/>
  <c r="LM39" i="14" s="1"/>
  <c r="B43" i="8"/>
  <c r="DM71" i="14"/>
  <c r="HW22" i="14"/>
  <c r="AQ18" i="18"/>
  <c r="F52" i="13" s="1"/>
  <c r="BZ164" i="16"/>
  <c r="BY164" i="16"/>
  <c r="R219" i="8"/>
  <c r="Q219" i="8"/>
  <c r="IA53" i="14"/>
  <c r="KK49" i="14"/>
  <c r="M7" i="23" s="1"/>
  <c r="M67" i="23"/>
  <c r="AG219" i="16"/>
  <c r="AE219" i="16"/>
  <c r="AH219" i="16" s="1"/>
  <c r="AX258" i="16"/>
  <c r="AX257" i="16" s="1"/>
  <c r="AX256" i="16" s="1"/>
  <c r="AX255" i="16" s="1"/>
  <c r="AX254" i="16" s="1"/>
  <c r="AX253" i="16" s="1"/>
  <c r="AW258" i="16"/>
  <c r="BB19" i="18"/>
  <c r="G53" i="13" s="1"/>
  <c r="FP64" i="14"/>
  <c r="J51" i="18"/>
  <c r="I53" i="13" s="1"/>
  <c r="H51" i="18"/>
  <c r="I21" i="13" s="1"/>
  <c r="I82" i="13" s="1"/>
  <c r="AY256" i="19"/>
  <c r="AY255" i="19" s="1"/>
  <c r="AY254" i="19" s="1"/>
  <c r="AY253" i="19" s="1"/>
  <c r="AZ256" i="19"/>
  <c r="AZ255" i="19" s="1"/>
  <c r="AZ254" i="19" s="1"/>
  <c r="CH208" i="19"/>
  <c r="CF207" i="19"/>
  <c r="AP202" i="19"/>
  <c r="AP209" i="19"/>
  <c r="AR203" i="19"/>
  <c r="AR206" i="19"/>
  <c r="L44" i="21"/>
  <c r="AO42" i="18"/>
  <c r="L12" i="13" s="1"/>
  <c r="AQ42" i="18"/>
  <c r="L44" i="13" s="1"/>
  <c r="H43" i="18"/>
  <c r="I13" i="13" s="1"/>
  <c r="J43" i="18"/>
  <c r="I45" i="13" s="1"/>
  <c r="G34" i="2"/>
  <c r="G35" i="2"/>
  <c r="G36" i="2"/>
  <c r="G37" i="2"/>
  <c r="G38" i="2"/>
  <c r="G39" i="2"/>
  <c r="G29" i="2"/>
  <c r="G26" i="2"/>
  <c r="G41" i="2"/>
  <c r="G25" i="2"/>
  <c r="G40" i="2"/>
  <c r="G44" i="2"/>
  <c r="G43" i="2"/>
  <c r="G23" i="2"/>
  <c r="G21" i="2"/>
  <c r="G22" i="2"/>
  <c r="G24" i="2"/>
  <c r="G42" i="2"/>
  <c r="G28" i="2"/>
  <c r="G30" i="2"/>
  <c r="G32" i="2"/>
  <c r="G27" i="2"/>
  <c r="G33" i="2"/>
  <c r="G31" i="2"/>
  <c r="J68" i="23"/>
  <c r="DP50" i="14"/>
  <c r="J8" i="23" s="1"/>
  <c r="F42" i="21"/>
  <c r="F12" i="21" s="1"/>
  <c r="HY19" i="14"/>
  <c r="Q203" i="8"/>
  <c r="R203" i="8"/>
  <c r="BB50" i="18"/>
  <c r="M52" i="13" s="1"/>
  <c r="U533" i="10"/>
  <c r="V532" i="10"/>
  <c r="W532" i="10" s="1"/>
  <c r="AZ169" i="16"/>
  <c r="AZ161" i="16"/>
  <c r="AY161" i="16"/>
  <c r="AF19" i="18"/>
  <c r="E53" i="13" s="1"/>
  <c r="FP63" i="14"/>
  <c r="MK30" i="14"/>
  <c r="AR165" i="10"/>
  <c r="AR166" i="10" s="1"/>
  <c r="AR167" i="10" s="1"/>
  <c r="AR168" i="10" s="1"/>
  <c r="ID40" i="14"/>
  <c r="F29" i="23" s="1"/>
  <c r="F89" i="23"/>
  <c r="HW70" i="14"/>
  <c r="AH147" i="10"/>
  <c r="AH131" i="19"/>
  <c r="AH131" i="10"/>
  <c r="G85" i="23"/>
  <c r="KK36" i="14"/>
  <c r="G25" i="23" s="1"/>
  <c r="BR253" i="16"/>
  <c r="BQ253" i="16"/>
  <c r="R127" i="8"/>
  <c r="MO41" i="14"/>
  <c r="MK25" i="14"/>
  <c r="F72" i="23"/>
  <c r="N297" i="8"/>
  <c r="P297" i="8" s="1"/>
  <c r="IQ62" i="14"/>
  <c r="IR62" i="14" s="1"/>
  <c r="IS62" i="14" s="1"/>
  <c r="KH39" i="14"/>
  <c r="AZ28" i="18"/>
  <c r="G30" i="13" s="1"/>
  <c r="BB28" i="18"/>
  <c r="G62" i="13" s="1"/>
  <c r="G73" i="23"/>
  <c r="E39" i="22"/>
  <c r="ER22" i="14"/>
  <c r="E62" i="21"/>
  <c r="BF158" i="10"/>
  <c r="BF166" i="10"/>
  <c r="MK52" i="14"/>
  <c r="BO256" i="19"/>
  <c r="BP256" i="19"/>
  <c r="AG550" i="10"/>
  <c r="AH549" i="10"/>
  <c r="AI549" i="10" s="1"/>
  <c r="I83" i="23"/>
  <c r="U12" i="18"/>
  <c r="D46" i="13" s="1"/>
  <c r="S12" i="18"/>
  <c r="D14" i="13" s="1"/>
  <c r="D75" i="13" s="1"/>
  <c r="DM38" i="14"/>
  <c r="BJ10" i="18"/>
  <c r="BJ11" i="18"/>
  <c r="BJ26" i="18"/>
  <c r="BJ25" i="18"/>
  <c r="BJ19" i="18"/>
  <c r="BJ21" i="18"/>
  <c r="BJ12" i="18"/>
  <c r="BK12" i="18" s="1"/>
  <c r="H14" i="13" s="1"/>
  <c r="H75" i="13" s="1"/>
  <c r="BJ13" i="18"/>
  <c r="BJ9" i="18"/>
  <c r="BJ30" i="18"/>
  <c r="BJ14" i="18"/>
  <c r="BJ15" i="18"/>
  <c r="BJ27" i="18"/>
  <c r="BJ24" i="18"/>
  <c r="BK24" i="18" s="1"/>
  <c r="H26" i="13" s="1"/>
  <c r="H87" i="13" s="1"/>
  <c r="BJ28" i="18"/>
  <c r="BJ16" i="18"/>
  <c r="BK16" i="18" s="1"/>
  <c r="H18" i="13" s="1"/>
  <c r="H79" i="13" s="1"/>
  <c r="BJ17" i="18"/>
  <c r="BK17" i="18" s="1"/>
  <c r="H19" i="13" s="1"/>
  <c r="H80" i="13" s="1"/>
  <c r="BJ29" i="18"/>
  <c r="BJ8" i="18"/>
  <c r="BJ23" i="18"/>
  <c r="BJ18" i="18"/>
  <c r="BJ22" i="18"/>
  <c r="BJ7" i="18"/>
  <c r="BJ20" i="18"/>
  <c r="BK20" i="18" s="1"/>
  <c r="H22" i="13" s="1"/>
  <c r="H83" i="13" s="1"/>
  <c r="BZ164" i="19"/>
  <c r="BY164" i="19"/>
  <c r="BZ156" i="19"/>
  <c r="U44" i="18"/>
  <c r="J46" i="13" s="1"/>
  <c r="AZ254" i="10"/>
  <c r="HW38" i="14"/>
  <c r="AN56" i="18"/>
  <c r="AN44" i="18"/>
  <c r="AN52" i="18"/>
  <c r="AN54" i="18"/>
  <c r="AN47" i="18"/>
  <c r="AN49" i="18"/>
  <c r="AN39" i="18"/>
  <c r="AN50" i="18"/>
  <c r="AO50" i="18" s="1"/>
  <c r="L20" i="13" s="1"/>
  <c r="L81" i="13" s="1"/>
  <c r="AN48" i="18"/>
  <c r="AO48" i="18" s="1"/>
  <c r="L18" i="13" s="1"/>
  <c r="L79" i="13" s="1"/>
  <c r="AN43" i="18"/>
  <c r="AN53" i="18"/>
  <c r="AO53" i="18" s="1"/>
  <c r="L23" i="13" s="1"/>
  <c r="L84" i="13" s="1"/>
  <c r="AN45" i="18"/>
  <c r="AN57" i="18"/>
  <c r="AN51" i="18"/>
  <c r="AO51" i="18" s="1"/>
  <c r="L21" i="13" s="1"/>
  <c r="L82" i="13" s="1"/>
  <c r="AN59" i="18"/>
  <c r="AN58" i="18"/>
  <c r="AN42" i="18"/>
  <c r="AN60" i="18"/>
  <c r="AN46" i="18"/>
  <c r="AN55" i="18"/>
  <c r="AN40" i="18"/>
  <c r="AN61" i="18"/>
  <c r="AN41" i="18"/>
  <c r="AN62" i="18"/>
  <c r="AO62" i="18"/>
  <c r="L32" i="13" s="1"/>
  <c r="L93" i="13" s="1"/>
  <c r="AQ62" i="18"/>
  <c r="L64" i="13" s="1"/>
  <c r="M41" i="21"/>
  <c r="KK69" i="14"/>
  <c r="M27" i="23" s="1"/>
  <c r="M87" i="23"/>
  <c r="AD39" i="14"/>
  <c r="CD258" i="16"/>
  <c r="CD257" i="16" s="1"/>
  <c r="CD256" i="16" s="1"/>
  <c r="CD255" i="16" s="1"/>
  <c r="CD254" i="16" s="1"/>
  <c r="CD253" i="16" s="1"/>
  <c r="CC258" i="16"/>
  <c r="CC257" i="16" s="1"/>
  <c r="CC256" i="16" s="1"/>
  <c r="CC255" i="16" s="1"/>
  <c r="CC254" i="16" s="1"/>
  <c r="CC253" i="16" s="1"/>
  <c r="AC12" i="18"/>
  <c r="AC24" i="18"/>
  <c r="AC21" i="18"/>
  <c r="AC23" i="18"/>
  <c r="AD23" i="18" s="1"/>
  <c r="E25" i="13" s="1"/>
  <c r="E86" i="13" s="1"/>
  <c r="AC28" i="18"/>
  <c r="AC27" i="18"/>
  <c r="AC22" i="18"/>
  <c r="AD22" i="18" s="1"/>
  <c r="E24" i="13" s="1"/>
  <c r="E85" i="13" s="1"/>
  <c r="AC8" i="18"/>
  <c r="AC14" i="18"/>
  <c r="AC17" i="18"/>
  <c r="AC19" i="18"/>
  <c r="AD19" i="18" s="1"/>
  <c r="E21" i="13" s="1"/>
  <c r="E82" i="13" s="1"/>
  <c r="AC16" i="18"/>
  <c r="AC11" i="18"/>
  <c r="AC18" i="18"/>
  <c r="AD18" i="18" s="1"/>
  <c r="E20" i="13" s="1"/>
  <c r="E81" i="13" s="1"/>
  <c r="AC10" i="18"/>
  <c r="AC9" i="18"/>
  <c r="AC20" i="18"/>
  <c r="AD20" i="18" s="1"/>
  <c r="E22" i="13" s="1"/>
  <c r="E83" i="13" s="1"/>
  <c r="AC13" i="18"/>
  <c r="AC25" i="18"/>
  <c r="AC26" i="18"/>
  <c r="AC7" i="18"/>
  <c r="AC29" i="18"/>
  <c r="AC15" i="18"/>
  <c r="AD15" i="18" s="1"/>
  <c r="E17" i="13" s="1"/>
  <c r="E78" i="13" s="1"/>
  <c r="AC30" i="18"/>
  <c r="BQ160" i="10"/>
  <c r="BR177" i="10"/>
  <c r="BQ177" i="10"/>
  <c r="BN175" i="10"/>
  <c r="BM158" i="10"/>
  <c r="BM175" i="10"/>
  <c r="CA256" i="16"/>
  <c r="CA255" i="16" s="1"/>
  <c r="CA254" i="16" s="1"/>
  <c r="CA253" i="16" s="1"/>
  <c r="CB256" i="16"/>
  <c r="CB255" i="16" s="1"/>
  <c r="CB254" i="16" s="1"/>
  <c r="CB253" i="16" s="1"/>
  <c r="B145" i="8"/>
  <c r="B146" i="8"/>
  <c r="B143" i="8"/>
  <c r="C143" i="8" s="1"/>
  <c r="B142" i="8"/>
  <c r="C142" i="8" s="1"/>
  <c r="Q153" i="8"/>
  <c r="R160" i="8"/>
  <c r="R153" i="8"/>
  <c r="R146" i="8"/>
  <c r="Q160" i="8"/>
  <c r="Q145" i="8"/>
  <c r="Q164" i="8"/>
  <c r="R164" i="8"/>
  <c r="R145" i="8"/>
  <c r="Q165" i="8"/>
  <c r="Q149" i="8"/>
  <c r="Q146" i="8"/>
  <c r="R144" i="8"/>
  <c r="R165" i="8"/>
  <c r="Q166" i="8"/>
  <c r="Q143" i="8"/>
  <c r="R151" i="8"/>
  <c r="R166" i="8"/>
  <c r="R143" i="8"/>
  <c r="Q151" i="8"/>
  <c r="Q144" i="8"/>
  <c r="R149" i="8"/>
  <c r="J72" i="23"/>
  <c r="IA38" i="14"/>
  <c r="F73" i="23"/>
  <c r="G35" i="22"/>
  <c r="KD27" i="14"/>
  <c r="BM46" i="18"/>
  <c r="N48" i="13" s="1"/>
  <c r="MK23" i="14"/>
  <c r="DI68" i="14"/>
  <c r="DJ68" i="14" s="1"/>
  <c r="J90" i="21" s="1"/>
  <c r="G64" i="21"/>
  <c r="AZ30" i="18"/>
  <c r="G32" i="13" s="1"/>
  <c r="BB30" i="18"/>
  <c r="G64" i="13" s="1"/>
  <c r="FT37" i="14"/>
  <c r="FP59" i="14"/>
  <c r="C542" i="10"/>
  <c r="D541" i="10"/>
  <c r="E541" i="10" s="1"/>
  <c r="BM50" i="18"/>
  <c r="N52" i="13" s="1"/>
  <c r="BK50" i="18"/>
  <c r="N20" i="13" s="1"/>
  <c r="N81" i="13" s="1"/>
  <c r="A292" i="8"/>
  <c r="B292" i="8" s="1"/>
  <c r="A288" i="8"/>
  <c r="B288" i="8" s="1"/>
  <c r="I63" i="21"/>
  <c r="U19" i="18"/>
  <c r="D53" i="13" s="1"/>
  <c r="S19" i="18"/>
  <c r="D21" i="13" s="1"/>
  <c r="D82" i="13" s="1"/>
  <c r="DJ30" i="14" s="1"/>
  <c r="D83" i="21" s="1"/>
  <c r="L35" i="22"/>
  <c r="M37" i="22"/>
  <c r="JF51" i="14"/>
  <c r="AZ61" i="18"/>
  <c r="M31" i="13" s="1"/>
  <c r="BB61" i="18"/>
  <c r="M63" i="13" s="1"/>
  <c r="JF71" i="14" s="1"/>
  <c r="AT208" i="19"/>
  <c r="AR207" i="19"/>
  <c r="L61" i="21"/>
  <c r="N306" i="8"/>
  <c r="P306" i="8" s="1"/>
  <c r="IQ71" i="14"/>
  <c r="IR71" i="14" s="1"/>
  <c r="IS71" i="14" s="1"/>
  <c r="N243" i="8"/>
  <c r="P243" i="8" s="1"/>
  <c r="EC64" i="14"/>
  <c r="ED64" i="14" s="1"/>
  <c r="EE64" i="14" s="1"/>
  <c r="EC67" i="14"/>
  <c r="ED67" i="14" s="1"/>
  <c r="EE67" i="14" s="1"/>
  <c r="N246" i="8"/>
  <c r="P246" i="8" s="1"/>
  <c r="EC71" i="14"/>
  <c r="ED71" i="14" s="1"/>
  <c r="EE71" i="14" s="1"/>
  <c r="N250" i="8"/>
  <c r="P250" i="8" s="1"/>
  <c r="G61" i="21"/>
  <c r="E46" i="21"/>
  <c r="FT49" i="14"/>
  <c r="FP68" i="14"/>
  <c r="Q177" i="8"/>
  <c r="BP167" i="16"/>
  <c r="BP159" i="16"/>
  <c r="BP175" i="16" s="1"/>
  <c r="R148" i="8"/>
  <c r="BJ156" i="19"/>
  <c r="BJ164" i="19"/>
  <c r="BI164" i="19"/>
  <c r="BI165" i="19" s="1"/>
  <c r="BI166" i="19" s="1"/>
  <c r="BI167" i="19" s="1"/>
  <c r="BI168" i="19" s="1"/>
  <c r="BI169" i="19" s="1"/>
  <c r="BI170" i="19" s="1"/>
  <c r="BI72" i="14"/>
  <c r="I30" i="23" s="1"/>
  <c r="I90" i="23"/>
  <c r="D64" i="21"/>
  <c r="H37" i="22"/>
  <c r="LM20" i="14"/>
  <c r="MK41" i="14"/>
  <c r="AR253" i="19"/>
  <c r="AQ253" i="19"/>
  <c r="J55" i="22"/>
  <c r="CK69" i="14"/>
  <c r="DI53" i="14"/>
  <c r="F68" i="23"/>
  <c r="ID19" i="14"/>
  <c r="F8" i="23" s="1"/>
  <c r="AQ14" i="18"/>
  <c r="F48" i="13" s="1"/>
  <c r="AO14" i="18"/>
  <c r="F16" i="13" s="1"/>
  <c r="F77" i="13" s="1"/>
  <c r="AQ56" i="18"/>
  <c r="L58" i="13" s="1"/>
  <c r="AO56" i="18"/>
  <c r="L26" i="13" s="1"/>
  <c r="L87" i="13" s="1"/>
  <c r="M52" i="22"/>
  <c r="KD59" i="14"/>
  <c r="AW203" i="16"/>
  <c r="AU202" i="16"/>
  <c r="AW206" i="16"/>
  <c r="AU209" i="16"/>
  <c r="Q324" i="8"/>
  <c r="H67" i="23"/>
  <c r="MR18" i="14"/>
  <c r="H7" i="23" s="1"/>
  <c r="Q323" i="8"/>
  <c r="BT256" i="16"/>
  <c r="BS256" i="16"/>
  <c r="G63" i="21"/>
  <c r="HW28" i="14"/>
  <c r="R133" i="8"/>
  <c r="FP29" i="14"/>
  <c r="BF161" i="16"/>
  <c r="BE177" i="16" s="1"/>
  <c r="BF169" i="16"/>
  <c r="H84" i="23"/>
  <c r="F37" i="22"/>
  <c r="GY20" i="14"/>
  <c r="AO9" i="18"/>
  <c r="F11" i="13" s="1"/>
  <c r="F72" i="13" s="1"/>
  <c r="AQ9" i="18"/>
  <c r="F43" i="13" s="1"/>
  <c r="FP66" i="14"/>
  <c r="DM20" i="14"/>
  <c r="MK37" i="14"/>
  <c r="AQ47" i="18"/>
  <c r="L49" i="13" s="1"/>
  <c r="AO47" i="18"/>
  <c r="L17" i="13" s="1"/>
  <c r="L78" i="13" s="1"/>
  <c r="HX57" i="14" s="1"/>
  <c r="L79" i="21" s="1"/>
  <c r="AQ36" i="14"/>
  <c r="AZ165" i="10"/>
  <c r="AU159" i="16"/>
  <c r="J44" i="21"/>
  <c r="HX20" i="14"/>
  <c r="F73" i="21" s="1"/>
  <c r="BJ161" i="16"/>
  <c r="BJ169" i="16"/>
  <c r="A15" i="8"/>
  <c r="B15" i="8" s="1"/>
  <c r="A5" i="8"/>
  <c r="AF22" i="18"/>
  <c r="E56" i="13" s="1"/>
  <c r="BB10" i="18"/>
  <c r="G44" i="13" s="1"/>
  <c r="AZ10" i="18"/>
  <c r="G12" i="13" s="1"/>
  <c r="G73" i="13" s="1"/>
  <c r="AD58" i="18"/>
  <c r="K28" i="13" s="1"/>
  <c r="AF58" i="18"/>
  <c r="K60" i="13" s="1"/>
  <c r="D36" i="22"/>
  <c r="DP72" i="14"/>
  <c r="J30" i="23" s="1"/>
  <c r="J90" i="23"/>
  <c r="K43" i="21"/>
  <c r="N89" i="23"/>
  <c r="MR71" i="14"/>
  <c r="N29" i="23" s="1"/>
  <c r="AV161" i="16"/>
  <c r="AV169" i="16"/>
  <c r="CE207" i="19"/>
  <c r="CG208" i="19"/>
  <c r="BD167" i="19"/>
  <c r="BD159" i="19"/>
  <c r="AF25" i="18"/>
  <c r="E59" i="13" s="1"/>
  <c r="ER36" i="14" s="1"/>
  <c r="AD25" i="18"/>
  <c r="E27" i="13" s="1"/>
  <c r="J52" i="18"/>
  <c r="I54" i="13" s="1"/>
  <c r="H52" i="18"/>
  <c r="I22" i="13" s="1"/>
  <c r="I83" i="13" s="1"/>
  <c r="D52" i="22"/>
  <c r="AH149" i="10"/>
  <c r="AH133" i="19"/>
  <c r="AH133" i="10"/>
  <c r="G70" i="23"/>
  <c r="KK21" i="14"/>
  <c r="G10" i="23" s="1"/>
  <c r="BD159" i="16"/>
  <c r="BD167" i="16"/>
  <c r="FW70" i="14"/>
  <c r="K28" i="23" s="1"/>
  <c r="K88" i="23"/>
  <c r="BQ160" i="19"/>
  <c r="BQ177" i="19"/>
  <c r="BR177" i="19"/>
  <c r="N58" i="21"/>
  <c r="BM256" i="19"/>
  <c r="BN256" i="19"/>
  <c r="BC256" i="16"/>
  <c r="BD256" i="16"/>
  <c r="DM23" i="14"/>
  <c r="D94" i="14"/>
  <c r="S27" i="18"/>
  <c r="D29" i="13" s="1"/>
  <c r="U27" i="18"/>
  <c r="D61" i="13" s="1"/>
  <c r="BA177" i="10"/>
  <c r="BA160" i="10"/>
  <c r="BB177" i="10"/>
  <c r="AH150" i="10"/>
  <c r="AH134" i="19"/>
  <c r="AH134" i="10"/>
  <c r="AT164" i="19"/>
  <c r="AS164" i="19"/>
  <c r="E88" i="23"/>
  <c r="FW39" i="14"/>
  <c r="E28" i="23" s="1"/>
  <c r="A294" i="8"/>
  <c r="B294" i="8" s="1"/>
  <c r="A291" i="8"/>
  <c r="B291" i="8" s="1"/>
  <c r="BA258" i="16"/>
  <c r="BB258" i="16"/>
  <c r="AS208" i="19"/>
  <c r="AQ207" i="19"/>
  <c r="N299" i="8"/>
  <c r="P299" i="8" s="1"/>
  <c r="IQ64" i="14"/>
  <c r="IR64" i="14" s="1"/>
  <c r="IS64" i="14" s="1"/>
  <c r="N248" i="8"/>
  <c r="P248" i="8" s="1"/>
  <c r="EC69" i="14"/>
  <c r="ED69" i="14" s="1"/>
  <c r="EE69" i="14" s="1"/>
  <c r="G74" i="23"/>
  <c r="K41" i="21"/>
  <c r="BN258" i="16"/>
  <c r="BM258" i="16"/>
  <c r="AR192" i="10"/>
  <c r="AT193" i="10"/>
  <c r="AR199" i="10"/>
  <c r="AT196" i="10"/>
  <c r="D39" i="22"/>
  <c r="HX19" i="14"/>
  <c r="F72" i="21" s="1"/>
  <c r="BC35" i="14"/>
  <c r="L52" i="22"/>
  <c r="AO41" i="18"/>
  <c r="L11" i="13" s="1"/>
  <c r="L72" i="13" s="1"/>
  <c r="AQ41" i="18"/>
  <c r="L43" i="13" s="1"/>
  <c r="AQ49" i="18"/>
  <c r="L51" i="13" s="1"/>
  <c r="AO49" i="18"/>
  <c r="L19" i="13" s="1"/>
  <c r="L80" i="13" s="1"/>
  <c r="AV202" i="16"/>
  <c r="AX206" i="16"/>
  <c r="AV209" i="16"/>
  <c r="AX203" i="16"/>
  <c r="BF256" i="19"/>
  <c r="BE256" i="19"/>
  <c r="BM12" i="18"/>
  <c r="H46" i="13" s="1"/>
  <c r="BB166" i="10"/>
  <c r="BB158" i="10"/>
  <c r="Q205" i="8"/>
  <c r="R205" i="8"/>
  <c r="AO13" i="18"/>
  <c r="F15" i="13" s="1"/>
  <c r="AQ13" i="18"/>
  <c r="F47" i="13" s="1"/>
  <c r="L90" i="23"/>
  <c r="ID72" i="14"/>
  <c r="L30" i="23" s="1"/>
  <c r="F36" i="2"/>
  <c r="F35" i="2"/>
  <c r="F39" i="2"/>
  <c r="F37" i="2"/>
  <c r="F40" i="2"/>
  <c r="F41" i="2"/>
  <c r="F38" i="2"/>
  <c r="F29" i="2"/>
  <c r="F34" i="2"/>
  <c r="F21" i="2"/>
  <c r="F27" i="2"/>
  <c r="F24" i="2"/>
  <c r="F43" i="2"/>
  <c r="F22" i="2"/>
  <c r="F42" i="2"/>
  <c r="F23" i="2"/>
  <c r="F44" i="2"/>
  <c r="F25" i="2"/>
  <c r="F26" i="2"/>
  <c r="F28" i="2"/>
  <c r="F33" i="2"/>
  <c r="F31" i="2"/>
  <c r="F32" i="2"/>
  <c r="F30" i="2"/>
  <c r="KD20" i="14"/>
  <c r="E106" i="14"/>
  <c r="FT35" i="14"/>
  <c r="AT256" i="16"/>
  <c r="AT255" i="16" s="1"/>
  <c r="AT254" i="16" s="1"/>
  <c r="AT253" i="16" s="1"/>
  <c r="AS256" i="16"/>
  <c r="AS255" i="16" s="1"/>
  <c r="AS254" i="16" s="1"/>
  <c r="AS253" i="16" s="1"/>
  <c r="BW206" i="19"/>
  <c r="BW203" i="19"/>
  <c r="BK41" i="18"/>
  <c r="N11" i="13" s="1"/>
  <c r="BM41" i="18"/>
  <c r="N43" i="13" s="1"/>
  <c r="MO52" i="14"/>
  <c r="H83" i="23"/>
  <c r="DP71" i="14"/>
  <c r="J29" i="23" s="1"/>
  <c r="J89" i="23"/>
  <c r="H87" i="23"/>
  <c r="MR38" i="14"/>
  <c r="H27" i="23" s="1"/>
  <c r="Q217" i="8"/>
  <c r="R217" i="8"/>
  <c r="AO54" i="18"/>
  <c r="L24" i="13" s="1"/>
  <c r="AQ54" i="18"/>
  <c r="L56" i="13" s="1"/>
  <c r="M64" i="21"/>
  <c r="BH167" i="16"/>
  <c r="BH159" i="16"/>
  <c r="BR257" i="16"/>
  <c r="BQ257" i="16"/>
  <c r="GY22" i="14"/>
  <c r="F39" i="22"/>
  <c r="BD258" i="16"/>
  <c r="BC258" i="16"/>
  <c r="C36" i="9"/>
  <c r="X19" i="14"/>
  <c r="BD20" i="14"/>
  <c r="C73" i="21"/>
  <c r="C13" i="21" s="1"/>
  <c r="AV165" i="10"/>
  <c r="AV166" i="10" s="1"/>
  <c r="BY201" i="19"/>
  <c r="BW197" i="19"/>
  <c r="BY198" i="19"/>
  <c r="BW204" i="19"/>
  <c r="BN167" i="19"/>
  <c r="BN159" i="19"/>
  <c r="BH161" i="16"/>
  <c r="BH169" i="16"/>
  <c r="BG161" i="16"/>
  <c r="FW41" i="14"/>
  <c r="E30" i="23" s="1"/>
  <c r="E90" i="23"/>
  <c r="R24" i="18"/>
  <c r="R12" i="18"/>
  <c r="R20" i="18"/>
  <c r="S20" i="18" s="1"/>
  <c r="D22" i="13" s="1"/>
  <c r="D83" i="13" s="1"/>
  <c r="R13" i="18"/>
  <c r="S13" i="18" s="1"/>
  <c r="D15" i="13" s="1"/>
  <c r="D76" i="13" s="1"/>
  <c r="R7" i="18"/>
  <c r="R16" i="18"/>
  <c r="S16" i="18" s="1"/>
  <c r="D18" i="13" s="1"/>
  <c r="D79" i="13" s="1"/>
  <c r="R21" i="18"/>
  <c r="R23" i="18"/>
  <c r="R14" i="18"/>
  <c r="S14" i="18" s="1"/>
  <c r="D16" i="13" s="1"/>
  <c r="D77" i="13" s="1"/>
  <c r="R22" i="18"/>
  <c r="R9" i="18"/>
  <c r="R18" i="18"/>
  <c r="S18" i="18" s="1"/>
  <c r="D20" i="13" s="1"/>
  <c r="D81" i="13" s="1"/>
  <c r="R11" i="18"/>
  <c r="R28" i="18"/>
  <c r="R17" i="18"/>
  <c r="R29" i="18"/>
  <c r="R19" i="18"/>
  <c r="R26" i="18"/>
  <c r="R27" i="18"/>
  <c r="R25" i="18"/>
  <c r="R8" i="18"/>
  <c r="R30" i="18"/>
  <c r="R15" i="18"/>
  <c r="R10" i="18"/>
  <c r="H64" i="21"/>
  <c r="AO46" i="18"/>
  <c r="L16" i="13" s="1"/>
  <c r="AQ46" i="18"/>
  <c r="L48" i="13" s="1"/>
  <c r="BO160" i="19"/>
  <c r="BP177" i="19"/>
  <c r="BO177" i="19"/>
  <c r="MO66" i="14"/>
  <c r="N106" i="14"/>
  <c r="BM56" i="18"/>
  <c r="N58" i="13" s="1"/>
  <c r="BK56" i="18"/>
  <c r="N26" i="13" s="1"/>
  <c r="N87" i="13" s="1"/>
  <c r="ML66" i="14" s="1"/>
  <c r="AP23" i="14"/>
  <c r="BZ256" i="16"/>
  <c r="BY256" i="16"/>
  <c r="Z34" i="14"/>
  <c r="U34" i="14"/>
  <c r="AA34" i="14"/>
  <c r="V34" i="14"/>
  <c r="AB34" i="14"/>
  <c r="Y34" i="14"/>
  <c r="AC34" i="14" s="1"/>
  <c r="AN34" i="14"/>
  <c r="AV34" i="14"/>
  <c r="S34" i="14"/>
  <c r="AW34" i="14"/>
  <c r="AM34" i="14"/>
  <c r="T34" i="14"/>
  <c r="AX34" i="14"/>
  <c r="AO34" i="14"/>
  <c r="AT34" i="14"/>
  <c r="AL34" i="14"/>
  <c r="AK34" i="14"/>
  <c r="AS34" i="14"/>
  <c r="AJ34" i="14"/>
  <c r="AU34" i="14"/>
  <c r="D55" i="22"/>
  <c r="CK38" i="14"/>
  <c r="CL256" i="19"/>
  <c r="CL255" i="19" s="1"/>
  <c r="CL254" i="19" s="1"/>
  <c r="CK256" i="19"/>
  <c r="CK255" i="19" s="1"/>
  <c r="CK254" i="19" s="1"/>
  <c r="CK253" i="19" s="1"/>
  <c r="BK253" i="10"/>
  <c r="BL253" i="10"/>
  <c r="B68" i="8"/>
  <c r="AY177" i="19"/>
  <c r="AY160" i="19"/>
  <c r="AZ177" i="19"/>
  <c r="AU203" i="19"/>
  <c r="AU206" i="19"/>
  <c r="AS202" i="19"/>
  <c r="AS209" i="19"/>
  <c r="DI28" i="14"/>
  <c r="C34" i="2"/>
  <c r="C38" i="2"/>
  <c r="C36" i="2"/>
  <c r="C39" i="2"/>
  <c r="C35" i="2"/>
  <c r="C37" i="2"/>
  <c r="C32" i="2"/>
  <c r="C22" i="2"/>
  <c r="C42" i="2"/>
  <c r="C21" i="2"/>
  <c r="C28" i="2"/>
  <c r="C26" i="2"/>
  <c r="C25" i="2"/>
  <c r="C44" i="2"/>
  <c r="C27" i="2"/>
  <c r="C24" i="2"/>
  <c r="C29" i="2"/>
  <c r="C41" i="2"/>
  <c r="C40" i="2"/>
  <c r="C30" i="2"/>
  <c r="C43" i="2"/>
  <c r="C23" i="2"/>
  <c r="C33" i="2"/>
  <c r="C31" i="2"/>
  <c r="AQ45" i="18"/>
  <c r="L47" i="13" s="1"/>
  <c r="AO45" i="18"/>
  <c r="L15" i="13" s="1"/>
  <c r="MO54" i="14"/>
  <c r="N94" i="14"/>
  <c r="IA49" i="14"/>
  <c r="M57" i="22"/>
  <c r="KD32" i="14"/>
  <c r="N42" i="21"/>
  <c r="H58" i="18"/>
  <c r="I28" i="13" s="1"/>
  <c r="I89" i="13" s="1"/>
  <c r="J58" i="18"/>
  <c r="I60" i="13" s="1"/>
  <c r="N234" i="8"/>
  <c r="P234" i="8" s="1"/>
  <c r="EC55" i="14"/>
  <c r="ED55" i="14" s="1"/>
  <c r="EE55" i="14" s="1"/>
  <c r="E70" i="23"/>
  <c r="FW21" i="14"/>
  <c r="E10" i="23" s="1"/>
  <c r="N41" i="21"/>
  <c r="BJ167" i="16"/>
  <c r="BJ159" i="16"/>
  <c r="BY158" i="16"/>
  <c r="AI190" i="10"/>
  <c r="AF248" i="10" s="1"/>
  <c r="AE248" i="10" s="1"/>
  <c r="AJ190" i="10"/>
  <c r="AH248" i="10" s="1"/>
  <c r="F54" i="22"/>
  <c r="KD57" i="14"/>
  <c r="AX176" i="16"/>
  <c r="AW176" i="16"/>
  <c r="AW159" i="16"/>
  <c r="CJ167" i="16"/>
  <c r="CJ159" i="16"/>
  <c r="AZ29" i="18"/>
  <c r="G31" i="13" s="1"/>
  <c r="BB29" i="18"/>
  <c r="G63" i="13" s="1"/>
  <c r="CF164" i="16"/>
  <c r="CE164" i="16"/>
  <c r="AF47" i="18"/>
  <c r="K49" i="13" s="1"/>
  <c r="BI70" i="14"/>
  <c r="I28" i="23" s="1"/>
  <c r="I88" i="23"/>
  <c r="N23" i="8"/>
  <c r="P23" i="8" s="1"/>
  <c r="O37" i="14"/>
  <c r="P37" i="14" s="1"/>
  <c r="Q37" i="14" s="1"/>
  <c r="KH20" i="14"/>
  <c r="G68" i="23"/>
  <c r="KK19" i="14"/>
  <c r="G8" i="23" s="1"/>
  <c r="FP31" i="14"/>
  <c r="AD46" i="18"/>
  <c r="K16" i="13" s="1"/>
  <c r="AF46" i="18"/>
  <c r="K48" i="13" s="1"/>
  <c r="AC193" i="19"/>
  <c r="AD192" i="19"/>
  <c r="BE169" i="16"/>
  <c r="BE170" i="16" s="1"/>
  <c r="H40" i="18"/>
  <c r="I10" i="13" s="1"/>
  <c r="J40" i="18"/>
  <c r="I42" i="13" s="1"/>
  <c r="J45" i="18"/>
  <c r="I47" i="13" s="1"/>
  <c r="AO203" i="10"/>
  <c r="AO206" i="10"/>
  <c r="BM7" i="18"/>
  <c r="H41" i="13" s="1"/>
  <c r="LM18" i="14" s="1"/>
  <c r="BK7" i="18"/>
  <c r="H9" i="13" s="1"/>
  <c r="H70" i="13" s="1"/>
  <c r="ML18" i="14" s="1"/>
  <c r="BA164" i="16"/>
  <c r="BA165" i="16" s="1"/>
  <c r="BA166" i="16" s="1"/>
  <c r="BA167" i="16" s="1"/>
  <c r="BA168" i="16" s="1"/>
  <c r="BA169" i="16" s="1"/>
  <c r="BA170" i="16" s="1"/>
  <c r="BB156" i="16"/>
  <c r="BB164" i="16"/>
  <c r="S42" i="18"/>
  <c r="J12" i="13" s="1"/>
  <c r="U42" i="18"/>
  <c r="J44" i="13" s="1"/>
  <c r="HW31" i="14"/>
  <c r="C52" i="9"/>
  <c r="X35" i="14"/>
  <c r="BB255" i="10"/>
  <c r="BB254" i="10" s="1"/>
  <c r="BB253" i="10" s="1"/>
  <c r="BA255" i="10"/>
  <c r="BA254" i="10" s="1"/>
  <c r="E41" i="21"/>
  <c r="BM24" i="18"/>
  <c r="H58" i="13" s="1"/>
  <c r="HW69" i="14"/>
  <c r="BS160" i="10"/>
  <c r="BT177" i="10"/>
  <c r="BS177" i="10"/>
  <c r="DM72" i="14"/>
  <c r="F53" i="22"/>
  <c r="FT68" i="14"/>
  <c r="C74" i="13"/>
  <c r="Q202" i="8"/>
  <c r="R202" i="8"/>
  <c r="AV167" i="16"/>
  <c r="AV168" i="16" s="1"/>
  <c r="LM22" i="14"/>
  <c r="H39" i="22"/>
  <c r="Q183" i="8"/>
  <c r="F44" i="21"/>
  <c r="BZ161" i="16"/>
  <c r="BO158" i="16"/>
  <c r="CH254" i="10"/>
  <c r="CH253" i="10" s="1"/>
  <c r="CG254" i="10"/>
  <c r="CG253" i="10" s="1"/>
  <c r="CK53" i="14"/>
  <c r="J39" i="22"/>
  <c r="E45" i="21"/>
  <c r="AW176" i="10"/>
  <c r="AW159" i="10"/>
  <c r="AX158" i="10" s="1"/>
  <c r="AX176" i="10"/>
  <c r="AX159" i="10"/>
  <c r="CB165" i="10"/>
  <c r="CB166" i="10" s="1"/>
  <c r="CB167" i="10" s="1"/>
  <c r="CB168" i="10" s="1"/>
  <c r="CB169" i="10" s="1"/>
  <c r="U20" i="18"/>
  <c r="D54" i="13" s="1"/>
  <c r="H44" i="21"/>
  <c r="H14" i="21" s="1"/>
  <c r="BM20" i="18"/>
  <c r="H54" i="13" s="1"/>
  <c r="BP166" i="10"/>
  <c r="BP158" i="10"/>
  <c r="AC193" i="10"/>
  <c r="AD192" i="10"/>
  <c r="CL257" i="16"/>
  <c r="CL256" i="16" s="1"/>
  <c r="CL255" i="16" s="1"/>
  <c r="CL254" i="16" s="1"/>
  <c r="CL253" i="16" s="1"/>
  <c r="CK257" i="16"/>
  <c r="CK256" i="16" s="1"/>
  <c r="CK255" i="16" s="1"/>
  <c r="CK254" i="16" s="1"/>
  <c r="CK253" i="16" s="1"/>
  <c r="N46" i="21"/>
  <c r="CE160" i="10"/>
  <c r="CF177" i="10"/>
  <c r="CE177" i="10"/>
  <c r="CF160" i="10"/>
  <c r="DP39" i="14"/>
  <c r="D28" i="23" s="1"/>
  <c r="D88" i="23"/>
  <c r="BK256" i="16"/>
  <c r="BL256" i="16"/>
  <c r="N36" i="22"/>
  <c r="BG256" i="19"/>
  <c r="BH256" i="19"/>
  <c r="N228" i="8"/>
  <c r="P228" i="8" s="1"/>
  <c r="EC49" i="14"/>
  <c r="ED49" i="14" s="1"/>
  <c r="EE49" i="14" s="1"/>
  <c r="KH38" i="14"/>
  <c r="KK38" i="14"/>
  <c r="G27" i="23" s="1"/>
  <c r="G87" i="23"/>
  <c r="A179" i="8"/>
  <c r="B179" i="8" s="1"/>
  <c r="A182" i="8"/>
  <c r="B182" i="8" s="1"/>
  <c r="R178" i="8"/>
  <c r="BG167" i="16"/>
  <c r="BG168" i="16" s="1"/>
  <c r="BG169" i="16" s="1"/>
  <c r="BG170" i="16" s="1"/>
  <c r="KH70" i="14"/>
  <c r="AO28" i="14"/>
  <c r="AN28" i="14"/>
  <c r="V28" i="14"/>
  <c r="AW28" i="14"/>
  <c r="AV28" i="14"/>
  <c r="AZ28" i="14" s="1"/>
  <c r="T28" i="14"/>
  <c r="AK28" i="14"/>
  <c r="Z28" i="14"/>
  <c r="S28" i="14"/>
  <c r="AJ28" i="14"/>
  <c r="AT28" i="14"/>
  <c r="AU28" i="14"/>
  <c r="AX28" i="14"/>
  <c r="AB28" i="14"/>
  <c r="AS28" i="14"/>
  <c r="AM28" i="14"/>
  <c r="AQ28" i="14" s="1"/>
  <c r="Y28" i="14"/>
  <c r="AA28" i="14"/>
  <c r="U28" i="14"/>
  <c r="AL28" i="14"/>
  <c r="CH161" i="16"/>
  <c r="CH177" i="16" s="1"/>
  <c r="CH169" i="16"/>
  <c r="CH170" i="16" s="1"/>
  <c r="AZ25" i="18"/>
  <c r="G27" i="13" s="1"/>
  <c r="BB25" i="18"/>
  <c r="G59" i="13" s="1"/>
  <c r="AD44" i="18"/>
  <c r="K14" i="13" s="1"/>
  <c r="AF44" i="18"/>
  <c r="K46" i="13" s="1"/>
  <c r="LM67" i="14"/>
  <c r="N53" i="22"/>
  <c r="BM25" i="18"/>
  <c r="H59" i="13" s="1"/>
  <c r="BK25" i="18"/>
  <c r="H27" i="13" s="1"/>
  <c r="H88" i="13" s="1"/>
  <c r="AF55" i="18"/>
  <c r="K57" i="13" s="1"/>
  <c r="AD55" i="18"/>
  <c r="K25" i="13" s="1"/>
  <c r="K86" i="13" s="1"/>
  <c r="CC160" i="10"/>
  <c r="CD177" i="10"/>
  <c r="CC177" i="10"/>
  <c r="CD160" i="10"/>
  <c r="R72" i="8"/>
  <c r="N90" i="23"/>
  <c r="MR72" i="14"/>
  <c r="N30" i="23" s="1"/>
  <c r="BK15" i="18"/>
  <c r="H17" i="13" s="1"/>
  <c r="H78" i="13" s="1"/>
  <c r="BM15" i="18"/>
  <c r="H49" i="13" s="1"/>
  <c r="J60" i="21"/>
  <c r="DK68" i="14"/>
  <c r="D37" i="2"/>
  <c r="D34" i="2"/>
  <c r="D39" i="2"/>
  <c r="D36" i="2"/>
  <c r="D35" i="2"/>
  <c r="D33" i="2"/>
  <c r="D38" i="2"/>
  <c r="D44" i="2"/>
  <c r="D43" i="2"/>
  <c r="D27" i="2"/>
  <c r="D23" i="2"/>
  <c r="D25" i="2"/>
  <c r="D22" i="2"/>
  <c r="D24" i="2"/>
  <c r="D28" i="2"/>
  <c r="D41" i="2"/>
  <c r="D40" i="2"/>
  <c r="D42" i="2"/>
  <c r="D26" i="2"/>
  <c r="D21" i="2"/>
  <c r="D29" i="2"/>
  <c r="D31" i="2"/>
  <c r="D30" i="2"/>
  <c r="D32" i="2"/>
  <c r="AA32" i="14"/>
  <c r="T32" i="14"/>
  <c r="Z32" i="14"/>
  <c r="U32" i="14"/>
  <c r="AB32" i="14"/>
  <c r="V32" i="14"/>
  <c r="Y32" i="14"/>
  <c r="AC32" i="14" s="1"/>
  <c r="AU32" i="14"/>
  <c r="AT32" i="14"/>
  <c r="AM32" i="14"/>
  <c r="AQ32" i="14" s="1"/>
  <c r="AW32" i="14"/>
  <c r="AS32" i="14"/>
  <c r="AX32" i="14"/>
  <c r="AK32" i="14"/>
  <c r="S32" i="14"/>
  <c r="W32" i="14" s="1"/>
  <c r="C20" i="22" s="1"/>
  <c r="AV32" i="14"/>
  <c r="AZ32" i="14" s="1"/>
  <c r="AO32" i="14"/>
  <c r="AL32" i="14"/>
  <c r="AN32" i="14"/>
  <c r="AJ32" i="14"/>
  <c r="BC254" i="10"/>
  <c r="BD254" i="10"/>
  <c r="KD64" i="14"/>
  <c r="KE64" i="14" s="1"/>
  <c r="M86" i="21" s="1"/>
  <c r="CG207" i="16"/>
  <c r="CI208" i="16"/>
  <c r="G36" i="22"/>
  <c r="E89" i="23"/>
  <c r="FW40" i="14"/>
  <c r="E29" i="23" s="1"/>
  <c r="AD22" i="14"/>
  <c r="I85" i="23"/>
  <c r="BI67" i="14"/>
  <c r="I25" i="23" s="1"/>
  <c r="KD54" i="14"/>
  <c r="I45" i="21"/>
  <c r="H73" i="23"/>
  <c r="CB169" i="16"/>
  <c r="CB170" i="16" s="1"/>
  <c r="CB161" i="16"/>
  <c r="CB160" i="16" s="1"/>
  <c r="CB159" i="16" s="1"/>
  <c r="Q185" i="8"/>
  <c r="E59" i="21"/>
  <c r="H60" i="18"/>
  <c r="I30" i="13" s="1"/>
  <c r="J60" i="18"/>
  <c r="I62" i="13" s="1"/>
  <c r="K36" i="22"/>
  <c r="ER50" i="14"/>
  <c r="AU209" i="10"/>
  <c r="AU202" i="10"/>
  <c r="AW206" i="10"/>
  <c r="AW203" i="10"/>
  <c r="N68" i="23"/>
  <c r="MR50" i="14"/>
  <c r="N8" i="23" s="1"/>
  <c r="DI18" i="14"/>
  <c r="H85" i="23"/>
  <c r="MR36" i="14"/>
  <c r="H25" i="23" s="1"/>
  <c r="J59" i="21"/>
  <c r="GY72" i="14"/>
  <c r="L58" i="22"/>
  <c r="M60" i="21"/>
  <c r="X21" i="14"/>
  <c r="C38" i="9"/>
  <c r="I44" i="21"/>
  <c r="N37" i="14"/>
  <c r="B33" i="8"/>
  <c r="Q45" i="8"/>
  <c r="R42" i="8"/>
  <c r="Q46" i="8"/>
  <c r="Q38" i="8"/>
  <c r="Q32" i="8"/>
  <c r="B34" i="8"/>
  <c r="R38" i="8"/>
  <c r="B31" i="8"/>
  <c r="C31" i="8" s="1"/>
  <c r="B30" i="8"/>
  <c r="C30" i="8" s="1"/>
  <c r="Q33" i="8"/>
  <c r="R34" i="8"/>
  <c r="Q40" i="8"/>
  <c r="R31" i="8"/>
  <c r="R33" i="8"/>
  <c r="Q37" i="8"/>
  <c r="R40" i="8"/>
  <c r="R37" i="8"/>
  <c r="Q35" i="8"/>
  <c r="Q31" i="8"/>
  <c r="R51" i="8"/>
  <c r="Q51" i="8"/>
  <c r="Q34" i="8"/>
  <c r="R35" i="8"/>
  <c r="R32" i="8"/>
  <c r="R45" i="8"/>
  <c r="Q53" i="8"/>
  <c r="R53" i="8"/>
  <c r="Q42" i="8"/>
  <c r="R46" i="8"/>
  <c r="Q43" i="8"/>
  <c r="R43" i="8"/>
  <c r="R49" i="8"/>
  <c r="R47" i="8"/>
  <c r="R36" i="8"/>
  <c r="Q36" i="8"/>
  <c r="R54" i="8"/>
  <c r="Q54" i="8"/>
  <c r="Q47" i="8"/>
  <c r="Q49" i="8"/>
  <c r="Q52" i="8"/>
  <c r="R50" i="8"/>
  <c r="R52" i="8"/>
  <c r="Q50" i="8"/>
  <c r="BB68" i="14"/>
  <c r="BC68" i="14" s="1"/>
  <c r="I90" i="21" s="1"/>
  <c r="BF71" i="14"/>
  <c r="J35" i="22"/>
  <c r="L41" i="21"/>
  <c r="KH51" i="14"/>
  <c r="AD27" i="18"/>
  <c r="E29" i="13" s="1"/>
  <c r="AF27" i="18"/>
  <c r="E61" i="13" s="1"/>
  <c r="ER38" i="14" s="1"/>
  <c r="N236" i="8"/>
  <c r="P236" i="8" s="1"/>
  <c r="EC57" i="14"/>
  <c r="ED57" i="14" s="1"/>
  <c r="EE57" i="14" s="1"/>
  <c r="E94" i="14"/>
  <c r="FT23" i="14"/>
  <c r="FT66" i="14"/>
  <c r="K106" i="14"/>
  <c r="AD61" i="18"/>
  <c r="K31" i="13" s="1"/>
  <c r="AF61" i="18"/>
  <c r="K63" i="13" s="1"/>
  <c r="S9" i="18"/>
  <c r="D11" i="13" s="1"/>
  <c r="U9" i="18"/>
  <c r="D43" i="13" s="1"/>
  <c r="AA543" i="10"/>
  <c r="AB542" i="10"/>
  <c r="AC542" i="10" s="1"/>
  <c r="AQ21" i="18"/>
  <c r="F55" i="13" s="1"/>
  <c r="AO21" i="18"/>
  <c r="F23" i="13" s="1"/>
  <c r="F84" i="13" s="1"/>
  <c r="AZ36" i="14"/>
  <c r="AX159" i="16"/>
  <c r="AH151" i="10"/>
  <c r="AH135" i="19"/>
  <c r="AH135" i="10"/>
  <c r="K45" i="21"/>
  <c r="CD208" i="10"/>
  <c r="CB207" i="10"/>
  <c r="Q72" i="8"/>
  <c r="N38" i="22"/>
  <c r="LM52" i="14"/>
  <c r="MK49" i="14"/>
  <c r="MK72" i="14"/>
  <c r="AQ168" i="10"/>
  <c r="I42" i="21"/>
  <c r="I68" i="23"/>
  <c r="BI50" i="14"/>
  <c r="I8" i="23" s="1"/>
  <c r="D54" i="22"/>
  <c r="DI19" i="14"/>
  <c r="U14" i="18"/>
  <c r="D48" i="13" s="1"/>
  <c r="BA257" i="16"/>
  <c r="BA256" i="16" s="1"/>
  <c r="BA255" i="16" s="1"/>
  <c r="BA254" i="16" s="1"/>
  <c r="BA253" i="16" s="1"/>
  <c r="BB257" i="16"/>
  <c r="BB256" i="16" s="1"/>
  <c r="BB255" i="16" s="1"/>
  <c r="BB254" i="16" s="1"/>
  <c r="BB253" i="16" s="1"/>
  <c r="AT208" i="16"/>
  <c r="AR207" i="16"/>
  <c r="B313" i="8"/>
  <c r="C311" i="8"/>
  <c r="R320" i="8"/>
  <c r="R319" i="8"/>
  <c r="Q320" i="8"/>
  <c r="Q312" i="8"/>
  <c r="B314" i="8"/>
  <c r="B311" i="8"/>
  <c r="R314" i="8"/>
  <c r="Q314" i="8"/>
  <c r="R334" i="8"/>
  <c r="R312" i="8"/>
  <c r="R331" i="8"/>
  <c r="Q311" i="8"/>
  <c r="Q313" i="8"/>
  <c r="Q319" i="8"/>
  <c r="Q331" i="8"/>
  <c r="Q316" i="8"/>
  <c r="R313" i="8"/>
  <c r="Q332" i="8"/>
  <c r="Q330" i="8"/>
  <c r="R330" i="8"/>
  <c r="R333" i="8"/>
  <c r="Q315" i="8"/>
  <c r="R315" i="8"/>
  <c r="R316" i="8"/>
  <c r="B310" i="8"/>
  <c r="C310" i="8" s="1"/>
  <c r="C312" i="8" s="1"/>
  <c r="Q333" i="8"/>
  <c r="R332" i="8"/>
  <c r="Q334" i="8"/>
  <c r="R311" i="8"/>
  <c r="HW35" i="14"/>
  <c r="R212" i="8"/>
  <c r="Q212" i="8"/>
  <c r="B204" i="8"/>
  <c r="L59" i="21"/>
  <c r="L67" i="23"/>
  <c r="ID49" i="14"/>
  <c r="L7" i="23" s="1"/>
  <c r="KK70" i="14"/>
  <c r="M28" i="23" s="1"/>
  <c r="M88" i="23"/>
  <c r="AZ166" i="10"/>
  <c r="AZ158" i="10"/>
  <c r="AV164" i="19"/>
  <c r="AU164" i="19"/>
  <c r="CJ176" i="19"/>
  <c r="CI159" i="19"/>
  <c r="CI176" i="19"/>
  <c r="CH164" i="10"/>
  <c r="CG164" i="10"/>
  <c r="I89" i="23"/>
  <c r="BI71" i="14"/>
  <c r="I29" i="23" s="1"/>
  <c r="BN167" i="16"/>
  <c r="BN159" i="16"/>
  <c r="M58" i="22"/>
  <c r="KD61" i="14"/>
  <c r="BS175" i="19"/>
  <c r="BT175" i="19"/>
  <c r="BS158" i="19"/>
  <c r="BD164" i="16"/>
  <c r="BC164" i="16"/>
  <c r="BC165" i="16" s="1"/>
  <c r="BC166" i="16" s="1"/>
  <c r="BC167" i="16" s="1"/>
  <c r="BC168" i="16" s="1"/>
  <c r="BC169" i="16" s="1"/>
  <c r="BC170" i="16" s="1"/>
  <c r="BD156" i="16"/>
  <c r="MO70" i="14"/>
  <c r="I58" i="22"/>
  <c r="DI41" i="14"/>
  <c r="CJ167" i="19"/>
  <c r="CJ159" i="19"/>
  <c r="AZ59" i="18"/>
  <c r="M29" i="13" s="1"/>
  <c r="BB59" i="18"/>
  <c r="M61" i="13" s="1"/>
  <c r="JF69" i="14" s="1"/>
  <c r="Q328" i="8"/>
  <c r="FT52" i="14"/>
  <c r="AV176" i="10"/>
  <c r="BE253" i="10"/>
  <c r="BF253" i="10"/>
  <c r="MO71" i="14"/>
  <c r="BK61" i="18"/>
  <c r="N31" i="13" s="1"/>
  <c r="BM61" i="18"/>
  <c r="N63" i="13" s="1"/>
  <c r="DI36" i="14"/>
  <c r="DJ36" i="14" s="1"/>
  <c r="D89" i="21" s="1"/>
  <c r="E38" i="22"/>
  <c r="ER21" i="14"/>
  <c r="AD29" i="18"/>
  <c r="E31" i="13" s="1"/>
  <c r="AF29" i="18"/>
  <c r="E63" i="13" s="1"/>
  <c r="FP71" i="14"/>
  <c r="CE206" i="19"/>
  <c r="CC209" i="19"/>
  <c r="CC202" i="19"/>
  <c r="CE203" i="19"/>
  <c r="BM55" i="18"/>
  <c r="N57" i="13" s="1"/>
  <c r="AT253" i="19"/>
  <c r="AS253" i="19"/>
  <c r="CI255" i="10"/>
  <c r="CI254" i="10" s="1"/>
  <c r="CI253" i="10" s="1"/>
  <c r="CJ255" i="10"/>
  <c r="CJ254" i="10" s="1"/>
  <c r="CJ253" i="10" s="1"/>
  <c r="AP207" i="10"/>
  <c r="AR208" i="10"/>
  <c r="I41" i="21"/>
  <c r="BB59" i="14"/>
  <c r="AA29" i="14"/>
  <c r="S29" i="14"/>
  <c r="AM29" i="14"/>
  <c r="AB29" i="14"/>
  <c r="Y29" i="14"/>
  <c r="T29" i="14"/>
  <c r="V29" i="14"/>
  <c r="AW29" i="14"/>
  <c r="AN29" i="14"/>
  <c r="AL29" i="14"/>
  <c r="Z29" i="14"/>
  <c r="AV29" i="14"/>
  <c r="AZ29" i="14" s="1"/>
  <c r="AS29" i="14"/>
  <c r="AJ29" i="14"/>
  <c r="AK29" i="14"/>
  <c r="AU29" i="14"/>
  <c r="AT29" i="14"/>
  <c r="AX29" i="14"/>
  <c r="U29" i="14"/>
  <c r="AO29" i="14"/>
  <c r="S17" i="18"/>
  <c r="D19" i="13" s="1"/>
  <c r="U17" i="18"/>
  <c r="D51" i="13" s="1"/>
  <c r="D69" i="23"/>
  <c r="DP20" i="14"/>
  <c r="D9" i="23" s="1"/>
  <c r="BM22" i="18"/>
  <c r="H56" i="13" s="1"/>
  <c r="BK22" i="18"/>
  <c r="H24" i="13" s="1"/>
  <c r="H85" i="13" s="1"/>
  <c r="CC167" i="19"/>
  <c r="CD167" i="19"/>
  <c r="AZ160" i="16"/>
  <c r="AZ168" i="16"/>
  <c r="J57" i="22"/>
  <c r="S61" i="18"/>
  <c r="J31" i="13" s="1"/>
  <c r="U61" i="18"/>
  <c r="J63" i="13" s="1"/>
  <c r="CK71" i="14" s="1"/>
  <c r="F58" i="22"/>
  <c r="GY41" i="14"/>
  <c r="AQ168" i="16"/>
  <c r="AQ169" i="16" s="1"/>
  <c r="IA50" i="14"/>
  <c r="L45" i="21"/>
  <c r="AO43" i="18"/>
  <c r="L13" i="13" s="1"/>
  <c r="AQ43" i="18"/>
  <c r="L45" i="13" s="1"/>
  <c r="GY53" i="14" s="1"/>
  <c r="AY56" i="18"/>
  <c r="AY44" i="18"/>
  <c r="AY51" i="18"/>
  <c r="AZ51" i="18" s="1"/>
  <c r="M21" i="13" s="1"/>
  <c r="M82" i="13" s="1"/>
  <c r="AY39" i="18"/>
  <c r="AY46" i="18"/>
  <c r="AY60" i="18"/>
  <c r="AY43" i="18"/>
  <c r="AY50" i="18"/>
  <c r="AZ50" i="18" s="1"/>
  <c r="M20" i="13" s="1"/>
  <c r="M81" i="13" s="1"/>
  <c r="AY40" i="18"/>
  <c r="AY42" i="18"/>
  <c r="AY53" i="18"/>
  <c r="AZ53" i="18" s="1"/>
  <c r="M23" i="13" s="1"/>
  <c r="M84" i="13" s="1"/>
  <c r="AY62" i="18"/>
  <c r="AY57" i="18"/>
  <c r="AY41" i="18"/>
  <c r="AY52" i="18"/>
  <c r="AZ52" i="18" s="1"/>
  <c r="M22" i="13" s="1"/>
  <c r="M83" i="13" s="1"/>
  <c r="AY49" i="18"/>
  <c r="AZ49" i="18" s="1"/>
  <c r="M19" i="13" s="1"/>
  <c r="M80" i="13" s="1"/>
  <c r="AY59" i="18"/>
  <c r="AY45" i="18"/>
  <c r="AY58" i="18"/>
  <c r="AY54" i="18"/>
  <c r="AY61" i="18"/>
  <c r="AY55" i="18"/>
  <c r="AZ55" i="18" s="1"/>
  <c r="M25" i="13" s="1"/>
  <c r="M86" i="13" s="1"/>
  <c r="AY48" i="18"/>
  <c r="AZ48" i="18" s="1"/>
  <c r="M18" i="13" s="1"/>
  <c r="M79" i="13" s="1"/>
  <c r="AY47" i="18"/>
  <c r="AZ47" i="18" s="1"/>
  <c r="M17" i="13" s="1"/>
  <c r="M78" i="13" s="1"/>
  <c r="CD254" i="10"/>
  <c r="CD253" i="10" s="1"/>
  <c r="CC254" i="10"/>
  <c r="AG520" i="10"/>
  <c r="AH519" i="10"/>
  <c r="AI519" i="10" s="1"/>
  <c r="CH207" i="16"/>
  <c r="CJ208" i="16"/>
  <c r="BE164" i="19"/>
  <c r="BE165" i="19" s="1"/>
  <c r="BE166" i="19" s="1"/>
  <c r="BE167" i="19" s="1"/>
  <c r="BE168" i="19" s="1"/>
  <c r="BE169" i="19" s="1"/>
  <c r="BE170" i="19" s="1"/>
  <c r="BF164" i="19"/>
  <c r="BF156" i="19"/>
  <c r="KH19" i="14"/>
  <c r="FP40" i="14"/>
  <c r="BC67" i="14"/>
  <c r="I89" i="21" s="1"/>
  <c r="BM13" i="18"/>
  <c r="H47" i="13" s="1"/>
  <c r="BK13" i="18"/>
  <c r="H15" i="13" s="1"/>
  <c r="H76" i="13" s="1"/>
  <c r="BM14" i="18"/>
  <c r="H48" i="13" s="1"/>
  <c r="BK14" i="18"/>
  <c r="H16" i="13" s="1"/>
  <c r="H77" i="13" s="1"/>
  <c r="CE207" i="16"/>
  <c r="CG208" i="16"/>
  <c r="AX166" i="10"/>
  <c r="AX167" i="10" s="1"/>
  <c r="AY196" i="10"/>
  <c r="AY199" i="10"/>
  <c r="AY197" i="10"/>
  <c r="AZ196" i="10"/>
  <c r="AY198" i="10"/>
  <c r="AZ197" i="10"/>
  <c r="AZ199" i="10"/>
  <c r="AZ198" i="10"/>
  <c r="BM49" i="18"/>
  <c r="N51" i="13" s="1"/>
  <c r="BK49" i="18"/>
  <c r="N19" i="13" s="1"/>
  <c r="N80" i="13" s="1"/>
  <c r="AY164" i="19"/>
  <c r="AZ164" i="19"/>
  <c r="S30" i="14"/>
  <c r="V30" i="14"/>
  <c r="AO30" i="14"/>
  <c r="AS30" i="14"/>
  <c r="AY30" i="14" s="1"/>
  <c r="AX30" i="14"/>
  <c r="AV30" i="14"/>
  <c r="Y30" i="14"/>
  <c r="AU30" i="14"/>
  <c r="Z30" i="14"/>
  <c r="AW30" i="14"/>
  <c r="AT30" i="14"/>
  <c r="AB30" i="14"/>
  <c r="T30" i="14"/>
  <c r="U30" i="14"/>
  <c r="AL30" i="14"/>
  <c r="AM30" i="14"/>
  <c r="AN30" i="14"/>
  <c r="AA30" i="14"/>
  <c r="AJ30" i="14"/>
  <c r="AK30" i="14"/>
  <c r="MK24" i="14"/>
  <c r="ML24" i="14" s="1"/>
  <c r="H77" i="21" s="1"/>
  <c r="AU167" i="10"/>
  <c r="AV167" i="10"/>
  <c r="R185" i="8"/>
  <c r="E53" i="22"/>
  <c r="BY207" i="19"/>
  <c r="CA208" i="19"/>
  <c r="BW166" i="10"/>
  <c r="BW167" i="10" s="1"/>
  <c r="BW168" i="10" s="1"/>
  <c r="BW169" i="10" s="1"/>
  <c r="BW170" i="10" s="1"/>
  <c r="BX166" i="10"/>
  <c r="CG209" i="10"/>
  <c r="CG202" i="10"/>
  <c r="CI203" i="10"/>
  <c r="CI206" i="10"/>
  <c r="AX164" i="19"/>
  <c r="AW164" i="19"/>
  <c r="MK70" i="14"/>
  <c r="BK30" i="18"/>
  <c r="H32" i="13" s="1"/>
  <c r="H93" i="13" s="1"/>
  <c r="BM30" i="18"/>
  <c r="H64" i="13" s="1"/>
  <c r="BM17" i="18"/>
  <c r="H51" i="13" s="1"/>
  <c r="DI70" i="14"/>
  <c r="BW202" i="19"/>
  <c r="BY203" i="19"/>
  <c r="BW209" i="19"/>
  <c r="BY206" i="19"/>
  <c r="G62" i="21"/>
  <c r="KK40" i="14"/>
  <c r="G29" i="23" s="1"/>
  <c r="G89" i="23"/>
  <c r="FT39" i="14"/>
  <c r="AD13" i="18"/>
  <c r="E15" i="13" s="1"/>
  <c r="E76" i="13" s="1"/>
  <c r="AF13" i="18"/>
  <c r="E47" i="13" s="1"/>
  <c r="AW209" i="10"/>
  <c r="AW202" i="10"/>
  <c r="K61" i="21"/>
  <c r="AV202" i="10"/>
  <c r="AX206" i="10"/>
  <c r="AV209" i="10"/>
  <c r="AX203" i="10"/>
  <c r="AP164" i="19"/>
  <c r="AO164" i="19"/>
  <c r="BC176" i="19"/>
  <c r="BC159" i="19"/>
  <c r="BD176" i="19"/>
  <c r="A174" i="8"/>
  <c r="A177" i="8"/>
  <c r="B177" i="8" s="1"/>
  <c r="Q124" i="8"/>
  <c r="Q326" i="8"/>
  <c r="I43" i="21"/>
  <c r="I73" i="23"/>
  <c r="BB49" i="14"/>
  <c r="AB31" i="14"/>
  <c r="AA31" i="14"/>
  <c r="S31" i="14"/>
  <c r="T31" i="14"/>
  <c r="U31" i="14"/>
  <c r="AX31" i="14"/>
  <c r="AM31" i="14"/>
  <c r="AL31" i="14"/>
  <c r="AJ31" i="14"/>
  <c r="AV31" i="14"/>
  <c r="AU31" i="14"/>
  <c r="AW31" i="14"/>
  <c r="Y31" i="14"/>
  <c r="AC31" i="14" s="1"/>
  <c r="Z31" i="14"/>
  <c r="V31" i="14"/>
  <c r="AO31" i="14"/>
  <c r="AS31" i="14"/>
  <c r="AT31" i="14"/>
  <c r="AK31" i="14"/>
  <c r="AN31" i="14"/>
  <c r="R186" i="8"/>
  <c r="MO21" i="14"/>
  <c r="U57" i="18"/>
  <c r="J59" i="13" s="1"/>
  <c r="S57" i="18"/>
  <c r="J27" i="13" s="1"/>
  <c r="J88" i="13" s="1"/>
  <c r="AO29" i="18"/>
  <c r="F31" i="13" s="1"/>
  <c r="AQ29" i="18"/>
  <c r="F63" i="13" s="1"/>
  <c r="AO16" i="18"/>
  <c r="F18" i="13" s="1"/>
  <c r="F79" i="13" s="1"/>
  <c r="HX27" i="14" s="1"/>
  <c r="F80" i="21" s="1"/>
  <c r="AQ16" i="18"/>
  <c r="F50" i="13" s="1"/>
  <c r="AQ12" i="18"/>
  <c r="F46" i="13" s="1"/>
  <c r="A120" i="8"/>
  <c r="B120" i="8" s="1"/>
  <c r="A124" i="8"/>
  <c r="B124" i="8" s="1"/>
  <c r="L64" i="21"/>
  <c r="AQ55" i="18"/>
  <c r="L57" i="13" s="1"/>
  <c r="AO55" i="18"/>
  <c r="L25" i="13" s="1"/>
  <c r="BB55" i="18"/>
  <c r="M57" i="13" s="1"/>
  <c r="BB167" i="16"/>
  <c r="BB159" i="16"/>
  <c r="G67" i="23"/>
  <c r="KK18" i="14"/>
  <c r="G7" i="23" s="1"/>
  <c r="FP51" i="14"/>
  <c r="N64" i="21"/>
  <c r="I87" i="23"/>
  <c r="BI69" i="14"/>
  <c r="I27" i="23" s="1"/>
  <c r="MK22" i="14"/>
  <c r="C89" i="13"/>
  <c r="BC37" i="14" s="1"/>
  <c r="BI160" i="19"/>
  <c r="BJ177" i="19"/>
  <c r="BI177" i="19"/>
  <c r="KH18" i="14"/>
  <c r="FP69" i="14"/>
  <c r="AZ167" i="19"/>
  <c r="AZ159" i="19"/>
  <c r="D53" i="22"/>
  <c r="CK36" i="14"/>
  <c r="DI31" i="14"/>
  <c r="T41" i="14"/>
  <c r="AS41" i="14"/>
  <c r="AA41" i="14"/>
  <c r="AW41" i="14"/>
  <c r="S41" i="14"/>
  <c r="AB41" i="14"/>
  <c r="Y41" i="14"/>
  <c r="U41" i="14"/>
  <c r="AL41" i="14"/>
  <c r="V41" i="14"/>
  <c r="AX41" i="14"/>
  <c r="Z41" i="14"/>
  <c r="AT41" i="14"/>
  <c r="AK41" i="14"/>
  <c r="AN41" i="14"/>
  <c r="AO41" i="14"/>
  <c r="AJ41" i="14"/>
  <c r="AU41" i="14"/>
  <c r="AV41" i="14"/>
  <c r="AM41" i="14"/>
  <c r="L57" i="22"/>
  <c r="GY71" i="14"/>
  <c r="L70" i="23"/>
  <c r="ID52" i="14"/>
  <c r="L10" i="23" s="1"/>
  <c r="BG254" i="10"/>
  <c r="BH254" i="10"/>
  <c r="AU207" i="19"/>
  <c r="AW208" i="19"/>
  <c r="Q221" i="8"/>
  <c r="R221" i="8"/>
  <c r="AQ50" i="18"/>
  <c r="L52" i="13" s="1"/>
  <c r="I542" i="10"/>
  <c r="J541" i="10"/>
  <c r="K541" i="10" s="1"/>
  <c r="E61" i="21"/>
  <c r="A289" i="8"/>
  <c r="B289" i="8" s="1"/>
  <c r="A286" i="8"/>
  <c r="D89" i="23"/>
  <c r="DP40" i="14"/>
  <c r="D29" i="23" s="1"/>
  <c r="HW36" i="14"/>
  <c r="AO59" i="18"/>
  <c r="L29" i="13" s="1"/>
  <c r="AQ59" i="18"/>
  <c r="L61" i="13" s="1"/>
  <c r="BY191" i="19"/>
  <c r="BW187" i="19"/>
  <c r="BW194" i="19"/>
  <c r="BY188" i="19"/>
  <c r="BT165" i="10"/>
  <c r="BT157" i="10"/>
  <c r="N237" i="8"/>
  <c r="P237" i="8" s="1"/>
  <c r="EC58" i="14"/>
  <c r="ED58" i="14" s="1"/>
  <c r="EE58" i="14" s="1"/>
  <c r="N239" i="8"/>
  <c r="P239" i="8" s="1"/>
  <c r="EC60" i="14"/>
  <c r="ED60" i="14" s="1"/>
  <c r="EE60" i="14" s="1"/>
  <c r="N249" i="8"/>
  <c r="P249" i="8" s="1"/>
  <c r="EC70" i="14"/>
  <c r="ED70" i="14" s="1"/>
  <c r="EE70" i="14" s="1"/>
  <c r="BD199" i="10"/>
  <c r="BD196" i="10"/>
  <c r="BC198" i="10"/>
  <c r="BC196" i="10"/>
  <c r="BC199" i="10"/>
  <c r="BD198" i="10"/>
  <c r="BC197" i="10"/>
  <c r="BD197" i="10"/>
  <c r="G55" i="22"/>
  <c r="AF18" i="18"/>
  <c r="E52" i="13" s="1"/>
  <c r="FP24" i="14"/>
  <c r="AD40" i="14"/>
  <c r="BK43" i="18"/>
  <c r="N13" i="13" s="1"/>
  <c r="BM43" i="18"/>
  <c r="N45" i="13" s="1"/>
  <c r="MO49" i="14"/>
  <c r="BM54" i="18"/>
  <c r="N56" i="13" s="1"/>
  <c r="BK54" i="18"/>
  <c r="N24" i="13" s="1"/>
  <c r="N85" i="13" s="1"/>
  <c r="AV159" i="19"/>
  <c r="C71" i="13"/>
  <c r="Q178" i="8"/>
  <c r="BB51" i="14"/>
  <c r="S30" i="18"/>
  <c r="D32" i="13" s="1"/>
  <c r="U30" i="18"/>
  <c r="D64" i="13" s="1"/>
  <c r="S15" i="18"/>
  <c r="D17" i="13" s="1"/>
  <c r="U15" i="18"/>
  <c r="D49" i="13" s="1"/>
  <c r="H43" i="21"/>
  <c r="BK9" i="18"/>
  <c r="H11" i="13" s="1"/>
  <c r="H72" i="13" s="1"/>
  <c r="BM9" i="18"/>
  <c r="H43" i="13" s="1"/>
  <c r="H57" i="22"/>
  <c r="MR40" i="14"/>
  <c r="H29" i="23" s="1"/>
  <c r="H89" i="23"/>
  <c r="BT161" i="16"/>
  <c r="BS177" i="16" s="1"/>
  <c r="BT169" i="16"/>
  <c r="CA201" i="10"/>
  <c r="BY204" i="10"/>
  <c r="CA198" i="10"/>
  <c r="BY197" i="10"/>
  <c r="J61" i="21"/>
  <c r="B70" i="8"/>
  <c r="F62" i="21"/>
  <c r="HW39" i="14"/>
  <c r="Q213" i="8"/>
  <c r="R213" i="8"/>
  <c r="IA51" i="14"/>
  <c r="M58" i="21"/>
  <c r="M89" i="23"/>
  <c r="KK71" i="14"/>
  <c r="M29" i="23" s="1"/>
  <c r="AX164" i="16"/>
  <c r="AW164" i="16"/>
  <c r="AF52" i="18"/>
  <c r="K54" i="13" s="1"/>
  <c r="AD52" i="18"/>
  <c r="K22" i="13" s="1"/>
  <c r="K83" i="13" s="1"/>
  <c r="R128" i="8"/>
  <c r="BI253" i="10"/>
  <c r="BJ253" i="10"/>
  <c r="S41" i="18"/>
  <c r="J11" i="13" s="1"/>
  <c r="U41" i="18"/>
  <c r="J43" i="13" s="1"/>
  <c r="R159" i="8"/>
  <c r="AO52" i="18"/>
  <c r="L22" i="13" s="1"/>
  <c r="L83" i="13" s="1"/>
  <c r="AQ52" i="18"/>
  <c r="L54" i="13" s="1"/>
  <c r="AJ218" i="16"/>
  <c r="AH276" i="16" s="1"/>
  <c r="AI218" i="16"/>
  <c r="AF276" i="16" s="1"/>
  <c r="AE276" i="16" s="1"/>
  <c r="Q325" i="8"/>
  <c r="G57" i="22"/>
  <c r="JF40" i="14"/>
  <c r="AF16" i="18"/>
  <c r="E50" i="13" s="1"/>
  <c r="AD16" i="18"/>
  <c r="E18" i="13" s="1"/>
  <c r="E79" i="13" s="1"/>
  <c r="FW67" i="14"/>
  <c r="K25" i="23" s="1"/>
  <c r="K85" i="23"/>
  <c r="CB158" i="10"/>
  <c r="LM37" i="14"/>
  <c r="H54" i="22"/>
  <c r="AZ40" i="18"/>
  <c r="M10" i="13" s="1"/>
  <c r="BB40" i="18"/>
  <c r="M42" i="13" s="1"/>
  <c r="JF50" i="14" s="1"/>
  <c r="CB253" i="19"/>
  <c r="KH36" i="14"/>
  <c r="G88" i="23"/>
  <c r="KK39" i="14"/>
  <c r="G28" i="23" s="1"/>
  <c r="AH148" i="10"/>
  <c r="AH132" i="19"/>
  <c r="AH132" i="10"/>
  <c r="AL24" i="14"/>
  <c r="T24" i="14"/>
  <c r="Z24" i="14"/>
  <c r="U24" i="14"/>
  <c r="AW24" i="14"/>
  <c r="AM24" i="14"/>
  <c r="AQ24" i="14" s="1"/>
  <c r="S24" i="14"/>
  <c r="AO24" i="14"/>
  <c r="AB24" i="14"/>
  <c r="AS24" i="14"/>
  <c r="AN24" i="14"/>
  <c r="AT24" i="14"/>
  <c r="AA24" i="14"/>
  <c r="AV24" i="14"/>
  <c r="AZ24" i="14" s="1"/>
  <c r="Y24" i="14"/>
  <c r="AK24" i="14"/>
  <c r="V24" i="14"/>
  <c r="AU24" i="14"/>
  <c r="AX24" i="14"/>
  <c r="AJ24" i="14"/>
  <c r="AP24" i="14" s="1"/>
  <c r="LM36" i="14"/>
  <c r="H53" i="22"/>
  <c r="CB167" i="16"/>
  <c r="CB168" i="16" s="1"/>
  <c r="HW68" i="14"/>
  <c r="E42" i="21"/>
  <c r="C73" i="13"/>
  <c r="AU170" i="16"/>
  <c r="AV170" i="16"/>
  <c r="D43" i="21"/>
  <c r="DI57" i="14"/>
  <c r="K39" i="22"/>
  <c r="ER53" i="14"/>
  <c r="BJ156" i="16"/>
  <c r="BI164" i="16"/>
  <c r="BI165" i="16" s="1"/>
  <c r="BI166" i="16" s="1"/>
  <c r="BI167" i="16" s="1"/>
  <c r="BI168" i="16" s="1"/>
  <c r="BI169" i="16" s="1"/>
  <c r="BI170" i="16" s="1"/>
  <c r="BJ164" i="16"/>
  <c r="I71" i="23"/>
  <c r="BI53" i="14"/>
  <c r="I11" i="23" s="1"/>
  <c r="D57" i="22"/>
  <c r="CK40" i="14"/>
  <c r="H55" i="22"/>
  <c r="LM38" i="14"/>
  <c r="J62" i="21"/>
  <c r="AO7" i="18"/>
  <c r="F9" i="13" s="1"/>
  <c r="AQ7" i="18"/>
  <c r="F41" i="13" s="1"/>
  <c r="AZ46" i="18"/>
  <c r="M16" i="13" s="1"/>
  <c r="BB46" i="18"/>
  <c r="M48" i="13" s="1"/>
  <c r="AD30" i="18"/>
  <c r="E32" i="13" s="1"/>
  <c r="E93" i="13" s="1"/>
  <c r="AF30" i="18"/>
  <c r="E64" i="13" s="1"/>
  <c r="ER41" i="14" s="1"/>
  <c r="BD161" i="16"/>
  <c r="BD177" i="16" s="1"/>
  <c r="BD169" i="16"/>
  <c r="S7" i="18"/>
  <c r="D9" i="13" s="1"/>
  <c r="U7" i="18"/>
  <c r="D41" i="13" s="1"/>
  <c r="AO15" i="18"/>
  <c r="F17" i="13" s="1"/>
  <c r="AQ15" i="18"/>
  <c r="F49" i="13" s="1"/>
  <c r="AO60" i="18"/>
  <c r="L30" i="13" s="1"/>
  <c r="L91" i="13" s="1"/>
  <c r="AQ60" i="18"/>
  <c r="L62" i="13" s="1"/>
  <c r="BP256" i="16"/>
  <c r="BO256" i="16"/>
  <c r="U53" i="18"/>
  <c r="J55" i="13" s="1"/>
  <c r="BB48" i="18"/>
  <c r="M50" i="13" s="1"/>
  <c r="E57" i="22"/>
  <c r="AF50" i="18"/>
  <c r="K52" i="13" s="1"/>
  <c r="H39" i="18"/>
  <c r="I9" i="13" s="1"/>
  <c r="J39" i="18"/>
  <c r="I41" i="13" s="1"/>
  <c r="AZ253" i="19"/>
  <c r="O267" i="8"/>
  <c r="L16" i="5" s="1"/>
  <c r="O268" i="8"/>
  <c r="L17" i="5" s="1"/>
  <c r="O269" i="8"/>
  <c r="L18" i="5" s="1"/>
  <c r="O270" i="8"/>
  <c r="L19" i="5" s="1"/>
  <c r="O271" i="8"/>
  <c r="L20" i="5" s="1"/>
  <c r="O272" i="8"/>
  <c r="L21" i="5" s="1"/>
  <c r="O273" i="8"/>
  <c r="L22" i="5" s="1"/>
  <c r="O262" i="8"/>
  <c r="L11" i="5" s="1"/>
  <c r="O264" i="8"/>
  <c r="L13" i="5" s="1"/>
  <c r="O265" i="8"/>
  <c r="L14" i="5" s="1"/>
  <c r="O266" i="8"/>
  <c r="L15" i="5" s="1"/>
  <c r="O261" i="8"/>
  <c r="L10" i="5" s="1"/>
  <c r="O263" i="8"/>
  <c r="L12" i="5" s="1"/>
  <c r="O257" i="8"/>
  <c r="L6" i="5" s="1"/>
  <c r="O277" i="8"/>
  <c r="L26" i="5" s="1"/>
  <c r="O260" i="8"/>
  <c r="L9" i="5" s="1"/>
  <c r="O276" i="8"/>
  <c r="L25" i="5" s="1"/>
  <c r="O255" i="8"/>
  <c r="L28" i="5" s="1"/>
  <c r="O256" i="8"/>
  <c r="L5" i="5" s="1"/>
  <c r="O278" i="8"/>
  <c r="L27" i="5" s="1"/>
  <c r="O274" i="8"/>
  <c r="L23" i="5" s="1"/>
  <c r="O258" i="8"/>
  <c r="L7" i="5" s="1"/>
  <c r="O259" i="8"/>
  <c r="L8" i="5" s="1"/>
  <c r="O275" i="8"/>
  <c r="L24" i="5" s="1"/>
  <c r="F36" i="22"/>
  <c r="I56" i="22"/>
  <c r="AY164" i="10"/>
  <c r="AY165" i="10" s="1"/>
  <c r="AY166" i="10" s="1"/>
  <c r="AY167" i="10" s="1"/>
  <c r="AY168" i="10" s="1"/>
  <c r="AY169" i="10" s="1"/>
  <c r="AY170" i="10" s="1"/>
  <c r="AZ164" i="10"/>
  <c r="AH152" i="10"/>
  <c r="AH136" i="10"/>
  <c r="AH136" i="19"/>
  <c r="N55" i="22"/>
  <c r="Q199" i="8"/>
  <c r="R199" i="8"/>
  <c r="M35" i="22"/>
  <c r="E60" i="21"/>
  <c r="AD26" i="18"/>
  <c r="E28" i="13" s="1"/>
  <c r="AF26" i="18"/>
  <c r="E60" i="13" s="1"/>
  <c r="BY255" i="10"/>
  <c r="BZ255" i="10"/>
  <c r="N227" i="8"/>
  <c r="P227" i="8" s="1"/>
  <c r="EC72" i="14"/>
  <c r="ED72" i="14" s="1"/>
  <c r="EE72" i="14" s="1"/>
  <c r="O21" i="14"/>
  <c r="P21" i="14" s="1"/>
  <c r="Q21" i="14" s="1"/>
  <c r="N7" i="8"/>
  <c r="P7" i="8" s="1"/>
  <c r="N16" i="8"/>
  <c r="P16" i="8" s="1"/>
  <c r="O30" i="14"/>
  <c r="P30" i="14" s="1"/>
  <c r="Q30" i="14" s="1"/>
  <c r="AE191" i="19"/>
  <c r="AH191" i="19" s="1"/>
  <c r="AG191" i="19"/>
  <c r="BC166" i="10"/>
  <c r="BC167" i="10" s="1"/>
  <c r="BC168" i="10" s="1"/>
  <c r="BC169" i="10" s="1"/>
  <c r="BC170" i="10" s="1"/>
  <c r="BF50" i="14"/>
  <c r="D60" i="21"/>
  <c r="BK23" i="18"/>
  <c r="H25" i="13" s="1"/>
  <c r="BM23" i="18"/>
  <c r="H57" i="13" s="1"/>
  <c r="BT256" i="19"/>
  <c r="BS256" i="19"/>
  <c r="CF208" i="16"/>
  <c r="CD207" i="16"/>
  <c r="A6" i="8"/>
  <c r="A9" i="8"/>
  <c r="B9" i="8" s="1"/>
  <c r="AZ253" i="10"/>
  <c r="BR167" i="16"/>
  <c r="BR159" i="16"/>
  <c r="L87" i="23"/>
  <c r="ID69" i="14"/>
  <c r="L27" i="23" s="1"/>
  <c r="FW36" i="14"/>
  <c r="E25" i="23" s="1"/>
  <c r="E85" i="23"/>
  <c r="AF49" i="18"/>
  <c r="K51" i="13" s="1"/>
  <c r="BM256" i="16"/>
  <c r="BN256" i="16"/>
  <c r="N286" i="8"/>
  <c r="P286" i="8" s="1"/>
  <c r="IQ51" i="14"/>
  <c r="IR51" i="14" s="1"/>
  <c r="IS51" i="14" s="1"/>
  <c r="G38" i="22"/>
  <c r="CC208" i="19"/>
  <c r="CA207" i="19"/>
  <c r="K68" i="23"/>
  <c r="FW50" i="14"/>
  <c r="K8" i="23" s="1"/>
  <c r="I84" i="23"/>
  <c r="F64" i="21"/>
  <c r="L42" i="21"/>
  <c r="AD14" i="18"/>
  <c r="E16" i="13" s="1"/>
  <c r="E77" i="13" s="1"/>
  <c r="AF14" i="18"/>
  <c r="E48" i="13" s="1"/>
  <c r="BK11" i="18"/>
  <c r="H13" i="13" s="1"/>
  <c r="BM11" i="18"/>
  <c r="H45" i="13" s="1"/>
  <c r="F38" i="22"/>
  <c r="AQ159" i="19"/>
  <c r="AR176" i="19"/>
  <c r="AQ176" i="19"/>
  <c r="AR159" i="19"/>
  <c r="BK19" i="18"/>
  <c r="H21" i="13" s="1"/>
  <c r="BM19" i="18"/>
  <c r="H53" i="13" s="1"/>
  <c r="BG41" i="14"/>
  <c r="AF41" i="14"/>
  <c r="C87" i="9"/>
  <c r="S43" i="18"/>
  <c r="J13" i="13" s="1"/>
  <c r="J74" i="13" s="1"/>
  <c r="U43" i="18"/>
  <c r="J45" i="13" s="1"/>
  <c r="L40" i="22"/>
  <c r="E69" i="23"/>
  <c r="FW20" i="14"/>
  <c r="E9" i="23" s="1"/>
  <c r="AD59" i="18"/>
  <c r="K29" i="13" s="1"/>
  <c r="AF59" i="18"/>
  <c r="K61" i="13" s="1"/>
  <c r="ER69" i="14" s="1"/>
  <c r="BN161" i="16"/>
  <c r="BN169" i="16"/>
  <c r="BI52" i="14"/>
  <c r="I10" i="23" s="1"/>
  <c r="I70" i="23"/>
  <c r="DM67" i="14"/>
  <c r="U50" i="18"/>
  <c r="J52" i="13" s="1"/>
  <c r="S50" i="18"/>
  <c r="J20" i="13" s="1"/>
  <c r="J81" i="13" s="1"/>
  <c r="FQ35" i="14"/>
  <c r="E88" i="21" s="1"/>
  <c r="CK254" i="10"/>
  <c r="CK253" i="10" s="1"/>
  <c r="AE191" i="10"/>
  <c r="AH191" i="10" s="1"/>
  <c r="AG191" i="10"/>
  <c r="C91" i="13"/>
  <c r="BZ203" i="10"/>
  <c r="BX202" i="10"/>
  <c r="BX209" i="10"/>
  <c r="BZ206" i="10"/>
  <c r="CD207" i="10"/>
  <c r="CF208" i="10"/>
  <c r="M43" i="21"/>
  <c r="FT38" i="14"/>
  <c r="N240" i="8"/>
  <c r="P240" i="8" s="1"/>
  <c r="EC61" i="14"/>
  <c r="ED61" i="14" s="1"/>
  <c r="EE61" i="14" s="1"/>
  <c r="AD39" i="18"/>
  <c r="K9" i="13" s="1"/>
  <c r="AF39" i="18"/>
  <c r="K41" i="13" s="1"/>
  <c r="BP258" i="16"/>
  <c r="BO258" i="16"/>
  <c r="D86" i="23"/>
  <c r="DP37" i="14"/>
  <c r="D26" i="23" s="1"/>
  <c r="H70" i="23"/>
  <c r="MR21" i="14"/>
  <c r="H10" i="23" s="1"/>
  <c r="GY51" i="14"/>
  <c r="L37" i="22"/>
  <c r="M106" i="14"/>
  <c r="KH66" i="14"/>
  <c r="AN520" i="10"/>
  <c r="AO520" i="10" s="1"/>
  <c r="AM521" i="10"/>
  <c r="MK67" i="14"/>
  <c r="K46" i="21"/>
  <c r="H59" i="21"/>
  <c r="U55" i="18"/>
  <c r="J57" i="13" s="1"/>
  <c r="S55" i="18"/>
  <c r="J25" i="13" s="1"/>
  <c r="J86" i="13" s="1"/>
  <c r="BO164" i="16"/>
  <c r="BO165" i="16" s="1"/>
  <c r="BO166" i="16" s="1"/>
  <c r="BO167" i="16" s="1"/>
  <c r="BO168" i="16" s="1"/>
  <c r="BO169" i="16" s="1"/>
  <c r="BO170" i="16" s="1"/>
  <c r="BP164" i="16"/>
  <c r="BP156" i="16"/>
  <c r="HW72" i="14"/>
  <c r="A155" i="8"/>
  <c r="B155" i="8" s="1"/>
  <c r="A145" i="8"/>
  <c r="N14" i="8"/>
  <c r="P14" i="8" s="1"/>
  <c r="O28" i="14"/>
  <c r="P28" i="14" s="1"/>
  <c r="Q28" i="14" s="1"/>
  <c r="AZ9" i="18"/>
  <c r="G11" i="13" s="1"/>
  <c r="BB9" i="18"/>
  <c r="G43" i="13" s="1"/>
  <c r="CD161" i="16"/>
  <c r="BX206" i="19"/>
  <c r="BX203" i="19"/>
  <c r="BP253" i="16"/>
  <c r="BO253" i="16"/>
  <c r="Q210" i="8"/>
  <c r="R210" i="8"/>
  <c r="L69" i="23"/>
  <c r="ID51" i="14"/>
  <c r="L9" i="23" s="1"/>
  <c r="FQ27" i="14"/>
  <c r="E80" i="21" s="1"/>
  <c r="BU176" i="19"/>
  <c r="BU159" i="19"/>
  <c r="BV176" i="19"/>
  <c r="AZ42" i="18"/>
  <c r="M12" i="13" s="1"/>
  <c r="BB42" i="18"/>
  <c r="M44" i="13" s="1"/>
  <c r="BB13" i="18"/>
  <c r="G47" i="13" s="1"/>
  <c r="BB21" i="18"/>
  <c r="G55" i="13" s="1"/>
  <c r="E63" i="21"/>
  <c r="BM160" i="19"/>
  <c r="BM177" i="19"/>
  <c r="BN177" i="19"/>
  <c r="BJ44" i="18"/>
  <c r="BJ56" i="18"/>
  <c r="BJ51" i="18"/>
  <c r="BJ53" i="18"/>
  <c r="BK53" i="18" s="1"/>
  <c r="N23" i="13" s="1"/>
  <c r="N84" i="13" s="1"/>
  <c r="BJ54" i="18"/>
  <c r="BJ55" i="18"/>
  <c r="BK55" i="18" s="1"/>
  <c r="N25" i="13" s="1"/>
  <c r="N86" i="13" s="1"/>
  <c r="BJ62" i="18"/>
  <c r="BJ47" i="18"/>
  <c r="BJ49" i="18"/>
  <c r="BJ45" i="18"/>
  <c r="BK45" i="18" s="1"/>
  <c r="N15" i="13" s="1"/>
  <c r="N76" i="13" s="1"/>
  <c r="BJ41" i="18"/>
  <c r="BJ59" i="18"/>
  <c r="BJ50" i="18"/>
  <c r="BJ42" i="18"/>
  <c r="BJ61" i="18"/>
  <c r="BJ58" i="18"/>
  <c r="BJ48" i="18"/>
  <c r="BJ52" i="18"/>
  <c r="BK52" i="18" s="1"/>
  <c r="N22" i="13" s="1"/>
  <c r="N83" i="13" s="1"/>
  <c r="BJ40" i="18"/>
  <c r="BJ39" i="18"/>
  <c r="BJ43" i="18"/>
  <c r="BJ60" i="18"/>
  <c r="BJ57" i="18"/>
  <c r="BJ46" i="18"/>
  <c r="BK46" i="18" s="1"/>
  <c r="N16" i="13" s="1"/>
  <c r="N77" i="13" s="1"/>
  <c r="BK47" i="18"/>
  <c r="N17" i="13" s="1"/>
  <c r="BM47" i="18"/>
  <c r="N49" i="13" s="1"/>
  <c r="AR177" i="10"/>
  <c r="AQ160" i="10"/>
  <c r="AQ177" i="10"/>
  <c r="AR160" i="10"/>
  <c r="BW258" i="16"/>
  <c r="BX258" i="16"/>
  <c r="DI38" i="14"/>
  <c r="H36" i="22"/>
  <c r="LM19" i="14"/>
  <c r="H81" i="23"/>
  <c r="ID41" i="14"/>
  <c r="F30" i="23" s="1"/>
  <c r="F90" i="23"/>
  <c r="BF253" i="16"/>
  <c r="BE253" i="16"/>
  <c r="CB256" i="19"/>
  <c r="CB255" i="19" s="1"/>
  <c r="CB254" i="19" s="1"/>
  <c r="CA256" i="19"/>
  <c r="CA255" i="19" s="1"/>
  <c r="CA254" i="19" s="1"/>
  <c r="CA253" i="19" s="1"/>
  <c r="BV253" i="19"/>
  <c r="BU253" i="19"/>
  <c r="CJ164" i="19"/>
  <c r="CI164" i="19"/>
  <c r="CI165" i="19" s="1"/>
  <c r="CI166" i="19" s="1"/>
  <c r="CI167" i="19" s="1"/>
  <c r="CI168" i="19" s="1"/>
  <c r="CI169" i="19" s="1"/>
  <c r="E68" i="23"/>
  <c r="FW19" i="14"/>
  <c r="E8" i="23" s="1"/>
  <c r="Q181" i="8"/>
  <c r="G82" i="23"/>
  <c r="E56" i="22"/>
  <c r="BK59" i="18"/>
  <c r="N29" i="13" s="1"/>
  <c r="BM59" i="18"/>
  <c r="N61" i="13" s="1"/>
  <c r="Q74" i="8"/>
  <c r="DP18" i="14"/>
  <c r="D7" i="23" s="1"/>
  <c r="D67" i="23"/>
  <c r="DI59" i="14"/>
  <c r="DJ59" i="14" s="1"/>
  <c r="J81" i="21" s="1"/>
  <c r="N58" i="22"/>
  <c r="LM72" i="14"/>
  <c r="BZ176" i="10"/>
  <c r="BY159" i="10"/>
  <c r="BY176" i="10"/>
  <c r="BZ159" i="10"/>
  <c r="HW29" i="14"/>
  <c r="AO61" i="18"/>
  <c r="L31" i="13" s="1"/>
  <c r="L92" i="13" s="1"/>
  <c r="HX71" i="14" s="1"/>
  <c r="AQ61" i="18"/>
  <c r="L63" i="13" s="1"/>
  <c r="E54" i="22"/>
  <c r="AO160" i="16"/>
  <c r="AO177" i="16"/>
  <c r="AP177" i="16"/>
  <c r="U39" i="18"/>
  <c r="J41" i="13" s="1"/>
  <c r="CK49" i="14" s="1"/>
  <c r="S39" i="18"/>
  <c r="J9" i="13" s="1"/>
  <c r="J70" i="13" s="1"/>
  <c r="M63" i="21"/>
  <c r="E55" i="22"/>
  <c r="BO158" i="10"/>
  <c r="BP175" i="10"/>
  <c r="BO175" i="10"/>
  <c r="AD68" i="14"/>
  <c r="I54" i="22"/>
  <c r="L55" i="22"/>
  <c r="BZ188" i="19"/>
  <c r="BX194" i="19"/>
  <c r="BZ191" i="19"/>
  <c r="BX187" i="19"/>
  <c r="N235" i="8"/>
  <c r="P235" i="8" s="1"/>
  <c r="EC56" i="14"/>
  <c r="ED56" i="14" s="1"/>
  <c r="EE56" i="14" s="1"/>
  <c r="E40" i="22"/>
  <c r="AF56" i="18"/>
  <c r="K58" i="13" s="1"/>
  <c r="ER66" i="14" s="1"/>
  <c r="AD56" i="18"/>
  <c r="K26" i="13" s="1"/>
  <c r="K87" i="13" s="1"/>
  <c r="BB60" i="14"/>
  <c r="U486" i="10"/>
  <c r="V485" i="10"/>
  <c r="W485" i="10" s="1"/>
  <c r="HW63" i="14"/>
  <c r="Y33" i="14"/>
  <c r="AA33" i="14"/>
  <c r="AU33" i="14"/>
  <c r="AV33" i="14"/>
  <c r="AZ33" i="14" s="1"/>
  <c r="AB33" i="14"/>
  <c r="AK33" i="14"/>
  <c r="AT33" i="14"/>
  <c r="S33" i="14"/>
  <c r="AJ33" i="14"/>
  <c r="V33" i="14"/>
  <c r="AW33" i="14"/>
  <c r="AX33" i="14"/>
  <c r="AO33" i="14"/>
  <c r="Z33" i="14"/>
  <c r="AL33" i="14"/>
  <c r="T33" i="14"/>
  <c r="AM33" i="14"/>
  <c r="U33" i="14"/>
  <c r="AN33" i="14"/>
  <c r="AS33" i="14"/>
  <c r="AY33" i="14" s="1"/>
  <c r="BA33" i="14" s="1"/>
  <c r="MR19" i="14"/>
  <c r="H8" i="23" s="1"/>
  <c r="H68" i="23"/>
  <c r="R188" i="8"/>
  <c r="R67" i="8"/>
  <c r="U51" i="18"/>
  <c r="J53" i="13" s="1"/>
  <c r="A149" i="8"/>
  <c r="B149" i="8" s="1"/>
  <c r="A146" i="8"/>
  <c r="N8" i="8"/>
  <c r="P8" i="8" s="1"/>
  <c r="O22" i="14"/>
  <c r="P22" i="14" s="1"/>
  <c r="Q22" i="14" s="1"/>
  <c r="I36" i="22"/>
  <c r="AD50" i="14"/>
  <c r="AO159" i="10"/>
  <c r="AO176" i="10"/>
  <c r="AP176" i="10"/>
  <c r="AP159" i="10"/>
  <c r="U54" i="18"/>
  <c r="J56" i="13" s="1"/>
  <c r="F84" i="23"/>
  <c r="HX51" i="14"/>
  <c r="L73" i="21" s="1"/>
  <c r="M39" i="22"/>
  <c r="CE160" i="16"/>
  <c r="CF160" i="16"/>
  <c r="KH67" i="14"/>
  <c r="AZ62" i="18"/>
  <c r="M32" i="13" s="1"/>
  <c r="BB62" i="18"/>
  <c r="M64" i="13" s="1"/>
  <c r="N62" i="21"/>
  <c r="J73" i="23"/>
  <c r="FP65" i="14"/>
  <c r="BC61" i="14"/>
  <c r="I83" i="21" s="1"/>
  <c r="BM48" i="18"/>
  <c r="N50" i="13" s="1"/>
  <c r="BK48" i="18"/>
  <c r="N18" i="13" s="1"/>
  <c r="N79" i="13" s="1"/>
  <c r="ML58" i="14" s="1"/>
  <c r="N80" i="21" s="1"/>
  <c r="AQ24" i="18"/>
  <c r="F58" i="13" s="1"/>
  <c r="N54" i="22"/>
  <c r="BK58" i="18"/>
  <c r="N28" i="13" s="1"/>
  <c r="BM58" i="18"/>
  <c r="N60" i="13" s="1"/>
  <c r="LM68" i="14" s="1"/>
  <c r="AO207" i="10"/>
  <c r="AQ208" i="10"/>
  <c r="D62" i="21"/>
  <c r="H62" i="21"/>
  <c r="C256" i="8"/>
  <c r="AO40" i="18"/>
  <c r="L10" i="13" s="1"/>
  <c r="L71" i="13" s="1"/>
  <c r="AQ40" i="18"/>
  <c r="L42" i="13" s="1"/>
  <c r="GY50" i="14" s="1"/>
  <c r="R222" i="8"/>
  <c r="Q222" i="8"/>
  <c r="AV253" i="19"/>
  <c r="AU253" i="19"/>
  <c r="R181" i="8"/>
  <c r="N88" i="23"/>
  <c r="MR70" i="14"/>
  <c r="N28" i="23" s="1"/>
  <c r="H58" i="22"/>
  <c r="LM41" i="14"/>
  <c r="N287" i="8"/>
  <c r="P287" i="8" s="1"/>
  <c r="IQ52" i="14"/>
  <c r="IR52" i="14" s="1"/>
  <c r="IS52" i="14" s="1"/>
  <c r="CE166" i="10"/>
  <c r="CF166" i="10"/>
  <c r="D40" i="22"/>
  <c r="BB164" i="19"/>
  <c r="BA164" i="19"/>
  <c r="BA165" i="19" s="1"/>
  <c r="BA166" i="19" s="1"/>
  <c r="BA167" i="19" s="1"/>
  <c r="BA168" i="19" s="1"/>
  <c r="BA169" i="19" s="1"/>
  <c r="BA170" i="19" s="1"/>
  <c r="BB156" i="19"/>
  <c r="K87" i="23"/>
  <c r="FW69" i="14"/>
  <c r="K27" i="23" s="1"/>
  <c r="AF45" i="18"/>
  <c r="K47" i="13" s="1"/>
  <c r="AD45" i="18"/>
  <c r="K15" i="13" s="1"/>
  <c r="K76" i="13" s="1"/>
  <c r="BK40" i="18"/>
  <c r="N10" i="13" s="1"/>
  <c r="BM40" i="18"/>
  <c r="N42" i="13" s="1"/>
  <c r="LM50" i="14" s="1"/>
  <c r="J46" i="18"/>
  <c r="I48" i="13" s="1"/>
  <c r="B201" i="8"/>
  <c r="B199" i="8"/>
  <c r="C199" i="8" s="1"/>
  <c r="B202" i="8"/>
  <c r="B198" i="8"/>
  <c r="C198" i="8" s="1"/>
  <c r="BY173" i="19"/>
  <c r="BZ173" i="19"/>
  <c r="BY156" i="19"/>
  <c r="BD196" i="19"/>
  <c r="BD198" i="19"/>
  <c r="BD199" i="19"/>
  <c r="BC197" i="19"/>
  <c r="BC196" i="19"/>
  <c r="BC198" i="19"/>
  <c r="BC199" i="19"/>
  <c r="BD197" i="19"/>
  <c r="KD38" i="14"/>
  <c r="BL253" i="19"/>
  <c r="BK253" i="19"/>
  <c r="AE23" i="14"/>
  <c r="C11" i="9"/>
  <c r="MK20" i="14"/>
  <c r="ML20" i="14" s="1"/>
  <c r="H73" i="21" s="1"/>
  <c r="B67" i="8"/>
  <c r="MK19" i="14"/>
  <c r="HW60" i="14"/>
  <c r="M42" i="21"/>
  <c r="ID68" i="14"/>
  <c r="L26" i="23" s="1"/>
  <c r="L86" i="23"/>
  <c r="E36" i="22"/>
  <c r="ER19" i="14"/>
  <c r="AG248" i="16"/>
  <c r="AC249" i="16"/>
  <c r="N13" i="8"/>
  <c r="P13" i="8" s="1"/>
  <c r="O27" i="14"/>
  <c r="P27" i="14" s="1"/>
  <c r="Q27" i="14" s="1"/>
  <c r="AD9" i="18"/>
  <c r="E11" i="13" s="1"/>
  <c r="AF9" i="18"/>
  <c r="E43" i="13" s="1"/>
  <c r="ER20" i="14" s="1"/>
  <c r="N22" i="8"/>
  <c r="P22" i="8" s="1"/>
  <c r="O36" i="14"/>
  <c r="P36" i="14" s="1"/>
  <c r="Q36" i="14" s="1"/>
  <c r="N18" i="8"/>
  <c r="P18" i="8" s="1"/>
  <c r="O32" i="14"/>
  <c r="P32" i="14" s="1"/>
  <c r="Q32" i="14" s="1"/>
  <c r="AF24" i="18"/>
  <c r="E58" i="13" s="1"/>
  <c r="AD24" i="18"/>
  <c r="E26" i="13" s="1"/>
  <c r="E87" i="13" s="1"/>
  <c r="BS164" i="19"/>
  <c r="BS165" i="19" s="1"/>
  <c r="BS166" i="19" s="1"/>
  <c r="BS167" i="19" s="1"/>
  <c r="BS168" i="19" s="1"/>
  <c r="BS169" i="19" s="1"/>
  <c r="BS170" i="19" s="1"/>
  <c r="BT164" i="19"/>
  <c r="BT156" i="19"/>
  <c r="AD43" i="18"/>
  <c r="K13" i="13" s="1"/>
  <c r="AF43" i="18"/>
  <c r="K45" i="13" s="1"/>
  <c r="BK158" i="10"/>
  <c r="BK175" i="10"/>
  <c r="BL175" i="10"/>
  <c r="LM51" i="14"/>
  <c r="N37" i="22"/>
  <c r="AR161" i="16"/>
  <c r="AR177" i="16" s="1"/>
  <c r="BB176" i="16"/>
  <c r="BA176" i="16"/>
  <c r="BA159" i="16"/>
  <c r="I55" i="22"/>
  <c r="BB50" i="14"/>
  <c r="D63" i="21"/>
  <c r="H82" i="23"/>
  <c r="AS177" i="16"/>
  <c r="AS160" i="16"/>
  <c r="AT177" i="16"/>
  <c r="DM52" i="14"/>
  <c r="DM70" i="14"/>
  <c r="DI61" i="14"/>
  <c r="U49" i="18"/>
  <c r="J51" i="13" s="1"/>
  <c r="S49" i="18"/>
  <c r="J19" i="13" s="1"/>
  <c r="J80" i="13" s="1"/>
  <c r="F41" i="21"/>
  <c r="B208" i="8"/>
  <c r="L53" i="22"/>
  <c r="GY67" i="14"/>
  <c r="L60" i="21"/>
  <c r="CI206" i="19"/>
  <c r="CG209" i="19"/>
  <c r="CG202" i="19"/>
  <c r="CI203" i="19"/>
  <c r="BM167" i="16"/>
  <c r="BM168" i="16" s="1"/>
  <c r="BM169" i="16" s="1"/>
  <c r="BM170" i="16" s="1"/>
  <c r="AH146" i="10"/>
  <c r="AH130" i="19"/>
  <c r="AH130" i="10"/>
  <c r="D38" i="22"/>
  <c r="DI64" i="14"/>
  <c r="R216" i="8"/>
  <c r="AW256" i="16"/>
  <c r="AW255" i="16" s="1"/>
  <c r="AW254" i="16" s="1"/>
  <c r="AW253" i="16" s="1"/>
  <c r="BB17" i="18"/>
  <c r="G51" i="13" s="1"/>
  <c r="E35" i="22"/>
  <c r="E64" i="21"/>
  <c r="B71" i="8"/>
  <c r="N56" i="22"/>
  <c r="D90" i="23"/>
  <c r="DP41" i="14"/>
  <c r="D30" i="23" s="1"/>
  <c r="BE258" i="16"/>
  <c r="BF258" i="16"/>
  <c r="R328" i="8"/>
  <c r="D41" i="21"/>
  <c r="AV175" i="10"/>
  <c r="AU175" i="10"/>
  <c r="AV158" i="10"/>
  <c r="AU158" i="10"/>
  <c r="AV157" i="10" s="1"/>
  <c r="K56" i="22"/>
  <c r="N63" i="21"/>
  <c r="AW255" i="10"/>
  <c r="AW254" i="10" s="1"/>
  <c r="AW253" i="10" s="1"/>
  <c r="AX255" i="10"/>
  <c r="AX254" i="10" s="1"/>
  <c r="AX253" i="10" s="1"/>
  <c r="O540" i="10"/>
  <c r="P539" i="10"/>
  <c r="Q539" i="10" s="1"/>
  <c r="N301" i="8"/>
  <c r="P301" i="8" s="1"/>
  <c r="IQ66" i="14"/>
  <c r="IR66" i="14" s="1"/>
  <c r="IS66" i="14" s="1"/>
  <c r="A151" i="8"/>
  <c r="B151" i="8" s="1"/>
  <c r="A154" i="8"/>
  <c r="B154" i="8" s="1"/>
  <c r="AZ12" i="18"/>
  <c r="G14" i="13" s="1"/>
  <c r="BB12" i="18"/>
  <c r="G46" i="13" s="1"/>
  <c r="FT40" i="14"/>
  <c r="AF15" i="18"/>
  <c r="E49" i="13" s="1"/>
  <c r="AB38" i="14"/>
  <c r="U38" i="14"/>
  <c r="AA38" i="14"/>
  <c r="AM38" i="14"/>
  <c r="AQ38" i="14" s="1"/>
  <c r="AK38" i="14"/>
  <c r="AV38" i="14"/>
  <c r="V38" i="14"/>
  <c r="AN38" i="14"/>
  <c r="AL38" i="14"/>
  <c r="AO38" i="14"/>
  <c r="AS38" i="14"/>
  <c r="AW38" i="14"/>
  <c r="AT38" i="14"/>
  <c r="AX38" i="14"/>
  <c r="Y38" i="14"/>
  <c r="Z38" i="14"/>
  <c r="T38" i="14"/>
  <c r="AJ38" i="14"/>
  <c r="AU38" i="14"/>
  <c r="S38" i="14"/>
  <c r="BV168" i="16"/>
  <c r="BV160" i="16"/>
  <c r="BI256" i="19"/>
  <c r="BJ256" i="19"/>
  <c r="K54" i="22"/>
  <c r="FW49" i="14"/>
  <c r="K7" i="23" s="1"/>
  <c r="K67" i="23"/>
  <c r="BH167" i="19"/>
  <c r="BH159" i="19"/>
  <c r="CE176" i="19"/>
  <c r="CF176" i="19"/>
  <c r="CE159" i="19"/>
  <c r="BN164" i="19"/>
  <c r="BM164" i="19"/>
  <c r="BM165" i="19" s="1"/>
  <c r="BM166" i="19" s="1"/>
  <c r="BM167" i="19" s="1"/>
  <c r="BM168" i="19" s="1"/>
  <c r="BM169" i="19" s="1"/>
  <c r="BM170" i="19" s="1"/>
  <c r="BN156" i="19"/>
  <c r="BC160" i="10"/>
  <c r="BD177" i="10"/>
  <c r="BC177" i="10"/>
  <c r="J44" i="18"/>
  <c r="I46" i="13" s="1"/>
  <c r="DI20" i="14"/>
  <c r="U18" i="18"/>
  <c r="D52" i="13" s="1"/>
  <c r="BK18" i="18"/>
  <c r="H20" i="13" s="1"/>
  <c r="H81" i="13" s="1"/>
  <c r="BM18" i="18"/>
  <c r="H52" i="13" s="1"/>
  <c r="U52" i="18"/>
  <c r="J54" i="13" s="1"/>
  <c r="AO30" i="18"/>
  <c r="F32" i="13" s="1"/>
  <c r="AQ30" i="18"/>
  <c r="F64" i="13" s="1"/>
  <c r="AQ48" i="18"/>
  <c r="L50" i="13" s="1"/>
  <c r="M40" i="22"/>
  <c r="BB53" i="18"/>
  <c r="M55" i="13" s="1"/>
  <c r="KD52" i="14"/>
  <c r="CI160" i="16"/>
  <c r="K37" i="22"/>
  <c r="BI160" i="10"/>
  <c r="BI177" i="10"/>
  <c r="BJ177" i="10"/>
  <c r="H45" i="21"/>
  <c r="CF207" i="16"/>
  <c r="CH208" i="16"/>
  <c r="J70" i="23"/>
  <c r="DP52" i="14"/>
  <c r="J10" i="23" s="1"/>
  <c r="AO10" i="18"/>
  <c r="F12" i="13" s="1"/>
  <c r="AQ10" i="18"/>
  <c r="F44" i="13" s="1"/>
  <c r="AQ17" i="18"/>
  <c r="F51" i="13" s="1"/>
  <c r="AO17" i="18"/>
  <c r="F19" i="13" s="1"/>
  <c r="F80" i="13" s="1"/>
  <c r="L38" i="22"/>
  <c r="CA169" i="10"/>
  <c r="E87" i="23"/>
  <c r="FW38" i="14"/>
  <c r="E27" i="23" s="1"/>
  <c r="Q206" i="8"/>
  <c r="R206" i="8"/>
  <c r="AO8" i="18"/>
  <c r="F10" i="13" s="1"/>
  <c r="F71" i="13" s="1"/>
  <c r="AQ8" i="18"/>
  <c r="F42" i="13" s="1"/>
  <c r="CA160" i="19"/>
  <c r="CA177" i="19"/>
  <c r="CB177" i="19"/>
  <c r="CB160" i="19"/>
  <c r="AY166" i="16"/>
  <c r="AY167" i="16" s="1"/>
  <c r="AY168" i="16" s="1"/>
  <c r="AY169" i="16" s="1"/>
  <c r="AY170" i="16" s="1"/>
  <c r="AZ166" i="16"/>
  <c r="H57" i="18"/>
  <c r="I27" i="13" s="1"/>
  <c r="I88" i="13" s="1"/>
  <c r="J57" i="18"/>
  <c r="I59" i="13" s="1"/>
  <c r="D58" i="21"/>
  <c r="DJ23" i="14"/>
  <c r="D76" i="21" s="1"/>
  <c r="R179" i="8"/>
  <c r="AQ51" i="18"/>
  <c r="L53" i="13" s="1"/>
  <c r="CI176" i="10"/>
  <c r="CJ176" i="10"/>
  <c r="CI159" i="10"/>
  <c r="J45" i="21"/>
  <c r="BZ253" i="19"/>
  <c r="BY253" i="19"/>
  <c r="R204" i="8"/>
  <c r="Q204" i="8"/>
  <c r="L94" i="14"/>
  <c r="IA54" i="14"/>
  <c r="KD53" i="14"/>
  <c r="KD40" i="14"/>
  <c r="FW18" i="14"/>
  <c r="E7" i="23" s="1"/>
  <c r="E67" i="23"/>
  <c r="AX209" i="10"/>
  <c r="AX202" i="10"/>
  <c r="R187" i="8"/>
  <c r="FP54" i="14"/>
  <c r="BN168" i="16"/>
  <c r="BN160" i="16"/>
  <c r="A183" i="8"/>
  <c r="B183" i="8" s="1"/>
  <c r="A173" i="8"/>
  <c r="LM66" i="14"/>
  <c r="N52" i="22"/>
  <c r="BM51" i="18"/>
  <c r="N53" i="13" s="1"/>
  <c r="BK51" i="18"/>
  <c r="N21" i="13" s="1"/>
  <c r="AS255" i="10"/>
  <c r="AS254" i="10" s="1"/>
  <c r="AS253" i="10" s="1"/>
  <c r="AT255" i="10"/>
  <c r="AT254" i="10" s="1"/>
  <c r="AT253" i="10" s="1"/>
  <c r="R326" i="8"/>
  <c r="BF51" i="14"/>
  <c r="BB55" i="14"/>
  <c r="H56" i="18"/>
  <c r="I26" i="13" s="1"/>
  <c r="J56" i="18"/>
  <c r="I58" i="13" s="1"/>
  <c r="AT164" i="10"/>
  <c r="AS164" i="10"/>
  <c r="Q186" i="8"/>
  <c r="D61" i="21"/>
  <c r="LM21" i="14"/>
  <c r="H38" i="22"/>
  <c r="H88" i="23"/>
  <c r="MR39" i="14"/>
  <c r="H28" i="23" s="1"/>
  <c r="BM161" i="16"/>
  <c r="CK67" i="14"/>
  <c r="J53" i="22"/>
  <c r="F57" i="22"/>
  <c r="GY40" i="14"/>
  <c r="A126" i="8"/>
  <c r="B126" i="8" s="1"/>
  <c r="A123" i="8"/>
  <c r="B123" i="8" s="1"/>
  <c r="BB39" i="18"/>
  <c r="M41" i="13" s="1"/>
  <c r="AZ39" i="18"/>
  <c r="M9" i="13" s="1"/>
  <c r="M70" i="13" s="1"/>
  <c r="M69" i="23"/>
  <c r="KK51" i="14"/>
  <c r="M9" i="23" s="1"/>
  <c r="M90" i="23"/>
  <c r="KK72" i="14"/>
  <c r="M30" i="23" s="1"/>
  <c r="BB69" i="14"/>
  <c r="F55" i="22"/>
  <c r="GY38" i="14"/>
  <c r="HW56" i="14"/>
  <c r="AZ7" i="18"/>
  <c r="G9" i="13" s="1"/>
  <c r="BB7" i="18"/>
  <c r="G41" i="13" s="1"/>
  <c r="AT159" i="19"/>
  <c r="HW52" i="14"/>
  <c r="G58" i="22"/>
  <c r="JF41" i="14"/>
  <c r="R41" i="8"/>
  <c r="N40" i="22"/>
  <c r="BE256" i="16"/>
  <c r="BF256" i="16"/>
  <c r="AX177" i="19"/>
  <c r="AW160" i="19"/>
  <c r="AW177" i="19"/>
  <c r="BB62" i="14"/>
  <c r="BC62" i="14" s="1"/>
  <c r="I84" i="21" s="1"/>
  <c r="CL253" i="19"/>
  <c r="MK31" i="14"/>
  <c r="AO39" i="18"/>
  <c r="L9" i="13" s="1"/>
  <c r="AQ39" i="18"/>
  <c r="L41" i="13" s="1"/>
  <c r="GY49" i="14" s="1"/>
  <c r="FP25" i="14"/>
  <c r="MK60" i="14"/>
  <c r="ML60" i="14" s="1"/>
  <c r="N82" i="21" s="1"/>
  <c r="A295" i="8"/>
  <c r="B295" i="8" s="1"/>
  <c r="A285" i="8"/>
  <c r="DI40" i="14"/>
  <c r="BM16" i="18"/>
  <c r="H50" i="13" s="1"/>
  <c r="IA69" i="14"/>
  <c r="N242" i="8"/>
  <c r="P242" i="8" s="1"/>
  <c r="EC63" i="14"/>
  <c r="ED63" i="14" s="1"/>
  <c r="EE63" i="14" s="1"/>
  <c r="N233" i="8"/>
  <c r="P233" i="8" s="1"/>
  <c r="EC54" i="14"/>
  <c r="ED54" i="14" s="1"/>
  <c r="EE54" i="14" s="1"/>
  <c r="N247" i="8"/>
  <c r="P247" i="8" s="1"/>
  <c r="EC68" i="14"/>
  <c r="ED68" i="14" s="1"/>
  <c r="EE68" i="14" s="1"/>
  <c r="AZ27" i="18"/>
  <c r="G29" i="13" s="1"/>
  <c r="BB27" i="18"/>
  <c r="G61" i="13" s="1"/>
  <c r="JF38" i="14" s="1"/>
  <c r="AZ15" i="18"/>
  <c r="G17" i="13" s="1"/>
  <c r="BB15" i="18"/>
  <c r="G49" i="13" s="1"/>
  <c r="FP34" i="14"/>
  <c r="K35" i="22"/>
  <c r="ER49" i="14"/>
  <c r="N35" i="22"/>
  <c r="LM49" i="14"/>
  <c r="BK39" i="18"/>
  <c r="N9" i="13" s="1"/>
  <c r="BM39" i="18"/>
  <c r="N41" i="13" s="1"/>
  <c r="BE255" i="10"/>
  <c r="BF255" i="10"/>
  <c r="I82" i="23"/>
  <c r="BV161" i="16"/>
  <c r="BV169" i="16"/>
  <c r="D45" i="21"/>
  <c r="DI33" i="14"/>
  <c r="MO20" i="14"/>
  <c r="BK29" i="18"/>
  <c r="H31" i="13" s="1"/>
  <c r="BM29" i="18"/>
  <c r="H63" i="13" s="1"/>
  <c r="CA158" i="10"/>
  <c r="CB157" i="10" s="1"/>
  <c r="CB175" i="10"/>
  <c r="CA175" i="10"/>
  <c r="DM69" i="14"/>
  <c r="DI58" i="14"/>
  <c r="AQ26" i="18"/>
  <c r="F60" i="13" s="1"/>
  <c r="GY37" i="14" s="1"/>
  <c r="AO26" i="18"/>
  <c r="F28" i="13" s="1"/>
  <c r="F89" i="13" s="1"/>
  <c r="HX37" i="14" s="1"/>
  <c r="IA39" i="14"/>
  <c r="F67" i="23"/>
  <c r="ID18" i="14"/>
  <c r="F7" i="23" s="1"/>
  <c r="A118" i="8"/>
  <c r="A121" i="8"/>
  <c r="B121" i="8" s="1"/>
  <c r="HW59" i="14"/>
  <c r="HX59" i="14" s="1"/>
  <c r="L81" i="21" s="1"/>
  <c r="M56" i="22"/>
  <c r="JF70" i="14"/>
  <c r="KD71" i="14"/>
  <c r="G72" i="23"/>
  <c r="DI62" i="14"/>
  <c r="Q159" i="8"/>
  <c r="FP67" i="14"/>
  <c r="FQ67" i="14" s="1"/>
  <c r="K89" i="21" s="1"/>
  <c r="CK255" i="10"/>
  <c r="CL255" i="10"/>
  <c r="CL254" i="10" s="1"/>
  <c r="CL253" i="10" s="1"/>
  <c r="DP69" i="14"/>
  <c r="J27" i="23" s="1"/>
  <c r="J87" i="23"/>
  <c r="BB51" i="18"/>
  <c r="M53" i="13" s="1"/>
  <c r="KD39" i="14"/>
  <c r="BP164" i="19"/>
  <c r="BO164" i="19"/>
  <c r="BO165" i="19" s="1"/>
  <c r="BO166" i="19" s="1"/>
  <c r="BO167" i="19" s="1"/>
  <c r="BO168" i="19" s="1"/>
  <c r="BO169" i="19" s="1"/>
  <c r="BO170" i="19" s="1"/>
  <c r="BP156" i="19"/>
  <c r="N59" i="21"/>
  <c r="BK57" i="18"/>
  <c r="N27" i="13" s="1"/>
  <c r="BM57" i="18"/>
  <c r="N59" i="13" s="1"/>
  <c r="AM538" i="10"/>
  <c r="AN537" i="10"/>
  <c r="AO537" i="10" s="1"/>
  <c r="DI22" i="14"/>
  <c r="K53" i="22"/>
  <c r="ER67" i="14"/>
  <c r="AD57" i="18"/>
  <c r="K27" i="13" s="1"/>
  <c r="K88" i="13" s="1"/>
  <c r="AF57" i="18"/>
  <c r="K59" i="13" s="1"/>
  <c r="MK51" i="14"/>
  <c r="J53" i="18"/>
  <c r="I55" i="13" s="1"/>
  <c r="DI24" i="14"/>
  <c r="CJ161" i="16"/>
  <c r="CJ177" i="16" s="1"/>
  <c r="CJ169" i="16"/>
  <c r="CJ170" i="16" s="1"/>
  <c r="AB520" i="10"/>
  <c r="AC520" i="10" s="1"/>
  <c r="AA521" i="10"/>
  <c r="N25" i="8"/>
  <c r="P25" i="8" s="1"/>
  <c r="O39" i="14"/>
  <c r="P39" i="14" s="1"/>
  <c r="Q39" i="14" s="1"/>
  <c r="G69" i="23"/>
  <c r="KK20" i="14"/>
  <c r="G9" i="23" s="1"/>
  <c r="K58" i="22"/>
  <c r="L68" i="23"/>
  <c r="ID50" i="14"/>
  <c r="L8" i="23" s="1"/>
  <c r="D44" i="21"/>
  <c r="F45" i="21"/>
  <c r="AQ25" i="18"/>
  <c r="F59" i="13" s="1"/>
  <c r="AO25" i="18"/>
  <c r="F27" i="13" s="1"/>
  <c r="F88" i="13" s="1"/>
  <c r="AU258" i="16"/>
  <c r="AU257" i="16" s="1"/>
  <c r="AU256" i="16" s="1"/>
  <c r="AU255" i="16" s="1"/>
  <c r="AU254" i="16" s="1"/>
  <c r="AU253" i="16" s="1"/>
  <c r="AV258" i="16"/>
  <c r="AV257" i="16" s="1"/>
  <c r="AV256" i="16" s="1"/>
  <c r="AV255" i="16" s="1"/>
  <c r="AV254" i="16" s="1"/>
  <c r="AV253" i="16" s="1"/>
  <c r="CC160" i="19"/>
  <c r="CD177" i="19"/>
  <c r="CC177" i="19"/>
  <c r="CD160" i="19"/>
  <c r="CJ258" i="16"/>
  <c r="CJ257" i="16" s="1"/>
  <c r="CJ256" i="16" s="1"/>
  <c r="CJ255" i="16" s="1"/>
  <c r="CJ254" i="16" s="1"/>
  <c r="CJ253" i="16" s="1"/>
  <c r="CI258" i="16"/>
  <c r="CI257" i="16" s="1"/>
  <c r="CI256" i="16" s="1"/>
  <c r="CI255" i="16" s="1"/>
  <c r="CI254" i="16" s="1"/>
  <c r="CI253" i="16" s="1"/>
  <c r="BX256" i="16"/>
  <c r="BW256" i="16"/>
  <c r="S28" i="18"/>
  <c r="D30" i="13" s="1"/>
  <c r="D91" i="13" s="1"/>
  <c r="U28" i="18"/>
  <c r="D62" i="13" s="1"/>
  <c r="BS258" i="16"/>
  <c r="BT258" i="16"/>
  <c r="AC221" i="16"/>
  <c r="AD220" i="16"/>
  <c r="AD53" i="14"/>
  <c r="I39" i="22"/>
  <c r="DI50" i="14"/>
  <c r="CB164" i="19"/>
  <c r="CA164" i="19"/>
  <c r="BG160" i="10"/>
  <c r="BH177" i="10"/>
  <c r="BG177" i="10"/>
  <c r="CG206" i="10"/>
  <c r="CG203" i="10"/>
  <c r="CE209" i="10"/>
  <c r="CE202" i="10"/>
  <c r="JF22" i="14"/>
  <c r="G39" i="22"/>
  <c r="N245" i="8"/>
  <c r="P245" i="8" s="1"/>
  <c r="EC66" i="14"/>
  <c r="ED66" i="14" s="1"/>
  <c r="EE66" i="14" s="1"/>
  <c r="AT174" i="10"/>
  <c r="AS157" i="10"/>
  <c r="AS174" i="10"/>
  <c r="AT157" i="10"/>
  <c r="D58" i="22"/>
  <c r="CK41" i="14"/>
  <c r="MR20" i="14"/>
  <c r="H9" i="23" s="1"/>
  <c r="H69" i="23"/>
  <c r="DJ67" i="14"/>
  <c r="J89" i="21" s="1"/>
  <c r="HW21" i="14"/>
  <c r="J37" i="22"/>
  <c r="K57" i="22"/>
  <c r="ER71" i="14"/>
  <c r="AQ19" i="18"/>
  <c r="F53" i="13" s="1"/>
  <c r="AF20" i="18"/>
  <c r="E54" i="13" s="1"/>
  <c r="BF164" i="10"/>
  <c r="BE164" i="10"/>
  <c r="BE165" i="10" s="1"/>
  <c r="BE166" i="10" s="1"/>
  <c r="BE167" i="10" s="1"/>
  <c r="BE168" i="10" s="1"/>
  <c r="BE169" i="10" s="1"/>
  <c r="BE170" i="10" s="1"/>
  <c r="BF156" i="10"/>
  <c r="N4" i="8"/>
  <c r="P4" i="8" s="1"/>
  <c r="O18" i="14"/>
  <c r="P18" i="14" s="1"/>
  <c r="Q18" i="14" s="1"/>
  <c r="E52" i="22"/>
  <c r="N67" i="23"/>
  <c r="MR49" i="14"/>
  <c r="N7" i="23" s="1"/>
  <c r="O291" i="8"/>
  <c r="M12" i="5" s="1"/>
  <c r="O293" i="8"/>
  <c r="M14" i="5" s="1"/>
  <c r="O290" i="8"/>
  <c r="M11" i="5" s="1"/>
  <c r="O297" i="8"/>
  <c r="O301" i="8"/>
  <c r="M22" i="5" s="1"/>
  <c r="O292" i="8"/>
  <c r="M13" i="5" s="1"/>
  <c r="O298" i="8"/>
  <c r="M19" i="5" s="1"/>
  <c r="O295" i="8"/>
  <c r="O299" i="8"/>
  <c r="M20" i="5" s="1"/>
  <c r="O289" i="8"/>
  <c r="M10" i="5" s="1"/>
  <c r="O296" i="8"/>
  <c r="O300" i="8"/>
  <c r="M21" i="5" s="1"/>
  <c r="O294" i="8"/>
  <c r="M15" i="5" s="1"/>
  <c r="O303" i="8"/>
  <c r="M24" i="5" s="1"/>
  <c r="O287" i="8"/>
  <c r="M8" i="5" s="1"/>
  <c r="O286" i="8"/>
  <c r="M7" i="5" s="1"/>
  <c r="O283" i="8"/>
  <c r="M28" i="5" s="1"/>
  <c r="O306" i="8"/>
  <c r="M27" i="5" s="1"/>
  <c r="O305" i="8"/>
  <c r="M26" i="5" s="1"/>
  <c r="O304" i="8"/>
  <c r="M25" i="5" s="1"/>
  <c r="O302" i="8"/>
  <c r="M23" i="5" s="1"/>
  <c r="O285" i="8"/>
  <c r="M6" i="5" s="1"/>
  <c r="O288" i="8"/>
  <c r="M9" i="5" s="1"/>
  <c r="O284" i="8"/>
  <c r="M5" i="5" s="1"/>
  <c r="H59" i="18"/>
  <c r="I29" i="13" s="1"/>
  <c r="J59" i="18"/>
  <c r="I61" i="13" s="1"/>
  <c r="AD69" i="14" s="1"/>
  <c r="DP19" i="14"/>
  <c r="D8" i="23" s="1"/>
  <c r="D68" i="23"/>
  <c r="J38" i="22"/>
  <c r="CK52" i="14"/>
  <c r="S60" i="18"/>
  <c r="J30" i="13" s="1"/>
  <c r="U60" i="18"/>
  <c r="J62" i="13" s="1"/>
  <c r="F35" i="22"/>
  <c r="GY18" i="14"/>
  <c r="BE160" i="19"/>
  <c r="BF177" i="19"/>
  <c r="BE177" i="19"/>
  <c r="BB57" i="18"/>
  <c r="M59" i="13" s="1"/>
  <c r="AZ57" i="18"/>
  <c r="M27" i="13" s="1"/>
  <c r="CA170" i="16"/>
  <c r="J58" i="22"/>
  <c r="CK72" i="14"/>
  <c r="BQ254" i="10"/>
  <c r="BR254" i="10"/>
  <c r="FW71" i="14"/>
  <c r="K29" i="23" s="1"/>
  <c r="K89" i="23"/>
  <c r="CF206" i="19"/>
  <c r="CD202" i="19"/>
  <c r="CD209" i="19"/>
  <c r="CF203" i="19"/>
  <c r="M37" i="2"/>
  <c r="M36" i="2"/>
  <c r="M35" i="2"/>
  <c r="M39" i="2"/>
  <c r="M42" i="2"/>
  <c r="M41" i="2"/>
  <c r="M44" i="2"/>
  <c r="M43" i="2"/>
  <c r="M40" i="2"/>
  <c r="M34" i="2"/>
  <c r="M38" i="2"/>
  <c r="M31" i="2"/>
  <c r="M32" i="2"/>
  <c r="M27" i="2"/>
  <c r="M28" i="2"/>
  <c r="M24" i="2"/>
  <c r="M23" i="2"/>
  <c r="M33" i="2"/>
  <c r="M30" i="2"/>
  <c r="M25" i="2"/>
  <c r="M21" i="2"/>
  <c r="M26" i="2"/>
  <c r="M22" i="2"/>
  <c r="M29" i="2"/>
  <c r="R183" i="8"/>
  <c r="D106" i="14"/>
  <c r="DM35" i="14"/>
  <c r="CH209" i="10"/>
  <c r="CH202" i="10"/>
  <c r="CJ203" i="10"/>
  <c r="CJ206" i="10"/>
  <c r="CF161" i="16"/>
  <c r="CE177" i="16" s="1"/>
  <c r="J88" i="23"/>
  <c r="DP70" i="14"/>
  <c r="J28" i="23" s="1"/>
  <c r="KD33" i="14"/>
  <c r="BQ256" i="16"/>
  <c r="BR256" i="16"/>
  <c r="H41" i="18"/>
  <c r="I11" i="13" s="1"/>
  <c r="I72" i="13" s="1"/>
  <c r="J41" i="18"/>
  <c r="I43" i="13" s="1"/>
  <c r="BI49" i="14"/>
  <c r="I7" i="23" s="1"/>
  <c r="I67" i="23"/>
  <c r="BY258" i="16"/>
  <c r="BZ258" i="16"/>
  <c r="BS255" i="10"/>
  <c r="BT255" i="10"/>
  <c r="BQ167" i="16"/>
  <c r="BQ168" i="16" s="1"/>
  <c r="BQ169" i="16" s="1"/>
  <c r="BQ170" i="16" s="1"/>
  <c r="KD56" i="14"/>
  <c r="AZ11" i="18"/>
  <c r="G13" i="13" s="1"/>
  <c r="G74" i="13" s="1"/>
  <c r="BB11" i="18"/>
  <c r="G45" i="13" s="1"/>
  <c r="K69" i="23"/>
  <c r="FW51" i="14"/>
  <c r="K9" i="23" s="1"/>
  <c r="BX167" i="19"/>
  <c r="BX159" i="19"/>
  <c r="AD52" i="14"/>
  <c r="I38" i="22"/>
  <c r="BD41" i="14"/>
  <c r="C94" i="21"/>
  <c r="C34" i="21" s="1"/>
  <c r="L63" i="21"/>
  <c r="CE208" i="10"/>
  <c r="CC207" i="10"/>
  <c r="DI39" i="14"/>
  <c r="DJ39" i="14" s="1"/>
  <c r="D92" i="21" s="1"/>
  <c r="J83" i="23"/>
  <c r="N230" i="8"/>
  <c r="P230" i="8" s="1"/>
  <c r="EC51" i="14"/>
  <c r="ED51" i="14" s="1"/>
  <c r="EE51" i="14" s="1"/>
  <c r="AY26" i="18"/>
  <c r="AY10" i="18"/>
  <c r="AY11" i="18"/>
  <c r="AY25" i="18"/>
  <c r="AY20" i="18"/>
  <c r="AY22" i="18"/>
  <c r="AY23" i="18"/>
  <c r="AY30" i="18"/>
  <c r="AY14" i="18"/>
  <c r="AY7" i="18"/>
  <c r="AY9" i="18"/>
  <c r="AY17" i="18"/>
  <c r="AZ17" i="18" s="1"/>
  <c r="G19" i="13" s="1"/>
  <c r="G80" i="13" s="1"/>
  <c r="AY24" i="18"/>
  <c r="AY28" i="18"/>
  <c r="AY15" i="18"/>
  <c r="AY12" i="18"/>
  <c r="AY19" i="18"/>
  <c r="AZ19" i="18" s="1"/>
  <c r="G21" i="13" s="1"/>
  <c r="G82" i="13" s="1"/>
  <c r="AY13" i="18"/>
  <c r="AZ13" i="18" s="1"/>
  <c r="G15" i="13" s="1"/>
  <c r="G76" i="13" s="1"/>
  <c r="AY18" i="18"/>
  <c r="AZ18" i="18" s="1"/>
  <c r="G20" i="13" s="1"/>
  <c r="G81" i="13" s="1"/>
  <c r="AY21" i="18"/>
  <c r="AZ21" i="18" s="1"/>
  <c r="G23" i="13" s="1"/>
  <c r="G84" i="13" s="1"/>
  <c r="AY29" i="18"/>
  <c r="AY8" i="18"/>
  <c r="AY27" i="18"/>
  <c r="AY16" i="18"/>
  <c r="AD48" i="18"/>
  <c r="K18" i="13" s="1"/>
  <c r="AF48" i="18"/>
  <c r="K50" i="13" s="1"/>
  <c r="I69" i="23"/>
  <c r="BI51" i="14"/>
  <c r="I9" i="23" s="1"/>
  <c r="S11" i="18"/>
  <c r="D13" i="13" s="1"/>
  <c r="U11" i="18"/>
  <c r="D45" i="13" s="1"/>
  <c r="CK22" i="14" s="1"/>
  <c r="BF167" i="16"/>
  <c r="BF159" i="16"/>
  <c r="KH40" i="14"/>
  <c r="BM52" i="18"/>
  <c r="N54" i="13" s="1"/>
  <c r="Q188" i="8"/>
  <c r="N21" i="14"/>
  <c r="Q67" i="8"/>
  <c r="N19" i="8"/>
  <c r="P19" i="8" s="1"/>
  <c r="O33" i="14"/>
  <c r="P33" i="14" s="1"/>
  <c r="Q33" i="14" s="1"/>
  <c r="CA177" i="16"/>
  <c r="CB177" i="16"/>
  <c r="CA160" i="16"/>
  <c r="N6" i="8"/>
  <c r="P6" i="8" s="1"/>
  <c r="O20" i="14"/>
  <c r="P20" i="14" s="1"/>
  <c r="Q20" i="14" s="1"/>
  <c r="N17" i="8"/>
  <c r="P17" i="8" s="1"/>
  <c r="O31" i="14"/>
  <c r="P31" i="14" s="1"/>
  <c r="Q31" i="14" s="1"/>
  <c r="AV255" i="10"/>
  <c r="AV254" i="10" s="1"/>
  <c r="AV253" i="10" s="1"/>
  <c r="AU255" i="10"/>
  <c r="AU254" i="10" s="1"/>
  <c r="AU253" i="10" s="1"/>
  <c r="AD62" i="18"/>
  <c r="K32" i="13" s="1"/>
  <c r="AF62" i="18"/>
  <c r="K64" i="13" s="1"/>
  <c r="BK160" i="16"/>
  <c r="BL177" i="16"/>
  <c r="BK177" i="16"/>
  <c r="BC22" i="14"/>
  <c r="I74" i="23"/>
  <c r="CL258" i="16"/>
  <c r="CK258" i="16"/>
  <c r="D70" i="23"/>
  <c r="DP21" i="14"/>
  <c r="D10" i="23" s="1"/>
  <c r="MK33" i="14"/>
  <c r="ML33" i="14" s="1"/>
  <c r="H86" i="21" s="1"/>
  <c r="AQ23" i="18"/>
  <c r="F57" i="13" s="1"/>
  <c r="R220" i="8"/>
  <c r="Q220" i="8"/>
  <c r="AO57" i="18"/>
  <c r="L27" i="13" s="1"/>
  <c r="L88" i="13" s="1"/>
  <c r="AQ57" i="18"/>
  <c r="L59" i="13" s="1"/>
  <c r="KH53" i="14"/>
  <c r="KD65" i="14"/>
  <c r="BM253" i="19"/>
  <c r="BN253" i="19"/>
  <c r="CH202" i="19"/>
  <c r="CJ203" i="19"/>
  <c r="CJ206" i="19"/>
  <c r="CH209" i="19"/>
  <c r="BT160" i="16"/>
  <c r="BT168" i="16"/>
  <c r="S10" i="18"/>
  <c r="D12" i="13" s="1"/>
  <c r="U10" i="18"/>
  <c r="D44" i="13" s="1"/>
  <c r="N35" i="14"/>
  <c r="Q216" i="8"/>
  <c r="AF51" i="18"/>
  <c r="K53" i="13" s="1"/>
  <c r="AF54" i="18"/>
  <c r="K56" i="13" s="1"/>
  <c r="BK60" i="18"/>
  <c r="N30" i="13" s="1"/>
  <c r="BM60" i="18"/>
  <c r="N62" i="13" s="1"/>
  <c r="LM70" i="14" s="1"/>
  <c r="BF253" i="19"/>
  <c r="BE253" i="19"/>
  <c r="IA22" i="14"/>
  <c r="F83" i="23"/>
  <c r="M55" i="22"/>
  <c r="KD58" i="14"/>
  <c r="AR208" i="16"/>
  <c r="AP207" i="16"/>
  <c r="K44" i="21"/>
  <c r="AS169" i="16"/>
  <c r="S40" i="18"/>
  <c r="J10" i="13" s="1"/>
  <c r="U40" i="18"/>
  <c r="J42" i="13" s="1"/>
  <c r="A12" i="8"/>
  <c r="B12" i="8" s="1"/>
  <c r="A8" i="8"/>
  <c r="B8" i="8" s="1"/>
  <c r="IA70" i="14"/>
  <c r="K62" i="21"/>
  <c r="I72" i="23"/>
  <c r="J64" i="21"/>
  <c r="F59" i="21"/>
  <c r="M38" i="22"/>
  <c r="JF52" i="14"/>
  <c r="N295" i="8"/>
  <c r="P295" i="8" s="1"/>
  <c r="IQ60" i="14"/>
  <c r="IR60" i="14" s="1"/>
  <c r="IS60" i="14" s="1"/>
  <c r="CH256" i="16"/>
  <c r="CH255" i="16" s="1"/>
  <c r="CH254" i="16" s="1"/>
  <c r="CH253" i="16" s="1"/>
  <c r="CG256" i="16"/>
  <c r="CG255" i="16" s="1"/>
  <c r="CG254" i="16" s="1"/>
  <c r="CG253" i="16" s="1"/>
  <c r="A152" i="8"/>
  <c r="B152" i="8" s="1"/>
  <c r="A148" i="8"/>
  <c r="B148" i="8" s="1"/>
  <c r="G83" i="23"/>
  <c r="FW37" i="14"/>
  <c r="E26" i="23" s="1"/>
  <c r="E86" i="23"/>
  <c r="FP49" i="14"/>
  <c r="N60" i="21"/>
  <c r="MK59" i="14"/>
  <c r="BC19" i="14"/>
  <c r="BA256" i="19"/>
  <c r="BA255" i="19" s="1"/>
  <c r="BA254" i="19" s="1"/>
  <c r="BA253" i="19" s="1"/>
  <c r="BB256" i="19"/>
  <c r="BB255" i="19" s="1"/>
  <c r="BB254" i="19" s="1"/>
  <c r="BB253" i="19" s="1"/>
  <c r="I35" i="22"/>
  <c r="AD49" i="14"/>
  <c r="B211" i="8"/>
  <c r="BK8" i="18"/>
  <c r="H10" i="13" s="1"/>
  <c r="H71" i="13" s="1"/>
  <c r="BM8" i="18"/>
  <c r="H42" i="13" s="1"/>
  <c r="H56" i="22"/>
  <c r="MK27" i="14"/>
  <c r="BR258" i="16"/>
  <c r="BQ258" i="16"/>
  <c r="U48" i="18"/>
  <c r="J50" i="13" s="1"/>
  <c r="ID22" i="14"/>
  <c r="F11" i="23" s="1"/>
  <c r="F71" i="23"/>
  <c r="AO20" i="18"/>
  <c r="F22" i="13" s="1"/>
  <c r="AQ20" i="18"/>
  <c r="F54" i="13" s="1"/>
  <c r="Q209" i="8"/>
  <c r="R209" i="8"/>
  <c r="L36" i="22"/>
  <c r="L39" i="22"/>
  <c r="HW64" i="14"/>
  <c r="M94" i="14"/>
  <c r="KH54" i="14"/>
  <c r="BB44" i="18"/>
  <c r="M46" i="13" s="1"/>
  <c r="AZ44" i="18"/>
  <c r="M14" i="13" s="1"/>
  <c r="M75" i="13" s="1"/>
  <c r="BD160" i="16"/>
  <c r="BD168" i="16"/>
  <c r="AR164" i="19"/>
  <c r="AQ164" i="19"/>
  <c r="AZ8" i="18"/>
  <c r="G10" i="13" s="1"/>
  <c r="BB8" i="18"/>
  <c r="G42" i="13" s="1"/>
  <c r="JF19" i="14" s="1"/>
  <c r="AD41" i="18"/>
  <c r="K11" i="13" s="1"/>
  <c r="AF41" i="18"/>
  <c r="K43" i="13" s="1"/>
  <c r="B65" i="8"/>
  <c r="BX167" i="16"/>
  <c r="AC248" i="19"/>
  <c r="AG247" i="19"/>
  <c r="CG160" i="16"/>
  <c r="DI52" i="14"/>
  <c r="BU256" i="16"/>
  <c r="BV256" i="16"/>
  <c r="HW33" i="14"/>
  <c r="BX254" i="10"/>
  <c r="BW254" i="10"/>
  <c r="BB24" i="18"/>
  <c r="G58" i="13" s="1"/>
  <c r="AZ24" i="18"/>
  <c r="G26" i="13" s="1"/>
  <c r="G87" i="13" s="1"/>
  <c r="KE35" i="14" s="1"/>
  <c r="G88" i="21" s="1"/>
  <c r="AZ16" i="18"/>
  <c r="G18" i="13" s="1"/>
  <c r="BB16" i="18"/>
  <c r="G50" i="13" s="1"/>
  <c r="BZ207" i="19"/>
  <c r="CB208" i="19"/>
  <c r="AP160" i="16"/>
  <c r="DI60" i="14"/>
  <c r="Q179" i="8"/>
  <c r="R215" i="8"/>
  <c r="Q215" i="8"/>
  <c r="L88" i="23"/>
  <c r="ID70" i="14"/>
  <c r="L28" i="23" s="1"/>
  <c r="BB54" i="18"/>
  <c r="M56" i="13" s="1"/>
  <c r="AZ54" i="18"/>
  <c r="M24" i="13" s="1"/>
  <c r="M85" i="13" s="1"/>
  <c r="B117" i="8"/>
  <c r="B115" i="8"/>
  <c r="C115" i="8" s="1"/>
  <c r="B114" i="8"/>
  <c r="C114" i="8" s="1"/>
  <c r="R116" i="8"/>
  <c r="R119" i="8"/>
  <c r="R115" i="8"/>
  <c r="Q118" i="8"/>
  <c r="R118" i="8"/>
  <c r="R137" i="8"/>
  <c r="B118" i="8"/>
  <c r="R138" i="8"/>
  <c r="Q137" i="8"/>
  <c r="Q138" i="8"/>
  <c r="Q116" i="8"/>
  <c r="Q136" i="8"/>
  <c r="R136" i="8"/>
  <c r="Q115" i="8"/>
  <c r="Q117" i="8"/>
  <c r="R117" i="8"/>
  <c r="Q119" i="8"/>
  <c r="BT253" i="19"/>
  <c r="BS253" i="19"/>
  <c r="I62" i="21"/>
  <c r="Q127" i="8"/>
  <c r="H74" i="23"/>
  <c r="AD37" i="14"/>
  <c r="L46" i="21"/>
  <c r="AZ14" i="18"/>
  <c r="G16" i="13" s="1"/>
  <c r="BB14" i="18"/>
  <c r="G48" i="13" s="1"/>
  <c r="FT22" i="14"/>
  <c r="FP18" i="14"/>
  <c r="BW164" i="19"/>
  <c r="BX164" i="19"/>
  <c r="BU160" i="16"/>
  <c r="BV177" i="16"/>
  <c r="BU177" i="16"/>
  <c r="Q187" i="8"/>
  <c r="K42" i="21"/>
  <c r="FT69" i="14"/>
  <c r="BX168" i="16"/>
  <c r="BX160" i="16"/>
  <c r="N61" i="21"/>
  <c r="AQ23" i="14"/>
  <c r="CH168" i="16"/>
  <c r="O19" i="8"/>
  <c r="C20" i="5" s="1"/>
  <c r="O13" i="8"/>
  <c r="C14" i="5" s="1"/>
  <c r="O14" i="8"/>
  <c r="C15" i="5" s="1"/>
  <c r="O15" i="8"/>
  <c r="O11" i="8"/>
  <c r="C12" i="5" s="1"/>
  <c r="O9" i="8"/>
  <c r="C10" i="5" s="1"/>
  <c r="O12" i="8"/>
  <c r="C13" i="5" s="1"/>
  <c r="O20" i="8"/>
  <c r="C21" i="5" s="1"/>
  <c r="O18" i="8"/>
  <c r="O21" i="8"/>
  <c r="O10" i="8"/>
  <c r="C11" i="5" s="1"/>
  <c r="O16" i="8"/>
  <c r="C17" i="5" s="1"/>
  <c r="O17" i="8"/>
  <c r="C18" i="5" s="1"/>
  <c r="O25" i="8"/>
  <c r="C26" i="5" s="1"/>
  <c r="O3" i="8"/>
  <c r="C28" i="5" s="1"/>
  <c r="O23" i="8"/>
  <c r="C24" i="5" s="1"/>
  <c r="O22" i="8"/>
  <c r="O26" i="8"/>
  <c r="C27" i="5" s="1"/>
  <c r="O24" i="8"/>
  <c r="C25" i="5" s="1"/>
  <c r="O7" i="8"/>
  <c r="C8" i="5" s="1"/>
  <c r="O6" i="8"/>
  <c r="C7" i="5" s="1"/>
  <c r="O5" i="8"/>
  <c r="C6" i="5" s="1"/>
  <c r="O4" i="8"/>
  <c r="C5" i="5" s="1"/>
  <c r="O8" i="8"/>
  <c r="C9" i="5" s="1"/>
  <c r="AD51" i="14"/>
  <c r="I37" i="22"/>
  <c r="BS164" i="10"/>
  <c r="BS165" i="10" s="1"/>
  <c r="BS166" i="10" s="1"/>
  <c r="BS167" i="10" s="1"/>
  <c r="BS168" i="10" s="1"/>
  <c r="BS169" i="10" s="1"/>
  <c r="BS170" i="10" s="1"/>
  <c r="BT164" i="10"/>
  <c r="BT156" i="10"/>
  <c r="D46" i="21"/>
  <c r="S23" i="18"/>
  <c r="D25" i="13" s="1"/>
  <c r="U23" i="18"/>
  <c r="D57" i="13" s="1"/>
  <c r="DI35" i="14"/>
  <c r="MK39" i="14"/>
  <c r="BK21" i="18"/>
  <c r="H23" i="13" s="1"/>
  <c r="BM21" i="18"/>
  <c r="H55" i="13" s="1"/>
  <c r="F63" i="21"/>
  <c r="F87" i="23"/>
  <c r="ID38" i="14"/>
  <c r="F27" i="23" s="1"/>
  <c r="R208" i="8"/>
  <c r="Q208" i="8"/>
  <c r="IA72" i="14"/>
  <c r="AZ58" i="18"/>
  <c r="M28" i="13" s="1"/>
  <c r="BB58" i="18"/>
  <c r="M60" i="13" s="1"/>
  <c r="KD72" i="14"/>
  <c r="R48" i="8"/>
  <c r="G45" i="21"/>
  <c r="KF22" i="14"/>
  <c r="C26" i="9"/>
  <c r="AE38" i="14"/>
  <c r="CD164" i="16"/>
  <c r="CC164" i="16"/>
  <c r="MO72" i="14"/>
  <c r="CC253" i="10"/>
  <c r="F61" i="21"/>
  <c r="AO27" i="18"/>
  <c r="F29" i="13" s="1"/>
  <c r="AQ27" i="18"/>
  <c r="F61" i="13" s="1"/>
  <c r="KD62" i="14"/>
  <c r="BG257" i="16"/>
  <c r="BH257" i="16"/>
  <c r="G41" i="21"/>
  <c r="Q154" i="8"/>
  <c r="H72" i="23"/>
  <c r="DP68" i="14"/>
  <c r="J26" i="23" s="1"/>
  <c r="J86" i="23"/>
  <c r="S56" i="18"/>
  <c r="J26" i="13" s="1"/>
  <c r="U56" i="18"/>
  <c r="J58" i="13" s="1"/>
  <c r="R218" i="8"/>
  <c r="Q218" i="8"/>
  <c r="KH41" i="14"/>
  <c r="AV207" i="19"/>
  <c r="AX208" i="19"/>
  <c r="AZ41" i="18"/>
  <c r="M11" i="13" s="1"/>
  <c r="M72" i="13" s="1"/>
  <c r="KE51" i="14" s="1"/>
  <c r="BB41" i="18"/>
  <c r="M43" i="13" s="1"/>
  <c r="AS160" i="19"/>
  <c r="AT177" i="19"/>
  <c r="AS177" i="19"/>
  <c r="AT160" i="19"/>
  <c r="BF68" i="14"/>
  <c r="C228" i="8"/>
  <c r="HW58" i="14"/>
  <c r="BY170" i="10"/>
  <c r="BZ170" i="10"/>
  <c r="BR166" i="10"/>
  <c r="BR158" i="10"/>
  <c r="N244" i="8"/>
  <c r="P244" i="8" s="1"/>
  <c r="EC65" i="14"/>
  <c r="ED65" i="14" s="1"/>
  <c r="EE65" i="14" s="1"/>
  <c r="N231" i="8"/>
  <c r="P231" i="8" s="1"/>
  <c r="EC52" i="14"/>
  <c r="ED52" i="14" s="1"/>
  <c r="EE52" i="14" s="1"/>
  <c r="N232" i="8"/>
  <c r="P232" i="8" s="1"/>
  <c r="EC53" i="14"/>
  <c r="ED53" i="14" s="1"/>
  <c r="EE53" i="14" s="1"/>
  <c r="BB20" i="18"/>
  <c r="G54" i="13" s="1"/>
  <c r="AZ20" i="18"/>
  <c r="G22" i="13" s="1"/>
  <c r="G83" i="13" s="1"/>
  <c r="AD12" i="18"/>
  <c r="E14" i="13" s="1"/>
  <c r="AF12" i="18"/>
  <c r="E46" i="13" s="1"/>
  <c r="K58" i="21"/>
  <c r="FW68" i="14"/>
  <c r="K26" i="23" s="1"/>
  <c r="K86" i="23"/>
  <c r="Q322" i="8"/>
  <c r="BJ258" i="16"/>
  <c r="BI258" i="16"/>
  <c r="BG36" i="14"/>
  <c r="BH36" i="14" s="1"/>
  <c r="C82" i="9"/>
  <c r="AF36" i="14"/>
  <c r="R177" i="8"/>
  <c r="BM45" i="18"/>
  <c r="N47" i="13" s="1"/>
  <c r="AX160" i="19"/>
  <c r="CC159" i="16"/>
  <c r="G57" i="18"/>
  <c r="G43" i="18"/>
  <c r="G42" i="18"/>
  <c r="G58" i="18"/>
  <c r="G52" i="18"/>
  <c r="G51" i="18"/>
  <c r="G53" i="18"/>
  <c r="H53" i="18" s="1"/>
  <c r="I23" i="13" s="1"/>
  <c r="I84" i="13" s="1"/>
  <c r="G60" i="18"/>
  <c r="G41" i="18"/>
  <c r="G45" i="18"/>
  <c r="H45" i="18" s="1"/>
  <c r="I15" i="13" s="1"/>
  <c r="I76" i="13" s="1"/>
  <c r="G56" i="18"/>
  <c r="G40" i="18"/>
  <c r="G49" i="18"/>
  <c r="G59" i="18"/>
  <c r="G39" i="18"/>
  <c r="G62" i="18"/>
  <c r="G47" i="18"/>
  <c r="H47" i="18" s="1"/>
  <c r="I17" i="13" s="1"/>
  <c r="I78" i="13" s="1"/>
  <c r="G48" i="18"/>
  <c r="H48" i="18" s="1"/>
  <c r="I18" i="13" s="1"/>
  <c r="I79" i="13" s="1"/>
  <c r="G50" i="18"/>
  <c r="G61" i="18"/>
  <c r="G44" i="18"/>
  <c r="H44" i="18" s="1"/>
  <c r="I14" i="13" s="1"/>
  <c r="I75" i="13" s="1"/>
  <c r="G46" i="18"/>
  <c r="H46" i="18" s="1"/>
  <c r="I16" i="13" s="1"/>
  <c r="I77" i="13" s="1"/>
  <c r="G54" i="18"/>
  <c r="G55" i="18"/>
  <c r="H55" i="18" s="1"/>
  <c r="I25" i="13" s="1"/>
  <c r="I86" i="13" s="1"/>
  <c r="BB64" i="14"/>
  <c r="BC64" i="14" s="1"/>
  <c r="I86" i="21" s="1"/>
  <c r="R214" i="8"/>
  <c r="H63" i="21"/>
  <c r="H90" i="23"/>
  <c r="MR41" i="14"/>
  <c r="H30" i="23" s="1"/>
  <c r="AW167" i="10"/>
  <c r="BG167" i="19"/>
  <c r="BG168" i="19" s="1"/>
  <c r="BG169" i="19" s="1"/>
  <c r="BG170" i="19" s="1"/>
  <c r="DP53" i="14"/>
  <c r="J11" i="23" s="1"/>
  <c r="J71" i="23"/>
  <c r="F56" i="22"/>
  <c r="AO28" i="18"/>
  <c r="F30" i="13" s="1"/>
  <c r="AQ28" i="18"/>
  <c r="F62" i="13" s="1"/>
  <c r="GY39" i="14" s="1"/>
  <c r="HW18" i="14"/>
  <c r="CA255" i="10"/>
  <c r="CA254" i="10" s="1"/>
  <c r="CA253" i="10" s="1"/>
  <c r="CB255" i="10"/>
  <c r="CB254" i="10" s="1"/>
  <c r="CB253" i="10" s="1"/>
  <c r="Q201" i="8"/>
  <c r="R201" i="8"/>
  <c r="A117" i="8"/>
  <c r="A127" i="8"/>
  <c r="B127" i="8" s="1"/>
  <c r="M62" i="21"/>
  <c r="KD23" i="14"/>
  <c r="BJ256" i="16"/>
  <c r="BI256" i="16"/>
  <c r="J49" i="18"/>
  <c r="I51" i="13" s="1"/>
  <c r="H49" i="18"/>
  <c r="I19" i="13" s="1"/>
  <c r="I80" i="13" s="1"/>
  <c r="DI25" i="14"/>
  <c r="R325" i="8"/>
  <c r="AP18" i="14"/>
  <c r="BK253" i="16"/>
  <c r="BL253" i="16"/>
  <c r="U22" i="18"/>
  <c r="D56" i="13" s="1"/>
  <c r="S22" i="18"/>
  <c r="D24" i="13" s="1"/>
  <c r="D85" i="13" s="1"/>
  <c r="BK26" i="18"/>
  <c r="H28" i="13" s="1"/>
  <c r="H89" i="13" s="1"/>
  <c r="BM26" i="18"/>
  <c r="H60" i="13" s="1"/>
  <c r="DI69" i="14"/>
  <c r="M36" i="22"/>
  <c r="Q133" i="8"/>
  <c r="G59" i="21"/>
  <c r="K40" i="22"/>
  <c r="ER54" i="14"/>
  <c r="MO67" i="14"/>
  <c r="MO36" i="14"/>
  <c r="B317" i="8"/>
  <c r="F43" i="21"/>
  <c r="HY20" i="14"/>
  <c r="KD60" i="14"/>
  <c r="AZ26" i="18"/>
  <c r="G28" i="13" s="1"/>
  <c r="G89" i="13" s="1"/>
  <c r="KE37" i="14" s="1"/>
  <c r="BB26" i="18"/>
  <c r="G60" i="13" s="1"/>
  <c r="FT19" i="14"/>
  <c r="J47" i="18"/>
  <c r="I49" i="13" s="1"/>
  <c r="H86" i="23"/>
  <c r="MR37" i="14"/>
  <c r="H26" i="23" s="1"/>
  <c r="Q200" i="8"/>
  <c r="R200" i="8"/>
  <c r="M73" i="21" l="1"/>
  <c r="KF51" i="14"/>
  <c r="KS63" i="14"/>
  <c r="ML63" i="14"/>
  <c r="N85" i="21" s="1"/>
  <c r="BQ25" i="14"/>
  <c r="BR25" i="14" s="1"/>
  <c r="BY25" i="14" s="1"/>
  <c r="DX34" i="14"/>
  <c r="DX61" i="14"/>
  <c r="FQ61" i="14"/>
  <c r="K83" i="21" s="1"/>
  <c r="DX64" i="14"/>
  <c r="DY64" i="14" s="1"/>
  <c r="EF64" i="14" s="1"/>
  <c r="LG54" i="14"/>
  <c r="N40" i="9"/>
  <c r="F56" i="9"/>
  <c r="GS39" i="14"/>
  <c r="IL32" i="14"/>
  <c r="IM32" i="14" s="1"/>
  <c r="IT32" i="14" s="1"/>
  <c r="EL41" i="14"/>
  <c r="E58" i="9"/>
  <c r="IL59" i="14"/>
  <c r="IM59" i="14" s="1"/>
  <c r="IT59" i="14" s="1"/>
  <c r="GS53" i="14"/>
  <c r="L39" i="9"/>
  <c r="EL36" i="14"/>
  <c r="E53" i="9"/>
  <c r="GE63" i="14"/>
  <c r="GF63" i="14" s="1"/>
  <c r="GM63" i="14" s="1"/>
  <c r="KS28" i="14"/>
  <c r="KT28" i="14" s="1"/>
  <c r="LA28" i="14" s="1"/>
  <c r="ML28" i="14"/>
  <c r="H81" i="21" s="1"/>
  <c r="BQ56" i="14"/>
  <c r="DJ56" i="14"/>
  <c r="J78" i="21" s="1"/>
  <c r="C93" i="21"/>
  <c r="C33" i="21" s="1"/>
  <c r="BD40" i="14"/>
  <c r="IL29" i="14"/>
  <c r="IM29" i="14" s="1"/>
  <c r="IT29" i="14" s="1"/>
  <c r="KE29" i="14"/>
  <c r="G82" i="21" s="1"/>
  <c r="KS62" i="14"/>
  <c r="ML62" i="14"/>
  <c r="N84" i="21" s="1"/>
  <c r="IL62" i="14"/>
  <c r="KS31" i="14"/>
  <c r="KT31" i="14" s="1"/>
  <c r="LA31" i="14" s="1"/>
  <c r="J55" i="14"/>
  <c r="N36" i="9"/>
  <c r="LG50" i="14"/>
  <c r="IL65" i="14"/>
  <c r="IM65" i="14" s="1"/>
  <c r="IT65" i="14" s="1"/>
  <c r="GE58" i="14"/>
  <c r="GF58" i="14" s="1"/>
  <c r="GM58" i="14" s="1"/>
  <c r="GS68" i="14"/>
  <c r="L54" i="9"/>
  <c r="BQ61" i="14"/>
  <c r="GE23" i="14"/>
  <c r="GF23" i="14" s="1"/>
  <c r="GM23" i="14" s="1"/>
  <c r="HX23" i="14"/>
  <c r="F76" i="21" s="1"/>
  <c r="J57" i="14"/>
  <c r="BC57" i="14"/>
  <c r="I79" i="21" s="1"/>
  <c r="IL30" i="14"/>
  <c r="KE30" i="14"/>
  <c r="G83" i="21" s="1"/>
  <c r="G90" i="21"/>
  <c r="G30" i="21" s="1"/>
  <c r="KF37" i="14"/>
  <c r="J56" i="14"/>
  <c r="D39" i="9"/>
  <c r="CE22" i="14"/>
  <c r="EL20" i="14"/>
  <c r="E37" i="9"/>
  <c r="N88" i="21"/>
  <c r="N28" i="21" s="1"/>
  <c r="MM66" i="14"/>
  <c r="M57" i="9"/>
  <c r="IZ71" i="14"/>
  <c r="DX60" i="14"/>
  <c r="FQ60" i="14"/>
  <c r="K82" i="21" s="1"/>
  <c r="DX63" i="14"/>
  <c r="DY63" i="14" s="1"/>
  <c r="EF63" i="14" s="1"/>
  <c r="K74" i="21"/>
  <c r="K14" i="21" s="1"/>
  <c r="FR52" i="14"/>
  <c r="J54" i="14"/>
  <c r="BC54" i="14"/>
  <c r="I76" i="21" s="1"/>
  <c r="F90" i="21"/>
  <c r="F30" i="21" s="1"/>
  <c r="HY37" i="14"/>
  <c r="IZ50" i="14"/>
  <c r="M36" i="9"/>
  <c r="C90" i="21"/>
  <c r="C30" i="21" s="1"/>
  <c r="BD37" i="14"/>
  <c r="CE71" i="14"/>
  <c r="J57" i="9"/>
  <c r="N56" i="9"/>
  <c r="LG70" i="14"/>
  <c r="GS50" i="14"/>
  <c r="L36" i="9"/>
  <c r="IL58" i="14"/>
  <c r="KS27" i="14"/>
  <c r="J58" i="14"/>
  <c r="K58" i="14" s="1"/>
  <c r="R58" i="14" s="1"/>
  <c r="BC58" i="14"/>
  <c r="I80" i="21" s="1"/>
  <c r="IL24" i="14"/>
  <c r="IM24" i="14" s="1"/>
  <c r="IT24" i="14" s="1"/>
  <c r="KE24" i="14"/>
  <c r="G77" i="21" s="1"/>
  <c r="L93" i="21"/>
  <c r="HY71" i="14"/>
  <c r="BQ27" i="14"/>
  <c r="BR27" i="14" s="1"/>
  <c r="BY27" i="14" s="1"/>
  <c r="DJ27" i="14"/>
  <c r="D80" i="21" s="1"/>
  <c r="DX31" i="14"/>
  <c r="KS23" i="14"/>
  <c r="BQ62" i="14"/>
  <c r="BR62" i="14" s="1"/>
  <c r="BY62" i="14" s="1"/>
  <c r="GE34" i="14"/>
  <c r="CJ203" i="16"/>
  <c r="CJ206" i="16"/>
  <c r="CH209" i="16"/>
  <c r="CH202" i="16"/>
  <c r="EL66" i="14"/>
  <c r="K52" i="9"/>
  <c r="KS56" i="14"/>
  <c r="EL69" i="14"/>
  <c r="K55" i="9"/>
  <c r="IZ69" i="14"/>
  <c r="M55" i="9"/>
  <c r="GE60" i="14"/>
  <c r="KS35" i="14"/>
  <c r="ML35" i="14"/>
  <c r="H88" i="21" s="1"/>
  <c r="LG39" i="14"/>
  <c r="H56" i="9"/>
  <c r="BQ58" i="14"/>
  <c r="BQ54" i="14"/>
  <c r="BR54" i="14" s="1"/>
  <c r="BY54" i="14" s="1"/>
  <c r="DJ54" i="14"/>
  <c r="J76" i="21" s="1"/>
  <c r="BQ63" i="14"/>
  <c r="BR63" i="14" s="1"/>
  <c r="BY63" i="14" s="1"/>
  <c r="DJ63" i="14"/>
  <c r="J85" i="21" s="1"/>
  <c r="GE29" i="14"/>
  <c r="GE30" i="14"/>
  <c r="GF30" i="14" s="1"/>
  <c r="GM30" i="14" s="1"/>
  <c r="HX30" i="14"/>
  <c r="F83" i="21" s="1"/>
  <c r="J65" i="14"/>
  <c r="K65" i="14" s="1"/>
  <c r="R65" i="14" s="1"/>
  <c r="BC65" i="14"/>
  <c r="I87" i="21" s="1"/>
  <c r="CE203" i="16"/>
  <c r="CC209" i="16"/>
  <c r="CE206" i="16"/>
  <c r="CC202" i="16"/>
  <c r="I55" i="9"/>
  <c r="X69" i="14"/>
  <c r="J35" i="9"/>
  <c r="CE49" i="14"/>
  <c r="H71" i="21"/>
  <c r="MM18" i="14"/>
  <c r="BQ29" i="14"/>
  <c r="BR29" i="14" s="1"/>
  <c r="BY29" i="14" s="1"/>
  <c r="DJ29" i="14"/>
  <c r="D82" i="21" s="1"/>
  <c r="BQ24" i="14"/>
  <c r="BR24" i="14" s="1"/>
  <c r="BY24" i="14" s="1"/>
  <c r="DX26" i="14"/>
  <c r="FQ26" i="14"/>
  <c r="E79" i="21" s="1"/>
  <c r="DX33" i="14"/>
  <c r="FQ33" i="14"/>
  <c r="E86" i="21" s="1"/>
  <c r="CE35" i="14"/>
  <c r="D52" i="9"/>
  <c r="BQ64" i="14"/>
  <c r="GE33" i="14"/>
  <c r="G36" i="9"/>
  <c r="IZ19" i="14"/>
  <c r="IL28" i="14"/>
  <c r="IM28" i="14" s="1"/>
  <c r="IT28" i="14" s="1"/>
  <c r="KE28" i="14"/>
  <c r="G81" i="21" s="1"/>
  <c r="F54" i="9"/>
  <c r="GS37" i="14"/>
  <c r="L35" i="9"/>
  <c r="GS49" i="14"/>
  <c r="LG68" i="14"/>
  <c r="N54" i="9"/>
  <c r="IL57" i="14"/>
  <c r="IL60" i="14"/>
  <c r="DX30" i="14"/>
  <c r="DY30" i="14" s="1"/>
  <c r="EF30" i="14" s="1"/>
  <c r="GE35" i="14"/>
  <c r="GF35" i="14" s="1"/>
  <c r="GM35" i="14" s="1"/>
  <c r="IZ38" i="14"/>
  <c r="G55" i="9"/>
  <c r="KS55" i="14"/>
  <c r="KT55" i="14" s="1"/>
  <c r="LA55" i="14" s="1"/>
  <c r="ML55" i="14"/>
  <c r="N77" i="21" s="1"/>
  <c r="CH206" i="16"/>
  <c r="CH203" i="16"/>
  <c r="CF209" i="16"/>
  <c r="CF202" i="16"/>
  <c r="AH156" i="10"/>
  <c r="AD160" i="10" s="1"/>
  <c r="Y5" i="12" s="1"/>
  <c r="AD159" i="10"/>
  <c r="Y6" i="12" s="1"/>
  <c r="J63" i="14"/>
  <c r="K63" i="14" s="1"/>
  <c r="R63" i="14" s="1"/>
  <c r="BC63" i="14"/>
  <c r="I85" i="21" s="1"/>
  <c r="AP202" i="16"/>
  <c r="AP209" i="16"/>
  <c r="AR206" i="16"/>
  <c r="AR203" i="16"/>
  <c r="KS65" i="14"/>
  <c r="KT65" i="14" s="1"/>
  <c r="LA65" i="14" s="1"/>
  <c r="ML65" i="14"/>
  <c r="N87" i="21" s="1"/>
  <c r="IL63" i="14"/>
  <c r="IM63" i="14" s="1"/>
  <c r="IT63" i="14" s="1"/>
  <c r="KE63" i="14"/>
  <c r="M85" i="21" s="1"/>
  <c r="IL61" i="14"/>
  <c r="EL38" i="14"/>
  <c r="E55" i="9"/>
  <c r="LG18" i="14"/>
  <c r="H35" i="9"/>
  <c r="BQ31" i="14"/>
  <c r="BR31" i="14" s="1"/>
  <c r="BY31" i="14" s="1"/>
  <c r="DX29" i="14"/>
  <c r="GE61" i="14"/>
  <c r="HX61" i="14"/>
  <c r="L83" i="21" s="1"/>
  <c r="DX59" i="14"/>
  <c r="DY59" i="14" s="1"/>
  <c r="EF59" i="14" s="1"/>
  <c r="DX57" i="14"/>
  <c r="FQ57" i="14"/>
  <c r="K79" i="21" s="1"/>
  <c r="BZ209" i="16"/>
  <c r="CB203" i="16"/>
  <c r="BZ202" i="16"/>
  <c r="CB206" i="16"/>
  <c r="X52" i="14"/>
  <c r="I38" i="9"/>
  <c r="N314" i="8"/>
  <c r="P314" i="8" s="1"/>
  <c r="KX51" i="14"/>
  <c r="KY51" i="14" s="1"/>
  <c r="KZ51" i="14" s="1"/>
  <c r="IP67" i="14"/>
  <c r="AD141" i="16"/>
  <c r="AD125" i="16"/>
  <c r="D85" i="22"/>
  <c r="BQ39" i="14"/>
  <c r="BW189" i="19"/>
  <c r="BW182" i="19"/>
  <c r="BY186" i="19"/>
  <c r="BY183" i="19"/>
  <c r="J64" i="22"/>
  <c r="BQ49" i="14"/>
  <c r="AR201" i="19"/>
  <c r="AP204" i="19"/>
  <c r="AR198" i="19"/>
  <c r="AP197" i="19"/>
  <c r="E87" i="22"/>
  <c r="DX41" i="14"/>
  <c r="DY41" i="14" s="1"/>
  <c r="EF41" i="14" s="1"/>
  <c r="MM20" i="14"/>
  <c r="X40" i="14"/>
  <c r="C57" i="9"/>
  <c r="GI65" i="14"/>
  <c r="KS59" i="14"/>
  <c r="KS36" i="14"/>
  <c r="KT36" i="14" s="1"/>
  <c r="LA36" i="14" s="1"/>
  <c r="H82" i="22"/>
  <c r="AX201" i="16"/>
  <c r="AV204" i="16"/>
  <c r="AV197" i="16"/>
  <c r="AX198" i="16"/>
  <c r="GI55" i="14"/>
  <c r="AD34" i="14"/>
  <c r="C51" i="22"/>
  <c r="IQ38" i="14"/>
  <c r="IR38" i="14" s="1"/>
  <c r="IS38" i="14" s="1"/>
  <c r="N136" i="8"/>
  <c r="P136" i="8" s="1"/>
  <c r="EB68" i="14"/>
  <c r="N159" i="8"/>
  <c r="P159" i="8" s="1"/>
  <c r="KX33" i="14"/>
  <c r="KY33" i="14" s="1"/>
  <c r="KZ33" i="14" s="1"/>
  <c r="ML69" i="14"/>
  <c r="N199" i="8"/>
  <c r="P199" i="8" s="1"/>
  <c r="BV72" i="14"/>
  <c r="BW72" i="14" s="1"/>
  <c r="BX72" i="14" s="1"/>
  <c r="N184" i="8"/>
  <c r="P184" i="8" s="1"/>
  <c r="O61" i="14"/>
  <c r="P61" i="14" s="1"/>
  <c r="Q61" i="14" s="1"/>
  <c r="CG158" i="10"/>
  <c r="CH175" i="10"/>
  <c r="CG175" i="10"/>
  <c r="J60" i="14"/>
  <c r="K60" i="14" s="1"/>
  <c r="R60" i="14" s="1"/>
  <c r="BU37" i="14"/>
  <c r="K65" i="22"/>
  <c r="DX50" i="14"/>
  <c r="BF176" i="16"/>
  <c r="BE176" i="16"/>
  <c r="BE159" i="16"/>
  <c r="AB148" i="10"/>
  <c r="AB132" i="10"/>
  <c r="AB132" i="19"/>
  <c r="G77" i="13"/>
  <c r="AQ165" i="19"/>
  <c r="AR165" i="19"/>
  <c r="C75" i="21"/>
  <c r="C15" i="21" s="1"/>
  <c r="BD22" i="14"/>
  <c r="N312" i="8"/>
  <c r="P312" i="8" s="1"/>
  <c r="KX49" i="14"/>
  <c r="KY49" i="14" s="1"/>
  <c r="KZ49" i="14" s="1"/>
  <c r="H92" i="13"/>
  <c r="HX52" i="14"/>
  <c r="BI197" i="10"/>
  <c r="BJ197" i="10"/>
  <c r="BJ199" i="10"/>
  <c r="BI199" i="10"/>
  <c r="BJ198" i="10"/>
  <c r="N71" i="13"/>
  <c r="M93" i="13"/>
  <c r="HX29" i="14"/>
  <c r="F82" i="21" s="1"/>
  <c r="N78" i="13"/>
  <c r="IP24" i="14"/>
  <c r="IP20" i="14"/>
  <c r="BU198" i="10"/>
  <c r="BV197" i="10"/>
  <c r="AF152" i="16"/>
  <c r="AF136" i="16"/>
  <c r="AW165" i="16"/>
  <c r="AX165" i="16"/>
  <c r="BS196" i="19"/>
  <c r="BS197" i="19"/>
  <c r="BS199" i="19"/>
  <c r="BS198" i="19"/>
  <c r="BT197" i="19"/>
  <c r="BT198" i="19"/>
  <c r="BT196" i="19"/>
  <c r="AE21" i="14"/>
  <c r="C9" i="9"/>
  <c r="EL50" i="14"/>
  <c r="K36" i="9"/>
  <c r="C49" i="22"/>
  <c r="AD32" i="14"/>
  <c r="FQ41" i="14"/>
  <c r="AE35" i="14"/>
  <c r="C23" i="9"/>
  <c r="KE32" i="14"/>
  <c r="G85" i="21" s="1"/>
  <c r="N125" i="8"/>
  <c r="P125" i="8" s="1"/>
  <c r="IQ27" i="14"/>
  <c r="IR27" i="14" s="1"/>
  <c r="IS27" i="14" s="1"/>
  <c r="CE69" i="14"/>
  <c r="J55" i="9"/>
  <c r="BU30" i="14"/>
  <c r="N158" i="8"/>
  <c r="P158" i="8" s="1"/>
  <c r="KX32" i="14"/>
  <c r="KY32" i="14" s="1"/>
  <c r="KZ32" i="14" s="1"/>
  <c r="D71" i="13"/>
  <c r="N213" i="8"/>
  <c r="P213" i="8" s="1"/>
  <c r="BV62" i="14"/>
  <c r="BW62" i="14" s="1"/>
  <c r="BX62" i="14" s="1"/>
  <c r="AH145" i="16"/>
  <c r="AH129" i="16"/>
  <c r="K91" i="13"/>
  <c r="CF204" i="10"/>
  <c r="CF197" i="10"/>
  <c r="CH198" i="10"/>
  <c r="CH201" i="10"/>
  <c r="AC248" i="10"/>
  <c r="AG247" i="10"/>
  <c r="BU33" i="14"/>
  <c r="EB23" i="14"/>
  <c r="AB142" i="10"/>
  <c r="AB126" i="19"/>
  <c r="AB126" i="10"/>
  <c r="GI31" i="14"/>
  <c r="BU50" i="14"/>
  <c r="N316" i="8"/>
  <c r="P316" i="8" s="1"/>
  <c r="KX53" i="14"/>
  <c r="KY53" i="14" s="1"/>
  <c r="KZ53" i="14" s="1"/>
  <c r="LG66" i="14"/>
  <c r="N52" i="9"/>
  <c r="BZ202" i="19"/>
  <c r="CB206" i="19"/>
  <c r="CB203" i="19"/>
  <c r="BZ209" i="19"/>
  <c r="GI28" i="14"/>
  <c r="AY38" i="14"/>
  <c r="BI197" i="19"/>
  <c r="BJ199" i="19"/>
  <c r="BJ197" i="19"/>
  <c r="BJ198" i="19"/>
  <c r="BI199" i="19"/>
  <c r="AS203" i="16"/>
  <c r="AQ209" i="16"/>
  <c r="AS206" i="16"/>
  <c r="AQ202" i="16"/>
  <c r="DX55" i="14"/>
  <c r="AP203" i="16"/>
  <c r="AP206" i="16"/>
  <c r="EB59" i="14"/>
  <c r="AF143" i="16"/>
  <c r="AF127" i="16"/>
  <c r="FQ24" i="14"/>
  <c r="E77" i="21" s="1"/>
  <c r="W31" i="14"/>
  <c r="C19" i="22" s="1"/>
  <c r="AP30" i="14"/>
  <c r="KS33" i="14"/>
  <c r="M90" i="13"/>
  <c r="C39" i="9"/>
  <c r="X22" i="14"/>
  <c r="N69" i="8"/>
  <c r="P69" i="8" s="1"/>
  <c r="EC27" i="14"/>
  <c r="ED27" i="14" s="1"/>
  <c r="EE27" i="14" s="1"/>
  <c r="AW198" i="10"/>
  <c r="AU204" i="10"/>
  <c r="AW201" i="10"/>
  <c r="AU197" i="10"/>
  <c r="C68" i="22"/>
  <c r="J22" i="14"/>
  <c r="K22" i="14" s="1"/>
  <c r="R22" i="14" s="1"/>
  <c r="N37" i="8"/>
  <c r="P37" i="8" s="1"/>
  <c r="BV23" i="14"/>
  <c r="BW23" i="14" s="1"/>
  <c r="BX23" i="14" s="1"/>
  <c r="N137" i="8"/>
  <c r="P137" i="8" s="1"/>
  <c r="IQ39" i="14"/>
  <c r="IR39" i="14" s="1"/>
  <c r="IS39" i="14" s="1"/>
  <c r="F76" i="13"/>
  <c r="IL21" i="14"/>
  <c r="IM21" i="14" s="1"/>
  <c r="IT21" i="14" s="1"/>
  <c r="G67" i="22"/>
  <c r="ML37" i="14"/>
  <c r="FQ59" i="14"/>
  <c r="K81" i="21" s="1"/>
  <c r="C144" i="8"/>
  <c r="X39" i="14"/>
  <c r="C56" i="9"/>
  <c r="BK198" i="10"/>
  <c r="BL199" i="10"/>
  <c r="BL198" i="10"/>
  <c r="BL196" i="10"/>
  <c r="BK196" i="10"/>
  <c r="BL197" i="10"/>
  <c r="BK197" i="10"/>
  <c r="BK199" i="10"/>
  <c r="V533" i="10"/>
  <c r="W533" i="10" s="1"/>
  <c r="U534" i="10"/>
  <c r="N147" i="8"/>
  <c r="P147" i="8" s="1"/>
  <c r="KX21" i="14"/>
  <c r="KY21" i="14" s="1"/>
  <c r="KZ21" i="14" s="1"/>
  <c r="J61" i="14"/>
  <c r="K61" i="14" s="1"/>
  <c r="R61" i="14" s="1"/>
  <c r="BY165" i="16"/>
  <c r="BZ165" i="16"/>
  <c r="D35" i="9"/>
  <c r="CE18" i="14"/>
  <c r="L89" i="13"/>
  <c r="HX68" i="14" s="1"/>
  <c r="N210" i="8"/>
  <c r="P210" i="8" s="1"/>
  <c r="BV59" i="14"/>
  <c r="BW59" i="14" s="1"/>
  <c r="BX59" i="14" s="1"/>
  <c r="G85" i="13"/>
  <c r="K27" i="5"/>
  <c r="K16" i="5"/>
  <c r="I504" i="10"/>
  <c r="J503" i="10"/>
  <c r="K503" i="10" s="1"/>
  <c r="N189" i="8"/>
  <c r="P189" i="8" s="1"/>
  <c r="O66" i="14"/>
  <c r="P66" i="14" s="1"/>
  <c r="Q66" i="14" s="1"/>
  <c r="GI54" i="14"/>
  <c r="BU40" i="14"/>
  <c r="AP203" i="19"/>
  <c r="AP206" i="19"/>
  <c r="M91" i="13"/>
  <c r="BA158" i="19"/>
  <c r="BB175" i="19"/>
  <c r="BA175" i="19"/>
  <c r="N65" i="14"/>
  <c r="AR160" i="16"/>
  <c r="AR159" i="16" s="1"/>
  <c r="KE62" i="14"/>
  <c r="M84" i="21" s="1"/>
  <c r="AB145" i="10"/>
  <c r="AB129" i="10"/>
  <c r="AB129" i="19"/>
  <c r="F83" i="13"/>
  <c r="J71" i="13"/>
  <c r="DJ50" i="14" s="1"/>
  <c r="BU21" i="14"/>
  <c r="K79" i="13"/>
  <c r="KE33" i="14"/>
  <c r="G86" i="21" s="1"/>
  <c r="N322" i="8"/>
  <c r="P322" i="8" s="1"/>
  <c r="KX59" i="14"/>
  <c r="KY59" i="14" s="1"/>
  <c r="KZ59" i="14" s="1"/>
  <c r="BE159" i="19"/>
  <c r="BF176" i="19"/>
  <c r="BF198" i="19" s="1"/>
  <c r="BE176" i="19"/>
  <c r="IZ22" i="14"/>
  <c r="G39" i="9"/>
  <c r="BG159" i="10"/>
  <c r="BG176" i="10"/>
  <c r="BG198" i="10" s="1"/>
  <c r="BH176" i="10"/>
  <c r="BH198" i="10" s="1"/>
  <c r="KE39" i="14"/>
  <c r="DJ33" i="14"/>
  <c r="D86" i="21" s="1"/>
  <c r="GI21" i="14"/>
  <c r="CI176" i="16"/>
  <c r="CI159" i="16"/>
  <c r="CJ176" i="16"/>
  <c r="AP38" i="14"/>
  <c r="BQ59" i="14"/>
  <c r="DY55" i="14"/>
  <c r="EF55" i="14" s="1"/>
  <c r="EB55" i="14"/>
  <c r="FQ65" i="14"/>
  <c r="K87" i="21" s="1"/>
  <c r="K81" i="22"/>
  <c r="DX66" i="14"/>
  <c r="AO206" i="16"/>
  <c r="AO203" i="16"/>
  <c r="BU60" i="14"/>
  <c r="BR60" i="14"/>
  <c r="BY60" i="14" s="1"/>
  <c r="EB37" i="14"/>
  <c r="AF150" i="16"/>
  <c r="AF134" i="16"/>
  <c r="M77" i="13"/>
  <c r="BU41" i="14"/>
  <c r="BQ67" i="14"/>
  <c r="BR67" i="14" s="1"/>
  <c r="BY67" i="14" s="1"/>
  <c r="J82" i="22"/>
  <c r="AZ31" i="14"/>
  <c r="KT33" i="14"/>
  <c r="LA33" i="14" s="1"/>
  <c r="KW33" i="14"/>
  <c r="N70" i="14"/>
  <c r="N67" i="8"/>
  <c r="P67" i="8" s="1"/>
  <c r="EC25" i="14"/>
  <c r="ED25" i="14" s="1"/>
  <c r="EE25" i="14" s="1"/>
  <c r="N73" i="8"/>
  <c r="P73" i="8" s="1"/>
  <c r="EC31" i="14"/>
  <c r="ED31" i="14" s="1"/>
  <c r="EE31" i="14" s="1"/>
  <c r="LG67" i="14"/>
  <c r="N53" i="9"/>
  <c r="AC194" i="10"/>
  <c r="AD193" i="10"/>
  <c r="LG22" i="14"/>
  <c r="H39" i="9"/>
  <c r="HX31" i="14"/>
  <c r="F84" i="21" s="1"/>
  <c r="G92" i="13"/>
  <c r="BV40" i="14"/>
  <c r="BW40" i="14" s="1"/>
  <c r="BX40" i="14" s="1"/>
  <c r="N54" i="8"/>
  <c r="P54" i="8" s="1"/>
  <c r="AQ34" i="14"/>
  <c r="N122" i="8"/>
  <c r="P122" i="8" s="1"/>
  <c r="IQ24" i="14"/>
  <c r="IR24" i="14" s="1"/>
  <c r="IS24" i="14" s="1"/>
  <c r="N131" i="8"/>
  <c r="P131" i="8" s="1"/>
  <c r="IQ33" i="14"/>
  <c r="IR33" i="14" s="1"/>
  <c r="IS33" i="14" s="1"/>
  <c r="BU38" i="14"/>
  <c r="IP21" i="14"/>
  <c r="IZ51" i="14"/>
  <c r="M37" i="9"/>
  <c r="KW56" i="14"/>
  <c r="KT56" i="14"/>
  <c r="LA56" i="14" s="1"/>
  <c r="BL198" i="19"/>
  <c r="BL196" i="19"/>
  <c r="BK196" i="19"/>
  <c r="BK198" i="19"/>
  <c r="BL197" i="19"/>
  <c r="IP60" i="14"/>
  <c r="IM60" i="14"/>
  <c r="IT60" i="14" s="1"/>
  <c r="N163" i="8"/>
  <c r="P163" i="8" s="1"/>
  <c r="KX37" i="14"/>
  <c r="KY37" i="14" s="1"/>
  <c r="KZ37" i="14" s="1"/>
  <c r="AP25" i="14"/>
  <c r="EB18" i="14"/>
  <c r="N200" i="8"/>
  <c r="P200" i="8" s="1"/>
  <c r="BV49" i="14"/>
  <c r="BW49" i="14" s="1"/>
  <c r="BX49" i="14" s="1"/>
  <c r="AH141" i="16"/>
  <c r="AH125" i="16"/>
  <c r="AW197" i="10"/>
  <c r="AW204" i="10"/>
  <c r="N193" i="8"/>
  <c r="P193" i="8" s="1"/>
  <c r="O70" i="14"/>
  <c r="P70" i="14" s="1"/>
  <c r="Q70" i="14" s="1"/>
  <c r="N186" i="8"/>
  <c r="P186" i="8" s="1"/>
  <c r="O63" i="14"/>
  <c r="P63" i="14" s="1"/>
  <c r="Q63" i="14" s="1"/>
  <c r="L75" i="13"/>
  <c r="GE22" i="14"/>
  <c r="F68" i="22"/>
  <c r="AO203" i="19"/>
  <c r="AO206" i="19"/>
  <c r="BI160" i="16"/>
  <c r="BI177" i="16"/>
  <c r="BJ177" i="16"/>
  <c r="FQ70" i="14"/>
  <c r="AZ26" i="14"/>
  <c r="AQ177" i="16"/>
  <c r="BT177" i="16"/>
  <c r="GI38" i="14"/>
  <c r="BU34" i="14"/>
  <c r="X51" i="14"/>
  <c r="I37" i="9"/>
  <c r="C19" i="5"/>
  <c r="DJ60" i="14"/>
  <c r="J82" i="21" s="1"/>
  <c r="C72" i="21"/>
  <c r="C12" i="21" s="1"/>
  <c r="BD19" i="14"/>
  <c r="EB64" i="14"/>
  <c r="L33" i="21"/>
  <c r="N329" i="8"/>
  <c r="P329" i="8" s="1"/>
  <c r="KX66" i="14"/>
  <c r="KY66" i="14" s="1"/>
  <c r="KZ66" i="14" s="1"/>
  <c r="GI36" i="14"/>
  <c r="FQ34" i="14"/>
  <c r="E87" i="21" s="1"/>
  <c r="CE67" i="14"/>
  <c r="J53" i="9"/>
  <c r="CI158" i="10"/>
  <c r="CI175" i="10"/>
  <c r="CJ175" i="10"/>
  <c r="CA176" i="19"/>
  <c r="CA159" i="19"/>
  <c r="CB176" i="19"/>
  <c r="F73" i="13"/>
  <c r="HX21" i="14" s="1"/>
  <c r="CE158" i="19"/>
  <c r="CF175" i="19"/>
  <c r="CE175" i="19"/>
  <c r="CF158" i="19"/>
  <c r="BA158" i="16"/>
  <c r="BB175" i="16"/>
  <c r="BA175" i="16"/>
  <c r="LG41" i="14"/>
  <c r="H58" i="9"/>
  <c r="DK39" i="14"/>
  <c r="CF177" i="16"/>
  <c r="BY175" i="10"/>
  <c r="BZ175" i="10"/>
  <c r="BY158" i="10"/>
  <c r="BZ158" i="10"/>
  <c r="M73" i="13"/>
  <c r="C85" i="22"/>
  <c r="J39" i="14"/>
  <c r="K39" i="14" s="1"/>
  <c r="R39" i="14" s="1"/>
  <c r="KW22" i="14"/>
  <c r="CH158" i="10"/>
  <c r="AF146" i="16"/>
  <c r="AF130" i="16"/>
  <c r="DY60" i="14"/>
  <c r="EF60" i="14" s="1"/>
  <c r="EB60" i="14"/>
  <c r="D70" i="13"/>
  <c r="DJ18" i="14" s="1"/>
  <c r="GI18" i="14"/>
  <c r="CD165" i="10"/>
  <c r="CD166" i="10" s="1"/>
  <c r="AY24" i="14"/>
  <c r="BA24" i="14" s="1"/>
  <c r="HX39" i="14"/>
  <c r="D93" i="13"/>
  <c r="KW64" i="14"/>
  <c r="DY29" i="14"/>
  <c r="EF29" i="14" s="1"/>
  <c r="EB29" i="14"/>
  <c r="L90" i="13"/>
  <c r="AQ41" i="14"/>
  <c r="BU67" i="14"/>
  <c r="AY31" i="14"/>
  <c r="AP31" i="14"/>
  <c r="KW28" i="14"/>
  <c r="W30" i="14"/>
  <c r="C18" i="22" s="1"/>
  <c r="BC59" i="14"/>
  <c r="I81" i="21" s="1"/>
  <c r="EB40" i="14"/>
  <c r="CJ201" i="19"/>
  <c r="CH204" i="19"/>
  <c r="CJ198" i="19"/>
  <c r="CH197" i="19"/>
  <c r="HX35" i="14"/>
  <c r="F88" i="21" s="1"/>
  <c r="BU20" i="14"/>
  <c r="I91" i="13"/>
  <c r="AP32" i="14"/>
  <c r="AY32" i="14"/>
  <c r="BA32" i="14" s="1"/>
  <c r="EC41" i="14"/>
  <c r="ED41" i="14" s="1"/>
  <c r="EE41" i="14" s="1"/>
  <c r="N59" i="8"/>
  <c r="P59" i="8" s="1"/>
  <c r="N63" i="8"/>
  <c r="P63" i="8" s="1"/>
  <c r="EC21" i="14"/>
  <c r="ED21" i="14" s="1"/>
  <c r="EE21" i="14" s="1"/>
  <c r="N74" i="8"/>
  <c r="P74" i="8" s="1"/>
  <c r="EC32" i="14"/>
  <c r="ED32" i="14" s="1"/>
  <c r="EE32" i="14" s="1"/>
  <c r="CB202" i="10"/>
  <c r="CD203" i="10"/>
  <c r="CD206" i="10"/>
  <c r="CB209" i="10"/>
  <c r="EB54" i="14"/>
  <c r="AP28" i="14"/>
  <c r="CF206" i="10"/>
  <c r="CD202" i="10"/>
  <c r="CD209" i="10"/>
  <c r="CF203" i="10"/>
  <c r="BO157" i="16"/>
  <c r="BO174" i="16"/>
  <c r="BP174" i="16"/>
  <c r="BU52" i="14"/>
  <c r="N55" i="14"/>
  <c r="K55" i="14"/>
  <c r="R55" i="14" s="1"/>
  <c r="K77" i="13"/>
  <c r="N53" i="8"/>
  <c r="P53" i="8" s="1"/>
  <c r="BV39" i="14"/>
  <c r="BW39" i="14" s="1"/>
  <c r="BX39" i="14" s="1"/>
  <c r="N35" i="8"/>
  <c r="P35" i="8" s="1"/>
  <c r="BV21" i="14"/>
  <c r="BW21" i="14" s="1"/>
  <c r="BX21" i="14" s="1"/>
  <c r="N45" i="8"/>
  <c r="P45" i="8" s="1"/>
  <c r="BV31" i="14"/>
  <c r="BW31" i="14" s="1"/>
  <c r="BX31" i="14" s="1"/>
  <c r="AY34" i="14"/>
  <c r="GI64" i="14"/>
  <c r="N120" i="8"/>
  <c r="P120" i="8" s="1"/>
  <c r="IQ22" i="14"/>
  <c r="IR22" i="14" s="1"/>
  <c r="IS22" i="14" s="1"/>
  <c r="N121" i="8"/>
  <c r="P121" i="8" s="1"/>
  <c r="IQ23" i="14"/>
  <c r="IR23" i="14" s="1"/>
  <c r="IS23" i="14" s="1"/>
  <c r="N133" i="8"/>
  <c r="P133" i="8" s="1"/>
  <c r="IQ35" i="14"/>
  <c r="IR35" i="14" s="1"/>
  <c r="IS35" i="14" s="1"/>
  <c r="KT23" i="14"/>
  <c r="LA23" i="14" s="1"/>
  <c r="KW23" i="14"/>
  <c r="GI59" i="14"/>
  <c r="BQ197" i="19"/>
  <c r="BQ198" i="19"/>
  <c r="BR199" i="19"/>
  <c r="BQ199" i="19"/>
  <c r="BR197" i="19"/>
  <c r="D90" i="13"/>
  <c r="N62" i="14"/>
  <c r="K62" i="14"/>
  <c r="R62" i="14" s="1"/>
  <c r="DY33" i="14"/>
  <c r="EF33" i="14" s="1"/>
  <c r="EB33" i="14"/>
  <c r="FQ66" i="14"/>
  <c r="IP41" i="14"/>
  <c r="KE27" i="14"/>
  <c r="G80" i="21" s="1"/>
  <c r="BU54" i="14"/>
  <c r="IP39" i="14"/>
  <c r="N153" i="8"/>
  <c r="P153" i="8" s="1"/>
  <c r="KX27" i="14"/>
  <c r="KY27" i="14" s="1"/>
  <c r="KZ27" i="14" s="1"/>
  <c r="N144" i="8"/>
  <c r="P144" i="8" s="1"/>
  <c r="KX18" i="14"/>
  <c r="KY18" i="14" s="1"/>
  <c r="KZ18" i="14" s="1"/>
  <c r="N148" i="8"/>
  <c r="P148" i="8" s="1"/>
  <c r="KX22" i="14"/>
  <c r="KY22" i="14" s="1"/>
  <c r="KZ22" i="14" s="1"/>
  <c r="N53" i="14"/>
  <c r="FQ64" i="14"/>
  <c r="K86" i="21" s="1"/>
  <c r="KW63" i="14"/>
  <c r="KT63" i="14"/>
  <c r="LA63" i="14" s="1"/>
  <c r="IP62" i="14"/>
  <c r="IM62" i="14"/>
  <c r="IT62" i="14" s="1"/>
  <c r="AC25" i="14"/>
  <c r="CE68" i="14"/>
  <c r="J54" i="9"/>
  <c r="E70" i="13"/>
  <c r="N205" i="8"/>
  <c r="P205" i="8" s="1"/>
  <c r="BV54" i="14"/>
  <c r="BW54" i="14" s="1"/>
  <c r="BX54" i="14" s="1"/>
  <c r="N222" i="8"/>
  <c r="P222" i="8" s="1"/>
  <c r="BV71" i="14"/>
  <c r="BW71" i="14" s="1"/>
  <c r="BX71" i="14" s="1"/>
  <c r="N216" i="8"/>
  <c r="P216" i="8" s="1"/>
  <c r="BV65" i="14"/>
  <c r="BW65" i="14" s="1"/>
  <c r="BX65" i="14" s="1"/>
  <c r="BW177" i="16"/>
  <c r="BW160" i="16"/>
  <c r="BX177" i="16"/>
  <c r="BC56" i="14"/>
  <c r="I78" i="21" s="1"/>
  <c r="JF20" i="14"/>
  <c r="ML56" i="14"/>
  <c r="N78" i="21" s="1"/>
  <c r="K5" i="5"/>
  <c r="K24" i="5"/>
  <c r="K13" i="5"/>
  <c r="BD68" i="14"/>
  <c r="BR36" i="14"/>
  <c r="BY36" i="14" s="1"/>
  <c r="BU36" i="14"/>
  <c r="AX197" i="10"/>
  <c r="AX204" i="10"/>
  <c r="N178" i="8"/>
  <c r="P178" i="8" s="1"/>
  <c r="O55" i="14"/>
  <c r="P55" i="14" s="1"/>
  <c r="Q55" i="14" s="1"/>
  <c r="N192" i="8"/>
  <c r="P192" i="8" s="1"/>
  <c r="O69" i="14"/>
  <c r="P69" i="14" s="1"/>
  <c r="Q69" i="14" s="1"/>
  <c r="N175" i="8"/>
  <c r="P175" i="8" s="1"/>
  <c r="O52" i="14"/>
  <c r="P52" i="14" s="1"/>
  <c r="Q52" i="14" s="1"/>
  <c r="EB21" i="14"/>
  <c r="K38" i="9"/>
  <c r="EL52" i="14"/>
  <c r="BX206" i="10"/>
  <c r="BX203" i="10"/>
  <c r="DJ34" i="14"/>
  <c r="D87" i="21" s="1"/>
  <c r="GI22" i="14"/>
  <c r="GF22" i="14"/>
  <c r="GM22" i="14" s="1"/>
  <c r="AO159" i="19"/>
  <c r="AP176" i="19"/>
  <c r="AO176" i="19"/>
  <c r="AY20" i="14"/>
  <c r="AY27" i="14"/>
  <c r="BA27" i="14" s="1"/>
  <c r="AC27" i="14"/>
  <c r="FQ30" i="14"/>
  <c r="E83" i="21" s="1"/>
  <c r="KS21" i="14"/>
  <c r="H67" i="22"/>
  <c r="C172" i="8"/>
  <c r="EB22" i="14"/>
  <c r="BB196" i="19"/>
  <c r="BA197" i="19"/>
  <c r="BB197" i="19"/>
  <c r="BA196" i="19"/>
  <c r="BA199" i="19"/>
  <c r="BB199" i="19"/>
  <c r="BB198" i="19"/>
  <c r="BA198" i="19"/>
  <c r="CF202" i="19"/>
  <c r="CH206" i="19"/>
  <c r="CF209" i="19"/>
  <c r="CH203" i="19"/>
  <c r="J93" i="13"/>
  <c r="W26" i="14"/>
  <c r="C14" i="22" s="1"/>
  <c r="N52" i="14"/>
  <c r="AQ159" i="16"/>
  <c r="BX198" i="19"/>
  <c r="BX201" i="19"/>
  <c r="BC177" i="16"/>
  <c r="G83" i="22"/>
  <c r="IL37" i="14"/>
  <c r="AW168" i="10"/>
  <c r="AX168" i="10"/>
  <c r="HX58" i="14"/>
  <c r="L80" i="21" s="1"/>
  <c r="IP25" i="14"/>
  <c r="AG248" i="19"/>
  <c r="AC249" i="19"/>
  <c r="L82" i="22"/>
  <c r="GE67" i="14"/>
  <c r="KX56" i="14"/>
  <c r="KY56" i="14" s="1"/>
  <c r="KZ56" i="14" s="1"/>
  <c r="N319" i="8"/>
  <c r="P319" i="8" s="1"/>
  <c r="N69" i="14"/>
  <c r="AD145" i="16"/>
  <c r="AD129" i="16"/>
  <c r="KW40" i="14"/>
  <c r="BC176" i="10"/>
  <c r="BD176" i="10"/>
  <c r="BC159" i="10"/>
  <c r="AR209" i="16"/>
  <c r="AT203" i="16"/>
  <c r="AT206" i="16"/>
  <c r="AR202" i="16"/>
  <c r="L65" i="22"/>
  <c r="GE50" i="14"/>
  <c r="X68" i="14"/>
  <c r="I54" i="9"/>
  <c r="J68" i="22"/>
  <c r="BQ53" i="14"/>
  <c r="BR53" i="14" s="1"/>
  <c r="BY53" i="14" s="1"/>
  <c r="BU51" i="14"/>
  <c r="DJ31" i="14"/>
  <c r="D84" i="21" s="1"/>
  <c r="GE27" i="14"/>
  <c r="DX24" i="14"/>
  <c r="KS24" i="14"/>
  <c r="KT24" i="14" s="1"/>
  <c r="LA24" i="14" s="1"/>
  <c r="KE61" i="14"/>
  <c r="M83" i="21" s="1"/>
  <c r="N70" i="8"/>
  <c r="P70" i="8" s="1"/>
  <c r="EC28" i="14"/>
  <c r="ED28" i="14" s="1"/>
  <c r="EE28" i="14" s="1"/>
  <c r="N79" i="8"/>
  <c r="P79" i="8" s="1"/>
  <c r="EC37" i="14"/>
  <c r="ED37" i="14" s="1"/>
  <c r="EE37" i="14" s="1"/>
  <c r="AX201" i="10"/>
  <c r="AX198" i="10"/>
  <c r="AV197" i="10"/>
  <c r="AV204" i="10"/>
  <c r="CE165" i="16"/>
  <c r="CF165" i="16"/>
  <c r="N52" i="8"/>
  <c r="P52" i="8" s="1"/>
  <c r="BV38" i="14"/>
  <c r="BW38" i="14" s="1"/>
  <c r="BX38" i="14" s="1"/>
  <c r="AY159" i="19"/>
  <c r="AZ176" i="19"/>
  <c r="AY176" i="19"/>
  <c r="GI56" i="14"/>
  <c r="BG160" i="16"/>
  <c r="BH177" i="16"/>
  <c r="BG177" i="16"/>
  <c r="N126" i="8"/>
  <c r="P126" i="8" s="1"/>
  <c r="IQ28" i="14"/>
  <c r="IR28" i="14" s="1"/>
  <c r="IS28" i="14" s="1"/>
  <c r="L81" i="22"/>
  <c r="GE66" i="14"/>
  <c r="GF66" i="14" s="1"/>
  <c r="GM66" i="14" s="1"/>
  <c r="BQ30" i="14"/>
  <c r="BR30" i="14" s="1"/>
  <c r="BY30" i="14" s="1"/>
  <c r="L87" i="22"/>
  <c r="GE72" i="14"/>
  <c r="GF72" i="14" s="1"/>
  <c r="GM72" i="14" s="1"/>
  <c r="E39" i="9"/>
  <c r="EL22" i="14"/>
  <c r="BU19" i="14"/>
  <c r="N217" i="8"/>
  <c r="P217" i="8" s="1"/>
  <c r="BV66" i="14"/>
  <c r="BW66" i="14" s="1"/>
  <c r="BX66" i="14" s="1"/>
  <c r="EB70" i="14"/>
  <c r="EB39" i="14"/>
  <c r="J56" i="9"/>
  <c r="CE70" i="14"/>
  <c r="C43" i="22"/>
  <c r="AD26" i="14"/>
  <c r="BE198" i="19"/>
  <c r="BQ33" i="14"/>
  <c r="BR33" i="14" s="1"/>
  <c r="BY33" i="14" s="1"/>
  <c r="IP27" i="14"/>
  <c r="N334" i="8"/>
  <c r="P334" i="8" s="1"/>
  <c r="KX71" i="14"/>
  <c r="KY71" i="14" s="1"/>
  <c r="KZ71" i="14" s="1"/>
  <c r="AD151" i="16"/>
  <c r="AD135" i="16"/>
  <c r="EL71" i="14"/>
  <c r="K57" i="9"/>
  <c r="DJ24" i="14"/>
  <c r="D77" i="21" s="1"/>
  <c r="GI37" i="14"/>
  <c r="KT27" i="14"/>
  <c r="LA27" i="14" s="1"/>
  <c r="KW27" i="14"/>
  <c r="F55" i="9"/>
  <c r="GS38" i="14"/>
  <c r="I87" i="13"/>
  <c r="GE28" i="14"/>
  <c r="GF28" i="14" s="1"/>
  <c r="GM28" i="14" s="1"/>
  <c r="GI58" i="14"/>
  <c r="G75" i="13"/>
  <c r="KE23" i="14" s="1"/>
  <c r="G76" i="21" s="1"/>
  <c r="C200" i="8"/>
  <c r="N89" i="13"/>
  <c r="U487" i="10"/>
  <c r="V486" i="10"/>
  <c r="W486" i="10" s="1"/>
  <c r="N49" i="14"/>
  <c r="K39" i="9"/>
  <c r="EL53" i="14"/>
  <c r="LG36" i="14"/>
  <c r="H53" i="9"/>
  <c r="GI40" i="14"/>
  <c r="KW71" i="14"/>
  <c r="GI32" i="14"/>
  <c r="C32" i="8"/>
  <c r="N68" i="8"/>
  <c r="P68" i="8" s="1"/>
  <c r="EC26" i="14"/>
  <c r="ED26" i="14" s="1"/>
  <c r="EE26" i="14" s="1"/>
  <c r="J30" i="21"/>
  <c r="KW36" i="14"/>
  <c r="AE192" i="19"/>
  <c r="AH192" i="19" s="1"/>
  <c r="AG192" i="19"/>
  <c r="N41" i="8"/>
  <c r="P41" i="8" s="1"/>
  <c r="BV27" i="14"/>
  <c r="BW27" i="14" s="1"/>
  <c r="BX27" i="14" s="1"/>
  <c r="AW202" i="19"/>
  <c r="AW209" i="19"/>
  <c r="N116" i="8"/>
  <c r="P116" i="8" s="1"/>
  <c r="IQ18" i="14"/>
  <c r="IR18" i="14" s="1"/>
  <c r="IS18" i="14" s="1"/>
  <c r="GI24" i="14"/>
  <c r="K89" i="13"/>
  <c r="GI66" i="14"/>
  <c r="ML23" i="14"/>
  <c r="H76" i="21" s="1"/>
  <c r="N162" i="8"/>
  <c r="P162" i="8" s="1"/>
  <c r="KX36" i="14"/>
  <c r="KY36" i="14" s="1"/>
  <c r="KZ36" i="14" s="1"/>
  <c r="GI68" i="14"/>
  <c r="FQ19" i="14"/>
  <c r="BU57" i="14"/>
  <c r="N171" i="8"/>
  <c r="P171" i="8" s="1"/>
  <c r="O72" i="14"/>
  <c r="P72" i="14" s="1"/>
  <c r="Q72" i="14" s="1"/>
  <c r="N75" i="13"/>
  <c r="GS70" i="14"/>
  <c r="L56" i="9"/>
  <c r="M74" i="13"/>
  <c r="KE53" i="14" s="1"/>
  <c r="KT62" i="14"/>
  <c r="LA62" i="14" s="1"/>
  <c r="KW62" i="14"/>
  <c r="EB58" i="14"/>
  <c r="N317" i="8"/>
  <c r="P317" i="8" s="1"/>
  <c r="KX54" i="14"/>
  <c r="KY54" i="14" s="1"/>
  <c r="KZ54" i="14" s="1"/>
  <c r="M16" i="5"/>
  <c r="IP28" i="14"/>
  <c r="E72" i="13"/>
  <c r="CI170" i="19"/>
  <c r="CJ170" i="19"/>
  <c r="BQ60" i="14"/>
  <c r="GS71" i="14"/>
  <c r="L57" i="9"/>
  <c r="L74" i="13"/>
  <c r="W29" i="14"/>
  <c r="C17" i="22" s="1"/>
  <c r="N62" i="8"/>
  <c r="P62" i="8" s="1"/>
  <c r="EC20" i="14"/>
  <c r="ED20" i="14" s="1"/>
  <c r="EE20" i="14" s="1"/>
  <c r="AG192" i="10"/>
  <c r="AE192" i="10"/>
  <c r="AH192" i="10" s="1"/>
  <c r="MM21" i="14"/>
  <c r="HX69" i="14"/>
  <c r="AC194" i="19"/>
  <c r="AD193" i="19"/>
  <c r="IP40" i="14"/>
  <c r="N42" i="8"/>
  <c r="P42" i="8" s="1"/>
  <c r="BV28" i="14"/>
  <c r="BW28" i="14" s="1"/>
  <c r="BX28" i="14" s="1"/>
  <c r="KW66" i="14"/>
  <c r="N127" i="8"/>
  <c r="P127" i="8" s="1"/>
  <c r="IQ29" i="14"/>
  <c r="IR29" i="14" s="1"/>
  <c r="IS29" i="14" s="1"/>
  <c r="N134" i="8"/>
  <c r="P134" i="8" s="1"/>
  <c r="IQ36" i="14"/>
  <c r="IR36" i="14" s="1"/>
  <c r="IS36" i="14" s="1"/>
  <c r="GE25" i="14"/>
  <c r="GF25" i="14" s="1"/>
  <c r="GM25" i="14" s="1"/>
  <c r="M92" i="13"/>
  <c r="D69" i="22"/>
  <c r="BQ23" i="14"/>
  <c r="N164" i="8"/>
  <c r="P164" i="8" s="1"/>
  <c r="KX38" i="14"/>
  <c r="KY38" i="14" s="1"/>
  <c r="KZ38" i="14" s="1"/>
  <c r="N157" i="8"/>
  <c r="P157" i="8" s="1"/>
  <c r="KX31" i="14"/>
  <c r="KY31" i="14" s="1"/>
  <c r="KZ31" i="14" s="1"/>
  <c r="AI219" i="16"/>
  <c r="AF277" i="16" s="1"/>
  <c r="AE277" i="16" s="1"/>
  <c r="AJ219" i="16"/>
  <c r="AH277" i="16" s="1"/>
  <c r="KW39" i="14"/>
  <c r="E80" i="13"/>
  <c r="AU201" i="10"/>
  <c r="AU198" i="10"/>
  <c r="AS204" i="10"/>
  <c r="AS197" i="10"/>
  <c r="N203" i="8"/>
  <c r="P203" i="8" s="1"/>
  <c r="BV52" i="14"/>
  <c r="BW52" i="14" s="1"/>
  <c r="BX52" i="14" s="1"/>
  <c r="N206" i="8"/>
  <c r="P206" i="8" s="1"/>
  <c r="BV55" i="14"/>
  <c r="BW55" i="14" s="1"/>
  <c r="BX55" i="14" s="1"/>
  <c r="H11" i="21"/>
  <c r="K29" i="21"/>
  <c r="AH142" i="16"/>
  <c r="AH126" i="16"/>
  <c r="EB63" i="14"/>
  <c r="O51" i="14"/>
  <c r="P51" i="14" s="1"/>
  <c r="Q51" i="14" s="1"/>
  <c r="N174" i="8"/>
  <c r="P174" i="8" s="1"/>
  <c r="N177" i="8"/>
  <c r="P177" i="8" s="1"/>
  <c r="O54" i="14"/>
  <c r="P54" i="14" s="1"/>
  <c r="Q54" i="14" s="1"/>
  <c r="H90" i="13"/>
  <c r="D29" i="21"/>
  <c r="AQ27" i="14"/>
  <c r="I29" i="21"/>
  <c r="IP66" i="14"/>
  <c r="EB32" i="14"/>
  <c r="G56" i="9"/>
  <c r="IZ39" i="14"/>
  <c r="F13" i="21"/>
  <c r="CC158" i="16"/>
  <c r="E75" i="13"/>
  <c r="C22" i="5"/>
  <c r="O123" i="8"/>
  <c r="O124" i="8"/>
  <c r="O126" i="8"/>
  <c r="O130" i="8"/>
  <c r="O122" i="8"/>
  <c r="G11" i="5" s="1"/>
  <c r="O125" i="8"/>
  <c r="G14" i="5" s="1"/>
  <c r="O127" i="8"/>
  <c r="G16" i="5" s="1"/>
  <c r="O121" i="8"/>
  <c r="G10" i="5" s="1"/>
  <c r="O128" i="8"/>
  <c r="O133" i="8"/>
  <c r="O132" i="8"/>
  <c r="O131" i="8"/>
  <c r="O129" i="8"/>
  <c r="G18" i="5" s="1"/>
  <c r="O137" i="8"/>
  <c r="G26" i="5" s="1"/>
  <c r="O115" i="8"/>
  <c r="G28" i="5" s="1"/>
  <c r="O135" i="8"/>
  <c r="O134" i="8"/>
  <c r="O120" i="8"/>
  <c r="G9" i="5" s="1"/>
  <c r="O138" i="8"/>
  <c r="O117" i="8"/>
  <c r="G6" i="5" s="1"/>
  <c r="O116" i="8"/>
  <c r="G5" i="5" s="1"/>
  <c r="O119" i="8"/>
  <c r="G8" i="5" s="1"/>
  <c r="O118" i="8"/>
  <c r="G7" i="5" s="1"/>
  <c r="O136" i="8"/>
  <c r="G25" i="5" s="1"/>
  <c r="IL35" i="14"/>
  <c r="IZ52" i="14"/>
  <c r="M38" i="9"/>
  <c r="N91" i="13"/>
  <c r="N311" i="8"/>
  <c r="P311" i="8" s="1"/>
  <c r="KX72" i="14"/>
  <c r="KY72" i="14" s="1"/>
  <c r="KZ72" i="14" s="1"/>
  <c r="KX69" i="14"/>
  <c r="KY69" i="14" s="1"/>
  <c r="KZ69" i="14" s="1"/>
  <c r="N332" i="8"/>
  <c r="P332" i="8" s="1"/>
  <c r="HX25" i="14"/>
  <c r="F78" i="21" s="1"/>
  <c r="AD150" i="16"/>
  <c r="AD134" i="16"/>
  <c r="CK51" i="14"/>
  <c r="AE220" i="16"/>
  <c r="AH220" i="16" s="1"/>
  <c r="AG220" i="16"/>
  <c r="F82" i="22"/>
  <c r="GE36" i="14"/>
  <c r="GF36" i="14" s="1"/>
  <c r="GM36" i="14" s="1"/>
  <c r="N63" i="14"/>
  <c r="AM539" i="10"/>
  <c r="AN538" i="10"/>
  <c r="AO538" i="10" s="1"/>
  <c r="ML31" i="14"/>
  <c r="H84" i="21" s="1"/>
  <c r="BY209" i="19"/>
  <c r="BY202" i="19"/>
  <c r="CA203" i="19"/>
  <c r="CA206" i="19"/>
  <c r="GI41" i="14"/>
  <c r="ER68" i="14"/>
  <c r="E81" i="22"/>
  <c r="DX35" i="14"/>
  <c r="AP201" i="10"/>
  <c r="AP198" i="10"/>
  <c r="BO157" i="10"/>
  <c r="BP174" i="10"/>
  <c r="BO174" i="10"/>
  <c r="BY198" i="10"/>
  <c r="BY201" i="10"/>
  <c r="BW197" i="10"/>
  <c r="BW204" i="10"/>
  <c r="IP52" i="14"/>
  <c r="BQ65" i="14"/>
  <c r="BR65" i="14" s="1"/>
  <c r="BY65" i="14" s="1"/>
  <c r="GY21" i="14"/>
  <c r="AF141" i="16"/>
  <c r="AF125" i="16"/>
  <c r="BU18" i="14"/>
  <c r="LM40" i="14"/>
  <c r="KS64" i="14"/>
  <c r="KT64" i="14" s="1"/>
  <c r="LA64" i="14" s="1"/>
  <c r="GI69" i="14"/>
  <c r="DJ65" i="14"/>
  <c r="J87" i="21" s="1"/>
  <c r="J92" i="13"/>
  <c r="CI158" i="19"/>
  <c r="CI175" i="19"/>
  <c r="CJ175" i="19"/>
  <c r="O321" i="8"/>
  <c r="N14" i="5" s="1"/>
  <c r="O327" i="8"/>
  <c r="O324" i="8"/>
  <c r="O328" i="8"/>
  <c r="O320" i="8"/>
  <c r="N13" i="5" s="1"/>
  <c r="O323" i="8"/>
  <c r="O318" i="8"/>
  <c r="N11" i="5" s="1"/>
  <c r="O322" i="8"/>
  <c r="N15" i="5" s="1"/>
  <c r="O325" i="8"/>
  <c r="O319" i="8"/>
  <c r="N12" i="5" s="1"/>
  <c r="O326" i="8"/>
  <c r="O329" i="8"/>
  <c r="O317" i="8"/>
  <c r="N10" i="5" s="1"/>
  <c r="O332" i="8"/>
  <c r="N25" i="5" s="1"/>
  <c r="O316" i="8"/>
  <c r="N9" i="5" s="1"/>
  <c r="O330" i="8"/>
  <c r="N23" i="5" s="1"/>
  <c r="O315" i="8"/>
  <c r="N8" i="5" s="1"/>
  <c r="O311" i="8"/>
  <c r="N28" i="5" s="1"/>
  <c r="O334" i="8"/>
  <c r="N27" i="5" s="1"/>
  <c r="O314" i="8"/>
  <c r="N7" i="5" s="1"/>
  <c r="O313" i="8"/>
  <c r="N6" i="5" s="1"/>
  <c r="O312" i="8"/>
  <c r="N5" i="5" s="1"/>
  <c r="O331" i="8"/>
  <c r="N24" i="5" s="1"/>
  <c r="O333" i="8"/>
  <c r="N26" i="5" s="1"/>
  <c r="AB543" i="10"/>
  <c r="AC543" i="10" s="1"/>
  <c r="AA544" i="10"/>
  <c r="O43" i="8"/>
  <c r="O47" i="8"/>
  <c r="O42" i="8"/>
  <c r="O44" i="8"/>
  <c r="O38" i="8"/>
  <c r="D11" i="5" s="1"/>
  <c r="O45" i="8"/>
  <c r="D18" i="5" s="1"/>
  <c r="O49" i="8"/>
  <c r="D22" i="5" s="1"/>
  <c r="O37" i="8"/>
  <c r="D10" i="5" s="1"/>
  <c r="O46" i="8"/>
  <c r="O48" i="8"/>
  <c r="O40" i="8"/>
  <c r="D13" i="5" s="1"/>
  <c r="O41" i="8"/>
  <c r="D14" i="5" s="1"/>
  <c r="O39" i="8"/>
  <c r="D12" i="5" s="1"/>
  <c r="O33" i="8"/>
  <c r="D6" i="5" s="1"/>
  <c r="O53" i="8"/>
  <c r="D26" i="5" s="1"/>
  <c r="O36" i="8"/>
  <c r="D9" i="5" s="1"/>
  <c r="O52" i="8"/>
  <c r="D25" i="5" s="1"/>
  <c r="O31" i="8"/>
  <c r="D28" i="5" s="1"/>
  <c r="O51" i="8"/>
  <c r="D24" i="5" s="1"/>
  <c r="O50" i="8"/>
  <c r="D23" i="5" s="1"/>
  <c r="O35" i="8"/>
  <c r="D8" i="5" s="1"/>
  <c r="O54" i="8"/>
  <c r="D27" i="5" s="1"/>
  <c r="O32" i="8"/>
  <c r="D5" i="5" s="1"/>
  <c r="O34" i="8"/>
  <c r="D7" i="5" s="1"/>
  <c r="N60" i="8"/>
  <c r="P60" i="8" s="1"/>
  <c r="EC18" i="14"/>
  <c r="ED18" i="14" s="1"/>
  <c r="EE18" i="14" s="1"/>
  <c r="CC203" i="10"/>
  <c r="CC206" i="10"/>
  <c r="CA202" i="10"/>
  <c r="CA209" i="10"/>
  <c r="CE206" i="10"/>
  <c r="CC209" i="10"/>
  <c r="CC202" i="10"/>
  <c r="CE203" i="10"/>
  <c r="BU31" i="14"/>
  <c r="BO175" i="16"/>
  <c r="KW35" i="14"/>
  <c r="KT35" i="14"/>
  <c r="LA35" i="14" s="1"/>
  <c r="EB56" i="14"/>
  <c r="N33" i="8"/>
  <c r="P33" i="8" s="1"/>
  <c r="BV19" i="14"/>
  <c r="BW19" i="14" s="1"/>
  <c r="BX19" i="14" s="1"/>
  <c r="N47" i="8"/>
  <c r="P47" i="8" s="1"/>
  <c r="BV33" i="14"/>
  <c r="BW33" i="14" s="1"/>
  <c r="BX33" i="14" s="1"/>
  <c r="AP34" i="14"/>
  <c r="AR34" i="14" s="1"/>
  <c r="C53" i="23" s="1"/>
  <c r="N118" i="8"/>
  <c r="P118" i="8" s="1"/>
  <c r="IQ20" i="14"/>
  <c r="IR20" i="14" s="1"/>
  <c r="IS20" i="14" s="1"/>
  <c r="GE59" i="14"/>
  <c r="GF59" i="14" s="1"/>
  <c r="GM59" i="14" s="1"/>
  <c r="BR198" i="10"/>
  <c r="BQ198" i="10"/>
  <c r="BQ197" i="10"/>
  <c r="J62" i="14"/>
  <c r="DJ49" i="14"/>
  <c r="GI25" i="14"/>
  <c r="BR23" i="14"/>
  <c r="BY23" i="14" s="1"/>
  <c r="BU23" i="14"/>
  <c r="FQ55" i="14"/>
  <c r="K77" i="21" s="1"/>
  <c r="ML25" i="14"/>
  <c r="H78" i="21" s="1"/>
  <c r="FQ63" i="14"/>
  <c r="K85" i="21" s="1"/>
  <c r="KX20" i="14"/>
  <c r="KY20" i="14" s="1"/>
  <c r="KZ20" i="14" s="1"/>
  <c r="N146" i="8"/>
  <c r="P146" i="8" s="1"/>
  <c r="N156" i="8"/>
  <c r="P156" i="8" s="1"/>
  <c r="KX30" i="14"/>
  <c r="KY30" i="14" s="1"/>
  <c r="KZ30" i="14" s="1"/>
  <c r="N61" i="14"/>
  <c r="H91" i="13"/>
  <c r="DY34" i="14"/>
  <c r="EF34" i="14" s="1"/>
  <c r="EB34" i="14"/>
  <c r="HX34" i="14"/>
  <c r="F87" i="21" s="1"/>
  <c r="N211" i="8"/>
  <c r="P211" i="8" s="1"/>
  <c r="BV60" i="14"/>
  <c r="BW60" i="14" s="1"/>
  <c r="BX60" i="14" s="1"/>
  <c r="N209" i="8"/>
  <c r="P209" i="8" s="1"/>
  <c r="BV58" i="14"/>
  <c r="BW58" i="14" s="1"/>
  <c r="BX58" i="14" s="1"/>
  <c r="K12" i="5"/>
  <c r="D82" i="22"/>
  <c r="BQ36" i="14"/>
  <c r="O53" i="14"/>
  <c r="P53" i="14" s="1"/>
  <c r="Q53" i="14" s="1"/>
  <c r="N176" i="8"/>
  <c r="P176" i="8" s="1"/>
  <c r="BX176" i="10"/>
  <c r="BW159" i="10"/>
  <c r="BW176" i="10"/>
  <c r="FQ50" i="14"/>
  <c r="D92" i="13"/>
  <c r="O66" i="8"/>
  <c r="E11" i="5" s="1"/>
  <c r="O71" i="8"/>
  <c r="O77" i="8"/>
  <c r="E22" i="5" s="1"/>
  <c r="O69" i="8"/>
  <c r="E14" i="5" s="1"/>
  <c r="O76" i="8"/>
  <c r="O70" i="8"/>
  <c r="E15" i="5" s="1"/>
  <c r="O74" i="8"/>
  <c r="E19" i="5" s="1"/>
  <c r="O72" i="8"/>
  <c r="O67" i="8"/>
  <c r="E12" i="5" s="1"/>
  <c r="O68" i="8"/>
  <c r="E13" i="5" s="1"/>
  <c r="O75" i="8"/>
  <c r="E20" i="5" s="1"/>
  <c r="O73" i="8"/>
  <c r="O65" i="8"/>
  <c r="E10" i="5" s="1"/>
  <c r="O61" i="8"/>
  <c r="E6" i="5" s="1"/>
  <c r="O81" i="8"/>
  <c r="E26" i="5" s="1"/>
  <c r="O64" i="8"/>
  <c r="E9" i="5" s="1"/>
  <c r="O80" i="8"/>
  <c r="E25" i="5" s="1"/>
  <c r="O59" i="8"/>
  <c r="E28" i="5" s="1"/>
  <c r="O82" i="8"/>
  <c r="E27" i="5" s="1"/>
  <c r="O79" i="8"/>
  <c r="E24" i="5" s="1"/>
  <c r="O78" i="8"/>
  <c r="E23" i="5" s="1"/>
  <c r="O63" i="8"/>
  <c r="E8" i="5" s="1"/>
  <c r="O62" i="8"/>
  <c r="E7" i="5" s="1"/>
  <c r="O60" i="8"/>
  <c r="E5" i="5" s="1"/>
  <c r="BU72" i="14"/>
  <c r="M87" i="13"/>
  <c r="E84" i="13"/>
  <c r="K57" i="14"/>
  <c r="R57" i="14" s="1"/>
  <c r="N57" i="14"/>
  <c r="IL31" i="14"/>
  <c r="AQ209" i="19"/>
  <c r="AS206" i="19"/>
  <c r="AQ202" i="19"/>
  <c r="AS203" i="19"/>
  <c r="C23" i="5"/>
  <c r="AB151" i="10"/>
  <c r="AB135" i="19"/>
  <c r="AB135" i="10"/>
  <c r="IL64" i="14"/>
  <c r="IM64" i="14" s="1"/>
  <c r="IT64" i="14" s="1"/>
  <c r="IP35" i="14"/>
  <c r="IM35" i="14"/>
  <c r="IT35" i="14" s="1"/>
  <c r="CG177" i="16"/>
  <c r="EB51" i="14"/>
  <c r="D73" i="13"/>
  <c r="KX52" i="14"/>
  <c r="KY52" i="14" s="1"/>
  <c r="KZ52" i="14" s="1"/>
  <c r="N315" i="8"/>
  <c r="P315" i="8" s="1"/>
  <c r="N321" i="8"/>
  <c r="P321" i="8" s="1"/>
  <c r="KX58" i="14"/>
  <c r="KY58" i="14" s="1"/>
  <c r="KZ58" i="14" s="1"/>
  <c r="F35" i="9"/>
  <c r="GS18" i="14"/>
  <c r="AD144" i="16"/>
  <c r="AD128" i="16"/>
  <c r="AQ194" i="10"/>
  <c r="AQ187" i="10"/>
  <c r="AS188" i="10"/>
  <c r="AS191" i="10"/>
  <c r="AC222" i="16"/>
  <c r="AD221" i="16"/>
  <c r="KW67" i="14"/>
  <c r="DJ62" i="14"/>
  <c r="J84" i="21" s="1"/>
  <c r="BY192" i="10"/>
  <c r="BY199" i="10"/>
  <c r="CA193" i="10"/>
  <c r="CA196" i="10"/>
  <c r="IP18" i="14"/>
  <c r="M64" i="22"/>
  <c r="IL49" i="14"/>
  <c r="F93" i="13"/>
  <c r="BU59" i="14"/>
  <c r="BR59" i="14"/>
  <c r="BY59" i="14" s="1"/>
  <c r="EB35" i="14"/>
  <c r="DY35" i="14"/>
  <c r="EF35" i="14" s="1"/>
  <c r="CK23" i="14"/>
  <c r="AO201" i="10"/>
  <c r="AO198" i="10"/>
  <c r="BU61" i="14"/>
  <c r="BR61" i="14"/>
  <c r="BY61" i="14" s="1"/>
  <c r="EB66" i="14"/>
  <c r="DY66" i="14"/>
  <c r="EF66" i="14" s="1"/>
  <c r="AO159" i="16"/>
  <c r="AP176" i="16"/>
  <c r="AO176" i="16"/>
  <c r="BM159" i="19"/>
  <c r="BN176" i="19"/>
  <c r="BN198" i="19" s="1"/>
  <c r="BM176" i="19"/>
  <c r="BK197" i="19" s="1"/>
  <c r="BU65" i="14"/>
  <c r="M13" i="21"/>
  <c r="KW30" i="14"/>
  <c r="E89" i="13"/>
  <c r="AF149" i="16"/>
  <c r="AF133" i="16"/>
  <c r="IM31" i="14"/>
  <c r="IT31" i="14" s="1"/>
  <c r="IP31" i="14"/>
  <c r="AR202" i="19"/>
  <c r="AT206" i="19"/>
  <c r="AT203" i="19"/>
  <c r="AR209" i="19"/>
  <c r="F90" i="13"/>
  <c r="CC165" i="16"/>
  <c r="CD165" i="16"/>
  <c r="D86" i="13"/>
  <c r="AB152" i="10"/>
  <c r="AB136" i="10"/>
  <c r="AB136" i="19"/>
  <c r="CH160" i="16"/>
  <c r="CH176" i="16" s="1"/>
  <c r="BW165" i="19"/>
  <c r="BX165" i="19"/>
  <c r="IP64" i="14"/>
  <c r="K72" i="13"/>
  <c r="KE49" i="14"/>
  <c r="KT19" i="14"/>
  <c r="LA19" i="14" s="1"/>
  <c r="KW19" i="14"/>
  <c r="ML59" i="14"/>
  <c r="N81" i="21" s="1"/>
  <c r="AS170" i="16"/>
  <c r="AT170" i="16"/>
  <c r="KE65" i="14"/>
  <c r="M87" i="21" s="1"/>
  <c r="GI34" i="14"/>
  <c r="GF34" i="14"/>
  <c r="GM34" i="14" s="1"/>
  <c r="BK159" i="16"/>
  <c r="BK176" i="16"/>
  <c r="BL176" i="16"/>
  <c r="IP22" i="14"/>
  <c r="KX57" i="14"/>
  <c r="KY57" i="14" s="1"/>
  <c r="KZ57" i="14" s="1"/>
  <c r="N320" i="8"/>
  <c r="P320" i="8" s="1"/>
  <c r="N328" i="8"/>
  <c r="P328" i="8" s="1"/>
  <c r="KX65" i="14"/>
  <c r="KY65" i="14" s="1"/>
  <c r="KZ65" i="14" s="1"/>
  <c r="N325" i="8"/>
  <c r="P325" i="8" s="1"/>
  <c r="KX62" i="14"/>
  <c r="KY62" i="14" s="1"/>
  <c r="KZ62" i="14" s="1"/>
  <c r="AD146" i="16"/>
  <c r="AD130" i="16"/>
  <c r="AD153" i="16"/>
  <c r="AD137" i="16"/>
  <c r="ER35" i="14"/>
  <c r="EB31" i="14"/>
  <c r="DY31" i="14"/>
  <c r="EF31" i="14" s="1"/>
  <c r="AT173" i="10"/>
  <c r="AS173" i="10"/>
  <c r="AS156" i="10"/>
  <c r="CA165" i="19"/>
  <c r="CB165" i="19"/>
  <c r="AA522" i="10"/>
  <c r="AB521" i="10"/>
  <c r="AC521" i="10" s="1"/>
  <c r="EB67" i="14"/>
  <c r="N88" i="13"/>
  <c r="IP61" i="14"/>
  <c r="IM61" i="14"/>
  <c r="IT61" i="14" s="1"/>
  <c r="BZ199" i="10"/>
  <c r="BZ192" i="10"/>
  <c r="CB196" i="10"/>
  <c r="CB193" i="10"/>
  <c r="G70" i="13"/>
  <c r="IP49" i="14"/>
  <c r="IM49" i="14"/>
  <c r="IT49" i="14" s="1"/>
  <c r="BM160" i="16"/>
  <c r="BM177" i="16"/>
  <c r="BN177" i="16"/>
  <c r="AT156" i="10"/>
  <c r="CH204" i="10"/>
  <c r="CH197" i="10"/>
  <c r="CJ201" i="10"/>
  <c r="CJ198" i="10"/>
  <c r="N67" i="14"/>
  <c r="K67" i="14"/>
  <c r="R67" i="14" s="1"/>
  <c r="GF19" i="14"/>
  <c r="GM19" i="14" s="1"/>
  <c r="GI19" i="14"/>
  <c r="BU62" i="14"/>
  <c r="K54" i="14"/>
  <c r="R54" i="14" s="1"/>
  <c r="N54" i="14"/>
  <c r="CF198" i="19"/>
  <c r="CF201" i="19"/>
  <c r="CD204" i="19"/>
  <c r="CD197" i="19"/>
  <c r="DY26" i="14"/>
  <c r="EF26" i="14" s="1"/>
  <c r="EB26" i="14"/>
  <c r="ER70" i="14"/>
  <c r="DJ61" i="14"/>
  <c r="J83" i="21" s="1"/>
  <c r="BK157" i="10"/>
  <c r="BL174" i="10"/>
  <c r="BK174" i="10"/>
  <c r="AC250" i="16"/>
  <c r="AG249" i="16"/>
  <c r="HX60" i="14"/>
  <c r="L82" i="21" s="1"/>
  <c r="O205" i="8"/>
  <c r="J10" i="5" s="1"/>
  <c r="O206" i="8"/>
  <c r="J11" i="5" s="1"/>
  <c r="O213" i="8"/>
  <c r="J18" i="5" s="1"/>
  <c r="O210" i="8"/>
  <c r="O215" i="8"/>
  <c r="O207" i="8"/>
  <c r="O209" i="8"/>
  <c r="O211" i="8"/>
  <c r="J16" i="5" s="1"/>
  <c r="O208" i="8"/>
  <c r="O212" i="8"/>
  <c r="J17" i="5" s="1"/>
  <c r="O216" i="8"/>
  <c r="J21" i="5" s="1"/>
  <c r="O217" i="8"/>
  <c r="J22" i="5" s="1"/>
  <c r="O214" i="8"/>
  <c r="O222" i="8"/>
  <c r="O220" i="8"/>
  <c r="O202" i="8"/>
  <c r="J7" i="5" s="1"/>
  <c r="O219" i="8"/>
  <c r="J24" i="5" s="1"/>
  <c r="O201" i="8"/>
  <c r="J6" i="5" s="1"/>
  <c r="O221" i="8"/>
  <c r="J26" i="5" s="1"/>
  <c r="O218" i="8"/>
  <c r="O199" i="8"/>
  <c r="O204" i="8"/>
  <c r="O203" i="8"/>
  <c r="J8" i="5" s="1"/>
  <c r="O200" i="8"/>
  <c r="D32" i="21"/>
  <c r="BU64" i="14"/>
  <c r="BR64" i="14"/>
  <c r="BY64" i="14" s="1"/>
  <c r="AP175" i="10"/>
  <c r="AO175" i="10"/>
  <c r="AO158" i="10"/>
  <c r="AP158" i="10"/>
  <c r="AQ33" i="14"/>
  <c r="AP33" i="14"/>
  <c r="AC33" i="14"/>
  <c r="GY69" i="14"/>
  <c r="ER37" i="14"/>
  <c r="BX197" i="10"/>
  <c r="BZ198" i="10"/>
  <c r="BX204" i="10"/>
  <c r="BZ201" i="10"/>
  <c r="AO209" i="10"/>
  <c r="AO202" i="10"/>
  <c r="AQ203" i="10"/>
  <c r="AQ206" i="10"/>
  <c r="AJ191" i="10"/>
  <c r="AH249" i="10" s="1"/>
  <c r="AI191" i="10"/>
  <c r="AF249" i="10" s="1"/>
  <c r="AE249" i="10" s="1"/>
  <c r="H82" i="13"/>
  <c r="ML30" i="14" s="1"/>
  <c r="H83" i="21" s="1"/>
  <c r="H74" i="13"/>
  <c r="JF21" i="14"/>
  <c r="GY19" i="14"/>
  <c r="AF145" i="16"/>
  <c r="AF129" i="16"/>
  <c r="AF148" i="16"/>
  <c r="AF132" i="16"/>
  <c r="ER40" i="14"/>
  <c r="CB159" i="19"/>
  <c r="F70" i="13"/>
  <c r="DJ57" i="14"/>
  <c r="J79" i="21" s="1"/>
  <c r="GI62" i="14"/>
  <c r="KW20" i="14"/>
  <c r="BC51" i="14"/>
  <c r="HX36" i="14"/>
  <c r="I543" i="10"/>
  <c r="J542" i="10"/>
  <c r="K542" i="10" s="1"/>
  <c r="AZ41" i="14"/>
  <c r="GI23" i="14"/>
  <c r="BC49" i="14"/>
  <c r="AO165" i="19"/>
  <c r="AP165" i="19"/>
  <c r="KW41" i="14"/>
  <c r="AQ30" i="14"/>
  <c r="AP159" i="16"/>
  <c r="E92" i="13"/>
  <c r="BS157" i="19"/>
  <c r="BS174" i="19"/>
  <c r="BT174" i="19"/>
  <c r="BU25" i="14"/>
  <c r="D72" i="13"/>
  <c r="DJ20" i="14" s="1"/>
  <c r="GS72" i="14"/>
  <c r="L58" i="9"/>
  <c r="EC22" i="14"/>
  <c r="ED22" i="14" s="1"/>
  <c r="EE22" i="14" s="1"/>
  <c r="N64" i="8"/>
  <c r="P64" i="8" s="1"/>
  <c r="N61" i="8"/>
  <c r="P61" i="8" s="1"/>
  <c r="EC19" i="14"/>
  <c r="ED19" i="14" s="1"/>
  <c r="EE19" i="14" s="1"/>
  <c r="N77" i="8"/>
  <c r="P77" i="8" s="1"/>
  <c r="EC35" i="14"/>
  <c r="ED35" i="14" s="1"/>
  <c r="EE35" i="14" s="1"/>
  <c r="KT26" i="14"/>
  <c r="LA26" i="14" s="1"/>
  <c r="KW26" i="14"/>
  <c r="CC159" i="10"/>
  <c r="CD176" i="10"/>
  <c r="CC176" i="10"/>
  <c r="CD159" i="10"/>
  <c r="K75" i="13"/>
  <c r="AC28" i="14"/>
  <c r="W28" i="14"/>
  <c r="C16" i="22" s="1"/>
  <c r="CF176" i="10"/>
  <c r="CE176" i="10"/>
  <c r="CE159" i="10"/>
  <c r="CF159" i="10"/>
  <c r="BY177" i="16"/>
  <c r="BZ160" i="16"/>
  <c r="BZ177" i="16"/>
  <c r="GY36" i="14"/>
  <c r="J73" i="13"/>
  <c r="DJ52" i="14" s="1"/>
  <c r="FQ31" i="14"/>
  <c r="E84" i="21" s="1"/>
  <c r="DY57" i="14"/>
  <c r="EF57" i="14" s="1"/>
  <c r="EB57" i="14"/>
  <c r="N68" i="14"/>
  <c r="BV26" i="14"/>
  <c r="BW26" i="14" s="1"/>
  <c r="BX26" i="14" s="1"/>
  <c r="N40" i="8"/>
  <c r="P40" i="8" s="1"/>
  <c r="BV22" i="14"/>
  <c r="BW22" i="14" s="1"/>
  <c r="BX22" i="14" s="1"/>
  <c r="N36" i="8"/>
  <c r="P36" i="8" s="1"/>
  <c r="N49" i="8"/>
  <c r="P49" i="8" s="1"/>
  <c r="BV35" i="14"/>
  <c r="BW35" i="14" s="1"/>
  <c r="BX35" i="14" s="1"/>
  <c r="W34" i="14"/>
  <c r="C22" i="22" s="1"/>
  <c r="GS22" i="14"/>
  <c r="F39" i="9"/>
  <c r="L85" i="13"/>
  <c r="HX64" i="14" s="1"/>
  <c r="L86" i="21" s="1"/>
  <c r="N119" i="8"/>
  <c r="P119" i="8" s="1"/>
  <c r="IQ21" i="14"/>
  <c r="IR21" i="14" s="1"/>
  <c r="IS21" i="14" s="1"/>
  <c r="N115" i="8"/>
  <c r="P115" i="8" s="1"/>
  <c r="IQ41" i="14"/>
  <c r="IR41" i="14" s="1"/>
  <c r="IS41" i="14" s="1"/>
  <c r="N129" i="8"/>
  <c r="P129" i="8" s="1"/>
  <c r="IQ31" i="14"/>
  <c r="IR31" i="14" s="1"/>
  <c r="IS31" i="14" s="1"/>
  <c r="GF51" i="14"/>
  <c r="GM51" i="14" s="1"/>
  <c r="GI51" i="14"/>
  <c r="E88" i="13"/>
  <c r="GI20" i="14"/>
  <c r="FQ29" i="14"/>
  <c r="E82" i="21" s="1"/>
  <c r="KE59" i="14"/>
  <c r="M81" i="21" s="1"/>
  <c r="ML41" i="14"/>
  <c r="G93" i="13"/>
  <c r="JF18" i="14"/>
  <c r="G91" i="13"/>
  <c r="HX70" i="14"/>
  <c r="EB30" i="14"/>
  <c r="N155" i="8"/>
  <c r="P155" i="8" s="1"/>
  <c r="KX29" i="14"/>
  <c r="KY29" i="14" s="1"/>
  <c r="KZ29" i="14" s="1"/>
  <c r="N143" i="8"/>
  <c r="P143" i="8" s="1"/>
  <c r="KX41" i="14"/>
  <c r="KY41" i="14" s="1"/>
  <c r="KZ41" i="14" s="1"/>
  <c r="N151" i="8"/>
  <c r="P151" i="8" s="1"/>
  <c r="KX25" i="14"/>
  <c r="KY25" i="14" s="1"/>
  <c r="KZ25" i="14" s="1"/>
  <c r="I74" i="13"/>
  <c r="GI63" i="14"/>
  <c r="AQ25" i="14"/>
  <c r="O519" i="10"/>
  <c r="P518" i="10"/>
  <c r="Q518" i="10" s="1"/>
  <c r="N202" i="8"/>
  <c r="P202" i="8" s="1"/>
  <c r="BV51" i="14"/>
  <c r="BW51" i="14" s="1"/>
  <c r="BX51" i="14" s="1"/>
  <c r="N220" i="8"/>
  <c r="P220" i="8" s="1"/>
  <c r="BV69" i="14"/>
  <c r="BW69" i="14" s="1"/>
  <c r="BX69" i="14" s="1"/>
  <c r="N208" i="8"/>
  <c r="P208" i="8" s="1"/>
  <c r="BV57" i="14"/>
  <c r="BW57" i="14" s="1"/>
  <c r="BX57" i="14" s="1"/>
  <c r="K6" i="5"/>
  <c r="K28" i="5"/>
  <c r="K20" i="5"/>
  <c r="I30" i="21"/>
  <c r="AY158" i="10"/>
  <c r="AY175" i="10"/>
  <c r="AZ175" i="10"/>
  <c r="BU24" i="14"/>
  <c r="N182" i="8"/>
  <c r="P182" i="8" s="1"/>
  <c r="O59" i="14"/>
  <c r="P59" i="14" s="1"/>
  <c r="Q59" i="14" s="1"/>
  <c r="O68" i="14"/>
  <c r="P68" i="14" s="1"/>
  <c r="Q68" i="14" s="1"/>
  <c r="N191" i="8"/>
  <c r="P191" i="8" s="1"/>
  <c r="N185" i="8"/>
  <c r="P185" i="8" s="1"/>
  <c r="O62" i="14"/>
  <c r="P62" i="14" s="1"/>
  <c r="Q62" i="14" s="1"/>
  <c r="E73" i="13"/>
  <c r="BW206" i="10"/>
  <c r="BW203" i="10"/>
  <c r="BU32" i="14"/>
  <c r="BU68" i="14"/>
  <c r="GF33" i="14"/>
  <c r="GM33" i="14" s="1"/>
  <c r="GI33" i="14"/>
  <c r="AP20" i="14"/>
  <c r="AZ27" i="14"/>
  <c r="KW72" i="14"/>
  <c r="KW21" i="14"/>
  <c r="KT21" i="14"/>
  <c r="LA21" i="14" s="1"/>
  <c r="E74" i="13"/>
  <c r="C60" i="8"/>
  <c r="BB199" i="10"/>
  <c r="BB198" i="10"/>
  <c r="BA196" i="10"/>
  <c r="BA198" i="10"/>
  <c r="BB197" i="10"/>
  <c r="BA199" i="10"/>
  <c r="BB196" i="10"/>
  <c r="BA197" i="10"/>
  <c r="CE209" i="19"/>
  <c r="CE202" i="19"/>
  <c r="CG206" i="19"/>
  <c r="CG203" i="19"/>
  <c r="EB52" i="14"/>
  <c r="ML64" i="14"/>
  <c r="N86" i="21" s="1"/>
  <c r="CK20" i="14"/>
  <c r="BR56" i="14"/>
  <c r="BY56" i="14" s="1"/>
  <c r="BU56" i="14"/>
  <c r="N58" i="14"/>
  <c r="I73" i="13"/>
  <c r="BX175" i="19"/>
  <c r="BW175" i="19"/>
  <c r="BX158" i="19"/>
  <c r="BW158" i="19"/>
  <c r="BS159" i="16"/>
  <c r="BT176" i="16"/>
  <c r="BS176" i="16"/>
  <c r="J59" i="14"/>
  <c r="M66" i="22"/>
  <c r="IL51" i="14"/>
  <c r="KW32" i="14"/>
  <c r="AB143" i="10"/>
  <c r="AB127" i="10"/>
  <c r="AB127" i="19"/>
  <c r="X49" i="14"/>
  <c r="I35" i="9"/>
  <c r="N333" i="8"/>
  <c r="P333" i="8" s="1"/>
  <c r="KX70" i="14"/>
  <c r="KY70" i="14" s="1"/>
  <c r="KZ70" i="14" s="1"/>
  <c r="J38" i="9"/>
  <c r="CE52" i="14"/>
  <c r="IZ70" i="14"/>
  <c r="M56" i="9"/>
  <c r="IP38" i="14"/>
  <c r="AW159" i="19"/>
  <c r="AW176" i="19"/>
  <c r="AX176" i="19"/>
  <c r="AX159" i="19"/>
  <c r="N66" i="14"/>
  <c r="KS29" i="14"/>
  <c r="KT29" i="14" s="1"/>
  <c r="LA29" i="14" s="1"/>
  <c r="KW50" i="14"/>
  <c r="KS58" i="14"/>
  <c r="DJ38" i="14"/>
  <c r="KW57" i="14"/>
  <c r="CD160" i="16"/>
  <c r="CD177" i="16"/>
  <c r="CC177" i="16"/>
  <c r="AJ191" i="19"/>
  <c r="AH249" i="19" s="1"/>
  <c r="AI191" i="19"/>
  <c r="AF249" i="19" s="1"/>
  <c r="AE249" i="19" s="1"/>
  <c r="IM58" i="14"/>
  <c r="IT58" i="14" s="1"/>
  <c r="IP58" i="14"/>
  <c r="G57" i="9"/>
  <c r="IZ40" i="14"/>
  <c r="AD31" i="14"/>
  <c r="C48" i="22"/>
  <c r="BS197" i="10"/>
  <c r="N82" i="8"/>
  <c r="P82" i="8" s="1"/>
  <c r="EC40" i="14"/>
  <c r="ED40" i="14" s="1"/>
  <c r="EE40" i="14" s="1"/>
  <c r="H64" i="22"/>
  <c r="KS18" i="14"/>
  <c r="KT18" i="14" s="1"/>
  <c r="LA18" i="14" s="1"/>
  <c r="N44" i="8"/>
  <c r="P44" i="8" s="1"/>
  <c r="BV30" i="14"/>
  <c r="BW30" i="14" s="1"/>
  <c r="BX30" i="14" s="1"/>
  <c r="D55" i="9"/>
  <c r="CE38" i="14"/>
  <c r="N132" i="8"/>
  <c r="P132" i="8" s="1"/>
  <c r="IQ34" i="14"/>
  <c r="IR34" i="14" s="1"/>
  <c r="IS34" i="14" s="1"/>
  <c r="GE57" i="14"/>
  <c r="GF57" i="14" s="1"/>
  <c r="GM57" i="14" s="1"/>
  <c r="DJ53" i="14"/>
  <c r="N152" i="8"/>
  <c r="P152" i="8" s="1"/>
  <c r="KX26" i="14"/>
  <c r="KY26" i="14" s="1"/>
  <c r="KZ26" i="14" s="1"/>
  <c r="N204" i="8"/>
  <c r="P204" i="8" s="1"/>
  <c r="BV53" i="14"/>
  <c r="BW53" i="14" s="1"/>
  <c r="BX53" i="14" s="1"/>
  <c r="BG159" i="19"/>
  <c r="BG176" i="19"/>
  <c r="BG198" i="19" s="1"/>
  <c r="BH176" i="19"/>
  <c r="BH198" i="19" s="1"/>
  <c r="AH146" i="16"/>
  <c r="AH130" i="16"/>
  <c r="N181" i="8"/>
  <c r="P181" i="8" s="1"/>
  <c r="O58" i="14"/>
  <c r="P58" i="14" s="1"/>
  <c r="Q58" i="14" s="1"/>
  <c r="IL34" i="14"/>
  <c r="I57" i="9"/>
  <c r="X71" i="14"/>
  <c r="M54" i="9"/>
  <c r="IZ68" i="14"/>
  <c r="IP53" i="14"/>
  <c r="F91" i="13"/>
  <c r="J87" i="13"/>
  <c r="C116" i="8"/>
  <c r="BY209" i="16"/>
  <c r="CA206" i="16"/>
  <c r="BY202" i="16"/>
  <c r="CA203" i="16"/>
  <c r="L70" i="13"/>
  <c r="LG21" i="14"/>
  <c r="H38" i="9"/>
  <c r="CI177" i="16"/>
  <c r="AS159" i="16"/>
  <c r="AT176" i="16"/>
  <c r="AS176" i="16"/>
  <c r="KT58" i="14"/>
  <c r="LA58" i="14" s="1"/>
  <c r="KW58" i="14"/>
  <c r="KW34" i="14"/>
  <c r="HX66" i="14"/>
  <c r="GI26" i="14"/>
  <c r="J72" i="13"/>
  <c r="BI159" i="19"/>
  <c r="BJ176" i="19"/>
  <c r="BH197" i="19" s="1"/>
  <c r="BI176" i="19"/>
  <c r="BG197" i="19" s="1"/>
  <c r="AW165" i="19"/>
  <c r="AX165" i="19"/>
  <c r="KT59" i="14"/>
  <c r="LA59" i="14" s="1"/>
  <c r="KW59" i="14"/>
  <c r="KW24" i="14"/>
  <c r="GI53" i="14"/>
  <c r="AQ29" i="14"/>
  <c r="N76" i="8"/>
  <c r="P76" i="8" s="1"/>
  <c r="EC34" i="14"/>
  <c r="ED34" i="14" s="1"/>
  <c r="EE34" i="14" s="1"/>
  <c r="AW175" i="10"/>
  <c r="AX175" i="10"/>
  <c r="AW158" i="10"/>
  <c r="KE57" i="14"/>
  <c r="M79" i="21" s="1"/>
  <c r="BV20" i="14"/>
  <c r="BW20" i="14" s="1"/>
  <c r="BX20" i="14" s="1"/>
  <c r="N34" i="8"/>
  <c r="P34" i="8" s="1"/>
  <c r="N135" i="8"/>
  <c r="P135" i="8" s="1"/>
  <c r="IQ37" i="14"/>
  <c r="IR37" i="14" s="1"/>
  <c r="IS37" i="14" s="1"/>
  <c r="C88" i="21"/>
  <c r="C28" i="21" s="1"/>
  <c r="BD35" i="14"/>
  <c r="GI57" i="14"/>
  <c r="C543" i="10"/>
  <c r="D542" i="10"/>
  <c r="E542" i="10" s="1"/>
  <c r="N150" i="8"/>
  <c r="P150" i="8" s="1"/>
  <c r="KX24" i="14"/>
  <c r="KY24" i="14" s="1"/>
  <c r="KZ24" i="14" s="1"/>
  <c r="BA25" i="14"/>
  <c r="N201" i="8"/>
  <c r="P201" i="8" s="1"/>
  <c r="BV50" i="14"/>
  <c r="BW50" i="14" s="1"/>
  <c r="BX50" i="14" s="1"/>
  <c r="N190" i="8"/>
  <c r="P190" i="8" s="1"/>
  <c r="O67" i="14"/>
  <c r="P67" i="14" s="1"/>
  <c r="Q67" i="14" s="1"/>
  <c r="KW38" i="14"/>
  <c r="DK36" i="14"/>
  <c r="AU158" i="19"/>
  <c r="AV175" i="19"/>
  <c r="AU175" i="19"/>
  <c r="AV158" i="19"/>
  <c r="E91" i="13"/>
  <c r="IZ37" i="14"/>
  <c r="G54" i="9"/>
  <c r="HX67" i="14"/>
  <c r="BU159" i="10"/>
  <c r="BU176" i="10"/>
  <c r="BV176" i="10"/>
  <c r="BV198" i="10" s="1"/>
  <c r="C85" i="23"/>
  <c r="BI36" i="14"/>
  <c r="C25" i="23" s="1"/>
  <c r="G15" i="21"/>
  <c r="BU159" i="16"/>
  <c r="BU176" i="16"/>
  <c r="BV176" i="16"/>
  <c r="KE58" i="14"/>
  <c r="M80" i="21" s="1"/>
  <c r="KX68" i="14"/>
  <c r="KY68" i="14" s="1"/>
  <c r="KZ68" i="14" s="1"/>
  <c r="N331" i="8"/>
  <c r="P331" i="8" s="1"/>
  <c r="DJ58" i="14"/>
  <c r="J80" i="21" s="1"/>
  <c r="K35" i="9"/>
  <c r="EL49" i="14"/>
  <c r="BC55" i="14"/>
  <c r="I77" i="21" s="1"/>
  <c r="BU29" i="14"/>
  <c r="AV193" i="10"/>
  <c r="AT199" i="10"/>
  <c r="AV196" i="10"/>
  <c r="AT192" i="10"/>
  <c r="LG51" i="14"/>
  <c r="N37" i="9"/>
  <c r="AF23" i="14"/>
  <c r="BG23" i="14"/>
  <c r="BH23" i="14" s="1"/>
  <c r="C69" i="9"/>
  <c r="AM522" i="10"/>
  <c r="AN521" i="10"/>
  <c r="AO521" i="10" s="1"/>
  <c r="K90" i="13"/>
  <c r="HX50" i="14"/>
  <c r="I70" i="13"/>
  <c r="IP56" i="14"/>
  <c r="C67" i="22"/>
  <c r="J21" i="14"/>
  <c r="K21" i="14" s="1"/>
  <c r="R21" i="14" s="1"/>
  <c r="BC21" i="14"/>
  <c r="F92" i="13"/>
  <c r="N71" i="8"/>
  <c r="P71" i="8" s="1"/>
  <c r="EC29" i="14"/>
  <c r="ED29" i="14" s="1"/>
  <c r="EE29" i="14" s="1"/>
  <c r="N43" i="8"/>
  <c r="P43" i="8" s="1"/>
  <c r="BV29" i="14"/>
  <c r="BW29" i="14" s="1"/>
  <c r="BX29" i="14" s="1"/>
  <c r="BN174" i="10"/>
  <c r="BM174" i="10"/>
  <c r="BM157" i="10"/>
  <c r="IP68" i="14"/>
  <c r="M69" i="22"/>
  <c r="IL54" i="14"/>
  <c r="IM54" i="14" s="1"/>
  <c r="IT54" i="14" s="1"/>
  <c r="EB61" i="14"/>
  <c r="DY61" i="14"/>
  <c r="EF61" i="14" s="1"/>
  <c r="EB72" i="14"/>
  <c r="N323" i="8"/>
  <c r="P323" i="8" s="1"/>
  <c r="KX60" i="14"/>
  <c r="KY60" i="14" s="1"/>
  <c r="KZ60" i="14" s="1"/>
  <c r="N326" i="8"/>
  <c r="P326" i="8" s="1"/>
  <c r="KX63" i="14"/>
  <c r="KY63" i="14" s="1"/>
  <c r="KZ63" i="14" s="1"/>
  <c r="M18" i="5"/>
  <c r="AT191" i="10"/>
  <c r="AR187" i="10"/>
  <c r="AT188" i="10"/>
  <c r="AR194" i="10"/>
  <c r="CA209" i="19"/>
  <c r="CA202" i="19"/>
  <c r="CC203" i="19"/>
  <c r="CC206" i="19"/>
  <c r="K82" i="22"/>
  <c r="DX67" i="14"/>
  <c r="DY67" i="14" s="1"/>
  <c r="EF67" i="14" s="1"/>
  <c r="F65" i="22"/>
  <c r="GE19" i="14"/>
  <c r="EB53" i="14"/>
  <c r="K56" i="14"/>
  <c r="R56" i="14" s="1"/>
  <c r="N56" i="14"/>
  <c r="GI35" i="14"/>
  <c r="CE159" i="16"/>
  <c r="CE176" i="16"/>
  <c r="CF176" i="16"/>
  <c r="I36" i="9"/>
  <c r="X50" i="14"/>
  <c r="N58" i="9"/>
  <c r="LG72" i="14"/>
  <c r="EB49" i="14"/>
  <c r="AF144" i="16"/>
  <c r="AF128" i="16"/>
  <c r="IP50" i="14"/>
  <c r="GE62" i="14"/>
  <c r="GF62" i="14" s="1"/>
  <c r="GM62" i="14" s="1"/>
  <c r="GF60" i="14"/>
  <c r="GM60" i="14" s="1"/>
  <c r="GI60" i="14"/>
  <c r="IP65" i="14"/>
  <c r="AQ31" i="14"/>
  <c r="AC30" i="14"/>
  <c r="FQ40" i="14"/>
  <c r="DJ41" i="14"/>
  <c r="KS37" i="14"/>
  <c r="KT37" i="14" s="1"/>
  <c r="LA37" i="14" s="1"/>
  <c r="H83" i="22"/>
  <c r="GI39" i="14"/>
  <c r="BU66" i="14"/>
  <c r="AB149" i="10"/>
  <c r="AB133" i="19"/>
  <c r="AB133" i="10"/>
  <c r="I66" i="22"/>
  <c r="J51" i="14"/>
  <c r="CD176" i="19"/>
  <c r="CC176" i="19"/>
  <c r="CC159" i="19"/>
  <c r="CD159" i="19"/>
  <c r="F83" i="22"/>
  <c r="GE37" i="14"/>
  <c r="GF37" i="14" s="1"/>
  <c r="GM37" i="14" s="1"/>
  <c r="LG49" i="14"/>
  <c r="N35" i="9"/>
  <c r="GI49" i="14"/>
  <c r="KW61" i="14"/>
  <c r="GF61" i="14"/>
  <c r="GM61" i="14" s="1"/>
  <c r="GI61" i="14"/>
  <c r="IP23" i="14"/>
  <c r="KW68" i="14"/>
  <c r="IP72" i="14"/>
  <c r="L86" i="22"/>
  <c r="GE71" i="14"/>
  <c r="DX25" i="14"/>
  <c r="BV198" i="19"/>
  <c r="BV196" i="19"/>
  <c r="BU196" i="19"/>
  <c r="BV197" i="19"/>
  <c r="BU197" i="19"/>
  <c r="BU198" i="19"/>
  <c r="AF153" i="16"/>
  <c r="AF137" i="16"/>
  <c r="L85" i="22"/>
  <c r="GE70" i="14"/>
  <c r="H55" i="9"/>
  <c r="LG38" i="14"/>
  <c r="GS41" i="14"/>
  <c r="F58" i="9"/>
  <c r="CG165" i="10"/>
  <c r="CH165" i="10"/>
  <c r="GE32" i="14"/>
  <c r="GF32" i="14" s="1"/>
  <c r="GM32" i="14" s="1"/>
  <c r="KW31" i="14"/>
  <c r="N39" i="8"/>
  <c r="P39" i="8" s="1"/>
  <c r="BV25" i="14"/>
  <c r="BW25" i="14" s="1"/>
  <c r="BX25" i="14" s="1"/>
  <c r="AE19" i="14"/>
  <c r="C7" i="9"/>
  <c r="N166" i="8"/>
  <c r="P166" i="8" s="1"/>
  <c r="KX40" i="14"/>
  <c r="KY40" i="14" s="1"/>
  <c r="KZ40" i="14" s="1"/>
  <c r="J64" i="14"/>
  <c r="AH153" i="16"/>
  <c r="AH137" i="16"/>
  <c r="BQ55" i="14"/>
  <c r="BR55" i="14" s="1"/>
  <c r="BY55" i="14" s="1"/>
  <c r="BU35" i="14"/>
  <c r="BQ57" i="14"/>
  <c r="BR57" i="14" s="1"/>
  <c r="BY57" i="14" s="1"/>
  <c r="O50" i="14"/>
  <c r="P50" i="14" s="1"/>
  <c r="Q50" i="14" s="1"/>
  <c r="N173" i="8"/>
  <c r="P173" i="8" s="1"/>
  <c r="C86" i="22"/>
  <c r="J40" i="14"/>
  <c r="K40" i="14" s="1"/>
  <c r="R40" i="14" s="1"/>
  <c r="AV198" i="19"/>
  <c r="AV201" i="19"/>
  <c r="AT197" i="19"/>
  <c r="AT204" i="19"/>
  <c r="E65" i="22"/>
  <c r="DX19" i="14"/>
  <c r="KW54" i="14"/>
  <c r="CC166" i="10"/>
  <c r="KE60" i="14"/>
  <c r="M82" i="21" s="1"/>
  <c r="K59" i="14"/>
  <c r="R59" i="14" s="1"/>
  <c r="N59" i="14"/>
  <c r="H84" i="13"/>
  <c r="C16" i="5"/>
  <c r="N318" i="8"/>
  <c r="P318" i="8" s="1"/>
  <c r="KX55" i="14"/>
  <c r="KY55" i="14" s="1"/>
  <c r="KZ55" i="14" s="1"/>
  <c r="CE72" i="14"/>
  <c r="J58" i="9"/>
  <c r="I90" i="13"/>
  <c r="AD143" i="16"/>
  <c r="AD127" i="16"/>
  <c r="CE41" i="14"/>
  <c r="D58" i="9"/>
  <c r="X53" i="14"/>
  <c r="I39" i="9"/>
  <c r="G90" i="13"/>
  <c r="KE38" i="14" s="1"/>
  <c r="AX203" i="19"/>
  <c r="AV202" i="19"/>
  <c r="AX206" i="19"/>
  <c r="AV209" i="19"/>
  <c r="GS40" i="14"/>
  <c r="F57" i="9"/>
  <c r="FQ54" i="14"/>
  <c r="AU193" i="10"/>
  <c r="AS199" i="10"/>
  <c r="AS192" i="10"/>
  <c r="AU196" i="10"/>
  <c r="EB20" i="14"/>
  <c r="BU49" i="14"/>
  <c r="BR49" i="14"/>
  <c r="BY49" i="14" s="1"/>
  <c r="ER39" i="14"/>
  <c r="ML67" i="14"/>
  <c r="EB69" i="14"/>
  <c r="AQ158" i="19"/>
  <c r="AQ175" i="19"/>
  <c r="AR175" i="19"/>
  <c r="AR158" i="19"/>
  <c r="BU63" i="14"/>
  <c r="LG37" i="14"/>
  <c r="H54" i="9"/>
  <c r="BU26" i="14"/>
  <c r="CE36" i="14"/>
  <c r="D53" i="9"/>
  <c r="CC168" i="19"/>
  <c r="CD168" i="19"/>
  <c r="IP69" i="14"/>
  <c r="JF72" i="14"/>
  <c r="LG52" i="14"/>
  <c r="N38" i="9"/>
  <c r="N66" i="8"/>
  <c r="P66" i="8" s="1"/>
  <c r="EC24" i="14"/>
  <c r="ED24" i="14" s="1"/>
  <c r="EE24" i="14" s="1"/>
  <c r="BT176" i="10"/>
  <c r="BT198" i="10" s="1"/>
  <c r="BS176" i="10"/>
  <c r="BS198" i="10" s="1"/>
  <c r="BS159" i="10"/>
  <c r="KW18" i="14"/>
  <c r="N32" i="8"/>
  <c r="P32" i="8" s="1"/>
  <c r="BV18" i="14"/>
  <c r="BW18" i="14" s="1"/>
  <c r="BX18" i="14" s="1"/>
  <c r="N81" i="22"/>
  <c r="KS66" i="14"/>
  <c r="KT66" i="14" s="1"/>
  <c r="LA66" i="14" s="1"/>
  <c r="L77" i="13"/>
  <c r="AS165" i="19"/>
  <c r="AT165" i="19"/>
  <c r="IP71" i="14"/>
  <c r="EB28" i="14"/>
  <c r="N214" i="8"/>
  <c r="P214" i="8" s="1"/>
  <c r="BV63" i="14"/>
  <c r="BW63" i="14" s="1"/>
  <c r="BX63" i="14" s="1"/>
  <c r="IP33" i="14"/>
  <c r="L13" i="21"/>
  <c r="AH149" i="16"/>
  <c r="AH133" i="16"/>
  <c r="N183" i="8"/>
  <c r="P183" i="8" s="1"/>
  <c r="O60" i="14"/>
  <c r="P60" i="14" s="1"/>
  <c r="Q60" i="14" s="1"/>
  <c r="IP70" i="14"/>
  <c r="BA26" i="14"/>
  <c r="AB146" i="10"/>
  <c r="AB130" i="10"/>
  <c r="AB130" i="19"/>
  <c r="G79" i="13"/>
  <c r="ML27" i="14"/>
  <c r="H80" i="21" s="1"/>
  <c r="KW70" i="14"/>
  <c r="C56" i="21"/>
  <c r="C26" i="21" s="1"/>
  <c r="BD33" i="14"/>
  <c r="BC60" i="14"/>
  <c r="I82" i="21" s="1"/>
  <c r="G72" i="13"/>
  <c r="H86" i="13"/>
  <c r="AF151" i="16"/>
  <c r="AF135" i="16"/>
  <c r="F78" i="13"/>
  <c r="CE40" i="14"/>
  <c r="D57" i="9"/>
  <c r="D78" i="13"/>
  <c r="C83" i="22"/>
  <c r="J37" i="14"/>
  <c r="K37" i="14" s="1"/>
  <c r="R37" i="14" s="1"/>
  <c r="BC158" i="19"/>
  <c r="BD175" i="19"/>
  <c r="BC175" i="19"/>
  <c r="BU71" i="14"/>
  <c r="N92" i="13"/>
  <c r="CI201" i="19"/>
  <c r="CI198" i="19"/>
  <c r="CG197" i="19"/>
  <c r="CG204" i="19"/>
  <c r="DJ69" i="14"/>
  <c r="KW55" i="14"/>
  <c r="AT176" i="19"/>
  <c r="AS176" i="19"/>
  <c r="AS159" i="19"/>
  <c r="D16" i="21"/>
  <c r="AB144" i="10"/>
  <c r="AB128" i="19"/>
  <c r="AB128" i="10"/>
  <c r="CG159" i="16"/>
  <c r="IP19" i="14"/>
  <c r="H65" i="22"/>
  <c r="KS19" i="14"/>
  <c r="BU22" i="14"/>
  <c r="G68" i="22"/>
  <c r="IL22" i="14"/>
  <c r="IM22" i="14" s="1"/>
  <c r="IT22" i="14" s="1"/>
  <c r="N324" i="8"/>
  <c r="P324" i="8" s="1"/>
  <c r="KX61" i="14"/>
  <c r="KY61" i="14" s="1"/>
  <c r="KZ61" i="14" s="1"/>
  <c r="BU70" i="14"/>
  <c r="AD152" i="16"/>
  <c r="AD136" i="16"/>
  <c r="CB174" i="10"/>
  <c r="CA174" i="10"/>
  <c r="CA157" i="10"/>
  <c r="KW49" i="14"/>
  <c r="IP26" i="14"/>
  <c r="AS165" i="10"/>
  <c r="AT165" i="10"/>
  <c r="AZ167" i="16"/>
  <c r="CG197" i="10"/>
  <c r="CI201" i="10"/>
  <c r="CI198" i="10"/>
  <c r="CG204" i="10"/>
  <c r="I82" i="22"/>
  <c r="J67" i="14"/>
  <c r="CA170" i="10"/>
  <c r="CB170" i="10"/>
  <c r="BI159" i="10"/>
  <c r="BI176" i="10"/>
  <c r="BG197" i="10" s="1"/>
  <c r="BJ176" i="10"/>
  <c r="BH197" i="10" s="1"/>
  <c r="IP63" i="14"/>
  <c r="CE198" i="19"/>
  <c r="CE201" i="19"/>
  <c r="CC204" i="19"/>
  <c r="CC197" i="19"/>
  <c r="DJ64" i="14"/>
  <c r="J86" i="21" s="1"/>
  <c r="L53" i="9"/>
  <c r="GS67" i="14"/>
  <c r="ML19" i="14"/>
  <c r="BY172" i="19"/>
  <c r="BZ172" i="19"/>
  <c r="W33" i="14"/>
  <c r="C21" i="22" s="1"/>
  <c r="ER23" i="14"/>
  <c r="KW69" i="14"/>
  <c r="H36" i="9"/>
  <c r="LG19" i="14"/>
  <c r="AQ176" i="10"/>
  <c r="AQ159" i="10"/>
  <c r="AR176" i="10"/>
  <c r="AR159" i="10"/>
  <c r="BU158" i="19"/>
  <c r="BU175" i="19"/>
  <c r="BV175" i="19"/>
  <c r="BT199" i="19" s="1"/>
  <c r="GY54" i="14"/>
  <c r="AF147" i="16"/>
  <c r="AF131" i="16"/>
  <c r="BN198" i="10"/>
  <c r="BM197" i="10"/>
  <c r="BN197" i="10"/>
  <c r="BM196" i="10"/>
  <c r="BN199" i="10"/>
  <c r="BN196" i="10"/>
  <c r="BM198" i="10"/>
  <c r="BM199" i="10"/>
  <c r="DX27" i="14"/>
  <c r="DX62" i="14"/>
  <c r="DY62" i="14" s="1"/>
  <c r="EF62" i="14" s="1"/>
  <c r="H66" i="22"/>
  <c r="KS20" i="14"/>
  <c r="KT20" i="14" s="1"/>
  <c r="LA20" i="14" s="1"/>
  <c r="KW53" i="14"/>
  <c r="AY41" i="14"/>
  <c r="ML36" i="14"/>
  <c r="H87" i="22"/>
  <c r="KS41" i="14"/>
  <c r="KT41" i="14" s="1"/>
  <c r="LA41" i="14" s="1"/>
  <c r="KS25" i="14"/>
  <c r="AG521" i="10"/>
  <c r="AH520" i="10"/>
  <c r="AI520" i="10" s="1"/>
  <c r="BU28" i="14"/>
  <c r="AP29" i="14"/>
  <c r="KW65" i="14"/>
  <c r="E38" i="9"/>
  <c r="EL21" i="14"/>
  <c r="AV198" i="10"/>
  <c r="AV201" i="10"/>
  <c r="AT204" i="10"/>
  <c r="AT197" i="10"/>
  <c r="AU165" i="19"/>
  <c r="AV165" i="19"/>
  <c r="AQ169" i="10"/>
  <c r="AR169" i="10"/>
  <c r="EB71" i="14"/>
  <c r="EB38" i="14"/>
  <c r="J29" i="21"/>
  <c r="N80" i="8"/>
  <c r="P80" i="8" s="1"/>
  <c r="EC38" i="14"/>
  <c r="ED38" i="14" s="1"/>
  <c r="EE38" i="14" s="1"/>
  <c r="N65" i="8"/>
  <c r="P65" i="8" s="1"/>
  <c r="EC23" i="14"/>
  <c r="ED23" i="14" s="1"/>
  <c r="EE23" i="14" s="1"/>
  <c r="N72" i="8"/>
  <c r="P72" i="8" s="1"/>
  <c r="EC30" i="14"/>
  <c r="ED30" i="14" s="1"/>
  <c r="EE30" i="14" s="1"/>
  <c r="KS26" i="14"/>
  <c r="DX65" i="14"/>
  <c r="DY65" i="14" s="1"/>
  <c r="EF65" i="14" s="1"/>
  <c r="IP36" i="14"/>
  <c r="CE53" i="14"/>
  <c r="J39" i="9"/>
  <c r="N50" i="14"/>
  <c r="AW158" i="16"/>
  <c r="AX175" i="16"/>
  <c r="AW175" i="16"/>
  <c r="AX158" i="16"/>
  <c r="BY157" i="16"/>
  <c r="J68" i="14"/>
  <c r="K68" i="14" s="1"/>
  <c r="R68" i="14" s="1"/>
  <c r="I83" i="22"/>
  <c r="N50" i="8"/>
  <c r="P50" i="8" s="1"/>
  <c r="BV36" i="14"/>
  <c r="BW36" i="14" s="1"/>
  <c r="BX36" i="14" s="1"/>
  <c r="N38" i="8"/>
  <c r="P38" i="8" s="1"/>
  <c r="BV24" i="14"/>
  <c r="BW24" i="14" s="1"/>
  <c r="BX24" i="14" s="1"/>
  <c r="N46" i="8"/>
  <c r="P46" i="8" s="1"/>
  <c r="BV32" i="14"/>
  <c r="BW32" i="14" s="1"/>
  <c r="BX32" i="14" s="1"/>
  <c r="AZ34" i="14"/>
  <c r="KW51" i="14"/>
  <c r="KE20" i="14"/>
  <c r="N138" i="8"/>
  <c r="P138" i="8" s="1"/>
  <c r="IQ40" i="14"/>
  <c r="IR40" i="14" s="1"/>
  <c r="IS40" i="14" s="1"/>
  <c r="N128" i="8"/>
  <c r="P128" i="8" s="1"/>
  <c r="IQ30" i="14"/>
  <c r="IR30" i="14" s="1"/>
  <c r="IS30" i="14" s="1"/>
  <c r="N130" i="8"/>
  <c r="P130" i="8" s="1"/>
  <c r="IQ32" i="14"/>
  <c r="IR32" i="14" s="1"/>
  <c r="IS32" i="14" s="1"/>
  <c r="L66" i="22"/>
  <c r="GE51" i="14"/>
  <c r="BP197" i="10"/>
  <c r="BO197" i="10"/>
  <c r="BO196" i="10"/>
  <c r="BP196" i="10"/>
  <c r="BO198" i="10"/>
  <c r="BP198" i="10"/>
  <c r="EB36" i="14"/>
  <c r="CK19" i="14"/>
  <c r="F66" i="22"/>
  <c r="GE20" i="14"/>
  <c r="GF20" i="14" s="1"/>
  <c r="GM20" i="14" s="1"/>
  <c r="JF66" i="14"/>
  <c r="CF159" i="16"/>
  <c r="LG20" i="14"/>
  <c r="H37" i="9"/>
  <c r="KS60" i="14"/>
  <c r="KT60" i="14" s="1"/>
  <c r="LA60" i="14" s="1"/>
  <c r="O149" i="8"/>
  <c r="H10" i="5" s="1"/>
  <c r="O159" i="8"/>
  <c r="O158" i="8"/>
  <c r="O156" i="8"/>
  <c r="H17" i="5" s="1"/>
  <c r="O150" i="8"/>
  <c r="O153" i="8"/>
  <c r="H14" i="5" s="1"/>
  <c r="O155" i="8"/>
  <c r="H16" i="5" s="1"/>
  <c r="O157" i="8"/>
  <c r="H18" i="5" s="1"/>
  <c r="O152" i="8"/>
  <c r="H13" i="5" s="1"/>
  <c r="O160" i="8"/>
  <c r="O161" i="8"/>
  <c r="O151" i="8"/>
  <c r="H12" i="5" s="1"/>
  <c r="O154" i="8"/>
  <c r="H15" i="5" s="1"/>
  <c r="O166" i="8"/>
  <c r="O148" i="8"/>
  <c r="O164" i="8"/>
  <c r="H25" i="5" s="1"/>
  <c r="O145" i="8"/>
  <c r="O163" i="8"/>
  <c r="H24" i="5" s="1"/>
  <c r="O165" i="8"/>
  <c r="O162" i="8"/>
  <c r="H23" i="5" s="1"/>
  <c r="O147" i="8"/>
  <c r="H8" i="5" s="1"/>
  <c r="O144" i="8"/>
  <c r="H5" i="5" s="1"/>
  <c r="O143" i="8"/>
  <c r="H28" i="5" s="1"/>
  <c r="O146" i="8"/>
  <c r="H7" i="5" s="1"/>
  <c r="BQ176" i="10"/>
  <c r="BR176" i="10"/>
  <c r="BQ159" i="10"/>
  <c r="AY160" i="16"/>
  <c r="AY177" i="16"/>
  <c r="AZ177" i="16"/>
  <c r="N149" i="8"/>
  <c r="P149" i="8" s="1"/>
  <c r="KX23" i="14"/>
  <c r="KY23" i="14" s="1"/>
  <c r="KZ23" i="14" s="1"/>
  <c r="KX19" i="14"/>
  <c r="KY19" i="14" s="1"/>
  <c r="KZ19" i="14" s="1"/>
  <c r="N145" i="8"/>
  <c r="P145" i="8" s="1"/>
  <c r="N161" i="8"/>
  <c r="P161" i="8" s="1"/>
  <c r="KX35" i="14"/>
  <c r="KY35" i="14" s="1"/>
  <c r="KZ35" i="14" s="1"/>
  <c r="GI52" i="14"/>
  <c r="IM30" i="14"/>
  <c r="IT30" i="14" s="1"/>
  <c r="IP30" i="14"/>
  <c r="GI29" i="14"/>
  <c r="GF29" i="14"/>
  <c r="GM29" i="14" s="1"/>
  <c r="D56" i="9"/>
  <c r="CE39" i="14"/>
  <c r="W25" i="14"/>
  <c r="C13" i="22" s="1"/>
  <c r="ML29" i="14"/>
  <c r="H82" i="21" s="1"/>
  <c r="JF67" i="14"/>
  <c r="N219" i="8"/>
  <c r="P219" i="8" s="1"/>
  <c r="BV68" i="14"/>
  <c r="BW68" i="14" s="1"/>
  <c r="BX68" i="14" s="1"/>
  <c r="N218" i="8"/>
  <c r="P218" i="8" s="1"/>
  <c r="BV67" i="14"/>
  <c r="BW67" i="14" s="1"/>
  <c r="BX67" i="14" s="1"/>
  <c r="N215" i="8"/>
  <c r="P215" i="8" s="1"/>
  <c r="BV64" i="14"/>
  <c r="BW64" i="14" s="1"/>
  <c r="BX64" i="14" s="1"/>
  <c r="BU69" i="14"/>
  <c r="K26" i="5"/>
  <c r="K17" i="5"/>
  <c r="N71" i="14"/>
  <c r="BE160" i="10"/>
  <c r="BF177" i="10"/>
  <c r="BE177" i="10"/>
  <c r="N172" i="8"/>
  <c r="P172" i="8" s="1"/>
  <c r="O49" i="14"/>
  <c r="P49" i="14" s="1"/>
  <c r="Q49" i="14" s="1"/>
  <c r="N187" i="8"/>
  <c r="P187" i="8" s="1"/>
  <c r="O64" i="14"/>
  <c r="P64" i="14" s="1"/>
  <c r="Q64" i="14" s="1"/>
  <c r="N179" i="8"/>
  <c r="P179" i="8" s="1"/>
  <c r="O56" i="14"/>
  <c r="P56" i="14" s="1"/>
  <c r="Q56" i="14" s="1"/>
  <c r="IP59" i="14"/>
  <c r="BQ32" i="14"/>
  <c r="BR32" i="14" s="1"/>
  <c r="BY32" i="14" s="1"/>
  <c r="CE165" i="19"/>
  <c r="CF165" i="19"/>
  <c r="CK50" i="14"/>
  <c r="J83" i="22"/>
  <c r="BQ68" i="14"/>
  <c r="BR68" i="14" s="1"/>
  <c r="BY68" i="14" s="1"/>
  <c r="KW52" i="14"/>
  <c r="AP27" i="14"/>
  <c r="N87" i="22"/>
  <c r="KS72" i="14"/>
  <c r="KT72" i="14" s="1"/>
  <c r="LA72" i="14" s="1"/>
  <c r="KE21" i="14"/>
  <c r="CG159" i="19"/>
  <c r="CH176" i="19"/>
  <c r="CG176" i="19"/>
  <c r="CH159" i="19"/>
  <c r="BU27" i="14"/>
  <c r="K67" i="22"/>
  <c r="DX52" i="14"/>
  <c r="DY52" i="14" s="1"/>
  <c r="EF52" i="14" s="1"/>
  <c r="JF36" i="14"/>
  <c r="IL55" i="14"/>
  <c r="BK157" i="19"/>
  <c r="BK174" i="19"/>
  <c r="BL174" i="19"/>
  <c r="N72" i="14"/>
  <c r="AT159" i="16"/>
  <c r="BW198" i="19"/>
  <c r="BW201" i="19"/>
  <c r="BC159" i="16"/>
  <c r="BD176" i="16"/>
  <c r="BC176" i="16"/>
  <c r="IP37" i="14"/>
  <c r="IM37" i="14"/>
  <c r="IT37" i="14" s="1"/>
  <c r="EL54" i="14"/>
  <c r="K40" i="9"/>
  <c r="KW37" i="14"/>
  <c r="DJ25" i="14"/>
  <c r="D78" i="21" s="1"/>
  <c r="HX62" i="14"/>
  <c r="L84" i="21" s="1"/>
  <c r="HX18" i="14"/>
  <c r="IM51" i="14"/>
  <c r="IT51" i="14" s="1"/>
  <c r="IP51" i="14"/>
  <c r="C84" i="9"/>
  <c r="AF38" i="14"/>
  <c r="BG38" i="14"/>
  <c r="M89" i="13"/>
  <c r="DK23" i="14"/>
  <c r="AB141" i="10"/>
  <c r="AB125" i="19"/>
  <c r="AB125" i="10"/>
  <c r="X37" i="14"/>
  <c r="C54" i="9"/>
  <c r="HX33" i="14"/>
  <c r="F86" i="21" s="1"/>
  <c r="G71" i="13"/>
  <c r="IP54" i="14"/>
  <c r="BR58" i="14"/>
  <c r="BY58" i="14" s="1"/>
  <c r="BU58" i="14"/>
  <c r="GI67" i="14"/>
  <c r="GF67" i="14"/>
  <c r="GM67" i="14" s="1"/>
  <c r="K93" i="13"/>
  <c r="CB176" i="16"/>
  <c r="CA176" i="16"/>
  <c r="CA159" i="16"/>
  <c r="D74" i="13"/>
  <c r="KE56" i="14"/>
  <c r="M78" i="21" s="1"/>
  <c r="K51" i="14"/>
  <c r="R51" i="14" s="1"/>
  <c r="N51" i="14"/>
  <c r="N313" i="8"/>
  <c r="P313" i="8" s="1"/>
  <c r="KX50" i="14"/>
  <c r="KY50" i="14" s="1"/>
  <c r="KZ50" i="14" s="1"/>
  <c r="KX67" i="14"/>
  <c r="KY67" i="14" s="1"/>
  <c r="KZ67" i="14" s="1"/>
  <c r="N330" i="8"/>
  <c r="P330" i="8" s="1"/>
  <c r="N327" i="8"/>
  <c r="P327" i="8" s="1"/>
  <c r="KX64" i="14"/>
  <c r="KY64" i="14" s="1"/>
  <c r="KZ64" i="14" s="1"/>
  <c r="M88" i="13"/>
  <c r="J91" i="13"/>
  <c r="M17" i="5"/>
  <c r="AD142" i="16"/>
  <c r="AD126" i="16"/>
  <c r="GI30" i="14"/>
  <c r="BU39" i="14"/>
  <c r="BR39" i="14"/>
  <c r="BY39" i="14" s="1"/>
  <c r="CD206" i="19"/>
  <c r="CB202" i="19"/>
  <c r="CD203" i="19"/>
  <c r="CB209" i="19"/>
  <c r="ER72" i="14"/>
  <c r="K53" i="9"/>
  <c r="EL67" i="14"/>
  <c r="N70" i="13"/>
  <c r="G78" i="13"/>
  <c r="FQ25" i="14"/>
  <c r="E78" i="21" s="1"/>
  <c r="AU202" i="19"/>
  <c r="AU209" i="19"/>
  <c r="AW203" i="19"/>
  <c r="AW206" i="19"/>
  <c r="IZ41" i="14"/>
  <c r="G58" i="9"/>
  <c r="N82" i="13"/>
  <c r="GY52" i="14"/>
  <c r="ER51" i="14"/>
  <c r="JF54" i="14"/>
  <c r="KW29" i="14"/>
  <c r="AZ38" i="14"/>
  <c r="P540" i="10"/>
  <c r="Q540" i="10" s="1"/>
  <c r="O541" i="10"/>
  <c r="AU157" i="10"/>
  <c r="AV174" i="10"/>
  <c r="AU174" i="10"/>
  <c r="ER18" i="14"/>
  <c r="CK21" i="14"/>
  <c r="K74" i="13"/>
  <c r="E36" i="9"/>
  <c r="EL19" i="14"/>
  <c r="BX189" i="19"/>
  <c r="BX182" i="19"/>
  <c r="BZ183" i="19"/>
  <c r="BZ186" i="19"/>
  <c r="CE167" i="10"/>
  <c r="CF167" i="10"/>
  <c r="GF50" i="14"/>
  <c r="GM50" i="14" s="1"/>
  <c r="GI50" i="14"/>
  <c r="JF53" i="14"/>
  <c r="HX63" i="14"/>
  <c r="L85" i="21" s="1"/>
  <c r="GF71" i="14"/>
  <c r="GM71" i="14" s="1"/>
  <c r="GI71" i="14"/>
  <c r="N90" i="13"/>
  <c r="AP202" i="10"/>
  <c r="AR203" i="10"/>
  <c r="AP209" i="10"/>
  <c r="AR206" i="10"/>
  <c r="IP32" i="14"/>
  <c r="HX72" i="14"/>
  <c r="GS51" i="14"/>
  <c r="L37" i="9"/>
  <c r="K70" i="13"/>
  <c r="FQ49" i="14" s="1"/>
  <c r="BU53" i="14"/>
  <c r="AQ201" i="19"/>
  <c r="AO197" i="19"/>
  <c r="AQ198" i="19"/>
  <c r="AO204" i="19"/>
  <c r="DY25" i="14"/>
  <c r="EF25" i="14" s="1"/>
  <c r="EB25" i="14"/>
  <c r="JF49" i="14"/>
  <c r="LM69" i="14"/>
  <c r="AD70" i="14"/>
  <c r="AF142" i="16"/>
  <c r="AF126" i="16"/>
  <c r="GI70" i="14"/>
  <c r="GF70" i="14"/>
  <c r="GM70" i="14" s="1"/>
  <c r="EB41" i="14"/>
  <c r="AC24" i="14"/>
  <c r="W24" i="14"/>
  <c r="C12" i="22" s="1"/>
  <c r="BM198" i="19"/>
  <c r="M71" i="13"/>
  <c r="DY27" i="14"/>
  <c r="EF27" i="14" s="1"/>
  <c r="EB27" i="14"/>
  <c r="EB62" i="14"/>
  <c r="H13" i="21"/>
  <c r="C65" i="22"/>
  <c r="J19" i="14"/>
  <c r="K19" i="14" s="1"/>
  <c r="R19" i="14" s="1"/>
  <c r="N74" i="13"/>
  <c r="AP41" i="14"/>
  <c r="L86" i="13"/>
  <c r="GF27" i="14"/>
  <c r="GM27" i="14" s="1"/>
  <c r="GI27" i="14"/>
  <c r="EB24" i="14"/>
  <c r="DY24" i="14"/>
  <c r="EF24" i="14" s="1"/>
  <c r="ML70" i="14"/>
  <c r="AU168" i="10"/>
  <c r="AV168" i="10"/>
  <c r="AZ30" i="14"/>
  <c r="BA30" i="14" s="1"/>
  <c r="AY165" i="19"/>
  <c r="AZ165" i="19"/>
  <c r="KW25" i="14"/>
  <c r="KT25" i="14"/>
  <c r="LA25" i="14" s="1"/>
  <c r="AQ170" i="16"/>
  <c r="AR170" i="16"/>
  <c r="D80" i="13"/>
  <c r="AY29" i="14"/>
  <c r="BA29" i="14" s="1"/>
  <c r="AC29" i="14"/>
  <c r="AD72" i="14"/>
  <c r="CK37" i="14"/>
  <c r="ML72" i="14"/>
  <c r="K92" i="13"/>
  <c r="E90" i="13"/>
  <c r="DK67" i="14"/>
  <c r="KE54" i="14"/>
  <c r="N78" i="8"/>
  <c r="P78" i="8" s="1"/>
  <c r="EC36" i="14"/>
  <c r="ED36" i="14" s="1"/>
  <c r="EE36" i="14" s="1"/>
  <c r="N81" i="8"/>
  <c r="P81" i="8" s="1"/>
  <c r="EC39" i="14"/>
  <c r="ED39" i="14" s="1"/>
  <c r="EE39" i="14" s="1"/>
  <c r="N75" i="8"/>
  <c r="P75" i="8" s="1"/>
  <c r="EC33" i="14"/>
  <c r="ED33" i="14" s="1"/>
  <c r="EE33" i="14" s="1"/>
  <c r="EB65" i="14"/>
  <c r="G88" i="13"/>
  <c r="AY28" i="14"/>
  <c r="BA28" i="14" s="1"/>
  <c r="I71" i="13"/>
  <c r="AU204" i="16"/>
  <c r="AW201" i="16"/>
  <c r="AU197" i="16"/>
  <c r="AW198" i="16"/>
  <c r="L76" i="13"/>
  <c r="N51" i="8"/>
  <c r="P51" i="8" s="1"/>
  <c r="BV37" i="14"/>
  <c r="BW37" i="14" s="1"/>
  <c r="BX37" i="14" s="1"/>
  <c r="N31" i="8"/>
  <c r="P31" i="8" s="1"/>
  <c r="BV41" i="14"/>
  <c r="BW41" i="14" s="1"/>
  <c r="BX41" i="14" s="1"/>
  <c r="N48" i="8"/>
  <c r="P48" i="8" s="1"/>
  <c r="BV34" i="14"/>
  <c r="BW34" i="14" s="1"/>
  <c r="BX34" i="14" s="1"/>
  <c r="AX209" i="19"/>
  <c r="AX202" i="19"/>
  <c r="BO159" i="19"/>
  <c r="BO176" i="19"/>
  <c r="BO198" i="19" s="1"/>
  <c r="BP176" i="19"/>
  <c r="BP198" i="19" s="1"/>
  <c r="N72" i="13"/>
  <c r="N124" i="8"/>
  <c r="P124" i="8" s="1"/>
  <c r="IQ26" i="14"/>
  <c r="IR26" i="14" s="1"/>
  <c r="IS26" i="14" s="1"/>
  <c r="N117" i="8"/>
  <c r="P117" i="8" s="1"/>
  <c r="IQ19" i="14"/>
  <c r="IR19" i="14" s="1"/>
  <c r="IS19" i="14" s="1"/>
  <c r="N123" i="8"/>
  <c r="P123" i="8" s="1"/>
  <c r="IQ25" i="14"/>
  <c r="IR25" i="14" s="1"/>
  <c r="IS25" i="14" s="1"/>
  <c r="GY66" i="14"/>
  <c r="BB176" i="10"/>
  <c r="BA176" i="10"/>
  <c r="BA159" i="10"/>
  <c r="BQ159" i="19"/>
  <c r="BQ176" i="19"/>
  <c r="BR176" i="19"/>
  <c r="BP197" i="19" s="1"/>
  <c r="BO197" i="19"/>
  <c r="AU177" i="16"/>
  <c r="AV160" i="16"/>
  <c r="AV177" i="16"/>
  <c r="AU158" i="16"/>
  <c r="GS20" i="14"/>
  <c r="F37" i="9"/>
  <c r="HX28" i="14"/>
  <c r="F81" i="21" s="1"/>
  <c r="HX32" i="14"/>
  <c r="F85" i="21" s="1"/>
  <c r="KW60" i="14"/>
  <c r="BC39" i="14"/>
  <c r="GI72" i="14"/>
  <c r="BY165" i="19"/>
  <c r="BZ165" i="19"/>
  <c r="AG551" i="10"/>
  <c r="AH550" i="10"/>
  <c r="AI550" i="10" s="1"/>
  <c r="N154" i="8"/>
  <c r="P154" i="8" s="1"/>
  <c r="KX28" i="14"/>
  <c r="KY28" i="14" s="1"/>
  <c r="KZ28" i="14" s="1"/>
  <c r="N165" i="8"/>
  <c r="P165" i="8" s="1"/>
  <c r="KX39" i="14"/>
  <c r="KY39" i="14" s="1"/>
  <c r="KZ39" i="14" s="1"/>
  <c r="N160" i="8"/>
  <c r="P160" i="8" s="1"/>
  <c r="KX34" i="14"/>
  <c r="KY34" i="14" s="1"/>
  <c r="KZ34" i="14" s="1"/>
  <c r="L73" i="13"/>
  <c r="HX22" i="14"/>
  <c r="BR175" i="16"/>
  <c r="BQ175" i="16"/>
  <c r="BQ158" i="16"/>
  <c r="KE34" i="14"/>
  <c r="G87" i="21" s="1"/>
  <c r="ML57" i="14"/>
  <c r="N79" i="21" s="1"/>
  <c r="N64" i="14"/>
  <c r="K64" i="14"/>
  <c r="R64" i="14" s="1"/>
  <c r="C81" i="22"/>
  <c r="J35" i="14"/>
  <c r="K35" i="14" s="1"/>
  <c r="R35" i="14" s="1"/>
  <c r="N221" i="8"/>
  <c r="P221" i="8" s="1"/>
  <c r="BV70" i="14"/>
  <c r="BW70" i="14" s="1"/>
  <c r="BX70" i="14" s="1"/>
  <c r="N207" i="8"/>
  <c r="P207" i="8" s="1"/>
  <c r="BV56" i="14"/>
  <c r="BW56" i="14" s="1"/>
  <c r="BX56" i="14" s="1"/>
  <c r="N212" i="8"/>
  <c r="P212" i="8" s="1"/>
  <c r="BV61" i="14"/>
  <c r="BW61" i="14" s="1"/>
  <c r="BX61" i="14" s="1"/>
  <c r="J90" i="13"/>
  <c r="K8" i="5"/>
  <c r="K19" i="5"/>
  <c r="K21" i="5"/>
  <c r="I92" i="13"/>
  <c r="BU55" i="14"/>
  <c r="D87" i="13"/>
  <c r="HX41" i="14"/>
  <c r="N194" i="8"/>
  <c r="P194" i="8" s="1"/>
  <c r="O71" i="14"/>
  <c r="P71" i="14" s="1"/>
  <c r="Q71" i="14" s="1"/>
  <c r="N188" i="8"/>
  <c r="P188" i="8" s="1"/>
  <c r="O65" i="14"/>
  <c r="P65" i="14" s="1"/>
  <c r="Q65" i="14" s="1"/>
  <c r="N180" i="8"/>
  <c r="P180" i="8" s="1"/>
  <c r="O57" i="14"/>
  <c r="P57" i="14" s="1"/>
  <c r="Q57" i="14" s="1"/>
  <c r="AU201" i="19"/>
  <c r="AU198" i="19"/>
  <c r="AS204" i="19"/>
  <c r="AS197" i="19"/>
  <c r="IP57" i="14"/>
  <c r="IM57" i="14"/>
  <c r="IT57" i="14" s="1"/>
  <c r="DJ71" i="14"/>
  <c r="N73" i="13"/>
  <c r="EB19" i="14"/>
  <c r="DY19" i="14"/>
  <c r="EF19" i="14" s="1"/>
  <c r="LM53" i="14"/>
  <c r="W27" i="14"/>
  <c r="C15" i="22" s="1"/>
  <c r="O185" i="8"/>
  <c r="O178" i="8"/>
  <c r="I11" i="5" s="1"/>
  <c r="O182" i="8"/>
  <c r="I15" i="5" s="1"/>
  <c r="O179" i="8"/>
  <c r="I12" i="5" s="1"/>
  <c r="O181" i="8"/>
  <c r="I14" i="5" s="1"/>
  <c r="O189" i="8"/>
  <c r="I22" i="5" s="1"/>
  <c r="O183" i="8"/>
  <c r="I16" i="5" s="1"/>
  <c r="O186" i="8"/>
  <c r="I19" i="5" s="1"/>
  <c r="O184" i="8"/>
  <c r="I17" i="5" s="1"/>
  <c r="O180" i="8"/>
  <c r="O187" i="8"/>
  <c r="I20" i="5" s="1"/>
  <c r="O177" i="8"/>
  <c r="O188" i="8"/>
  <c r="O191" i="8"/>
  <c r="I24" i="5" s="1"/>
  <c r="O176" i="8"/>
  <c r="I9" i="5" s="1"/>
  <c r="O175" i="8"/>
  <c r="O174" i="8"/>
  <c r="O172" i="8"/>
  <c r="I5" i="5" s="1"/>
  <c r="O193" i="8"/>
  <c r="O192" i="8"/>
  <c r="I25" i="5" s="1"/>
  <c r="O190" i="8"/>
  <c r="I23" i="5" s="1"/>
  <c r="O194" i="8"/>
  <c r="I27" i="5" s="1"/>
  <c r="O173" i="8"/>
  <c r="I6" i="5" s="1"/>
  <c r="O171" i="8"/>
  <c r="CG198" i="10"/>
  <c r="CG201" i="10"/>
  <c r="CE204" i="10"/>
  <c r="CE197" i="10"/>
  <c r="N60" i="14"/>
  <c r="IM34" i="14"/>
  <c r="IT34" i="14" s="1"/>
  <c r="IP34" i="14"/>
  <c r="LM71" i="14"/>
  <c r="FQ62" i="14"/>
  <c r="K84" i="21" s="1"/>
  <c r="D89" i="13"/>
  <c r="IP29" i="14"/>
  <c r="AQ26" i="14"/>
  <c r="AR26" i="14" s="1"/>
  <c r="C45" i="23" s="1"/>
  <c r="AO165" i="16"/>
  <c r="AP165" i="16"/>
  <c r="IP55" i="14"/>
  <c r="IM55" i="14"/>
  <c r="IT55" i="14" s="1"/>
  <c r="EB50" i="14"/>
  <c r="DY50" i="14"/>
  <c r="EF50" i="14" s="1"/>
  <c r="AD67" i="14"/>
  <c r="I93" i="13"/>
  <c r="E28" i="21"/>
  <c r="BF197" i="10"/>
  <c r="GT20" i="14" l="1"/>
  <c r="HO20" i="14"/>
  <c r="HI20" i="14"/>
  <c r="HS20" i="14"/>
  <c r="GW20" i="14"/>
  <c r="GP20" i="14"/>
  <c r="GQ20" i="14"/>
  <c r="HQ20" i="14"/>
  <c r="HU20" i="14" s="1"/>
  <c r="GO20" i="14"/>
  <c r="HG20" i="14"/>
  <c r="HR20" i="14"/>
  <c r="HE20" i="14"/>
  <c r="HK20" i="14" s="1"/>
  <c r="HP20" i="14"/>
  <c r="HH20" i="14"/>
  <c r="GN20" i="14"/>
  <c r="HJ20" i="14"/>
  <c r="GU20" i="14"/>
  <c r="HF20" i="14"/>
  <c r="HN20" i="14"/>
  <c r="GV20" i="14"/>
  <c r="IX64" i="14"/>
  <c r="IU64" i="14"/>
  <c r="IV64" i="14"/>
  <c r="IW64" i="14"/>
  <c r="JA64" i="14"/>
  <c r="JV64" i="14"/>
  <c r="JL64" i="14"/>
  <c r="JZ64" i="14"/>
  <c r="JY64" i="14"/>
  <c r="JP64" i="14"/>
  <c r="JN64" i="14"/>
  <c r="JW64" i="14"/>
  <c r="JB64" i="14"/>
  <c r="JO64" i="14"/>
  <c r="JC64" i="14"/>
  <c r="JM64" i="14"/>
  <c r="JD64" i="14"/>
  <c r="JU64" i="14"/>
  <c r="JX64" i="14"/>
  <c r="KB64" i="14" s="1"/>
  <c r="JQ64" i="14"/>
  <c r="GP58" i="14"/>
  <c r="GO58" i="14"/>
  <c r="GU58" i="14"/>
  <c r="HE58" i="14"/>
  <c r="HI58" i="14"/>
  <c r="GT58" i="14"/>
  <c r="HN58" i="14"/>
  <c r="HG58" i="14"/>
  <c r="HQ58" i="14"/>
  <c r="HR58" i="14"/>
  <c r="HO58" i="14"/>
  <c r="HJ58" i="14"/>
  <c r="GN58" i="14"/>
  <c r="GR58" i="14" s="1"/>
  <c r="L15" i="22" s="1"/>
  <c r="HF58" i="14"/>
  <c r="HP58" i="14"/>
  <c r="GW58" i="14"/>
  <c r="GQ58" i="14"/>
  <c r="GV58" i="14"/>
  <c r="HS58" i="14"/>
  <c r="HH58" i="14"/>
  <c r="EH67" i="14"/>
  <c r="EO67" i="14"/>
  <c r="EX67" i="14"/>
  <c r="FK67" i="14"/>
  <c r="EJ67" i="14"/>
  <c r="FJ67" i="14"/>
  <c r="FL67" i="14"/>
  <c r="EY67" i="14"/>
  <c r="EM67" i="14"/>
  <c r="FC67" i="14"/>
  <c r="EG67" i="14"/>
  <c r="FH67" i="14"/>
  <c r="EP67" i="14"/>
  <c r="FI67" i="14"/>
  <c r="FB67" i="14"/>
  <c r="EN67" i="14"/>
  <c r="EI67" i="14"/>
  <c r="FG67" i="14"/>
  <c r="EZ67" i="14"/>
  <c r="FA67" i="14"/>
  <c r="FE67" i="14" s="1"/>
  <c r="AN60" i="14"/>
  <c r="AM60" i="14"/>
  <c r="U60" i="14"/>
  <c r="AW60" i="14"/>
  <c r="AT60" i="14"/>
  <c r="AB60" i="14"/>
  <c r="Y60" i="14"/>
  <c r="AC60" i="14" s="1"/>
  <c r="T60" i="14"/>
  <c r="AJ60" i="14"/>
  <c r="AA60" i="14"/>
  <c r="AS60" i="14"/>
  <c r="Z60" i="14"/>
  <c r="AO60" i="14"/>
  <c r="AX60" i="14"/>
  <c r="AL60" i="14"/>
  <c r="V60" i="14"/>
  <c r="AK60" i="14"/>
  <c r="AV60" i="14"/>
  <c r="S60" i="14"/>
  <c r="AU60" i="14"/>
  <c r="EN63" i="14"/>
  <c r="EJ63" i="14"/>
  <c r="EO63" i="14"/>
  <c r="EP63" i="14"/>
  <c r="EM63" i="14"/>
  <c r="EG63" i="14"/>
  <c r="FI63" i="14"/>
  <c r="FH63" i="14"/>
  <c r="FA63" i="14"/>
  <c r="EH63" i="14"/>
  <c r="FK63" i="14"/>
  <c r="EI63" i="14"/>
  <c r="FL63" i="14"/>
  <c r="FG63" i="14"/>
  <c r="EX63" i="14"/>
  <c r="FJ63" i="14"/>
  <c r="EY63" i="14"/>
  <c r="FC63" i="14"/>
  <c r="FB63" i="14"/>
  <c r="EZ63" i="14"/>
  <c r="JD65" i="14"/>
  <c r="JA65" i="14"/>
  <c r="JB65" i="14"/>
  <c r="JC65" i="14"/>
  <c r="IU65" i="14"/>
  <c r="IV65" i="14"/>
  <c r="IW65" i="14"/>
  <c r="IX65" i="14"/>
  <c r="JV65" i="14"/>
  <c r="JY65" i="14"/>
  <c r="JL65" i="14"/>
  <c r="JX65" i="14"/>
  <c r="JO65" i="14"/>
  <c r="JS65" i="14" s="1"/>
  <c r="JN65" i="14"/>
  <c r="JW65" i="14"/>
  <c r="JZ65" i="14"/>
  <c r="JQ65" i="14"/>
  <c r="JM65" i="14"/>
  <c r="JU65" i="14"/>
  <c r="JP65" i="14"/>
  <c r="F74" i="21"/>
  <c r="F14" i="21" s="1"/>
  <c r="HY21" i="14"/>
  <c r="EJ65" i="14"/>
  <c r="EM65" i="14"/>
  <c r="EQ65" i="14" s="1"/>
  <c r="EH65" i="14"/>
  <c r="EO65" i="14"/>
  <c r="EP65" i="14"/>
  <c r="EN65" i="14"/>
  <c r="EG65" i="14"/>
  <c r="EI65" i="14"/>
  <c r="FI65" i="14"/>
  <c r="EY65" i="14"/>
  <c r="FB65" i="14"/>
  <c r="FC65" i="14"/>
  <c r="FL65" i="14"/>
  <c r="FG65" i="14"/>
  <c r="FA65" i="14"/>
  <c r="FE65" i="14" s="1"/>
  <c r="EZ65" i="14"/>
  <c r="FJ65" i="14"/>
  <c r="FN65" i="14" s="1"/>
  <c r="EX65" i="14"/>
  <c r="FD65" i="14" s="1"/>
  <c r="FK65" i="14"/>
  <c r="FH65" i="14"/>
  <c r="LE20" i="14"/>
  <c r="LC20" i="14"/>
  <c r="LS20" i="14"/>
  <c r="MF20" i="14"/>
  <c r="LX20" i="14"/>
  <c r="LT20" i="14"/>
  <c r="LK20" i="14"/>
  <c r="LV20" i="14"/>
  <c r="MD20" i="14"/>
  <c r="LU20" i="14"/>
  <c r="ME20" i="14"/>
  <c r="MC20" i="14"/>
  <c r="LJ20" i="14"/>
  <c r="LD20" i="14"/>
  <c r="LB20" i="14"/>
  <c r="LI20" i="14"/>
  <c r="LW20" i="14"/>
  <c r="MG20" i="14"/>
  <c r="LH20" i="14"/>
  <c r="MB20" i="14"/>
  <c r="FA52" i="14"/>
  <c r="FE52" i="14" s="1"/>
  <c r="EH52" i="14"/>
  <c r="EJ52" i="14"/>
  <c r="EN52" i="14"/>
  <c r="EM52" i="14"/>
  <c r="EP52" i="14"/>
  <c r="EY52" i="14"/>
  <c r="EG52" i="14"/>
  <c r="FJ52" i="14"/>
  <c r="FN52" i="14" s="1"/>
  <c r="FH52" i="14"/>
  <c r="EX52" i="14"/>
  <c r="FK52" i="14"/>
  <c r="EZ52" i="14"/>
  <c r="FG52" i="14"/>
  <c r="FB52" i="14"/>
  <c r="FC52" i="14"/>
  <c r="EI52" i="14"/>
  <c r="EO52" i="14"/>
  <c r="FI52" i="14"/>
  <c r="FL52" i="14"/>
  <c r="LC72" i="14"/>
  <c r="LH72" i="14"/>
  <c r="LI72" i="14"/>
  <c r="LU72" i="14"/>
  <c r="MD72" i="14"/>
  <c r="LJ72" i="14"/>
  <c r="MG72" i="14"/>
  <c r="LS72" i="14"/>
  <c r="MC72" i="14"/>
  <c r="MF72" i="14"/>
  <c r="LE72" i="14"/>
  <c r="LT72" i="14"/>
  <c r="MB72" i="14"/>
  <c r="MH72" i="14" s="1"/>
  <c r="LW72" i="14"/>
  <c r="ME72" i="14"/>
  <c r="MI72" i="14" s="1"/>
  <c r="LV72" i="14"/>
  <c r="LX72" i="14"/>
  <c r="LB72" i="14"/>
  <c r="LD72" i="14"/>
  <c r="LK72" i="14"/>
  <c r="LK66" i="14"/>
  <c r="LD66" i="14"/>
  <c r="MB66" i="14"/>
  <c r="LX66" i="14"/>
  <c r="ME66" i="14"/>
  <c r="MF66" i="14"/>
  <c r="LS66" i="14"/>
  <c r="MG66" i="14"/>
  <c r="LT66" i="14"/>
  <c r="LE66" i="14"/>
  <c r="MD66" i="14"/>
  <c r="LH66" i="14"/>
  <c r="LU66" i="14"/>
  <c r="LI66" i="14"/>
  <c r="LJ66" i="14"/>
  <c r="LV66" i="14"/>
  <c r="LW66" i="14"/>
  <c r="LB66" i="14"/>
  <c r="LC66" i="14"/>
  <c r="MC66" i="14"/>
  <c r="CQ57" i="14"/>
  <c r="CR57" i="14"/>
  <c r="DC57" i="14"/>
  <c r="CC57" i="14"/>
  <c r="CT57" i="14"/>
  <c r="CX57" i="14" s="1"/>
  <c r="DA57" i="14"/>
  <c r="CV57" i="14"/>
  <c r="BZ57" i="14"/>
  <c r="DE57" i="14"/>
  <c r="DB57" i="14"/>
  <c r="CU57" i="14"/>
  <c r="CH57" i="14"/>
  <c r="DD57" i="14"/>
  <c r="CG57" i="14"/>
  <c r="CZ57" i="14"/>
  <c r="CI57" i="14"/>
  <c r="CB57" i="14"/>
  <c r="CA57" i="14"/>
  <c r="CS57" i="14"/>
  <c r="CF57" i="14"/>
  <c r="LJ37" i="14"/>
  <c r="LC37" i="14"/>
  <c r="LE37" i="14"/>
  <c r="LK37" i="14"/>
  <c r="LH37" i="14"/>
  <c r="LI37" i="14"/>
  <c r="LD37" i="14"/>
  <c r="LB37" i="14"/>
  <c r="MB37" i="14"/>
  <c r="MH37" i="14" s="1"/>
  <c r="LV37" i="14"/>
  <c r="LZ37" i="14" s="1"/>
  <c r="MC37" i="14"/>
  <c r="LW37" i="14"/>
  <c r="MD37" i="14"/>
  <c r="LU37" i="14"/>
  <c r="MF37" i="14"/>
  <c r="MG37" i="14"/>
  <c r="LX37" i="14"/>
  <c r="ME37" i="14"/>
  <c r="MI37" i="14" s="1"/>
  <c r="LS37" i="14"/>
  <c r="LY37" i="14" s="1"/>
  <c r="LT37" i="14"/>
  <c r="GV62" i="14"/>
  <c r="GQ62" i="14"/>
  <c r="GU62" i="14"/>
  <c r="GW62" i="14"/>
  <c r="GT62" i="14"/>
  <c r="GX62" i="14" s="1"/>
  <c r="GO62" i="14"/>
  <c r="GP62" i="14"/>
  <c r="HR62" i="14"/>
  <c r="HJ62" i="14"/>
  <c r="GN62" i="14"/>
  <c r="HN62" i="14"/>
  <c r="HH62" i="14"/>
  <c r="HL62" i="14" s="1"/>
  <c r="HF62" i="14"/>
  <c r="HS62" i="14"/>
  <c r="HI62" i="14"/>
  <c r="HE62" i="14"/>
  <c r="HG62" i="14"/>
  <c r="HQ62" i="14"/>
  <c r="HP62" i="14"/>
  <c r="HO62" i="14"/>
  <c r="HH28" i="14"/>
  <c r="HL28" i="14" s="1"/>
  <c r="GO28" i="14"/>
  <c r="HR28" i="14"/>
  <c r="GW28" i="14"/>
  <c r="HG28" i="14"/>
  <c r="GV28" i="14"/>
  <c r="HF28" i="14"/>
  <c r="HO28" i="14"/>
  <c r="GQ28" i="14"/>
  <c r="GP28" i="14"/>
  <c r="HS28" i="14"/>
  <c r="GT28" i="14"/>
  <c r="GN28" i="14"/>
  <c r="HE28" i="14"/>
  <c r="HP28" i="14"/>
  <c r="HJ28" i="14"/>
  <c r="GU28" i="14"/>
  <c r="HQ28" i="14"/>
  <c r="HU28" i="14" s="1"/>
  <c r="HN28" i="14"/>
  <c r="HI28" i="14"/>
  <c r="LJ36" i="14"/>
  <c r="LC36" i="14"/>
  <c r="LB36" i="14"/>
  <c r="LD36" i="14"/>
  <c r="LK36" i="14"/>
  <c r="LH36" i="14"/>
  <c r="LE36" i="14"/>
  <c r="LI36" i="14"/>
  <c r="MC36" i="14"/>
  <c r="LW36" i="14"/>
  <c r="MD36" i="14"/>
  <c r="LX36" i="14"/>
  <c r="LS36" i="14"/>
  <c r="LY36" i="14" s="1"/>
  <c r="MB36" i="14"/>
  <c r="MH36" i="14" s="1"/>
  <c r="LT36" i="14"/>
  <c r="ME36" i="14"/>
  <c r="LU36" i="14"/>
  <c r="LV36" i="14"/>
  <c r="MF36" i="14"/>
  <c r="MG36" i="14"/>
  <c r="EG30" i="14"/>
  <c r="EK30" i="14" s="1"/>
  <c r="E18" i="22" s="1"/>
  <c r="EM30" i="14"/>
  <c r="EQ30" i="14" s="1"/>
  <c r="EH30" i="14"/>
  <c r="EN30" i="14"/>
  <c r="EI30" i="14"/>
  <c r="EO30" i="14"/>
  <c r="EJ30" i="14"/>
  <c r="FC30" i="14"/>
  <c r="FJ30" i="14"/>
  <c r="FL30" i="14"/>
  <c r="FG30" i="14"/>
  <c r="FB30" i="14"/>
  <c r="FI30" i="14"/>
  <c r="FA30" i="14"/>
  <c r="EX30" i="14"/>
  <c r="FK30" i="14"/>
  <c r="EZ30" i="14"/>
  <c r="FH30" i="14"/>
  <c r="EP30" i="14"/>
  <c r="EY30" i="14"/>
  <c r="CG63" i="14"/>
  <c r="BZ63" i="14"/>
  <c r="CI63" i="14"/>
  <c r="CB63" i="14"/>
  <c r="CA63" i="14"/>
  <c r="CH63" i="14"/>
  <c r="CF63" i="14"/>
  <c r="DA63" i="14"/>
  <c r="CU63" i="14"/>
  <c r="CC63" i="14"/>
  <c r="DD63" i="14"/>
  <c r="CZ63" i="14"/>
  <c r="DB63" i="14"/>
  <c r="CT63" i="14"/>
  <c r="CX63" i="14" s="1"/>
  <c r="DC63" i="14"/>
  <c r="DE63" i="14"/>
  <c r="CQ63" i="14"/>
  <c r="CR63" i="14"/>
  <c r="CS63" i="14"/>
  <c r="CV63" i="14"/>
  <c r="EJ62" i="14"/>
  <c r="EO62" i="14"/>
  <c r="EM62" i="14"/>
  <c r="EN62" i="14"/>
  <c r="EP62" i="14"/>
  <c r="EG62" i="14"/>
  <c r="EH62" i="14"/>
  <c r="EI62" i="14"/>
  <c r="EY62" i="14"/>
  <c r="FB62" i="14"/>
  <c r="FK62" i="14"/>
  <c r="FJ62" i="14"/>
  <c r="EX62" i="14"/>
  <c r="FC62" i="14"/>
  <c r="FI62" i="14"/>
  <c r="FL62" i="14"/>
  <c r="FA62" i="14"/>
  <c r="EZ62" i="14"/>
  <c r="FH62" i="14"/>
  <c r="FG62" i="14"/>
  <c r="CH67" i="14"/>
  <c r="CA67" i="14"/>
  <c r="CC67" i="14"/>
  <c r="CI67" i="14"/>
  <c r="CF67" i="14"/>
  <c r="BZ67" i="14"/>
  <c r="CG67" i="14"/>
  <c r="CB67" i="14"/>
  <c r="DB67" i="14"/>
  <c r="CR67" i="14"/>
  <c r="DC67" i="14"/>
  <c r="DE67" i="14"/>
  <c r="CS67" i="14"/>
  <c r="CT67" i="14"/>
  <c r="CX67" i="14" s="1"/>
  <c r="CZ67" i="14"/>
  <c r="DF67" i="14" s="1"/>
  <c r="DA67" i="14"/>
  <c r="CQ67" i="14"/>
  <c r="DD67" i="14"/>
  <c r="CV67" i="14"/>
  <c r="CU67" i="14"/>
  <c r="FL59" i="14"/>
  <c r="EM59" i="14"/>
  <c r="EQ59" i="14" s="1"/>
  <c r="FI59" i="14"/>
  <c r="EG59" i="14"/>
  <c r="EH59" i="14"/>
  <c r="EI59" i="14"/>
  <c r="FH59" i="14"/>
  <c r="EZ59" i="14"/>
  <c r="FB59" i="14"/>
  <c r="FA59" i="14"/>
  <c r="FE59" i="14" s="1"/>
  <c r="EO59" i="14"/>
  <c r="EY59" i="14"/>
  <c r="FG59" i="14"/>
  <c r="EN59" i="14"/>
  <c r="FC59" i="14"/>
  <c r="FK59" i="14"/>
  <c r="FJ59" i="14"/>
  <c r="FN59" i="14" s="1"/>
  <c r="EP59" i="14"/>
  <c r="EJ59" i="14"/>
  <c r="EX59" i="14"/>
  <c r="BZ55" i="14"/>
  <c r="DB55" i="14"/>
  <c r="CQ55" i="14"/>
  <c r="CB55" i="14"/>
  <c r="DA55" i="14"/>
  <c r="CS55" i="14"/>
  <c r="DC55" i="14"/>
  <c r="CT55" i="14"/>
  <c r="CG55" i="14"/>
  <c r="CZ55" i="14"/>
  <c r="CR55" i="14"/>
  <c r="CA55" i="14"/>
  <c r="DE55" i="14"/>
  <c r="CH55" i="14"/>
  <c r="CC55" i="14"/>
  <c r="CF55" i="14"/>
  <c r="CI55" i="14"/>
  <c r="CU55" i="14"/>
  <c r="DD55" i="14"/>
  <c r="CV55" i="14"/>
  <c r="GV59" i="14"/>
  <c r="HQ59" i="14"/>
  <c r="HU59" i="14" s="1"/>
  <c r="GT59" i="14"/>
  <c r="GO59" i="14"/>
  <c r="HR59" i="14"/>
  <c r="HE59" i="14"/>
  <c r="GN59" i="14"/>
  <c r="HF59" i="14"/>
  <c r="HN59" i="14"/>
  <c r="HT59" i="14" s="1"/>
  <c r="GU59" i="14"/>
  <c r="GW59" i="14"/>
  <c r="HO59" i="14"/>
  <c r="HS59" i="14"/>
  <c r="HJ59" i="14"/>
  <c r="GQ59" i="14"/>
  <c r="GP59" i="14"/>
  <c r="HH59" i="14"/>
  <c r="HL59" i="14" s="1"/>
  <c r="HG59" i="14"/>
  <c r="HP59" i="14"/>
  <c r="HI59" i="14"/>
  <c r="D71" i="21"/>
  <c r="D11" i="21" s="1"/>
  <c r="DK18" i="14"/>
  <c r="CR54" i="14"/>
  <c r="BZ54" i="14"/>
  <c r="CU54" i="14"/>
  <c r="DE54" i="14"/>
  <c r="CH54" i="14"/>
  <c r="CG54" i="14"/>
  <c r="CV54" i="14"/>
  <c r="CQ54" i="14"/>
  <c r="CC54" i="14"/>
  <c r="CF54" i="14"/>
  <c r="CJ54" i="14" s="1"/>
  <c r="DD54" i="14"/>
  <c r="CB54" i="14"/>
  <c r="CI54" i="14"/>
  <c r="DC54" i="14"/>
  <c r="CA54" i="14"/>
  <c r="CZ54" i="14"/>
  <c r="CS54" i="14"/>
  <c r="DB54" i="14"/>
  <c r="CT54" i="14"/>
  <c r="CX54" i="14" s="1"/>
  <c r="DA54" i="14"/>
  <c r="JC32" i="14"/>
  <c r="IX32" i="14"/>
  <c r="IU32" i="14"/>
  <c r="IV32" i="14"/>
  <c r="JZ32" i="14"/>
  <c r="JO32" i="14"/>
  <c r="IW32" i="14"/>
  <c r="JQ32" i="14"/>
  <c r="JU32" i="14"/>
  <c r="JM32" i="14"/>
  <c r="JX32" i="14"/>
  <c r="JA32" i="14"/>
  <c r="JB32" i="14"/>
  <c r="JD32" i="14"/>
  <c r="JV32" i="14"/>
  <c r="JN32" i="14"/>
  <c r="JL32" i="14"/>
  <c r="JW32" i="14"/>
  <c r="JP32" i="14"/>
  <c r="JY32" i="14"/>
  <c r="AN65" i="14"/>
  <c r="AT65" i="14"/>
  <c r="Z65" i="14"/>
  <c r="T65" i="14"/>
  <c r="AU65" i="14"/>
  <c r="AS65" i="14"/>
  <c r="AK65" i="14"/>
  <c r="AL65" i="14"/>
  <c r="Y65" i="14"/>
  <c r="AX65" i="14"/>
  <c r="AB65" i="14"/>
  <c r="AV65" i="14"/>
  <c r="AZ65" i="14" s="1"/>
  <c r="AO65" i="14"/>
  <c r="AM65" i="14"/>
  <c r="AW65" i="14"/>
  <c r="AJ65" i="14"/>
  <c r="U65" i="14"/>
  <c r="V65" i="14"/>
  <c r="S65" i="14"/>
  <c r="AA65" i="14"/>
  <c r="CR68" i="14"/>
  <c r="CT68" i="14"/>
  <c r="CC68" i="14"/>
  <c r="CH68" i="14"/>
  <c r="CB68" i="14"/>
  <c r="CF68" i="14"/>
  <c r="BZ68" i="14"/>
  <c r="CS68" i="14"/>
  <c r="DD68" i="14"/>
  <c r="DA68" i="14"/>
  <c r="CQ68" i="14"/>
  <c r="CA68" i="14"/>
  <c r="CU68" i="14"/>
  <c r="CI68" i="14"/>
  <c r="CV68" i="14"/>
  <c r="DE68" i="14"/>
  <c r="CG68" i="14"/>
  <c r="CZ68" i="14"/>
  <c r="DF68" i="14" s="1"/>
  <c r="DC68" i="14"/>
  <c r="DB68" i="14"/>
  <c r="JC54" i="14"/>
  <c r="JW54" i="14"/>
  <c r="JM54" i="14"/>
  <c r="JO54" i="14"/>
  <c r="JX54" i="14"/>
  <c r="KB54" i="14" s="1"/>
  <c r="IU54" i="14"/>
  <c r="JP54" i="14"/>
  <c r="JY54" i="14"/>
  <c r="IV54" i="14"/>
  <c r="JD54" i="14"/>
  <c r="JN54" i="14"/>
  <c r="JU54" i="14"/>
  <c r="KA54" i="14" s="1"/>
  <c r="IW54" i="14"/>
  <c r="JV54" i="14"/>
  <c r="JL54" i="14"/>
  <c r="JZ54" i="14"/>
  <c r="JA54" i="14"/>
  <c r="JB54" i="14"/>
  <c r="IX54" i="14"/>
  <c r="JQ54" i="14"/>
  <c r="CC53" i="14"/>
  <c r="CF53" i="14"/>
  <c r="CA53" i="14"/>
  <c r="CG53" i="14"/>
  <c r="BZ53" i="14"/>
  <c r="CH53" i="14"/>
  <c r="CI53" i="14"/>
  <c r="CB53" i="14"/>
  <c r="DA53" i="14"/>
  <c r="CV53" i="14"/>
  <c r="DB53" i="14"/>
  <c r="CQ53" i="14"/>
  <c r="DE53" i="14"/>
  <c r="CT53" i="14"/>
  <c r="CU53" i="14"/>
  <c r="CZ53" i="14"/>
  <c r="DF53" i="14" s="1"/>
  <c r="CS53" i="14"/>
  <c r="DC53" i="14"/>
  <c r="DD53" i="14"/>
  <c r="CR53" i="14"/>
  <c r="V63" i="14"/>
  <c r="Y63" i="14"/>
  <c r="S63" i="14"/>
  <c r="W63" i="14" s="1"/>
  <c r="I20" i="22" s="1"/>
  <c r="Z63" i="14"/>
  <c r="T63" i="14"/>
  <c r="U63" i="14"/>
  <c r="AO63" i="14"/>
  <c r="AS63" i="14"/>
  <c r="AJ63" i="14"/>
  <c r="AA63" i="14"/>
  <c r="AW63" i="14"/>
  <c r="AB63" i="14"/>
  <c r="AN63" i="14"/>
  <c r="AT63" i="14"/>
  <c r="AU63" i="14"/>
  <c r="AX63" i="14"/>
  <c r="AV63" i="14"/>
  <c r="AL63" i="14"/>
  <c r="AM63" i="14"/>
  <c r="AQ63" i="14" s="1"/>
  <c r="AK63" i="14"/>
  <c r="Y68" i="14"/>
  <c r="AB68" i="14"/>
  <c r="U68" i="14"/>
  <c r="Z68" i="14"/>
  <c r="V68" i="14"/>
  <c r="S68" i="14"/>
  <c r="AA68" i="14"/>
  <c r="T68" i="14"/>
  <c r="AV68" i="14"/>
  <c r="AO68" i="14"/>
  <c r="AW68" i="14"/>
  <c r="AJ68" i="14"/>
  <c r="AX68" i="14"/>
  <c r="AK68" i="14"/>
  <c r="AL68" i="14"/>
  <c r="AU68" i="14"/>
  <c r="AN68" i="14"/>
  <c r="AS68" i="14"/>
  <c r="AT68" i="14"/>
  <c r="AM68" i="14"/>
  <c r="IU22" i="14"/>
  <c r="IW22" i="14"/>
  <c r="JB22" i="14"/>
  <c r="IV22" i="14"/>
  <c r="JA22" i="14"/>
  <c r="JD22" i="14"/>
  <c r="JC22" i="14"/>
  <c r="IX22" i="14"/>
  <c r="JN22" i="14"/>
  <c r="JU22" i="14"/>
  <c r="JV22" i="14"/>
  <c r="JQ22" i="14"/>
  <c r="JW22" i="14"/>
  <c r="JP22" i="14"/>
  <c r="JX22" i="14"/>
  <c r="JY22" i="14"/>
  <c r="JL22" i="14"/>
  <c r="JM22" i="14"/>
  <c r="JO22" i="14"/>
  <c r="JZ22" i="14"/>
  <c r="GT32" i="14"/>
  <c r="GN32" i="14"/>
  <c r="GW32" i="14"/>
  <c r="GO32" i="14"/>
  <c r="GP32" i="14"/>
  <c r="GQ32" i="14"/>
  <c r="HP32" i="14"/>
  <c r="HG32" i="14"/>
  <c r="HJ32" i="14"/>
  <c r="HH32" i="14"/>
  <c r="HF32" i="14"/>
  <c r="HS32" i="14"/>
  <c r="HO32" i="14"/>
  <c r="HQ32" i="14"/>
  <c r="HU32" i="14" s="1"/>
  <c r="GU32" i="14"/>
  <c r="HE32" i="14"/>
  <c r="HK32" i="14" s="1"/>
  <c r="GV32" i="14"/>
  <c r="HI32" i="14"/>
  <c r="HN32" i="14"/>
  <c r="HR32" i="14"/>
  <c r="LV29" i="14"/>
  <c r="MC29" i="14"/>
  <c r="LU29" i="14"/>
  <c r="LX29" i="14"/>
  <c r="LE29" i="14"/>
  <c r="LT29" i="14"/>
  <c r="MF29" i="14"/>
  <c r="LS29" i="14"/>
  <c r="LK29" i="14"/>
  <c r="LW29" i="14"/>
  <c r="LC29" i="14"/>
  <c r="ME29" i="14"/>
  <c r="MI29" i="14" s="1"/>
  <c r="LJ29" i="14"/>
  <c r="LH29" i="14"/>
  <c r="LI29" i="14"/>
  <c r="LD29" i="14"/>
  <c r="MB29" i="14"/>
  <c r="MG29" i="14"/>
  <c r="MD29" i="14"/>
  <c r="LB29" i="14"/>
  <c r="LF29" i="14" s="1"/>
  <c r="H17" i="22" s="1"/>
  <c r="J72" i="21"/>
  <c r="J12" i="21" s="1"/>
  <c r="DK50" i="14"/>
  <c r="CI31" i="14"/>
  <c r="CH31" i="14"/>
  <c r="BZ31" i="14"/>
  <c r="CG31" i="14"/>
  <c r="CA31" i="14"/>
  <c r="CB31" i="14"/>
  <c r="CC31" i="14"/>
  <c r="CF31" i="14"/>
  <c r="CR31" i="14"/>
  <c r="CS31" i="14"/>
  <c r="DA31" i="14"/>
  <c r="CQ31" i="14"/>
  <c r="CW31" i="14" s="1"/>
  <c r="DB31" i="14"/>
  <c r="CV31" i="14"/>
  <c r="CT31" i="14"/>
  <c r="CU31" i="14"/>
  <c r="CZ31" i="14"/>
  <c r="DC31" i="14"/>
  <c r="DE31" i="14"/>
  <c r="DD31" i="14"/>
  <c r="CI24" i="14"/>
  <c r="CU24" i="14"/>
  <c r="CZ24" i="14"/>
  <c r="DA24" i="14"/>
  <c r="BZ24" i="14"/>
  <c r="DC24" i="14"/>
  <c r="CV24" i="14"/>
  <c r="DE24" i="14"/>
  <c r="CF24" i="14"/>
  <c r="CG24" i="14"/>
  <c r="CC24" i="14"/>
  <c r="CS24" i="14"/>
  <c r="CB24" i="14"/>
  <c r="DD24" i="14"/>
  <c r="CA24" i="14"/>
  <c r="CH24" i="14"/>
  <c r="CT24" i="14"/>
  <c r="CQ24" i="14"/>
  <c r="CW24" i="14" s="1"/>
  <c r="DB24" i="14"/>
  <c r="CR24" i="14"/>
  <c r="GV30" i="14"/>
  <c r="GO30" i="14"/>
  <c r="GT30" i="14"/>
  <c r="GN30" i="14"/>
  <c r="GU30" i="14"/>
  <c r="GP30" i="14"/>
  <c r="GW30" i="14"/>
  <c r="HQ30" i="14"/>
  <c r="HE30" i="14"/>
  <c r="GQ30" i="14"/>
  <c r="HJ30" i="14"/>
  <c r="HI30" i="14"/>
  <c r="HS30" i="14"/>
  <c r="HO30" i="14"/>
  <c r="HR30" i="14"/>
  <c r="HF30" i="14"/>
  <c r="HH30" i="14"/>
  <c r="HN30" i="14"/>
  <c r="HG30" i="14"/>
  <c r="HP30" i="14"/>
  <c r="CG62" i="14"/>
  <c r="BZ62" i="14"/>
  <c r="CD62" i="14" s="1"/>
  <c r="J19" i="22" s="1"/>
  <c r="CI62" i="14"/>
  <c r="CB62" i="14"/>
  <c r="CC62" i="14"/>
  <c r="CF62" i="14"/>
  <c r="CH62" i="14"/>
  <c r="CA62" i="14"/>
  <c r="CU62" i="14"/>
  <c r="CV62" i="14"/>
  <c r="DB62" i="14"/>
  <c r="DD62" i="14"/>
  <c r="DA62" i="14"/>
  <c r="CR62" i="14"/>
  <c r="DC62" i="14"/>
  <c r="DG62" i="14" s="1"/>
  <c r="CT62" i="14"/>
  <c r="CS62" i="14"/>
  <c r="CQ62" i="14"/>
  <c r="CW62" i="14" s="1"/>
  <c r="DE62" i="14"/>
  <c r="CZ62" i="14"/>
  <c r="JB24" i="14"/>
  <c r="JO24" i="14"/>
  <c r="JQ24" i="14"/>
  <c r="JM24" i="14"/>
  <c r="JW24" i="14"/>
  <c r="JZ24" i="14"/>
  <c r="JC24" i="14"/>
  <c r="JU24" i="14"/>
  <c r="IU24" i="14"/>
  <c r="JN24" i="14"/>
  <c r="IX24" i="14"/>
  <c r="IW24" i="14"/>
  <c r="JV24" i="14"/>
  <c r="JP24" i="14"/>
  <c r="JX24" i="14"/>
  <c r="JY24" i="14"/>
  <c r="IV24" i="14"/>
  <c r="JD24" i="14"/>
  <c r="JA24" i="14"/>
  <c r="JE24" i="14" s="1"/>
  <c r="JL24" i="14"/>
  <c r="JR24" i="14" s="1"/>
  <c r="HO23" i="14"/>
  <c r="HR23" i="14"/>
  <c r="GV23" i="14"/>
  <c r="HF23" i="14"/>
  <c r="GO23" i="14"/>
  <c r="HN23" i="14"/>
  <c r="HP23" i="14"/>
  <c r="GU23" i="14"/>
  <c r="GP23" i="14"/>
  <c r="GN23" i="14"/>
  <c r="GR23" i="14" s="1"/>
  <c r="F11" i="22" s="1"/>
  <c r="GW23" i="14"/>
  <c r="HS23" i="14"/>
  <c r="HG23" i="14"/>
  <c r="HI23" i="14"/>
  <c r="GQ23" i="14"/>
  <c r="HJ23" i="14"/>
  <c r="HQ23" i="14"/>
  <c r="HH23" i="14"/>
  <c r="HL23" i="14" s="1"/>
  <c r="GT23" i="14"/>
  <c r="HE23" i="14"/>
  <c r="CF32" i="14"/>
  <c r="CA32" i="14"/>
  <c r="CG32" i="14"/>
  <c r="CB32" i="14"/>
  <c r="CH32" i="14"/>
  <c r="CC32" i="14"/>
  <c r="CI32" i="14"/>
  <c r="BZ32" i="14"/>
  <c r="CT32" i="14"/>
  <c r="DA32" i="14"/>
  <c r="CS32" i="14"/>
  <c r="CV32" i="14"/>
  <c r="DD32" i="14"/>
  <c r="DC32" i="14"/>
  <c r="DG32" i="14" s="1"/>
  <c r="CZ32" i="14"/>
  <c r="DF32" i="14" s="1"/>
  <c r="CQ32" i="14"/>
  <c r="DB32" i="14"/>
  <c r="CR32" i="14"/>
  <c r="CU32" i="14"/>
  <c r="DE32" i="14"/>
  <c r="LH64" i="14"/>
  <c r="LL64" i="14" s="1"/>
  <c r="LC64" i="14"/>
  <c r="LD64" i="14"/>
  <c r="LI64" i="14"/>
  <c r="LE64" i="14"/>
  <c r="LJ64" i="14"/>
  <c r="LK64" i="14"/>
  <c r="LX64" i="14"/>
  <c r="MB64" i="14"/>
  <c r="MH64" i="14" s="1"/>
  <c r="MF64" i="14"/>
  <c r="ME64" i="14"/>
  <c r="MD64" i="14"/>
  <c r="MG64" i="14"/>
  <c r="LT64" i="14"/>
  <c r="LB64" i="14"/>
  <c r="LU64" i="14"/>
  <c r="LS64" i="14"/>
  <c r="LY64" i="14" s="1"/>
  <c r="LW64" i="14"/>
  <c r="LV64" i="14"/>
  <c r="MC64" i="14"/>
  <c r="MF28" i="14"/>
  <c r="LJ28" i="14"/>
  <c r="LU28" i="14"/>
  <c r="LE28" i="14"/>
  <c r="MC28" i="14"/>
  <c r="LD28" i="14"/>
  <c r="LC28" i="14"/>
  <c r="LH28" i="14"/>
  <c r="LW28" i="14"/>
  <c r="LT28" i="14"/>
  <c r="ME28" i="14"/>
  <c r="MI28" i="14" s="1"/>
  <c r="LK28" i="14"/>
  <c r="MD28" i="14"/>
  <c r="LX28" i="14"/>
  <c r="LB28" i="14"/>
  <c r="LI28" i="14"/>
  <c r="MG28" i="14"/>
  <c r="LV28" i="14"/>
  <c r="MB28" i="14"/>
  <c r="LS28" i="14"/>
  <c r="LY28" i="14" s="1"/>
  <c r="LB41" i="14"/>
  <c r="LS41" i="14"/>
  <c r="LY41" i="14" s="1"/>
  <c r="ME41" i="14"/>
  <c r="MI41" i="14" s="1"/>
  <c r="LC41" i="14"/>
  <c r="MF41" i="14"/>
  <c r="LU41" i="14"/>
  <c r="MC41" i="14"/>
  <c r="MB41" i="14"/>
  <c r="LJ41" i="14"/>
  <c r="LV41" i="14"/>
  <c r="LZ41" i="14" s="1"/>
  <c r="LI41" i="14"/>
  <c r="MG41" i="14"/>
  <c r="LT41" i="14"/>
  <c r="LD41" i="14"/>
  <c r="LK41" i="14"/>
  <c r="MD41" i="14"/>
  <c r="LW41" i="14"/>
  <c r="LE41" i="14"/>
  <c r="LX41" i="14"/>
  <c r="LH41" i="14"/>
  <c r="GW57" i="14"/>
  <c r="HF57" i="14"/>
  <c r="HI57" i="14"/>
  <c r="GO57" i="14"/>
  <c r="HQ57" i="14"/>
  <c r="GV57" i="14"/>
  <c r="HO57" i="14"/>
  <c r="HS57" i="14"/>
  <c r="HE57" i="14"/>
  <c r="GN57" i="14"/>
  <c r="GQ57" i="14"/>
  <c r="GP57" i="14"/>
  <c r="HR57" i="14"/>
  <c r="HJ57" i="14"/>
  <c r="HH57" i="14"/>
  <c r="HP57" i="14"/>
  <c r="HG57" i="14"/>
  <c r="GT57" i="14"/>
  <c r="HN57" i="14"/>
  <c r="HT57" i="14" s="1"/>
  <c r="GU57" i="14"/>
  <c r="J74" i="21"/>
  <c r="J14" i="21" s="1"/>
  <c r="DK52" i="14"/>
  <c r="JX28" i="14"/>
  <c r="JP28" i="14"/>
  <c r="IU28" i="14"/>
  <c r="JB28" i="14"/>
  <c r="JM28" i="14"/>
  <c r="JW28" i="14"/>
  <c r="JD28" i="14"/>
  <c r="IX28" i="14"/>
  <c r="JL28" i="14"/>
  <c r="JV28" i="14"/>
  <c r="JQ28" i="14"/>
  <c r="JO28" i="14"/>
  <c r="IV28" i="14"/>
  <c r="JN28" i="14"/>
  <c r="JA28" i="14"/>
  <c r="JE28" i="14" s="1"/>
  <c r="JU28" i="14"/>
  <c r="KA28" i="14" s="1"/>
  <c r="JZ28" i="14"/>
  <c r="JC28" i="14"/>
  <c r="JY28" i="14"/>
  <c r="IW28" i="14"/>
  <c r="GW63" i="14"/>
  <c r="GP63" i="14"/>
  <c r="GN63" i="14"/>
  <c r="GO63" i="14"/>
  <c r="GQ63" i="14"/>
  <c r="GU63" i="14"/>
  <c r="GV63" i="14"/>
  <c r="HF63" i="14"/>
  <c r="HR63" i="14"/>
  <c r="HG63" i="14"/>
  <c r="HO63" i="14"/>
  <c r="HH63" i="14"/>
  <c r="HL63" i="14" s="1"/>
  <c r="HS63" i="14"/>
  <c r="HE63" i="14"/>
  <c r="HJ63" i="14"/>
  <c r="GT63" i="14"/>
  <c r="HN63" i="14"/>
  <c r="HP63" i="14"/>
  <c r="HI63" i="14"/>
  <c r="HQ63" i="14"/>
  <c r="HU63" i="14" s="1"/>
  <c r="G91" i="21"/>
  <c r="G31" i="21" s="1"/>
  <c r="KF38" i="14"/>
  <c r="S61" i="14"/>
  <c r="Y61" i="14"/>
  <c r="T61" i="14"/>
  <c r="U61" i="14"/>
  <c r="V61" i="14"/>
  <c r="Z61" i="14"/>
  <c r="AJ61" i="14"/>
  <c r="AA61" i="14"/>
  <c r="AT61" i="14"/>
  <c r="AB61" i="14"/>
  <c r="AL61" i="14"/>
  <c r="AO61" i="14"/>
  <c r="AK61" i="14"/>
  <c r="AM61" i="14"/>
  <c r="AQ61" i="14" s="1"/>
  <c r="AU61" i="14"/>
  <c r="AW61" i="14"/>
  <c r="AV61" i="14"/>
  <c r="AS61" i="14"/>
  <c r="AN61" i="14"/>
  <c r="AX61" i="14"/>
  <c r="CH25" i="14"/>
  <c r="DD25" i="14"/>
  <c r="CF25" i="14"/>
  <c r="CS25" i="14"/>
  <c r="CV25" i="14"/>
  <c r="CR25" i="14"/>
  <c r="DC25" i="14"/>
  <c r="DE25" i="14"/>
  <c r="CC25" i="14"/>
  <c r="CG25" i="14"/>
  <c r="CU25" i="14"/>
  <c r="CT25" i="14"/>
  <c r="BZ25" i="14"/>
  <c r="CI25" i="14"/>
  <c r="CB25" i="14"/>
  <c r="CA25" i="14"/>
  <c r="DB25" i="14"/>
  <c r="CZ25" i="14"/>
  <c r="DF25" i="14" s="1"/>
  <c r="CQ25" i="14"/>
  <c r="CW25" i="14" s="1"/>
  <c r="DA25" i="14"/>
  <c r="LH60" i="14"/>
  <c r="LB60" i="14"/>
  <c r="LW60" i="14"/>
  <c r="LJ60" i="14"/>
  <c r="LT60" i="14"/>
  <c r="LK60" i="14"/>
  <c r="MB60" i="14"/>
  <c r="MD60" i="14"/>
  <c r="ME60" i="14"/>
  <c r="LC60" i="14"/>
  <c r="LV60" i="14"/>
  <c r="LZ60" i="14" s="1"/>
  <c r="MC60" i="14"/>
  <c r="LS60" i="14"/>
  <c r="LY60" i="14" s="1"/>
  <c r="LD60" i="14"/>
  <c r="MF60" i="14"/>
  <c r="LX60" i="14"/>
  <c r="LE60" i="14"/>
  <c r="MG60" i="14"/>
  <c r="LI60" i="14"/>
  <c r="LU60" i="14"/>
  <c r="D73" i="21"/>
  <c r="D13" i="21" s="1"/>
  <c r="DK20" i="14"/>
  <c r="GQ72" i="14"/>
  <c r="GU72" i="14"/>
  <c r="GW72" i="14"/>
  <c r="HO72" i="14"/>
  <c r="HH72" i="14"/>
  <c r="HI72" i="14"/>
  <c r="HF72" i="14"/>
  <c r="HE72" i="14"/>
  <c r="HK72" i="14" s="1"/>
  <c r="GP72" i="14"/>
  <c r="GV72" i="14"/>
  <c r="GT72" i="14"/>
  <c r="GO72" i="14"/>
  <c r="HR72" i="14"/>
  <c r="HQ72" i="14"/>
  <c r="HU72" i="14" s="1"/>
  <c r="GN72" i="14"/>
  <c r="HJ72" i="14"/>
  <c r="HN72" i="14"/>
  <c r="HT72" i="14" s="1"/>
  <c r="HG72" i="14"/>
  <c r="HS72" i="14"/>
  <c r="HP72" i="14"/>
  <c r="IU63" i="14"/>
  <c r="JA63" i="14"/>
  <c r="IV63" i="14"/>
  <c r="JB63" i="14"/>
  <c r="IW63" i="14"/>
  <c r="JD63" i="14"/>
  <c r="JW63" i="14"/>
  <c r="JL63" i="14"/>
  <c r="JX63" i="14"/>
  <c r="IX63" i="14"/>
  <c r="JO63" i="14"/>
  <c r="JS63" i="14" s="1"/>
  <c r="JN63" i="14"/>
  <c r="JU63" i="14"/>
  <c r="KA63" i="14" s="1"/>
  <c r="JV63" i="14"/>
  <c r="JY63" i="14"/>
  <c r="JQ63" i="14"/>
  <c r="JZ63" i="14"/>
  <c r="JP63" i="14"/>
  <c r="JC63" i="14"/>
  <c r="JM63" i="14"/>
  <c r="LK55" i="14"/>
  <c r="LS55" i="14"/>
  <c r="MF55" i="14"/>
  <c r="LD55" i="14"/>
  <c r="LH55" i="14"/>
  <c r="LB55" i="14"/>
  <c r="LJ55" i="14"/>
  <c r="LW55" i="14"/>
  <c r="MG55" i="14"/>
  <c r="MD55" i="14"/>
  <c r="LX55" i="14"/>
  <c r="MB55" i="14"/>
  <c r="LT55" i="14"/>
  <c r="MC55" i="14"/>
  <c r="LC55" i="14"/>
  <c r="LI55" i="14"/>
  <c r="LV55" i="14"/>
  <c r="ME55" i="14"/>
  <c r="LU55" i="14"/>
  <c r="LE55" i="14"/>
  <c r="K71" i="21"/>
  <c r="K11" i="21" s="1"/>
  <c r="FR49" i="14"/>
  <c r="GV36" i="14"/>
  <c r="GO36" i="14"/>
  <c r="GP36" i="14"/>
  <c r="GU36" i="14"/>
  <c r="GQ36" i="14"/>
  <c r="GW36" i="14"/>
  <c r="GT36" i="14"/>
  <c r="GN36" i="14"/>
  <c r="HO36" i="14"/>
  <c r="HF36" i="14"/>
  <c r="HP36" i="14"/>
  <c r="HG36" i="14"/>
  <c r="HH36" i="14"/>
  <c r="HR36" i="14"/>
  <c r="HS36" i="14"/>
  <c r="HE36" i="14"/>
  <c r="HI36" i="14"/>
  <c r="HJ36" i="14"/>
  <c r="HN36" i="14"/>
  <c r="HQ36" i="14"/>
  <c r="HG25" i="14"/>
  <c r="HI25" i="14"/>
  <c r="HH25" i="14"/>
  <c r="HL25" i="14" s="1"/>
  <c r="HR25" i="14"/>
  <c r="HS25" i="14"/>
  <c r="GQ25" i="14"/>
  <c r="GW25" i="14"/>
  <c r="HN25" i="14"/>
  <c r="GU25" i="14"/>
  <c r="HP25" i="14"/>
  <c r="GV25" i="14"/>
  <c r="GT25" i="14"/>
  <c r="GX25" i="14" s="1"/>
  <c r="GP25" i="14"/>
  <c r="HE25" i="14"/>
  <c r="HK25" i="14" s="1"/>
  <c r="HJ25" i="14"/>
  <c r="GN25" i="14"/>
  <c r="HF25" i="14"/>
  <c r="HQ25" i="14"/>
  <c r="HO25" i="14"/>
  <c r="GO25" i="14"/>
  <c r="M75" i="21"/>
  <c r="M15" i="21" s="1"/>
  <c r="KF53" i="14"/>
  <c r="CI30" i="14"/>
  <c r="BZ30" i="14"/>
  <c r="DE30" i="14"/>
  <c r="CA30" i="14"/>
  <c r="CV30" i="14"/>
  <c r="CU30" i="14"/>
  <c r="CB30" i="14"/>
  <c r="DD30" i="14"/>
  <c r="CT30" i="14"/>
  <c r="CC30" i="14"/>
  <c r="DA30" i="14"/>
  <c r="CQ30" i="14"/>
  <c r="DB30" i="14"/>
  <c r="DC30" i="14"/>
  <c r="CZ30" i="14"/>
  <c r="DF30" i="14" s="1"/>
  <c r="CH30" i="14"/>
  <c r="CS30" i="14"/>
  <c r="CR30" i="14"/>
  <c r="CG30" i="14"/>
  <c r="CF30" i="14"/>
  <c r="L90" i="21"/>
  <c r="L30" i="21" s="1"/>
  <c r="HY68" i="14"/>
  <c r="JB21" i="14"/>
  <c r="IW21" i="14"/>
  <c r="JC21" i="14"/>
  <c r="IU21" i="14"/>
  <c r="JD21" i="14"/>
  <c r="JA21" i="14"/>
  <c r="IX21" i="14"/>
  <c r="IV21" i="14"/>
  <c r="JV21" i="14"/>
  <c r="JP21" i="14"/>
  <c r="JW21" i="14"/>
  <c r="JQ21" i="14"/>
  <c r="JY21" i="14"/>
  <c r="JM21" i="14"/>
  <c r="JZ21" i="14"/>
  <c r="JN21" i="14"/>
  <c r="JO21" i="14"/>
  <c r="JL21" i="14"/>
  <c r="JR21" i="14" s="1"/>
  <c r="JU21" i="14"/>
  <c r="JX21" i="14"/>
  <c r="EO41" i="14"/>
  <c r="EI41" i="14"/>
  <c r="EJ41" i="14"/>
  <c r="FI41" i="14"/>
  <c r="FC41" i="14"/>
  <c r="EY41" i="14"/>
  <c r="EM41" i="14"/>
  <c r="FL41" i="14"/>
  <c r="FA41" i="14"/>
  <c r="FB41" i="14"/>
  <c r="FJ41" i="14"/>
  <c r="EN41" i="14"/>
  <c r="FH41" i="14"/>
  <c r="EZ41" i="14"/>
  <c r="FG41" i="14"/>
  <c r="EX41" i="14"/>
  <c r="EG41" i="14"/>
  <c r="EH41" i="14"/>
  <c r="EP41" i="14"/>
  <c r="FK41" i="14"/>
  <c r="LB65" i="14"/>
  <c r="LD65" i="14"/>
  <c r="LH65" i="14"/>
  <c r="LE65" i="14"/>
  <c r="LK65" i="14"/>
  <c r="LC65" i="14"/>
  <c r="LI65" i="14"/>
  <c r="LJ65" i="14"/>
  <c r="MC65" i="14"/>
  <c r="LX65" i="14"/>
  <c r="LS65" i="14"/>
  <c r="LW65" i="14"/>
  <c r="MF65" i="14"/>
  <c r="ME65" i="14"/>
  <c r="LT65" i="14"/>
  <c r="MD65" i="14"/>
  <c r="MB65" i="14"/>
  <c r="MH65" i="14" s="1"/>
  <c r="LV65" i="14"/>
  <c r="LZ65" i="14" s="1"/>
  <c r="LU65" i="14"/>
  <c r="MG65" i="14"/>
  <c r="LE31" i="14"/>
  <c r="LC31" i="14"/>
  <c r="LD31" i="14"/>
  <c r="LH31" i="14"/>
  <c r="LI31" i="14"/>
  <c r="LK31" i="14"/>
  <c r="LB31" i="14"/>
  <c r="MF31" i="14"/>
  <c r="MG31" i="14"/>
  <c r="LT31" i="14"/>
  <c r="LW31" i="14"/>
  <c r="MD31" i="14"/>
  <c r="LX31" i="14"/>
  <c r="LJ31" i="14"/>
  <c r="MC31" i="14"/>
  <c r="MB31" i="14"/>
  <c r="LS31" i="14"/>
  <c r="LY31" i="14" s="1"/>
  <c r="LU31" i="14"/>
  <c r="LV31" i="14"/>
  <c r="ME31" i="14"/>
  <c r="MI31" i="14" s="1"/>
  <c r="C53" i="21"/>
  <c r="C23" i="21" s="1"/>
  <c r="BD30" i="14"/>
  <c r="BE30" i="14" s="1"/>
  <c r="LK18" i="14"/>
  <c r="LD18" i="14"/>
  <c r="LS18" i="14"/>
  <c r="MB18" i="14"/>
  <c r="LB18" i="14"/>
  <c r="MC18" i="14"/>
  <c r="LE18" i="14"/>
  <c r="LW18" i="14"/>
  <c r="LH18" i="14"/>
  <c r="MG18" i="14"/>
  <c r="ME18" i="14"/>
  <c r="MI18" i="14" s="1"/>
  <c r="LV18" i="14"/>
  <c r="LI18" i="14"/>
  <c r="LU18" i="14"/>
  <c r="MD18" i="14"/>
  <c r="LT18" i="14"/>
  <c r="LC18" i="14"/>
  <c r="MF18" i="14"/>
  <c r="LX18" i="14"/>
  <c r="LJ18" i="14"/>
  <c r="CA27" i="14"/>
  <c r="DD27" i="14"/>
  <c r="CT27" i="14"/>
  <c r="CX27" i="14" s="1"/>
  <c r="CC27" i="14"/>
  <c r="CU27" i="14"/>
  <c r="CQ27" i="14"/>
  <c r="CV27" i="14"/>
  <c r="CF27" i="14"/>
  <c r="DC27" i="14"/>
  <c r="DA27" i="14"/>
  <c r="CH27" i="14"/>
  <c r="DB27" i="14"/>
  <c r="BZ27" i="14"/>
  <c r="CG27" i="14"/>
  <c r="CR27" i="14"/>
  <c r="CS27" i="14"/>
  <c r="CZ27" i="14"/>
  <c r="CI27" i="14"/>
  <c r="CB27" i="14"/>
  <c r="DE27" i="14"/>
  <c r="HP37" i="14"/>
  <c r="GP37" i="14"/>
  <c r="HI37" i="14"/>
  <c r="GW37" i="14"/>
  <c r="GO37" i="14"/>
  <c r="HO37" i="14"/>
  <c r="GV37" i="14"/>
  <c r="HN37" i="14"/>
  <c r="HT37" i="14" s="1"/>
  <c r="HF37" i="14"/>
  <c r="GN37" i="14"/>
  <c r="GT37" i="14"/>
  <c r="HJ37" i="14"/>
  <c r="GQ37" i="14"/>
  <c r="HR37" i="14"/>
  <c r="HH37" i="14"/>
  <c r="HL37" i="14" s="1"/>
  <c r="GU37" i="14"/>
  <c r="HQ37" i="14"/>
  <c r="HS37" i="14"/>
  <c r="HG37" i="14"/>
  <c r="HE37" i="14"/>
  <c r="JQ29" i="14"/>
  <c r="JV29" i="14"/>
  <c r="JO29" i="14"/>
  <c r="JW29" i="14"/>
  <c r="JD29" i="14"/>
  <c r="JX29" i="14"/>
  <c r="JC29" i="14"/>
  <c r="JY29" i="14"/>
  <c r="JA29" i="14"/>
  <c r="JE29" i="14" s="1"/>
  <c r="JZ29" i="14"/>
  <c r="IU29" i="14"/>
  <c r="JP29" i="14"/>
  <c r="JN29" i="14"/>
  <c r="JL29" i="14"/>
  <c r="JB29" i="14"/>
  <c r="JM29" i="14"/>
  <c r="IW29" i="14"/>
  <c r="JU29" i="14"/>
  <c r="IX29" i="14"/>
  <c r="IV29" i="14"/>
  <c r="CF197" i="16"/>
  <c r="CH201" i="16"/>
  <c r="CH198" i="16"/>
  <c r="CF204" i="16"/>
  <c r="CV65" i="14"/>
  <c r="CS65" i="14"/>
  <c r="BZ65" i="14"/>
  <c r="CC65" i="14"/>
  <c r="CB65" i="14"/>
  <c r="CT65" i="14"/>
  <c r="CU65" i="14"/>
  <c r="CR65" i="14"/>
  <c r="DD65" i="14"/>
  <c r="CZ65" i="14"/>
  <c r="DF65" i="14" s="1"/>
  <c r="DH65" i="14" s="1"/>
  <c r="CH65" i="14"/>
  <c r="CA65" i="14"/>
  <c r="DA65" i="14"/>
  <c r="DB65" i="14"/>
  <c r="CQ65" i="14"/>
  <c r="DE65" i="14"/>
  <c r="CG65" i="14"/>
  <c r="DC65" i="14"/>
  <c r="DG65" i="14" s="1"/>
  <c r="CF65" i="14"/>
  <c r="CI65" i="14"/>
  <c r="CF33" i="14"/>
  <c r="CG33" i="14"/>
  <c r="BZ33" i="14"/>
  <c r="CH33" i="14"/>
  <c r="CR33" i="14"/>
  <c r="CZ33" i="14"/>
  <c r="CI33" i="14"/>
  <c r="CS33" i="14"/>
  <c r="DD33" i="14"/>
  <c r="CQ33" i="14"/>
  <c r="CT33" i="14"/>
  <c r="CB33" i="14"/>
  <c r="DE33" i="14"/>
  <c r="CC33" i="14"/>
  <c r="CV33" i="14"/>
  <c r="DA33" i="14"/>
  <c r="CA33" i="14"/>
  <c r="DB33" i="14"/>
  <c r="DC33" i="14"/>
  <c r="CU33" i="14"/>
  <c r="HO66" i="14"/>
  <c r="HQ66" i="14"/>
  <c r="GN66" i="14"/>
  <c r="GV66" i="14"/>
  <c r="GQ66" i="14"/>
  <c r="HJ66" i="14"/>
  <c r="GP66" i="14"/>
  <c r="HE66" i="14"/>
  <c r="HR66" i="14"/>
  <c r="HF66" i="14"/>
  <c r="HS66" i="14"/>
  <c r="HG66" i="14"/>
  <c r="HN66" i="14"/>
  <c r="GT66" i="14"/>
  <c r="HH66" i="14"/>
  <c r="HL66" i="14" s="1"/>
  <c r="HI66" i="14"/>
  <c r="GO66" i="14"/>
  <c r="GW66" i="14"/>
  <c r="HP66" i="14"/>
  <c r="GU66" i="14"/>
  <c r="LX24" i="14"/>
  <c r="ME24" i="14"/>
  <c r="MI24" i="14" s="1"/>
  <c r="LU24" i="14"/>
  <c r="MG24" i="14"/>
  <c r="LV24" i="14"/>
  <c r="LZ24" i="14" s="1"/>
  <c r="LJ24" i="14"/>
  <c r="LT24" i="14"/>
  <c r="MC24" i="14"/>
  <c r="LS24" i="14"/>
  <c r="MD24" i="14"/>
  <c r="LD24" i="14"/>
  <c r="LK24" i="14"/>
  <c r="LW24" i="14"/>
  <c r="LE24" i="14"/>
  <c r="MB24" i="14"/>
  <c r="LI24" i="14"/>
  <c r="LH24" i="14"/>
  <c r="LB24" i="14"/>
  <c r="LC24" i="14"/>
  <c r="MF24" i="14"/>
  <c r="GU35" i="14"/>
  <c r="GP35" i="14"/>
  <c r="HI35" i="14"/>
  <c r="HP35" i="14"/>
  <c r="HG35" i="14"/>
  <c r="GT35" i="14"/>
  <c r="HO35" i="14"/>
  <c r="GQ35" i="14"/>
  <c r="GW35" i="14"/>
  <c r="HR35" i="14"/>
  <c r="HQ35" i="14"/>
  <c r="HU35" i="14" s="1"/>
  <c r="HH35" i="14"/>
  <c r="HL35" i="14" s="1"/>
  <c r="HF35" i="14"/>
  <c r="GO35" i="14"/>
  <c r="HJ35" i="14"/>
  <c r="HE35" i="14"/>
  <c r="HS35" i="14"/>
  <c r="GV35" i="14"/>
  <c r="HN35" i="14"/>
  <c r="GN35" i="14"/>
  <c r="GR35" i="14" s="1"/>
  <c r="F23" i="22" s="1"/>
  <c r="CC29" i="14"/>
  <c r="CT29" i="14"/>
  <c r="CH29" i="14"/>
  <c r="DA29" i="14"/>
  <c r="BZ29" i="14"/>
  <c r="CZ29" i="14"/>
  <c r="DF29" i="14" s="1"/>
  <c r="CI29" i="14"/>
  <c r="CU29" i="14"/>
  <c r="DB29" i="14"/>
  <c r="CG29" i="14"/>
  <c r="CQ29" i="14"/>
  <c r="CB29" i="14"/>
  <c r="CA29" i="14"/>
  <c r="CR29" i="14"/>
  <c r="CS29" i="14"/>
  <c r="DD29" i="14"/>
  <c r="DC29" i="14"/>
  <c r="DE29" i="14"/>
  <c r="CF29" i="14"/>
  <c r="CV29" i="14"/>
  <c r="T58" i="14"/>
  <c r="AS58" i="14"/>
  <c r="AK58" i="14"/>
  <c r="AT58" i="14"/>
  <c r="AO58" i="14"/>
  <c r="Z58" i="14"/>
  <c r="AA58" i="14"/>
  <c r="V58" i="14"/>
  <c r="S58" i="14"/>
  <c r="AN58" i="14"/>
  <c r="AM58" i="14"/>
  <c r="AQ58" i="14" s="1"/>
  <c r="AX58" i="14"/>
  <c r="AU58" i="14"/>
  <c r="AB58" i="14"/>
  <c r="AV58" i="14"/>
  <c r="AL58" i="14"/>
  <c r="AW58" i="14"/>
  <c r="Y58" i="14"/>
  <c r="AC58" i="14" s="1"/>
  <c r="U58" i="14"/>
  <c r="AJ58" i="14"/>
  <c r="AP58" i="14" s="1"/>
  <c r="JC59" i="14"/>
  <c r="JB59" i="14"/>
  <c r="IX59" i="14"/>
  <c r="JD59" i="14"/>
  <c r="JV59" i="14"/>
  <c r="JA59" i="14"/>
  <c r="JE59" i="14" s="1"/>
  <c r="IU59" i="14"/>
  <c r="IV59" i="14"/>
  <c r="JW59" i="14"/>
  <c r="JM59" i="14"/>
  <c r="JL59" i="14"/>
  <c r="JZ59" i="14"/>
  <c r="JO59" i="14"/>
  <c r="JN59" i="14"/>
  <c r="JX59" i="14"/>
  <c r="KB59" i="14" s="1"/>
  <c r="JQ59" i="14"/>
  <c r="JP59" i="14"/>
  <c r="IW59" i="14"/>
  <c r="JY59" i="14"/>
  <c r="JU59" i="14"/>
  <c r="EO64" i="14"/>
  <c r="EJ64" i="14"/>
  <c r="EM64" i="14"/>
  <c r="EP64" i="14"/>
  <c r="EG64" i="14"/>
  <c r="EH64" i="14"/>
  <c r="EI64" i="14"/>
  <c r="FH64" i="14"/>
  <c r="EN64" i="14"/>
  <c r="FB64" i="14"/>
  <c r="FI64" i="14"/>
  <c r="EY64" i="14"/>
  <c r="FA64" i="14"/>
  <c r="FC64" i="14"/>
  <c r="EZ64" i="14"/>
  <c r="FJ64" i="14"/>
  <c r="FL64" i="14"/>
  <c r="EX64" i="14"/>
  <c r="FK64" i="14"/>
  <c r="FG64" i="14"/>
  <c r="FM64" i="14" s="1"/>
  <c r="AL147" i="16"/>
  <c r="AL131" i="16"/>
  <c r="AH152" i="16"/>
  <c r="AH136" i="16"/>
  <c r="I65" i="22"/>
  <c r="J50" i="14"/>
  <c r="K50" i="14" s="1"/>
  <c r="R50" i="14" s="1"/>
  <c r="BQ28" i="14"/>
  <c r="BR28" i="14" s="1"/>
  <c r="BY28" i="14" s="1"/>
  <c r="AU188" i="10"/>
  <c r="AU191" i="10"/>
  <c r="AS187" i="10"/>
  <c r="AS194" i="10"/>
  <c r="J85" i="22"/>
  <c r="BQ70" i="14"/>
  <c r="BR70" i="14" s="1"/>
  <c r="BY70" i="14" s="1"/>
  <c r="IU37" i="14"/>
  <c r="JA37" i="14"/>
  <c r="JB37" i="14"/>
  <c r="IV37" i="14"/>
  <c r="JC37" i="14"/>
  <c r="JD37" i="14"/>
  <c r="IW37" i="14"/>
  <c r="IX37" i="14"/>
  <c r="JY37" i="14"/>
  <c r="JP37" i="14"/>
  <c r="JU37" i="14"/>
  <c r="JZ37" i="14"/>
  <c r="JQ37" i="14"/>
  <c r="JL37" i="14"/>
  <c r="JX37" i="14"/>
  <c r="JM37" i="14"/>
  <c r="JN37" i="14"/>
  <c r="JO37" i="14"/>
  <c r="JS37" i="14" s="1"/>
  <c r="JV37" i="14"/>
  <c r="JW37" i="14"/>
  <c r="IZ36" i="14"/>
  <c r="G53" i="9"/>
  <c r="AX193" i="16"/>
  <c r="AX196" i="16"/>
  <c r="AV192" i="16"/>
  <c r="AV199" i="16"/>
  <c r="D28" i="9"/>
  <c r="CL40" i="14"/>
  <c r="T40" i="14"/>
  <c r="AS40" i="14"/>
  <c r="S40" i="14"/>
  <c r="AO40" i="14"/>
  <c r="AT40" i="14"/>
  <c r="V40" i="14"/>
  <c r="AU40" i="14"/>
  <c r="AX40" i="14"/>
  <c r="AK40" i="14"/>
  <c r="AW40" i="14"/>
  <c r="AN40" i="14"/>
  <c r="Z40" i="14"/>
  <c r="AV40" i="14"/>
  <c r="AZ40" i="14" s="1"/>
  <c r="AM40" i="14"/>
  <c r="AQ40" i="14" s="1"/>
  <c r="AB40" i="14"/>
  <c r="AJ40" i="14"/>
  <c r="AA40" i="14"/>
  <c r="AL40" i="14"/>
  <c r="U40" i="14"/>
  <c r="Y40" i="14"/>
  <c r="GN61" i="14"/>
  <c r="GR61" i="14" s="1"/>
  <c r="L18" i="22" s="1"/>
  <c r="GT61" i="14"/>
  <c r="GX61" i="14" s="1"/>
  <c r="GO61" i="14"/>
  <c r="GU61" i="14"/>
  <c r="GP61" i="14"/>
  <c r="GW61" i="14"/>
  <c r="GQ61" i="14"/>
  <c r="HG61" i="14"/>
  <c r="HJ61" i="14"/>
  <c r="HE61" i="14"/>
  <c r="HK61" i="14" s="1"/>
  <c r="HF61" i="14"/>
  <c r="HQ61" i="14"/>
  <c r="HI61" i="14"/>
  <c r="HN61" i="14"/>
  <c r="HO61" i="14"/>
  <c r="HP61" i="14"/>
  <c r="HH61" i="14"/>
  <c r="HL61" i="14" s="1"/>
  <c r="HS61" i="14"/>
  <c r="HR61" i="14"/>
  <c r="GV61" i="14"/>
  <c r="LK59" i="14"/>
  <c r="MG59" i="14"/>
  <c r="LC59" i="14"/>
  <c r="LU59" i="14"/>
  <c r="LH59" i="14"/>
  <c r="LL59" i="14" s="1"/>
  <c r="LE59" i="14"/>
  <c r="LW59" i="14"/>
  <c r="LJ59" i="14"/>
  <c r="MF59" i="14"/>
  <c r="LV59" i="14"/>
  <c r="MD59" i="14"/>
  <c r="ME59" i="14"/>
  <c r="MI59" i="14" s="1"/>
  <c r="LT59" i="14"/>
  <c r="MB59" i="14"/>
  <c r="MH59" i="14" s="1"/>
  <c r="MJ59" i="14" s="1"/>
  <c r="LB59" i="14"/>
  <c r="LD59" i="14"/>
  <c r="LS59" i="14"/>
  <c r="LI59" i="14"/>
  <c r="MC59" i="14"/>
  <c r="LX59" i="14"/>
  <c r="J75" i="21"/>
  <c r="J15" i="21" s="1"/>
  <c r="DK53" i="14"/>
  <c r="JG40" i="14"/>
  <c r="G28" i="9"/>
  <c r="E68" i="22"/>
  <c r="DX22" i="14"/>
  <c r="DY22" i="14" s="1"/>
  <c r="EF22" i="14" s="1"/>
  <c r="GO19" i="14"/>
  <c r="HH19" i="14"/>
  <c r="HI19" i="14"/>
  <c r="HS19" i="14"/>
  <c r="HO19" i="14"/>
  <c r="HN19" i="14"/>
  <c r="HP19" i="14"/>
  <c r="GV19" i="14"/>
  <c r="HF19" i="14"/>
  <c r="HE19" i="14"/>
  <c r="HQ19" i="14"/>
  <c r="GT19" i="14"/>
  <c r="GN19" i="14"/>
  <c r="GU19" i="14"/>
  <c r="GQ19" i="14"/>
  <c r="GW19" i="14"/>
  <c r="HJ19" i="14"/>
  <c r="HR19" i="14"/>
  <c r="GP19" i="14"/>
  <c r="HG19" i="14"/>
  <c r="AC223" i="16"/>
  <c r="AD222" i="16"/>
  <c r="AF146" i="10"/>
  <c r="AF130" i="19"/>
  <c r="AF130" i="10"/>
  <c r="ME35" i="14"/>
  <c r="MI35" i="14" s="1"/>
  <c r="LT35" i="14"/>
  <c r="LC35" i="14"/>
  <c r="LH35" i="14"/>
  <c r="LX35" i="14"/>
  <c r="MC35" i="14"/>
  <c r="LW35" i="14"/>
  <c r="LB35" i="14"/>
  <c r="LK35" i="14"/>
  <c r="MD35" i="14"/>
  <c r="LJ35" i="14"/>
  <c r="LE35" i="14"/>
  <c r="LS35" i="14"/>
  <c r="MF35" i="14"/>
  <c r="LV35" i="14"/>
  <c r="MG35" i="14"/>
  <c r="LI35" i="14"/>
  <c r="MB35" i="14"/>
  <c r="MH35" i="14" s="1"/>
  <c r="MJ35" i="14" s="1"/>
  <c r="LD35" i="14"/>
  <c r="LU35" i="14"/>
  <c r="N18" i="5"/>
  <c r="AJ147" i="10"/>
  <c r="AJ131" i="19"/>
  <c r="AJ131" i="10"/>
  <c r="GU22" i="14"/>
  <c r="GO22" i="14"/>
  <c r="GT22" i="14"/>
  <c r="GW22" i="14"/>
  <c r="GQ22" i="14"/>
  <c r="GV22" i="14"/>
  <c r="GP22" i="14"/>
  <c r="GN22" i="14"/>
  <c r="HO22" i="14"/>
  <c r="HF22" i="14"/>
  <c r="HP22" i="14"/>
  <c r="HG22" i="14"/>
  <c r="HH22" i="14"/>
  <c r="HN22" i="14"/>
  <c r="HE22" i="14"/>
  <c r="HQ22" i="14"/>
  <c r="HI22" i="14"/>
  <c r="HJ22" i="14"/>
  <c r="HS22" i="14"/>
  <c r="HR22" i="14"/>
  <c r="EM33" i="14"/>
  <c r="EH33" i="14"/>
  <c r="EN33" i="14"/>
  <c r="EI33" i="14"/>
  <c r="EO33" i="14"/>
  <c r="EJ33" i="14"/>
  <c r="EP33" i="14"/>
  <c r="EY33" i="14"/>
  <c r="FA33" i="14"/>
  <c r="EG33" i="14"/>
  <c r="FI33" i="14"/>
  <c r="FK33" i="14"/>
  <c r="FB33" i="14"/>
  <c r="FC33" i="14"/>
  <c r="FL33" i="14"/>
  <c r="FG33" i="14"/>
  <c r="FJ33" i="14"/>
  <c r="EX33" i="14"/>
  <c r="EZ33" i="14"/>
  <c r="FH33" i="14"/>
  <c r="F92" i="21"/>
  <c r="F32" i="21" s="1"/>
  <c r="HY39" i="14"/>
  <c r="H29" i="9"/>
  <c r="LN41" i="14"/>
  <c r="CJ198" i="16"/>
  <c r="CH204" i="16"/>
  <c r="CH197" i="16"/>
  <c r="CJ201" i="16"/>
  <c r="AC249" i="10"/>
  <c r="AG248" i="10"/>
  <c r="CL35" i="14"/>
  <c r="D23" i="9"/>
  <c r="BD28" i="14"/>
  <c r="BE28" i="14" s="1"/>
  <c r="C51" i="21"/>
  <c r="C21" i="21" s="1"/>
  <c r="FC25" i="14"/>
  <c r="EY25" i="14"/>
  <c r="EO25" i="14"/>
  <c r="EN25" i="14"/>
  <c r="FL25" i="14"/>
  <c r="FK25" i="14"/>
  <c r="EZ25" i="14"/>
  <c r="EM25" i="14"/>
  <c r="FA25" i="14"/>
  <c r="FH25" i="14"/>
  <c r="FJ25" i="14"/>
  <c r="EP25" i="14"/>
  <c r="EG25" i="14"/>
  <c r="EK25" i="14" s="1"/>
  <c r="E13" i="22" s="1"/>
  <c r="EH25" i="14"/>
  <c r="EJ25" i="14"/>
  <c r="FB25" i="14"/>
  <c r="FI25" i="14"/>
  <c r="EX25" i="14"/>
  <c r="FD25" i="14" s="1"/>
  <c r="FG25" i="14"/>
  <c r="FM25" i="14" s="1"/>
  <c r="EI25" i="14"/>
  <c r="K37" i="9"/>
  <c r="EL51" i="14"/>
  <c r="M82" i="22"/>
  <c r="IL67" i="14"/>
  <c r="IM67" i="14" s="1"/>
  <c r="IT67" i="14" s="1"/>
  <c r="KE67" i="14"/>
  <c r="H9" i="5"/>
  <c r="CA156" i="10"/>
  <c r="CA173" i="10"/>
  <c r="CB173" i="10"/>
  <c r="CB156" i="10"/>
  <c r="I84" i="22"/>
  <c r="J69" i="14"/>
  <c r="K69" i="14" s="1"/>
  <c r="R69" i="14" s="1"/>
  <c r="D94" i="21"/>
  <c r="D34" i="21" s="1"/>
  <c r="DK41" i="14"/>
  <c r="CE201" i="16"/>
  <c r="CC197" i="16"/>
  <c r="CE198" i="16"/>
  <c r="CC204" i="16"/>
  <c r="AM523" i="10"/>
  <c r="AN522" i="10"/>
  <c r="AO522" i="10" s="1"/>
  <c r="CI203" i="16"/>
  <c r="CG209" i="16"/>
  <c r="CG202" i="16"/>
  <c r="CI206" i="16"/>
  <c r="AE71" i="14"/>
  <c r="I28" i="9"/>
  <c r="AD33" i="14"/>
  <c r="C50" i="22"/>
  <c r="S67" i="14"/>
  <c r="Y67" i="14"/>
  <c r="Z67" i="14"/>
  <c r="T67" i="14"/>
  <c r="U67" i="14"/>
  <c r="V67" i="14"/>
  <c r="AA67" i="14"/>
  <c r="AB67" i="14"/>
  <c r="AW67" i="14"/>
  <c r="AJ67" i="14"/>
  <c r="AX67" i="14"/>
  <c r="AK67" i="14"/>
  <c r="AL67" i="14"/>
  <c r="AS67" i="14"/>
  <c r="AV67" i="14"/>
  <c r="AM67" i="14"/>
  <c r="AU67" i="14"/>
  <c r="AN67" i="14"/>
  <c r="AO67" i="14"/>
  <c r="AT67" i="14"/>
  <c r="BK158" i="16"/>
  <c r="BL175" i="16"/>
  <c r="BK175" i="16"/>
  <c r="CG61" i="14"/>
  <c r="BZ61" i="14"/>
  <c r="CH61" i="14"/>
  <c r="CA61" i="14"/>
  <c r="CB61" i="14"/>
  <c r="CC61" i="14"/>
  <c r="CF61" i="14"/>
  <c r="CI61" i="14"/>
  <c r="CZ61" i="14"/>
  <c r="DA61" i="14"/>
  <c r="CT61" i="14"/>
  <c r="CX61" i="14" s="1"/>
  <c r="DB61" i="14"/>
  <c r="CR61" i="14"/>
  <c r="DC61" i="14"/>
  <c r="DG61" i="14" s="1"/>
  <c r="CU61" i="14"/>
  <c r="CQ61" i="14"/>
  <c r="CV61" i="14"/>
  <c r="DE61" i="14"/>
  <c r="CS61" i="14"/>
  <c r="DD61" i="14"/>
  <c r="E21" i="5"/>
  <c r="CC157" i="16"/>
  <c r="N69" i="22"/>
  <c r="KS54" i="14"/>
  <c r="KT54" i="14" s="1"/>
  <c r="LA54" i="14" s="1"/>
  <c r="C44" i="22"/>
  <c r="AD27" i="14"/>
  <c r="LT56" i="14"/>
  <c r="MC56" i="14"/>
  <c r="LH56" i="14"/>
  <c r="LI56" i="14"/>
  <c r="LJ56" i="14"/>
  <c r="LW56" i="14"/>
  <c r="LS56" i="14"/>
  <c r="MF56" i="14"/>
  <c r="LV56" i="14"/>
  <c r="LZ56" i="14" s="1"/>
  <c r="MB56" i="14"/>
  <c r="LB56" i="14"/>
  <c r="LD56" i="14"/>
  <c r="LC56" i="14"/>
  <c r="LE56" i="14"/>
  <c r="MD56" i="14"/>
  <c r="LU56" i="14"/>
  <c r="ME56" i="14"/>
  <c r="MI56" i="14" s="1"/>
  <c r="LX56" i="14"/>
  <c r="MG56" i="14"/>
  <c r="LK56" i="14"/>
  <c r="LN66" i="14"/>
  <c r="N23" i="9"/>
  <c r="N91" i="21"/>
  <c r="N31" i="21" s="1"/>
  <c r="MM69" i="14"/>
  <c r="I21" i="5"/>
  <c r="N94" i="21"/>
  <c r="N34" i="21" s="1"/>
  <c r="MM72" i="14"/>
  <c r="M65" i="22"/>
  <c r="IL50" i="14"/>
  <c r="IM50" i="14" s="1"/>
  <c r="IT50" i="14" s="1"/>
  <c r="KE50" i="14"/>
  <c r="M83" i="22"/>
  <c r="IL68" i="14"/>
  <c r="IM68" i="14" s="1"/>
  <c r="IT68" i="14" s="1"/>
  <c r="KE68" i="14"/>
  <c r="CA191" i="10"/>
  <c r="BY194" i="10"/>
  <c r="CA188" i="10"/>
  <c r="BY187" i="10"/>
  <c r="AW59" i="14"/>
  <c r="S59" i="14"/>
  <c r="W59" i="14" s="1"/>
  <c r="I16" i="22" s="1"/>
  <c r="AB59" i="14"/>
  <c r="AX59" i="14"/>
  <c r="AV59" i="14"/>
  <c r="U59" i="14"/>
  <c r="T59" i="14"/>
  <c r="AJ59" i="14"/>
  <c r="AA59" i="14"/>
  <c r="V59" i="14"/>
  <c r="AS59" i="14"/>
  <c r="AY59" i="14" s="1"/>
  <c r="AK59" i="14"/>
  <c r="Z59" i="14"/>
  <c r="AM59" i="14"/>
  <c r="AO59" i="14"/>
  <c r="AN59" i="14"/>
  <c r="AL59" i="14"/>
  <c r="Y59" i="14"/>
  <c r="AU59" i="14"/>
  <c r="AT59" i="14"/>
  <c r="AF19" i="14"/>
  <c r="C65" i="9"/>
  <c r="BG19" i="14"/>
  <c r="E93" i="21"/>
  <c r="E33" i="21" s="1"/>
  <c r="FR40" i="14"/>
  <c r="AX192" i="10"/>
  <c r="AX199" i="10"/>
  <c r="LC26" i="14"/>
  <c r="LJ26" i="14"/>
  <c r="MF26" i="14"/>
  <c r="LS26" i="14"/>
  <c r="LK26" i="14"/>
  <c r="LH26" i="14"/>
  <c r="LL26" i="14" s="1"/>
  <c r="LX26" i="14"/>
  <c r="MC26" i="14"/>
  <c r="LD26" i="14"/>
  <c r="MD26" i="14"/>
  <c r="ME26" i="14"/>
  <c r="LE26" i="14"/>
  <c r="MB26" i="14"/>
  <c r="LU26" i="14"/>
  <c r="MG26" i="14"/>
  <c r="LT26" i="14"/>
  <c r="LW26" i="14"/>
  <c r="LB26" i="14"/>
  <c r="LI26" i="14"/>
  <c r="LV26" i="14"/>
  <c r="E86" i="22"/>
  <c r="DX40" i="14"/>
  <c r="DY40" i="14" s="1"/>
  <c r="EF40" i="14" s="1"/>
  <c r="I73" i="21"/>
  <c r="I13" i="21" s="1"/>
  <c r="BD51" i="14"/>
  <c r="M71" i="21"/>
  <c r="M11" i="21" s="1"/>
  <c r="KF49" i="14"/>
  <c r="AF145" i="10"/>
  <c r="AF129" i="19"/>
  <c r="AF129" i="10"/>
  <c r="CG199" i="19"/>
  <c r="CI196" i="19"/>
  <c r="CI193" i="19"/>
  <c r="CG192" i="19"/>
  <c r="CE51" i="14"/>
  <c r="J37" i="9"/>
  <c r="N85" i="22"/>
  <c r="KS70" i="14"/>
  <c r="KT70" i="14" s="1"/>
  <c r="LA70" i="14" s="1"/>
  <c r="AJ142" i="10"/>
  <c r="AJ126" i="19"/>
  <c r="AJ126" i="10"/>
  <c r="GZ38" i="14"/>
  <c r="F26" i="9"/>
  <c r="C50" i="21"/>
  <c r="C20" i="21" s="1"/>
  <c r="BD27" i="14"/>
  <c r="BE27" i="14" s="1"/>
  <c r="BR198" i="19"/>
  <c r="D65" i="22"/>
  <c r="BQ19" i="14"/>
  <c r="BR19" i="14" s="1"/>
  <c r="BY19" i="14" s="1"/>
  <c r="N27" i="9"/>
  <c r="LN70" i="14"/>
  <c r="AL143" i="16"/>
  <c r="AL127" i="16"/>
  <c r="J84" i="22"/>
  <c r="BQ69" i="14"/>
  <c r="BR69" i="14" s="1"/>
  <c r="BY69" i="14" s="1"/>
  <c r="EG24" i="14"/>
  <c r="EX24" i="14"/>
  <c r="FD24" i="14" s="1"/>
  <c r="FA24" i="14"/>
  <c r="FE24" i="14" s="1"/>
  <c r="EP24" i="14"/>
  <c r="EO24" i="14"/>
  <c r="EH24" i="14"/>
  <c r="FL24" i="14"/>
  <c r="EN24" i="14"/>
  <c r="FB24" i="14"/>
  <c r="EZ24" i="14"/>
  <c r="EJ24" i="14"/>
  <c r="FJ24" i="14"/>
  <c r="FG24" i="14"/>
  <c r="FC24" i="14"/>
  <c r="FH24" i="14"/>
  <c r="EY24" i="14"/>
  <c r="EM24" i="14"/>
  <c r="EQ24" i="14" s="1"/>
  <c r="FI24" i="14"/>
  <c r="EI24" i="14"/>
  <c r="FK24" i="14"/>
  <c r="O542" i="10"/>
  <c r="P541" i="10"/>
  <c r="Q541" i="10" s="1"/>
  <c r="BY156" i="16"/>
  <c r="DJ19" i="14"/>
  <c r="AR175" i="10"/>
  <c r="AQ158" i="10"/>
  <c r="AQ175" i="10"/>
  <c r="AR158" i="10"/>
  <c r="CB188" i="10"/>
  <c r="CB191" i="10"/>
  <c r="BZ187" i="10"/>
  <c r="BZ194" i="10"/>
  <c r="BC157" i="19"/>
  <c r="BD174" i="19"/>
  <c r="BC174" i="19"/>
  <c r="CL36" i="14"/>
  <c r="D24" i="9"/>
  <c r="K76" i="21"/>
  <c r="K16" i="21" s="1"/>
  <c r="FR54" i="14"/>
  <c r="CG166" i="10"/>
  <c r="CH166" i="10"/>
  <c r="BQ66" i="14"/>
  <c r="BR66" i="14" s="1"/>
  <c r="BY66" i="14" s="1"/>
  <c r="DJ66" i="14"/>
  <c r="J88" i="21" s="1"/>
  <c r="BH175" i="19"/>
  <c r="BG158" i="19"/>
  <c r="BG175" i="19"/>
  <c r="BC184" i="10"/>
  <c r="BD184" i="10"/>
  <c r="BC183" i="10"/>
  <c r="BD182" i="10"/>
  <c r="BC181" i="10"/>
  <c r="BD181" i="10"/>
  <c r="BD183" i="10"/>
  <c r="BC182" i="10"/>
  <c r="C45" i="22"/>
  <c r="AD28" i="14"/>
  <c r="J5" i="5"/>
  <c r="IU61" i="14"/>
  <c r="JC61" i="14"/>
  <c r="JD61" i="14"/>
  <c r="IV61" i="14"/>
  <c r="IW61" i="14"/>
  <c r="IX61" i="14"/>
  <c r="JZ61" i="14"/>
  <c r="JA61" i="14"/>
  <c r="JU61" i="14"/>
  <c r="JB61" i="14"/>
  <c r="JW61" i="14"/>
  <c r="JO61" i="14"/>
  <c r="JS61" i="14" s="1"/>
  <c r="JN61" i="14"/>
  <c r="JM61" i="14"/>
  <c r="JP61" i="14"/>
  <c r="JV61" i="14"/>
  <c r="JQ61" i="14"/>
  <c r="JL61" i="14"/>
  <c r="JX61" i="14"/>
  <c r="JY61" i="14"/>
  <c r="K66" i="22"/>
  <c r="DX51" i="14"/>
  <c r="DY51" i="14" s="1"/>
  <c r="EF51" i="14" s="1"/>
  <c r="AF151" i="10"/>
  <c r="AF135" i="19"/>
  <c r="AF135" i="10"/>
  <c r="G19" i="5"/>
  <c r="DX28" i="14"/>
  <c r="DY28" i="14" s="1"/>
  <c r="EF28" i="14" s="1"/>
  <c r="FQ28" i="14"/>
  <c r="E81" i="21" s="1"/>
  <c r="LH62" i="14"/>
  <c r="LL62" i="14" s="1"/>
  <c r="LC62" i="14"/>
  <c r="LB62" i="14"/>
  <c r="LE62" i="14"/>
  <c r="LI62" i="14"/>
  <c r="LJ62" i="14"/>
  <c r="LK62" i="14"/>
  <c r="LD62" i="14"/>
  <c r="LW62" i="14"/>
  <c r="LU62" i="14"/>
  <c r="MF62" i="14"/>
  <c r="MB62" i="14"/>
  <c r="LV62" i="14"/>
  <c r="MG62" i="14"/>
  <c r="MC62" i="14"/>
  <c r="ME62" i="14"/>
  <c r="MI62" i="14" s="1"/>
  <c r="LX62" i="14"/>
  <c r="MD62" i="14"/>
  <c r="LT62" i="14"/>
  <c r="LS62" i="14"/>
  <c r="LY62" i="14" s="1"/>
  <c r="BZ193" i="10"/>
  <c r="BX192" i="10"/>
  <c r="BZ196" i="10"/>
  <c r="BX199" i="10"/>
  <c r="FK55" i="14"/>
  <c r="EZ55" i="14"/>
  <c r="FJ55" i="14"/>
  <c r="EO55" i="14"/>
  <c r="EN55" i="14"/>
  <c r="FC55" i="14"/>
  <c r="FL55" i="14"/>
  <c r="FA55" i="14"/>
  <c r="EJ55" i="14"/>
  <c r="EY55" i="14"/>
  <c r="EX55" i="14"/>
  <c r="EP55" i="14"/>
  <c r="FG55" i="14"/>
  <c r="EH55" i="14"/>
  <c r="FH55" i="14"/>
  <c r="EM55" i="14"/>
  <c r="EQ55" i="14" s="1"/>
  <c r="FB55" i="14"/>
  <c r="EI55" i="14"/>
  <c r="FI55" i="14"/>
  <c r="EG55" i="14"/>
  <c r="BH183" i="19"/>
  <c r="BG183" i="19"/>
  <c r="BG184" i="19"/>
  <c r="BH181" i="19"/>
  <c r="BH184" i="19"/>
  <c r="BG181" i="19"/>
  <c r="BH182" i="19"/>
  <c r="BG182" i="19"/>
  <c r="I505" i="10"/>
  <c r="J504" i="10"/>
  <c r="K504" i="10" s="1"/>
  <c r="CF192" i="10"/>
  <c r="CH193" i="10"/>
  <c r="CH196" i="10"/>
  <c r="CF199" i="10"/>
  <c r="I26" i="5"/>
  <c r="Y35" i="14"/>
  <c r="S35" i="14"/>
  <c r="Z35" i="14"/>
  <c r="T35" i="14"/>
  <c r="AA35" i="14"/>
  <c r="U35" i="14"/>
  <c r="AB35" i="14"/>
  <c r="V35" i="14"/>
  <c r="AL35" i="14"/>
  <c r="AV35" i="14"/>
  <c r="AM35" i="14"/>
  <c r="AW35" i="14"/>
  <c r="AN35" i="14"/>
  <c r="AS35" i="14"/>
  <c r="AY35" i="14" s="1"/>
  <c r="AT35" i="14"/>
  <c r="AJ35" i="14"/>
  <c r="AU35" i="14"/>
  <c r="AX35" i="14"/>
  <c r="AK35" i="14"/>
  <c r="AO35" i="14"/>
  <c r="C41" i="22"/>
  <c r="AD24" i="14"/>
  <c r="L94" i="21"/>
  <c r="L34" i="21" s="1"/>
  <c r="HY72" i="14"/>
  <c r="K68" i="22"/>
  <c r="DX53" i="14"/>
  <c r="DY53" i="14" s="1"/>
  <c r="EF53" i="14" s="1"/>
  <c r="FQ53" i="14"/>
  <c r="IL26" i="14"/>
  <c r="IM26" i="14" s="1"/>
  <c r="IT26" i="14" s="1"/>
  <c r="KE26" i="14"/>
  <c r="G79" i="21" s="1"/>
  <c r="BC175" i="16"/>
  <c r="BD175" i="16"/>
  <c r="BC158" i="16"/>
  <c r="AL143" i="10"/>
  <c r="AL127" i="10"/>
  <c r="AL127" i="19"/>
  <c r="AO197" i="10"/>
  <c r="AQ201" i="10"/>
  <c r="AQ198" i="10"/>
  <c r="AO204" i="10"/>
  <c r="AT198" i="19"/>
  <c r="AR197" i="19"/>
  <c r="AR204" i="19"/>
  <c r="AT201" i="19"/>
  <c r="C72" i="23"/>
  <c r="BI23" i="14"/>
  <c r="C12" i="23" s="1"/>
  <c r="LN21" i="14"/>
  <c r="H9" i="9"/>
  <c r="BY176" i="16"/>
  <c r="BZ176" i="16"/>
  <c r="BZ159" i="16"/>
  <c r="BN194" i="16"/>
  <c r="BM194" i="16"/>
  <c r="BM192" i="16"/>
  <c r="BN192" i="16"/>
  <c r="J25" i="5"/>
  <c r="AD144" i="10"/>
  <c r="AD128" i="10"/>
  <c r="AD128" i="19"/>
  <c r="AB141" i="16"/>
  <c r="AB125" i="16"/>
  <c r="BP173" i="10"/>
  <c r="BO173" i="10"/>
  <c r="BM182" i="10" s="1"/>
  <c r="BO156" i="10"/>
  <c r="G21" i="5"/>
  <c r="BG159" i="16"/>
  <c r="BG176" i="16"/>
  <c r="BH176" i="16"/>
  <c r="AH144" i="16"/>
  <c r="AH128" i="16"/>
  <c r="D84" i="22"/>
  <c r="BQ38" i="14"/>
  <c r="BR38" i="14" s="1"/>
  <c r="BY38" i="14" s="1"/>
  <c r="I85" i="22"/>
  <c r="J70" i="14"/>
  <c r="K70" i="14" s="1"/>
  <c r="R70" i="14" s="1"/>
  <c r="BC70" i="14"/>
  <c r="BW192" i="10"/>
  <c r="BY193" i="10"/>
  <c r="BY196" i="10"/>
  <c r="BW199" i="10"/>
  <c r="M8" i="9"/>
  <c r="JG51" i="14"/>
  <c r="BH183" i="10"/>
  <c r="BH181" i="10"/>
  <c r="BH182" i="10"/>
  <c r="BG181" i="10"/>
  <c r="BG182" i="10"/>
  <c r="BH184" i="10"/>
  <c r="BG184" i="10"/>
  <c r="BG183" i="10"/>
  <c r="AH147" i="16"/>
  <c r="AH155" i="16" s="1"/>
  <c r="AH131" i="16"/>
  <c r="IL25" i="14"/>
  <c r="IM25" i="14" s="1"/>
  <c r="IT25" i="14" s="1"/>
  <c r="KE25" i="14"/>
  <c r="G78" i="21" s="1"/>
  <c r="BE197" i="10"/>
  <c r="N57" i="9"/>
  <c r="LG71" i="14"/>
  <c r="I7" i="5"/>
  <c r="IW57" i="14"/>
  <c r="JW57" i="14"/>
  <c r="JU57" i="14"/>
  <c r="JP57" i="14"/>
  <c r="JN57" i="14"/>
  <c r="JZ57" i="14"/>
  <c r="JQ57" i="14"/>
  <c r="JV57" i="14"/>
  <c r="JY57" i="14"/>
  <c r="JC57" i="14"/>
  <c r="JB57" i="14"/>
  <c r="JA57" i="14"/>
  <c r="JO57" i="14"/>
  <c r="IU57" i="14"/>
  <c r="IX57" i="14"/>
  <c r="JX57" i="14"/>
  <c r="KB57" i="14" s="1"/>
  <c r="JD57" i="14"/>
  <c r="JM57" i="14"/>
  <c r="IV57" i="14"/>
  <c r="JL57" i="14"/>
  <c r="AL64" i="14"/>
  <c r="AW64" i="14"/>
  <c r="AM64" i="14"/>
  <c r="AN64" i="14"/>
  <c r="AK64" i="14"/>
  <c r="AV64" i="14"/>
  <c r="T64" i="14"/>
  <c r="AB64" i="14"/>
  <c r="AS64" i="14"/>
  <c r="AO64" i="14"/>
  <c r="Y64" i="14"/>
  <c r="V64" i="14"/>
  <c r="AU64" i="14"/>
  <c r="AJ64" i="14"/>
  <c r="U64" i="14"/>
  <c r="AA64" i="14"/>
  <c r="S64" i="14"/>
  <c r="AT64" i="14"/>
  <c r="Z64" i="14"/>
  <c r="AX64" i="14"/>
  <c r="L67" i="22"/>
  <c r="GE52" i="14"/>
  <c r="GF52" i="14" s="1"/>
  <c r="GM52" i="14" s="1"/>
  <c r="HE27" i="14"/>
  <c r="HQ27" i="14"/>
  <c r="GO27" i="14"/>
  <c r="GV27" i="14"/>
  <c r="HO27" i="14"/>
  <c r="HR27" i="14"/>
  <c r="HN27" i="14"/>
  <c r="GN27" i="14"/>
  <c r="GP27" i="14"/>
  <c r="HI27" i="14"/>
  <c r="HS27" i="14"/>
  <c r="GT27" i="14"/>
  <c r="GX27" i="14" s="1"/>
  <c r="HP27" i="14"/>
  <c r="HF27" i="14"/>
  <c r="GQ27" i="14"/>
  <c r="HJ27" i="14"/>
  <c r="HG27" i="14"/>
  <c r="GU27" i="14"/>
  <c r="HH27" i="14"/>
  <c r="HL27" i="14" s="1"/>
  <c r="GW27" i="14"/>
  <c r="BN197" i="19"/>
  <c r="CB201" i="16"/>
  <c r="CB198" i="16"/>
  <c r="BZ197" i="16"/>
  <c r="BZ204" i="16"/>
  <c r="AO166" i="16"/>
  <c r="AP166" i="16"/>
  <c r="I28" i="5"/>
  <c r="I8" i="5"/>
  <c r="AL150" i="16"/>
  <c r="AL134" i="16"/>
  <c r="I86" i="22"/>
  <c r="J71" i="14"/>
  <c r="K71" i="14" s="1"/>
  <c r="R71" i="14" s="1"/>
  <c r="BC71" i="14"/>
  <c r="AG552" i="10"/>
  <c r="AH551" i="10"/>
  <c r="AI551" i="10" s="1"/>
  <c r="AT209" i="16"/>
  <c r="AV206" i="16"/>
  <c r="AT202" i="16"/>
  <c r="AV203" i="16"/>
  <c r="N66" i="22"/>
  <c r="KS51" i="14"/>
  <c r="KT51" i="14" s="1"/>
  <c r="LA51" i="14" s="1"/>
  <c r="E84" i="22"/>
  <c r="DX38" i="14"/>
  <c r="DY38" i="14" s="1"/>
  <c r="EF38" i="14" s="1"/>
  <c r="FQ38" i="14"/>
  <c r="C52" i="21"/>
  <c r="C22" i="21" s="1"/>
  <c r="BD29" i="14"/>
  <c r="BE29" i="14" s="1"/>
  <c r="GE65" i="14"/>
  <c r="GF65" i="14" s="1"/>
  <c r="GM65" i="14" s="1"/>
  <c r="HX65" i="14"/>
  <c r="L87" i="21" s="1"/>
  <c r="M35" i="9"/>
  <c r="IZ49" i="14"/>
  <c r="E35" i="9"/>
  <c r="EL18" i="14"/>
  <c r="AD148" i="16"/>
  <c r="AD132" i="16"/>
  <c r="K87" i="22"/>
  <c r="DX72" i="14"/>
  <c r="DY72" i="14" s="1"/>
  <c r="EF72" i="14" s="1"/>
  <c r="FQ72" i="14"/>
  <c r="ES54" i="14"/>
  <c r="K11" i="9"/>
  <c r="CE204" i="19"/>
  <c r="CG201" i="19"/>
  <c r="CG198" i="19"/>
  <c r="CE197" i="19"/>
  <c r="H6" i="5"/>
  <c r="AL144" i="10"/>
  <c r="AL128" i="10"/>
  <c r="AL128" i="19"/>
  <c r="AL141" i="10"/>
  <c r="AL125" i="19"/>
  <c r="AL125" i="10"/>
  <c r="IZ66" i="14"/>
  <c r="M52" i="9"/>
  <c r="AW196" i="16"/>
  <c r="AU199" i="16"/>
  <c r="AU192" i="16"/>
  <c r="AW193" i="16"/>
  <c r="BF183" i="19"/>
  <c r="BE184" i="19"/>
  <c r="BF181" i="19"/>
  <c r="BF182" i="19"/>
  <c r="BE182" i="19"/>
  <c r="BF184" i="19"/>
  <c r="BE181" i="19"/>
  <c r="BE183" i="19"/>
  <c r="BE33" i="14"/>
  <c r="BJ182" i="19"/>
  <c r="BJ183" i="19"/>
  <c r="BJ184" i="19"/>
  <c r="BI183" i="19"/>
  <c r="BI182" i="19"/>
  <c r="BI181" i="19"/>
  <c r="BI184" i="19"/>
  <c r="BJ181" i="19"/>
  <c r="GE56" i="14"/>
  <c r="GF56" i="14" s="1"/>
  <c r="GM56" i="14" s="1"/>
  <c r="LN37" i="14"/>
  <c r="H25" i="9"/>
  <c r="BD187" i="16"/>
  <c r="BC188" i="16"/>
  <c r="BC186" i="16"/>
  <c r="BD188" i="16"/>
  <c r="BD186" i="16"/>
  <c r="BC187" i="16"/>
  <c r="BC189" i="16"/>
  <c r="BD189" i="16"/>
  <c r="KS32" i="14"/>
  <c r="KT32" i="14" s="1"/>
  <c r="LA32" i="14" s="1"/>
  <c r="ML32" i="14"/>
  <c r="H85" i="21" s="1"/>
  <c r="LN38" i="14"/>
  <c r="H26" i="9"/>
  <c r="C74" i="21"/>
  <c r="C14" i="21" s="1"/>
  <c r="BD21" i="14"/>
  <c r="K84" i="22"/>
  <c r="DX69" i="14"/>
  <c r="DY69" i="14" s="1"/>
  <c r="EF69" i="14" s="1"/>
  <c r="LN51" i="14"/>
  <c r="N8" i="9"/>
  <c r="K6" i="9"/>
  <c r="ES49" i="14"/>
  <c r="BU158" i="16"/>
  <c r="BU175" i="16"/>
  <c r="BS192" i="16" s="1"/>
  <c r="BV175" i="16"/>
  <c r="BV193" i="16" s="1"/>
  <c r="AU199" i="10"/>
  <c r="AW196" i="10"/>
  <c r="AW193" i="10"/>
  <c r="AU192" i="10"/>
  <c r="AR197" i="16"/>
  <c r="AT198" i="16"/>
  <c r="AT201" i="16"/>
  <c r="AR204" i="16"/>
  <c r="M25" i="9"/>
  <c r="JG68" i="14"/>
  <c r="BJ197" i="16"/>
  <c r="BI197" i="16"/>
  <c r="BI199" i="16"/>
  <c r="BJ199" i="16"/>
  <c r="BT197" i="10"/>
  <c r="X31" i="14"/>
  <c r="C48" i="9"/>
  <c r="CD203" i="16"/>
  <c r="CD206" i="16"/>
  <c r="CB209" i="16"/>
  <c r="CB202" i="16"/>
  <c r="AW158" i="19"/>
  <c r="AW175" i="19"/>
  <c r="AX175" i="19"/>
  <c r="AX158" i="19"/>
  <c r="D37" i="9"/>
  <c r="CE20" i="14"/>
  <c r="G85" i="22"/>
  <c r="IL39" i="14"/>
  <c r="IM39" i="14" s="1"/>
  <c r="IT39" i="14" s="1"/>
  <c r="EN57" i="14"/>
  <c r="FC57" i="14"/>
  <c r="FL57" i="14"/>
  <c r="FK57" i="14"/>
  <c r="EO57" i="14"/>
  <c r="FJ57" i="14"/>
  <c r="FN57" i="14" s="1"/>
  <c r="FA57" i="14"/>
  <c r="FE57" i="14" s="1"/>
  <c r="EH57" i="14"/>
  <c r="EM57" i="14"/>
  <c r="EP57" i="14"/>
  <c r="EI57" i="14"/>
  <c r="FB57" i="14"/>
  <c r="FG57" i="14"/>
  <c r="FM57" i="14" s="1"/>
  <c r="EG57" i="14"/>
  <c r="EJ57" i="14"/>
  <c r="EX57" i="14"/>
  <c r="FD57" i="14" s="1"/>
  <c r="EY57" i="14"/>
  <c r="FH57" i="14"/>
  <c r="FI57" i="14"/>
  <c r="EZ57" i="14"/>
  <c r="CF175" i="10"/>
  <c r="CE158" i="10"/>
  <c r="CE175" i="10"/>
  <c r="CF158" i="10"/>
  <c r="CB204" i="10"/>
  <c r="CD201" i="10"/>
  <c r="CD198" i="10"/>
  <c r="CB197" i="10"/>
  <c r="E54" i="9"/>
  <c r="EL37" i="14"/>
  <c r="AP193" i="10"/>
  <c r="AP196" i="10"/>
  <c r="J23" i="5"/>
  <c r="AJ153" i="16"/>
  <c r="AJ137" i="16"/>
  <c r="J15" i="5"/>
  <c r="CC166" i="16"/>
  <c r="CD166" i="16"/>
  <c r="BP192" i="16"/>
  <c r="BO192" i="16"/>
  <c r="BO191" i="16"/>
  <c r="BP191" i="16"/>
  <c r="BO193" i="16"/>
  <c r="BP193" i="16"/>
  <c r="FA66" i="14"/>
  <c r="FE66" i="14" s="1"/>
  <c r="FJ66" i="14"/>
  <c r="FN66" i="14" s="1"/>
  <c r="EG66" i="14"/>
  <c r="FC66" i="14"/>
  <c r="FL66" i="14"/>
  <c r="FB66" i="14"/>
  <c r="FG66" i="14"/>
  <c r="EM66" i="14"/>
  <c r="FH66" i="14"/>
  <c r="EH66" i="14"/>
  <c r="EI66" i="14"/>
  <c r="FI66" i="14"/>
  <c r="EJ66" i="14"/>
  <c r="EX66" i="14"/>
  <c r="EN66" i="14"/>
  <c r="EY66" i="14"/>
  <c r="EO66" i="14"/>
  <c r="EZ66" i="14"/>
  <c r="EP66" i="14"/>
  <c r="FK66" i="14"/>
  <c r="EO35" i="14"/>
  <c r="EH35" i="14"/>
  <c r="FH35" i="14"/>
  <c r="EM35" i="14"/>
  <c r="FA35" i="14"/>
  <c r="FE35" i="14" s="1"/>
  <c r="FI35" i="14"/>
  <c r="EN35" i="14"/>
  <c r="FB35" i="14"/>
  <c r="EP35" i="14"/>
  <c r="FC35" i="14"/>
  <c r="FJ35" i="14"/>
  <c r="EX35" i="14"/>
  <c r="FK35" i="14"/>
  <c r="EY35" i="14"/>
  <c r="FL35" i="14"/>
  <c r="EZ35" i="14"/>
  <c r="FG35" i="14"/>
  <c r="EG35" i="14"/>
  <c r="EJ35" i="14"/>
  <c r="EI35" i="14"/>
  <c r="AE221" i="16"/>
  <c r="AH221" i="16" s="1"/>
  <c r="AG221" i="16"/>
  <c r="GZ18" i="14"/>
  <c r="F6" i="9"/>
  <c r="AF150" i="10"/>
  <c r="AF134" i="19"/>
  <c r="AF134" i="10"/>
  <c r="D86" i="22"/>
  <c r="BQ40" i="14"/>
  <c r="BR40" i="14" s="1"/>
  <c r="BY40" i="14" s="1"/>
  <c r="EN34" i="14"/>
  <c r="EG34" i="14"/>
  <c r="EM34" i="14"/>
  <c r="EH34" i="14"/>
  <c r="EO34" i="14"/>
  <c r="EI34" i="14"/>
  <c r="EP34" i="14"/>
  <c r="EJ34" i="14"/>
  <c r="EY34" i="14"/>
  <c r="EX34" i="14"/>
  <c r="FB34" i="14"/>
  <c r="FG34" i="14"/>
  <c r="FC34" i="14"/>
  <c r="FA34" i="14"/>
  <c r="FE34" i="14" s="1"/>
  <c r="FK34" i="14"/>
  <c r="FJ34" i="14"/>
  <c r="FN34" i="14" s="1"/>
  <c r="FI34" i="14"/>
  <c r="EZ34" i="14"/>
  <c r="FL34" i="14"/>
  <c r="FH34" i="14"/>
  <c r="AD141" i="10"/>
  <c r="AD125" i="10"/>
  <c r="AD125" i="19"/>
  <c r="AA545" i="10"/>
  <c r="AB544" i="10"/>
  <c r="AC544" i="10" s="1"/>
  <c r="AB143" i="16"/>
  <c r="AB127" i="16"/>
  <c r="N20" i="5"/>
  <c r="AZ194" i="16"/>
  <c r="AZ191" i="16"/>
  <c r="AY192" i="16"/>
  <c r="AZ193" i="16"/>
  <c r="AZ192" i="16"/>
  <c r="AY193" i="16"/>
  <c r="AY191" i="16"/>
  <c r="AY194" i="16"/>
  <c r="G24" i="5"/>
  <c r="AJ141" i="10"/>
  <c r="AJ125" i="19"/>
  <c r="AJ125" i="10"/>
  <c r="AB153" i="10"/>
  <c r="AB137" i="19"/>
  <c r="AB137" i="10"/>
  <c r="H84" i="22"/>
  <c r="KS38" i="14"/>
  <c r="KT38" i="14" s="1"/>
  <c r="LA38" i="14" s="1"/>
  <c r="ML38" i="14"/>
  <c r="AC195" i="19"/>
  <c r="AD194" i="19"/>
  <c r="AW197" i="19"/>
  <c r="AW204" i="19"/>
  <c r="AW169" i="10"/>
  <c r="AX169" i="10"/>
  <c r="AQ158" i="16"/>
  <c r="AQ175" i="16"/>
  <c r="AR175" i="16"/>
  <c r="AR158" i="16"/>
  <c r="ML54" i="14"/>
  <c r="AD25" i="14"/>
  <c r="C42" i="22"/>
  <c r="BO173" i="16"/>
  <c r="BO156" i="16"/>
  <c r="BP173" i="16"/>
  <c r="D87" i="22"/>
  <c r="BQ41" i="14"/>
  <c r="BR41" i="14" s="1"/>
  <c r="BY41" i="14" s="1"/>
  <c r="CD199" i="19"/>
  <c r="CD192" i="19"/>
  <c r="CF196" i="19"/>
  <c r="CF193" i="19"/>
  <c r="CG199" i="10"/>
  <c r="CG192" i="10"/>
  <c r="CI196" i="10"/>
  <c r="CI193" i="10"/>
  <c r="JN60" i="14"/>
  <c r="JB60" i="14"/>
  <c r="JX60" i="14"/>
  <c r="JD60" i="14"/>
  <c r="JM60" i="14"/>
  <c r="JU60" i="14"/>
  <c r="JQ60" i="14"/>
  <c r="JA60" i="14"/>
  <c r="JE60" i="14" s="1"/>
  <c r="IU60" i="14"/>
  <c r="IY60" i="14" s="1"/>
  <c r="M17" i="22" s="1"/>
  <c r="JW60" i="14"/>
  <c r="IX60" i="14"/>
  <c r="JO60" i="14"/>
  <c r="JC60" i="14"/>
  <c r="JL60" i="14"/>
  <c r="JP60" i="14"/>
  <c r="IV60" i="14"/>
  <c r="JV60" i="14"/>
  <c r="IW60" i="14"/>
  <c r="JZ60" i="14"/>
  <c r="JY60" i="14"/>
  <c r="LN67" i="14"/>
  <c r="N24" i="9"/>
  <c r="BQ192" i="16"/>
  <c r="BR191" i="16"/>
  <c r="BR193" i="16"/>
  <c r="BQ193" i="16"/>
  <c r="DJ40" i="14"/>
  <c r="M85" i="22"/>
  <c r="IL70" i="14"/>
  <c r="IM70" i="14" s="1"/>
  <c r="IT70" i="14" s="1"/>
  <c r="KE70" i="14"/>
  <c r="IL33" i="14"/>
  <c r="IM33" i="14" s="1"/>
  <c r="IT33" i="14" s="1"/>
  <c r="BY166" i="16"/>
  <c r="BZ166" i="16"/>
  <c r="AE39" i="14"/>
  <c r="C27" i="9"/>
  <c r="E94" i="21"/>
  <c r="E34" i="21" s="1"/>
  <c r="FR41" i="14"/>
  <c r="KS57" i="14"/>
  <c r="KT57" i="14" s="1"/>
  <c r="LA57" i="14" s="1"/>
  <c r="C28" i="9"/>
  <c r="AE40" i="14"/>
  <c r="AE52" i="14"/>
  <c r="I9" i="9"/>
  <c r="CH159" i="16"/>
  <c r="CG175" i="16" s="1"/>
  <c r="LN39" i="14"/>
  <c r="H27" i="9"/>
  <c r="JB34" i="14"/>
  <c r="JL34" i="14"/>
  <c r="JO34" i="14"/>
  <c r="JD34" i="14"/>
  <c r="JA34" i="14"/>
  <c r="JE34" i="14" s="1"/>
  <c r="JV34" i="14"/>
  <c r="JN34" i="14"/>
  <c r="JX34" i="14"/>
  <c r="JZ34" i="14"/>
  <c r="JM34" i="14"/>
  <c r="JQ34" i="14"/>
  <c r="JP34" i="14"/>
  <c r="JU34" i="14"/>
  <c r="IU34" i="14"/>
  <c r="IY34" i="14" s="1"/>
  <c r="G22" i="22" s="1"/>
  <c r="JW34" i="14"/>
  <c r="IV34" i="14"/>
  <c r="JC34" i="14"/>
  <c r="IX34" i="14"/>
  <c r="JY34" i="14"/>
  <c r="IW34" i="14"/>
  <c r="N39" i="9"/>
  <c r="LG53" i="14"/>
  <c r="AV176" i="16"/>
  <c r="AV159" i="16"/>
  <c r="AU176" i="16"/>
  <c r="K86" i="22"/>
  <c r="DX71" i="14"/>
  <c r="DY71" i="14" s="1"/>
  <c r="EF71" i="14" s="1"/>
  <c r="K64" i="22"/>
  <c r="DX49" i="14"/>
  <c r="DY49" i="14" s="1"/>
  <c r="EF49" i="14" s="1"/>
  <c r="GP67" i="14"/>
  <c r="GO67" i="14"/>
  <c r="GT67" i="14"/>
  <c r="HO67" i="14"/>
  <c r="HF67" i="14"/>
  <c r="HP67" i="14"/>
  <c r="HE67" i="14"/>
  <c r="HK67" i="14" s="1"/>
  <c r="GV67" i="14"/>
  <c r="HI67" i="14"/>
  <c r="HG67" i="14"/>
  <c r="GW67" i="14"/>
  <c r="HH67" i="14"/>
  <c r="HN67" i="14"/>
  <c r="HR67" i="14"/>
  <c r="HQ67" i="14"/>
  <c r="HU67" i="14" s="1"/>
  <c r="GU67" i="14"/>
  <c r="GQ67" i="14"/>
  <c r="GN67" i="14"/>
  <c r="HS67" i="14"/>
  <c r="HJ67" i="14"/>
  <c r="BU157" i="19"/>
  <c r="BU174" i="19"/>
  <c r="BV174" i="19"/>
  <c r="J91" i="21"/>
  <c r="J31" i="21" s="1"/>
  <c r="DK69" i="14"/>
  <c r="BP196" i="16"/>
  <c r="BP197" i="16"/>
  <c r="BO199" i="16"/>
  <c r="BP199" i="16"/>
  <c r="BP198" i="16"/>
  <c r="BO198" i="16"/>
  <c r="BO196" i="16"/>
  <c r="BO197" i="16"/>
  <c r="BP183" i="10"/>
  <c r="CD197" i="16"/>
  <c r="CF198" i="16"/>
  <c r="CD204" i="16"/>
  <c r="CF201" i="16"/>
  <c r="CD159" i="16"/>
  <c r="CC176" i="16"/>
  <c r="CD176" i="16"/>
  <c r="G35" i="9"/>
  <c r="IZ18" i="14"/>
  <c r="CI64" i="14"/>
  <c r="CH64" i="14"/>
  <c r="BZ64" i="14"/>
  <c r="CA64" i="14"/>
  <c r="CG64" i="14"/>
  <c r="CZ64" i="14"/>
  <c r="CB64" i="14"/>
  <c r="CC64" i="14"/>
  <c r="DB64" i="14"/>
  <c r="CS64" i="14"/>
  <c r="DD64" i="14"/>
  <c r="CQ64" i="14"/>
  <c r="CW64" i="14" s="1"/>
  <c r="CV64" i="14"/>
  <c r="CU64" i="14"/>
  <c r="DA64" i="14"/>
  <c r="CF64" i="14"/>
  <c r="CT64" i="14"/>
  <c r="DC64" i="14"/>
  <c r="CR64" i="14"/>
  <c r="DE64" i="14"/>
  <c r="AJ149" i="16"/>
  <c r="AJ133" i="16"/>
  <c r="F84" i="22"/>
  <c r="GE38" i="14"/>
  <c r="GF38" i="14" s="1"/>
  <c r="GM38" i="14" s="1"/>
  <c r="CE202" i="16"/>
  <c r="CE209" i="16"/>
  <c r="CG206" i="16"/>
  <c r="CG203" i="16"/>
  <c r="K72" i="21"/>
  <c r="K12" i="21" s="1"/>
  <c r="FR50" i="14"/>
  <c r="BR197" i="10"/>
  <c r="AD153" i="10"/>
  <c r="AD137" i="10"/>
  <c r="AD137" i="19"/>
  <c r="AF155" i="16"/>
  <c r="E69" i="22"/>
  <c r="DX23" i="14"/>
  <c r="DY23" i="14" s="1"/>
  <c r="EF23" i="14" s="1"/>
  <c r="FQ23" i="14"/>
  <c r="M86" i="22"/>
  <c r="IL71" i="14"/>
  <c r="IM71" i="14" s="1"/>
  <c r="IT71" i="14" s="1"/>
  <c r="IZ20" i="14"/>
  <c r="G37" i="9"/>
  <c r="MC23" i="14"/>
  <c r="LK23" i="14"/>
  <c r="LD23" i="14"/>
  <c r="MF23" i="14"/>
  <c r="LB23" i="14"/>
  <c r="LF23" i="14" s="1"/>
  <c r="H11" i="22" s="1"/>
  <c r="MB23" i="14"/>
  <c r="LE23" i="14"/>
  <c r="MD23" i="14"/>
  <c r="LV23" i="14"/>
  <c r="LH23" i="14"/>
  <c r="LW23" i="14"/>
  <c r="ME23" i="14"/>
  <c r="MI23" i="14" s="1"/>
  <c r="LT23" i="14"/>
  <c r="LU23" i="14"/>
  <c r="LX23" i="14"/>
  <c r="MG23" i="14"/>
  <c r="LC23" i="14"/>
  <c r="LI23" i="14"/>
  <c r="LS23" i="14"/>
  <c r="LJ23" i="14"/>
  <c r="M67" i="22"/>
  <c r="IL52" i="14"/>
  <c r="IM52" i="14" s="1"/>
  <c r="IT52" i="14" s="1"/>
  <c r="CI157" i="10"/>
  <c r="CJ174" i="10"/>
  <c r="CI174" i="10"/>
  <c r="CL69" i="14"/>
  <c r="J26" i="9"/>
  <c r="AW166" i="16"/>
  <c r="AX166" i="16"/>
  <c r="AZ189" i="16"/>
  <c r="AY189" i="16"/>
  <c r="AZ187" i="16"/>
  <c r="AZ186" i="16"/>
  <c r="AY186" i="16"/>
  <c r="AY187" i="16"/>
  <c r="AY188" i="16"/>
  <c r="AZ188" i="16"/>
  <c r="I26" i="9"/>
  <c r="AE69" i="14"/>
  <c r="K26" i="9"/>
  <c r="ES69" i="14"/>
  <c r="LN54" i="14"/>
  <c r="N11" i="9"/>
  <c r="X67" i="14"/>
  <c r="I53" i="9"/>
  <c r="EI19" i="14"/>
  <c r="FB19" i="14"/>
  <c r="EH19" i="14"/>
  <c r="EN19" i="14"/>
  <c r="FL19" i="14"/>
  <c r="EG19" i="14"/>
  <c r="EZ19" i="14"/>
  <c r="FH19" i="14"/>
  <c r="EY19" i="14"/>
  <c r="EJ19" i="14"/>
  <c r="FG19" i="14"/>
  <c r="EP19" i="14"/>
  <c r="FA19" i="14"/>
  <c r="FE19" i="14" s="1"/>
  <c r="EO19" i="14"/>
  <c r="FJ19" i="14"/>
  <c r="FN19" i="14" s="1"/>
  <c r="EM19" i="14"/>
  <c r="EX19" i="14"/>
  <c r="FK19" i="14"/>
  <c r="FC19" i="14"/>
  <c r="FI19" i="14"/>
  <c r="AH150" i="16"/>
  <c r="AH134" i="16"/>
  <c r="BY166" i="19"/>
  <c r="BZ166" i="19"/>
  <c r="F71" i="21"/>
  <c r="F11" i="21" s="1"/>
  <c r="HY18" i="14"/>
  <c r="CG158" i="19"/>
  <c r="CG175" i="19"/>
  <c r="CH175" i="19"/>
  <c r="CH158" i="19"/>
  <c r="AX209" i="16"/>
  <c r="AX202" i="16"/>
  <c r="AE49" i="14"/>
  <c r="I6" i="9"/>
  <c r="BT173" i="19"/>
  <c r="BS156" i="19"/>
  <c r="BS173" i="19"/>
  <c r="F64" i="22"/>
  <c r="GE18" i="14"/>
  <c r="GF18" i="14" s="1"/>
  <c r="GM18" i="14" s="1"/>
  <c r="AJ148" i="16"/>
  <c r="AJ132" i="16"/>
  <c r="AA523" i="10"/>
  <c r="AB522" i="10"/>
  <c r="AC522" i="10" s="1"/>
  <c r="LU19" i="14"/>
  <c r="LV19" i="14"/>
  <c r="LZ19" i="14" s="1"/>
  <c r="LT19" i="14"/>
  <c r="LE19" i="14"/>
  <c r="LI19" i="14"/>
  <c r="LS19" i="14"/>
  <c r="MD19" i="14"/>
  <c r="MG19" i="14"/>
  <c r="ME19" i="14"/>
  <c r="LJ19" i="14"/>
  <c r="LC19" i="14"/>
  <c r="LH19" i="14"/>
  <c r="MF19" i="14"/>
  <c r="MC19" i="14"/>
  <c r="LW19" i="14"/>
  <c r="LX19" i="14"/>
  <c r="LB19" i="14"/>
  <c r="LD19" i="14"/>
  <c r="MB19" i="14"/>
  <c r="MH19" i="14" s="1"/>
  <c r="LK19" i="14"/>
  <c r="E83" i="22"/>
  <c r="DX37" i="14"/>
  <c r="DY37" i="14" s="1"/>
  <c r="EF37" i="14" s="1"/>
  <c r="FQ37" i="14"/>
  <c r="JP35" i="14"/>
  <c r="IV35" i="14"/>
  <c r="JC35" i="14"/>
  <c r="IX35" i="14"/>
  <c r="JN35" i="14"/>
  <c r="JX35" i="14"/>
  <c r="KB35" i="14" s="1"/>
  <c r="JA35" i="14"/>
  <c r="JD35" i="14"/>
  <c r="JY35" i="14"/>
  <c r="JB35" i="14"/>
  <c r="IU35" i="14"/>
  <c r="JU35" i="14"/>
  <c r="KA35" i="14" s="1"/>
  <c r="IW35" i="14"/>
  <c r="JM35" i="14"/>
  <c r="JV35" i="14"/>
  <c r="JQ35" i="14"/>
  <c r="JO35" i="14"/>
  <c r="JS35" i="14" s="1"/>
  <c r="JL35" i="14"/>
  <c r="JW35" i="14"/>
  <c r="JZ35" i="14"/>
  <c r="AF141" i="10"/>
  <c r="AF125" i="19"/>
  <c r="AF125" i="10"/>
  <c r="BW201" i="10"/>
  <c r="BW198" i="10"/>
  <c r="H85" i="22"/>
  <c r="KS39" i="14"/>
  <c r="KT39" i="14" s="1"/>
  <c r="LA39" i="14" s="1"/>
  <c r="AD149" i="10"/>
  <c r="AD133" i="19"/>
  <c r="AD133" i="10"/>
  <c r="AB146" i="16"/>
  <c r="AB130" i="16"/>
  <c r="GS21" i="14"/>
  <c r="F38" i="9"/>
  <c r="AJ145" i="10"/>
  <c r="AJ129" i="10"/>
  <c r="AJ129" i="19"/>
  <c r="K83" i="22"/>
  <c r="DX68" i="14"/>
  <c r="DY68" i="14" s="1"/>
  <c r="EF68" i="14" s="1"/>
  <c r="J66" i="14"/>
  <c r="K66" i="14" s="1"/>
  <c r="R66" i="14" s="1"/>
  <c r="BC66" i="14"/>
  <c r="I88" i="21" s="1"/>
  <c r="BH187" i="16"/>
  <c r="BG187" i="16"/>
  <c r="BG186" i="16"/>
  <c r="BH188" i="16"/>
  <c r="BG188" i="16"/>
  <c r="BH189" i="16"/>
  <c r="BH186" i="16"/>
  <c r="BG189" i="16"/>
  <c r="BA34" i="14"/>
  <c r="C47" i="21"/>
  <c r="C17" i="21" s="1"/>
  <c r="BD24" i="14"/>
  <c r="BE24" i="14" s="1"/>
  <c r="AB150" i="10"/>
  <c r="AB155" i="10" s="1"/>
  <c r="AB134" i="10"/>
  <c r="AB134" i="19"/>
  <c r="CJ175" i="16"/>
  <c r="CI175" i="16"/>
  <c r="CI158" i="16"/>
  <c r="CJ158" i="16"/>
  <c r="GE31" i="14"/>
  <c r="GF31" i="14" s="1"/>
  <c r="GM31" i="14" s="1"/>
  <c r="BU193" i="16"/>
  <c r="BE175" i="16"/>
  <c r="BF175" i="16"/>
  <c r="BE158" i="16"/>
  <c r="LN68" i="14"/>
  <c r="N25" i="9"/>
  <c r="JG50" i="14"/>
  <c r="M7" i="9"/>
  <c r="GZ20" i="14"/>
  <c r="F8" i="9"/>
  <c r="BM197" i="19"/>
  <c r="ES19" i="14"/>
  <c r="E7" i="9"/>
  <c r="G74" i="21"/>
  <c r="G14" i="21" s="1"/>
  <c r="KF21" i="14"/>
  <c r="AW202" i="16"/>
  <c r="AW209" i="16"/>
  <c r="AL145" i="10"/>
  <c r="AL129" i="19"/>
  <c r="AL129" i="10"/>
  <c r="D36" i="9"/>
  <c r="CE19" i="14"/>
  <c r="AQ170" i="10"/>
  <c r="AR170" i="10"/>
  <c r="AR201" i="10"/>
  <c r="AR198" i="10"/>
  <c r="AP197" i="10"/>
  <c r="AP204" i="10"/>
  <c r="BS193" i="16"/>
  <c r="BT193" i="16"/>
  <c r="DB49" i="14"/>
  <c r="BZ49" i="14"/>
  <c r="CB49" i="14"/>
  <c r="DA49" i="14"/>
  <c r="CU49" i="14"/>
  <c r="CA49" i="14"/>
  <c r="CQ49" i="14"/>
  <c r="CS49" i="14"/>
  <c r="CZ49" i="14"/>
  <c r="CC49" i="14"/>
  <c r="CF49" i="14"/>
  <c r="CT49" i="14"/>
  <c r="CG49" i="14"/>
  <c r="DE49" i="14"/>
  <c r="CH49" i="14"/>
  <c r="DD49" i="14"/>
  <c r="CR49" i="14"/>
  <c r="CV49" i="14"/>
  <c r="DC49" i="14"/>
  <c r="DG49" i="14" s="1"/>
  <c r="CI49" i="14"/>
  <c r="CC175" i="19"/>
  <c r="CC158" i="19"/>
  <c r="CD175" i="19"/>
  <c r="CD158" i="19"/>
  <c r="AX166" i="19"/>
  <c r="AW166" i="19"/>
  <c r="AR33" i="14"/>
  <c r="C52" i="23" s="1"/>
  <c r="J13" i="5"/>
  <c r="DX32" i="14"/>
  <c r="DY32" i="14" s="1"/>
  <c r="EF32" i="14" s="1"/>
  <c r="FQ32" i="14"/>
  <c r="E85" i="21" s="1"/>
  <c r="BW158" i="10"/>
  <c r="BX175" i="10"/>
  <c r="BW175" i="10"/>
  <c r="BX158" i="10"/>
  <c r="AD143" i="10"/>
  <c r="AD127" i="10"/>
  <c r="AD127" i="19"/>
  <c r="BF197" i="19"/>
  <c r="CB36" i="14"/>
  <c r="DC36" i="14"/>
  <c r="CS36" i="14"/>
  <c r="DA36" i="14"/>
  <c r="BZ36" i="14"/>
  <c r="CV36" i="14"/>
  <c r="DE36" i="14"/>
  <c r="CF36" i="14"/>
  <c r="CG36" i="14"/>
  <c r="CA36" i="14"/>
  <c r="DB36" i="14"/>
  <c r="CQ36" i="14"/>
  <c r="CU36" i="14"/>
  <c r="CR36" i="14"/>
  <c r="DD36" i="14"/>
  <c r="CC36" i="14"/>
  <c r="CH36" i="14"/>
  <c r="CZ36" i="14"/>
  <c r="CT36" i="14"/>
  <c r="CI36" i="14"/>
  <c r="F67" i="22"/>
  <c r="GE21" i="14"/>
  <c r="GF21" i="14" s="1"/>
  <c r="GM21" i="14" s="1"/>
  <c r="AQ203" i="16"/>
  <c r="AO209" i="16"/>
  <c r="AO202" i="16"/>
  <c r="AQ206" i="16"/>
  <c r="CG197" i="16"/>
  <c r="CG204" i="16"/>
  <c r="CI201" i="16"/>
  <c r="CI198" i="16"/>
  <c r="CG196" i="10"/>
  <c r="CE199" i="10"/>
  <c r="CG193" i="10"/>
  <c r="CE192" i="10"/>
  <c r="N67" i="22"/>
  <c r="KS52" i="14"/>
  <c r="KT52" i="14" s="1"/>
  <c r="LA52" i="14" s="1"/>
  <c r="GE55" i="14"/>
  <c r="GF55" i="14" s="1"/>
  <c r="GM55" i="14" s="1"/>
  <c r="HX55" i="14"/>
  <c r="L77" i="21" s="1"/>
  <c r="M76" i="21"/>
  <c r="M16" i="21" s="1"/>
  <c r="KF54" i="14"/>
  <c r="D54" i="9"/>
  <c r="CE37" i="14"/>
  <c r="GN50" i="14"/>
  <c r="HP50" i="14"/>
  <c r="HN50" i="14"/>
  <c r="HT50" i="14" s="1"/>
  <c r="HI50" i="14"/>
  <c r="HE50" i="14"/>
  <c r="HQ50" i="14"/>
  <c r="GT50" i="14"/>
  <c r="HO50" i="14"/>
  <c r="HJ50" i="14"/>
  <c r="GW50" i="14"/>
  <c r="GU50" i="14"/>
  <c r="GQ50" i="14"/>
  <c r="GP50" i="14"/>
  <c r="HG50" i="14"/>
  <c r="HR50" i="14"/>
  <c r="HH50" i="14"/>
  <c r="HS50" i="14"/>
  <c r="GV50" i="14"/>
  <c r="HF50" i="14"/>
  <c r="GO50" i="14"/>
  <c r="D68" i="22"/>
  <c r="BQ22" i="14"/>
  <c r="BR22" i="14" s="1"/>
  <c r="BY22" i="14" s="1"/>
  <c r="D27" i="9"/>
  <c r="CL39" i="14"/>
  <c r="AL146" i="10"/>
  <c r="AL130" i="10"/>
  <c r="AL130" i="19"/>
  <c r="BK193" i="16"/>
  <c r="BL193" i="16"/>
  <c r="AD30" i="14"/>
  <c r="AR30" i="14" s="1"/>
  <c r="C49" i="23" s="1"/>
  <c r="C47" i="22"/>
  <c r="D91" i="21"/>
  <c r="D31" i="21" s="1"/>
  <c r="DK38" i="14"/>
  <c r="AW192" i="10"/>
  <c r="AW199" i="10"/>
  <c r="BX202" i="16"/>
  <c r="BZ206" i="16"/>
  <c r="BZ203" i="16"/>
  <c r="BX209" i="16"/>
  <c r="L29" i="9"/>
  <c r="GZ72" i="14"/>
  <c r="EL40" i="14"/>
  <c r="E57" i="9"/>
  <c r="AF153" i="10"/>
  <c r="AF137" i="19"/>
  <c r="AF137" i="10"/>
  <c r="D17" i="5"/>
  <c r="BC50" i="14"/>
  <c r="LN22" i="14"/>
  <c r="H10" i="9"/>
  <c r="L83" i="22"/>
  <c r="GE68" i="14"/>
  <c r="GF68" i="14" s="1"/>
  <c r="GM68" i="14" s="1"/>
  <c r="C10" i="9"/>
  <c r="AE22" i="14"/>
  <c r="L74" i="21"/>
  <c r="L14" i="21" s="1"/>
  <c r="HY52" i="14"/>
  <c r="E8" i="9"/>
  <c r="ES20" i="14"/>
  <c r="LN50" i="14"/>
  <c r="N7" i="9"/>
  <c r="I87" i="22"/>
  <c r="J72" i="14"/>
  <c r="K72" i="14" s="1"/>
  <c r="R72" i="14" s="1"/>
  <c r="BC72" i="14"/>
  <c r="GS66" i="14"/>
  <c r="L52" i="9"/>
  <c r="IZ53" i="14"/>
  <c r="M39" i="9"/>
  <c r="IZ54" i="14"/>
  <c r="M40" i="9"/>
  <c r="K24" i="9"/>
  <c r="ES67" i="14"/>
  <c r="JA30" i="14"/>
  <c r="IV30" i="14"/>
  <c r="IU30" i="14"/>
  <c r="IW30" i="14"/>
  <c r="JB30" i="14"/>
  <c r="IX30" i="14"/>
  <c r="JQ30" i="14"/>
  <c r="JO30" i="14"/>
  <c r="JN30" i="14"/>
  <c r="JU30" i="14"/>
  <c r="JW30" i="14"/>
  <c r="JM30" i="14"/>
  <c r="JX30" i="14"/>
  <c r="KB30" i="14" s="1"/>
  <c r="JC30" i="14"/>
  <c r="JL30" i="14"/>
  <c r="JD30" i="14"/>
  <c r="JP30" i="14"/>
  <c r="JZ30" i="14"/>
  <c r="JY30" i="14"/>
  <c r="JV30" i="14"/>
  <c r="AL149" i="10"/>
  <c r="AL133" i="19"/>
  <c r="AL133" i="10"/>
  <c r="H89" i="21"/>
  <c r="H29" i="21" s="1"/>
  <c r="MM36" i="14"/>
  <c r="DJ70" i="14"/>
  <c r="BJ183" i="10"/>
  <c r="BJ182" i="10"/>
  <c r="BI182" i="10"/>
  <c r="BI184" i="10"/>
  <c r="BI183" i="10"/>
  <c r="BI181" i="10"/>
  <c r="BJ184" i="10"/>
  <c r="BJ181" i="10"/>
  <c r="N89" i="21"/>
  <c r="N29" i="21" s="1"/>
  <c r="MM67" i="14"/>
  <c r="GN60" i="14"/>
  <c r="GP60" i="14"/>
  <c r="HN60" i="14"/>
  <c r="HI60" i="14"/>
  <c r="HP60" i="14"/>
  <c r="GQ60" i="14"/>
  <c r="GV60" i="14"/>
  <c r="HO60" i="14"/>
  <c r="GO60" i="14"/>
  <c r="HQ60" i="14"/>
  <c r="HU60" i="14" s="1"/>
  <c r="HS60" i="14"/>
  <c r="HH60" i="14"/>
  <c r="GT60" i="14"/>
  <c r="GW60" i="14"/>
  <c r="HJ60" i="14"/>
  <c r="HR60" i="14"/>
  <c r="HF60" i="14"/>
  <c r="GU60" i="14"/>
  <c r="HG60" i="14"/>
  <c r="HE60" i="14"/>
  <c r="V21" i="14"/>
  <c r="AW21" i="14"/>
  <c r="AV21" i="14"/>
  <c r="AZ21" i="14" s="1"/>
  <c r="AT21" i="14"/>
  <c r="AO21" i="14"/>
  <c r="AM21" i="14"/>
  <c r="AQ21" i="14" s="1"/>
  <c r="AX21" i="14"/>
  <c r="AB21" i="14"/>
  <c r="T21" i="14"/>
  <c r="AU21" i="14"/>
  <c r="AS21" i="14"/>
  <c r="AL21" i="14"/>
  <c r="U21" i="14"/>
  <c r="AA21" i="14"/>
  <c r="AN21" i="14"/>
  <c r="Z21" i="14"/>
  <c r="Y21" i="14"/>
  <c r="AK21" i="14"/>
  <c r="S21" i="14"/>
  <c r="AJ21" i="14"/>
  <c r="AP21" i="14" s="1"/>
  <c r="GT33" i="14"/>
  <c r="GU33" i="14"/>
  <c r="GN33" i="14"/>
  <c r="GV33" i="14"/>
  <c r="GO33" i="14"/>
  <c r="GW33" i="14"/>
  <c r="HN33" i="14"/>
  <c r="HP33" i="14"/>
  <c r="HO33" i="14"/>
  <c r="HE33" i="14"/>
  <c r="HK33" i="14" s="1"/>
  <c r="HJ33" i="14"/>
  <c r="HQ33" i="14"/>
  <c r="HH33" i="14"/>
  <c r="HL33" i="14" s="1"/>
  <c r="HR33" i="14"/>
  <c r="GP33" i="14"/>
  <c r="HG33" i="14"/>
  <c r="HF33" i="14"/>
  <c r="HS33" i="14"/>
  <c r="HI33" i="14"/>
  <c r="GQ33" i="14"/>
  <c r="O520" i="10"/>
  <c r="P519" i="10"/>
  <c r="Q519" i="10" s="1"/>
  <c r="E82" i="22"/>
  <c r="DX36" i="14"/>
  <c r="DY36" i="14" s="1"/>
  <c r="EF36" i="14" s="1"/>
  <c r="FQ36" i="14"/>
  <c r="CD175" i="10"/>
  <c r="CC175" i="10"/>
  <c r="CD158" i="10"/>
  <c r="CC158" i="10"/>
  <c r="AH143" i="16"/>
  <c r="AH127" i="16"/>
  <c r="J71" i="21"/>
  <c r="J11" i="21" s="1"/>
  <c r="DK49" i="14"/>
  <c r="AB145" i="16"/>
  <c r="AB129" i="16"/>
  <c r="AI220" i="16"/>
  <c r="AF278" i="16" s="1"/>
  <c r="AE278" i="16" s="1"/>
  <c r="AJ220" i="16"/>
  <c r="AH278" i="16" s="1"/>
  <c r="L91" i="21"/>
  <c r="L31" i="21" s="1"/>
  <c r="HY69" i="14"/>
  <c r="ES22" i="14"/>
  <c r="E10" i="9"/>
  <c r="IU62" i="14"/>
  <c r="IY62" i="14" s="1"/>
  <c r="M19" i="22" s="1"/>
  <c r="IW62" i="14"/>
  <c r="IX62" i="14"/>
  <c r="JA62" i="14"/>
  <c r="JP62" i="14"/>
  <c r="JY62" i="14"/>
  <c r="JQ62" i="14"/>
  <c r="JZ62" i="14"/>
  <c r="JV62" i="14"/>
  <c r="JB62" i="14"/>
  <c r="JM62" i="14"/>
  <c r="JL62" i="14"/>
  <c r="JR62" i="14" s="1"/>
  <c r="JW62" i="14"/>
  <c r="JO62" i="14"/>
  <c r="JC62" i="14"/>
  <c r="JD62" i="14"/>
  <c r="JU62" i="14"/>
  <c r="KA62" i="14" s="1"/>
  <c r="JN62" i="14"/>
  <c r="IV62" i="14"/>
  <c r="JX62" i="14"/>
  <c r="EZ60" i="14"/>
  <c r="FK60" i="14"/>
  <c r="EI60" i="14"/>
  <c r="EX60" i="14"/>
  <c r="FD60" i="14" s="1"/>
  <c r="EG60" i="14"/>
  <c r="FH60" i="14"/>
  <c r="FA60" i="14"/>
  <c r="FI60" i="14"/>
  <c r="FB60" i="14"/>
  <c r="FL60" i="14"/>
  <c r="FG60" i="14"/>
  <c r="FM60" i="14" s="1"/>
  <c r="EO60" i="14"/>
  <c r="EH60" i="14"/>
  <c r="EM60" i="14"/>
  <c r="FJ60" i="14"/>
  <c r="FC60" i="14"/>
  <c r="EP60" i="14"/>
  <c r="EY60" i="14"/>
  <c r="EJ60" i="14"/>
  <c r="EN60" i="14"/>
  <c r="CE157" i="19"/>
  <c r="CF174" i="19"/>
  <c r="CE174" i="19"/>
  <c r="CF157" i="19"/>
  <c r="LU33" i="14"/>
  <c r="LW33" i="14"/>
  <c r="LS33" i="14"/>
  <c r="LX33" i="14"/>
  <c r="LB33" i="14"/>
  <c r="LF33" i="14" s="1"/>
  <c r="H21" i="22" s="1"/>
  <c r="MF33" i="14"/>
  <c r="LC33" i="14"/>
  <c r="MD33" i="14"/>
  <c r="MC33" i="14"/>
  <c r="MB33" i="14"/>
  <c r="MH33" i="14" s="1"/>
  <c r="LI33" i="14"/>
  <c r="LE33" i="14"/>
  <c r="LH33" i="14"/>
  <c r="LL33" i="14" s="1"/>
  <c r="LJ33" i="14"/>
  <c r="MG33" i="14"/>
  <c r="LV33" i="14"/>
  <c r="ME33" i="14"/>
  <c r="LK33" i="14"/>
  <c r="LT33" i="14"/>
  <c r="LD33" i="14"/>
  <c r="J65" i="22"/>
  <c r="BQ50" i="14"/>
  <c r="BR50" i="14" s="1"/>
  <c r="BY50" i="14" s="1"/>
  <c r="DJ28" i="14"/>
  <c r="D81" i="21" s="1"/>
  <c r="BB181" i="10"/>
  <c r="BB182" i="10"/>
  <c r="BA183" i="10"/>
  <c r="BB183" i="10"/>
  <c r="BB184" i="10"/>
  <c r="BA181" i="10"/>
  <c r="BA184" i="10"/>
  <c r="BA182" i="10"/>
  <c r="AU169" i="10"/>
  <c r="AV169" i="10"/>
  <c r="GO70" i="14"/>
  <c r="GQ70" i="14"/>
  <c r="HN70" i="14"/>
  <c r="HR70" i="14"/>
  <c r="GP70" i="14"/>
  <c r="HE70" i="14"/>
  <c r="GV70" i="14"/>
  <c r="HP70" i="14"/>
  <c r="GT70" i="14"/>
  <c r="GU70" i="14"/>
  <c r="GW70" i="14"/>
  <c r="HO70" i="14"/>
  <c r="HS70" i="14"/>
  <c r="GN70" i="14"/>
  <c r="HQ70" i="14"/>
  <c r="HH70" i="14"/>
  <c r="HF70" i="14"/>
  <c r="HJ70" i="14"/>
  <c r="HI70" i="14"/>
  <c r="HG70" i="14"/>
  <c r="AT187" i="10"/>
  <c r="AT194" i="10"/>
  <c r="AV188" i="10"/>
  <c r="AV191" i="10"/>
  <c r="G65" i="22"/>
  <c r="IL19" i="14"/>
  <c r="IM19" i="14" s="1"/>
  <c r="IT19" i="14" s="1"/>
  <c r="KE19" i="14"/>
  <c r="AW157" i="16"/>
  <c r="AW174" i="16"/>
  <c r="AX174" i="16"/>
  <c r="AX157" i="16"/>
  <c r="EL23" i="14"/>
  <c r="E40" i="9"/>
  <c r="GE26" i="14"/>
  <c r="GF26" i="14" s="1"/>
  <c r="GM26" i="14" s="1"/>
  <c r="CC169" i="19"/>
  <c r="CD169" i="19"/>
  <c r="BX196" i="19"/>
  <c r="BX193" i="19"/>
  <c r="G87" i="22"/>
  <c r="IL41" i="14"/>
  <c r="IM41" i="14" s="1"/>
  <c r="IT41" i="14" s="1"/>
  <c r="KE41" i="14"/>
  <c r="CD197" i="10"/>
  <c r="CF201" i="10"/>
  <c r="CD204" i="10"/>
  <c r="CF198" i="10"/>
  <c r="AO166" i="19"/>
  <c r="AP166" i="19"/>
  <c r="BL173" i="10"/>
  <c r="BK156" i="10"/>
  <c r="BK173" i="10"/>
  <c r="CV59" i="14"/>
  <c r="CT59" i="14"/>
  <c r="CB59" i="14"/>
  <c r="CZ59" i="14"/>
  <c r="DF59" i="14" s="1"/>
  <c r="CQ59" i="14"/>
  <c r="CU59" i="14"/>
  <c r="DE59" i="14"/>
  <c r="CC59" i="14"/>
  <c r="DD59" i="14"/>
  <c r="CF59" i="14"/>
  <c r="BZ59" i="14"/>
  <c r="CG59" i="14"/>
  <c r="CS59" i="14"/>
  <c r="CI59" i="14"/>
  <c r="DC59" i="14"/>
  <c r="CA59" i="14"/>
  <c r="CR59" i="14"/>
  <c r="DA59" i="14"/>
  <c r="DB59" i="14"/>
  <c r="CH59" i="14"/>
  <c r="E66" i="22"/>
  <c r="DX20" i="14"/>
  <c r="DY20" i="14" s="1"/>
  <c r="EF20" i="14" s="1"/>
  <c r="FQ20" i="14"/>
  <c r="AC250" i="19"/>
  <c r="AG249" i="19"/>
  <c r="Z62" i="14"/>
  <c r="U62" i="14"/>
  <c r="S62" i="14"/>
  <c r="AA62" i="14"/>
  <c r="AB62" i="14"/>
  <c r="T62" i="14"/>
  <c r="V62" i="14"/>
  <c r="AK62" i="14"/>
  <c r="AM62" i="14"/>
  <c r="AT62" i="14"/>
  <c r="AS62" i="14"/>
  <c r="AW62" i="14"/>
  <c r="AJ62" i="14"/>
  <c r="AL62" i="14"/>
  <c r="AV62" i="14"/>
  <c r="AZ62" i="14" s="1"/>
  <c r="AU62" i="14"/>
  <c r="AN62" i="14"/>
  <c r="Y62" i="14"/>
  <c r="AO62" i="14"/>
  <c r="AX62" i="14"/>
  <c r="G92" i="21"/>
  <c r="G32" i="21" s="1"/>
  <c r="KF39" i="14"/>
  <c r="BU197" i="10"/>
  <c r="X34" i="14"/>
  <c r="C51" i="9"/>
  <c r="L7" i="9"/>
  <c r="GZ50" i="14"/>
  <c r="BQ157" i="16"/>
  <c r="BQ174" i="16"/>
  <c r="BO194" i="16" s="1"/>
  <c r="BR174" i="16"/>
  <c r="BP194" i="16" s="1"/>
  <c r="BO158" i="19"/>
  <c r="BP175" i="19"/>
  <c r="BO175" i="19"/>
  <c r="G82" i="22"/>
  <c r="IL36" i="14"/>
  <c r="IM36" i="14" s="1"/>
  <c r="IT36" i="14" s="1"/>
  <c r="KE36" i="14"/>
  <c r="N92" i="21"/>
  <c r="N32" i="21" s="1"/>
  <c r="MM70" i="14"/>
  <c r="GS52" i="14"/>
  <c r="L38" i="9"/>
  <c r="K58" i="9"/>
  <c r="EL72" i="14"/>
  <c r="BE159" i="10"/>
  <c r="BF176" i="10"/>
  <c r="BF198" i="10" s="1"/>
  <c r="BE176" i="10"/>
  <c r="BE198" i="10" s="1"/>
  <c r="H27" i="5"/>
  <c r="E9" i="9"/>
  <c r="ES21" i="14"/>
  <c r="CG158" i="16"/>
  <c r="CE158" i="16"/>
  <c r="CF175" i="16"/>
  <c r="CE175" i="16"/>
  <c r="CF158" i="16"/>
  <c r="E85" i="22"/>
  <c r="DX39" i="14"/>
  <c r="DY39" i="14" s="1"/>
  <c r="EF39" i="14" s="1"/>
  <c r="FQ39" i="14"/>
  <c r="I67" i="22"/>
  <c r="J52" i="14"/>
  <c r="K52" i="14" s="1"/>
  <c r="R52" i="14" s="1"/>
  <c r="BC52" i="14"/>
  <c r="I71" i="21"/>
  <c r="I11" i="21" s="1"/>
  <c r="BD49" i="14"/>
  <c r="IZ21" i="14"/>
  <c r="G38" i="9"/>
  <c r="AJ141" i="16"/>
  <c r="AJ125" i="16"/>
  <c r="BN176" i="16"/>
  <c r="BM159" i="16"/>
  <c r="BM176" i="16"/>
  <c r="EL35" i="14"/>
  <c r="E52" i="9"/>
  <c r="E18" i="5"/>
  <c r="AJ149" i="10"/>
  <c r="AJ133" i="10"/>
  <c r="AJ133" i="19"/>
  <c r="AI192" i="19"/>
  <c r="AF250" i="19" s="1"/>
  <c r="AE250" i="19" s="1"/>
  <c r="AJ192" i="19"/>
  <c r="AH250" i="19" s="1"/>
  <c r="K28" i="9"/>
  <c r="ES71" i="14"/>
  <c r="BD32" i="14"/>
  <c r="BE32" i="14" s="1"/>
  <c r="C55" i="21"/>
  <c r="C25" i="21" s="1"/>
  <c r="L84" i="22"/>
  <c r="GE69" i="14"/>
  <c r="GF69" i="14" s="1"/>
  <c r="GM69" i="14" s="1"/>
  <c r="BY157" i="10"/>
  <c r="BZ174" i="10"/>
  <c r="BY174" i="10"/>
  <c r="BZ157" i="10"/>
  <c r="L6" i="9"/>
  <c r="GZ49" i="14"/>
  <c r="F94" i="21"/>
  <c r="F34" i="21" s="1"/>
  <c r="HY41" i="14"/>
  <c r="Z19" i="14"/>
  <c r="AV19" i="14"/>
  <c r="AK19" i="14"/>
  <c r="AN19" i="14"/>
  <c r="AL19" i="14"/>
  <c r="Y19" i="14"/>
  <c r="AA19" i="14"/>
  <c r="U19" i="14"/>
  <c r="S19" i="14"/>
  <c r="T19" i="14"/>
  <c r="AX19" i="14"/>
  <c r="AO19" i="14"/>
  <c r="AB19" i="14"/>
  <c r="AT19" i="14"/>
  <c r="AM19" i="14"/>
  <c r="V19" i="14"/>
  <c r="AU19" i="14"/>
  <c r="AS19" i="14"/>
  <c r="AY19" i="14" s="1"/>
  <c r="AW19" i="14"/>
  <c r="AJ19" i="14"/>
  <c r="BB193" i="16"/>
  <c r="BA191" i="16"/>
  <c r="BA194" i="16"/>
  <c r="BA193" i="16"/>
  <c r="BB194" i="16"/>
  <c r="BB192" i="16"/>
  <c r="BB191" i="16"/>
  <c r="BA192" i="16"/>
  <c r="H11" i="5"/>
  <c r="AG522" i="10"/>
  <c r="AH521" i="10"/>
  <c r="AI521" i="10" s="1"/>
  <c r="BZ181" i="19"/>
  <c r="BX184" i="19"/>
  <c r="CG176" i="16"/>
  <c r="BV199" i="19"/>
  <c r="JD58" i="14"/>
  <c r="JQ58" i="14"/>
  <c r="JX58" i="14"/>
  <c r="IU58" i="14"/>
  <c r="IV58" i="14"/>
  <c r="JY58" i="14"/>
  <c r="JZ58" i="14"/>
  <c r="JL58" i="14"/>
  <c r="JR58" i="14" s="1"/>
  <c r="JN58" i="14"/>
  <c r="JB58" i="14"/>
  <c r="JU58" i="14"/>
  <c r="JM58" i="14"/>
  <c r="JO58" i="14"/>
  <c r="IX58" i="14"/>
  <c r="JP58" i="14"/>
  <c r="JW58" i="14"/>
  <c r="JC58" i="14"/>
  <c r="JV58" i="14"/>
  <c r="JA58" i="14"/>
  <c r="JE58" i="14" s="1"/>
  <c r="IW58" i="14"/>
  <c r="H68" i="22"/>
  <c r="KS22" i="14"/>
  <c r="KT22" i="14" s="1"/>
  <c r="LA22" i="14" s="1"/>
  <c r="BM158" i="19"/>
  <c r="BN175" i="19"/>
  <c r="BM175" i="19"/>
  <c r="BX198" i="10"/>
  <c r="BX201" i="10"/>
  <c r="AD145" i="10"/>
  <c r="AD129" i="19"/>
  <c r="AD129" i="10"/>
  <c r="N16" i="5"/>
  <c r="AM540" i="10"/>
  <c r="AN539" i="10"/>
  <c r="AO539" i="10" s="1"/>
  <c r="G20" i="5"/>
  <c r="L28" i="9"/>
  <c r="GZ71" i="14"/>
  <c r="BC158" i="10"/>
  <c r="BD175" i="10"/>
  <c r="BC175" i="10"/>
  <c r="BX206" i="16"/>
  <c r="BX203" i="16"/>
  <c r="AR32" i="14"/>
  <c r="C51" i="23" s="1"/>
  <c r="BB174" i="16"/>
  <c r="BA174" i="16"/>
  <c r="BA157" i="16"/>
  <c r="I8" i="9"/>
  <c r="AE51" i="14"/>
  <c r="CS60" i="14"/>
  <c r="CA60" i="14"/>
  <c r="CT60" i="14"/>
  <c r="DB60" i="14"/>
  <c r="DA60" i="14"/>
  <c r="CI60" i="14"/>
  <c r="CU60" i="14"/>
  <c r="DE60" i="14"/>
  <c r="CB60" i="14"/>
  <c r="CR60" i="14"/>
  <c r="CQ60" i="14"/>
  <c r="CF60" i="14"/>
  <c r="BZ60" i="14"/>
  <c r="CC60" i="14"/>
  <c r="DD60" i="14"/>
  <c r="CV60" i="14"/>
  <c r="DC60" i="14"/>
  <c r="DG60" i="14" s="1"/>
  <c r="CZ60" i="14"/>
  <c r="CH60" i="14"/>
  <c r="CG60" i="14"/>
  <c r="K7" i="9"/>
  <c r="ES50" i="14"/>
  <c r="AQ166" i="19"/>
  <c r="AR166" i="19"/>
  <c r="D83" i="22"/>
  <c r="BQ37" i="14"/>
  <c r="BR37" i="14" s="1"/>
  <c r="BY37" i="14" s="1"/>
  <c r="DJ37" i="14"/>
  <c r="AL146" i="16"/>
  <c r="AL130" i="16"/>
  <c r="J93" i="21"/>
  <c r="J33" i="21" s="1"/>
  <c r="DK71" i="14"/>
  <c r="D81" i="22"/>
  <c r="BQ35" i="14"/>
  <c r="BR35" i="14" s="1"/>
  <c r="BY35" i="14" s="1"/>
  <c r="FQ22" i="14"/>
  <c r="C92" i="21"/>
  <c r="C32" i="21" s="1"/>
  <c r="BD39" i="14"/>
  <c r="BQ158" i="19"/>
  <c r="BQ175" i="19"/>
  <c r="BR175" i="19"/>
  <c r="KS61" i="14"/>
  <c r="KT61" i="14" s="1"/>
  <c r="LA61" i="14" s="1"/>
  <c r="ML61" i="14"/>
  <c r="N83" i="21" s="1"/>
  <c r="CA158" i="16"/>
  <c r="CA175" i="16"/>
  <c r="CB175" i="16"/>
  <c r="CB158" i="16"/>
  <c r="BL173" i="19"/>
  <c r="BK173" i="19"/>
  <c r="BK156" i="19"/>
  <c r="AL148" i="10"/>
  <c r="AL132" i="10"/>
  <c r="AL132" i="19"/>
  <c r="AO37" i="14"/>
  <c r="AS37" i="14"/>
  <c r="AU37" i="14"/>
  <c r="AN37" i="14"/>
  <c r="AK37" i="14"/>
  <c r="Y37" i="14"/>
  <c r="AW37" i="14"/>
  <c r="AT37" i="14"/>
  <c r="T37" i="14"/>
  <c r="S37" i="14"/>
  <c r="U37" i="14"/>
  <c r="Z37" i="14"/>
  <c r="AV37" i="14"/>
  <c r="AZ37" i="14" s="1"/>
  <c r="AJ37" i="14"/>
  <c r="AM37" i="14"/>
  <c r="AL37" i="14"/>
  <c r="AA37" i="14"/>
  <c r="AB37" i="14"/>
  <c r="V37" i="14"/>
  <c r="AX37" i="14"/>
  <c r="N9" i="9"/>
  <c r="LN52" i="14"/>
  <c r="AO199" i="19"/>
  <c r="AQ196" i="19"/>
  <c r="AQ193" i="19"/>
  <c r="AO192" i="19"/>
  <c r="AE53" i="14"/>
  <c r="I10" i="9"/>
  <c r="CD198" i="19"/>
  <c r="CD201" i="19"/>
  <c r="CB197" i="19"/>
  <c r="CB204" i="19"/>
  <c r="F85" i="22"/>
  <c r="GE39" i="14"/>
  <c r="GF39" i="14" s="1"/>
  <c r="GM39" i="14" s="1"/>
  <c r="D66" i="22"/>
  <c r="BQ20" i="14"/>
  <c r="BR20" i="14" s="1"/>
  <c r="BY20" i="14" s="1"/>
  <c r="J14" i="5"/>
  <c r="EL70" i="14"/>
  <c r="K56" i="9"/>
  <c r="AT172" i="10"/>
  <c r="AS172" i="10"/>
  <c r="E16" i="5"/>
  <c r="FQ71" i="14"/>
  <c r="LG40" i="14"/>
  <c r="H57" i="9"/>
  <c r="M9" i="9"/>
  <c r="JG52" i="14"/>
  <c r="G15" i="5"/>
  <c r="IL23" i="14"/>
  <c r="IM23" i="14" s="1"/>
  <c r="IT23" i="14" s="1"/>
  <c r="BW159" i="16"/>
  <c r="BW176" i="16"/>
  <c r="BX176" i="16"/>
  <c r="BX159" i="16"/>
  <c r="E64" i="22"/>
  <c r="DX18" i="14"/>
  <c r="DY18" i="14" s="1"/>
  <c r="EF18" i="14" s="1"/>
  <c r="AE193" i="10"/>
  <c r="AH193" i="10" s="1"/>
  <c r="AG193" i="10"/>
  <c r="BG175" i="10"/>
  <c r="BG158" i="10"/>
  <c r="BH175" i="10"/>
  <c r="CL18" i="14"/>
  <c r="D6" i="9"/>
  <c r="E26" i="9"/>
  <c r="ES38" i="14"/>
  <c r="ES66" i="14"/>
  <c r="K23" i="9"/>
  <c r="D10" i="9"/>
  <c r="CL22" i="14"/>
  <c r="E24" i="9"/>
  <c r="ES36" i="14"/>
  <c r="I13" i="5"/>
  <c r="AL142" i="16"/>
  <c r="AL126" i="16"/>
  <c r="F75" i="21"/>
  <c r="F15" i="21" s="1"/>
  <c r="HY22" i="14"/>
  <c r="BA158" i="10"/>
  <c r="BB175" i="10"/>
  <c r="BA175" i="10"/>
  <c r="I58" i="9"/>
  <c r="X72" i="14"/>
  <c r="I56" i="9"/>
  <c r="X70" i="14"/>
  <c r="GO71" i="14"/>
  <c r="HH71" i="14"/>
  <c r="GQ71" i="14"/>
  <c r="HG71" i="14"/>
  <c r="GT71" i="14"/>
  <c r="HQ71" i="14"/>
  <c r="GV71" i="14"/>
  <c r="HF71" i="14"/>
  <c r="GN71" i="14"/>
  <c r="HI71" i="14"/>
  <c r="HE71" i="14"/>
  <c r="HN71" i="14"/>
  <c r="HO71" i="14"/>
  <c r="HP71" i="14"/>
  <c r="GW71" i="14"/>
  <c r="GU71" i="14"/>
  <c r="HR71" i="14"/>
  <c r="GP71" i="14"/>
  <c r="HS71" i="14"/>
  <c r="HJ71" i="14"/>
  <c r="CE168" i="10"/>
  <c r="CF168" i="10"/>
  <c r="N64" i="22"/>
  <c r="KS49" i="14"/>
  <c r="KT49" i="14" s="1"/>
  <c r="LA49" i="14" s="1"/>
  <c r="BA189" i="16"/>
  <c r="BA188" i="16"/>
  <c r="BB188" i="16"/>
  <c r="BB187" i="16"/>
  <c r="BA187" i="16"/>
  <c r="BB189" i="16"/>
  <c r="BB186" i="16"/>
  <c r="BA186" i="16"/>
  <c r="CA201" i="16"/>
  <c r="BY204" i="16"/>
  <c r="CA198" i="16"/>
  <c r="BY197" i="16"/>
  <c r="AY181" i="10"/>
  <c r="AY182" i="10"/>
  <c r="AZ182" i="10"/>
  <c r="AZ181" i="10"/>
  <c r="AY183" i="10"/>
  <c r="AZ184" i="10"/>
  <c r="AZ183" i="10"/>
  <c r="AY184" i="10"/>
  <c r="CE166" i="19"/>
  <c r="CF166" i="19"/>
  <c r="AH148" i="16"/>
  <c r="AH132" i="16"/>
  <c r="GP29" i="14"/>
  <c r="GV29" i="14"/>
  <c r="HH29" i="14"/>
  <c r="GT29" i="14"/>
  <c r="GQ29" i="14"/>
  <c r="HQ29" i="14"/>
  <c r="HU29" i="14" s="1"/>
  <c r="HG29" i="14"/>
  <c r="HP29" i="14"/>
  <c r="HO29" i="14"/>
  <c r="HR29" i="14"/>
  <c r="HN29" i="14"/>
  <c r="HE29" i="14"/>
  <c r="GU29" i="14"/>
  <c r="HJ29" i="14"/>
  <c r="HF29" i="14"/>
  <c r="HI29" i="14"/>
  <c r="GW29" i="14"/>
  <c r="GO29" i="14"/>
  <c r="GN29" i="14"/>
  <c r="HS29" i="14"/>
  <c r="BR175" i="10"/>
  <c r="BQ175" i="10"/>
  <c r="BQ158" i="10"/>
  <c r="H26" i="5"/>
  <c r="H22" i="5"/>
  <c r="H19" i="5"/>
  <c r="LN20" i="14"/>
  <c r="H8" i="9"/>
  <c r="G73" i="21"/>
  <c r="G13" i="21" s="1"/>
  <c r="KF20" i="14"/>
  <c r="AU166" i="19"/>
  <c r="AV166" i="19"/>
  <c r="GS54" i="14"/>
  <c r="L40" i="9"/>
  <c r="H7" i="9"/>
  <c r="LN19" i="14"/>
  <c r="H72" i="21"/>
  <c r="H12" i="21" s="1"/>
  <c r="MM19" i="14"/>
  <c r="FQ18" i="14"/>
  <c r="N86" i="22"/>
  <c r="KS71" i="14"/>
  <c r="KT71" i="14" s="1"/>
  <c r="LA71" i="14" s="1"/>
  <c r="ML71" i="14"/>
  <c r="G66" i="22"/>
  <c r="IL20" i="14"/>
  <c r="IM20" i="14" s="1"/>
  <c r="IT20" i="14" s="1"/>
  <c r="IZ72" i="14"/>
  <c r="M58" i="9"/>
  <c r="AQ157" i="19"/>
  <c r="AR174" i="19"/>
  <c r="AQ174" i="19"/>
  <c r="AR157" i="19"/>
  <c r="GZ40" i="14"/>
  <c r="F28" i="9"/>
  <c r="CC167" i="10"/>
  <c r="CD167" i="10"/>
  <c r="F29" i="9"/>
  <c r="GZ41" i="14"/>
  <c r="EP61" i="14"/>
  <c r="EG61" i="14"/>
  <c r="EN61" i="14"/>
  <c r="EO61" i="14"/>
  <c r="EH61" i="14"/>
  <c r="EI61" i="14"/>
  <c r="EJ61" i="14"/>
  <c r="FB61" i="14"/>
  <c r="EZ61" i="14"/>
  <c r="FI61" i="14"/>
  <c r="EY61" i="14"/>
  <c r="FH61" i="14"/>
  <c r="EX61" i="14"/>
  <c r="FG61" i="14"/>
  <c r="FM61" i="14" s="1"/>
  <c r="FC61" i="14"/>
  <c r="FJ61" i="14"/>
  <c r="FL61" i="14"/>
  <c r="FA61" i="14"/>
  <c r="FK61" i="14"/>
  <c r="EM61" i="14"/>
  <c r="F86" i="22"/>
  <c r="GE40" i="14"/>
  <c r="GF40" i="14" s="1"/>
  <c r="GM40" i="14" s="1"/>
  <c r="HX40" i="14"/>
  <c r="L72" i="21"/>
  <c r="L12" i="21" s="1"/>
  <c r="HY50" i="14"/>
  <c r="BU158" i="10"/>
  <c r="BV175" i="10"/>
  <c r="BU175" i="10"/>
  <c r="AV196" i="19"/>
  <c r="AT199" i="19"/>
  <c r="AT192" i="19"/>
  <c r="AV193" i="19"/>
  <c r="AW157" i="10"/>
  <c r="AW174" i="10"/>
  <c r="AX174" i="10"/>
  <c r="AX157" i="10"/>
  <c r="BI158" i="19"/>
  <c r="BI175" i="19"/>
  <c r="BJ175" i="19"/>
  <c r="LU58" i="14"/>
  <c r="LW58" i="14"/>
  <c r="LJ58" i="14"/>
  <c r="LH58" i="14"/>
  <c r="LC58" i="14"/>
  <c r="MC58" i="14"/>
  <c r="LB58" i="14"/>
  <c r="MF58" i="14"/>
  <c r="LD58" i="14"/>
  <c r="LI58" i="14"/>
  <c r="LK58" i="14"/>
  <c r="LE58" i="14"/>
  <c r="LV58" i="14"/>
  <c r="MG58" i="14"/>
  <c r="MB58" i="14"/>
  <c r="LS58" i="14"/>
  <c r="MD58" i="14"/>
  <c r="ME58" i="14"/>
  <c r="MI58" i="14" s="1"/>
  <c r="LX58" i="14"/>
  <c r="LT58" i="14"/>
  <c r="L64" i="22"/>
  <c r="GE49" i="14"/>
  <c r="GF49" i="14" s="1"/>
  <c r="GM49" i="14" s="1"/>
  <c r="HX49" i="14"/>
  <c r="D26" i="9"/>
  <c r="CL38" i="14"/>
  <c r="AV204" i="19"/>
  <c r="AX201" i="19"/>
  <c r="AX198" i="19"/>
  <c r="AV197" i="19"/>
  <c r="BS158" i="16"/>
  <c r="BS175" i="16"/>
  <c r="BT175" i="16"/>
  <c r="BR192" i="16" s="1"/>
  <c r="I68" i="22"/>
  <c r="J53" i="14"/>
  <c r="K53" i="14" s="1"/>
  <c r="R53" i="14" s="1"/>
  <c r="BC53" i="14"/>
  <c r="BY203" i="16"/>
  <c r="BY206" i="16"/>
  <c r="BW202" i="16"/>
  <c r="BW209" i="16"/>
  <c r="FQ69" i="14"/>
  <c r="AP174" i="10"/>
  <c r="AO157" i="10"/>
  <c r="AO174" i="10"/>
  <c r="AP157" i="10"/>
  <c r="J9" i="5"/>
  <c r="J27" i="5"/>
  <c r="J12" i="5"/>
  <c r="G64" i="22"/>
  <c r="IL18" i="14"/>
  <c r="IM18" i="14" s="1"/>
  <c r="IT18" i="14" s="1"/>
  <c r="KE18" i="14"/>
  <c r="N82" i="22"/>
  <c r="KS67" i="14"/>
  <c r="KT67" i="14" s="1"/>
  <c r="LA67" i="14" s="1"/>
  <c r="AQ189" i="10"/>
  <c r="AS183" i="10"/>
  <c r="AQ182" i="10"/>
  <c r="AS186" i="10"/>
  <c r="BQ34" i="14"/>
  <c r="BR34" i="14" s="1"/>
  <c r="BY34" i="14" s="1"/>
  <c r="AP198" i="16"/>
  <c r="AP201" i="16"/>
  <c r="D40" i="9"/>
  <c r="CE23" i="14"/>
  <c r="BE189" i="16"/>
  <c r="BE188" i="16"/>
  <c r="BE186" i="16"/>
  <c r="BF187" i="16"/>
  <c r="BF188" i="16"/>
  <c r="BE187" i="16"/>
  <c r="BF186" i="16"/>
  <c r="BF189" i="16"/>
  <c r="D67" i="22"/>
  <c r="BQ21" i="14"/>
  <c r="BR21" i="14" s="1"/>
  <c r="BY21" i="14" s="1"/>
  <c r="DJ21" i="14"/>
  <c r="AF143" i="10"/>
  <c r="AF127" i="10"/>
  <c r="AF127" i="19"/>
  <c r="AF142" i="10"/>
  <c r="AF126" i="19"/>
  <c r="AF126" i="10"/>
  <c r="D21" i="5"/>
  <c r="D20" i="5"/>
  <c r="N22" i="5"/>
  <c r="N21" i="5"/>
  <c r="J86" i="22"/>
  <c r="BQ71" i="14"/>
  <c r="BR71" i="14" s="1"/>
  <c r="BY71" i="14" s="1"/>
  <c r="G22" i="5"/>
  <c r="G13" i="5"/>
  <c r="ML52" i="14"/>
  <c r="AD147" i="16"/>
  <c r="AD155" i="16" s="1"/>
  <c r="AD131" i="16"/>
  <c r="ML39" i="14"/>
  <c r="MF27" i="14"/>
  <c r="LB27" i="14"/>
  <c r="ME27" i="14"/>
  <c r="LI27" i="14"/>
  <c r="LS27" i="14"/>
  <c r="LK27" i="14"/>
  <c r="MC27" i="14"/>
  <c r="MD27" i="14"/>
  <c r="MB27" i="14"/>
  <c r="LE27" i="14"/>
  <c r="LW27" i="14"/>
  <c r="MG27" i="14"/>
  <c r="LC27" i="14"/>
  <c r="LJ27" i="14"/>
  <c r="LT27" i="14"/>
  <c r="LH27" i="14"/>
  <c r="LX27" i="14"/>
  <c r="LU27" i="14"/>
  <c r="LV27" i="14"/>
  <c r="LD27" i="14"/>
  <c r="CE166" i="16"/>
  <c r="CF166" i="16"/>
  <c r="AQ176" i="16"/>
  <c r="J87" i="22"/>
  <c r="BQ72" i="14"/>
  <c r="BR72" i="14" s="1"/>
  <c r="BY72" i="14" s="1"/>
  <c r="DJ72" i="14"/>
  <c r="AP198" i="19"/>
  <c r="AP201" i="19"/>
  <c r="ES52" i="14"/>
  <c r="K9" i="9"/>
  <c r="BW203" i="16"/>
  <c r="BW206" i="16"/>
  <c r="FQ68" i="14"/>
  <c r="AR28" i="14"/>
  <c r="C47" i="23" s="1"/>
  <c r="AR31" i="14"/>
  <c r="C50" i="23" s="1"/>
  <c r="CD202" i="16"/>
  <c r="CD209" i="16"/>
  <c r="CF203" i="16"/>
  <c r="CF206" i="16"/>
  <c r="CA198" i="19"/>
  <c r="CA201" i="19"/>
  <c r="BY197" i="19"/>
  <c r="BY204" i="19"/>
  <c r="ML51" i="14"/>
  <c r="K92" i="21"/>
  <c r="K32" i="21" s="1"/>
  <c r="FR70" i="14"/>
  <c r="L69" i="22"/>
  <c r="GE54" i="14"/>
  <c r="GF54" i="14" s="1"/>
  <c r="GM54" i="14" s="1"/>
  <c r="HX54" i="14"/>
  <c r="AY197" i="16"/>
  <c r="AZ199" i="16"/>
  <c r="AY198" i="16"/>
  <c r="AY199" i="16"/>
  <c r="AZ197" i="16"/>
  <c r="AC195" i="10"/>
  <c r="AD194" i="10"/>
  <c r="DX58" i="14"/>
  <c r="DY58" i="14" s="1"/>
  <c r="EF58" i="14" s="1"/>
  <c r="FQ58" i="14"/>
  <c r="K80" i="21" s="1"/>
  <c r="BA174" i="19"/>
  <c r="BB174" i="19"/>
  <c r="BA157" i="19"/>
  <c r="GE24" i="14"/>
  <c r="GF24" i="14" s="1"/>
  <c r="GM24" i="14" s="1"/>
  <c r="HX24" i="14"/>
  <c r="F77" i="21" s="1"/>
  <c r="BC193" i="16"/>
  <c r="BD194" i="16"/>
  <c r="BD191" i="16"/>
  <c r="BD193" i="16"/>
  <c r="BC191" i="16"/>
  <c r="BC194" i="16"/>
  <c r="BC192" i="16"/>
  <c r="BD192" i="16"/>
  <c r="BI198" i="19"/>
  <c r="K85" i="22"/>
  <c r="DX70" i="14"/>
  <c r="DY70" i="14" s="1"/>
  <c r="EF70" i="14" s="1"/>
  <c r="BG21" i="14"/>
  <c r="BH21" i="14" s="1"/>
  <c r="C67" i="9"/>
  <c r="AF21" i="14"/>
  <c r="BI198" i="10"/>
  <c r="DJ22" i="14"/>
  <c r="J28" i="9"/>
  <c r="CL71" i="14"/>
  <c r="GZ39" i="14"/>
  <c r="F27" i="9"/>
  <c r="CI39" i="14"/>
  <c r="CV39" i="14"/>
  <c r="CT39" i="14"/>
  <c r="CH39" i="14"/>
  <c r="DC39" i="14"/>
  <c r="DG39" i="14" s="1"/>
  <c r="CU39" i="14"/>
  <c r="CA39" i="14"/>
  <c r="DD39" i="14"/>
  <c r="DA39" i="14"/>
  <c r="CF39" i="14"/>
  <c r="CB39" i="14"/>
  <c r="BZ39" i="14"/>
  <c r="CR39" i="14"/>
  <c r="CG39" i="14"/>
  <c r="CC39" i="14"/>
  <c r="CZ39" i="14"/>
  <c r="DF39" i="14" s="1"/>
  <c r="DB39" i="14"/>
  <c r="CQ39" i="14"/>
  <c r="DE39" i="14"/>
  <c r="CS39" i="14"/>
  <c r="JZ51" i="14"/>
  <c r="JB51" i="14"/>
  <c r="JC51" i="14"/>
  <c r="JY51" i="14"/>
  <c r="IU51" i="14"/>
  <c r="JD51" i="14"/>
  <c r="JN51" i="14"/>
  <c r="IV51" i="14"/>
  <c r="IW51" i="14"/>
  <c r="IX51" i="14"/>
  <c r="JA51" i="14"/>
  <c r="JP51" i="14"/>
  <c r="JM51" i="14"/>
  <c r="JU51" i="14"/>
  <c r="JO51" i="14"/>
  <c r="JW51" i="14"/>
  <c r="JV51" i="14"/>
  <c r="JL51" i="14"/>
  <c r="JR51" i="14" s="1"/>
  <c r="JX51" i="14"/>
  <c r="KB51" i="14" s="1"/>
  <c r="JQ51" i="14"/>
  <c r="CF204" i="19"/>
  <c r="CH198" i="19"/>
  <c r="CF197" i="19"/>
  <c r="CH201" i="19"/>
  <c r="IZ67" i="14"/>
  <c r="M53" i="9"/>
  <c r="JG37" i="14"/>
  <c r="G25" i="9"/>
  <c r="AS175" i="16"/>
  <c r="AT175" i="16"/>
  <c r="AS158" i="16"/>
  <c r="AT158" i="16"/>
  <c r="BW196" i="19"/>
  <c r="BW193" i="19"/>
  <c r="CC204" i="10"/>
  <c r="CE201" i="10"/>
  <c r="CE198" i="10"/>
  <c r="CC197" i="10"/>
  <c r="I544" i="10"/>
  <c r="J543" i="10"/>
  <c r="K543" i="10" s="1"/>
  <c r="GS19" i="14"/>
  <c r="F36" i="9"/>
  <c r="GS69" i="14"/>
  <c r="L55" i="9"/>
  <c r="AJ152" i="16"/>
  <c r="AJ136" i="16"/>
  <c r="EJ31" i="14"/>
  <c r="EM31" i="14"/>
  <c r="EN31" i="14"/>
  <c r="EO31" i="14"/>
  <c r="FB31" i="14"/>
  <c r="FJ31" i="14"/>
  <c r="FI31" i="14"/>
  <c r="FH31" i="14"/>
  <c r="FG31" i="14"/>
  <c r="FC31" i="14"/>
  <c r="EG31" i="14"/>
  <c r="EZ31" i="14"/>
  <c r="EH31" i="14"/>
  <c r="EX31" i="14"/>
  <c r="EI31" i="14"/>
  <c r="FA31" i="14"/>
  <c r="FK31" i="14"/>
  <c r="EP31" i="14"/>
  <c r="EY31" i="14"/>
  <c r="FL31" i="14"/>
  <c r="BW166" i="19"/>
  <c r="BW167" i="19" s="1"/>
  <c r="BW168" i="19" s="1"/>
  <c r="BW169" i="19" s="1"/>
  <c r="BW170" i="19" s="1"/>
  <c r="BX166" i="19"/>
  <c r="L68" i="22"/>
  <c r="GE53" i="14"/>
  <c r="GF53" i="14" s="1"/>
  <c r="GM53" i="14" s="1"/>
  <c r="L27" i="9"/>
  <c r="GZ70" i="14"/>
  <c r="U488" i="10"/>
  <c r="V487" i="10"/>
  <c r="W487" i="10" s="1"/>
  <c r="AX197" i="19"/>
  <c r="AX204" i="19"/>
  <c r="DX56" i="14"/>
  <c r="DY56" i="14" s="1"/>
  <c r="EF56" i="14" s="1"/>
  <c r="FQ56" i="14"/>
  <c r="K78" i="21" s="1"/>
  <c r="BI159" i="16"/>
  <c r="BI176" i="16"/>
  <c r="BI198" i="16" s="1"/>
  <c r="BJ176" i="16"/>
  <c r="BJ198" i="16" s="1"/>
  <c r="G86" i="22"/>
  <c r="IL40" i="14"/>
  <c r="IM40" i="14" s="1"/>
  <c r="IT40" i="14" s="1"/>
  <c r="X32" i="14"/>
  <c r="C49" i="9"/>
  <c r="AL153" i="16"/>
  <c r="AL137" i="16"/>
  <c r="AS209" i="16"/>
  <c r="AS202" i="16"/>
  <c r="AU206" i="16"/>
  <c r="AU203" i="16"/>
  <c r="EO27" i="14"/>
  <c r="EJ27" i="14"/>
  <c r="FJ27" i="14"/>
  <c r="EN27" i="14"/>
  <c r="FH27" i="14"/>
  <c r="EY27" i="14"/>
  <c r="EX27" i="14"/>
  <c r="FD27" i="14" s="1"/>
  <c r="FI27" i="14"/>
  <c r="EG27" i="14"/>
  <c r="FL27" i="14"/>
  <c r="FC27" i="14"/>
  <c r="EH27" i="14"/>
  <c r="FB27" i="14"/>
  <c r="EP27" i="14"/>
  <c r="FK27" i="14"/>
  <c r="EZ27" i="14"/>
  <c r="FA27" i="14"/>
  <c r="FG27" i="14"/>
  <c r="EM27" i="14"/>
  <c r="EI27" i="14"/>
  <c r="AN51" i="14"/>
  <c r="AO51" i="14"/>
  <c r="AV51" i="14"/>
  <c r="AZ51" i="14" s="1"/>
  <c r="S51" i="14"/>
  <c r="AB51" i="14"/>
  <c r="AU51" i="14"/>
  <c r="AX51" i="14"/>
  <c r="AA51" i="14"/>
  <c r="V51" i="14"/>
  <c r="AL51" i="14"/>
  <c r="AM51" i="14"/>
  <c r="AQ51" i="14" s="1"/>
  <c r="Y51" i="14"/>
  <c r="AJ51" i="14"/>
  <c r="U51" i="14"/>
  <c r="AS51" i="14"/>
  <c r="T51" i="14"/>
  <c r="AK51" i="14"/>
  <c r="Z51" i="14"/>
  <c r="AT51" i="14"/>
  <c r="AW51" i="14"/>
  <c r="AL147" i="10"/>
  <c r="AL131" i="19"/>
  <c r="AL131" i="10"/>
  <c r="BI158" i="10"/>
  <c r="BJ175" i="10"/>
  <c r="BI175" i="10"/>
  <c r="EL39" i="14"/>
  <c r="E56" i="9"/>
  <c r="BU199" i="19"/>
  <c r="L88" i="21"/>
  <c r="L28" i="21" s="1"/>
  <c r="HY66" i="14"/>
  <c r="LH21" i="14"/>
  <c r="LK21" i="14"/>
  <c r="LB21" i="14"/>
  <c r="LC21" i="14"/>
  <c r="LJ21" i="14"/>
  <c r="LI21" i="14"/>
  <c r="LD21" i="14"/>
  <c r="LE21" i="14"/>
  <c r="ME21" i="14"/>
  <c r="LV21" i="14"/>
  <c r="MF21" i="14"/>
  <c r="LW21" i="14"/>
  <c r="MB21" i="14"/>
  <c r="MG21" i="14"/>
  <c r="LX21" i="14"/>
  <c r="MC21" i="14"/>
  <c r="LS21" i="14"/>
  <c r="LT21" i="14"/>
  <c r="LU21" i="14"/>
  <c r="MD21" i="14"/>
  <c r="E67" i="22"/>
  <c r="DX21" i="14"/>
  <c r="DY21" i="14" s="1"/>
  <c r="EF21" i="14" s="1"/>
  <c r="FQ21" i="14"/>
  <c r="J67" i="22"/>
  <c r="BQ52" i="14"/>
  <c r="BR52" i="14" s="1"/>
  <c r="BY52" i="14" s="1"/>
  <c r="F89" i="21"/>
  <c r="F29" i="21" s="1"/>
  <c r="HY36" i="14"/>
  <c r="AJ142" i="16"/>
  <c r="AJ126" i="16"/>
  <c r="S57" i="14"/>
  <c r="AT57" i="14"/>
  <c r="AA57" i="14"/>
  <c r="T57" i="14"/>
  <c r="AK57" i="14"/>
  <c r="AN57" i="14"/>
  <c r="AW57" i="14"/>
  <c r="Y57" i="14"/>
  <c r="U57" i="14"/>
  <c r="AX57" i="14"/>
  <c r="AO57" i="14"/>
  <c r="AB57" i="14"/>
  <c r="AJ57" i="14"/>
  <c r="AL57" i="14"/>
  <c r="AM57" i="14"/>
  <c r="AQ57" i="14" s="1"/>
  <c r="Z57" i="14"/>
  <c r="AU57" i="14"/>
  <c r="V57" i="14"/>
  <c r="AS57" i="14"/>
  <c r="AV57" i="14"/>
  <c r="CH192" i="19"/>
  <c r="CJ196" i="19"/>
  <c r="CH199" i="19"/>
  <c r="CJ193" i="19"/>
  <c r="N83" i="22"/>
  <c r="KS68" i="14"/>
  <c r="KT68" i="14" s="1"/>
  <c r="LA68" i="14" s="1"/>
  <c r="ML68" i="14"/>
  <c r="AY158" i="19"/>
  <c r="AZ175" i="19"/>
  <c r="AY175" i="19"/>
  <c r="AZ158" i="19"/>
  <c r="Y55" i="14"/>
  <c r="Z55" i="14"/>
  <c r="U55" i="14"/>
  <c r="AO55" i="14"/>
  <c r="S55" i="14"/>
  <c r="AT55" i="14"/>
  <c r="V55" i="14"/>
  <c r="AU55" i="14"/>
  <c r="AM55" i="14"/>
  <c r="AQ55" i="14" s="1"/>
  <c r="AL55" i="14"/>
  <c r="AV55" i="14"/>
  <c r="AK55" i="14"/>
  <c r="T55" i="14"/>
  <c r="AB55" i="14"/>
  <c r="AX55" i="14"/>
  <c r="AS55" i="14"/>
  <c r="AY55" i="14" s="1"/>
  <c r="AJ55" i="14"/>
  <c r="AP55" i="14" s="1"/>
  <c r="AN55" i="14"/>
  <c r="AW55" i="14"/>
  <c r="AA55" i="14"/>
  <c r="BI192" i="16"/>
  <c r="BJ192" i="16"/>
  <c r="KE52" i="14"/>
  <c r="BE158" i="19"/>
  <c r="BF175" i="19"/>
  <c r="BF196" i="19" s="1"/>
  <c r="BE175" i="19"/>
  <c r="BE196" i="19" s="1"/>
  <c r="BB181" i="19"/>
  <c r="BA181" i="19"/>
  <c r="BB182" i="19"/>
  <c r="BA182" i="19"/>
  <c r="BB183" i="19"/>
  <c r="BA183" i="19"/>
  <c r="BA184" i="19"/>
  <c r="BB184" i="19"/>
  <c r="M87" i="22"/>
  <c r="IL72" i="14"/>
  <c r="IM72" i="14" s="1"/>
  <c r="IT72" i="14" s="1"/>
  <c r="G7" i="9"/>
  <c r="JG19" i="14"/>
  <c r="FK50" i="14"/>
  <c r="FL50" i="14"/>
  <c r="FA50" i="14"/>
  <c r="FE50" i="14" s="1"/>
  <c r="EO50" i="14"/>
  <c r="EG50" i="14"/>
  <c r="EJ50" i="14"/>
  <c r="EY50" i="14"/>
  <c r="EN50" i="14"/>
  <c r="EM50" i="14"/>
  <c r="EZ50" i="14"/>
  <c r="FC50" i="14"/>
  <c r="FI50" i="14"/>
  <c r="FH50" i="14"/>
  <c r="FB50" i="14"/>
  <c r="EP50" i="14"/>
  <c r="EI50" i="14"/>
  <c r="EH50" i="14"/>
  <c r="EX50" i="14"/>
  <c r="FD50" i="14" s="1"/>
  <c r="FJ50" i="14"/>
  <c r="FN50" i="14" s="1"/>
  <c r="FG50" i="14"/>
  <c r="FM50" i="14" s="1"/>
  <c r="AL145" i="16"/>
  <c r="AL129" i="16"/>
  <c r="N68" i="22"/>
  <c r="KS53" i="14"/>
  <c r="KT53" i="14" s="1"/>
  <c r="LA53" i="14" s="1"/>
  <c r="ML53" i="14"/>
  <c r="L8" i="9"/>
  <c r="GZ51" i="14"/>
  <c r="AU156" i="10"/>
  <c r="AV173" i="10"/>
  <c r="AU173" i="10"/>
  <c r="AV156" i="10"/>
  <c r="AS158" i="19"/>
  <c r="AT175" i="19"/>
  <c r="AS175" i="19"/>
  <c r="AT158" i="19"/>
  <c r="C49" i="21"/>
  <c r="C19" i="21" s="1"/>
  <c r="BD26" i="14"/>
  <c r="BE26" i="14" s="1"/>
  <c r="HX38" i="14"/>
  <c r="G84" i="22"/>
  <c r="IL38" i="14"/>
  <c r="IM38" i="14" s="1"/>
  <c r="IT38" i="14" s="1"/>
  <c r="C544" i="10"/>
  <c r="D543" i="10"/>
  <c r="E543" i="10" s="1"/>
  <c r="BD181" i="19"/>
  <c r="BD182" i="19"/>
  <c r="BC181" i="19"/>
  <c r="BC182" i="19"/>
  <c r="BD183" i="19"/>
  <c r="BC183" i="19"/>
  <c r="BC184" i="19"/>
  <c r="BD184" i="19"/>
  <c r="H94" i="21"/>
  <c r="H34" i="21" s="1"/>
  <c r="MM41" i="14"/>
  <c r="GE64" i="14"/>
  <c r="GF64" i="14" s="1"/>
  <c r="GM64" i="14" s="1"/>
  <c r="GS36" i="14"/>
  <c r="F53" i="9"/>
  <c r="GU34" i="14"/>
  <c r="GT34" i="14"/>
  <c r="HQ34" i="14"/>
  <c r="HU34" i="14" s="1"/>
  <c r="HF34" i="14"/>
  <c r="HI34" i="14"/>
  <c r="HJ34" i="14"/>
  <c r="HO34" i="14"/>
  <c r="HP34" i="14"/>
  <c r="HE34" i="14"/>
  <c r="HH34" i="14"/>
  <c r="HL34" i="14" s="1"/>
  <c r="HN34" i="14"/>
  <c r="HT34" i="14" s="1"/>
  <c r="HV34" i="14" s="1"/>
  <c r="GP34" i="14"/>
  <c r="GW34" i="14"/>
  <c r="HR34" i="14"/>
  <c r="GO34" i="14"/>
  <c r="HS34" i="14"/>
  <c r="HG34" i="14"/>
  <c r="GV34" i="14"/>
  <c r="GQ34" i="14"/>
  <c r="GN34" i="14"/>
  <c r="AD142" i="10"/>
  <c r="AD126" i="10"/>
  <c r="AD126" i="19"/>
  <c r="AB142" i="16"/>
  <c r="AB126" i="16"/>
  <c r="EL68" i="14"/>
  <c r="K54" i="9"/>
  <c r="LN36" i="14"/>
  <c r="H24" i="9"/>
  <c r="LJ63" i="14"/>
  <c r="LK63" i="14"/>
  <c r="LD63" i="14"/>
  <c r="LE63" i="14"/>
  <c r="LT63" i="14"/>
  <c r="MF63" i="14"/>
  <c r="LV63" i="14"/>
  <c r="LZ63" i="14" s="1"/>
  <c r="LW63" i="14"/>
  <c r="MD63" i="14"/>
  <c r="MB63" i="14"/>
  <c r="LS63" i="14"/>
  <c r="LH63" i="14"/>
  <c r="LI63" i="14"/>
  <c r="LU63" i="14"/>
  <c r="LB63" i="14"/>
  <c r="LX63" i="14"/>
  <c r="MG63" i="14"/>
  <c r="MC63" i="14"/>
  <c r="LC63" i="14"/>
  <c r="ME63" i="14"/>
  <c r="CL67" i="14"/>
  <c r="J24" i="9"/>
  <c r="H90" i="21"/>
  <c r="H30" i="21" s="1"/>
  <c r="MM37" i="14"/>
  <c r="N65" i="22"/>
  <c r="KS50" i="14"/>
  <c r="KT50" i="14" s="1"/>
  <c r="LA50" i="14" s="1"/>
  <c r="ML50" i="14"/>
  <c r="H6" i="9"/>
  <c r="LN18" i="14"/>
  <c r="E29" i="9"/>
  <c r="ES41" i="14"/>
  <c r="I10" i="5"/>
  <c r="MD25" i="14"/>
  <c r="LX25" i="14"/>
  <c r="LD25" i="14"/>
  <c r="LI25" i="14"/>
  <c r="LS25" i="14"/>
  <c r="LW25" i="14"/>
  <c r="LK25" i="14"/>
  <c r="MF25" i="14"/>
  <c r="LH25" i="14"/>
  <c r="LV25" i="14"/>
  <c r="LE25" i="14"/>
  <c r="MC25" i="14"/>
  <c r="LT25" i="14"/>
  <c r="ME25" i="14"/>
  <c r="MI25" i="14" s="1"/>
  <c r="LB25" i="14"/>
  <c r="MB25" i="14"/>
  <c r="LU25" i="14"/>
  <c r="MG25" i="14"/>
  <c r="LJ25" i="14"/>
  <c r="LC25" i="14"/>
  <c r="N84" i="22"/>
  <c r="KS69" i="14"/>
  <c r="KT69" i="14" s="1"/>
  <c r="LA69" i="14" s="1"/>
  <c r="KE40" i="14"/>
  <c r="CE50" i="14"/>
  <c r="J36" i="9"/>
  <c r="AY176" i="16"/>
  <c r="AY159" i="16"/>
  <c r="AZ176" i="16"/>
  <c r="AZ159" i="16"/>
  <c r="AQ197" i="19"/>
  <c r="AQ204" i="19"/>
  <c r="AS201" i="19"/>
  <c r="AS198" i="19"/>
  <c r="AP199" i="19"/>
  <c r="AP192" i="19"/>
  <c r="AR196" i="19"/>
  <c r="AR193" i="19"/>
  <c r="J29" i="9"/>
  <c r="CL72" i="14"/>
  <c r="CC198" i="19"/>
  <c r="CA204" i="19"/>
  <c r="CA197" i="19"/>
  <c r="CC201" i="19"/>
  <c r="M27" i="9"/>
  <c r="JG70" i="14"/>
  <c r="HI51" i="14"/>
  <c r="GQ51" i="14"/>
  <c r="GO51" i="14"/>
  <c r="HJ51" i="14"/>
  <c r="HN51" i="14"/>
  <c r="HQ51" i="14"/>
  <c r="HG51" i="14"/>
  <c r="GW51" i="14"/>
  <c r="HR51" i="14"/>
  <c r="GN51" i="14"/>
  <c r="HE51" i="14"/>
  <c r="GV51" i="14"/>
  <c r="GU51" i="14"/>
  <c r="HF51" i="14"/>
  <c r="HS51" i="14"/>
  <c r="GP51" i="14"/>
  <c r="GT51" i="14"/>
  <c r="HP51" i="14"/>
  <c r="HH51" i="14"/>
  <c r="HO51" i="14"/>
  <c r="AJ147" i="16"/>
  <c r="AJ131" i="16"/>
  <c r="JB49" i="14"/>
  <c r="IX49" i="14"/>
  <c r="JA49" i="14"/>
  <c r="JM49" i="14"/>
  <c r="JO49" i="14"/>
  <c r="IW49" i="14"/>
  <c r="IU49" i="14"/>
  <c r="JZ49" i="14"/>
  <c r="JY49" i="14"/>
  <c r="JD49" i="14"/>
  <c r="JQ49" i="14"/>
  <c r="JW49" i="14"/>
  <c r="JN49" i="14"/>
  <c r="JV49" i="14"/>
  <c r="JX49" i="14"/>
  <c r="JP49" i="14"/>
  <c r="JC49" i="14"/>
  <c r="JL49" i="14"/>
  <c r="JR49" i="14" s="1"/>
  <c r="IV49" i="14"/>
  <c r="JU49" i="14"/>
  <c r="CA166" i="19"/>
  <c r="CB166" i="19"/>
  <c r="F87" i="22"/>
  <c r="GE41" i="14"/>
  <c r="GF41" i="14" s="1"/>
  <c r="GM41" i="14" s="1"/>
  <c r="M81" i="22"/>
  <c r="IL66" i="14"/>
  <c r="IM66" i="14" s="1"/>
  <c r="IT66" i="14" s="1"/>
  <c r="KE66" i="14"/>
  <c r="CJ174" i="19"/>
  <c r="CI157" i="19"/>
  <c r="CI174" i="19"/>
  <c r="AI192" i="10"/>
  <c r="AF250" i="10" s="1"/>
  <c r="AE250" i="10" s="1"/>
  <c r="AJ192" i="10"/>
  <c r="AH250" i="10" s="1"/>
  <c r="K10" i="9"/>
  <c r="ES53" i="14"/>
  <c r="BE197" i="19"/>
  <c r="BZ197" i="19"/>
  <c r="CB198" i="19"/>
  <c r="CB201" i="19"/>
  <c r="BZ204" i="19"/>
  <c r="BC69" i="14"/>
  <c r="AO22" i="14"/>
  <c r="V22" i="14"/>
  <c r="AB22" i="14"/>
  <c r="Y22" i="14"/>
  <c r="AA22" i="14"/>
  <c r="Z22" i="14"/>
  <c r="U22" i="14"/>
  <c r="AM22" i="14"/>
  <c r="AU22" i="14"/>
  <c r="AX22" i="14"/>
  <c r="AK22" i="14"/>
  <c r="AL22" i="14"/>
  <c r="AW22" i="14"/>
  <c r="S22" i="14"/>
  <c r="T22" i="14"/>
  <c r="AT22" i="14"/>
  <c r="AJ22" i="14"/>
  <c r="AS22" i="14"/>
  <c r="AY22" i="14" s="1"/>
  <c r="AV22" i="14"/>
  <c r="AZ22" i="14" s="1"/>
  <c r="AN22" i="14"/>
  <c r="JA55" i="14"/>
  <c r="JC55" i="14"/>
  <c r="JD55" i="14"/>
  <c r="JV55" i="14"/>
  <c r="IU55" i="14"/>
  <c r="IY55" i="14" s="1"/>
  <c r="M12" i="22" s="1"/>
  <c r="JY55" i="14"/>
  <c r="JU55" i="14"/>
  <c r="KA55" i="14" s="1"/>
  <c r="IW55" i="14"/>
  <c r="JZ55" i="14"/>
  <c r="JX55" i="14"/>
  <c r="IX55" i="14"/>
  <c r="JP55" i="14"/>
  <c r="JO55" i="14"/>
  <c r="JS55" i="14" s="1"/>
  <c r="JM55" i="14"/>
  <c r="JL55" i="14"/>
  <c r="JR55" i="14" s="1"/>
  <c r="JN55" i="14"/>
  <c r="JB55" i="14"/>
  <c r="JQ55" i="14"/>
  <c r="IV55" i="14"/>
  <c r="JW55" i="14"/>
  <c r="AL151" i="16"/>
  <c r="AL135" i="16"/>
  <c r="AE37" i="14"/>
  <c r="C25" i="9"/>
  <c r="BY181" i="19"/>
  <c r="BW184" i="19"/>
  <c r="AS166" i="10"/>
  <c r="AT166" i="10"/>
  <c r="KS34" i="14"/>
  <c r="KT34" i="14" s="1"/>
  <c r="LA34" i="14" s="1"/>
  <c r="ML34" i="14"/>
  <c r="H87" i="21" s="1"/>
  <c r="HX53" i="14"/>
  <c r="LN72" i="14"/>
  <c r="N29" i="9"/>
  <c r="I64" i="22"/>
  <c r="J49" i="14"/>
  <c r="K49" i="14" s="1"/>
  <c r="R49" i="14" s="1"/>
  <c r="AU193" i="19"/>
  <c r="AS199" i="19"/>
  <c r="AS192" i="19"/>
  <c r="AU196" i="19"/>
  <c r="J9" i="9"/>
  <c r="CL52" i="14"/>
  <c r="AY157" i="10"/>
  <c r="AY174" i="10"/>
  <c r="AZ174" i="10"/>
  <c r="AZ157" i="10"/>
  <c r="GZ22" i="14"/>
  <c r="F10" i="9"/>
  <c r="K69" i="22"/>
  <c r="DX54" i="14"/>
  <c r="DY54" i="14" s="1"/>
  <c r="EF54" i="14" s="1"/>
  <c r="KS30" i="14"/>
  <c r="KT30" i="14" s="1"/>
  <c r="LA30" i="14" s="1"/>
  <c r="AL54" i="14"/>
  <c r="AS54" i="14"/>
  <c r="AY54" i="14" s="1"/>
  <c r="AO54" i="14"/>
  <c r="V54" i="14"/>
  <c r="Z54" i="14"/>
  <c r="AM54" i="14"/>
  <c r="AT54" i="14"/>
  <c r="S54" i="14"/>
  <c r="AJ54" i="14"/>
  <c r="U54" i="14"/>
  <c r="AK54" i="14"/>
  <c r="AV54" i="14"/>
  <c r="Y54" i="14"/>
  <c r="AN54" i="14"/>
  <c r="AX54" i="14"/>
  <c r="T54" i="14"/>
  <c r="AU54" i="14"/>
  <c r="AA54" i="14"/>
  <c r="AB54" i="14"/>
  <c r="AW54" i="14"/>
  <c r="AO198" i="16"/>
  <c r="AO201" i="16"/>
  <c r="AF144" i="10"/>
  <c r="AF128" i="19"/>
  <c r="AF128" i="10"/>
  <c r="DB23" i="14"/>
  <c r="CT23" i="14"/>
  <c r="CX23" i="14" s="1"/>
  <c r="CZ23" i="14"/>
  <c r="CF23" i="14"/>
  <c r="CA23" i="14"/>
  <c r="CV23" i="14"/>
  <c r="DC23" i="14"/>
  <c r="CB23" i="14"/>
  <c r="DD23" i="14"/>
  <c r="CC23" i="14"/>
  <c r="DA23" i="14"/>
  <c r="DE23" i="14"/>
  <c r="CQ23" i="14"/>
  <c r="BZ23" i="14"/>
  <c r="CU23" i="14"/>
  <c r="CG23" i="14"/>
  <c r="CH23" i="14"/>
  <c r="CR23" i="14"/>
  <c r="CS23" i="14"/>
  <c r="CI23" i="14"/>
  <c r="D15" i="5"/>
  <c r="AB144" i="16"/>
  <c r="AB128" i="16"/>
  <c r="G27" i="5"/>
  <c r="X26" i="14"/>
  <c r="C43" i="9"/>
  <c r="AE68" i="14"/>
  <c r="I25" i="9"/>
  <c r="AO198" i="19"/>
  <c r="AO201" i="19"/>
  <c r="EG29" i="14"/>
  <c r="FJ29" i="14"/>
  <c r="EY29" i="14"/>
  <c r="FI29" i="14"/>
  <c r="FC29" i="14"/>
  <c r="EZ29" i="14"/>
  <c r="FG29" i="14"/>
  <c r="EX29" i="14"/>
  <c r="FK29" i="14"/>
  <c r="FL29" i="14"/>
  <c r="EI29" i="14"/>
  <c r="EM29" i="14"/>
  <c r="EQ29" i="14" s="1"/>
  <c r="EO29" i="14"/>
  <c r="EJ29" i="14"/>
  <c r="EH29" i="14"/>
  <c r="FB29" i="14"/>
  <c r="FA29" i="14"/>
  <c r="FE29" i="14" s="1"/>
  <c r="FH29" i="14"/>
  <c r="EN29" i="14"/>
  <c r="EP29" i="14"/>
  <c r="CA158" i="19"/>
  <c r="CB175" i="19"/>
  <c r="CA175" i="19"/>
  <c r="CB158" i="19"/>
  <c r="AR25" i="14"/>
  <c r="C44" i="23" s="1"/>
  <c r="U535" i="10"/>
  <c r="V534" i="10"/>
  <c r="W534" i="10" s="1"/>
  <c r="H86" i="22"/>
  <c r="KS40" i="14"/>
  <c r="KT40" i="14" s="1"/>
  <c r="LA40" i="14" s="1"/>
  <c r="ML40" i="14"/>
  <c r="CG157" i="10"/>
  <c r="CH157" i="10"/>
  <c r="CH174" i="10"/>
  <c r="CG174" i="10"/>
  <c r="F25" i="9"/>
  <c r="GZ37" i="14"/>
  <c r="AL148" i="16"/>
  <c r="AL132" i="16"/>
  <c r="I18" i="5"/>
  <c r="AU157" i="16"/>
  <c r="AD29" i="14"/>
  <c r="C46" i="22"/>
  <c r="AY166" i="19"/>
  <c r="AY167" i="19" s="1"/>
  <c r="AY168" i="19" s="1"/>
  <c r="AY169" i="19" s="1"/>
  <c r="AY170" i="19" s="1"/>
  <c r="AZ166" i="19"/>
  <c r="LG69" i="14"/>
  <c r="N55" i="9"/>
  <c r="D38" i="9"/>
  <c r="CE21" i="14"/>
  <c r="JG41" i="14"/>
  <c r="G29" i="9"/>
  <c r="KE71" i="14"/>
  <c r="CU58" i="14"/>
  <c r="CF58" i="14"/>
  <c r="CA58" i="14"/>
  <c r="DB58" i="14"/>
  <c r="CQ58" i="14"/>
  <c r="DE58" i="14"/>
  <c r="CV58" i="14"/>
  <c r="CH58" i="14"/>
  <c r="DA58" i="14"/>
  <c r="BZ58" i="14"/>
  <c r="CG58" i="14"/>
  <c r="CI58" i="14"/>
  <c r="CR58" i="14"/>
  <c r="DD58" i="14"/>
  <c r="CT58" i="14"/>
  <c r="DC58" i="14"/>
  <c r="CZ58" i="14"/>
  <c r="CS58" i="14"/>
  <c r="CB58" i="14"/>
  <c r="CC58" i="14"/>
  <c r="AZ181" i="19"/>
  <c r="AY181" i="19"/>
  <c r="AZ182" i="19"/>
  <c r="AY182" i="19"/>
  <c r="AZ183" i="19"/>
  <c r="AY183" i="19"/>
  <c r="AY184" i="19"/>
  <c r="AZ184" i="19"/>
  <c r="HX26" i="14"/>
  <c r="F79" i="21" s="1"/>
  <c r="H21" i="5"/>
  <c r="H20" i="5"/>
  <c r="CL53" i="14"/>
  <c r="J10" i="9"/>
  <c r="GZ67" i="14"/>
  <c r="L24" i="9"/>
  <c r="BF182" i="10"/>
  <c r="BE184" i="10"/>
  <c r="BE181" i="10"/>
  <c r="BE182" i="10"/>
  <c r="BF184" i="10"/>
  <c r="BE183" i="10"/>
  <c r="BF183" i="10"/>
  <c r="BF181" i="10"/>
  <c r="BQ26" i="14"/>
  <c r="BR26" i="14" s="1"/>
  <c r="BY26" i="14" s="1"/>
  <c r="DJ26" i="14"/>
  <c r="D79" i="21" s="1"/>
  <c r="IL27" i="14"/>
  <c r="IM27" i="14" s="1"/>
  <c r="IT27" i="14" s="1"/>
  <c r="AS166" i="19"/>
  <c r="AT166" i="19"/>
  <c r="BS158" i="10"/>
  <c r="BT175" i="10"/>
  <c r="BS175" i="10"/>
  <c r="D29" i="9"/>
  <c r="CL41" i="14"/>
  <c r="AB147" i="10"/>
  <c r="AB131" i="19"/>
  <c r="AB131" i="10"/>
  <c r="FQ51" i="14"/>
  <c r="N6" i="9"/>
  <c r="LN49" i="14"/>
  <c r="BF191" i="16"/>
  <c r="BE193" i="16"/>
  <c r="BE194" i="16"/>
  <c r="BF194" i="16"/>
  <c r="BF193" i="16"/>
  <c r="BE192" i="16"/>
  <c r="BE191" i="16"/>
  <c r="BF192" i="16"/>
  <c r="I7" i="9"/>
  <c r="AE50" i="14"/>
  <c r="S56" i="14"/>
  <c r="AV56" i="14"/>
  <c r="Z56" i="14"/>
  <c r="AJ56" i="14"/>
  <c r="T56" i="14"/>
  <c r="AS56" i="14"/>
  <c r="AY56" i="14" s="1"/>
  <c r="AO56" i="14"/>
  <c r="AL56" i="14"/>
  <c r="AM56" i="14"/>
  <c r="AU56" i="14"/>
  <c r="V56" i="14"/>
  <c r="AT56" i="14"/>
  <c r="AA56" i="14"/>
  <c r="AN56" i="14"/>
  <c r="AK56" i="14"/>
  <c r="Y56" i="14"/>
  <c r="U56" i="14"/>
  <c r="AB56" i="14"/>
  <c r="AW56" i="14"/>
  <c r="AX56" i="14"/>
  <c r="AD149" i="16"/>
  <c r="AD133" i="16"/>
  <c r="BM156" i="10"/>
  <c r="BM173" i="10"/>
  <c r="BN173" i="10"/>
  <c r="L89" i="21"/>
  <c r="L29" i="21" s="1"/>
  <c r="HY67" i="14"/>
  <c r="AU157" i="19"/>
  <c r="AU174" i="19"/>
  <c r="AV174" i="19"/>
  <c r="AV157" i="19"/>
  <c r="C48" i="21"/>
  <c r="C18" i="21" s="1"/>
  <c r="BD25" i="14"/>
  <c r="BE25" i="14" s="1"/>
  <c r="AV192" i="10"/>
  <c r="AV199" i="10"/>
  <c r="AX193" i="10"/>
  <c r="AX196" i="10"/>
  <c r="J66" i="22"/>
  <c r="BQ51" i="14"/>
  <c r="BR51" i="14" s="1"/>
  <c r="BY51" i="14" s="1"/>
  <c r="DJ51" i="14"/>
  <c r="AQ197" i="16"/>
  <c r="AS198" i="16"/>
  <c r="AS201" i="16"/>
  <c r="AQ204" i="16"/>
  <c r="CA202" i="16"/>
  <c r="CC203" i="16"/>
  <c r="CA209" i="16"/>
  <c r="CC206" i="16"/>
  <c r="AU197" i="19"/>
  <c r="AU204" i="19"/>
  <c r="AW201" i="19"/>
  <c r="AW198" i="19"/>
  <c r="BW157" i="19"/>
  <c r="BX174" i="19"/>
  <c r="BW174" i="19"/>
  <c r="BX157" i="19"/>
  <c r="CB56" i="14"/>
  <c r="BZ56" i="14"/>
  <c r="CD56" i="14" s="1"/>
  <c r="J13" i="22" s="1"/>
  <c r="CT56" i="14"/>
  <c r="DA56" i="14"/>
  <c r="CF56" i="14"/>
  <c r="CZ56" i="14"/>
  <c r="DB56" i="14"/>
  <c r="DD56" i="14"/>
  <c r="CA56" i="14"/>
  <c r="CQ56" i="14"/>
  <c r="CC56" i="14"/>
  <c r="CU56" i="14"/>
  <c r="CH56" i="14"/>
  <c r="DC56" i="14"/>
  <c r="DG56" i="14" s="1"/>
  <c r="CG56" i="14"/>
  <c r="CV56" i="14"/>
  <c r="CI56" i="14"/>
  <c r="DE56" i="14"/>
  <c r="CS56" i="14"/>
  <c r="CR56" i="14"/>
  <c r="AH151" i="16"/>
  <c r="AH135" i="16"/>
  <c r="L92" i="21"/>
  <c r="L32" i="21" s="1"/>
  <c r="HY70" i="14"/>
  <c r="CA204" i="10"/>
  <c r="CC198" i="10"/>
  <c r="CC201" i="10"/>
  <c r="CA197" i="10"/>
  <c r="AO193" i="10"/>
  <c r="AO196" i="10"/>
  <c r="J28" i="5"/>
  <c r="J19" i="5"/>
  <c r="J20" i="5"/>
  <c r="AG250" i="16"/>
  <c r="AC251" i="16"/>
  <c r="EP26" i="14"/>
  <c r="FI26" i="14"/>
  <c r="FG26" i="14"/>
  <c r="EZ26" i="14"/>
  <c r="EG26" i="14"/>
  <c r="EI26" i="14"/>
  <c r="EH26" i="14"/>
  <c r="FJ26" i="14"/>
  <c r="EJ26" i="14"/>
  <c r="FB26" i="14"/>
  <c r="FH26" i="14"/>
  <c r="EY26" i="14"/>
  <c r="EX26" i="14"/>
  <c r="FA26" i="14"/>
  <c r="FC26" i="14"/>
  <c r="EO26" i="14"/>
  <c r="FL26" i="14"/>
  <c r="EN26" i="14"/>
  <c r="EM26" i="14"/>
  <c r="EQ26" i="14" s="1"/>
  <c r="FK26" i="14"/>
  <c r="AR182" i="10"/>
  <c r="AT183" i="10"/>
  <c r="AR189" i="10"/>
  <c r="AT186" i="10"/>
  <c r="JA31" i="14"/>
  <c r="JC31" i="14"/>
  <c r="IV31" i="14"/>
  <c r="JD31" i="14"/>
  <c r="IW31" i="14"/>
  <c r="IX31" i="14"/>
  <c r="JB31" i="14"/>
  <c r="JV31" i="14"/>
  <c r="JP31" i="14"/>
  <c r="JU31" i="14"/>
  <c r="KA31" i="14" s="1"/>
  <c r="JQ31" i="14"/>
  <c r="IU31" i="14"/>
  <c r="IY31" i="14" s="1"/>
  <c r="G19" i="22" s="1"/>
  <c r="JN31" i="14"/>
  <c r="JO31" i="14"/>
  <c r="JM31" i="14"/>
  <c r="JX31" i="14"/>
  <c r="JY31" i="14"/>
  <c r="JW31" i="14"/>
  <c r="JL31" i="14"/>
  <c r="JR31" i="14" s="1"/>
  <c r="JZ31" i="14"/>
  <c r="AO175" i="16"/>
  <c r="AP175" i="16"/>
  <c r="AO158" i="16"/>
  <c r="AP158" i="16"/>
  <c r="BS183" i="19"/>
  <c r="BT183" i="19"/>
  <c r="E17" i="5"/>
  <c r="D19" i="5"/>
  <c r="D16" i="5"/>
  <c r="N19" i="5"/>
  <c r="N17" i="5"/>
  <c r="ML22" i="14"/>
  <c r="G23" i="5"/>
  <c r="G17" i="5"/>
  <c r="G12" i="5"/>
  <c r="G27" i="9"/>
  <c r="JG39" i="14"/>
  <c r="BB197" i="16"/>
  <c r="BA199" i="16"/>
  <c r="BA198" i="16"/>
  <c r="BB196" i="16"/>
  <c r="BA197" i="16"/>
  <c r="BB199" i="16"/>
  <c r="BB198" i="16"/>
  <c r="BA196" i="16"/>
  <c r="AE193" i="19"/>
  <c r="AH193" i="19" s="1"/>
  <c r="AG193" i="19"/>
  <c r="M68" i="22"/>
  <c r="IL53" i="14"/>
  <c r="IM53" i="14" s="1"/>
  <c r="IT53" i="14" s="1"/>
  <c r="E72" i="21"/>
  <c r="E12" i="21" s="1"/>
  <c r="FR19" i="14"/>
  <c r="CL70" i="14"/>
  <c r="J27" i="9"/>
  <c r="ML49" i="14"/>
  <c r="HX56" i="14"/>
  <c r="L78" i="21" s="1"/>
  <c r="AR176" i="16"/>
  <c r="AP175" i="19"/>
  <c r="AO175" i="19"/>
  <c r="AO158" i="19"/>
  <c r="AP158" i="19"/>
  <c r="J25" i="9"/>
  <c r="CL68" i="14"/>
  <c r="K88" i="21"/>
  <c r="K28" i="21" s="1"/>
  <c r="FR66" i="14"/>
  <c r="BA31" i="14"/>
  <c r="D64" i="22"/>
  <c r="BQ18" i="14"/>
  <c r="BR18" i="14" s="1"/>
  <c r="BY18" i="14" s="1"/>
  <c r="U39" i="14"/>
  <c r="T39" i="14"/>
  <c r="AT39" i="14"/>
  <c r="AW39" i="14"/>
  <c r="S39" i="14"/>
  <c r="AX39" i="14"/>
  <c r="AL39" i="14"/>
  <c r="AM39" i="14"/>
  <c r="AO39" i="14"/>
  <c r="AB39" i="14"/>
  <c r="AK39" i="14"/>
  <c r="AJ39" i="14"/>
  <c r="V39" i="14"/>
  <c r="AA39" i="14"/>
  <c r="Z39" i="14"/>
  <c r="AV39" i="14"/>
  <c r="AZ39" i="14" s="1"/>
  <c r="AN39" i="14"/>
  <c r="AS39" i="14"/>
  <c r="Y39" i="14"/>
  <c r="AU39" i="14"/>
  <c r="CC199" i="19"/>
  <c r="CC192" i="19"/>
  <c r="CE196" i="19"/>
  <c r="CE193" i="19"/>
  <c r="CJ196" i="10"/>
  <c r="CJ193" i="10"/>
  <c r="CH199" i="10"/>
  <c r="CH192" i="10"/>
  <c r="KE72" i="14"/>
  <c r="IL56" i="14"/>
  <c r="IM56" i="14" s="1"/>
  <c r="IT56" i="14" s="1"/>
  <c r="JG22" i="14"/>
  <c r="G10" i="9"/>
  <c r="DJ35" i="14"/>
  <c r="M84" i="22"/>
  <c r="IL69" i="14"/>
  <c r="IM69" i="14" s="1"/>
  <c r="IT69" i="14" s="1"/>
  <c r="KE69" i="14"/>
  <c r="BH198" i="16"/>
  <c r="BG198" i="16"/>
  <c r="BG35" i="14"/>
  <c r="BH35" i="14" s="1"/>
  <c r="C81" i="9"/>
  <c r="AF35" i="14"/>
  <c r="BN183" i="10"/>
  <c r="BN182" i="10"/>
  <c r="BM183" i="10"/>
  <c r="JG38" i="14"/>
  <c r="G26" i="9"/>
  <c r="J6" i="9"/>
  <c r="CL49" i="14"/>
  <c r="JG69" i="14"/>
  <c r="M26" i="9"/>
  <c r="M28" i="9"/>
  <c r="JG71" i="14"/>
  <c r="L25" i="9"/>
  <c r="GZ68" i="14"/>
  <c r="L10" i="9"/>
  <c r="GZ53" i="14"/>
  <c r="AE159" i="16" l="1"/>
  <c r="Z6" i="15" s="1"/>
  <c r="AD156" i="16"/>
  <c r="AE160" i="16" s="1"/>
  <c r="Z5" i="15" s="1"/>
  <c r="AB156" i="10"/>
  <c r="AA160" i="10" s="1"/>
  <c r="V5" i="12" s="1"/>
  <c r="AA159" i="10"/>
  <c r="V6" i="12" s="1"/>
  <c r="CE199" i="16"/>
  <c r="CE192" i="16"/>
  <c r="CG196" i="16"/>
  <c r="CG193" i="16"/>
  <c r="AC159" i="16"/>
  <c r="X6" i="15" s="1"/>
  <c r="AH156" i="16"/>
  <c r="AC160" i="16" s="1"/>
  <c r="X5" i="15" s="1"/>
  <c r="L83" i="9"/>
  <c r="HA68" i="14"/>
  <c r="IB68" i="14"/>
  <c r="N71" i="21"/>
  <c r="N11" i="21" s="1"/>
  <c r="MM49" i="14"/>
  <c r="ER29" i="14"/>
  <c r="E46" i="22"/>
  <c r="BG37" i="14"/>
  <c r="BH37" i="14" s="1"/>
  <c r="C83" i="9"/>
  <c r="AF37" i="14"/>
  <c r="MB69" i="14"/>
  <c r="MH69" i="14" s="1"/>
  <c r="LS69" i="14"/>
  <c r="LT69" i="14"/>
  <c r="LX69" i="14"/>
  <c r="LI69" i="14"/>
  <c r="MD69" i="14"/>
  <c r="LU69" i="14"/>
  <c r="LV69" i="14"/>
  <c r="LD69" i="14"/>
  <c r="MF69" i="14"/>
  <c r="LJ69" i="14"/>
  <c r="LH69" i="14"/>
  <c r="LC69" i="14"/>
  <c r="LK69" i="14"/>
  <c r="LW69" i="14"/>
  <c r="MC69" i="14"/>
  <c r="LB69" i="14"/>
  <c r="ME69" i="14"/>
  <c r="MG69" i="14"/>
  <c r="LE69" i="14"/>
  <c r="AO173" i="10"/>
  <c r="AP173" i="10"/>
  <c r="AP156" i="10"/>
  <c r="AO156" i="10"/>
  <c r="L11" i="9"/>
  <c r="GZ54" i="14"/>
  <c r="HL71" i="14"/>
  <c r="D68" i="9"/>
  <c r="CM22" i="14"/>
  <c r="DN22" i="14"/>
  <c r="DO22" i="14" s="1"/>
  <c r="AJ145" i="16"/>
  <c r="AJ129" i="16"/>
  <c r="BL199" i="19"/>
  <c r="BN196" i="19"/>
  <c r="BY188" i="10"/>
  <c r="BW187" i="10"/>
  <c r="BW194" i="10"/>
  <c r="BY191" i="10"/>
  <c r="AE34" i="14"/>
  <c r="C22" i="9"/>
  <c r="EK60" i="14"/>
  <c r="K17" i="22" s="1"/>
  <c r="HF21" i="14"/>
  <c r="HR21" i="14"/>
  <c r="GW21" i="14"/>
  <c r="HJ21" i="14"/>
  <c r="GP21" i="14"/>
  <c r="HP21" i="14"/>
  <c r="HQ21" i="14"/>
  <c r="HE21" i="14"/>
  <c r="HH21" i="14"/>
  <c r="HL21" i="14" s="1"/>
  <c r="GN21" i="14"/>
  <c r="HS21" i="14"/>
  <c r="HN21" i="14"/>
  <c r="GV21" i="14"/>
  <c r="HO21" i="14"/>
  <c r="GT21" i="14"/>
  <c r="HI21" i="14"/>
  <c r="GQ21" i="14"/>
  <c r="GU21" i="14"/>
  <c r="HG21" i="14"/>
  <c r="GO21" i="14"/>
  <c r="BC188" i="10"/>
  <c r="BD188" i="10"/>
  <c r="BC186" i="10"/>
  <c r="BD189" i="10"/>
  <c r="BD186" i="10"/>
  <c r="BD187" i="10"/>
  <c r="BC189" i="10"/>
  <c r="BC187" i="10"/>
  <c r="LN53" i="14"/>
  <c r="N10" i="9"/>
  <c r="JZ70" i="14"/>
  <c r="IV70" i="14"/>
  <c r="JY70" i="14"/>
  <c r="JU70" i="14"/>
  <c r="JW70" i="14"/>
  <c r="JM70" i="14"/>
  <c r="JA70" i="14"/>
  <c r="JQ70" i="14"/>
  <c r="JC70" i="14"/>
  <c r="JB70" i="14"/>
  <c r="JN70" i="14"/>
  <c r="JL70" i="14"/>
  <c r="JR70" i="14" s="1"/>
  <c r="JO70" i="14"/>
  <c r="JS70" i="14" s="1"/>
  <c r="JP70" i="14"/>
  <c r="JX70" i="14"/>
  <c r="IW70" i="14"/>
  <c r="JD70" i="14"/>
  <c r="JV70" i="14"/>
  <c r="IX70" i="14"/>
  <c r="IU70" i="14"/>
  <c r="FC69" i="14"/>
  <c r="EP69" i="14"/>
  <c r="FJ69" i="14"/>
  <c r="EN69" i="14"/>
  <c r="FA69" i="14"/>
  <c r="FK69" i="14"/>
  <c r="FG69" i="14"/>
  <c r="FB69" i="14"/>
  <c r="FL69" i="14"/>
  <c r="EI69" i="14"/>
  <c r="FI69" i="14"/>
  <c r="EO69" i="14"/>
  <c r="EG69" i="14"/>
  <c r="EJ69" i="14"/>
  <c r="FH69" i="14"/>
  <c r="EZ69" i="14"/>
  <c r="EX69" i="14"/>
  <c r="EY69" i="14"/>
  <c r="EH69" i="14"/>
  <c r="EM69" i="14"/>
  <c r="E6" i="9"/>
  <c r="ES18" i="14"/>
  <c r="BG158" i="16"/>
  <c r="BH175" i="16"/>
  <c r="BG175" i="16"/>
  <c r="X24" i="14"/>
  <c r="C41" i="9"/>
  <c r="AR24" i="14"/>
  <c r="C43" i="23" s="1"/>
  <c r="D72" i="21"/>
  <c r="D12" i="21" s="1"/>
  <c r="DK19" i="14"/>
  <c r="BB203" i="10"/>
  <c r="BB201" i="10"/>
  <c r="BB202" i="10"/>
  <c r="BA203" i="10"/>
  <c r="BA204" i="10"/>
  <c r="BA202" i="10"/>
  <c r="BB204" i="10"/>
  <c r="BA201" i="10"/>
  <c r="BA59" i="14"/>
  <c r="BG71" i="14"/>
  <c r="AF71" i="14"/>
  <c r="I86" i="9"/>
  <c r="BZ182" i="10"/>
  <c r="CB186" i="10"/>
  <c r="BZ189" i="10"/>
  <c r="CB183" i="10"/>
  <c r="N51" i="21"/>
  <c r="N21" i="21" s="1"/>
  <c r="MM59" i="14"/>
  <c r="MN59" i="14" s="1"/>
  <c r="GY61" i="14"/>
  <c r="L47" i="22"/>
  <c r="DF56" i="14"/>
  <c r="DH56" i="14" s="1"/>
  <c r="AT187" i="19"/>
  <c r="AV191" i="19"/>
  <c r="AT194" i="19"/>
  <c r="AV188" i="19"/>
  <c r="BQ199" i="10"/>
  <c r="BS196" i="10"/>
  <c r="FU53" i="14"/>
  <c r="K68" i="9"/>
  <c r="ET53" i="14"/>
  <c r="LO18" i="14"/>
  <c r="MP18" i="14"/>
  <c r="H64" i="9"/>
  <c r="AQ192" i="19"/>
  <c r="AQ199" i="19"/>
  <c r="AS193" i="19"/>
  <c r="AS196" i="19"/>
  <c r="AW199" i="19"/>
  <c r="AW192" i="19"/>
  <c r="CF34" i="14"/>
  <c r="CA34" i="14"/>
  <c r="CG34" i="14"/>
  <c r="CB34" i="14"/>
  <c r="CH34" i="14"/>
  <c r="CC34" i="14"/>
  <c r="CI34" i="14"/>
  <c r="DA34" i="14"/>
  <c r="DD34" i="14"/>
  <c r="CR34" i="14"/>
  <c r="CQ34" i="14"/>
  <c r="DC34" i="14"/>
  <c r="DG34" i="14" s="1"/>
  <c r="CU34" i="14"/>
  <c r="DB34" i="14"/>
  <c r="CT34" i="14"/>
  <c r="CX34" i="14" s="1"/>
  <c r="CZ34" i="14"/>
  <c r="DF34" i="14" s="1"/>
  <c r="DH34" i="14" s="1"/>
  <c r="DE34" i="14"/>
  <c r="BZ34" i="14"/>
  <c r="CS34" i="14"/>
  <c r="CV34" i="14"/>
  <c r="BG174" i="10"/>
  <c r="BG157" i="10"/>
  <c r="BH174" i="10"/>
  <c r="BH191" i="10" s="1"/>
  <c r="LN40" i="14"/>
  <c r="H28" i="9"/>
  <c r="GZ52" i="14"/>
  <c r="L9" i="9"/>
  <c r="GX33" i="14"/>
  <c r="GR60" i="14"/>
  <c r="L17" i="22" s="1"/>
  <c r="AJ144" i="16"/>
  <c r="AJ128" i="16"/>
  <c r="C95" i="14"/>
  <c r="BF24" i="14"/>
  <c r="AW167" i="16"/>
  <c r="AX167" i="16"/>
  <c r="E76" i="21"/>
  <c r="E16" i="21" s="1"/>
  <c r="FR23" i="14"/>
  <c r="DF64" i="14"/>
  <c r="DH64" i="14" s="1"/>
  <c r="KA34" i="14"/>
  <c r="AG194" i="19"/>
  <c r="AE194" i="19"/>
  <c r="AH194" i="19" s="1"/>
  <c r="AA546" i="10"/>
  <c r="AB545" i="10"/>
  <c r="AC545" i="10" s="1"/>
  <c r="CE196" i="10"/>
  <c r="CC192" i="10"/>
  <c r="CC199" i="10"/>
  <c r="CE193" i="10"/>
  <c r="M66" i="9"/>
  <c r="JH51" i="14"/>
  <c r="KI51" i="14"/>
  <c r="ER55" i="14"/>
  <c r="K41" i="22"/>
  <c r="IY29" i="14"/>
  <c r="G17" i="22" s="1"/>
  <c r="LF65" i="14"/>
  <c r="N22" i="22" s="1"/>
  <c r="JS21" i="14"/>
  <c r="JF28" i="14"/>
  <c r="G45" i="22"/>
  <c r="HU57" i="14"/>
  <c r="CJ24" i="14"/>
  <c r="FD67" i="14"/>
  <c r="DN70" i="14"/>
  <c r="CM70" i="14"/>
  <c r="J85" i="9"/>
  <c r="BW173" i="19"/>
  <c r="BX173" i="19"/>
  <c r="BW156" i="19"/>
  <c r="BX156" i="19"/>
  <c r="AS187" i="19"/>
  <c r="AS194" i="19"/>
  <c r="AU191" i="19"/>
  <c r="AU188" i="19"/>
  <c r="U536" i="10"/>
  <c r="V535" i="10"/>
  <c r="W535" i="10" s="1"/>
  <c r="FN29" i="14"/>
  <c r="MI63" i="14"/>
  <c r="HK34" i="14"/>
  <c r="C545" i="10"/>
  <c r="D544" i="10"/>
  <c r="E544" i="10" s="1"/>
  <c r="LZ21" i="14"/>
  <c r="EK31" i="14"/>
  <c r="E19" i="22" s="1"/>
  <c r="K67" i="9"/>
  <c r="ET52" i="14"/>
  <c r="FU52" i="14"/>
  <c r="CH21" i="14"/>
  <c r="CR21" i="14"/>
  <c r="CC21" i="14"/>
  <c r="CQ21" i="14"/>
  <c r="CW21" i="14" s="1"/>
  <c r="DA21" i="14"/>
  <c r="CB21" i="14"/>
  <c r="CT21" i="14"/>
  <c r="DD21" i="14"/>
  <c r="CS21" i="14"/>
  <c r="CU21" i="14"/>
  <c r="CZ21" i="14"/>
  <c r="DF21" i="14" s="1"/>
  <c r="CI21" i="14"/>
  <c r="BZ21" i="14"/>
  <c r="CA21" i="14"/>
  <c r="CG21" i="14"/>
  <c r="CF21" i="14"/>
  <c r="DB21" i="14"/>
  <c r="DC21" i="14"/>
  <c r="DE21" i="14"/>
  <c r="CV21" i="14"/>
  <c r="K91" i="21"/>
  <c r="K31" i="21" s="1"/>
  <c r="FR69" i="14"/>
  <c r="AU167" i="19"/>
  <c r="AV167" i="19"/>
  <c r="BG189" i="10"/>
  <c r="BG187" i="10"/>
  <c r="BG186" i="10"/>
  <c r="BH186" i="10"/>
  <c r="BH189" i="10"/>
  <c r="BH188" i="10"/>
  <c r="BG188" i="10"/>
  <c r="BH187" i="10"/>
  <c r="CF193" i="16"/>
  <c r="CD192" i="16"/>
  <c r="CF196" i="16"/>
  <c r="CD199" i="16"/>
  <c r="E73" i="21"/>
  <c r="E13" i="21" s="1"/>
  <c r="FR20" i="14"/>
  <c r="BK172" i="10"/>
  <c r="BL172" i="10"/>
  <c r="EN36" i="14"/>
  <c r="EO36" i="14"/>
  <c r="FA36" i="14"/>
  <c r="FE36" i="14" s="1"/>
  <c r="EJ36" i="14"/>
  <c r="FI36" i="14"/>
  <c r="FJ36" i="14"/>
  <c r="EZ36" i="14"/>
  <c r="FH36" i="14"/>
  <c r="FL36" i="14"/>
  <c r="EM36" i="14"/>
  <c r="EY36" i="14"/>
  <c r="EH36" i="14"/>
  <c r="FB36" i="14"/>
  <c r="FG36" i="14"/>
  <c r="EX36" i="14"/>
  <c r="FC36" i="14"/>
  <c r="EI36" i="14"/>
  <c r="FK36" i="14"/>
  <c r="EG36" i="14"/>
  <c r="EP36" i="14"/>
  <c r="BQ197" i="16"/>
  <c r="BR199" i="16"/>
  <c r="BR196" i="16"/>
  <c r="BQ199" i="16"/>
  <c r="BR198" i="16"/>
  <c r="BQ196" i="16"/>
  <c r="BR197" i="16"/>
  <c r="BQ198" i="16"/>
  <c r="EI23" i="14"/>
  <c r="EN23" i="14"/>
  <c r="FB23" i="14"/>
  <c r="EJ23" i="14"/>
  <c r="EO23" i="14"/>
  <c r="FC23" i="14"/>
  <c r="EP23" i="14"/>
  <c r="FJ23" i="14"/>
  <c r="FK23" i="14"/>
  <c r="EX23" i="14"/>
  <c r="FL23" i="14"/>
  <c r="EM23" i="14"/>
  <c r="EZ23" i="14"/>
  <c r="EG23" i="14"/>
  <c r="EH23" i="14"/>
  <c r="FA23" i="14"/>
  <c r="FI23" i="14"/>
  <c r="EY23" i="14"/>
  <c r="FH23" i="14"/>
  <c r="FG23" i="14"/>
  <c r="FM23" i="14" s="1"/>
  <c r="AZ189" i="19"/>
  <c r="AY188" i="19"/>
  <c r="AY186" i="19"/>
  <c r="AY189" i="19"/>
  <c r="AY187" i="19"/>
  <c r="AZ187" i="19"/>
  <c r="AZ188" i="19"/>
  <c r="AZ186" i="19"/>
  <c r="CE157" i="10"/>
  <c r="CF174" i="10"/>
  <c r="CE174" i="10"/>
  <c r="CF157" i="10"/>
  <c r="CL20" i="14"/>
  <c r="D8" i="9"/>
  <c r="M6" i="9"/>
  <c r="JG49" i="14"/>
  <c r="F44" i="22"/>
  <c r="GY27" i="14"/>
  <c r="E41" i="22"/>
  <c r="ER24" i="14"/>
  <c r="H43" i="22"/>
  <c r="LM26" i="14"/>
  <c r="FN25" i="14"/>
  <c r="HK19" i="14"/>
  <c r="HL19" i="14"/>
  <c r="FD64" i="14"/>
  <c r="AY58" i="14"/>
  <c r="BA58" i="14" s="1"/>
  <c r="KA29" i="14"/>
  <c r="F42" i="22"/>
  <c r="GY25" i="14"/>
  <c r="LF55" i="14"/>
  <c r="N12" i="22" s="1"/>
  <c r="GR30" i="14"/>
  <c r="F18" i="22" s="1"/>
  <c r="CK54" i="14"/>
  <c r="J40" i="22"/>
  <c r="DF63" i="14"/>
  <c r="CG18" i="14"/>
  <c r="DC18" i="14"/>
  <c r="CC18" i="14"/>
  <c r="CU18" i="14"/>
  <c r="CR18" i="14"/>
  <c r="DA18" i="14"/>
  <c r="DE18" i="14"/>
  <c r="CS18" i="14"/>
  <c r="CF18" i="14"/>
  <c r="CZ18" i="14"/>
  <c r="CB18" i="14"/>
  <c r="CA18" i="14"/>
  <c r="BZ18" i="14"/>
  <c r="CQ18" i="14"/>
  <c r="CW18" i="14" s="1"/>
  <c r="DD18" i="14"/>
  <c r="CT18" i="14"/>
  <c r="CH18" i="14"/>
  <c r="DB18" i="14"/>
  <c r="CV18" i="14"/>
  <c r="CI18" i="14"/>
  <c r="K73" i="21"/>
  <c r="K13" i="21" s="1"/>
  <c r="FR51" i="14"/>
  <c r="EK29" i="14"/>
  <c r="E17" i="22" s="1"/>
  <c r="BE194" i="19"/>
  <c r="BF193" i="19"/>
  <c r="BE193" i="19"/>
  <c r="BF194" i="19"/>
  <c r="BE191" i="19"/>
  <c r="BE192" i="19"/>
  <c r="BF191" i="19"/>
  <c r="BF192" i="19"/>
  <c r="HO41" i="14"/>
  <c r="HR41" i="14"/>
  <c r="GT41" i="14"/>
  <c r="HP41" i="14"/>
  <c r="GO41" i="14"/>
  <c r="HS41" i="14"/>
  <c r="GW41" i="14"/>
  <c r="HQ41" i="14"/>
  <c r="HU41" i="14" s="1"/>
  <c r="GQ41" i="14"/>
  <c r="HH41" i="14"/>
  <c r="HJ41" i="14"/>
  <c r="GN41" i="14"/>
  <c r="GV41" i="14"/>
  <c r="HI41" i="14"/>
  <c r="GP41" i="14"/>
  <c r="HG41" i="14"/>
  <c r="HN41" i="14"/>
  <c r="HT41" i="14" s="1"/>
  <c r="HE41" i="14"/>
  <c r="HF41" i="14"/>
  <c r="GU41" i="14"/>
  <c r="LY63" i="14"/>
  <c r="AT174" i="19"/>
  <c r="AS174" i="19"/>
  <c r="AS157" i="19"/>
  <c r="AT157" i="19"/>
  <c r="W55" i="14"/>
  <c r="I12" i="22" s="1"/>
  <c r="LY21" i="14"/>
  <c r="D75" i="21"/>
  <c r="D15" i="21" s="1"/>
  <c r="DK22" i="14"/>
  <c r="L71" i="21"/>
  <c r="L11" i="21" s="1"/>
  <c r="HY49" i="14"/>
  <c r="HO40" i="14"/>
  <c r="HH40" i="14"/>
  <c r="HP40" i="14"/>
  <c r="GQ40" i="14"/>
  <c r="HI40" i="14"/>
  <c r="HG40" i="14"/>
  <c r="HS40" i="14"/>
  <c r="HF40" i="14"/>
  <c r="GV40" i="14"/>
  <c r="HR40" i="14"/>
  <c r="GN40" i="14"/>
  <c r="GU40" i="14"/>
  <c r="GO40" i="14"/>
  <c r="HJ40" i="14"/>
  <c r="GW40" i="14"/>
  <c r="GP40" i="14"/>
  <c r="HQ40" i="14"/>
  <c r="HU40" i="14" s="1"/>
  <c r="HE40" i="14"/>
  <c r="GT40" i="14"/>
  <c r="HN40" i="14"/>
  <c r="GN39" i="14"/>
  <c r="GT39" i="14"/>
  <c r="HN39" i="14"/>
  <c r="HT39" i="14" s="1"/>
  <c r="HJ39" i="14"/>
  <c r="HS39" i="14"/>
  <c r="HH39" i="14"/>
  <c r="HO39" i="14"/>
  <c r="HQ39" i="14"/>
  <c r="GV39" i="14"/>
  <c r="HE39" i="14"/>
  <c r="HG39" i="14"/>
  <c r="GP39" i="14"/>
  <c r="GO39" i="14"/>
  <c r="HR39" i="14"/>
  <c r="GQ39" i="14"/>
  <c r="HI39" i="14"/>
  <c r="GU39" i="14"/>
  <c r="HP39" i="14"/>
  <c r="HF39" i="14"/>
  <c r="GW39" i="14"/>
  <c r="BH187" i="19"/>
  <c r="BH189" i="19"/>
  <c r="BH188" i="19"/>
  <c r="BG186" i="19"/>
  <c r="BG189" i="19"/>
  <c r="BG187" i="19"/>
  <c r="BH186" i="19"/>
  <c r="BG188" i="19"/>
  <c r="HO69" i="14"/>
  <c r="HJ69" i="14"/>
  <c r="HP69" i="14"/>
  <c r="HI69" i="14"/>
  <c r="GW69" i="14"/>
  <c r="GT69" i="14"/>
  <c r="HR69" i="14"/>
  <c r="HG69" i="14"/>
  <c r="HF69" i="14"/>
  <c r="GU69" i="14"/>
  <c r="GV69" i="14"/>
  <c r="GP69" i="14"/>
  <c r="GQ69" i="14"/>
  <c r="HS69" i="14"/>
  <c r="HN69" i="14"/>
  <c r="GO69" i="14"/>
  <c r="GN69" i="14"/>
  <c r="HE69" i="14"/>
  <c r="HQ69" i="14"/>
  <c r="HH69" i="14"/>
  <c r="HL69" i="14" s="1"/>
  <c r="HT33" i="14"/>
  <c r="HV33" i="14" s="1"/>
  <c r="HL50" i="14"/>
  <c r="CL19" i="14"/>
  <c r="D7" i="9"/>
  <c r="CI157" i="16"/>
  <c r="CI174" i="16"/>
  <c r="CJ174" i="16"/>
  <c r="CF199" i="19"/>
  <c r="CH193" i="19"/>
  <c r="CF192" i="19"/>
  <c r="CH196" i="19"/>
  <c r="JR60" i="14"/>
  <c r="FN35" i="14"/>
  <c r="CC167" i="16"/>
  <c r="CD167" i="16"/>
  <c r="JS57" i="14"/>
  <c r="BZ158" i="16"/>
  <c r="BZ175" i="16"/>
  <c r="BY175" i="16"/>
  <c r="K75" i="21"/>
  <c r="K15" i="21" s="1"/>
  <c r="FR53" i="14"/>
  <c r="CG69" i="14"/>
  <c r="CQ69" i="14"/>
  <c r="CW69" i="14" s="1"/>
  <c r="CC69" i="14"/>
  <c r="CI69" i="14"/>
  <c r="CT69" i="14"/>
  <c r="CX69" i="14" s="1"/>
  <c r="CH69" i="14"/>
  <c r="DB69" i="14"/>
  <c r="DA69" i="14"/>
  <c r="CZ69" i="14"/>
  <c r="CB69" i="14"/>
  <c r="DE69" i="14"/>
  <c r="CU69" i="14"/>
  <c r="CF69" i="14"/>
  <c r="CV69" i="14"/>
  <c r="DC69" i="14"/>
  <c r="CR69" i="14"/>
  <c r="CS69" i="14"/>
  <c r="BZ69" i="14"/>
  <c r="CA69" i="14"/>
  <c r="DD69" i="14"/>
  <c r="BG193" i="10"/>
  <c r="BH193" i="10"/>
  <c r="BG192" i="10"/>
  <c r="BG191" i="10"/>
  <c r="BH192" i="10"/>
  <c r="KB37" i="14"/>
  <c r="G46" i="22"/>
  <c r="JF29" i="14"/>
  <c r="DF27" i="14"/>
  <c r="FN41" i="14"/>
  <c r="IY63" i="14"/>
  <c r="M20" i="22" s="1"/>
  <c r="CD31" i="14"/>
  <c r="D19" i="22" s="1"/>
  <c r="AP63" i="14"/>
  <c r="FD30" i="14"/>
  <c r="FF30" i="14" s="1"/>
  <c r="E49" i="23" s="1"/>
  <c r="HT62" i="14"/>
  <c r="DG57" i="14"/>
  <c r="LY66" i="14"/>
  <c r="MI20" i="14"/>
  <c r="LY20" i="14"/>
  <c r="EK65" i="14"/>
  <c r="K22" i="22" s="1"/>
  <c r="IY65" i="14"/>
  <c r="M22" i="22" s="1"/>
  <c r="FE63" i="14"/>
  <c r="C84" i="23"/>
  <c r="BI35" i="14"/>
  <c r="C24" i="23" s="1"/>
  <c r="JY56" i="14"/>
  <c r="JC56" i="14"/>
  <c r="JD56" i="14"/>
  <c r="IV56" i="14"/>
  <c r="JQ56" i="14"/>
  <c r="JW56" i="14"/>
  <c r="IX56" i="14"/>
  <c r="JL56" i="14"/>
  <c r="IW56" i="14"/>
  <c r="JB56" i="14"/>
  <c r="JP56" i="14"/>
  <c r="JZ56" i="14"/>
  <c r="JA56" i="14"/>
  <c r="JE56" i="14" s="1"/>
  <c r="IU56" i="14"/>
  <c r="IY56" i="14" s="1"/>
  <c r="M13" i="22" s="1"/>
  <c r="JX56" i="14"/>
  <c r="JV56" i="14"/>
  <c r="JO56" i="14"/>
  <c r="JN56" i="14"/>
  <c r="JU56" i="14"/>
  <c r="JM56" i="14"/>
  <c r="AO193" i="19"/>
  <c r="AO196" i="19"/>
  <c r="AJ148" i="10"/>
  <c r="AJ132" i="10"/>
  <c r="AJ132" i="19"/>
  <c r="KB31" i="14"/>
  <c r="FN26" i="14"/>
  <c r="AC252" i="16"/>
  <c r="AG251" i="16"/>
  <c r="CX56" i="14"/>
  <c r="BK183" i="10"/>
  <c r="BL183" i="10"/>
  <c r="BL181" i="10"/>
  <c r="BK182" i="10"/>
  <c r="BL182" i="10"/>
  <c r="BK181" i="10"/>
  <c r="BL184" i="10"/>
  <c r="BK184" i="10"/>
  <c r="IB67" i="14"/>
  <c r="IC67" i="14" s="1"/>
  <c r="HA67" i="14"/>
  <c r="L82" i="9"/>
  <c r="CD58" i="14"/>
  <c r="J15" i="22" s="1"/>
  <c r="CJ58" i="14"/>
  <c r="LN69" i="14"/>
  <c r="N26" i="9"/>
  <c r="AU156" i="16"/>
  <c r="FD29" i="14"/>
  <c r="LK30" i="14"/>
  <c r="LD30" i="14"/>
  <c r="LE30" i="14"/>
  <c r="LH30" i="14"/>
  <c r="LL30" i="14" s="1"/>
  <c r="LJ30" i="14"/>
  <c r="LB30" i="14"/>
  <c r="LC30" i="14"/>
  <c r="LT30" i="14"/>
  <c r="MC30" i="14"/>
  <c r="LI30" i="14"/>
  <c r="LV30" i="14"/>
  <c r="LW30" i="14"/>
  <c r="MB30" i="14"/>
  <c r="MD30" i="14"/>
  <c r="MG30" i="14"/>
  <c r="MF30" i="14"/>
  <c r="ME30" i="14"/>
  <c r="MI30" i="14" s="1"/>
  <c r="LU30" i="14"/>
  <c r="LX30" i="14"/>
  <c r="LS30" i="14"/>
  <c r="LY30" i="14" s="1"/>
  <c r="AY156" i="10"/>
  <c r="AY173" i="10"/>
  <c r="AZ173" i="10"/>
  <c r="AZ156" i="10"/>
  <c r="AS167" i="10"/>
  <c r="AT167" i="10"/>
  <c r="KB49" i="14"/>
  <c r="HT51" i="14"/>
  <c r="AW197" i="16"/>
  <c r="AW204" i="16"/>
  <c r="LZ25" i="14"/>
  <c r="MF50" i="14"/>
  <c r="LK50" i="14"/>
  <c r="LV50" i="14"/>
  <c r="LT50" i="14"/>
  <c r="LS50" i="14"/>
  <c r="LY50" i="14" s="1"/>
  <c r="LJ50" i="14"/>
  <c r="LU50" i="14"/>
  <c r="MC50" i="14"/>
  <c r="LX50" i="14"/>
  <c r="LD50" i="14"/>
  <c r="MD50" i="14"/>
  <c r="LC50" i="14"/>
  <c r="LI50" i="14"/>
  <c r="MG50" i="14"/>
  <c r="LE50" i="14"/>
  <c r="ME50" i="14"/>
  <c r="MI50" i="14" s="1"/>
  <c r="LB50" i="14"/>
  <c r="LH50" i="14"/>
  <c r="MB50" i="14"/>
  <c r="MH50" i="14" s="1"/>
  <c r="LW50" i="14"/>
  <c r="MH63" i="14"/>
  <c r="MJ63" i="14" s="1"/>
  <c r="BB188" i="19"/>
  <c r="BB186" i="19"/>
  <c r="BA186" i="19"/>
  <c r="BB189" i="19"/>
  <c r="BA188" i="19"/>
  <c r="BA187" i="19"/>
  <c r="BA189" i="19"/>
  <c r="BB187" i="19"/>
  <c r="GZ36" i="14"/>
  <c r="F24" i="9"/>
  <c r="N90" i="21"/>
  <c r="N30" i="21" s="1"/>
  <c r="MM68" i="14"/>
  <c r="AY57" i="14"/>
  <c r="BA57" i="14" s="1"/>
  <c r="BL208" i="10"/>
  <c r="BK208" i="10"/>
  <c r="BL207" i="10"/>
  <c r="BL206" i="10"/>
  <c r="BK206" i="10"/>
  <c r="BL209" i="10"/>
  <c r="BK207" i="10"/>
  <c r="BK209" i="10"/>
  <c r="AY51" i="14"/>
  <c r="EQ27" i="14"/>
  <c r="FN27" i="14"/>
  <c r="FM31" i="14"/>
  <c r="I545" i="10"/>
  <c r="J544" i="10"/>
  <c r="K544" i="10" s="1"/>
  <c r="AS157" i="16"/>
  <c r="AS174" i="16"/>
  <c r="AT174" i="16"/>
  <c r="AT157" i="16"/>
  <c r="JS51" i="14"/>
  <c r="CX39" i="14"/>
  <c r="AE194" i="10"/>
  <c r="AH194" i="10" s="1"/>
  <c r="AG194" i="10"/>
  <c r="LZ27" i="14"/>
  <c r="MI27" i="14"/>
  <c r="AJ153" i="10"/>
  <c r="AJ137" i="10"/>
  <c r="AJ137" i="19"/>
  <c r="BA193" i="19"/>
  <c r="BB194" i="19"/>
  <c r="BA191" i="19"/>
  <c r="BB192" i="19"/>
  <c r="BB191" i="19"/>
  <c r="BA192" i="19"/>
  <c r="BA194" i="19"/>
  <c r="BB193" i="19"/>
  <c r="CL23" i="14"/>
  <c r="D11" i="9"/>
  <c r="BS157" i="16"/>
  <c r="BS174" i="16"/>
  <c r="BT174" i="16"/>
  <c r="HH49" i="14"/>
  <c r="GW49" i="14"/>
  <c r="GU49" i="14"/>
  <c r="HS49" i="14"/>
  <c r="HO49" i="14"/>
  <c r="GP49" i="14"/>
  <c r="HJ49" i="14"/>
  <c r="HQ49" i="14"/>
  <c r="GT49" i="14"/>
  <c r="GN49" i="14"/>
  <c r="HI49" i="14"/>
  <c r="HN49" i="14"/>
  <c r="HT49" i="14" s="1"/>
  <c r="HP49" i="14"/>
  <c r="GV49" i="14"/>
  <c r="HF49" i="14"/>
  <c r="HE49" i="14"/>
  <c r="HK49" i="14" s="1"/>
  <c r="HR49" i="14"/>
  <c r="GQ49" i="14"/>
  <c r="GO49" i="14"/>
  <c r="HG49" i="14"/>
  <c r="BI157" i="19"/>
  <c r="BJ174" i="19"/>
  <c r="BI174" i="19"/>
  <c r="FD61" i="14"/>
  <c r="CC168" i="10"/>
  <c r="CD168" i="10"/>
  <c r="JG72" i="14"/>
  <c r="M29" i="9"/>
  <c r="BP199" i="10"/>
  <c r="BR196" i="10"/>
  <c r="CE167" i="19"/>
  <c r="CF167" i="19"/>
  <c r="HU71" i="14"/>
  <c r="AE72" i="14"/>
  <c r="I29" i="9"/>
  <c r="E84" i="9"/>
  <c r="ET38" i="14"/>
  <c r="FU38" i="14"/>
  <c r="IW23" i="14"/>
  <c r="JL23" i="14"/>
  <c r="JP23" i="14"/>
  <c r="JV23" i="14"/>
  <c r="JU23" i="14"/>
  <c r="KA23" i="14" s="1"/>
  <c r="KC23" i="14" s="1"/>
  <c r="JD23" i="14"/>
  <c r="IV23" i="14"/>
  <c r="JY23" i="14"/>
  <c r="JA23" i="14"/>
  <c r="JO23" i="14"/>
  <c r="JM23" i="14"/>
  <c r="JX23" i="14"/>
  <c r="KB23" i="14" s="1"/>
  <c r="JB23" i="14"/>
  <c r="IX23" i="14"/>
  <c r="JN23" i="14"/>
  <c r="JQ23" i="14"/>
  <c r="JZ23" i="14"/>
  <c r="IU23" i="14"/>
  <c r="IY23" i="14" s="1"/>
  <c r="G11" i="22" s="1"/>
  <c r="JW23" i="14"/>
  <c r="JC23" i="14"/>
  <c r="AS181" i="10"/>
  <c r="AQ184" i="10"/>
  <c r="CB196" i="16"/>
  <c r="BZ192" i="16"/>
  <c r="CB193" i="16"/>
  <c r="BZ199" i="16"/>
  <c r="BR174" i="19"/>
  <c r="BP187" i="19" s="1"/>
  <c r="BQ174" i="19"/>
  <c r="BQ191" i="19" s="1"/>
  <c r="BQ157" i="19"/>
  <c r="BI207" i="16"/>
  <c r="BI209" i="16"/>
  <c r="BJ209" i="16"/>
  <c r="BJ206" i="16"/>
  <c r="BJ208" i="16"/>
  <c r="BI206" i="16"/>
  <c r="BI208" i="16"/>
  <c r="BJ207" i="16"/>
  <c r="CD60" i="14"/>
  <c r="J17" i="22" s="1"/>
  <c r="IB71" i="14"/>
  <c r="L86" i="9"/>
  <c r="HA71" i="14"/>
  <c r="IY58" i="14"/>
  <c r="M15" i="22" s="1"/>
  <c r="AQ19" i="14"/>
  <c r="BP203" i="10"/>
  <c r="BP204" i="10"/>
  <c r="BO204" i="10"/>
  <c r="BO203" i="10"/>
  <c r="BP201" i="10"/>
  <c r="BO202" i="10"/>
  <c r="BO201" i="10"/>
  <c r="BP202" i="10"/>
  <c r="AZ204" i="16"/>
  <c r="AY201" i="16"/>
  <c r="AZ202" i="16"/>
  <c r="AZ201" i="16"/>
  <c r="AY204" i="16"/>
  <c r="AY203" i="16"/>
  <c r="AZ203" i="16"/>
  <c r="AY202" i="16"/>
  <c r="CH158" i="16"/>
  <c r="CH157" i="16" s="1"/>
  <c r="G89" i="21"/>
  <c r="G29" i="21" s="1"/>
  <c r="KF36" i="14"/>
  <c r="BQ156" i="16"/>
  <c r="BQ173" i="16"/>
  <c r="BQ186" i="16" s="1"/>
  <c r="BR173" i="16"/>
  <c r="BR186" i="16" s="1"/>
  <c r="CW59" i="14"/>
  <c r="ES23" i="14"/>
  <c r="E11" i="9"/>
  <c r="HL70" i="14"/>
  <c r="MI33" i="14"/>
  <c r="MJ33" i="14" s="1"/>
  <c r="J92" i="21"/>
  <c r="J32" i="21" s="1"/>
  <c r="DK70" i="14"/>
  <c r="KA30" i="14"/>
  <c r="KC30" i="14" s="1"/>
  <c r="H68" i="9"/>
  <c r="LO22" i="14"/>
  <c r="MP22" i="14"/>
  <c r="IB72" i="14"/>
  <c r="HA72" i="14"/>
  <c r="L87" i="9"/>
  <c r="DF36" i="14"/>
  <c r="DG36" i="14"/>
  <c r="BX196" i="10"/>
  <c r="BX193" i="10"/>
  <c r="DF49" i="14"/>
  <c r="MP68" i="14"/>
  <c r="MQ68" i="14" s="1"/>
  <c r="LO68" i="14"/>
  <c r="N83" i="9"/>
  <c r="CI193" i="16"/>
  <c r="CG199" i="16"/>
  <c r="CI196" i="16"/>
  <c r="CG192" i="16"/>
  <c r="JR35" i="14"/>
  <c r="MI19" i="14"/>
  <c r="BS172" i="19"/>
  <c r="BS181" i="19" s="1"/>
  <c r="BT172" i="19"/>
  <c r="BT181" i="19" s="1"/>
  <c r="CE199" i="19"/>
  <c r="CG193" i="19"/>
  <c r="CG196" i="19"/>
  <c r="CE192" i="19"/>
  <c r="ET69" i="14"/>
  <c r="FU69" i="14"/>
  <c r="K84" i="9"/>
  <c r="CI188" i="10"/>
  <c r="CG194" i="10"/>
  <c r="CG187" i="10"/>
  <c r="CI191" i="10"/>
  <c r="LZ23" i="14"/>
  <c r="AD159" i="16"/>
  <c r="Y6" i="15" s="1"/>
  <c r="AF156" i="16"/>
  <c r="AD160" i="16" s="1"/>
  <c r="Y5" i="15" s="1"/>
  <c r="CD64" i="14"/>
  <c r="J21" i="22" s="1"/>
  <c r="BO183" i="10"/>
  <c r="BU173" i="19"/>
  <c r="BU156" i="19"/>
  <c r="BV173" i="19"/>
  <c r="HT67" i="14"/>
  <c r="JR34" i="14"/>
  <c r="JT34" i="14" s="1"/>
  <c r="BY167" i="16"/>
  <c r="BZ167" i="16"/>
  <c r="BQ191" i="16"/>
  <c r="MP67" i="14"/>
  <c r="MQ67" i="14" s="1"/>
  <c r="N82" i="9"/>
  <c r="LO67" i="14"/>
  <c r="BO172" i="16"/>
  <c r="BP172" i="16"/>
  <c r="AQ157" i="16"/>
  <c r="AR174" i="16"/>
  <c r="AQ174" i="16"/>
  <c r="AR157" i="16"/>
  <c r="MC38" i="14"/>
  <c r="LE38" i="14"/>
  <c r="MG38" i="14"/>
  <c r="LC38" i="14"/>
  <c r="LX38" i="14"/>
  <c r="LD38" i="14"/>
  <c r="LV38" i="14"/>
  <c r="ME38" i="14"/>
  <c r="LW38" i="14"/>
  <c r="MD38" i="14"/>
  <c r="LS38" i="14"/>
  <c r="LT38" i="14"/>
  <c r="LJ38" i="14"/>
  <c r="MF38" i="14"/>
  <c r="LK38" i="14"/>
  <c r="MB38" i="14"/>
  <c r="LI38" i="14"/>
  <c r="LU38" i="14"/>
  <c r="LB38" i="14"/>
  <c r="LH38" i="14"/>
  <c r="AD155" i="10"/>
  <c r="BR193" i="19"/>
  <c r="BQ194" i="19"/>
  <c r="BQ193" i="19"/>
  <c r="BR194" i="19"/>
  <c r="BQ192" i="19"/>
  <c r="BR192" i="19"/>
  <c r="FD66" i="14"/>
  <c r="AJ146" i="16"/>
  <c r="AJ130" i="16"/>
  <c r="ET49" i="14"/>
  <c r="FU49" i="14"/>
  <c r="K64" i="9"/>
  <c r="HF56" i="14"/>
  <c r="HG56" i="14"/>
  <c r="GQ56" i="14"/>
  <c r="GO56" i="14"/>
  <c r="HS56" i="14"/>
  <c r="GP56" i="14"/>
  <c r="HP56" i="14"/>
  <c r="HO56" i="14"/>
  <c r="GT56" i="14"/>
  <c r="GX56" i="14" s="1"/>
  <c r="HN56" i="14"/>
  <c r="HT56" i="14" s="1"/>
  <c r="HE56" i="14"/>
  <c r="GV56" i="14"/>
  <c r="GU56" i="14"/>
  <c r="HQ56" i="14"/>
  <c r="HI56" i="14"/>
  <c r="GW56" i="14"/>
  <c r="GN56" i="14"/>
  <c r="GR56" i="14" s="1"/>
  <c r="L13" i="22" s="1"/>
  <c r="HH56" i="14"/>
  <c r="HL56" i="14" s="1"/>
  <c r="HJ56" i="14"/>
  <c r="HR56" i="14"/>
  <c r="JG66" i="14"/>
  <c r="M23" i="9"/>
  <c r="EP72" i="14"/>
  <c r="FG72" i="14"/>
  <c r="EM72" i="14"/>
  <c r="EG72" i="14"/>
  <c r="EO72" i="14"/>
  <c r="EX72" i="14"/>
  <c r="FH72" i="14"/>
  <c r="EI72" i="14"/>
  <c r="EZ72" i="14"/>
  <c r="FC72" i="14"/>
  <c r="FJ72" i="14"/>
  <c r="FN72" i="14" s="1"/>
  <c r="EJ72" i="14"/>
  <c r="EH72" i="14"/>
  <c r="FB72" i="14"/>
  <c r="FA72" i="14"/>
  <c r="FL72" i="14"/>
  <c r="FK72" i="14"/>
  <c r="EY72" i="14"/>
  <c r="EN72" i="14"/>
  <c r="FI72" i="14"/>
  <c r="MD51" i="14"/>
  <c r="ME51" i="14"/>
  <c r="LK51" i="14"/>
  <c r="MC51" i="14"/>
  <c r="LD51" i="14"/>
  <c r="LC51" i="14"/>
  <c r="LV51" i="14"/>
  <c r="LZ51" i="14" s="1"/>
  <c r="LE51" i="14"/>
  <c r="LW51" i="14"/>
  <c r="LI51" i="14"/>
  <c r="LH51" i="14"/>
  <c r="LT51" i="14"/>
  <c r="MG51" i="14"/>
  <c r="MB51" i="14"/>
  <c r="MH51" i="14" s="1"/>
  <c r="LB51" i="14"/>
  <c r="LS51" i="14"/>
  <c r="LY51" i="14" s="1"/>
  <c r="LX51" i="14"/>
  <c r="LJ51" i="14"/>
  <c r="MF51" i="14"/>
  <c r="LU51" i="14"/>
  <c r="I93" i="21"/>
  <c r="I33" i="21" s="1"/>
  <c r="BD71" i="14"/>
  <c r="AO167" i="16"/>
  <c r="AP167" i="16"/>
  <c r="HU27" i="14"/>
  <c r="JR57" i="14"/>
  <c r="JE57" i="14"/>
  <c r="BF198" i="16"/>
  <c r="BE197" i="16"/>
  <c r="BE196" i="16"/>
  <c r="BF197" i="16"/>
  <c r="BE199" i="16"/>
  <c r="BF196" i="16"/>
  <c r="BE198" i="16"/>
  <c r="BZ201" i="16"/>
  <c r="BZ198" i="16"/>
  <c r="BX197" i="16"/>
  <c r="BX204" i="16"/>
  <c r="FB53" i="14"/>
  <c r="FA53" i="14"/>
  <c r="FJ53" i="14"/>
  <c r="FK53" i="14"/>
  <c r="EP53" i="14"/>
  <c r="EX53" i="14"/>
  <c r="EG53" i="14"/>
  <c r="FG53" i="14"/>
  <c r="FM53" i="14" s="1"/>
  <c r="EZ53" i="14"/>
  <c r="EI53" i="14"/>
  <c r="EN53" i="14"/>
  <c r="FI53" i="14"/>
  <c r="EO53" i="14"/>
  <c r="FC53" i="14"/>
  <c r="EJ53" i="14"/>
  <c r="EH53" i="14"/>
  <c r="EY53" i="14"/>
  <c r="EM53" i="14"/>
  <c r="FL53" i="14"/>
  <c r="FH53" i="14"/>
  <c r="AZ35" i="14"/>
  <c r="I506" i="10"/>
  <c r="J505" i="10"/>
  <c r="K505" i="10" s="1"/>
  <c r="FM55" i="14"/>
  <c r="FO55" i="14" s="1"/>
  <c r="LZ62" i="14"/>
  <c r="AJ150" i="10"/>
  <c r="AJ134" i="19"/>
  <c r="AJ134" i="10"/>
  <c r="BR188" i="16"/>
  <c r="JR61" i="14"/>
  <c r="DN36" i="14"/>
  <c r="DO36" i="14" s="1"/>
  <c r="CM36" i="14"/>
  <c r="D82" i="9"/>
  <c r="C98" i="14"/>
  <c r="BH193" i="19"/>
  <c r="BH194" i="19"/>
  <c r="BG193" i="19"/>
  <c r="BH192" i="19"/>
  <c r="BG194" i="19"/>
  <c r="BG192" i="19"/>
  <c r="LZ26" i="14"/>
  <c r="LY26" i="14"/>
  <c r="MA26" i="14" s="1"/>
  <c r="CD61" i="14"/>
  <c r="J18" i="22" s="1"/>
  <c r="M89" i="21"/>
  <c r="M29" i="21" s="1"/>
  <c r="KF67" i="14"/>
  <c r="FE25" i="14"/>
  <c r="HK22" i="14"/>
  <c r="BK201" i="19"/>
  <c r="BK202" i="19"/>
  <c r="BL203" i="19"/>
  <c r="BK203" i="19"/>
  <c r="BK204" i="19"/>
  <c r="BL202" i="19"/>
  <c r="BL201" i="19"/>
  <c r="BL204" i="19"/>
  <c r="LZ35" i="14"/>
  <c r="BJ191" i="19"/>
  <c r="BJ192" i="19"/>
  <c r="BJ193" i="19"/>
  <c r="BI191" i="19"/>
  <c r="BJ194" i="19"/>
  <c r="BI192" i="19"/>
  <c r="BI193" i="19"/>
  <c r="BI194" i="19"/>
  <c r="EH22" i="14"/>
  <c r="EX22" i="14"/>
  <c r="EY22" i="14"/>
  <c r="FB22" i="14"/>
  <c r="EZ22" i="14"/>
  <c r="FJ22" i="14"/>
  <c r="EI22" i="14"/>
  <c r="EP22" i="14"/>
  <c r="EN22" i="14"/>
  <c r="EJ22" i="14"/>
  <c r="FA22" i="14"/>
  <c r="FC22" i="14"/>
  <c r="EO22" i="14"/>
  <c r="FK22" i="14"/>
  <c r="FH22" i="14"/>
  <c r="EG22" i="14"/>
  <c r="EM22" i="14"/>
  <c r="FI22" i="14"/>
  <c r="FL22" i="14"/>
  <c r="FG22" i="14"/>
  <c r="FM22" i="14" s="1"/>
  <c r="LZ59" i="14"/>
  <c r="HT61" i="14"/>
  <c r="AY40" i="14"/>
  <c r="JR37" i="14"/>
  <c r="BU198" i="16"/>
  <c r="BU197" i="16"/>
  <c r="BV199" i="16"/>
  <c r="BV198" i="16"/>
  <c r="BV197" i="16"/>
  <c r="BU196" i="16"/>
  <c r="BV196" i="16"/>
  <c r="FN64" i="14"/>
  <c r="KA59" i="14"/>
  <c r="KC59" i="14" s="1"/>
  <c r="HK35" i="14"/>
  <c r="HK66" i="14"/>
  <c r="HK37" i="14"/>
  <c r="CJ27" i="14"/>
  <c r="LZ18" i="14"/>
  <c r="MH18" i="14"/>
  <c r="MI65" i="14"/>
  <c r="MJ65" i="14" s="1"/>
  <c r="CJ30" i="14"/>
  <c r="CW30" i="14"/>
  <c r="HU25" i="14"/>
  <c r="MH55" i="14"/>
  <c r="JR63" i="14"/>
  <c r="LF60" i="14"/>
  <c r="N17" i="22" s="1"/>
  <c r="AY61" i="14"/>
  <c r="AC61" i="14"/>
  <c r="GX63" i="14"/>
  <c r="JS28" i="14"/>
  <c r="GX57" i="14"/>
  <c r="GR57" i="14"/>
  <c r="L14" i="22" s="1"/>
  <c r="LZ28" i="14"/>
  <c r="HT23" i="14"/>
  <c r="JS24" i="14"/>
  <c r="CJ62" i="14"/>
  <c r="HT30" i="14"/>
  <c r="HV30" i="14" s="1"/>
  <c r="DG24" i="14"/>
  <c r="DG31" i="14"/>
  <c r="LY29" i="14"/>
  <c r="AQ68" i="14"/>
  <c r="AP68" i="14"/>
  <c r="AY63" i="14"/>
  <c r="CW53" i="14"/>
  <c r="AP65" i="14"/>
  <c r="JE32" i="14"/>
  <c r="DF54" i="14"/>
  <c r="DH54" i="14" s="1"/>
  <c r="CW54" i="14"/>
  <c r="HK59" i="14"/>
  <c r="DF55" i="14"/>
  <c r="EK62" i="14"/>
  <c r="K19" i="22" s="1"/>
  <c r="CD63" i="14"/>
  <c r="J20" i="22" s="1"/>
  <c r="FE30" i="14"/>
  <c r="LZ36" i="14"/>
  <c r="HK28" i="14"/>
  <c r="HU62" i="14"/>
  <c r="GR62" i="14"/>
  <c r="L19" i="22" s="1"/>
  <c r="FM52" i="14"/>
  <c r="FM65" i="14"/>
  <c r="FO65" i="14" s="1"/>
  <c r="KB65" i="14"/>
  <c r="FN63" i="14"/>
  <c r="HL58" i="14"/>
  <c r="HK58" i="14"/>
  <c r="CC51" i="14"/>
  <c r="DA51" i="14"/>
  <c r="DC51" i="14"/>
  <c r="CU51" i="14"/>
  <c r="CV51" i="14"/>
  <c r="CZ51" i="14"/>
  <c r="DF51" i="14" s="1"/>
  <c r="DE51" i="14"/>
  <c r="CF51" i="14"/>
  <c r="CR51" i="14"/>
  <c r="DD51" i="14"/>
  <c r="DB51" i="14"/>
  <c r="CG51" i="14"/>
  <c r="CS51" i="14"/>
  <c r="CB51" i="14"/>
  <c r="CH51" i="14"/>
  <c r="CT51" i="14"/>
  <c r="CX51" i="14" s="1"/>
  <c r="CA51" i="14"/>
  <c r="CI51" i="14"/>
  <c r="BZ51" i="14"/>
  <c r="CQ51" i="14"/>
  <c r="AL152" i="10"/>
  <c r="AL136" i="10"/>
  <c r="AL136" i="19"/>
  <c r="JH41" i="14"/>
  <c r="G87" i="9"/>
  <c r="KI41" i="14"/>
  <c r="HY34" i="14"/>
  <c r="F57" i="21"/>
  <c r="F27" i="21" s="1"/>
  <c r="HA51" i="14"/>
  <c r="L66" i="9"/>
  <c r="IB51" i="14"/>
  <c r="EY70" i="14"/>
  <c r="FK70" i="14"/>
  <c r="FA70" i="14"/>
  <c r="EN70" i="14"/>
  <c r="EI70" i="14"/>
  <c r="FB70" i="14"/>
  <c r="FG70" i="14"/>
  <c r="FL70" i="14"/>
  <c r="EH70" i="14"/>
  <c r="FJ70" i="14"/>
  <c r="EZ70" i="14"/>
  <c r="EO70" i="14"/>
  <c r="FI70" i="14"/>
  <c r="FC70" i="14"/>
  <c r="FH70" i="14"/>
  <c r="EX70" i="14"/>
  <c r="FD70" i="14" s="1"/>
  <c r="EM70" i="14"/>
  <c r="EJ70" i="14"/>
  <c r="EG70" i="14"/>
  <c r="EP70" i="14"/>
  <c r="BL188" i="16"/>
  <c r="BK188" i="16"/>
  <c r="S53" i="14"/>
  <c r="AB53" i="14"/>
  <c r="Z53" i="14"/>
  <c r="Y53" i="14"/>
  <c r="T53" i="14"/>
  <c r="AA53" i="14"/>
  <c r="U53" i="14"/>
  <c r="V53" i="14"/>
  <c r="AM53" i="14"/>
  <c r="AT53" i="14"/>
  <c r="AJ53" i="14"/>
  <c r="AP53" i="14" s="1"/>
  <c r="AO53" i="14"/>
  <c r="AL53" i="14"/>
  <c r="AU53" i="14"/>
  <c r="AV53" i="14"/>
  <c r="AN53" i="14"/>
  <c r="AK53" i="14"/>
  <c r="AX53" i="14"/>
  <c r="AW53" i="14"/>
  <c r="AS53" i="14"/>
  <c r="AY53" i="14" s="1"/>
  <c r="AW173" i="10"/>
  <c r="AX173" i="10"/>
  <c r="AW156" i="10"/>
  <c r="AX156" i="10"/>
  <c r="LX71" i="14"/>
  <c r="LV71" i="14"/>
  <c r="LZ71" i="14" s="1"/>
  <c r="LU71" i="14"/>
  <c r="MF71" i="14"/>
  <c r="LS71" i="14"/>
  <c r="LE71" i="14"/>
  <c r="LJ71" i="14"/>
  <c r="LT71" i="14"/>
  <c r="MB71" i="14"/>
  <c r="LK71" i="14"/>
  <c r="MD71" i="14"/>
  <c r="LD71" i="14"/>
  <c r="ME71" i="14"/>
  <c r="LB71" i="14"/>
  <c r="MC71" i="14"/>
  <c r="LW71" i="14"/>
  <c r="LC71" i="14"/>
  <c r="LH71" i="14"/>
  <c r="LI71" i="14"/>
  <c r="MG71" i="14"/>
  <c r="BH196" i="10"/>
  <c r="BF199" i="10"/>
  <c r="BK172" i="19"/>
  <c r="BL172" i="19"/>
  <c r="EN32" i="14"/>
  <c r="EG32" i="14"/>
  <c r="EK32" i="14" s="1"/>
  <c r="E20" i="22" s="1"/>
  <c r="EM32" i="14"/>
  <c r="EQ32" i="14" s="1"/>
  <c r="EH32" i="14"/>
  <c r="EO32" i="14"/>
  <c r="EI32" i="14"/>
  <c r="EP32" i="14"/>
  <c r="EJ32" i="14"/>
  <c r="FH32" i="14"/>
  <c r="FL32" i="14"/>
  <c r="EY32" i="14"/>
  <c r="FK32" i="14"/>
  <c r="EZ32" i="14"/>
  <c r="FB32" i="14"/>
  <c r="FJ32" i="14"/>
  <c r="EX32" i="14"/>
  <c r="FG32" i="14"/>
  <c r="FC32" i="14"/>
  <c r="FI32" i="14"/>
  <c r="FA32" i="14"/>
  <c r="BE207" i="19"/>
  <c r="BF206" i="19"/>
  <c r="BF207" i="19"/>
  <c r="BE209" i="19"/>
  <c r="BE208" i="19"/>
  <c r="BF209" i="19"/>
  <c r="BF208" i="19"/>
  <c r="BE206" i="19"/>
  <c r="AO70" i="14"/>
  <c r="Y70" i="14"/>
  <c r="AJ70" i="14"/>
  <c r="S70" i="14"/>
  <c r="V70" i="14"/>
  <c r="AV70" i="14"/>
  <c r="AZ70" i="14" s="1"/>
  <c r="AA70" i="14"/>
  <c r="AU70" i="14"/>
  <c r="AM70" i="14"/>
  <c r="AB70" i="14"/>
  <c r="T70" i="14"/>
  <c r="U70" i="14"/>
  <c r="AS70" i="14"/>
  <c r="AL70" i="14"/>
  <c r="AT70" i="14"/>
  <c r="AX70" i="14"/>
  <c r="AK70" i="14"/>
  <c r="Z70" i="14"/>
  <c r="AW70" i="14"/>
  <c r="AN70" i="14"/>
  <c r="CG167" i="10"/>
  <c r="CH167" i="10"/>
  <c r="JA68" i="14"/>
  <c r="JU68" i="14"/>
  <c r="IU68" i="14"/>
  <c r="JY68" i="14"/>
  <c r="JZ68" i="14"/>
  <c r="JV68" i="14"/>
  <c r="IX68" i="14"/>
  <c r="JP68" i="14"/>
  <c r="IW68" i="14"/>
  <c r="IV68" i="14"/>
  <c r="JC68" i="14"/>
  <c r="JM68" i="14"/>
  <c r="JQ68" i="14"/>
  <c r="JL68" i="14"/>
  <c r="JR68" i="14" s="1"/>
  <c r="JW68" i="14"/>
  <c r="JD68" i="14"/>
  <c r="JX68" i="14"/>
  <c r="KB68" i="14" s="1"/>
  <c r="JN68" i="14"/>
  <c r="JO68" i="14"/>
  <c r="JB68" i="14"/>
  <c r="D81" i="9"/>
  <c r="DN35" i="14"/>
  <c r="DO35" i="14" s="1"/>
  <c r="CM35" i="14"/>
  <c r="HM61" i="14"/>
  <c r="L49" i="23" s="1"/>
  <c r="FO64" i="14"/>
  <c r="HM25" i="14"/>
  <c r="F44" i="23" s="1"/>
  <c r="G85" i="9"/>
  <c r="JH39" i="14"/>
  <c r="KI39" i="14"/>
  <c r="FM26" i="14"/>
  <c r="FO26" i="14" s="1"/>
  <c r="BT197" i="16"/>
  <c r="BS197" i="16"/>
  <c r="BS196" i="16"/>
  <c r="BS198" i="16"/>
  <c r="BT196" i="16"/>
  <c r="BT198" i="16"/>
  <c r="BS199" i="16"/>
  <c r="BT199" i="16"/>
  <c r="BX191" i="19"/>
  <c r="BX188" i="19"/>
  <c r="BO188" i="16"/>
  <c r="BO186" i="16"/>
  <c r="BP187" i="16"/>
  <c r="BP186" i="16"/>
  <c r="BP188" i="16"/>
  <c r="BO187" i="16"/>
  <c r="BO189" i="16"/>
  <c r="BP189" i="16"/>
  <c r="D9" i="9"/>
  <c r="CL21" i="14"/>
  <c r="BS207" i="16"/>
  <c r="BS208" i="16"/>
  <c r="BT209" i="16"/>
  <c r="BT206" i="16"/>
  <c r="BT208" i="16"/>
  <c r="BS206" i="16"/>
  <c r="BS209" i="16"/>
  <c r="BT207" i="16"/>
  <c r="JB66" i="14"/>
  <c r="IU66" i="14"/>
  <c r="JC66" i="14"/>
  <c r="IV66" i="14"/>
  <c r="JD66" i="14"/>
  <c r="JV66" i="14"/>
  <c r="JM66" i="14"/>
  <c r="JW66" i="14"/>
  <c r="JN66" i="14"/>
  <c r="JA66" i="14"/>
  <c r="JO66" i="14"/>
  <c r="IW66" i="14"/>
  <c r="IX66" i="14"/>
  <c r="JU66" i="14"/>
  <c r="JL66" i="14"/>
  <c r="JX66" i="14"/>
  <c r="JP66" i="14"/>
  <c r="JZ66" i="14"/>
  <c r="JQ66" i="14"/>
  <c r="JY66" i="14"/>
  <c r="M85" i="9"/>
  <c r="JH70" i="14"/>
  <c r="KI70" i="14"/>
  <c r="AD151" i="10"/>
  <c r="AD135" i="19"/>
  <c r="AD135" i="10"/>
  <c r="D74" i="21"/>
  <c r="D14" i="21" s="1"/>
  <c r="DK21" i="14"/>
  <c r="AP188" i="10"/>
  <c r="AP191" i="10"/>
  <c r="D84" i="9"/>
  <c r="CM38" i="14"/>
  <c r="DN38" i="14"/>
  <c r="FN61" i="14"/>
  <c r="IB41" i="14"/>
  <c r="F87" i="9"/>
  <c r="HA41" i="14"/>
  <c r="CV20" i="14"/>
  <c r="CH20" i="14"/>
  <c r="CF20" i="14"/>
  <c r="DE20" i="14"/>
  <c r="DD20" i="14"/>
  <c r="CU20" i="14"/>
  <c r="DA20" i="14"/>
  <c r="CS20" i="14"/>
  <c r="CT20" i="14"/>
  <c r="CZ20" i="14"/>
  <c r="BZ20" i="14"/>
  <c r="CA20" i="14"/>
  <c r="CR20" i="14"/>
  <c r="DC20" i="14"/>
  <c r="DG20" i="14" s="1"/>
  <c r="DB20" i="14"/>
  <c r="CQ20" i="14"/>
  <c r="CW20" i="14" s="1"/>
  <c r="CI20" i="14"/>
  <c r="CC20" i="14"/>
  <c r="CB20" i="14"/>
  <c r="CG20" i="14"/>
  <c r="AB147" i="16"/>
  <c r="AB155" i="16" s="1"/>
  <c r="AB131" i="16"/>
  <c r="CE197" i="16"/>
  <c r="CG198" i="16"/>
  <c r="CG201" i="16"/>
  <c r="CE204" i="16"/>
  <c r="BZ191" i="10"/>
  <c r="BX187" i="10"/>
  <c r="BZ188" i="10"/>
  <c r="BX194" i="10"/>
  <c r="BO174" i="19"/>
  <c r="BO157" i="19"/>
  <c r="BP174" i="19"/>
  <c r="HO68" i="14"/>
  <c r="HR68" i="14"/>
  <c r="GQ68" i="14"/>
  <c r="GO68" i="14"/>
  <c r="HI68" i="14"/>
  <c r="HE68" i="14"/>
  <c r="HK68" i="14" s="1"/>
  <c r="GN68" i="14"/>
  <c r="HF68" i="14"/>
  <c r="HJ68" i="14"/>
  <c r="GT68" i="14"/>
  <c r="GV68" i="14"/>
  <c r="GP68" i="14"/>
  <c r="HQ68" i="14"/>
  <c r="HS68" i="14"/>
  <c r="HN68" i="14"/>
  <c r="HH68" i="14"/>
  <c r="GW68" i="14"/>
  <c r="HP68" i="14"/>
  <c r="HG68" i="14"/>
  <c r="GU68" i="14"/>
  <c r="BJ207" i="10"/>
  <c r="BJ208" i="10"/>
  <c r="BJ206" i="10"/>
  <c r="BI207" i="10"/>
  <c r="BI208" i="10"/>
  <c r="BI209" i="10"/>
  <c r="BJ209" i="10"/>
  <c r="BI206" i="10"/>
  <c r="CX49" i="14"/>
  <c r="BO188" i="19"/>
  <c r="BP188" i="19"/>
  <c r="BY167" i="19"/>
  <c r="BZ167" i="19"/>
  <c r="BP201" i="16"/>
  <c r="BO203" i="16"/>
  <c r="BO204" i="16"/>
  <c r="BP204" i="16"/>
  <c r="BO201" i="16"/>
  <c r="BO202" i="16"/>
  <c r="BP203" i="16"/>
  <c r="BP202" i="16"/>
  <c r="CV41" i="14"/>
  <c r="CI41" i="14"/>
  <c r="DA41" i="14"/>
  <c r="DC41" i="14"/>
  <c r="CR41" i="14"/>
  <c r="CB41" i="14"/>
  <c r="CQ41" i="14"/>
  <c r="CW41" i="14" s="1"/>
  <c r="DE41" i="14"/>
  <c r="BZ41" i="14"/>
  <c r="CF41" i="14"/>
  <c r="CZ41" i="14"/>
  <c r="CA41" i="14"/>
  <c r="CS41" i="14"/>
  <c r="CG41" i="14"/>
  <c r="DB41" i="14"/>
  <c r="CT41" i="14"/>
  <c r="CC41" i="14"/>
  <c r="CU41" i="14"/>
  <c r="CH41" i="14"/>
  <c r="DD41" i="14"/>
  <c r="AQ64" i="14"/>
  <c r="BB203" i="19"/>
  <c r="BA201" i="19"/>
  <c r="BA203" i="19"/>
  <c r="BA202" i="19"/>
  <c r="BB204" i="19"/>
  <c r="BB201" i="19"/>
  <c r="BB202" i="19"/>
  <c r="BA204" i="19"/>
  <c r="C44" i="9"/>
  <c r="X27" i="14"/>
  <c r="MM35" i="14"/>
  <c r="H58" i="21"/>
  <c r="H28" i="21" s="1"/>
  <c r="HU19" i="14"/>
  <c r="EQ64" i="14"/>
  <c r="HT35" i="14"/>
  <c r="HV35" i="14" s="1"/>
  <c r="JS29" i="14"/>
  <c r="LM64" i="14"/>
  <c r="N50" i="22"/>
  <c r="CX24" i="14"/>
  <c r="HV59" i="14"/>
  <c r="FE62" i="14"/>
  <c r="HT58" i="14"/>
  <c r="AD150" i="10"/>
  <c r="AD134" i="19"/>
  <c r="AD134" i="10"/>
  <c r="DA26" i="14"/>
  <c r="BZ26" i="14"/>
  <c r="CQ26" i="14"/>
  <c r="CI26" i="14"/>
  <c r="DE26" i="14"/>
  <c r="CV26" i="14"/>
  <c r="CG26" i="14"/>
  <c r="CF26" i="14"/>
  <c r="CJ26" i="14" s="1"/>
  <c r="DB26" i="14"/>
  <c r="CA26" i="14"/>
  <c r="CR26" i="14"/>
  <c r="CT26" i="14"/>
  <c r="CU26" i="14"/>
  <c r="CS26" i="14"/>
  <c r="DD26" i="14"/>
  <c r="CH26" i="14"/>
  <c r="DC26" i="14"/>
  <c r="DG26" i="14" s="1"/>
  <c r="CZ26" i="14"/>
  <c r="CB26" i="14"/>
  <c r="CC26" i="14"/>
  <c r="CE194" i="10"/>
  <c r="CG191" i="10"/>
  <c r="CE187" i="10"/>
  <c r="CG188" i="10"/>
  <c r="AP54" i="14"/>
  <c r="AX194" i="10"/>
  <c r="AX187" i="10"/>
  <c r="AP22" i="14"/>
  <c r="AX197" i="16"/>
  <c r="AX204" i="16"/>
  <c r="LL63" i="14"/>
  <c r="N75" i="21"/>
  <c r="N15" i="21" s="1"/>
  <c r="MM53" i="14"/>
  <c r="BF174" i="19"/>
  <c r="BE174" i="19"/>
  <c r="BE157" i="19"/>
  <c r="AP57" i="14"/>
  <c r="N74" i="21"/>
  <c r="N14" i="21" s="1"/>
  <c r="MM52" i="14"/>
  <c r="BH199" i="19"/>
  <c r="BJ196" i="19"/>
  <c r="LU49" i="14"/>
  <c r="LI49" i="14"/>
  <c r="LD49" i="14"/>
  <c r="LC49" i="14"/>
  <c r="MD49" i="14"/>
  <c r="MG49" i="14"/>
  <c r="LV49" i="14"/>
  <c r="LZ49" i="14" s="1"/>
  <c r="LK49" i="14"/>
  <c r="LT49" i="14"/>
  <c r="MB49" i="14"/>
  <c r="LB49" i="14"/>
  <c r="LE49" i="14"/>
  <c r="LW49" i="14"/>
  <c r="ME49" i="14"/>
  <c r="MI49" i="14" s="1"/>
  <c r="LX49" i="14"/>
  <c r="LS49" i="14"/>
  <c r="LY49" i="14" s="1"/>
  <c r="LH49" i="14"/>
  <c r="LJ49" i="14"/>
  <c r="MF49" i="14"/>
  <c r="MC49" i="14"/>
  <c r="K93" i="21"/>
  <c r="K33" i="21" s="1"/>
  <c r="FR71" i="14"/>
  <c r="DG59" i="14"/>
  <c r="G94" i="21"/>
  <c r="G34" i="21" s="1"/>
  <c r="KF41" i="14"/>
  <c r="LY33" i="14"/>
  <c r="KI50" i="14"/>
  <c r="JH50" i="14"/>
  <c r="M65" i="9"/>
  <c r="BH202" i="10"/>
  <c r="BH203" i="10"/>
  <c r="BH201" i="10"/>
  <c r="BG201" i="10"/>
  <c r="BG203" i="10"/>
  <c r="BG204" i="10"/>
  <c r="BG202" i="10"/>
  <c r="BH204" i="10"/>
  <c r="BG39" i="14"/>
  <c r="C85" i="9"/>
  <c r="AF39" i="14"/>
  <c r="AC196" i="19"/>
  <c r="AD195" i="19"/>
  <c r="FD35" i="14"/>
  <c r="EK57" i="14"/>
  <c r="K14" i="22" s="1"/>
  <c r="EI38" i="14"/>
  <c r="FK38" i="14"/>
  <c r="FJ38" i="14"/>
  <c r="FN38" i="14" s="1"/>
  <c r="EM38" i="14"/>
  <c r="FH38" i="14"/>
  <c r="EO38" i="14"/>
  <c r="FB38" i="14"/>
  <c r="EY38" i="14"/>
  <c r="FI38" i="14"/>
  <c r="EZ38" i="14"/>
  <c r="EH38" i="14"/>
  <c r="FC38" i="14"/>
  <c r="EN38" i="14"/>
  <c r="FG38" i="14"/>
  <c r="EP38" i="14"/>
  <c r="FL38" i="14"/>
  <c r="FA38" i="14"/>
  <c r="EJ38" i="14"/>
  <c r="EG38" i="14"/>
  <c r="EX38" i="14"/>
  <c r="FD38" i="14" s="1"/>
  <c r="BO172" i="10"/>
  <c r="BP172" i="10"/>
  <c r="EO40" i="14"/>
  <c r="FH40" i="14"/>
  <c r="EM40" i="14"/>
  <c r="EI40" i="14"/>
  <c r="EX40" i="14"/>
  <c r="FD40" i="14" s="1"/>
  <c r="EG40" i="14"/>
  <c r="EJ40" i="14"/>
  <c r="EY40" i="14"/>
  <c r="FC40" i="14"/>
  <c r="EZ40" i="14"/>
  <c r="EP40" i="14"/>
  <c r="FI40" i="14"/>
  <c r="FG40" i="14"/>
  <c r="FM40" i="14" s="1"/>
  <c r="EH40" i="14"/>
  <c r="FB40" i="14"/>
  <c r="FL40" i="14"/>
  <c r="EN40" i="14"/>
  <c r="FK40" i="14"/>
  <c r="FA40" i="14"/>
  <c r="FE40" i="14" s="1"/>
  <c r="FJ40" i="14"/>
  <c r="FN40" i="14" s="1"/>
  <c r="LY56" i="14"/>
  <c r="CA172" i="10"/>
  <c r="CB172" i="10"/>
  <c r="Z50" i="14"/>
  <c r="AW50" i="14"/>
  <c r="AJ50" i="14"/>
  <c r="U50" i="14"/>
  <c r="Y50" i="14"/>
  <c r="AA50" i="14"/>
  <c r="S50" i="14"/>
  <c r="AU50" i="14"/>
  <c r="AB50" i="14"/>
  <c r="AT50" i="14"/>
  <c r="AV50" i="14"/>
  <c r="T50" i="14"/>
  <c r="AM50" i="14"/>
  <c r="AQ50" i="14" s="1"/>
  <c r="AS50" i="14"/>
  <c r="AY50" i="14" s="1"/>
  <c r="AX50" i="14"/>
  <c r="AL50" i="14"/>
  <c r="AK50" i="14"/>
  <c r="V50" i="14"/>
  <c r="AO50" i="14"/>
  <c r="AN50" i="14"/>
  <c r="LL31" i="14"/>
  <c r="DG30" i="14"/>
  <c r="DH30" i="14" s="1"/>
  <c r="MH41" i="14"/>
  <c r="CD54" i="14"/>
  <c r="J11" i="22" s="1"/>
  <c r="MH20" i="14"/>
  <c r="GX58" i="14"/>
  <c r="HL20" i="14"/>
  <c r="AJ143" i="10"/>
  <c r="AJ155" i="10" s="1"/>
  <c r="AJ127" i="10"/>
  <c r="AJ127" i="19"/>
  <c r="AU156" i="19"/>
  <c r="AU173" i="19"/>
  <c r="AV173" i="19"/>
  <c r="AV156" i="19"/>
  <c r="BS174" i="10"/>
  <c r="BS191" i="10" s="1"/>
  <c r="BT174" i="10"/>
  <c r="BS157" i="10"/>
  <c r="AN49" i="14"/>
  <c r="T49" i="14"/>
  <c r="AX49" i="14"/>
  <c r="AO49" i="14"/>
  <c r="Y49" i="14"/>
  <c r="AT49" i="14"/>
  <c r="AU49" i="14"/>
  <c r="Z49" i="14"/>
  <c r="AJ49" i="14"/>
  <c r="AP49" i="14" s="1"/>
  <c r="AB49" i="14"/>
  <c r="AS49" i="14"/>
  <c r="AL49" i="14"/>
  <c r="AM49" i="14"/>
  <c r="AA49" i="14"/>
  <c r="AW49" i="14"/>
  <c r="V49" i="14"/>
  <c r="AK49" i="14"/>
  <c r="U49" i="14"/>
  <c r="AV49" i="14"/>
  <c r="S49" i="14"/>
  <c r="I91" i="21"/>
  <c r="I31" i="21" s="1"/>
  <c r="BD69" i="14"/>
  <c r="HU51" i="14"/>
  <c r="M74" i="21"/>
  <c r="M14" i="21" s="1"/>
  <c r="KF52" i="14"/>
  <c r="AZ57" i="14"/>
  <c r="MI21" i="14"/>
  <c r="N73" i="21"/>
  <c r="N13" i="21" s="1"/>
  <c r="MM51" i="14"/>
  <c r="AJ144" i="10"/>
  <c r="AJ128" i="19"/>
  <c r="AJ128" i="10"/>
  <c r="MH58" i="14"/>
  <c r="MJ58" i="14" s="1"/>
  <c r="BG199" i="19"/>
  <c r="BI196" i="19"/>
  <c r="BO199" i="10"/>
  <c r="BQ196" i="10"/>
  <c r="BB207" i="16"/>
  <c r="BB206" i="16"/>
  <c r="BA207" i="16"/>
  <c r="BA209" i="16"/>
  <c r="BA206" i="16"/>
  <c r="BA208" i="16"/>
  <c r="BB208" i="16"/>
  <c r="BB209" i="16"/>
  <c r="FU66" i="14"/>
  <c r="FV66" i="14" s="1"/>
  <c r="ET66" i="14"/>
  <c r="K81" i="9"/>
  <c r="AY37" i="14"/>
  <c r="BA156" i="16"/>
  <c r="BA173" i="16"/>
  <c r="BB173" i="16"/>
  <c r="JS58" i="14"/>
  <c r="FK20" i="14"/>
  <c r="EM20" i="14"/>
  <c r="EX20" i="14"/>
  <c r="EI20" i="14"/>
  <c r="EY20" i="14"/>
  <c r="EH20" i="14"/>
  <c r="FB20" i="14"/>
  <c r="FL20" i="14"/>
  <c r="EN20" i="14"/>
  <c r="EO20" i="14"/>
  <c r="FA20" i="14"/>
  <c r="FE20" i="14" s="1"/>
  <c r="EZ20" i="14"/>
  <c r="FJ20" i="14"/>
  <c r="FC20" i="14"/>
  <c r="EP20" i="14"/>
  <c r="FI20" i="14"/>
  <c r="EG20" i="14"/>
  <c r="FG20" i="14"/>
  <c r="FH20" i="14"/>
  <c r="EJ20" i="14"/>
  <c r="AY21" i="14"/>
  <c r="JG53" i="14"/>
  <c r="M10" i="9"/>
  <c r="ES40" i="14"/>
  <c r="E28" i="9"/>
  <c r="DN39" i="14"/>
  <c r="CM39" i="14"/>
  <c r="D85" i="9"/>
  <c r="AW167" i="19"/>
  <c r="AX167" i="19"/>
  <c r="MC39" i="14"/>
  <c r="LC39" i="14"/>
  <c r="LV39" i="14"/>
  <c r="LD39" i="14"/>
  <c r="LX39" i="14"/>
  <c r="MB39" i="14"/>
  <c r="MH39" i="14" s="1"/>
  <c r="LW39" i="14"/>
  <c r="MG39" i="14"/>
  <c r="LT39" i="14"/>
  <c r="LU39" i="14"/>
  <c r="LJ39" i="14"/>
  <c r="LE39" i="14"/>
  <c r="LI39" i="14"/>
  <c r="LB39" i="14"/>
  <c r="MF39" i="14"/>
  <c r="LH39" i="14"/>
  <c r="MD39" i="14"/>
  <c r="LK39" i="14"/>
  <c r="LS39" i="14"/>
  <c r="LY39" i="14" s="1"/>
  <c r="ME39" i="14"/>
  <c r="MI39" i="14" s="1"/>
  <c r="LL23" i="14"/>
  <c r="CD175" i="16"/>
  <c r="CD158" i="16"/>
  <c r="CC175" i="16"/>
  <c r="JS34" i="14"/>
  <c r="AZ188" i="10"/>
  <c r="AZ187" i="10"/>
  <c r="AY187" i="10"/>
  <c r="AZ189" i="10"/>
  <c r="AY189" i="10"/>
  <c r="AY186" i="10"/>
  <c r="AY188" i="10"/>
  <c r="AZ186" i="10"/>
  <c r="FO57" i="14"/>
  <c r="AQ35" i="14"/>
  <c r="BH196" i="19"/>
  <c r="BF199" i="19"/>
  <c r="MH26" i="14"/>
  <c r="LE54" i="14"/>
  <c r="MF54" i="14"/>
  <c r="LW54" i="14"/>
  <c r="LJ54" i="14"/>
  <c r="LT54" i="14"/>
  <c r="MC54" i="14"/>
  <c r="LV54" i="14"/>
  <c r="LZ54" i="14" s="1"/>
  <c r="MD54" i="14"/>
  <c r="LX54" i="14"/>
  <c r="LD54" i="14"/>
  <c r="MB54" i="14"/>
  <c r="LH54" i="14"/>
  <c r="LS54" i="14"/>
  <c r="LI54" i="14"/>
  <c r="LU54" i="14"/>
  <c r="LK54" i="14"/>
  <c r="LB54" i="14"/>
  <c r="LC54" i="14"/>
  <c r="ME54" i="14"/>
  <c r="MI54" i="14" s="1"/>
  <c r="MG54" i="14"/>
  <c r="BK202" i="10"/>
  <c r="BK201" i="10"/>
  <c r="BL203" i="10"/>
  <c r="BK204" i="10"/>
  <c r="BL201" i="10"/>
  <c r="BL202" i="10"/>
  <c r="BK203" i="10"/>
  <c r="BL204" i="10"/>
  <c r="W58" i="14"/>
  <c r="I15" i="22" s="1"/>
  <c r="LZ31" i="14"/>
  <c r="LL55" i="14"/>
  <c r="HV57" i="14"/>
  <c r="MH28" i="14"/>
  <c r="MJ28" i="14" s="1"/>
  <c r="JR22" i="14"/>
  <c r="AC65" i="14"/>
  <c r="C54" i="21"/>
  <c r="C24" i="21" s="1"/>
  <c r="BD31" i="14"/>
  <c r="BE31" i="14" s="1"/>
  <c r="AO174" i="16"/>
  <c r="AP174" i="16"/>
  <c r="AO157" i="16"/>
  <c r="AP157" i="16"/>
  <c r="AZ56" i="14"/>
  <c r="BK181" i="19"/>
  <c r="BK183" i="19"/>
  <c r="BL183" i="19"/>
  <c r="BL181" i="19"/>
  <c r="AS167" i="19"/>
  <c r="AT167" i="19"/>
  <c r="DF58" i="14"/>
  <c r="AL149" i="16"/>
  <c r="AL133" i="16"/>
  <c r="CH173" i="10"/>
  <c r="CG173" i="10"/>
  <c r="CG156" i="10"/>
  <c r="CH156" i="10"/>
  <c r="CA196" i="19"/>
  <c r="BY199" i="19"/>
  <c r="BY192" i="19"/>
  <c r="CA193" i="19"/>
  <c r="FM29" i="14"/>
  <c r="FO29" i="14" s="1"/>
  <c r="AD146" i="10"/>
  <c r="AD130" i="10"/>
  <c r="AD130" i="19"/>
  <c r="CW23" i="14"/>
  <c r="AQ54" i="14"/>
  <c r="EJ54" i="14"/>
  <c r="FI54" i="14"/>
  <c r="EP54" i="14"/>
  <c r="EZ54" i="14"/>
  <c r="FA54" i="14"/>
  <c r="FL54" i="14"/>
  <c r="FC54" i="14"/>
  <c r="FG54" i="14"/>
  <c r="EG54" i="14"/>
  <c r="FH54" i="14"/>
  <c r="FB54" i="14"/>
  <c r="EM54" i="14"/>
  <c r="EN54" i="14"/>
  <c r="EO54" i="14"/>
  <c r="FJ54" i="14"/>
  <c r="FK54" i="14"/>
  <c r="EH54" i="14"/>
  <c r="EI54" i="14"/>
  <c r="EX54" i="14"/>
  <c r="FD54" i="14" s="1"/>
  <c r="EY54" i="14"/>
  <c r="J67" i="9"/>
  <c r="CM52" i="14"/>
  <c r="DN52" i="14"/>
  <c r="KB55" i="14"/>
  <c r="KC55" i="14" s="1"/>
  <c r="CG187" i="19"/>
  <c r="CG194" i="19"/>
  <c r="CI188" i="19"/>
  <c r="CI191" i="19"/>
  <c r="LL25" i="14"/>
  <c r="BA186" i="10"/>
  <c r="BB189" i="10"/>
  <c r="BA187" i="10"/>
  <c r="BA188" i="10"/>
  <c r="BB188" i="10"/>
  <c r="BB186" i="10"/>
  <c r="BA189" i="10"/>
  <c r="BB187" i="10"/>
  <c r="F91" i="21"/>
  <c r="F31" i="21" s="1"/>
  <c r="HY38" i="14"/>
  <c r="AS182" i="10"/>
  <c r="AU186" i="10"/>
  <c r="AU183" i="10"/>
  <c r="AS189" i="10"/>
  <c r="BH209" i="16"/>
  <c r="BH206" i="16"/>
  <c r="BG209" i="16"/>
  <c r="BG206" i="16"/>
  <c r="BH208" i="16"/>
  <c r="BG207" i="16"/>
  <c r="BG208" i="16"/>
  <c r="BH207" i="16"/>
  <c r="AZ55" i="14"/>
  <c r="LJ68" i="14"/>
  <c r="LD68" i="14"/>
  <c r="LE68" i="14"/>
  <c r="MD68" i="14"/>
  <c r="MC68" i="14"/>
  <c r="ME68" i="14"/>
  <c r="MI68" i="14" s="1"/>
  <c r="LT68" i="14"/>
  <c r="LC68" i="14"/>
  <c r="LW68" i="14"/>
  <c r="MF68" i="14"/>
  <c r="LK68" i="14"/>
  <c r="LI68" i="14"/>
  <c r="LS68" i="14"/>
  <c r="LY68" i="14" s="1"/>
  <c r="LB68" i="14"/>
  <c r="MG68" i="14"/>
  <c r="LX68" i="14"/>
  <c r="LV68" i="14"/>
  <c r="LZ68" i="14" s="1"/>
  <c r="LU68" i="14"/>
  <c r="LH68" i="14"/>
  <c r="MB68" i="14"/>
  <c r="E74" i="21"/>
  <c r="E14" i="21" s="1"/>
  <c r="FR21" i="14"/>
  <c r="BK208" i="19"/>
  <c r="BL209" i="19"/>
  <c r="BK209" i="19"/>
  <c r="BL207" i="19"/>
  <c r="BK207" i="19"/>
  <c r="BL206" i="19"/>
  <c r="BL208" i="19"/>
  <c r="BK206" i="19"/>
  <c r="FM27" i="14"/>
  <c r="HP53" i="14"/>
  <c r="HN53" i="14"/>
  <c r="GO53" i="14"/>
  <c r="GW53" i="14"/>
  <c r="HI53" i="14"/>
  <c r="HH53" i="14"/>
  <c r="HL53" i="14" s="1"/>
  <c r="GQ53" i="14"/>
  <c r="HQ53" i="14"/>
  <c r="HU53" i="14" s="1"/>
  <c r="HR53" i="14"/>
  <c r="GU53" i="14"/>
  <c r="GT53" i="14"/>
  <c r="HG53" i="14"/>
  <c r="HO53" i="14"/>
  <c r="GV53" i="14"/>
  <c r="HE53" i="14"/>
  <c r="HK53" i="14" s="1"/>
  <c r="HJ53" i="14"/>
  <c r="HS53" i="14"/>
  <c r="GN53" i="14"/>
  <c r="HF53" i="14"/>
  <c r="GP53" i="14"/>
  <c r="FE31" i="14"/>
  <c r="BV201" i="16"/>
  <c r="BU201" i="16"/>
  <c r="BV202" i="16"/>
  <c r="BU204" i="16"/>
  <c r="BU203" i="16"/>
  <c r="BV203" i="16"/>
  <c r="BV204" i="16"/>
  <c r="BU202" i="16"/>
  <c r="AT193" i="16"/>
  <c r="AT196" i="16"/>
  <c r="AR192" i="16"/>
  <c r="AR199" i="16"/>
  <c r="KA51" i="14"/>
  <c r="CW39" i="14"/>
  <c r="GP24" i="14"/>
  <c r="GU24" i="14"/>
  <c r="HN24" i="14"/>
  <c r="GN24" i="14"/>
  <c r="GR24" i="14" s="1"/>
  <c r="F12" i="22" s="1"/>
  <c r="HH24" i="14"/>
  <c r="HE24" i="14"/>
  <c r="HG24" i="14"/>
  <c r="HI24" i="14"/>
  <c r="HQ24" i="14"/>
  <c r="HR24" i="14"/>
  <c r="GT24" i="14"/>
  <c r="HP24" i="14"/>
  <c r="HJ24" i="14"/>
  <c r="GV24" i="14"/>
  <c r="GO24" i="14"/>
  <c r="HF24" i="14"/>
  <c r="HO24" i="14"/>
  <c r="GQ24" i="14"/>
  <c r="HS24" i="14"/>
  <c r="GW24" i="14"/>
  <c r="AC196" i="10"/>
  <c r="AD195" i="10"/>
  <c r="AZ198" i="16"/>
  <c r="J94" i="21"/>
  <c r="J34" i="21" s="1"/>
  <c r="DK72" i="14"/>
  <c r="LF27" i="14"/>
  <c r="H15" i="22" s="1"/>
  <c r="DE71" i="14"/>
  <c r="CG71" i="14"/>
  <c r="CQ71" i="14"/>
  <c r="CH71" i="14"/>
  <c r="DC71" i="14"/>
  <c r="DB71" i="14"/>
  <c r="CB71" i="14"/>
  <c r="CV71" i="14"/>
  <c r="DA71" i="14"/>
  <c r="CA71" i="14"/>
  <c r="CC71" i="14"/>
  <c r="CT71" i="14"/>
  <c r="CR71" i="14"/>
  <c r="CS71" i="14"/>
  <c r="BZ71" i="14"/>
  <c r="CZ71" i="14"/>
  <c r="CU71" i="14"/>
  <c r="CI71" i="14"/>
  <c r="CF71" i="14"/>
  <c r="DD71" i="14"/>
  <c r="LZ58" i="14"/>
  <c r="BU196" i="10"/>
  <c r="BS199" i="10"/>
  <c r="EQ61" i="14"/>
  <c r="JZ20" i="14"/>
  <c r="JP20" i="14"/>
  <c r="JV20" i="14"/>
  <c r="IV20" i="14"/>
  <c r="JC20" i="14"/>
  <c r="JQ20" i="14"/>
  <c r="JW20" i="14"/>
  <c r="JB20" i="14"/>
  <c r="JL20" i="14"/>
  <c r="JR20" i="14" s="1"/>
  <c r="JD20" i="14"/>
  <c r="JU20" i="14"/>
  <c r="JM20" i="14"/>
  <c r="JO20" i="14"/>
  <c r="IX20" i="14"/>
  <c r="JN20" i="14"/>
  <c r="IU20" i="14"/>
  <c r="JX20" i="14"/>
  <c r="KB20" i="14" s="1"/>
  <c r="JA20" i="14"/>
  <c r="JY20" i="14"/>
  <c r="IW20" i="14"/>
  <c r="H65" i="9"/>
  <c r="LO19" i="14"/>
  <c r="MP19" i="14"/>
  <c r="HK29" i="14"/>
  <c r="GX29" i="14"/>
  <c r="AR27" i="14"/>
  <c r="C46" i="23" s="1"/>
  <c r="CF169" i="10"/>
  <c r="CE169" i="10"/>
  <c r="AL144" i="16"/>
  <c r="AL128" i="16"/>
  <c r="EX18" i="14"/>
  <c r="FB18" i="14"/>
  <c r="EI18" i="14"/>
  <c r="FJ18" i="14"/>
  <c r="FN18" i="14" s="1"/>
  <c r="FK18" i="14"/>
  <c r="EP18" i="14"/>
  <c r="FA18" i="14"/>
  <c r="EG18" i="14"/>
  <c r="FG18" i="14"/>
  <c r="FC18" i="14"/>
  <c r="EN18" i="14"/>
  <c r="EH18" i="14"/>
  <c r="EZ18" i="14"/>
  <c r="FH18" i="14"/>
  <c r="FL18" i="14"/>
  <c r="EM18" i="14"/>
  <c r="EJ18" i="14"/>
  <c r="FI18" i="14"/>
  <c r="EO18" i="14"/>
  <c r="EY18" i="14"/>
  <c r="AJ146" i="10"/>
  <c r="AJ130" i="10"/>
  <c r="AJ130" i="19"/>
  <c r="AR184" i="10"/>
  <c r="AT181" i="10"/>
  <c r="BN209" i="19"/>
  <c r="BN206" i="19"/>
  <c r="BM206" i="19"/>
  <c r="BN208" i="19"/>
  <c r="BM208" i="19"/>
  <c r="BN207" i="19"/>
  <c r="BM209" i="19"/>
  <c r="BM207" i="19"/>
  <c r="CA193" i="16"/>
  <c r="BY192" i="16"/>
  <c r="CA196" i="16"/>
  <c r="BY199" i="16"/>
  <c r="CJ60" i="14"/>
  <c r="JF58" i="14"/>
  <c r="M44" i="22"/>
  <c r="KA58" i="14"/>
  <c r="KB58" i="14"/>
  <c r="AG523" i="10"/>
  <c r="AH522" i="10"/>
  <c r="AI522" i="10" s="1"/>
  <c r="IB49" i="14"/>
  <c r="L64" i="9"/>
  <c r="HA49" i="14"/>
  <c r="E92" i="21"/>
  <c r="E32" i="21" s="1"/>
  <c r="FR39" i="14"/>
  <c r="CH174" i="16"/>
  <c r="CG174" i="16"/>
  <c r="CG157" i="16"/>
  <c r="BE158" i="10"/>
  <c r="BE175" i="10"/>
  <c r="BE196" i="10" s="1"/>
  <c r="BF175" i="10"/>
  <c r="BF196" i="10" s="1"/>
  <c r="IU36" i="14"/>
  <c r="JD36" i="14"/>
  <c r="JB36" i="14"/>
  <c r="IV36" i="14"/>
  <c r="JA36" i="14"/>
  <c r="IW36" i="14"/>
  <c r="IX36" i="14"/>
  <c r="JC36" i="14"/>
  <c r="JU36" i="14"/>
  <c r="JZ36" i="14"/>
  <c r="JO36" i="14"/>
  <c r="JS36" i="14" s="1"/>
  <c r="JW36" i="14"/>
  <c r="JQ36" i="14"/>
  <c r="JX36" i="14"/>
  <c r="JL36" i="14"/>
  <c r="JY36" i="14"/>
  <c r="JM36" i="14"/>
  <c r="JN36" i="14"/>
  <c r="JV36" i="14"/>
  <c r="JP36" i="14"/>
  <c r="IB50" i="14"/>
  <c r="HA50" i="14"/>
  <c r="L65" i="9"/>
  <c r="AY62" i="14"/>
  <c r="BA62" i="14" s="1"/>
  <c r="W62" i="14"/>
  <c r="I19" i="22" s="1"/>
  <c r="DH59" i="14"/>
  <c r="AO167" i="19"/>
  <c r="AP167" i="19"/>
  <c r="HU70" i="14"/>
  <c r="AU170" i="10"/>
  <c r="AV170" i="10"/>
  <c r="LZ33" i="14"/>
  <c r="KB62" i="14"/>
  <c r="JE62" i="14"/>
  <c r="CC157" i="10"/>
  <c r="CD174" i="10"/>
  <c r="CC174" i="10"/>
  <c r="CD157" i="10"/>
  <c r="O521" i="10"/>
  <c r="P520" i="10"/>
  <c r="Q520" i="10" s="1"/>
  <c r="GX60" i="14"/>
  <c r="JE30" i="14"/>
  <c r="L23" i="9"/>
  <c r="GZ66" i="14"/>
  <c r="I72" i="21"/>
  <c r="I12" i="21" s="1"/>
  <c r="BD50" i="14"/>
  <c r="BZ22" i="14"/>
  <c r="CB22" i="14"/>
  <c r="CZ22" i="14"/>
  <c r="DB22" i="14"/>
  <c r="DD22" i="14"/>
  <c r="CH22" i="14"/>
  <c r="CI22" i="14"/>
  <c r="CA22" i="14"/>
  <c r="CU22" i="14"/>
  <c r="CG22" i="14"/>
  <c r="DE22" i="14"/>
  <c r="CQ22" i="14"/>
  <c r="CW22" i="14" s="1"/>
  <c r="DC22" i="14"/>
  <c r="CV22" i="14"/>
  <c r="CS22" i="14"/>
  <c r="CT22" i="14"/>
  <c r="CR22" i="14"/>
  <c r="DA22" i="14"/>
  <c r="CC22" i="14"/>
  <c r="CF22" i="14"/>
  <c r="HU50" i="14"/>
  <c r="BW174" i="10"/>
  <c r="BX174" i="10"/>
  <c r="BX157" i="10"/>
  <c r="BW157" i="10"/>
  <c r="BH207" i="10"/>
  <c r="BG208" i="10"/>
  <c r="BH208" i="10"/>
  <c r="BG207" i="10"/>
  <c r="BH206" i="10"/>
  <c r="BH209" i="10"/>
  <c r="BG206" i="10"/>
  <c r="BG209" i="10"/>
  <c r="E65" i="9"/>
  <c r="ET19" i="14"/>
  <c r="FU19" i="14"/>
  <c r="BF174" i="16"/>
  <c r="BE174" i="16"/>
  <c r="BE157" i="16"/>
  <c r="CJ196" i="16"/>
  <c r="CJ193" i="16"/>
  <c r="CH199" i="16"/>
  <c r="CH192" i="16"/>
  <c r="F9" i="9"/>
  <c r="GZ21" i="14"/>
  <c r="CH174" i="19"/>
  <c r="CG157" i="19"/>
  <c r="CG174" i="19"/>
  <c r="CH157" i="19"/>
  <c r="FM19" i="14"/>
  <c r="CH194" i="10"/>
  <c r="CH187" i="10"/>
  <c r="CJ188" i="10"/>
  <c r="CJ191" i="10"/>
  <c r="DG64" i="14"/>
  <c r="HL67" i="14"/>
  <c r="AU201" i="16"/>
  <c r="AU198" i="16"/>
  <c r="AS204" i="16"/>
  <c r="AS197" i="16"/>
  <c r="JS60" i="14"/>
  <c r="AB151" i="16"/>
  <c r="AB135" i="16"/>
  <c r="FM34" i="14"/>
  <c r="FO34" i="14" s="1"/>
  <c r="FM35" i="14"/>
  <c r="AV192" i="19"/>
  <c r="AX193" i="19"/>
  <c r="AX196" i="19"/>
  <c r="AV199" i="19"/>
  <c r="AE31" i="14"/>
  <c r="C19" i="9"/>
  <c r="MP38" i="14"/>
  <c r="H84" i="9"/>
  <c r="LO38" i="14"/>
  <c r="C104" i="14"/>
  <c r="BF33" i="14"/>
  <c r="AY209" i="10"/>
  <c r="AZ206" i="10"/>
  <c r="AZ207" i="10"/>
  <c r="AY206" i="10"/>
  <c r="AY207" i="10"/>
  <c r="AZ209" i="10"/>
  <c r="AY208" i="10"/>
  <c r="AZ208" i="10"/>
  <c r="AT71" i="14"/>
  <c r="Y71" i="14"/>
  <c r="AS71" i="14"/>
  <c r="AY71" i="14" s="1"/>
  <c r="AW71" i="14"/>
  <c r="S71" i="14"/>
  <c r="Z71" i="14"/>
  <c r="AV71" i="14"/>
  <c r="AZ71" i="14" s="1"/>
  <c r="AK71" i="14"/>
  <c r="AU71" i="14"/>
  <c r="AN71" i="14"/>
  <c r="AA71" i="14"/>
  <c r="AL71" i="14"/>
  <c r="T71" i="14"/>
  <c r="AX71" i="14"/>
  <c r="AJ71" i="14"/>
  <c r="AP71" i="14" s="1"/>
  <c r="AM71" i="14"/>
  <c r="AO71" i="14"/>
  <c r="U71" i="14"/>
  <c r="AB71" i="14"/>
  <c r="V71" i="14"/>
  <c r="HK27" i="14"/>
  <c r="KA57" i="14"/>
  <c r="KC57" i="14" s="1"/>
  <c r="AZ184" i="16"/>
  <c r="AY184" i="16"/>
  <c r="AY181" i="16"/>
  <c r="AY183" i="16"/>
  <c r="AZ182" i="16"/>
  <c r="AY182" i="16"/>
  <c r="AZ181" i="16"/>
  <c r="AZ183" i="16"/>
  <c r="BY198" i="16"/>
  <c r="BW204" i="16"/>
  <c r="BY201" i="16"/>
  <c r="BW197" i="16"/>
  <c r="BD174" i="16"/>
  <c r="BC174" i="16"/>
  <c r="BC157" i="16"/>
  <c r="EK55" i="14"/>
  <c r="K12" i="22" s="1"/>
  <c r="MA62" i="14"/>
  <c r="N50" i="23" s="1"/>
  <c r="MH62" i="14"/>
  <c r="MJ62" i="14" s="1"/>
  <c r="BT193" i="10"/>
  <c r="BT192" i="10"/>
  <c r="BS193" i="10"/>
  <c r="BT191" i="10"/>
  <c r="BS192" i="10"/>
  <c r="KA61" i="14"/>
  <c r="IY61" i="14"/>
  <c r="M18" i="22" s="1"/>
  <c r="AQ193" i="10"/>
  <c r="AO192" i="10"/>
  <c r="AO199" i="10"/>
  <c r="AQ196" i="10"/>
  <c r="BC207" i="16"/>
  <c r="BC209" i="16"/>
  <c r="BC208" i="16"/>
  <c r="BD208" i="16"/>
  <c r="BD206" i="16"/>
  <c r="BD209" i="16"/>
  <c r="BD207" i="16"/>
  <c r="BC206" i="16"/>
  <c r="MI26" i="14"/>
  <c r="AQ59" i="14"/>
  <c r="DF61" i="14"/>
  <c r="DH61" i="14" s="1"/>
  <c r="AQ67" i="14"/>
  <c r="AO69" i="14"/>
  <c r="AB69" i="14"/>
  <c r="U69" i="14"/>
  <c r="AL69" i="14"/>
  <c r="AJ69" i="14"/>
  <c r="AS69" i="14"/>
  <c r="Z69" i="14"/>
  <c r="S69" i="14"/>
  <c r="AN69" i="14"/>
  <c r="AK69" i="14"/>
  <c r="AX69" i="14"/>
  <c r="AT69" i="14"/>
  <c r="Y69" i="14"/>
  <c r="AA69" i="14"/>
  <c r="V69" i="14"/>
  <c r="AM69" i="14"/>
  <c r="AW69" i="14"/>
  <c r="AU69" i="14"/>
  <c r="AV69" i="14"/>
  <c r="AZ69" i="14" s="1"/>
  <c r="T69" i="14"/>
  <c r="JU67" i="14"/>
  <c r="KA67" i="14" s="1"/>
  <c r="JQ67" i="14"/>
  <c r="JB67" i="14"/>
  <c r="JW67" i="14"/>
  <c r="IV67" i="14"/>
  <c r="JY67" i="14"/>
  <c r="JC67" i="14"/>
  <c r="JX67" i="14"/>
  <c r="KB67" i="14" s="1"/>
  <c r="JO67" i="14"/>
  <c r="IX67" i="14"/>
  <c r="JD67" i="14"/>
  <c r="JA67" i="14"/>
  <c r="JZ67" i="14"/>
  <c r="JL67" i="14"/>
  <c r="JR67" i="14" s="1"/>
  <c r="IU67" i="14"/>
  <c r="IW67" i="14"/>
  <c r="JM67" i="14"/>
  <c r="JN67" i="14"/>
  <c r="JP67" i="14"/>
  <c r="JV67" i="14"/>
  <c r="EQ25" i="14"/>
  <c r="FD33" i="14"/>
  <c r="EK33" i="14"/>
  <c r="E21" i="22" s="1"/>
  <c r="HT22" i="14"/>
  <c r="LY59" i="14"/>
  <c r="JG36" i="14"/>
  <c r="G24" i="9"/>
  <c r="JR59" i="14"/>
  <c r="AZ58" i="14"/>
  <c r="CJ29" i="14"/>
  <c r="CW29" i="14"/>
  <c r="DG33" i="14"/>
  <c r="CX33" i="14"/>
  <c r="CD33" i="14"/>
  <c r="D21" i="22" s="1"/>
  <c r="CW65" i="14"/>
  <c r="LY18" i="14"/>
  <c r="FE41" i="14"/>
  <c r="HL36" i="14"/>
  <c r="MI60" i="14"/>
  <c r="LL60" i="14"/>
  <c r="CD25" i="14"/>
  <c r="D13" i="22" s="1"/>
  <c r="AZ61" i="14"/>
  <c r="W61" i="14"/>
  <c r="I18" i="22" s="1"/>
  <c r="IY28" i="14"/>
  <c r="G16" i="22" s="1"/>
  <c r="HK57" i="14"/>
  <c r="CX32" i="14"/>
  <c r="CJ32" i="14"/>
  <c r="IY24" i="14"/>
  <c r="G12" i="22" s="1"/>
  <c r="HL30" i="14"/>
  <c r="HK30" i="14"/>
  <c r="CD24" i="14"/>
  <c r="D12" i="22" s="1"/>
  <c r="DF31" i="14"/>
  <c r="HT32" i="14"/>
  <c r="HV32" i="14" s="1"/>
  <c r="KB22" i="14"/>
  <c r="JR54" i="14"/>
  <c r="DG68" i="14"/>
  <c r="CW68" i="14"/>
  <c r="KB32" i="14"/>
  <c r="IY32" i="14"/>
  <c r="G20" i="22" s="1"/>
  <c r="CD55" i="14"/>
  <c r="J12" i="22" s="1"/>
  <c r="FM59" i="14"/>
  <c r="FO59" i="14" s="1"/>
  <c r="CW67" i="14"/>
  <c r="FD62" i="14"/>
  <c r="CW63" i="14"/>
  <c r="GR28" i="14"/>
  <c r="F16" i="22" s="1"/>
  <c r="CW57" i="14"/>
  <c r="MI66" i="14"/>
  <c r="KA65" i="14"/>
  <c r="KC65" i="14" s="1"/>
  <c r="JR65" i="14"/>
  <c r="FD63" i="14"/>
  <c r="W60" i="14"/>
  <c r="I17" i="22" s="1"/>
  <c r="AY60" i="14"/>
  <c r="JR64" i="14"/>
  <c r="HT20" i="14"/>
  <c r="DN68" i="14"/>
  <c r="CM68" i="14"/>
  <c r="J83" i="9"/>
  <c r="BW188" i="19"/>
  <c r="BW191" i="19"/>
  <c r="BM172" i="10"/>
  <c r="BM181" i="10" s="1"/>
  <c r="BN172" i="10"/>
  <c r="BN181" i="10" s="1"/>
  <c r="X29" i="14"/>
  <c r="C46" i="9"/>
  <c r="F83" i="9"/>
  <c r="IB37" i="14"/>
  <c r="HA37" i="14"/>
  <c r="F68" i="9"/>
  <c r="HA22" i="14"/>
  <c r="IB22" i="14"/>
  <c r="M88" i="21"/>
  <c r="M28" i="21" s="1"/>
  <c r="KF66" i="14"/>
  <c r="E27" i="9"/>
  <c r="ES39" i="14"/>
  <c r="IB39" i="14"/>
  <c r="F85" i="9"/>
  <c r="HA39" i="14"/>
  <c r="AO197" i="16"/>
  <c r="AO204" i="16"/>
  <c r="AQ201" i="16"/>
  <c r="AQ198" i="16"/>
  <c r="G71" i="21"/>
  <c r="G11" i="21" s="1"/>
  <c r="KF18" i="14"/>
  <c r="AQ188" i="19"/>
  <c r="AQ191" i="19"/>
  <c r="AO187" i="19"/>
  <c r="AO194" i="19"/>
  <c r="AL153" i="10"/>
  <c r="AL137" i="10"/>
  <c r="AL137" i="19"/>
  <c r="BX198" i="16"/>
  <c r="BX201" i="16"/>
  <c r="AM541" i="10"/>
  <c r="AN540" i="10"/>
  <c r="AO540" i="10" s="1"/>
  <c r="AW156" i="16"/>
  <c r="AW173" i="16"/>
  <c r="AX173" i="16"/>
  <c r="AX156" i="16"/>
  <c r="KC62" i="14"/>
  <c r="BP209" i="19"/>
  <c r="BO207" i="19"/>
  <c r="BP206" i="19"/>
  <c r="BP207" i="19"/>
  <c r="BO208" i="19"/>
  <c r="BO209" i="19"/>
  <c r="BP208" i="19"/>
  <c r="BO206" i="19"/>
  <c r="HA20" i="14"/>
  <c r="IB20" i="14"/>
  <c r="F66" i="9"/>
  <c r="AY193" i="19"/>
  <c r="AY192" i="19"/>
  <c r="AZ192" i="19"/>
  <c r="AZ191" i="19"/>
  <c r="AY191" i="19"/>
  <c r="AZ193" i="19"/>
  <c r="AY194" i="19"/>
  <c r="AZ194" i="19"/>
  <c r="LU32" i="14"/>
  <c r="LX32" i="14"/>
  <c r="LT32" i="14"/>
  <c r="LH32" i="14"/>
  <c r="LC32" i="14"/>
  <c r="LI32" i="14"/>
  <c r="LV32" i="14"/>
  <c r="LE32" i="14"/>
  <c r="MD32" i="14"/>
  <c r="MG32" i="14"/>
  <c r="LW32" i="14"/>
  <c r="MC32" i="14"/>
  <c r="LD32" i="14"/>
  <c r="LB32" i="14"/>
  <c r="LF32" i="14" s="1"/>
  <c r="H20" i="22" s="1"/>
  <c r="MB32" i="14"/>
  <c r="LS32" i="14"/>
  <c r="LK32" i="14"/>
  <c r="LJ32" i="14"/>
  <c r="ME32" i="14"/>
  <c r="MF32" i="14"/>
  <c r="BF187" i="10"/>
  <c r="BF188" i="10"/>
  <c r="BF186" i="10"/>
  <c r="BF189" i="10"/>
  <c r="BE188" i="10"/>
  <c r="BE189" i="10"/>
  <c r="BE186" i="10"/>
  <c r="BE187" i="10"/>
  <c r="LM62" i="14"/>
  <c r="N48" i="22"/>
  <c r="BK157" i="16"/>
  <c r="BK174" i="16"/>
  <c r="BL174" i="16"/>
  <c r="JS54" i="14"/>
  <c r="ER30" i="14"/>
  <c r="E47" i="22"/>
  <c r="FF65" i="14"/>
  <c r="K53" i="23" s="1"/>
  <c r="G84" i="9"/>
  <c r="KI38" i="14"/>
  <c r="JH38" i="14"/>
  <c r="AY39" i="14"/>
  <c r="AD147" i="10"/>
  <c r="AD131" i="10"/>
  <c r="AD131" i="19"/>
  <c r="E43" i="22"/>
  <c r="ER26" i="14"/>
  <c r="LH34" i="14"/>
  <c r="MF34" i="14"/>
  <c r="LD34" i="14"/>
  <c r="LV34" i="14"/>
  <c r="LJ34" i="14"/>
  <c r="LU34" i="14"/>
  <c r="LB34" i="14"/>
  <c r="LF34" i="14" s="1"/>
  <c r="H22" i="22" s="1"/>
  <c r="LE34" i="14"/>
  <c r="MD34" i="14"/>
  <c r="LX34" i="14"/>
  <c r="ME34" i="14"/>
  <c r="LS34" i="14"/>
  <c r="LI34" i="14"/>
  <c r="LW34" i="14"/>
  <c r="MB34" i="14"/>
  <c r="MH34" i="14" s="1"/>
  <c r="LC34" i="14"/>
  <c r="MG34" i="14"/>
  <c r="LT34" i="14"/>
  <c r="LK34" i="14"/>
  <c r="MC34" i="14"/>
  <c r="LY25" i="14"/>
  <c r="J82" i="9"/>
  <c r="CM67" i="14"/>
  <c r="DN67" i="14"/>
  <c r="ES68" i="14"/>
  <c r="K25" i="9"/>
  <c r="GX34" i="14"/>
  <c r="BM199" i="16"/>
  <c r="BN199" i="16"/>
  <c r="BN196" i="16"/>
  <c r="BM196" i="16"/>
  <c r="BN198" i="16"/>
  <c r="BN197" i="16"/>
  <c r="BM198" i="16"/>
  <c r="BM197" i="16"/>
  <c r="BW201" i="16"/>
  <c r="BW198" i="16"/>
  <c r="AZ19" i="14"/>
  <c r="CE196" i="16"/>
  <c r="CC199" i="16"/>
  <c r="CC192" i="16"/>
  <c r="CE193" i="16"/>
  <c r="G72" i="21"/>
  <c r="G12" i="21" s="1"/>
  <c r="KF19" i="14"/>
  <c r="HT70" i="14"/>
  <c r="M11" i="9"/>
  <c r="JG54" i="14"/>
  <c r="GU31" i="14"/>
  <c r="GO31" i="14"/>
  <c r="GV31" i="14"/>
  <c r="GP31" i="14"/>
  <c r="GW31" i="14"/>
  <c r="GQ31" i="14"/>
  <c r="GN31" i="14"/>
  <c r="GR31" i="14" s="1"/>
  <c r="F19" i="22" s="1"/>
  <c r="GT31" i="14"/>
  <c r="GX31" i="14" s="1"/>
  <c r="HJ31" i="14"/>
  <c r="HO31" i="14"/>
  <c r="HP31" i="14"/>
  <c r="HH31" i="14"/>
  <c r="HI31" i="14"/>
  <c r="HN31" i="14"/>
  <c r="HT31" i="14" s="1"/>
  <c r="HV31" i="14" s="1"/>
  <c r="HG31" i="14"/>
  <c r="HF31" i="14"/>
  <c r="HE31" i="14"/>
  <c r="HS31" i="14"/>
  <c r="HQ31" i="14"/>
  <c r="HU31" i="14" s="1"/>
  <c r="HR31" i="14"/>
  <c r="EH49" i="14"/>
  <c r="FB49" i="14"/>
  <c r="EZ49" i="14"/>
  <c r="EG49" i="14"/>
  <c r="EX49" i="14"/>
  <c r="FG49" i="14"/>
  <c r="FM49" i="14" s="1"/>
  <c r="EY49" i="14"/>
  <c r="EM49" i="14"/>
  <c r="FK49" i="14"/>
  <c r="EN49" i="14"/>
  <c r="EO49" i="14"/>
  <c r="EP49" i="14"/>
  <c r="FI49" i="14"/>
  <c r="EJ49" i="14"/>
  <c r="FA49" i="14"/>
  <c r="FJ49" i="14"/>
  <c r="FC49" i="14"/>
  <c r="EI49" i="14"/>
  <c r="FL49" i="14"/>
  <c r="FH49" i="14"/>
  <c r="M46" i="22"/>
  <c r="JF60" i="14"/>
  <c r="AZ204" i="10"/>
  <c r="AZ202" i="10"/>
  <c r="AY202" i="10"/>
  <c r="AZ203" i="10"/>
  <c r="AY201" i="10"/>
  <c r="AY203" i="10"/>
  <c r="AY204" i="10"/>
  <c r="AZ201" i="10"/>
  <c r="BE207" i="10"/>
  <c r="BF207" i="10"/>
  <c r="BF209" i="10"/>
  <c r="BF208" i="10"/>
  <c r="BE206" i="10"/>
  <c r="BF206" i="10"/>
  <c r="BE208" i="10"/>
  <c r="BE209" i="10"/>
  <c r="E91" i="21"/>
  <c r="E31" i="21" s="1"/>
  <c r="FR38" i="14"/>
  <c r="FF24" i="14"/>
  <c r="E43" i="23" s="1"/>
  <c r="IY59" i="14"/>
  <c r="M16" i="22" s="1"/>
  <c r="MH24" i="14"/>
  <c r="MJ24" i="14" s="1"/>
  <c r="CD65" i="14"/>
  <c r="J22" i="22" s="1"/>
  <c r="JS22" i="14"/>
  <c r="W65" i="14"/>
  <c r="I22" i="22" s="1"/>
  <c r="FN30" i="14"/>
  <c r="GY62" i="14"/>
  <c r="L48" i="22"/>
  <c r="G68" i="9"/>
  <c r="JH22" i="14"/>
  <c r="KI22" i="14"/>
  <c r="BT196" i="10"/>
  <c r="BR199" i="10"/>
  <c r="BF194" i="10"/>
  <c r="BF193" i="10"/>
  <c r="BE194" i="10"/>
  <c r="BE191" i="10"/>
  <c r="BF191" i="10"/>
  <c r="BE192" i="10"/>
  <c r="BE193" i="10"/>
  <c r="BF192" i="10"/>
  <c r="AT193" i="19"/>
  <c r="AR192" i="19"/>
  <c r="AT196" i="19"/>
  <c r="AR199" i="19"/>
  <c r="JG67" i="14"/>
  <c r="M24" i="9"/>
  <c r="LY27" i="14"/>
  <c r="F93" i="21"/>
  <c r="F33" i="21" s="1"/>
  <c r="HY40" i="14"/>
  <c r="AQ156" i="19"/>
  <c r="AR173" i="19"/>
  <c r="AQ173" i="19"/>
  <c r="AR156" i="19"/>
  <c r="BG196" i="10"/>
  <c r="BE199" i="10"/>
  <c r="BR196" i="19"/>
  <c r="BP199" i="19"/>
  <c r="AQ167" i="19"/>
  <c r="AR167" i="19"/>
  <c r="BY156" i="10"/>
  <c r="BY173" i="10"/>
  <c r="BZ173" i="10"/>
  <c r="BZ156" i="10"/>
  <c r="I74" i="21"/>
  <c r="I14" i="21" s="1"/>
  <c r="BD52" i="14"/>
  <c r="JL19" i="14"/>
  <c r="JX19" i="14"/>
  <c r="IW19" i="14"/>
  <c r="JW19" i="14"/>
  <c r="JC19" i="14"/>
  <c r="JP19" i="14"/>
  <c r="JZ19" i="14"/>
  <c r="JV19" i="14"/>
  <c r="JM19" i="14"/>
  <c r="JD19" i="14"/>
  <c r="IU19" i="14"/>
  <c r="JN19" i="14"/>
  <c r="JA19" i="14"/>
  <c r="JO19" i="14"/>
  <c r="IV19" i="14"/>
  <c r="JB19" i="14"/>
  <c r="JQ19" i="14"/>
  <c r="JY19" i="14"/>
  <c r="IX19" i="14"/>
  <c r="JU19" i="14"/>
  <c r="MP50" i="14"/>
  <c r="N65" i="9"/>
  <c r="LO50" i="14"/>
  <c r="CW36" i="14"/>
  <c r="KC35" i="14"/>
  <c r="LY23" i="14"/>
  <c r="CC201" i="16"/>
  <c r="CC198" i="16"/>
  <c r="CA197" i="16"/>
  <c r="CA204" i="16"/>
  <c r="AZ203" i="19"/>
  <c r="AY204" i="19"/>
  <c r="AZ201" i="19"/>
  <c r="AY202" i="19"/>
  <c r="AZ202" i="19"/>
  <c r="AY203" i="19"/>
  <c r="AY201" i="19"/>
  <c r="AZ204" i="19"/>
  <c r="H83" i="9"/>
  <c r="LO37" i="14"/>
  <c r="MP37" i="14"/>
  <c r="IY57" i="14"/>
  <c r="M14" i="22" s="1"/>
  <c r="IV26" i="14"/>
  <c r="JV26" i="14"/>
  <c r="JY26" i="14"/>
  <c r="JB26" i="14"/>
  <c r="JD26" i="14"/>
  <c r="JQ26" i="14"/>
  <c r="JC26" i="14"/>
  <c r="JW26" i="14"/>
  <c r="JU26" i="14"/>
  <c r="JM26" i="14"/>
  <c r="JP26" i="14"/>
  <c r="IW26" i="14"/>
  <c r="JZ26" i="14"/>
  <c r="JN26" i="14"/>
  <c r="IU26" i="14"/>
  <c r="IY26" i="14" s="1"/>
  <c r="G14" i="22" s="1"/>
  <c r="JX26" i="14"/>
  <c r="KB26" i="14" s="1"/>
  <c r="JO26" i="14"/>
  <c r="IX26" i="14"/>
  <c r="JL26" i="14"/>
  <c r="JA26" i="14"/>
  <c r="EK24" i="14"/>
  <c r="E12" i="22" s="1"/>
  <c r="AC250" i="10"/>
  <c r="AG249" i="10"/>
  <c r="CG70" i="14"/>
  <c r="DC70" i="14"/>
  <c r="DE70" i="14"/>
  <c r="CQ70" i="14"/>
  <c r="CI70" i="14"/>
  <c r="CC70" i="14"/>
  <c r="DD70" i="14"/>
  <c r="DB70" i="14"/>
  <c r="CV70" i="14"/>
  <c r="CZ70" i="14"/>
  <c r="CA70" i="14"/>
  <c r="CT70" i="14"/>
  <c r="BZ70" i="14"/>
  <c r="CR70" i="14"/>
  <c r="DA70" i="14"/>
  <c r="CU70" i="14"/>
  <c r="CF70" i="14"/>
  <c r="CB70" i="14"/>
  <c r="CH70" i="14"/>
  <c r="CS70" i="14"/>
  <c r="JF59" i="14"/>
  <c r="M45" i="22"/>
  <c r="HU66" i="14"/>
  <c r="DF33" i="14"/>
  <c r="HK36" i="14"/>
  <c r="KA22" i="14"/>
  <c r="CX53" i="14"/>
  <c r="JS32" i="14"/>
  <c r="LZ66" i="14"/>
  <c r="KA64" i="14"/>
  <c r="KC64" i="14" s="1"/>
  <c r="AQ39" i="14"/>
  <c r="AP56" i="14"/>
  <c r="BE183" i="16"/>
  <c r="BF181" i="16"/>
  <c r="BF184" i="16"/>
  <c r="BE182" i="16"/>
  <c r="BF182" i="16"/>
  <c r="BE181" i="16"/>
  <c r="BF183" i="16"/>
  <c r="BE184" i="16"/>
  <c r="AQ22" i="14"/>
  <c r="BL203" i="16"/>
  <c r="BK201" i="16"/>
  <c r="BK203" i="16"/>
  <c r="BK202" i="16"/>
  <c r="BL202" i="16"/>
  <c r="BL204" i="16"/>
  <c r="BK204" i="16"/>
  <c r="BL201" i="16"/>
  <c r="AY158" i="16"/>
  <c r="AZ175" i="16"/>
  <c r="AY175" i="16"/>
  <c r="AZ158" i="16"/>
  <c r="JV38" i="14"/>
  <c r="JX38" i="14"/>
  <c r="JB38" i="14"/>
  <c r="IX38" i="14"/>
  <c r="JW38" i="14"/>
  <c r="IU38" i="14"/>
  <c r="JC38" i="14"/>
  <c r="JN38" i="14"/>
  <c r="JO38" i="14"/>
  <c r="JA38" i="14"/>
  <c r="JP38" i="14"/>
  <c r="JD38" i="14"/>
  <c r="IW38" i="14"/>
  <c r="JL38" i="14"/>
  <c r="JZ38" i="14"/>
  <c r="JM38" i="14"/>
  <c r="JQ38" i="14"/>
  <c r="JY38" i="14"/>
  <c r="IV38" i="14"/>
  <c r="JU38" i="14"/>
  <c r="DA52" i="14"/>
  <c r="DD52" i="14"/>
  <c r="DE52" i="14"/>
  <c r="CI52" i="14"/>
  <c r="CS52" i="14"/>
  <c r="CA52" i="14"/>
  <c r="CT52" i="14"/>
  <c r="CX52" i="14" s="1"/>
  <c r="DB52" i="14"/>
  <c r="CR52" i="14"/>
  <c r="CG52" i="14"/>
  <c r="BZ52" i="14"/>
  <c r="CV52" i="14"/>
  <c r="CF52" i="14"/>
  <c r="CZ52" i="14"/>
  <c r="DF52" i="14" s="1"/>
  <c r="CC52" i="14"/>
  <c r="CH52" i="14"/>
  <c r="CQ52" i="14"/>
  <c r="DC52" i="14"/>
  <c r="DG52" i="14" s="1"/>
  <c r="CU52" i="14"/>
  <c r="CB52" i="14"/>
  <c r="BI158" i="16"/>
  <c r="BI175" i="16"/>
  <c r="BJ175" i="16"/>
  <c r="L85" i="9"/>
  <c r="HA70" i="14"/>
  <c r="IB70" i="14"/>
  <c r="EQ31" i="14"/>
  <c r="AJ143" i="16"/>
  <c r="AJ155" i="16" s="1"/>
  <c r="AJ127" i="16"/>
  <c r="FO61" i="14"/>
  <c r="AI193" i="10"/>
  <c r="AF251" i="10" s="1"/>
  <c r="AE251" i="10" s="1"/>
  <c r="AJ193" i="10"/>
  <c r="AH251" i="10" s="1"/>
  <c r="V52" i="14"/>
  <c r="AA52" i="14"/>
  <c r="T52" i="14"/>
  <c r="AB52" i="14"/>
  <c r="S52" i="14"/>
  <c r="U52" i="14"/>
  <c r="Y52" i="14"/>
  <c r="Z52" i="14"/>
  <c r="AW52" i="14"/>
  <c r="AX52" i="14"/>
  <c r="AK52" i="14"/>
  <c r="AL52" i="14"/>
  <c r="AS52" i="14"/>
  <c r="AY52" i="14" s="1"/>
  <c r="AN52" i="14"/>
  <c r="AO52" i="14"/>
  <c r="AT52" i="14"/>
  <c r="AJ52" i="14"/>
  <c r="AM52" i="14"/>
  <c r="AV52" i="14"/>
  <c r="AU52" i="14"/>
  <c r="BD196" i="16"/>
  <c r="BD197" i="16"/>
  <c r="BC196" i="16"/>
  <c r="BD198" i="16"/>
  <c r="BD199" i="16"/>
  <c r="BC197" i="16"/>
  <c r="BC199" i="16"/>
  <c r="BC198" i="16"/>
  <c r="IY30" i="14"/>
  <c r="G18" i="22" s="1"/>
  <c r="CX36" i="14"/>
  <c r="BT192" i="16"/>
  <c r="AF40" i="14"/>
  <c r="C86" i="9"/>
  <c r="BG40" i="14"/>
  <c r="KA60" i="14"/>
  <c r="H91" i="21"/>
  <c r="H31" i="21" s="1"/>
  <c r="MM38" i="14"/>
  <c r="FM66" i="14"/>
  <c r="CF193" i="10"/>
  <c r="CD199" i="10"/>
  <c r="CF196" i="10"/>
  <c r="CD192" i="10"/>
  <c r="BU174" i="16"/>
  <c r="BV174" i="16"/>
  <c r="BU157" i="16"/>
  <c r="AY64" i="14"/>
  <c r="BA64" i="14" s="1"/>
  <c r="KB61" i="14"/>
  <c r="AP59" i="14"/>
  <c r="LF35" i="14"/>
  <c r="H23" i="22" s="1"/>
  <c r="JS59" i="14"/>
  <c r="DG27" i="14"/>
  <c r="DG25" i="14"/>
  <c r="DH25" i="14" s="1"/>
  <c r="LF64" i="14"/>
  <c r="N21" i="22" s="1"/>
  <c r="JF24" i="14"/>
  <c r="JT24" i="14" s="1"/>
  <c r="G41" i="22"/>
  <c r="LZ29" i="14"/>
  <c r="CW55" i="14"/>
  <c r="DG67" i="14"/>
  <c r="JH69" i="14"/>
  <c r="M84" i="9"/>
  <c r="KI69" i="14"/>
  <c r="M91" i="21"/>
  <c r="M31" i="21" s="1"/>
  <c r="KF69" i="14"/>
  <c r="JL53" i="14"/>
  <c r="JU53" i="14"/>
  <c r="JN53" i="14"/>
  <c r="JZ53" i="14"/>
  <c r="JB53" i="14"/>
  <c r="JV53" i="14"/>
  <c r="JY53" i="14"/>
  <c r="JA53" i="14"/>
  <c r="JO53" i="14"/>
  <c r="JP53" i="14"/>
  <c r="JW53" i="14"/>
  <c r="JM53" i="14"/>
  <c r="IW53" i="14"/>
  <c r="JQ53" i="14"/>
  <c r="JC53" i="14"/>
  <c r="IX53" i="14"/>
  <c r="JD53" i="14"/>
  <c r="JX53" i="14"/>
  <c r="IV53" i="14"/>
  <c r="IU53" i="14"/>
  <c r="CW56" i="14"/>
  <c r="IB53" i="14"/>
  <c r="IC53" i="14" s="1"/>
  <c r="L68" i="9"/>
  <c r="HA53" i="14"/>
  <c r="DN49" i="14"/>
  <c r="CM49" i="14"/>
  <c r="J64" i="9"/>
  <c r="BG197" i="16"/>
  <c r="IV69" i="14"/>
  <c r="JC69" i="14"/>
  <c r="JP69" i="14"/>
  <c r="JB69" i="14"/>
  <c r="IW69" i="14"/>
  <c r="IX69" i="14"/>
  <c r="JW69" i="14"/>
  <c r="JV69" i="14"/>
  <c r="JZ69" i="14"/>
  <c r="IU69" i="14"/>
  <c r="JU69" i="14"/>
  <c r="KA69" i="14" s="1"/>
  <c r="JN69" i="14"/>
  <c r="JY69" i="14"/>
  <c r="JX69" i="14"/>
  <c r="JO69" i="14"/>
  <c r="JD69" i="14"/>
  <c r="JL69" i="14"/>
  <c r="JM69" i="14"/>
  <c r="JA69" i="14"/>
  <c r="JQ69" i="14"/>
  <c r="M94" i="21"/>
  <c r="M34" i="21" s="1"/>
  <c r="KF72" i="14"/>
  <c r="AP204" i="16"/>
  <c r="AR201" i="16"/>
  <c r="AR198" i="16"/>
  <c r="AP197" i="16"/>
  <c r="H75" i="21"/>
  <c r="H15" i="21" s="1"/>
  <c r="MM22" i="14"/>
  <c r="AP196" i="16"/>
  <c r="AP193" i="16"/>
  <c r="JS31" i="14"/>
  <c r="FE26" i="14"/>
  <c r="AJ151" i="16"/>
  <c r="AJ135" i="16"/>
  <c r="C96" i="14"/>
  <c r="BF25" i="14"/>
  <c r="AQ56" i="14"/>
  <c r="W56" i="14"/>
  <c r="I13" i="22" s="1"/>
  <c r="J68" i="9"/>
  <c r="CM53" i="14"/>
  <c r="DN53" i="14"/>
  <c r="DG58" i="14"/>
  <c r="M93" i="21"/>
  <c r="M33" i="21" s="1"/>
  <c r="KF71" i="14"/>
  <c r="BN209" i="16"/>
  <c r="BM208" i="16"/>
  <c r="BN207" i="16"/>
  <c r="BM206" i="16"/>
  <c r="BM207" i="16"/>
  <c r="BM209" i="16"/>
  <c r="BN208" i="16"/>
  <c r="BN206" i="16"/>
  <c r="H93" i="21"/>
  <c r="H33" i="21" s="1"/>
  <c r="MM40" i="14"/>
  <c r="CB196" i="19"/>
  <c r="BZ192" i="19"/>
  <c r="CB193" i="19"/>
  <c r="BZ199" i="19"/>
  <c r="AC54" i="14"/>
  <c r="N87" i="9"/>
  <c r="LO72" i="14"/>
  <c r="MP72" i="14"/>
  <c r="JE55" i="14"/>
  <c r="CI156" i="19"/>
  <c r="CJ173" i="19"/>
  <c r="CI173" i="19"/>
  <c r="CJ156" i="19"/>
  <c r="CA167" i="19"/>
  <c r="CB167" i="19"/>
  <c r="JS49" i="14"/>
  <c r="HL51" i="14"/>
  <c r="HK51" i="14"/>
  <c r="J7" i="9"/>
  <c r="CL50" i="14"/>
  <c r="MH25" i="14"/>
  <c r="MJ25" i="14" s="1"/>
  <c r="AL141" i="16"/>
  <c r="AL155" i="16" s="1"/>
  <c r="AL125" i="16"/>
  <c r="GU64" i="14"/>
  <c r="GP64" i="14"/>
  <c r="GV64" i="14"/>
  <c r="GQ64" i="14"/>
  <c r="GW64" i="14"/>
  <c r="GT64" i="14"/>
  <c r="GX64" i="14" s="1"/>
  <c r="HN64" i="14"/>
  <c r="HT64" i="14" s="1"/>
  <c r="HV64" i="14" s="1"/>
  <c r="HO64" i="14"/>
  <c r="HG64" i="14"/>
  <c r="HE64" i="14"/>
  <c r="HR64" i="14"/>
  <c r="HQ64" i="14"/>
  <c r="HU64" i="14" s="1"/>
  <c r="HP64" i="14"/>
  <c r="GN64" i="14"/>
  <c r="GR64" i="14" s="1"/>
  <c r="L21" i="22" s="1"/>
  <c r="HJ64" i="14"/>
  <c r="GO64" i="14"/>
  <c r="HS64" i="14"/>
  <c r="HH64" i="14"/>
  <c r="HI64" i="14"/>
  <c r="HF64" i="14"/>
  <c r="BF26" i="14"/>
  <c r="C97" i="14"/>
  <c r="AV186" i="10"/>
  <c r="AV183" i="10"/>
  <c r="AT182" i="10"/>
  <c r="AT189" i="10"/>
  <c r="JO72" i="14"/>
  <c r="JV72" i="14"/>
  <c r="JY72" i="14"/>
  <c r="IW72" i="14"/>
  <c r="IU72" i="14"/>
  <c r="JD72" i="14"/>
  <c r="JP72" i="14"/>
  <c r="JM72" i="14"/>
  <c r="JX72" i="14"/>
  <c r="JB72" i="14"/>
  <c r="JZ72" i="14"/>
  <c r="IV72" i="14"/>
  <c r="JC72" i="14"/>
  <c r="JA72" i="14"/>
  <c r="IX72" i="14"/>
  <c r="JL72" i="14"/>
  <c r="JQ72" i="14"/>
  <c r="JW72" i="14"/>
  <c r="JN72" i="14"/>
  <c r="JU72" i="14"/>
  <c r="KA72" i="14" s="1"/>
  <c r="W57" i="14"/>
  <c r="I14" i="22" s="1"/>
  <c r="FB21" i="14"/>
  <c r="FI21" i="14"/>
  <c r="FG21" i="14"/>
  <c r="EH21" i="14"/>
  <c r="EN21" i="14"/>
  <c r="FH21" i="14"/>
  <c r="EZ21" i="14"/>
  <c r="EJ21" i="14"/>
  <c r="EP21" i="14"/>
  <c r="EG21" i="14"/>
  <c r="FL21" i="14"/>
  <c r="FC21" i="14"/>
  <c r="FJ21" i="14"/>
  <c r="FK21" i="14"/>
  <c r="EX21" i="14"/>
  <c r="EY21" i="14"/>
  <c r="EM21" i="14"/>
  <c r="FA21" i="14"/>
  <c r="EO21" i="14"/>
  <c r="EI21" i="14"/>
  <c r="AP51" i="14"/>
  <c r="FE27" i="14"/>
  <c r="EK27" i="14"/>
  <c r="E15" i="22" s="1"/>
  <c r="AE32" i="14"/>
  <c r="C20" i="9"/>
  <c r="FC56" i="14"/>
  <c r="EZ56" i="14"/>
  <c r="FI56" i="14"/>
  <c r="EJ56" i="14"/>
  <c r="FB56" i="14"/>
  <c r="EM56" i="14"/>
  <c r="EX56" i="14"/>
  <c r="FD56" i="14" s="1"/>
  <c r="EG56" i="14"/>
  <c r="FK56" i="14"/>
  <c r="FA56" i="14"/>
  <c r="EP56" i="14"/>
  <c r="EY56" i="14"/>
  <c r="FL56" i="14"/>
  <c r="EN56" i="14"/>
  <c r="FH56" i="14"/>
  <c r="EI56" i="14"/>
  <c r="FG56" i="14"/>
  <c r="EH56" i="14"/>
  <c r="EO56" i="14"/>
  <c r="FJ56" i="14"/>
  <c r="AS193" i="16"/>
  <c r="AS196" i="16"/>
  <c r="AQ192" i="16"/>
  <c r="AQ199" i="16"/>
  <c r="BA156" i="19"/>
  <c r="BB173" i="19"/>
  <c r="BA173" i="19"/>
  <c r="L76" i="21"/>
  <c r="L16" i="21" s="1"/>
  <c r="HY54" i="14"/>
  <c r="K90" i="21"/>
  <c r="K30" i="21" s="1"/>
  <c r="FR68" i="14"/>
  <c r="CV72" i="14"/>
  <c r="CC72" i="14"/>
  <c r="DC72" i="14"/>
  <c r="DA72" i="14"/>
  <c r="CF72" i="14"/>
  <c r="CS72" i="14"/>
  <c r="DD72" i="14"/>
  <c r="CT72" i="14"/>
  <c r="CI72" i="14"/>
  <c r="CH72" i="14"/>
  <c r="CZ72" i="14"/>
  <c r="CG72" i="14"/>
  <c r="CB72" i="14"/>
  <c r="BZ72" i="14"/>
  <c r="CA72" i="14"/>
  <c r="CU72" i="14"/>
  <c r="DE72" i="14"/>
  <c r="CR72" i="14"/>
  <c r="DB72" i="14"/>
  <c r="CQ72" i="14"/>
  <c r="MH27" i="14"/>
  <c r="MJ27" i="14" s="1"/>
  <c r="BC191" i="19"/>
  <c r="BD192" i="19"/>
  <c r="BD191" i="19"/>
  <c r="BC192" i="19"/>
  <c r="BC193" i="19"/>
  <c r="BC194" i="19"/>
  <c r="BD194" i="19"/>
  <c r="BD193" i="19"/>
  <c r="LC67" i="14"/>
  <c r="LW67" i="14"/>
  <c r="MD67" i="14"/>
  <c r="LK67" i="14"/>
  <c r="LT67" i="14"/>
  <c r="LB67" i="14"/>
  <c r="LU67" i="14"/>
  <c r="LE67" i="14"/>
  <c r="LD67" i="14"/>
  <c r="ME67" i="14"/>
  <c r="MI67" i="14" s="1"/>
  <c r="LS67" i="14"/>
  <c r="LY67" i="14" s="1"/>
  <c r="LV67" i="14"/>
  <c r="LH67" i="14"/>
  <c r="LJ67" i="14"/>
  <c r="MF67" i="14"/>
  <c r="MC67" i="14"/>
  <c r="MB67" i="14"/>
  <c r="MG67" i="14"/>
  <c r="LX67" i="14"/>
  <c r="LI67" i="14"/>
  <c r="LL58" i="14"/>
  <c r="AX188" i="10"/>
  <c r="AV187" i="10"/>
  <c r="AV194" i="10"/>
  <c r="AX191" i="10"/>
  <c r="BT199" i="10"/>
  <c r="BV196" i="10"/>
  <c r="HA40" i="14"/>
  <c r="F86" i="9"/>
  <c r="IB40" i="14"/>
  <c r="H66" i="9"/>
  <c r="MP20" i="14"/>
  <c r="LO20" i="14"/>
  <c r="GR29" i="14"/>
  <c r="F17" i="22" s="1"/>
  <c r="HT29" i="14"/>
  <c r="HV29" i="14" s="1"/>
  <c r="HL29" i="14"/>
  <c r="HT71" i="14"/>
  <c r="E82" i="9"/>
  <c r="ET36" i="14"/>
  <c r="FU36" i="14"/>
  <c r="M67" i="9"/>
  <c r="KI52" i="14"/>
  <c r="KJ52" i="14" s="1"/>
  <c r="JH52" i="14"/>
  <c r="AQ37" i="14"/>
  <c r="BM206" i="10"/>
  <c r="BN208" i="10"/>
  <c r="BN209" i="10"/>
  <c r="BN206" i="10"/>
  <c r="BM208" i="10"/>
  <c r="BM207" i="10"/>
  <c r="BN207" i="10"/>
  <c r="BM209" i="10"/>
  <c r="CA174" i="16"/>
  <c r="CB174" i="16"/>
  <c r="CA157" i="16"/>
  <c r="CB157" i="16"/>
  <c r="D90" i="21"/>
  <c r="D30" i="21" s="1"/>
  <c r="DK37" i="14"/>
  <c r="CW60" i="14"/>
  <c r="CX60" i="14"/>
  <c r="AJ151" i="10"/>
  <c r="AJ135" i="19"/>
  <c r="AJ135" i="10"/>
  <c r="AL142" i="10"/>
  <c r="AL126" i="19"/>
  <c r="AL126" i="10"/>
  <c r="BF32" i="14"/>
  <c r="C103" i="14"/>
  <c r="AF149" i="10"/>
  <c r="AF133" i="19"/>
  <c r="AF133" i="10"/>
  <c r="EG39" i="14"/>
  <c r="FL39" i="14"/>
  <c r="FJ39" i="14"/>
  <c r="EH39" i="14"/>
  <c r="FH39" i="14"/>
  <c r="FB39" i="14"/>
  <c r="EZ39" i="14"/>
  <c r="FA39" i="14"/>
  <c r="EN39" i="14"/>
  <c r="EP39" i="14"/>
  <c r="FG39" i="14"/>
  <c r="FI39" i="14"/>
  <c r="EM39" i="14"/>
  <c r="EY39" i="14"/>
  <c r="EO39" i="14"/>
  <c r="EJ39" i="14"/>
  <c r="FC39" i="14"/>
  <c r="EX39" i="14"/>
  <c r="FD39" i="14" s="1"/>
  <c r="FK39" i="14"/>
  <c r="EI39" i="14"/>
  <c r="CH175" i="16"/>
  <c r="K29" i="9"/>
  <c r="ES72" i="14"/>
  <c r="AC62" i="14"/>
  <c r="CD59" i="14"/>
  <c r="J16" i="22" s="1"/>
  <c r="AX191" i="16"/>
  <c r="AV194" i="16"/>
  <c r="AX188" i="16"/>
  <c r="AV187" i="16"/>
  <c r="HK70" i="14"/>
  <c r="CE188" i="19"/>
  <c r="CC187" i="19"/>
  <c r="CE191" i="19"/>
  <c r="CC194" i="19"/>
  <c r="FN60" i="14"/>
  <c r="FO60" i="14" s="1"/>
  <c r="FE60" i="14"/>
  <c r="HU33" i="14"/>
  <c r="HK60" i="14"/>
  <c r="HL60" i="14"/>
  <c r="JS30" i="14"/>
  <c r="FU67" i="14"/>
  <c r="ET67" i="14"/>
  <c r="K82" i="9"/>
  <c r="I94" i="21"/>
  <c r="I34" i="21" s="1"/>
  <c r="BD72" i="14"/>
  <c r="AD148" i="10"/>
  <c r="AD132" i="10"/>
  <c r="AD132" i="19"/>
  <c r="HK50" i="14"/>
  <c r="CD196" i="19"/>
  <c r="CB199" i="19"/>
  <c r="CD193" i="19"/>
  <c r="CB192" i="19"/>
  <c r="CW49" i="14"/>
  <c r="BG207" i="19"/>
  <c r="BH207" i="19"/>
  <c r="BH209" i="19"/>
  <c r="BH206" i="19"/>
  <c r="BG208" i="19"/>
  <c r="BH208" i="19"/>
  <c r="BG206" i="19"/>
  <c r="BG209" i="19"/>
  <c r="BR182" i="19"/>
  <c r="BR184" i="19"/>
  <c r="BQ182" i="19"/>
  <c r="BQ184" i="19"/>
  <c r="AO66" i="14"/>
  <c r="AW66" i="14"/>
  <c r="T66" i="14"/>
  <c r="S66" i="14"/>
  <c r="W66" i="14" s="1"/>
  <c r="I23" i="22" s="1"/>
  <c r="AN66" i="14"/>
  <c r="AB66" i="14"/>
  <c r="AT66" i="14"/>
  <c r="AX66" i="14"/>
  <c r="AL66" i="14"/>
  <c r="AS66" i="14"/>
  <c r="Y66" i="14"/>
  <c r="AA66" i="14"/>
  <c r="AU66" i="14"/>
  <c r="AM66" i="14"/>
  <c r="AQ66" i="14" s="1"/>
  <c r="AK66" i="14"/>
  <c r="Z66" i="14"/>
  <c r="AJ66" i="14"/>
  <c r="AP66" i="14" s="1"/>
  <c r="V66" i="14"/>
  <c r="U66" i="14"/>
  <c r="AV66" i="14"/>
  <c r="AZ66" i="14" s="1"/>
  <c r="BI184" i="16"/>
  <c r="BI181" i="16"/>
  <c r="BJ181" i="16"/>
  <c r="BJ182" i="16"/>
  <c r="BJ184" i="16"/>
  <c r="BI183" i="16"/>
  <c r="BI182" i="16"/>
  <c r="BJ183" i="16"/>
  <c r="E90" i="21"/>
  <c r="E30" i="21" s="1"/>
  <c r="FR37" i="14"/>
  <c r="AA524" i="10"/>
  <c r="AB524" i="10" s="1"/>
  <c r="AB523" i="10"/>
  <c r="AC523" i="10" s="1"/>
  <c r="AC524" i="10" s="1"/>
  <c r="AC525" i="10" s="1"/>
  <c r="AF69" i="14"/>
  <c r="BG69" i="14"/>
  <c r="I84" i="9"/>
  <c r="CI156" i="10"/>
  <c r="CI173" i="10"/>
  <c r="CJ173" i="10"/>
  <c r="CJ156" i="10"/>
  <c r="G8" i="9"/>
  <c r="JG20" i="14"/>
  <c r="CX64" i="14"/>
  <c r="AV175" i="16"/>
  <c r="AU175" i="16"/>
  <c r="AV158" i="16"/>
  <c r="KB34" i="14"/>
  <c r="LD57" i="14"/>
  <c r="LS57" i="14"/>
  <c r="LK57" i="14"/>
  <c r="LT57" i="14"/>
  <c r="LV57" i="14"/>
  <c r="MG57" i="14"/>
  <c r="LB57" i="14"/>
  <c r="LC57" i="14"/>
  <c r="MB57" i="14"/>
  <c r="MF57" i="14"/>
  <c r="LE57" i="14"/>
  <c r="MD57" i="14"/>
  <c r="ME57" i="14"/>
  <c r="LU57" i="14"/>
  <c r="LX57" i="14"/>
  <c r="LH57" i="14"/>
  <c r="LL57" i="14" s="1"/>
  <c r="MC57" i="14"/>
  <c r="LI57" i="14"/>
  <c r="LW57" i="14"/>
  <c r="LJ57" i="14"/>
  <c r="JM33" i="14"/>
  <c r="IV33" i="14"/>
  <c r="JX33" i="14"/>
  <c r="JP33" i="14"/>
  <c r="JN33" i="14"/>
  <c r="IX33" i="14"/>
  <c r="JD33" i="14"/>
  <c r="JV33" i="14"/>
  <c r="IW33" i="14"/>
  <c r="JC33" i="14"/>
  <c r="JU33" i="14"/>
  <c r="KA33" i="14" s="1"/>
  <c r="JY33" i="14"/>
  <c r="JL33" i="14"/>
  <c r="JQ33" i="14"/>
  <c r="JB33" i="14"/>
  <c r="JA33" i="14"/>
  <c r="JW33" i="14"/>
  <c r="JZ33" i="14"/>
  <c r="IU33" i="14"/>
  <c r="IY33" i="14" s="1"/>
  <c r="G21" i="22" s="1"/>
  <c r="JO33" i="14"/>
  <c r="JS33" i="14" s="1"/>
  <c r="KB60" i="14"/>
  <c r="AW170" i="10"/>
  <c r="AX170" i="10"/>
  <c r="BD182" i="16"/>
  <c r="BD183" i="16"/>
  <c r="BC183" i="16"/>
  <c r="BC181" i="16"/>
  <c r="BC182" i="16"/>
  <c r="BD184" i="16"/>
  <c r="BD181" i="16"/>
  <c r="BC184" i="16"/>
  <c r="EQ34" i="14"/>
  <c r="AW193" i="19"/>
  <c r="AU192" i="19"/>
  <c r="AW196" i="19"/>
  <c r="AU199" i="19"/>
  <c r="AR29" i="14"/>
  <c r="C48" i="23" s="1"/>
  <c r="AY206" i="19"/>
  <c r="AZ206" i="19"/>
  <c r="AZ209" i="19"/>
  <c r="AY209" i="19"/>
  <c r="AZ207" i="19"/>
  <c r="AY207" i="19"/>
  <c r="AY208" i="19"/>
  <c r="AZ208" i="19"/>
  <c r="BM187" i="16"/>
  <c r="BN187" i="16"/>
  <c r="BM189" i="16"/>
  <c r="BN189" i="16"/>
  <c r="GN65" i="14"/>
  <c r="GT65" i="14"/>
  <c r="GO65" i="14"/>
  <c r="GV65" i="14"/>
  <c r="HP65" i="14"/>
  <c r="HQ65" i="14"/>
  <c r="GW65" i="14"/>
  <c r="HG65" i="14"/>
  <c r="HN65" i="14"/>
  <c r="GP65" i="14"/>
  <c r="HI65" i="14"/>
  <c r="HE65" i="14"/>
  <c r="HK65" i="14" s="1"/>
  <c r="GU65" i="14"/>
  <c r="HS65" i="14"/>
  <c r="GQ65" i="14"/>
  <c r="HR65" i="14"/>
  <c r="HO65" i="14"/>
  <c r="HJ65" i="14"/>
  <c r="HF65" i="14"/>
  <c r="HH65" i="14"/>
  <c r="HL65" i="14" s="1"/>
  <c r="GR27" i="14"/>
  <c r="F15" i="22" s="1"/>
  <c r="HO52" i="14"/>
  <c r="GQ52" i="14"/>
  <c r="GW52" i="14"/>
  <c r="HH52" i="14"/>
  <c r="GT52" i="14"/>
  <c r="GN52" i="14"/>
  <c r="HS52" i="14"/>
  <c r="HR52" i="14"/>
  <c r="HF52" i="14"/>
  <c r="GV52" i="14"/>
  <c r="HI52" i="14"/>
  <c r="HP52" i="14"/>
  <c r="HG52" i="14"/>
  <c r="GU52" i="14"/>
  <c r="GP52" i="14"/>
  <c r="HE52" i="14"/>
  <c r="GO52" i="14"/>
  <c r="HN52" i="14"/>
  <c r="HT52" i="14" s="1"/>
  <c r="HQ52" i="14"/>
  <c r="HJ52" i="14"/>
  <c r="AP64" i="14"/>
  <c r="AZ64" i="14"/>
  <c r="JW25" i="14"/>
  <c r="JO25" i="14"/>
  <c r="JD25" i="14"/>
  <c r="JZ25" i="14"/>
  <c r="IW25" i="14"/>
  <c r="IU25" i="14"/>
  <c r="JC25" i="14"/>
  <c r="IX25" i="14"/>
  <c r="JN25" i="14"/>
  <c r="JP25" i="14"/>
  <c r="JL25" i="14"/>
  <c r="JB25" i="14"/>
  <c r="JY25" i="14"/>
  <c r="JU25" i="14"/>
  <c r="JA25" i="14"/>
  <c r="JX25" i="14"/>
  <c r="JV25" i="14"/>
  <c r="IV25" i="14"/>
  <c r="JQ25" i="14"/>
  <c r="JM25" i="14"/>
  <c r="AP35" i="14"/>
  <c r="FD55" i="14"/>
  <c r="FN55" i="14"/>
  <c r="LF62" i="14"/>
  <c r="N19" i="22" s="1"/>
  <c r="BQ188" i="16"/>
  <c r="BT193" i="19"/>
  <c r="BS193" i="19"/>
  <c r="BT192" i="19"/>
  <c r="BS191" i="19"/>
  <c r="BT191" i="19"/>
  <c r="BS194" i="19"/>
  <c r="BT194" i="19"/>
  <c r="BS192" i="19"/>
  <c r="JE61" i="14"/>
  <c r="CR66" i="14"/>
  <c r="CI66" i="14"/>
  <c r="CH66" i="14"/>
  <c r="DE66" i="14"/>
  <c r="CC66" i="14"/>
  <c r="CT66" i="14"/>
  <c r="CB66" i="14"/>
  <c r="CV66" i="14"/>
  <c r="DC66" i="14"/>
  <c r="DG66" i="14" s="1"/>
  <c r="CA66" i="14"/>
  <c r="CG66" i="14"/>
  <c r="CZ66" i="14"/>
  <c r="BZ66" i="14"/>
  <c r="CS66" i="14"/>
  <c r="CU66" i="14"/>
  <c r="DD66" i="14"/>
  <c r="DA66" i="14"/>
  <c r="CF66" i="14"/>
  <c r="CJ66" i="14" s="1"/>
  <c r="DB66" i="14"/>
  <c r="CQ66" i="14"/>
  <c r="AR174" i="10"/>
  <c r="AQ174" i="10"/>
  <c r="AQ157" i="10"/>
  <c r="AR157" i="10"/>
  <c r="O543" i="10"/>
  <c r="P542" i="10"/>
  <c r="Q542" i="10" s="1"/>
  <c r="FM24" i="14"/>
  <c r="CL51" i="14"/>
  <c r="J8" i="9"/>
  <c r="LF26" i="14"/>
  <c r="H14" i="22" s="1"/>
  <c r="AZ59" i="14"/>
  <c r="LF56" i="14"/>
  <c r="N13" i="22" s="1"/>
  <c r="LL56" i="14"/>
  <c r="CW61" i="14"/>
  <c r="AZ67" i="14"/>
  <c r="X33" i="14"/>
  <c r="C50" i="9"/>
  <c r="AM524" i="10"/>
  <c r="AN524" i="10" s="1"/>
  <c r="AN523" i="10"/>
  <c r="AO523" i="10" s="1"/>
  <c r="AO524" i="10" s="1"/>
  <c r="AO525" i="10" s="1"/>
  <c r="C99" i="14"/>
  <c r="BF28" i="14"/>
  <c r="FN33" i="14"/>
  <c r="FE33" i="14"/>
  <c r="EQ33" i="14"/>
  <c r="HL22" i="14"/>
  <c r="AB149" i="16"/>
  <c r="AB133" i="16"/>
  <c r="LY35" i="14"/>
  <c r="AE222" i="16"/>
  <c r="AH222" i="16" s="1"/>
  <c r="AG222" i="16"/>
  <c r="HT19" i="14"/>
  <c r="HU61" i="14"/>
  <c r="AP40" i="14"/>
  <c r="D86" i="9"/>
  <c r="CM40" i="14"/>
  <c r="DN40" i="14"/>
  <c r="BL206" i="16"/>
  <c r="BL207" i="16"/>
  <c r="BK206" i="16"/>
  <c r="BL209" i="16"/>
  <c r="BK207" i="16"/>
  <c r="BK209" i="16"/>
  <c r="BK208" i="16"/>
  <c r="BL208" i="16"/>
  <c r="CX29" i="14"/>
  <c r="GX35" i="14"/>
  <c r="LF24" i="14"/>
  <c r="H12" i="22" s="1"/>
  <c r="CW33" i="14"/>
  <c r="CX65" i="14"/>
  <c r="JR29" i="14"/>
  <c r="KB29" i="14"/>
  <c r="CW27" i="14"/>
  <c r="MH31" i="14"/>
  <c r="MJ31" i="14" s="1"/>
  <c r="FD41" i="14"/>
  <c r="KB21" i="14"/>
  <c r="CD30" i="14"/>
  <c r="D18" i="22" s="1"/>
  <c r="GR25" i="14"/>
  <c r="F13" i="22" s="1"/>
  <c r="HT25" i="14"/>
  <c r="HU36" i="14"/>
  <c r="MI55" i="14"/>
  <c r="LY55" i="14"/>
  <c r="CX25" i="14"/>
  <c r="HK63" i="14"/>
  <c r="LL28" i="14"/>
  <c r="CW32" i="14"/>
  <c r="CD32" i="14"/>
  <c r="D20" i="22" s="1"/>
  <c r="HK23" i="14"/>
  <c r="KA24" i="14"/>
  <c r="KC24" i="14" s="1"/>
  <c r="DF62" i="14"/>
  <c r="DH62" i="14" s="1"/>
  <c r="HU30" i="14"/>
  <c r="CJ31" i="14"/>
  <c r="LL29" i="14"/>
  <c r="HL32" i="14"/>
  <c r="GR32" i="14"/>
  <c r="F20" i="22" s="1"/>
  <c r="AY68" i="14"/>
  <c r="DG53" i="14"/>
  <c r="CX68" i="14"/>
  <c r="AQ65" i="14"/>
  <c r="AY65" i="14"/>
  <c r="BA65" i="14" s="1"/>
  <c r="DG54" i="14"/>
  <c r="CJ55" i="14"/>
  <c r="CX55" i="14"/>
  <c r="FD59" i="14"/>
  <c r="FF59" i="14" s="1"/>
  <c r="K47" i="23" s="1"/>
  <c r="EK59" i="14"/>
  <c r="K16" i="22" s="1"/>
  <c r="FM62" i="14"/>
  <c r="FO62" i="14" s="1"/>
  <c r="FN62" i="14"/>
  <c r="MI36" i="14"/>
  <c r="GX28" i="14"/>
  <c r="HK62" i="14"/>
  <c r="CD57" i="14"/>
  <c r="J14" i="22" s="1"/>
  <c r="LZ72" i="14"/>
  <c r="LY72" i="14"/>
  <c r="LZ20" i="14"/>
  <c r="JE65" i="14"/>
  <c r="FM63" i="14"/>
  <c r="EK63" i="14"/>
  <c r="K20" i="22" s="1"/>
  <c r="AZ60" i="14"/>
  <c r="AQ60" i="14"/>
  <c r="FN67" i="14"/>
  <c r="JS64" i="14"/>
  <c r="D88" i="21"/>
  <c r="D28" i="21" s="1"/>
  <c r="DK35" i="14"/>
  <c r="AB150" i="16"/>
  <c r="AB134" i="16"/>
  <c r="BA55" i="14"/>
  <c r="GZ69" i="14"/>
  <c r="L26" i="9"/>
  <c r="G83" i="9"/>
  <c r="JH37" i="14"/>
  <c r="KI37" i="14"/>
  <c r="AB153" i="16"/>
  <c r="AB137" i="16"/>
  <c r="BA174" i="10"/>
  <c r="BB174" i="10"/>
  <c r="BA157" i="10"/>
  <c r="CC35" i="14"/>
  <c r="BZ35" i="14"/>
  <c r="CF35" i="14"/>
  <c r="CA35" i="14"/>
  <c r="CG35" i="14"/>
  <c r="CB35" i="14"/>
  <c r="CH35" i="14"/>
  <c r="CZ35" i="14"/>
  <c r="DF35" i="14" s="1"/>
  <c r="CQ35" i="14"/>
  <c r="CI35" i="14"/>
  <c r="DA35" i="14"/>
  <c r="CR35" i="14"/>
  <c r="DB35" i="14"/>
  <c r="CS35" i="14"/>
  <c r="DC35" i="14"/>
  <c r="DD35" i="14"/>
  <c r="DE35" i="14"/>
  <c r="CT35" i="14"/>
  <c r="CU35" i="14"/>
  <c r="CV35" i="14"/>
  <c r="JT58" i="14"/>
  <c r="M46" i="23" s="1"/>
  <c r="ES35" i="14"/>
  <c r="E23" i="9"/>
  <c r="ET21" i="14"/>
  <c r="E67" i="9"/>
  <c r="FU21" i="14"/>
  <c r="BN199" i="19"/>
  <c r="BP196" i="19"/>
  <c r="CC170" i="19"/>
  <c r="CD170" i="19"/>
  <c r="H50" i="22"/>
  <c r="LM33" i="14"/>
  <c r="CF173" i="19"/>
  <c r="CE173" i="19"/>
  <c r="CE156" i="19"/>
  <c r="CF156" i="19"/>
  <c r="CB199" i="10"/>
  <c r="CB192" i="10"/>
  <c r="CD196" i="10"/>
  <c r="CD193" i="10"/>
  <c r="BI207" i="19"/>
  <c r="BJ209" i="19"/>
  <c r="BI208" i="19"/>
  <c r="BJ206" i="19"/>
  <c r="BJ207" i="19"/>
  <c r="BJ208" i="19"/>
  <c r="BI206" i="19"/>
  <c r="BI209" i="19"/>
  <c r="CC193" i="19"/>
  <c r="CC196" i="19"/>
  <c r="CA192" i="19"/>
  <c r="CA199" i="19"/>
  <c r="BO186" i="10"/>
  <c r="BP188" i="10"/>
  <c r="BO188" i="10"/>
  <c r="BP186" i="10"/>
  <c r="N76" i="21"/>
  <c r="N16" i="21" s="1"/>
  <c r="MM54" i="14"/>
  <c r="AJ221" i="16"/>
  <c r="AH279" i="16" s="1"/>
  <c r="AI221" i="16"/>
  <c r="AF279" i="16" s="1"/>
  <c r="AE279" i="16" s="1"/>
  <c r="JC39" i="14"/>
  <c r="JD39" i="14"/>
  <c r="JU39" i="14"/>
  <c r="KA39" i="14" s="1"/>
  <c r="IW39" i="14"/>
  <c r="IU39" i="14"/>
  <c r="JZ39" i="14"/>
  <c r="IX39" i="14"/>
  <c r="JY39" i="14"/>
  <c r="JO39" i="14"/>
  <c r="JV39" i="14"/>
  <c r="JB39" i="14"/>
  <c r="JQ39" i="14"/>
  <c r="JP39" i="14"/>
  <c r="IV39" i="14"/>
  <c r="JM39" i="14"/>
  <c r="JL39" i="14"/>
  <c r="JR39" i="14" s="1"/>
  <c r="JN39" i="14"/>
  <c r="JA39" i="14"/>
  <c r="JX39" i="14"/>
  <c r="JW39" i="14"/>
  <c r="FL51" i="14"/>
  <c r="FK51" i="14"/>
  <c r="EG51" i="14"/>
  <c r="FB51" i="14"/>
  <c r="EY51" i="14"/>
  <c r="EI51" i="14"/>
  <c r="EO51" i="14"/>
  <c r="FH51" i="14"/>
  <c r="FC51" i="14"/>
  <c r="EZ51" i="14"/>
  <c r="FJ51" i="14"/>
  <c r="FN51" i="14" s="1"/>
  <c r="FI51" i="14"/>
  <c r="FA51" i="14"/>
  <c r="EH51" i="14"/>
  <c r="EN51" i="14"/>
  <c r="FG51" i="14"/>
  <c r="EM51" i="14"/>
  <c r="EX51" i="14"/>
  <c r="FD51" i="14" s="1"/>
  <c r="EJ51" i="14"/>
  <c r="EP51" i="14"/>
  <c r="CC156" i="16"/>
  <c r="CV28" i="14"/>
  <c r="DB28" i="14"/>
  <c r="CB28" i="14"/>
  <c r="CS28" i="14"/>
  <c r="DD28" i="14"/>
  <c r="CA28" i="14"/>
  <c r="CQ28" i="14"/>
  <c r="BZ28" i="14"/>
  <c r="DE28" i="14"/>
  <c r="CZ28" i="14"/>
  <c r="DA28" i="14"/>
  <c r="CI28" i="14"/>
  <c r="CT28" i="14"/>
  <c r="CF28" i="14"/>
  <c r="DC28" i="14"/>
  <c r="CG28" i="14"/>
  <c r="CR28" i="14"/>
  <c r="CH28" i="14"/>
  <c r="CC28" i="14"/>
  <c r="CU28" i="14"/>
  <c r="BF30" i="14"/>
  <c r="C101" i="14"/>
  <c r="ER59" i="14"/>
  <c r="K45" i="22"/>
  <c r="ER65" i="14"/>
  <c r="K51" i="22"/>
  <c r="BA56" i="14"/>
  <c r="LO49" i="14"/>
  <c r="N64" i="9"/>
  <c r="MP49" i="14"/>
  <c r="CW58" i="14"/>
  <c r="AE26" i="14"/>
  <c r="C14" i="9"/>
  <c r="BG199" i="10"/>
  <c r="BI196" i="10"/>
  <c r="CM71" i="14"/>
  <c r="J86" i="9"/>
  <c r="DN71" i="14"/>
  <c r="JY18" i="14"/>
  <c r="JO18" i="14"/>
  <c r="JS18" i="14" s="1"/>
  <c r="JX18" i="14"/>
  <c r="KB18" i="14" s="1"/>
  <c r="IW18" i="14"/>
  <c r="JM18" i="14"/>
  <c r="IX18" i="14"/>
  <c r="JB18" i="14"/>
  <c r="JA18" i="14"/>
  <c r="JV18" i="14"/>
  <c r="JP18" i="14"/>
  <c r="JD18" i="14"/>
  <c r="IV18" i="14"/>
  <c r="JQ18" i="14"/>
  <c r="JC18" i="14"/>
  <c r="JU18" i="14"/>
  <c r="JN18" i="14"/>
  <c r="JZ18" i="14"/>
  <c r="IU18" i="14"/>
  <c r="JW18" i="14"/>
  <c r="JL18" i="14"/>
  <c r="JR18" i="14" s="1"/>
  <c r="AP187" i="19"/>
  <c r="AR191" i="19"/>
  <c r="AP194" i="19"/>
  <c r="AR188" i="19"/>
  <c r="LJ61" i="14"/>
  <c r="LC61" i="14"/>
  <c r="LE61" i="14"/>
  <c r="LH61" i="14"/>
  <c r="LL61" i="14" s="1"/>
  <c r="LD61" i="14"/>
  <c r="LK61" i="14"/>
  <c r="LB61" i="14"/>
  <c r="MG61" i="14"/>
  <c r="LT61" i="14"/>
  <c r="LS61" i="14"/>
  <c r="LY61" i="14" s="1"/>
  <c r="LV61" i="14"/>
  <c r="LX61" i="14"/>
  <c r="LI61" i="14"/>
  <c r="MC61" i="14"/>
  <c r="MB61" i="14"/>
  <c r="MF61" i="14"/>
  <c r="ME61" i="14"/>
  <c r="MI61" i="14" s="1"/>
  <c r="LU61" i="14"/>
  <c r="LW61" i="14"/>
  <c r="MD61" i="14"/>
  <c r="I66" i="9"/>
  <c r="AF51" i="14"/>
  <c r="BG51" i="14"/>
  <c r="BM157" i="19"/>
  <c r="BN174" i="19"/>
  <c r="BM174" i="19"/>
  <c r="AG250" i="19"/>
  <c r="AC251" i="19"/>
  <c r="E89" i="21"/>
  <c r="E29" i="21" s="1"/>
  <c r="FR36" i="14"/>
  <c r="GV55" i="14"/>
  <c r="HR55" i="14"/>
  <c r="HN55" i="14"/>
  <c r="HO55" i="14"/>
  <c r="HJ55" i="14"/>
  <c r="GW55" i="14"/>
  <c r="GO55" i="14"/>
  <c r="HP55" i="14"/>
  <c r="GT55" i="14"/>
  <c r="GQ55" i="14"/>
  <c r="GP55" i="14"/>
  <c r="GN55" i="14"/>
  <c r="GR55" i="14" s="1"/>
  <c r="L12" i="22" s="1"/>
  <c r="HG55" i="14"/>
  <c r="HI55" i="14"/>
  <c r="HS55" i="14"/>
  <c r="GU55" i="14"/>
  <c r="HF55" i="14"/>
  <c r="HE55" i="14"/>
  <c r="HQ55" i="14"/>
  <c r="HU55" i="14" s="1"/>
  <c r="HH55" i="14"/>
  <c r="BH203" i="19"/>
  <c r="BH202" i="19"/>
  <c r="BG201" i="19"/>
  <c r="BH201" i="19"/>
  <c r="BG203" i="19"/>
  <c r="BG204" i="19"/>
  <c r="BH204" i="19"/>
  <c r="BG202" i="19"/>
  <c r="HS18" i="14"/>
  <c r="HP18" i="14"/>
  <c r="GV18" i="14"/>
  <c r="HF18" i="14"/>
  <c r="HR18" i="14"/>
  <c r="GN18" i="14"/>
  <c r="GP18" i="14"/>
  <c r="GO18" i="14"/>
  <c r="HO18" i="14"/>
  <c r="HE18" i="14"/>
  <c r="HK18" i="14" s="1"/>
  <c r="HG18" i="14"/>
  <c r="HI18" i="14"/>
  <c r="GW18" i="14"/>
  <c r="HH18" i="14"/>
  <c r="GQ18" i="14"/>
  <c r="GU18" i="14"/>
  <c r="HQ18" i="14"/>
  <c r="HU18" i="14" s="1"/>
  <c r="HN18" i="14"/>
  <c r="HT18" i="14" s="1"/>
  <c r="HJ18" i="14"/>
  <c r="GT18" i="14"/>
  <c r="AE67" i="14"/>
  <c r="I24" i="9"/>
  <c r="CB204" i="16"/>
  <c r="CD201" i="16"/>
  <c r="CD198" i="16"/>
  <c r="CB197" i="16"/>
  <c r="JF34" i="14"/>
  <c r="G51" i="22"/>
  <c r="CU40" i="14"/>
  <c r="DA40" i="14"/>
  <c r="CZ40" i="14"/>
  <c r="BZ40" i="14"/>
  <c r="CQ40" i="14"/>
  <c r="CW40" i="14" s="1"/>
  <c r="DC40" i="14"/>
  <c r="DG40" i="14" s="1"/>
  <c r="CB40" i="14"/>
  <c r="DD40" i="14"/>
  <c r="CF40" i="14"/>
  <c r="CH40" i="14"/>
  <c r="CS40" i="14"/>
  <c r="DB40" i="14"/>
  <c r="CI40" i="14"/>
  <c r="CA40" i="14"/>
  <c r="CT40" i="14"/>
  <c r="CG40" i="14"/>
  <c r="CC40" i="14"/>
  <c r="DE40" i="14"/>
  <c r="CV40" i="14"/>
  <c r="CR40" i="14"/>
  <c r="K69" i="9"/>
  <c r="ET54" i="14"/>
  <c r="FU54" i="14"/>
  <c r="FV54" i="14" s="1"/>
  <c r="AC64" i="14"/>
  <c r="N28" i="9"/>
  <c r="LN71" i="14"/>
  <c r="AJ152" i="10"/>
  <c r="AJ136" i="19"/>
  <c r="AJ136" i="10"/>
  <c r="FE55" i="14"/>
  <c r="BG196" i="19"/>
  <c r="BE199" i="19"/>
  <c r="CV19" i="14"/>
  <c r="DC19" i="14"/>
  <c r="CZ19" i="14"/>
  <c r="DF19" i="14" s="1"/>
  <c r="CI19" i="14"/>
  <c r="DD19" i="14"/>
  <c r="CT19" i="14"/>
  <c r="CX19" i="14" s="1"/>
  <c r="DA19" i="14"/>
  <c r="CS19" i="14"/>
  <c r="CQ19" i="14"/>
  <c r="CW19" i="14" s="1"/>
  <c r="DE19" i="14"/>
  <c r="CG19" i="14"/>
  <c r="CH19" i="14"/>
  <c r="CC19" i="14"/>
  <c r="CF19" i="14"/>
  <c r="BZ19" i="14"/>
  <c r="CR19" i="14"/>
  <c r="DB19" i="14"/>
  <c r="CA19" i="14"/>
  <c r="CB19" i="14"/>
  <c r="CU19" i="14"/>
  <c r="AC59" i="14"/>
  <c r="AF152" i="10"/>
  <c r="AF136" i="10"/>
  <c r="AF136" i="19"/>
  <c r="CA186" i="10"/>
  <c r="BY182" i="10"/>
  <c r="CA183" i="10"/>
  <c r="BY189" i="10"/>
  <c r="LM59" i="14"/>
  <c r="N45" i="22"/>
  <c r="CJ65" i="14"/>
  <c r="GR63" i="14"/>
  <c r="L20" i="22" s="1"/>
  <c r="HU23" i="14"/>
  <c r="I46" i="22"/>
  <c r="AD60" i="14"/>
  <c r="KI71" i="14"/>
  <c r="M86" i="9"/>
  <c r="JH71" i="14"/>
  <c r="KC31" i="14"/>
  <c r="CJ56" i="14"/>
  <c r="BA181" i="16"/>
  <c r="BA182" i="16"/>
  <c r="BA184" i="16"/>
  <c r="BB184" i="16"/>
  <c r="BA183" i="16"/>
  <c r="BB182" i="16"/>
  <c r="BB181" i="16"/>
  <c r="BB183" i="16"/>
  <c r="AX192" i="19"/>
  <c r="AX199" i="19"/>
  <c r="BH199" i="10"/>
  <c r="BJ196" i="10"/>
  <c r="U489" i="10"/>
  <c r="V488" i="10"/>
  <c r="W488" i="10" s="1"/>
  <c r="F7" i="9"/>
  <c r="GZ19" i="14"/>
  <c r="CE167" i="16"/>
  <c r="CF167" i="16"/>
  <c r="AD152" i="10"/>
  <c r="AD136" i="10"/>
  <c r="AD136" i="19"/>
  <c r="LY58" i="14"/>
  <c r="E71" i="21"/>
  <c r="E11" i="21" s="1"/>
  <c r="FR18" i="14"/>
  <c r="BQ157" i="10"/>
  <c r="BQ174" i="10"/>
  <c r="BO187" i="10" s="1"/>
  <c r="BR174" i="10"/>
  <c r="BR191" i="10" s="1"/>
  <c r="I27" i="9"/>
  <c r="AE70" i="14"/>
  <c r="BW158" i="16"/>
  <c r="BW175" i="16"/>
  <c r="BX175" i="16"/>
  <c r="BX158" i="16"/>
  <c r="I68" i="9"/>
  <c r="BG53" i="14"/>
  <c r="AF53" i="14"/>
  <c r="LJ22" i="14"/>
  <c r="LC22" i="14"/>
  <c r="LI22" i="14"/>
  <c r="LD22" i="14"/>
  <c r="LK22" i="14"/>
  <c r="LE22" i="14"/>
  <c r="LH22" i="14"/>
  <c r="LB22" i="14"/>
  <c r="MF22" i="14"/>
  <c r="MB22" i="14"/>
  <c r="MG22" i="14"/>
  <c r="LS22" i="14"/>
  <c r="MC22" i="14"/>
  <c r="LT22" i="14"/>
  <c r="MD22" i="14"/>
  <c r="LU22" i="14"/>
  <c r="LV22" i="14"/>
  <c r="LZ22" i="14" s="1"/>
  <c r="LX22" i="14"/>
  <c r="ME22" i="14"/>
  <c r="MI22" i="14" s="1"/>
  <c r="LW22" i="14"/>
  <c r="BM158" i="16"/>
  <c r="BN175" i="16"/>
  <c r="BM175" i="16"/>
  <c r="BK199" i="16" s="1"/>
  <c r="GT26" i="14"/>
  <c r="GX26" i="14" s="1"/>
  <c r="HG26" i="14"/>
  <c r="HN26" i="14"/>
  <c r="GU26" i="14"/>
  <c r="HP26" i="14"/>
  <c r="HQ26" i="14"/>
  <c r="HU26" i="14" s="1"/>
  <c r="HO26" i="14"/>
  <c r="HE26" i="14"/>
  <c r="HK26" i="14" s="1"/>
  <c r="HH26" i="14"/>
  <c r="HL26" i="14" s="1"/>
  <c r="HJ26" i="14"/>
  <c r="HS26" i="14"/>
  <c r="GN26" i="14"/>
  <c r="GQ26" i="14"/>
  <c r="GV26" i="14"/>
  <c r="HF26" i="14"/>
  <c r="GO26" i="14"/>
  <c r="GP26" i="14"/>
  <c r="HI26" i="14"/>
  <c r="HR26" i="14"/>
  <c r="GW26" i="14"/>
  <c r="ET22" i="14"/>
  <c r="E68" i="9"/>
  <c r="FU22" i="14"/>
  <c r="LK52" i="14"/>
  <c r="LI52" i="14"/>
  <c r="ME52" i="14"/>
  <c r="LB52" i="14"/>
  <c r="MC52" i="14"/>
  <c r="LT52" i="14"/>
  <c r="LC52" i="14"/>
  <c r="LV52" i="14"/>
  <c r="MF52" i="14"/>
  <c r="MD52" i="14"/>
  <c r="LS52" i="14"/>
  <c r="MG52" i="14"/>
  <c r="LD52" i="14"/>
  <c r="LW52" i="14"/>
  <c r="LE52" i="14"/>
  <c r="LU52" i="14"/>
  <c r="LH52" i="14"/>
  <c r="LX52" i="14"/>
  <c r="MB52" i="14"/>
  <c r="LJ52" i="14"/>
  <c r="I67" i="9"/>
  <c r="AF52" i="14"/>
  <c r="BG52" i="14"/>
  <c r="D93" i="21"/>
  <c r="D33" i="21" s="1"/>
  <c r="DK40" i="14"/>
  <c r="AP192" i="16"/>
  <c r="AP199" i="16"/>
  <c r="AR193" i="16"/>
  <c r="AR196" i="16"/>
  <c r="ES37" i="14"/>
  <c r="E25" i="9"/>
  <c r="CA38" i="14"/>
  <c r="CG38" i="14"/>
  <c r="CH38" i="14"/>
  <c r="DB38" i="14"/>
  <c r="CC38" i="14"/>
  <c r="DC38" i="14"/>
  <c r="CR38" i="14"/>
  <c r="CB38" i="14"/>
  <c r="CT38" i="14"/>
  <c r="CX38" i="14" s="1"/>
  <c r="CS38" i="14"/>
  <c r="CF38" i="14"/>
  <c r="CQ38" i="14"/>
  <c r="CU38" i="14"/>
  <c r="BZ38" i="14"/>
  <c r="CI38" i="14"/>
  <c r="CV38" i="14"/>
  <c r="CZ38" i="14"/>
  <c r="DF38" i="14" s="1"/>
  <c r="DE38" i="14"/>
  <c r="DD38" i="14"/>
  <c r="DA38" i="14"/>
  <c r="BC208" i="19"/>
  <c r="BD209" i="19"/>
  <c r="BC206" i="19"/>
  <c r="BD206" i="19"/>
  <c r="BD208" i="19"/>
  <c r="BC207" i="19"/>
  <c r="BD207" i="19"/>
  <c r="BC209" i="19"/>
  <c r="BG174" i="19"/>
  <c r="BG191" i="19" s="1"/>
  <c r="BH174" i="19"/>
  <c r="BH191" i="19" s="1"/>
  <c r="BG157" i="19"/>
  <c r="M72" i="21"/>
  <c r="M12" i="21" s="1"/>
  <c r="KF50" i="14"/>
  <c r="FO25" i="14"/>
  <c r="AD58" i="14"/>
  <c r="I44" i="22"/>
  <c r="DK65" i="14"/>
  <c r="DL65" i="14" s="1"/>
  <c r="J57" i="21"/>
  <c r="J27" i="21" s="1"/>
  <c r="JE63" i="14"/>
  <c r="CX62" i="14"/>
  <c r="AC63" i="14"/>
  <c r="CJ57" i="14"/>
  <c r="FM67" i="14"/>
  <c r="IY64" i="14"/>
  <c r="M21" i="22" s="1"/>
  <c r="AO157" i="19"/>
  <c r="AO174" i="19"/>
  <c r="AP174" i="19"/>
  <c r="AP157" i="19"/>
  <c r="AF148" i="10"/>
  <c r="AF132" i="19"/>
  <c r="AF132" i="10"/>
  <c r="JE31" i="14"/>
  <c r="CH191" i="10"/>
  <c r="CH188" i="10"/>
  <c r="CF187" i="10"/>
  <c r="CF194" i="10"/>
  <c r="DG23" i="14"/>
  <c r="W54" i="14"/>
  <c r="I11" i="22" s="1"/>
  <c r="AW194" i="10"/>
  <c r="AW187" i="10"/>
  <c r="N72" i="21"/>
  <c r="N12" i="21" s="1"/>
  <c r="MM50" i="14"/>
  <c r="MD53" i="14"/>
  <c r="LJ53" i="14"/>
  <c r="LH53" i="14"/>
  <c r="LD53" i="14"/>
  <c r="MF53" i="14"/>
  <c r="LT53" i="14"/>
  <c r="LE53" i="14"/>
  <c r="LS53" i="14"/>
  <c r="LI53" i="14"/>
  <c r="LV53" i="14"/>
  <c r="LZ53" i="14" s="1"/>
  <c r="MB53" i="14"/>
  <c r="MH53" i="14" s="1"/>
  <c r="ME53" i="14"/>
  <c r="LX53" i="14"/>
  <c r="LB53" i="14"/>
  <c r="MC53" i="14"/>
  <c r="LK53" i="14"/>
  <c r="LW53" i="14"/>
  <c r="LU53" i="14"/>
  <c r="LC53" i="14"/>
  <c r="MG53" i="14"/>
  <c r="JH19" i="14"/>
  <c r="KI19" i="14"/>
  <c r="G65" i="9"/>
  <c r="AY157" i="19"/>
  <c r="AZ174" i="19"/>
  <c r="AY174" i="19"/>
  <c r="AZ157" i="19"/>
  <c r="BI157" i="10"/>
  <c r="BI174" i="10"/>
  <c r="BG194" i="10" s="1"/>
  <c r="BJ174" i="10"/>
  <c r="BH194" i="10" s="1"/>
  <c r="EY58" i="14"/>
  <c r="EO58" i="14"/>
  <c r="EX58" i="14"/>
  <c r="FB58" i="14"/>
  <c r="EM58" i="14"/>
  <c r="EQ58" i="14" s="1"/>
  <c r="EH58" i="14"/>
  <c r="FA58" i="14"/>
  <c r="FJ58" i="14"/>
  <c r="EG58" i="14"/>
  <c r="FG58" i="14"/>
  <c r="FH58" i="14"/>
  <c r="FI58" i="14"/>
  <c r="EZ58" i="14"/>
  <c r="FK58" i="14"/>
  <c r="FC58" i="14"/>
  <c r="FL58" i="14"/>
  <c r="EI58" i="14"/>
  <c r="EN58" i="14"/>
  <c r="EJ58" i="14"/>
  <c r="EP58" i="14"/>
  <c r="BA192" i="10"/>
  <c r="BB194" i="10"/>
  <c r="BA191" i="10"/>
  <c r="BB192" i="10"/>
  <c r="BB193" i="10"/>
  <c r="BA194" i="10"/>
  <c r="BB191" i="10"/>
  <c r="BA193" i="10"/>
  <c r="LF58" i="14"/>
  <c r="N15" i="22" s="1"/>
  <c r="AF147" i="10"/>
  <c r="AF155" i="10" s="1"/>
  <c r="AF131" i="10"/>
  <c r="AF131" i="19"/>
  <c r="BQ196" i="19"/>
  <c r="BO199" i="19"/>
  <c r="K65" i="9"/>
  <c r="ET50" i="14"/>
  <c r="FU50" i="14"/>
  <c r="BD174" i="10"/>
  <c r="BC174" i="10"/>
  <c r="BC157" i="10"/>
  <c r="BP203" i="19"/>
  <c r="BP202" i="19"/>
  <c r="BO204" i="19"/>
  <c r="BO201" i="19"/>
  <c r="BO202" i="19"/>
  <c r="BO203" i="19"/>
  <c r="BP204" i="19"/>
  <c r="BP201" i="19"/>
  <c r="CE157" i="16"/>
  <c r="CF174" i="16"/>
  <c r="CE174" i="16"/>
  <c r="CF157" i="16"/>
  <c r="AP62" i="14"/>
  <c r="JM41" i="14"/>
  <c r="JP41" i="14"/>
  <c r="JQ41" i="14"/>
  <c r="JU41" i="14"/>
  <c r="JD41" i="14"/>
  <c r="JZ41" i="14"/>
  <c r="JA41" i="14"/>
  <c r="JV41" i="14"/>
  <c r="IU41" i="14"/>
  <c r="JW41" i="14"/>
  <c r="JL41" i="14"/>
  <c r="IX41" i="14"/>
  <c r="JX41" i="14"/>
  <c r="JB41" i="14"/>
  <c r="JO41" i="14"/>
  <c r="JS41" i="14" s="1"/>
  <c r="IW41" i="14"/>
  <c r="JN41" i="14"/>
  <c r="JY41" i="14"/>
  <c r="IV41" i="14"/>
  <c r="JC41" i="14"/>
  <c r="JS62" i="14"/>
  <c r="E66" i="9"/>
  <c r="FU20" i="14"/>
  <c r="ET20" i="14"/>
  <c r="CL37" i="14"/>
  <c r="D25" i="9"/>
  <c r="BW196" i="10"/>
  <c r="BW193" i="10"/>
  <c r="BU199" i="10"/>
  <c r="BV199" i="10"/>
  <c r="BD34" i="14"/>
  <c r="BE34" i="14" s="1"/>
  <c r="C57" i="21"/>
  <c r="C27" i="21" s="1"/>
  <c r="IY35" i="14"/>
  <c r="G23" i="22" s="1"/>
  <c r="MP54" i="14"/>
  <c r="MQ54" i="14" s="1"/>
  <c r="N69" i="9"/>
  <c r="LO54" i="14"/>
  <c r="J84" i="9"/>
  <c r="DN69" i="14"/>
  <c r="CM69" i="14"/>
  <c r="EI71" i="14"/>
  <c r="FL71" i="14"/>
  <c r="FB71" i="14"/>
  <c r="FA71" i="14"/>
  <c r="FH71" i="14"/>
  <c r="FJ71" i="14"/>
  <c r="EJ71" i="14"/>
  <c r="EY71" i="14"/>
  <c r="FG71" i="14"/>
  <c r="FK71" i="14"/>
  <c r="EP71" i="14"/>
  <c r="EO71" i="14"/>
  <c r="EM71" i="14"/>
  <c r="EH71" i="14"/>
  <c r="EN71" i="14"/>
  <c r="EG71" i="14"/>
  <c r="EX71" i="14"/>
  <c r="FD71" i="14" s="1"/>
  <c r="FI71" i="14"/>
  <c r="FC71" i="14"/>
  <c r="EZ71" i="14"/>
  <c r="AQ193" i="16"/>
  <c r="AO192" i="16"/>
  <c r="AO199" i="16"/>
  <c r="AQ196" i="16"/>
  <c r="BR193" i="10"/>
  <c r="BR194" i="10"/>
  <c r="BQ193" i="10"/>
  <c r="BQ192" i="10"/>
  <c r="BQ194" i="10"/>
  <c r="BR192" i="10"/>
  <c r="K94" i="21"/>
  <c r="K34" i="21" s="1"/>
  <c r="FR72" i="14"/>
  <c r="AG553" i="10"/>
  <c r="AH552" i="10"/>
  <c r="AI552" i="10" s="1"/>
  <c r="W64" i="14"/>
  <c r="I21" i="22" s="1"/>
  <c r="BC207" i="10"/>
  <c r="BC206" i="10"/>
  <c r="BD207" i="10"/>
  <c r="BC208" i="10"/>
  <c r="BD208" i="10"/>
  <c r="BC209" i="10"/>
  <c r="BD209" i="10"/>
  <c r="BD206" i="10"/>
  <c r="EY28" i="14"/>
  <c r="EI28" i="14"/>
  <c r="EN28" i="14"/>
  <c r="EG28" i="14"/>
  <c r="EK28" i="14" s="1"/>
  <c r="E16" i="22" s="1"/>
  <c r="EO28" i="14"/>
  <c r="FB28" i="14"/>
  <c r="EP28" i="14"/>
  <c r="EJ28" i="14"/>
  <c r="FJ28" i="14"/>
  <c r="FK28" i="14"/>
  <c r="EZ28" i="14"/>
  <c r="EX28" i="14"/>
  <c r="FD28" i="14" s="1"/>
  <c r="FI28" i="14"/>
  <c r="FA28" i="14"/>
  <c r="FL28" i="14"/>
  <c r="FG28" i="14"/>
  <c r="EH28" i="14"/>
  <c r="EM28" i="14"/>
  <c r="FC28" i="14"/>
  <c r="FH28" i="14"/>
  <c r="LK70" i="14"/>
  <c r="MG70" i="14"/>
  <c r="MC70" i="14"/>
  <c r="LB70" i="14"/>
  <c r="ME70" i="14"/>
  <c r="MF70" i="14"/>
  <c r="LC70" i="14"/>
  <c r="LU70" i="14"/>
  <c r="LW70" i="14"/>
  <c r="LI70" i="14"/>
  <c r="LH70" i="14"/>
  <c r="LT70" i="14"/>
  <c r="LV70" i="14"/>
  <c r="LE70" i="14"/>
  <c r="LJ70" i="14"/>
  <c r="MB70" i="14"/>
  <c r="MH70" i="14" s="1"/>
  <c r="LD70" i="14"/>
  <c r="MD70" i="14"/>
  <c r="LX70" i="14"/>
  <c r="LS70" i="14"/>
  <c r="JC50" i="14"/>
  <c r="IW50" i="14"/>
  <c r="IX50" i="14"/>
  <c r="JN50" i="14"/>
  <c r="JO50" i="14"/>
  <c r="JS50" i="14" s="1"/>
  <c r="IU50" i="14"/>
  <c r="JW50" i="14"/>
  <c r="IV50" i="14"/>
  <c r="JP50" i="14"/>
  <c r="JX50" i="14"/>
  <c r="JY50" i="14"/>
  <c r="JM50" i="14"/>
  <c r="JV50" i="14"/>
  <c r="JL50" i="14"/>
  <c r="JU50" i="14"/>
  <c r="JA50" i="14"/>
  <c r="JZ50" i="14"/>
  <c r="JD50" i="14"/>
  <c r="JB50" i="14"/>
  <c r="JQ50" i="14"/>
  <c r="MP66" i="14"/>
  <c r="MQ66" i="14" s="1"/>
  <c r="LO66" i="14"/>
  <c r="N81" i="9"/>
  <c r="AP67" i="14"/>
  <c r="HU22" i="14"/>
  <c r="BI191" i="10"/>
  <c r="BJ191" i="10"/>
  <c r="BJ192" i="10"/>
  <c r="BI192" i="10"/>
  <c r="BJ194" i="10"/>
  <c r="BI193" i="10"/>
  <c r="BI194" i="10"/>
  <c r="BJ193" i="10"/>
  <c r="CD29" i="14"/>
  <c r="D17" i="22" s="1"/>
  <c r="KB63" i="14"/>
  <c r="HL72" i="14"/>
  <c r="HT63" i="14"/>
  <c r="HV63" i="14" s="1"/>
  <c r="GX30" i="14"/>
  <c r="MH29" i="14"/>
  <c r="MJ29" i="14" s="1"/>
  <c r="AZ63" i="14"/>
  <c r="GR59" i="14"/>
  <c r="L16" i="22" s="1"/>
  <c r="AP193" i="19"/>
  <c r="AP196" i="19"/>
  <c r="BH197" i="16"/>
  <c r="AP39" i="14"/>
  <c r="AJ193" i="19"/>
  <c r="AH251" i="19" s="1"/>
  <c r="AI193" i="19"/>
  <c r="AF251" i="19" s="1"/>
  <c r="AE251" i="19" s="1"/>
  <c r="AB148" i="16"/>
  <c r="AB132" i="16"/>
  <c r="AO196" i="16"/>
  <c r="AO193" i="16"/>
  <c r="FD26" i="14"/>
  <c r="FF26" i="14" s="1"/>
  <c r="E45" i="23" s="1"/>
  <c r="EK26" i="14"/>
  <c r="E14" i="22" s="1"/>
  <c r="AJ150" i="16"/>
  <c r="AJ134" i="16"/>
  <c r="J73" i="21"/>
  <c r="J13" i="21" s="1"/>
  <c r="DK51" i="14"/>
  <c r="AC56" i="14"/>
  <c r="BG50" i="14"/>
  <c r="I65" i="9"/>
  <c r="AF50" i="14"/>
  <c r="D87" i="9"/>
  <c r="CM41" i="14"/>
  <c r="DN41" i="14"/>
  <c r="IV27" i="14"/>
  <c r="JN27" i="14"/>
  <c r="IX27" i="14"/>
  <c r="JZ27" i="14"/>
  <c r="JQ27" i="14"/>
  <c r="JC27" i="14"/>
  <c r="JA27" i="14"/>
  <c r="JX27" i="14"/>
  <c r="JB27" i="14"/>
  <c r="IU27" i="14"/>
  <c r="JO27" i="14"/>
  <c r="JL27" i="14"/>
  <c r="JR27" i="14" s="1"/>
  <c r="JV27" i="14"/>
  <c r="JY27" i="14"/>
  <c r="JP27" i="14"/>
  <c r="JU27" i="14"/>
  <c r="JM27" i="14"/>
  <c r="IW27" i="14"/>
  <c r="JD27" i="14"/>
  <c r="JW27" i="14"/>
  <c r="AL151" i="10"/>
  <c r="AL155" i="10" s="1"/>
  <c r="AL135" i="10"/>
  <c r="AL135" i="19"/>
  <c r="CX58" i="14"/>
  <c r="LB40" i="14"/>
  <c r="LW40" i="14"/>
  <c r="LD40" i="14"/>
  <c r="LJ40" i="14"/>
  <c r="LC40" i="14"/>
  <c r="LI40" i="14"/>
  <c r="MB40" i="14"/>
  <c r="LS40" i="14"/>
  <c r="LY40" i="14" s="1"/>
  <c r="MC40" i="14"/>
  <c r="LH40" i="14"/>
  <c r="LV40" i="14"/>
  <c r="MD40" i="14"/>
  <c r="LK40" i="14"/>
  <c r="LT40" i="14"/>
  <c r="MF40" i="14"/>
  <c r="MG40" i="14"/>
  <c r="LU40" i="14"/>
  <c r="LE40" i="14"/>
  <c r="LX40" i="14"/>
  <c r="ME40" i="14"/>
  <c r="MI40" i="14" s="1"/>
  <c r="CB174" i="19"/>
  <c r="CA157" i="19"/>
  <c r="CA174" i="19"/>
  <c r="CB157" i="19"/>
  <c r="I83" i="9"/>
  <c r="AF68" i="14"/>
  <c r="BG68" i="14"/>
  <c r="DF23" i="14"/>
  <c r="AZ54" i="14"/>
  <c r="BA54" i="14" s="1"/>
  <c r="L75" i="21"/>
  <c r="L15" i="21" s="1"/>
  <c r="HY53" i="14"/>
  <c r="CH187" i="19"/>
  <c r="CH194" i="19"/>
  <c r="CJ188" i="19"/>
  <c r="CJ191" i="19"/>
  <c r="KA49" i="14"/>
  <c r="DN72" i="14"/>
  <c r="CM72" i="14"/>
  <c r="J87" i="9"/>
  <c r="G93" i="21"/>
  <c r="G33" i="21" s="1"/>
  <c r="KF40" i="14"/>
  <c r="LF25" i="14"/>
  <c r="H13" i="22" s="1"/>
  <c r="ET41" i="14"/>
  <c r="E87" i="9"/>
  <c r="FU41" i="14"/>
  <c r="LF63" i="14"/>
  <c r="N20" i="22" s="1"/>
  <c r="H82" i="9"/>
  <c r="LO36" i="14"/>
  <c r="MP36" i="14"/>
  <c r="GR34" i="14"/>
  <c r="F22" i="22" s="1"/>
  <c r="AU172" i="10"/>
  <c r="AV172" i="10"/>
  <c r="AC55" i="14"/>
  <c r="AC57" i="14"/>
  <c r="BB204" i="16"/>
  <c r="BA203" i="16"/>
  <c r="BA202" i="16"/>
  <c r="BA204" i="16"/>
  <c r="BA201" i="16"/>
  <c r="BB203" i="16"/>
  <c r="BB202" i="16"/>
  <c r="BB201" i="16"/>
  <c r="MH21" i="14"/>
  <c r="JB40" i="14"/>
  <c r="JW40" i="14"/>
  <c r="JL40" i="14"/>
  <c r="JC40" i="14"/>
  <c r="JZ40" i="14"/>
  <c r="JM40" i="14"/>
  <c r="IW40" i="14"/>
  <c r="JQ40" i="14"/>
  <c r="JP40" i="14"/>
  <c r="JX40" i="14"/>
  <c r="JN40" i="14"/>
  <c r="JO40" i="14"/>
  <c r="JS40" i="14" s="1"/>
  <c r="IU40" i="14"/>
  <c r="JA40" i="14"/>
  <c r="JU40" i="14"/>
  <c r="IX40" i="14"/>
  <c r="JV40" i="14"/>
  <c r="IV40" i="14"/>
  <c r="JD40" i="14"/>
  <c r="JY40" i="14"/>
  <c r="FD31" i="14"/>
  <c r="FN31" i="14"/>
  <c r="C70" i="23"/>
  <c r="BI21" i="14"/>
  <c r="C10" i="23" s="1"/>
  <c r="HG54" i="14"/>
  <c r="GU54" i="14"/>
  <c r="GO54" i="14"/>
  <c r="HE54" i="14"/>
  <c r="HK54" i="14" s="1"/>
  <c r="HH54" i="14"/>
  <c r="HL54" i="14" s="1"/>
  <c r="HS54" i="14"/>
  <c r="HJ54" i="14"/>
  <c r="GN54" i="14"/>
  <c r="HR54" i="14"/>
  <c r="HF54" i="14"/>
  <c r="GP54" i="14"/>
  <c r="GT54" i="14"/>
  <c r="GQ54" i="14"/>
  <c r="GV54" i="14"/>
  <c r="GW54" i="14"/>
  <c r="HI54" i="14"/>
  <c r="HN54" i="14"/>
  <c r="HO54" i="14"/>
  <c r="HP54" i="14"/>
  <c r="HQ54" i="14"/>
  <c r="HU54" i="14" s="1"/>
  <c r="LL27" i="14"/>
  <c r="H92" i="21"/>
  <c r="H32" i="21" s="1"/>
  <c r="MM39" i="14"/>
  <c r="AB152" i="16"/>
  <c r="AB136" i="16"/>
  <c r="BD194" i="10"/>
  <c r="BC191" i="10"/>
  <c r="BC193" i="10"/>
  <c r="BD192" i="10"/>
  <c r="BC192" i="10"/>
  <c r="BD193" i="10"/>
  <c r="BC194" i="10"/>
  <c r="BD191" i="10"/>
  <c r="AO191" i="10"/>
  <c r="AO188" i="10"/>
  <c r="I75" i="21"/>
  <c r="I15" i="21" s="1"/>
  <c r="BD53" i="14"/>
  <c r="AW191" i="10"/>
  <c r="AW188" i="10"/>
  <c r="AU194" i="10"/>
  <c r="AU187" i="10"/>
  <c r="BU157" i="10"/>
  <c r="BU174" i="10"/>
  <c r="BS194" i="10" s="1"/>
  <c r="BV174" i="10"/>
  <c r="BT194" i="10" s="1"/>
  <c r="FE61" i="14"/>
  <c r="EK61" i="14"/>
  <c r="K18" i="22" s="1"/>
  <c r="N93" i="21"/>
  <c r="N33" i="21" s="1"/>
  <c r="MM71" i="14"/>
  <c r="AL150" i="10"/>
  <c r="AL134" i="10"/>
  <c r="AL134" i="19"/>
  <c r="HK71" i="14"/>
  <c r="D64" i="9"/>
  <c r="CM18" i="14"/>
  <c r="DN18" i="14"/>
  <c r="ES70" i="14"/>
  <c r="K27" i="9"/>
  <c r="LO52" i="14"/>
  <c r="N67" i="9"/>
  <c r="MP52" i="14"/>
  <c r="MQ52" i="14" s="1"/>
  <c r="AP37" i="14"/>
  <c r="E75" i="21"/>
  <c r="E15" i="21" s="1"/>
  <c r="FR22" i="14"/>
  <c r="DE37" i="14"/>
  <c r="DD37" i="14"/>
  <c r="CV37" i="14"/>
  <c r="CF37" i="14"/>
  <c r="DA37" i="14"/>
  <c r="DC37" i="14"/>
  <c r="DG37" i="14" s="1"/>
  <c r="CA37" i="14"/>
  <c r="CI37" i="14"/>
  <c r="CS37" i="14"/>
  <c r="CZ37" i="14"/>
  <c r="CB37" i="14"/>
  <c r="CR37" i="14"/>
  <c r="DB37" i="14"/>
  <c r="BZ37" i="14"/>
  <c r="CT37" i="14"/>
  <c r="CU37" i="14"/>
  <c r="CG37" i="14"/>
  <c r="CH37" i="14"/>
  <c r="CQ37" i="14"/>
  <c r="CC37" i="14"/>
  <c r="DF60" i="14"/>
  <c r="DH60" i="14" s="1"/>
  <c r="BK199" i="19"/>
  <c r="BM196" i="19"/>
  <c r="AP19" i="14"/>
  <c r="FU71" i="14"/>
  <c r="K86" i="9"/>
  <c r="ET71" i="14"/>
  <c r="JG21" i="14"/>
  <c r="G9" i="9"/>
  <c r="BO196" i="19"/>
  <c r="BM199" i="19"/>
  <c r="AQ62" i="14"/>
  <c r="CJ59" i="14"/>
  <c r="CX59" i="14"/>
  <c r="AU194" i="16"/>
  <c r="AW191" i="16"/>
  <c r="AU187" i="16"/>
  <c r="AW188" i="16"/>
  <c r="BZ50" i="14"/>
  <c r="CR50" i="14"/>
  <c r="CG50" i="14"/>
  <c r="DD50" i="14"/>
  <c r="CZ50" i="14"/>
  <c r="CH50" i="14"/>
  <c r="CU50" i="14"/>
  <c r="CT50" i="14"/>
  <c r="CX50" i="14" s="1"/>
  <c r="CC50" i="14"/>
  <c r="CB50" i="14"/>
  <c r="DE50" i="14"/>
  <c r="CF50" i="14"/>
  <c r="DB50" i="14"/>
  <c r="CQ50" i="14"/>
  <c r="CW50" i="14" s="1"/>
  <c r="DA50" i="14"/>
  <c r="CV50" i="14"/>
  <c r="CS50" i="14"/>
  <c r="CA50" i="14"/>
  <c r="CI50" i="14"/>
  <c r="DC50" i="14"/>
  <c r="CF188" i="19"/>
  <c r="CF191" i="19"/>
  <c r="CD187" i="19"/>
  <c r="CD194" i="19"/>
  <c r="EQ60" i="14"/>
  <c r="BH183" i="16"/>
  <c r="BH184" i="16"/>
  <c r="BG181" i="16"/>
  <c r="BG183" i="16"/>
  <c r="BG182" i="16"/>
  <c r="BH182" i="16"/>
  <c r="BH181" i="16"/>
  <c r="BG184" i="16"/>
  <c r="CA199" i="10"/>
  <c r="CC193" i="10"/>
  <c r="CA192" i="10"/>
  <c r="CC196" i="10"/>
  <c r="GR33" i="14"/>
  <c r="F21" i="22" s="1"/>
  <c r="HT60" i="14"/>
  <c r="HV60" i="14" s="1"/>
  <c r="BP209" i="10"/>
  <c r="BO208" i="10"/>
  <c r="BP206" i="10"/>
  <c r="BO209" i="10"/>
  <c r="BP208" i="10"/>
  <c r="BO206" i="10"/>
  <c r="BP207" i="10"/>
  <c r="BO207" i="10"/>
  <c r="JR30" i="14"/>
  <c r="AU72" i="14"/>
  <c r="T72" i="14"/>
  <c r="Z72" i="14"/>
  <c r="AT72" i="14"/>
  <c r="U72" i="14"/>
  <c r="AV72" i="14"/>
  <c r="AX72" i="14"/>
  <c r="AW72" i="14"/>
  <c r="AS72" i="14"/>
  <c r="AY72" i="14" s="1"/>
  <c r="V72" i="14"/>
  <c r="AJ72" i="14"/>
  <c r="Y72" i="14"/>
  <c r="AB72" i="14"/>
  <c r="AM72" i="14"/>
  <c r="AQ72" i="14" s="1"/>
  <c r="AL72" i="14"/>
  <c r="AK72" i="14"/>
  <c r="AA72" i="14"/>
  <c r="AN72" i="14"/>
  <c r="AO72" i="14"/>
  <c r="S72" i="14"/>
  <c r="C68" i="9"/>
  <c r="BG22" i="14"/>
  <c r="BH22" i="14" s="1"/>
  <c r="AF22" i="14"/>
  <c r="X30" i="14"/>
  <c r="C47" i="9"/>
  <c r="BC187" i="19"/>
  <c r="BC186" i="19"/>
  <c r="BC189" i="19"/>
  <c r="BD186" i="19"/>
  <c r="BD188" i="19"/>
  <c r="BC188" i="19"/>
  <c r="BD189" i="19"/>
  <c r="BD187" i="19"/>
  <c r="CC157" i="19"/>
  <c r="CC174" i="19"/>
  <c r="CD174" i="19"/>
  <c r="CD157" i="19"/>
  <c r="FC68" i="14"/>
  <c r="FG68" i="14"/>
  <c r="FH68" i="14"/>
  <c r="EH68" i="14"/>
  <c r="EN68" i="14"/>
  <c r="FA68" i="14"/>
  <c r="EM68" i="14"/>
  <c r="EG68" i="14"/>
  <c r="EZ68" i="14"/>
  <c r="EY68" i="14"/>
  <c r="EI68" i="14"/>
  <c r="FL68" i="14"/>
  <c r="FK68" i="14"/>
  <c r="EO68" i="14"/>
  <c r="FI68" i="14"/>
  <c r="EP68" i="14"/>
  <c r="EX68" i="14"/>
  <c r="FJ68" i="14"/>
  <c r="FN68" i="14" s="1"/>
  <c r="FB68" i="14"/>
  <c r="EJ68" i="14"/>
  <c r="AY191" i="10"/>
  <c r="AZ192" i="10"/>
  <c r="AZ191" i="10"/>
  <c r="AY193" i="10"/>
  <c r="AY194" i="10"/>
  <c r="AZ193" i="10"/>
  <c r="AZ194" i="10"/>
  <c r="AY192" i="10"/>
  <c r="JE35" i="14"/>
  <c r="FB37" i="14"/>
  <c r="EH37" i="14"/>
  <c r="EN37" i="14"/>
  <c r="EO37" i="14"/>
  <c r="FG37" i="14"/>
  <c r="EI37" i="14"/>
  <c r="EJ37" i="14"/>
  <c r="EG37" i="14"/>
  <c r="FI37" i="14"/>
  <c r="FJ37" i="14"/>
  <c r="FC37" i="14"/>
  <c r="FK37" i="14"/>
  <c r="FA37" i="14"/>
  <c r="FE37" i="14" s="1"/>
  <c r="FH37" i="14"/>
  <c r="EX37" i="14"/>
  <c r="EP37" i="14"/>
  <c r="EZ37" i="14"/>
  <c r="EY37" i="14"/>
  <c r="FL37" i="14"/>
  <c r="EM37" i="14"/>
  <c r="LY19" i="14"/>
  <c r="BN201" i="16"/>
  <c r="BM201" i="16"/>
  <c r="BN204" i="16"/>
  <c r="BN203" i="16"/>
  <c r="BM202" i="16"/>
  <c r="BM204" i="16"/>
  <c r="BN202" i="16"/>
  <c r="BM203" i="16"/>
  <c r="I64" i="9"/>
  <c r="AF49" i="14"/>
  <c r="BG49" i="14"/>
  <c r="FD19" i="14"/>
  <c r="JA52" i="14"/>
  <c r="IV52" i="14"/>
  <c r="JO52" i="14"/>
  <c r="JS52" i="14" s="1"/>
  <c r="IX52" i="14"/>
  <c r="JD52" i="14"/>
  <c r="JP52" i="14"/>
  <c r="JM52" i="14"/>
  <c r="JQ52" i="14"/>
  <c r="IW52" i="14"/>
  <c r="JC52" i="14"/>
  <c r="JL52" i="14"/>
  <c r="JR52" i="14" s="1"/>
  <c r="JX52" i="14"/>
  <c r="KB52" i="14" s="1"/>
  <c r="JV52" i="14"/>
  <c r="JW52" i="14"/>
  <c r="JB52" i="14"/>
  <c r="JU52" i="14"/>
  <c r="JY52" i="14"/>
  <c r="JN52" i="14"/>
  <c r="IU52" i="14"/>
  <c r="JZ52" i="14"/>
  <c r="MH23" i="14"/>
  <c r="MJ23" i="14" s="1"/>
  <c r="IV71" i="14"/>
  <c r="JO71" i="14"/>
  <c r="IX71" i="14"/>
  <c r="JM71" i="14"/>
  <c r="JX71" i="14"/>
  <c r="KB71" i="14" s="1"/>
  <c r="JB71" i="14"/>
  <c r="JN71" i="14"/>
  <c r="JP71" i="14"/>
  <c r="JL71" i="14"/>
  <c r="JZ71" i="14"/>
  <c r="IW71" i="14"/>
  <c r="JU71" i="14"/>
  <c r="JC71" i="14"/>
  <c r="JD71" i="14"/>
  <c r="JA71" i="14"/>
  <c r="JQ71" i="14"/>
  <c r="JY71" i="14"/>
  <c r="JW71" i="14"/>
  <c r="IU71" i="14"/>
  <c r="JV71" i="14"/>
  <c r="HG38" i="14"/>
  <c r="GV38" i="14"/>
  <c r="HE38" i="14"/>
  <c r="HK38" i="14" s="1"/>
  <c r="GN38" i="14"/>
  <c r="HP38" i="14"/>
  <c r="GU38" i="14"/>
  <c r="GW38" i="14"/>
  <c r="HH38" i="14"/>
  <c r="HR38" i="14"/>
  <c r="HJ38" i="14"/>
  <c r="HQ38" i="14"/>
  <c r="HU38" i="14" s="1"/>
  <c r="GP38" i="14"/>
  <c r="GO38" i="14"/>
  <c r="HF38" i="14"/>
  <c r="HS38" i="14"/>
  <c r="HN38" i="14"/>
  <c r="HO38" i="14"/>
  <c r="GT38" i="14"/>
  <c r="GQ38" i="14"/>
  <c r="HI38" i="14"/>
  <c r="CJ64" i="14"/>
  <c r="JG18" i="14"/>
  <c r="G6" i="9"/>
  <c r="AT197" i="16"/>
  <c r="AV198" i="16"/>
  <c r="AT204" i="16"/>
  <c r="AV201" i="16"/>
  <c r="LO39" i="14"/>
  <c r="H85" i="9"/>
  <c r="MP39" i="14"/>
  <c r="M92" i="21"/>
  <c r="M32" i="21" s="1"/>
  <c r="KF70" i="14"/>
  <c r="X25" i="14"/>
  <c r="C42" i="9"/>
  <c r="FD34" i="14"/>
  <c r="EK34" i="14"/>
  <c r="E22" i="22" s="1"/>
  <c r="F64" i="9"/>
  <c r="HA18" i="14"/>
  <c r="IB18" i="14"/>
  <c r="EQ57" i="14"/>
  <c r="AW174" i="19"/>
  <c r="AW157" i="19"/>
  <c r="AX174" i="19"/>
  <c r="AX157" i="19"/>
  <c r="KI68" i="14"/>
  <c r="KJ68" i="14" s="1"/>
  <c r="M83" i="9"/>
  <c r="JH68" i="14"/>
  <c r="MP51" i="14"/>
  <c r="MQ51" i="14" s="1"/>
  <c r="N66" i="9"/>
  <c r="LO51" i="14"/>
  <c r="BF29" i="14"/>
  <c r="C100" i="14"/>
  <c r="BQ206" i="16"/>
  <c r="BR209" i="16"/>
  <c r="BQ207" i="16"/>
  <c r="BR208" i="16"/>
  <c r="BR207" i="16"/>
  <c r="BQ208" i="16"/>
  <c r="BR206" i="16"/>
  <c r="BQ209" i="16"/>
  <c r="HT27" i="14"/>
  <c r="HV27" i="14" s="1"/>
  <c r="BL198" i="16"/>
  <c r="BL197" i="16"/>
  <c r="BK197" i="16"/>
  <c r="BK196" i="16"/>
  <c r="BL199" i="16"/>
  <c r="BK198" i="16"/>
  <c r="BL196" i="16"/>
  <c r="I92" i="21"/>
  <c r="I32" i="21" s="1"/>
  <c r="BD70" i="14"/>
  <c r="BE188" i="19"/>
  <c r="BE189" i="19"/>
  <c r="BF187" i="19"/>
  <c r="BF188" i="19"/>
  <c r="BE186" i="19"/>
  <c r="BF186" i="19"/>
  <c r="BE187" i="19"/>
  <c r="BF189" i="19"/>
  <c r="H67" i="9"/>
  <c r="MP21" i="14"/>
  <c r="LO21" i="14"/>
  <c r="C45" i="9"/>
  <c r="X28" i="14"/>
  <c r="BC156" i="19"/>
  <c r="BC173" i="19"/>
  <c r="BD173" i="19"/>
  <c r="AP199" i="10"/>
  <c r="AR193" i="10"/>
  <c r="AR196" i="10"/>
  <c r="AP192" i="10"/>
  <c r="FN24" i="14"/>
  <c r="N85" i="9"/>
  <c r="LO70" i="14"/>
  <c r="MP70" i="14"/>
  <c r="HA38" i="14"/>
  <c r="F84" i="9"/>
  <c r="IB38" i="14"/>
  <c r="M90" i="21"/>
  <c r="M30" i="21" s="1"/>
  <c r="KF68" i="14"/>
  <c r="AL152" i="16"/>
  <c r="AL136" i="16"/>
  <c r="MH56" i="14"/>
  <c r="MJ56" i="14" s="1"/>
  <c r="CJ61" i="14"/>
  <c r="AY67" i="14"/>
  <c r="K8" i="9"/>
  <c r="ES51" i="14"/>
  <c r="LO41" i="14"/>
  <c r="H87" i="9"/>
  <c r="MP41" i="14"/>
  <c r="FM33" i="14"/>
  <c r="FO33" i="14" s="1"/>
  <c r="LL35" i="14"/>
  <c r="AC224" i="16"/>
  <c r="AD223" i="16"/>
  <c r="JH40" i="14"/>
  <c r="G86" i="9"/>
  <c r="KI40" i="14"/>
  <c r="LF59" i="14"/>
  <c r="N16" i="22" s="1"/>
  <c r="KA37" i="14"/>
  <c r="FE64" i="14"/>
  <c r="EK64" i="14"/>
  <c r="K21" i="22" s="1"/>
  <c r="DG29" i="14"/>
  <c r="DH29" i="14" s="1"/>
  <c r="LL24" i="14"/>
  <c r="LY24" i="14"/>
  <c r="HT66" i="14"/>
  <c r="CJ33" i="14"/>
  <c r="HU37" i="14"/>
  <c r="CD27" i="14"/>
  <c r="D15" i="22" s="1"/>
  <c r="LF31" i="14"/>
  <c r="H19" i="22" s="1"/>
  <c r="LY65" i="14"/>
  <c r="LL65" i="14"/>
  <c r="FM41" i="14"/>
  <c r="KA21" i="14"/>
  <c r="CX30" i="14"/>
  <c r="HT36" i="14"/>
  <c r="LZ55" i="14"/>
  <c r="KC63" i="14"/>
  <c r="MH60" i="14"/>
  <c r="CJ25" i="14"/>
  <c r="AP61" i="14"/>
  <c r="JR28" i="14"/>
  <c r="KB28" i="14"/>
  <c r="KC28" i="14" s="1"/>
  <c r="HL57" i="14"/>
  <c r="LF28" i="14"/>
  <c r="H16" i="22" s="1"/>
  <c r="LZ64" i="14"/>
  <c r="MA64" i="14" s="1"/>
  <c r="N52" i="23" s="1"/>
  <c r="MI64" i="14"/>
  <c r="MJ64" i="14" s="1"/>
  <c r="DH32" i="14"/>
  <c r="GX23" i="14"/>
  <c r="KB24" i="14"/>
  <c r="DF24" i="14"/>
  <c r="CX31" i="14"/>
  <c r="GX32" i="14"/>
  <c r="AZ68" i="14"/>
  <c r="JR32" i="14"/>
  <c r="KA32" i="14"/>
  <c r="KC32" i="14" s="1"/>
  <c r="GX59" i="14"/>
  <c r="DG55" i="14"/>
  <c r="EQ62" i="14"/>
  <c r="DG63" i="14"/>
  <c r="CJ63" i="14"/>
  <c r="FM30" i="14"/>
  <c r="FO30" i="14" s="1"/>
  <c r="HT28" i="14"/>
  <c r="HV28" i="14" s="1"/>
  <c r="DF57" i="14"/>
  <c r="DH57" i="14" s="1"/>
  <c r="MH66" i="14"/>
  <c r="FD52" i="14"/>
  <c r="EQ63" i="14"/>
  <c r="AP60" i="14"/>
  <c r="HU58" i="14"/>
  <c r="JE64" i="14"/>
  <c r="DK25" i="14" l="1"/>
  <c r="DL25" i="14" s="1"/>
  <c r="D48" i="21"/>
  <c r="D18" i="21" s="1"/>
  <c r="AB159" i="16"/>
  <c r="W6" i="15" s="1"/>
  <c r="AJ156" i="16"/>
  <c r="AB160" i="16" s="1"/>
  <c r="W5" i="15" s="1"/>
  <c r="M47" i="21"/>
  <c r="M17" i="21" s="1"/>
  <c r="KF55" i="14"/>
  <c r="KG55" i="14" s="1"/>
  <c r="MM64" i="14"/>
  <c r="MN64" i="14" s="1"/>
  <c r="N56" i="21"/>
  <c r="N26" i="21" s="1"/>
  <c r="DK30" i="14"/>
  <c r="DL30" i="14" s="1"/>
  <c r="D53" i="21"/>
  <c r="D23" i="21" s="1"/>
  <c r="N57" i="21"/>
  <c r="N27" i="21" s="1"/>
  <c r="MM65" i="14"/>
  <c r="MN65" i="14" s="1"/>
  <c r="AF156" i="10"/>
  <c r="AC160" i="10" s="1"/>
  <c r="X5" i="12" s="1"/>
  <c r="AC159" i="10"/>
  <c r="X6" i="12" s="1"/>
  <c r="MA31" i="14"/>
  <c r="H50" i="23" s="1"/>
  <c r="AJ156" i="10"/>
  <c r="AE160" i="10" s="1"/>
  <c r="Z5" i="12" s="1"/>
  <c r="AE159" i="10"/>
  <c r="Z6" i="12" s="1"/>
  <c r="D52" i="21"/>
  <c r="D22" i="21" s="1"/>
  <c r="DK29" i="14"/>
  <c r="DL29" i="14" s="1"/>
  <c r="AF159" i="16"/>
  <c r="AA6" i="15" s="1"/>
  <c r="AB156" i="16"/>
  <c r="AF160" i="16" s="1"/>
  <c r="AA5" i="15" s="1"/>
  <c r="HM32" i="14"/>
  <c r="F51" i="23" s="1"/>
  <c r="G51" i="21"/>
  <c r="G21" i="21" s="1"/>
  <c r="KF28" i="14"/>
  <c r="KG28" i="14" s="1"/>
  <c r="BD54" i="14"/>
  <c r="BE54" i="14" s="1"/>
  <c r="I46" i="21"/>
  <c r="I16" i="21" s="1"/>
  <c r="AF159" i="10"/>
  <c r="AA6" i="12" s="1"/>
  <c r="AL156" i="10"/>
  <c r="AF160" i="10" s="1"/>
  <c r="AA5" i="12" s="1"/>
  <c r="CY62" i="14"/>
  <c r="J50" i="23" s="1"/>
  <c r="K52" i="21"/>
  <c r="K22" i="21" s="1"/>
  <c r="FR60" i="14"/>
  <c r="FS60" i="14" s="1"/>
  <c r="G43" i="23"/>
  <c r="KK24" i="14"/>
  <c r="G13" i="23" s="1"/>
  <c r="MM33" i="14"/>
  <c r="MN33" i="14" s="1"/>
  <c r="H56" i="21"/>
  <c r="H26" i="21" s="1"/>
  <c r="HY28" i="14"/>
  <c r="HZ28" i="14" s="1"/>
  <c r="F51" i="21"/>
  <c r="F21" i="21" s="1"/>
  <c r="LM65" i="14"/>
  <c r="N51" i="22"/>
  <c r="ET51" i="14"/>
  <c r="K66" i="9"/>
  <c r="FU51" i="14"/>
  <c r="CB188" i="19"/>
  <c r="BZ187" i="19"/>
  <c r="CB191" i="19"/>
  <c r="BZ194" i="19"/>
  <c r="BI156" i="10"/>
  <c r="BI173" i="10"/>
  <c r="BJ173" i="10"/>
  <c r="I44" i="9"/>
  <c r="X58" i="14"/>
  <c r="BV186" i="10"/>
  <c r="BU187" i="10"/>
  <c r="BV188" i="10"/>
  <c r="BV187" i="10"/>
  <c r="BU188" i="10"/>
  <c r="BU186" i="10"/>
  <c r="FR62" i="14"/>
  <c r="FS62" i="14" s="1"/>
  <c r="K54" i="21"/>
  <c r="K24" i="21" s="1"/>
  <c r="N43" i="22"/>
  <c r="LM57" i="14"/>
  <c r="CH182" i="10"/>
  <c r="CJ186" i="10"/>
  <c r="CH189" i="10"/>
  <c r="CJ183" i="10"/>
  <c r="HY64" i="14"/>
  <c r="HZ64" i="14" s="1"/>
  <c r="L56" i="21"/>
  <c r="L26" i="21" s="1"/>
  <c r="GY31" i="14"/>
  <c r="F48" i="22"/>
  <c r="JF62" i="14"/>
  <c r="M48" i="22"/>
  <c r="MJ26" i="14"/>
  <c r="BD202" i="19"/>
  <c r="BC203" i="19"/>
  <c r="BD201" i="19"/>
  <c r="BC201" i="19"/>
  <c r="BC202" i="19"/>
  <c r="BC204" i="19"/>
  <c r="BD203" i="19"/>
  <c r="BD204" i="19"/>
  <c r="K56" i="21"/>
  <c r="K26" i="21" s="1"/>
  <c r="FR64" i="14"/>
  <c r="FS64" i="14" s="1"/>
  <c r="HM28" i="14"/>
  <c r="F47" i="23" s="1"/>
  <c r="BY168" i="16"/>
  <c r="BZ168" i="16"/>
  <c r="MR68" i="14"/>
  <c r="N26" i="23" s="1"/>
  <c r="N86" i="23"/>
  <c r="BH193" i="16"/>
  <c r="BH196" i="16"/>
  <c r="FR30" i="14"/>
  <c r="FS30" i="14" s="1"/>
  <c r="E53" i="21"/>
  <c r="E23" i="21" s="1"/>
  <c r="AE223" i="16"/>
  <c r="AH223" i="16" s="1"/>
  <c r="AG223" i="16"/>
  <c r="AV181" i="10"/>
  <c r="AT184" i="10"/>
  <c r="K44" i="22"/>
  <c r="ER58" i="14"/>
  <c r="JF61" i="14"/>
  <c r="M47" i="22"/>
  <c r="HU65" i="14"/>
  <c r="KB33" i="14"/>
  <c r="CG182" i="10"/>
  <c r="CI183" i="10"/>
  <c r="CG189" i="10"/>
  <c r="CI186" i="10"/>
  <c r="FM39" i="14"/>
  <c r="FD21" i="14"/>
  <c r="AD54" i="14"/>
  <c r="I40" i="22"/>
  <c r="BG192" i="16"/>
  <c r="BI196" i="16"/>
  <c r="BI193" i="16"/>
  <c r="BG199" i="16"/>
  <c r="KB38" i="14"/>
  <c r="LG62" i="14"/>
  <c r="N48" i="9"/>
  <c r="M49" i="21"/>
  <c r="M19" i="21" s="1"/>
  <c r="KF57" i="14"/>
  <c r="KG57" i="14" s="1"/>
  <c r="DF22" i="14"/>
  <c r="CF194" i="16"/>
  <c r="CH188" i="16"/>
  <c r="CH191" i="16"/>
  <c r="CF187" i="16"/>
  <c r="HT24" i="14"/>
  <c r="BC202" i="10"/>
  <c r="BD203" i="10"/>
  <c r="BC201" i="10"/>
  <c r="BC203" i="10"/>
  <c r="BD202" i="10"/>
  <c r="BC204" i="10"/>
  <c r="BD201" i="10"/>
  <c r="BD204" i="10"/>
  <c r="CK26" i="14"/>
  <c r="D43" i="22"/>
  <c r="FM70" i="14"/>
  <c r="JF32" i="14"/>
  <c r="JT32" i="14" s="1"/>
  <c r="G51" i="23" s="1"/>
  <c r="G49" i="22"/>
  <c r="AR63" i="14"/>
  <c r="I51" i="23" s="1"/>
  <c r="CK63" i="14"/>
  <c r="J49" i="22"/>
  <c r="AX173" i="19"/>
  <c r="AW173" i="19"/>
  <c r="AW156" i="19"/>
  <c r="AX156" i="19"/>
  <c r="FD68" i="14"/>
  <c r="JR40" i="14"/>
  <c r="C105" i="14"/>
  <c r="BF34" i="14"/>
  <c r="BU203" i="19"/>
  <c r="BU202" i="19"/>
  <c r="BV203" i="19"/>
  <c r="BV202" i="19"/>
  <c r="BU201" i="19"/>
  <c r="BV204" i="19"/>
  <c r="BV201" i="19"/>
  <c r="BU204" i="19"/>
  <c r="DF28" i="14"/>
  <c r="FU35" i="14"/>
  <c r="FV35" i="14" s="1"/>
  <c r="E81" i="9"/>
  <c r="ET35" i="14"/>
  <c r="BO183" i="16"/>
  <c r="BP182" i="16"/>
  <c r="BP181" i="16"/>
  <c r="BO182" i="16"/>
  <c r="BO181" i="16"/>
  <c r="BP183" i="16"/>
  <c r="CI172" i="10"/>
  <c r="CJ172" i="10"/>
  <c r="DN50" i="14"/>
  <c r="J65" i="9"/>
  <c r="CM50" i="14"/>
  <c r="ID53" i="14"/>
  <c r="L11" i="23" s="1"/>
  <c r="L71" i="23"/>
  <c r="BU173" i="16"/>
  <c r="BU186" i="16" s="1"/>
  <c r="BU156" i="16"/>
  <c r="BV173" i="16"/>
  <c r="BV186" i="16" s="1"/>
  <c r="BT189" i="16"/>
  <c r="BL188" i="10"/>
  <c r="BK186" i="10"/>
  <c r="BL186" i="10"/>
  <c r="BL187" i="10"/>
  <c r="BL189" i="10"/>
  <c r="BK188" i="10"/>
  <c r="BK187" i="10"/>
  <c r="BK189" i="10"/>
  <c r="LL32" i="14"/>
  <c r="F55" i="21"/>
  <c r="F25" i="21" s="1"/>
  <c r="HY32" i="14"/>
  <c r="HZ32" i="14" s="1"/>
  <c r="CK29" i="14"/>
  <c r="D46" i="22"/>
  <c r="HM27" i="14"/>
  <c r="F46" i="23" s="1"/>
  <c r="KA36" i="14"/>
  <c r="DF71" i="14"/>
  <c r="BF31" i="14"/>
  <c r="C102" i="14"/>
  <c r="FM20" i="14"/>
  <c r="LM63" i="14"/>
  <c r="N49" i="22"/>
  <c r="FM32" i="14"/>
  <c r="M51" i="21"/>
  <c r="M21" i="21" s="1"/>
  <c r="KF59" i="14"/>
  <c r="KG59" i="14" s="1"/>
  <c r="H45" i="23"/>
  <c r="MR26" i="14"/>
  <c r="H15" i="23" s="1"/>
  <c r="HL49" i="14"/>
  <c r="LM35" i="14"/>
  <c r="MA35" i="14" s="1"/>
  <c r="H52" i="22"/>
  <c r="AE25" i="14"/>
  <c r="C13" i="9"/>
  <c r="CW37" i="14"/>
  <c r="IY27" i="14"/>
  <c r="G15" i="22" s="1"/>
  <c r="EQ28" i="14"/>
  <c r="CC194" i="16"/>
  <c r="CC187" i="16"/>
  <c r="CE188" i="16"/>
  <c r="CE191" i="16"/>
  <c r="AX187" i="19"/>
  <c r="AX194" i="19"/>
  <c r="AP191" i="19"/>
  <c r="AP188" i="19"/>
  <c r="BD55" i="14"/>
  <c r="BE55" i="14" s="1"/>
  <c r="I47" i="21"/>
  <c r="I17" i="21" s="1"/>
  <c r="AQ188" i="10"/>
  <c r="AQ191" i="10"/>
  <c r="AO194" i="10"/>
  <c r="AO187" i="10"/>
  <c r="FN49" i="14"/>
  <c r="AX183" i="16"/>
  <c r="AV189" i="16"/>
  <c r="AV182" i="16"/>
  <c r="AX186" i="16"/>
  <c r="FD18" i="14"/>
  <c r="LY54" i="14"/>
  <c r="LZ39" i="14"/>
  <c r="K84" i="23"/>
  <c r="FW66" i="14"/>
  <c r="K24" i="23" s="1"/>
  <c r="FE38" i="14"/>
  <c r="D84" i="23"/>
  <c r="DP35" i="14"/>
  <c r="D24" i="23" s="1"/>
  <c r="I507" i="10"/>
  <c r="J506" i="10"/>
  <c r="K506" i="10" s="1"/>
  <c r="JS23" i="14"/>
  <c r="KA56" i="14"/>
  <c r="HM34" i="14"/>
  <c r="ER63" i="14"/>
  <c r="K49" i="22"/>
  <c r="ER62" i="14"/>
  <c r="K48" i="22"/>
  <c r="DH24" i="14"/>
  <c r="FR33" i="14"/>
  <c r="FS33" i="14" s="1"/>
  <c r="E56" i="21"/>
  <c r="E26" i="21" s="1"/>
  <c r="N48" i="21"/>
  <c r="N18" i="21" s="1"/>
  <c r="MM56" i="14"/>
  <c r="MN56" i="14" s="1"/>
  <c r="MR51" i="14"/>
  <c r="N9" i="23" s="1"/>
  <c r="N69" i="23"/>
  <c r="K43" i="22"/>
  <c r="ER57" i="14"/>
  <c r="HT38" i="14"/>
  <c r="HL38" i="14"/>
  <c r="KA71" i="14"/>
  <c r="FN37" i="14"/>
  <c r="CB187" i="19"/>
  <c r="CD188" i="19"/>
  <c r="CB194" i="19"/>
  <c r="CD191" i="19"/>
  <c r="DG50" i="14"/>
  <c r="DF37" i="14"/>
  <c r="BU183" i="16"/>
  <c r="BV183" i="16"/>
  <c r="HT54" i="14"/>
  <c r="BM182" i="16"/>
  <c r="BN182" i="16"/>
  <c r="BN184" i="16"/>
  <c r="BM184" i="16"/>
  <c r="LZ70" i="14"/>
  <c r="MI70" i="14"/>
  <c r="FN28" i="14"/>
  <c r="BQ191" i="10"/>
  <c r="FN71" i="14"/>
  <c r="KB41" i="14"/>
  <c r="CF188" i="16"/>
  <c r="CF191" i="16"/>
  <c r="CD187" i="16"/>
  <c r="CD194" i="16"/>
  <c r="FM58" i="14"/>
  <c r="AZ173" i="19"/>
  <c r="AY156" i="19"/>
  <c r="AY173" i="19"/>
  <c r="AZ156" i="19"/>
  <c r="LY53" i="14"/>
  <c r="AO188" i="19"/>
  <c r="AO191" i="19"/>
  <c r="JF63" i="14"/>
  <c r="M49" i="22"/>
  <c r="BG156" i="19"/>
  <c r="BG173" i="19"/>
  <c r="BH173" i="19"/>
  <c r="E83" i="9"/>
  <c r="ET37" i="14"/>
  <c r="FU37" i="14"/>
  <c r="LY22" i="14"/>
  <c r="BX193" i="16"/>
  <c r="BX196" i="16"/>
  <c r="HA19" i="14"/>
  <c r="F65" i="9"/>
  <c r="IB19" i="14"/>
  <c r="CK56" i="14"/>
  <c r="J42" i="22"/>
  <c r="DG19" i="14"/>
  <c r="LO71" i="14"/>
  <c r="N86" i="9"/>
  <c r="MP71" i="14"/>
  <c r="HL18" i="14"/>
  <c r="HK55" i="14"/>
  <c r="BM173" i="19"/>
  <c r="BM186" i="19" s="1"/>
  <c r="BM156" i="19"/>
  <c r="BN173" i="19"/>
  <c r="K45" i="9"/>
  <c r="EL59" i="14"/>
  <c r="CD28" i="14"/>
  <c r="D16" i="22" s="1"/>
  <c r="FM51" i="14"/>
  <c r="HM62" i="14"/>
  <c r="L50" i="23" s="1"/>
  <c r="CK55" i="14"/>
  <c r="J41" i="22"/>
  <c r="AR188" i="10"/>
  <c r="AP187" i="10"/>
  <c r="AP194" i="10"/>
  <c r="AR191" i="10"/>
  <c r="CD66" i="14"/>
  <c r="J23" i="22" s="1"/>
  <c r="KB25" i="14"/>
  <c r="ER34" i="14"/>
  <c r="E51" i="22"/>
  <c r="JE33" i="14"/>
  <c r="AY66" i="14"/>
  <c r="BA66" i="14" s="1"/>
  <c r="BM189" i="19"/>
  <c r="BN187" i="19"/>
  <c r="BM188" i="19"/>
  <c r="BM187" i="19"/>
  <c r="BN186" i="19"/>
  <c r="BN188" i="19"/>
  <c r="AD62" i="14"/>
  <c r="AR62" i="14" s="1"/>
  <c r="I50" i="23" s="1"/>
  <c r="I48" i="22"/>
  <c r="FE39" i="14"/>
  <c r="BP191" i="10"/>
  <c r="BP193" i="10"/>
  <c r="BO192" i="10"/>
  <c r="BP194" i="10"/>
  <c r="BP192" i="10"/>
  <c r="BO194" i="10"/>
  <c r="BO191" i="10"/>
  <c r="BO193" i="10"/>
  <c r="BT203" i="10"/>
  <c r="BS202" i="10"/>
  <c r="BS203" i="10"/>
  <c r="BS204" i="10"/>
  <c r="BT201" i="10"/>
  <c r="BT202" i="10"/>
  <c r="BT204" i="10"/>
  <c r="BS201" i="10"/>
  <c r="CA173" i="16"/>
  <c r="CB173" i="16"/>
  <c r="CA156" i="16"/>
  <c r="CB156" i="16"/>
  <c r="CW72" i="14"/>
  <c r="KB72" i="14"/>
  <c r="JS72" i="14"/>
  <c r="CI172" i="19"/>
  <c r="CJ172" i="19"/>
  <c r="BS194" i="16"/>
  <c r="BU191" i="16"/>
  <c r="BS187" i="16"/>
  <c r="BU188" i="16"/>
  <c r="KC60" i="14"/>
  <c r="AZ52" i="14"/>
  <c r="ER31" i="14"/>
  <c r="E48" i="22"/>
  <c r="AW192" i="16"/>
  <c r="AW199" i="16"/>
  <c r="AY196" i="16"/>
  <c r="IZ59" i="14"/>
  <c r="M45" i="9"/>
  <c r="JE26" i="14"/>
  <c r="JS19" i="14"/>
  <c r="MA27" i="14"/>
  <c r="H46" i="23" s="1"/>
  <c r="FE49" i="14"/>
  <c r="HL31" i="14"/>
  <c r="F51" i="22"/>
  <c r="GY34" i="14"/>
  <c r="MI34" i="14"/>
  <c r="AU189" i="16"/>
  <c r="AU182" i="16"/>
  <c r="AW183" i="16"/>
  <c r="AW186" i="16"/>
  <c r="JT59" i="14"/>
  <c r="M47" i="23" s="1"/>
  <c r="AQ69" i="14"/>
  <c r="BT182" i="16"/>
  <c r="BS183" i="16"/>
  <c r="CG173" i="19"/>
  <c r="CH173" i="19"/>
  <c r="CG156" i="19"/>
  <c r="CH156" i="19"/>
  <c r="CX22" i="14"/>
  <c r="JR36" i="14"/>
  <c r="BF209" i="16"/>
  <c r="BF206" i="16"/>
  <c r="BE206" i="16"/>
  <c r="BE207" i="16"/>
  <c r="BF207" i="16"/>
  <c r="BE208" i="16"/>
  <c r="BE209" i="16"/>
  <c r="BF208" i="16"/>
  <c r="BJ187" i="19"/>
  <c r="BJ188" i="19"/>
  <c r="BI187" i="19"/>
  <c r="BI186" i="19"/>
  <c r="BJ186" i="19"/>
  <c r="BJ189" i="19"/>
  <c r="BI189" i="19"/>
  <c r="BI188" i="19"/>
  <c r="AS168" i="19"/>
  <c r="AT168" i="19"/>
  <c r="I51" i="22"/>
  <c r="AD65" i="14"/>
  <c r="K49" i="21"/>
  <c r="K19" i="21" s="1"/>
  <c r="FR57" i="14"/>
  <c r="FS57" i="14" s="1"/>
  <c r="FU40" i="14"/>
  <c r="E86" i="9"/>
  <c r="ET40" i="14"/>
  <c r="AQ49" i="14"/>
  <c r="GY58" i="14"/>
  <c r="L44" i="22"/>
  <c r="AZ50" i="14"/>
  <c r="AP50" i="14"/>
  <c r="HV58" i="14"/>
  <c r="ER64" i="14"/>
  <c r="K50" i="22"/>
  <c r="DF41" i="14"/>
  <c r="BS188" i="19"/>
  <c r="BS189" i="19"/>
  <c r="BS186" i="19"/>
  <c r="BS187" i="19"/>
  <c r="BT186" i="19"/>
  <c r="BT189" i="19"/>
  <c r="BT188" i="19"/>
  <c r="BT187" i="19"/>
  <c r="AP70" i="14"/>
  <c r="FN32" i="14"/>
  <c r="HZ34" i="14"/>
  <c r="CW51" i="14"/>
  <c r="K57" i="21"/>
  <c r="K27" i="21" s="1"/>
  <c r="FR65" i="14"/>
  <c r="FS65" i="14" s="1"/>
  <c r="BA63" i="14"/>
  <c r="BA61" i="14"/>
  <c r="BF27" i="14"/>
  <c r="HU56" i="14"/>
  <c r="BV172" i="19"/>
  <c r="BU172" i="19"/>
  <c r="G53" i="21"/>
  <c r="G23" i="21" s="1"/>
  <c r="KF30" i="14"/>
  <c r="KG30" i="14" s="1"/>
  <c r="JE23" i="14"/>
  <c r="CE168" i="19"/>
  <c r="CF168" i="19"/>
  <c r="BS191" i="16"/>
  <c r="BS188" i="16"/>
  <c r="BQ194" i="16"/>
  <c r="BQ187" i="16"/>
  <c r="AT173" i="16"/>
  <c r="AS173" i="16"/>
  <c r="AS156" i="16"/>
  <c r="AT156" i="16"/>
  <c r="FF29" i="14"/>
  <c r="E48" i="23" s="1"/>
  <c r="DF69" i="14"/>
  <c r="CC168" i="16"/>
  <c r="CD168" i="16"/>
  <c r="FD36" i="14"/>
  <c r="D41" i="22"/>
  <c r="CK24" i="14"/>
  <c r="GY33" i="14"/>
  <c r="F50" i="22"/>
  <c r="HU21" i="14"/>
  <c r="BG201" i="16"/>
  <c r="BH203" i="16"/>
  <c r="BG202" i="16"/>
  <c r="BH201" i="16"/>
  <c r="BH204" i="16"/>
  <c r="BG204" i="16"/>
  <c r="BG203" i="16"/>
  <c r="BH202" i="16"/>
  <c r="AP172" i="10"/>
  <c r="AP181" i="10" s="1"/>
  <c r="AO172" i="10"/>
  <c r="AO181" i="10" s="1"/>
  <c r="LZ69" i="14"/>
  <c r="H41" i="22"/>
  <c r="LM24" i="14"/>
  <c r="BM191" i="19"/>
  <c r="BN191" i="19"/>
  <c r="BM193" i="19"/>
  <c r="BN194" i="19"/>
  <c r="BM192" i="19"/>
  <c r="BN193" i="19"/>
  <c r="BM194" i="19"/>
  <c r="BN192" i="19"/>
  <c r="LG33" i="14"/>
  <c r="H50" i="9"/>
  <c r="BA156" i="10"/>
  <c r="BB173" i="10"/>
  <c r="BA173" i="10"/>
  <c r="F52" i="21"/>
  <c r="F22" i="21" s="1"/>
  <c r="HY29" i="14"/>
  <c r="HZ29" i="14" s="1"/>
  <c r="BG32" i="14"/>
  <c r="BH32" i="14" s="1"/>
  <c r="C78" i="9"/>
  <c r="C78" i="22" s="1"/>
  <c r="AF32" i="14"/>
  <c r="CA168" i="19"/>
  <c r="CB168" i="19"/>
  <c r="MM24" i="14"/>
  <c r="MN24" i="14" s="1"/>
  <c r="H47" i="21"/>
  <c r="H17" i="21" s="1"/>
  <c r="M69" i="9"/>
  <c r="JH54" i="14"/>
  <c r="KI54" i="14"/>
  <c r="KJ54" i="14" s="1"/>
  <c r="JF30" i="14"/>
  <c r="JT30" i="14" s="1"/>
  <c r="G49" i="23" s="1"/>
  <c r="G47" i="22"/>
  <c r="AO168" i="19"/>
  <c r="AP168" i="19"/>
  <c r="CG191" i="16"/>
  <c r="CG188" i="16"/>
  <c r="CE187" i="16"/>
  <c r="CE194" i="16"/>
  <c r="N50" i="21"/>
  <c r="N20" i="21" s="1"/>
  <c r="MM58" i="14"/>
  <c r="MN58" i="14" s="1"/>
  <c r="ER32" i="14"/>
  <c r="E49" i="22"/>
  <c r="HM58" i="14"/>
  <c r="L46" i="23" s="1"/>
  <c r="L43" i="22"/>
  <c r="GY57" i="14"/>
  <c r="BQ156" i="19"/>
  <c r="BR173" i="19"/>
  <c r="BQ173" i="19"/>
  <c r="MA30" i="14"/>
  <c r="H49" i="23" s="1"/>
  <c r="BZ193" i="16"/>
  <c r="BX199" i="16"/>
  <c r="BX192" i="16"/>
  <c r="BZ196" i="16"/>
  <c r="CC194" i="10"/>
  <c r="CC187" i="10"/>
  <c r="CE191" i="10"/>
  <c r="CE188" i="10"/>
  <c r="AI194" i="19"/>
  <c r="AF252" i="19" s="1"/>
  <c r="AE252" i="19" s="1"/>
  <c r="AJ194" i="19"/>
  <c r="AH252" i="19" s="1"/>
  <c r="MP40" i="14"/>
  <c r="H86" i="9"/>
  <c r="LO40" i="14"/>
  <c r="MJ60" i="14"/>
  <c r="FF34" i="14"/>
  <c r="E53" i="23" s="1"/>
  <c r="N70" i="23"/>
  <c r="MR52" i="14"/>
  <c r="N10" i="23" s="1"/>
  <c r="FM71" i="14"/>
  <c r="AD63" i="14"/>
  <c r="I49" i="22"/>
  <c r="I45" i="22"/>
  <c r="AD59" i="14"/>
  <c r="LZ61" i="14"/>
  <c r="MA61" i="14" s="1"/>
  <c r="N49" i="23" s="1"/>
  <c r="DG35" i="14"/>
  <c r="KC33" i="14"/>
  <c r="AV174" i="16"/>
  <c r="AU174" i="16"/>
  <c r="AV157" i="16"/>
  <c r="EQ56" i="14"/>
  <c r="H48" i="21"/>
  <c r="H18" i="21" s="1"/>
  <c r="MM25" i="14"/>
  <c r="MN25" i="14" s="1"/>
  <c r="MO25" i="14" s="1"/>
  <c r="G41" i="9"/>
  <c r="IZ24" i="14"/>
  <c r="DH33" i="14"/>
  <c r="JR19" i="14"/>
  <c r="M54" i="21"/>
  <c r="M24" i="21" s="1"/>
  <c r="KF62" i="14"/>
  <c r="KG62" i="14" s="1"/>
  <c r="J51" i="21"/>
  <c r="J21" i="21" s="1"/>
  <c r="DK59" i="14"/>
  <c r="DL59" i="14" s="1"/>
  <c r="AO191" i="16"/>
  <c r="AO188" i="16"/>
  <c r="BT173" i="10"/>
  <c r="BS173" i="10"/>
  <c r="BS156" i="10"/>
  <c r="BR188" i="10"/>
  <c r="BR189" i="10"/>
  <c r="BQ189" i="10"/>
  <c r="BQ187" i="10"/>
  <c r="BR187" i="10"/>
  <c r="BQ188" i="10"/>
  <c r="M42" i="22"/>
  <c r="JF56" i="14"/>
  <c r="BY174" i="16"/>
  <c r="BZ174" i="16"/>
  <c r="BZ157" i="16"/>
  <c r="CD194" i="10"/>
  <c r="CD187" i="10"/>
  <c r="CF188" i="10"/>
  <c r="CF191" i="10"/>
  <c r="KC34" i="14"/>
  <c r="G67" i="9"/>
  <c r="KI21" i="14"/>
  <c r="JH21" i="14"/>
  <c r="JS27" i="14"/>
  <c r="AW187" i="19"/>
  <c r="AW194" i="19"/>
  <c r="LZ52" i="14"/>
  <c r="EL65" i="14"/>
  <c r="K51" i="9"/>
  <c r="AQ173" i="10"/>
  <c r="AR173" i="10"/>
  <c r="AQ156" i="10"/>
  <c r="AR156" i="10"/>
  <c r="JS25" i="14"/>
  <c r="CG189" i="19"/>
  <c r="CI183" i="19"/>
  <c r="CI186" i="19"/>
  <c r="CG182" i="19"/>
  <c r="M56" i="21"/>
  <c r="M26" i="21" s="1"/>
  <c r="KF64" i="14"/>
  <c r="KG64" i="14" s="1"/>
  <c r="AC251" i="10"/>
  <c r="AG250" i="10"/>
  <c r="MA25" i="14"/>
  <c r="HM57" i="14"/>
  <c r="L45" i="23" s="1"/>
  <c r="ER61" i="14"/>
  <c r="K47" i="22"/>
  <c r="MH68" i="14"/>
  <c r="FM54" i="14"/>
  <c r="JS66" i="14"/>
  <c r="BV208" i="10"/>
  <c r="BU209" i="10"/>
  <c r="BU206" i="10"/>
  <c r="BU207" i="10"/>
  <c r="BV209" i="10"/>
  <c r="BV206" i="10"/>
  <c r="BV207" i="10"/>
  <c r="BU208" i="10"/>
  <c r="AR65" i="14"/>
  <c r="GY63" i="14"/>
  <c r="L49" i="22"/>
  <c r="FD22" i="14"/>
  <c r="CC169" i="10"/>
  <c r="CD169" i="10"/>
  <c r="LZ50" i="14"/>
  <c r="MP69" i="14"/>
  <c r="MQ69" i="14" s="1"/>
  <c r="N84" i="9"/>
  <c r="LO69" i="14"/>
  <c r="AC253" i="16"/>
  <c r="AG252" i="16"/>
  <c r="AT191" i="19"/>
  <c r="AR187" i="19"/>
  <c r="AT188" i="19"/>
  <c r="AR194" i="19"/>
  <c r="DG21" i="14"/>
  <c r="IB54" i="14"/>
  <c r="IC54" i="14" s="1"/>
  <c r="L69" i="9"/>
  <c r="HA54" i="14"/>
  <c r="MI69" i="14"/>
  <c r="CK61" i="14"/>
  <c r="J47" i="22"/>
  <c r="AU187" i="19"/>
  <c r="AU194" i="19"/>
  <c r="AW191" i="19"/>
  <c r="AW188" i="19"/>
  <c r="KB50" i="14"/>
  <c r="BM157" i="16"/>
  <c r="BM174" i="16"/>
  <c r="BN174" i="16"/>
  <c r="BP187" i="10"/>
  <c r="HV25" i="14"/>
  <c r="LZ57" i="14"/>
  <c r="JR69" i="14"/>
  <c r="BV188" i="16"/>
  <c r="BV191" i="16"/>
  <c r="BT194" i="16"/>
  <c r="BT187" i="16"/>
  <c r="MI32" i="14"/>
  <c r="DH31" i="14"/>
  <c r="E57" i="21"/>
  <c r="E27" i="21" s="1"/>
  <c r="FR34" i="14"/>
  <c r="FS34" i="14" s="1"/>
  <c r="I54" i="21"/>
  <c r="I24" i="21" s="1"/>
  <c r="BD62" i="14"/>
  <c r="BE62" i="14" s="1"/>
  <c r="BT187" i="10"/>
  <c r="BS188" i="10"/>
  <c r="BT188" i="10"/>
  <c r="BT186" i="10"/>
  <c r="BT189" i="10"/>
  <c r="BS187" i="10"/>
  <c r="AD61" i="14"/>
  <c r="I47" i="22"/>
  <c r="HU49" i="14"/>
  <c r="HK39" i="14"/>
  <c r="FE69" i="14"/>
  <c r="HK21" i="14"/>
  <c r="JT28" i="14"/>
  <c r="G47" i="23" s="1"/>
  <c r="KA52" i="14"/>
  <c r="FE68" i="14"/>
  <c r="CA194" i="19"/>
  <c r="CC191" i="19"/>
  <c r="CA187" i="19"/>
  <c r="CC188" i="19"/>
  <c r="AP72" i="14"/>
  <c r="J45" i="22"/>
  <c r="CK59" i="14"/>
  <c r="K85" i="9"/>
  <c r="FU70" i="14"/>
  <c r="ET70" i="14"/>
  <c r="KA27" i="14"/>
  <c r="KB27" i="14"/>
  <c r="LY70" i="14"/>
  <c r="FM28" i="14"/>
  <c r="FO28" i="14" s="1"/>
  <c r="KA41" i="14"/>
  <c r="CE156" i="16"/>
  <c r="CE173" i="16"/>
  <c r="CF173" i="16"/>
  <c r="CF156" i="16"/>
  <c r="EK58" i="14"/>
  <c r="K15" i="22" s="1"/>
  <c r="AO173" i="19"/>
  <c r="AP173" i="19"/>
  <c r="AO156" i="19"/>
  <c r="AP156" i="19"/>
  <c r="DG38" i="14"/>
  <c r="GR26" i="14"/>
  <c r="F14" i="22" s="1"/>
  <c r="BW196" i="16"/>
  <c r="BW193" i="16"/>
  <c r="BV192" i="16"/>
  <c r="BU192" i="16"/>
  <c r="KF31" i="14"/>
  <c r="KG31" i="14" s="1"/>
  <c r="G54" i="21"/>
  <c r="G24" i="21" s="1"/>
  <c r="I82" i="9"/>
  <c r="AF67" i="14"/>
  <c r="BG67" i="14"/>
  <c r="GX55" i="14"/>
  <c r="MH61" i="14"/>
  <c r="MJ61" i="14" s="1"/>
  <c r="LF61" i="14"/>
  <c r="N18" i="22" s="1"/>
  <c r="KA18" i="14"/>
  <c r="DG28" i="14"/>
  <c r="CW28" i="14"/>
  <c r="KB39" i="14"/>
  <c r="CE172" i="19"/>
  <c r="CF172" i="19"/>
  <c r="BR183" i="16"/>
  <c r="BQ183" i="16"/>
  <c r="BQ181" i="16"/>
  <c r="F45" i="22"/>
  <c r="GY28" i="14"/>
  <c r="LM29" i="14"/>
  <c r="H46" i="22"/>
  <c r="LM28" i="14"/>
  <c r="H45" i="22"/>
  <c r="CY33" i="14"/>
  <c r="D52" i="23" s="1"/>
  <c r="ER33" i="14"/>
  <c r="E50" i="22"/>
  <c r="AE33" i="14"/>
  <c r="C21" i="9"/>
  <c r="J66" i="9"/>
  <c r="CM51" i="14"/>
  <c r="DN51" i="14"/>
  <c r="CW66" i="14"/>
  <c r="CY66" i="14" s="1"/>
  <c r="DF66" i="14"/>
  <c r="DH66" i="14" s="1"/>
  <c r="FF55" i="14"/>
  <c r="K43" i="23" s="1"/>
  <c r="JE25" i="14"/>
  <c r="GX65" i="14"/>
  <c r="KI20" i="14"/>
  <c r="G66" i="9"/>
  <c r="JH20" i="14"/>
  <c r="BN187" i="10"/>
  <c r="BN188" i="10"/>
  <c r="BM189" i="10"/>
  <c r="BM186" i="10"/>
  <c r="BN189" i="10"/>
  <c r="BM188" i="10"/>
  <c r="BN186" i="10"/>
  <c r="BM187" i="10"/>
  <c r="K87" i="9"/>
  <c r="ET72" i="14"/>
  <c r="FU72" i="14"/>
  <c r="BO192" i="19"/>
  <c r="BO193" i="19"/>
  <c r="BP194" i="19"/>
  <c r="BP191" i="19"/>
  <c r="BP193" i="19"/>
  <c r="BP192" i="19"/>
  <c r="BO191" i="19"/>
  <c r="BO194" i="19"/>
  <c r="BS202" i="19"/>
  <c r="BS204" i="19"/>
  <c r="BT202" i="19"/>
  <c r="BT203" i="19"/>
  <c r="BT201" i="19"/>
  <c r="BT204" i="19"/>
  <c r="BS203" i="19"/>
  <c r="BS201" i="19"/>
  <c r="CB188" i="16"/>
  <c r="BZ187" i="16"/>
  <c r="CB191" i="16"/>
  <c r="BZ194" i="16"/>
  <c r="DF72" i="14"/>
  <c r="DG72" i="14"/>
  <c r="FE56" i="14"/>
  <c r="FM21" i="14"/>
  <c r="JR72" i="14"/>
  <c r="HL64" i="14"/>
  <c r="HK64" i="14"/>
  <c r="HM64" i="14" s="1"/>
  <c r="L52" i="23" s="1"/>
  <c r="M41" i="22"/>
  <c r="JF55" i="14"/>
  <c r="JS69" i="14"/>
  <c r="AQ52" i="14"/>
  <c r="JR38" i="14"/>
  <c r="AX199" i="16"/>
  <c r="AX192" i="16"/>
  <c r="AZ196" i="16"/>
  <c r="CX70" i="14"/>
  <c r="CW70" i="14"/>
  <c r="JR26" i="14"/>
  <c r="BZ186" i="10"/>
  <c r="BX189" i="10"/>
  <c r="BZ183" i="10"/>
  <c r="BX182" i="10"/>
  <c r="IZ60" i="14"/>
  <c r="M46" i="9"/>
  <c r="BL191" i="16"/>
  <c r="BJ187" i="16"/>
  <c r="BJ194" i="16"/>
  <c r="AW172" i="16"/>
  <c r="AX172" i="16"/>
  <c r="C17" i="9"/>
  <c r="AE29" i="14"/>
  <c r="CY57" i="14"/>
  <c r="J45" i="23" s="1"/>
  <c r="HM30" i="14"/>
  <c r="F49" i="23" s="1"/>
  <c r="BG31" i="14"/>
  <c r="BH31" i="14" s="1"/>
  <c r="AF31" i="14"/>
  <c r="C77" i="9"/>
  <c r="C77" i="22" s="1"/>
  <c r="CH191" i="19"/>
  <c r="CH188" i="19"/>
  <c r="CF194" i="19"/>
  <c r="CF187" i="19"/>
  <c r="BF173" i="16"/>
  <c r="BE173" i="16"/>
  <c r="BE156" i="16"/>
  <c r="BX188" i="10"/>
  <c r="BX191" i="10"/>
  <c r="CC191" i="10"/>
  <c r="CA187" i="10"/>
  <c r="CC188" i="10"/>
  <c r="CA194" i="10"/>
  <c r="KB36" i="14"/>
  <c r="BE174" i="10"/>
  <c r="BF174" i="10"/>
  <c r="BE157" i="10"/>
  <c r="M44" i="9"/>
  <c r="IZ58" i="14"/>
  <c r="BI202" i="19"/>
  <c r="BJ202" i="19"/>
  <c r="BJ203" i="19"/>
  <c r="BJ204" i="19"/>
  <c r="BI201" i="19"/>
  <c r="BI203" i="19"/>
  <c r="BI204" i="19"/>
  <c r="BJ201" i="19"/>
  <c r="FE18" i="14"/>
  <c r="JS20" i="14"/>
  <c r="DG71" i="14"/>
  <c r="HT53" i="14"/>
  <c r="LM25" i="14"/>
  <c r="H42" i="22"/>
  <c r="FE54" i="14"/>
  <c r="BI187" i="10"/>
  <c r="BI189" i="10"/>
  <c r="BJ189" i="10"/>
  <c r="BI186" i="10"/>
  <c r="BJ187" i="10"/>
  <c r="BJ188" i="10"/>
  <c r="BJ186" i="10"/>
  <c r="BI188" i="10"/>
  <c r="CH172" i="10"/>
  <c r="CG172" i="10"/>
  <c r="MH54" i="14"/>
  <c r="AT189" i="19"/>
  <c r="AV186" i="19"/>
  <c r="AT182" i="19"/>
  <c r="AV183" i="19"/>
  <c r="BE156" i="19"/>
  <c r="BF173" i="19"/>
  <c r="BE173" i="19"/>
  <c r="CX26" i="14"/>
  <c r="BO187" i="19"/>
  <c r="KB66" i="14"/>
  <c r="CM21" i="14"/>
  <c r="DN21" i="14"/>
  <c r="D67" i="9"/>
  <c r="AW172" i="10"/>
  <c r="AX172" i="10"/>
  <c r="AZ53" i="14"/>
  <c r="FE70" i="14"/>
  <c r="DG51" i="14"/>
  <c r="DH55" i="14"/>
  <c r="HV23" i="14"/>
  <c r="BR202" i="10"/>
  <c r="BR203" i="10"/>
  <c r="BQ203" i="10"/>
  <c r="BQ204" i="10"/>
  <c r="BQ202" i="10"/>
  <c r="BR204" i="10"/>
  <c r="BR201" i="10"/>
  <c r="BQ201" i="10"/>
  <c r="JF57" i="14"/>
  <c r="M43" i="22"/>
  <c r="FE72" i="14"/>
  <c r="KI66" i="14"/>
  <c r="KJ66" i="14" s="1"/>
  <c r="M81" i="9"/>
  <c r="JH66" i="14"/>
  <c r="BI204" i="16"/>
  <c r="BJ203" i="16"/>
  <c r="BI203" i="16"/>
  <c r="BI202" i="16"/>
  <c r="BI201" i="16"/>
  <c r="BJ204" i="16"/>
  <c r="BJ202" i="16"/>
  <c r="BJ201" i="16"/>
  <c r="BR191" i="19"/>
  <c r="MH38" i="14"/>
  <c r="MI38" i="14"/>
  <c r="MR67" i="14"/>
  <c r="N25" i="23" s="1"/>
  <c r="N85" i="23"/>
  <c r="BU183" i="19"/>
  <c r="BS182" i="19"/>
  <c r="BS156" i="16"/>
  <c r="BS173" i="16"/>
  <c r="BT173" i="16"/>
  <c r="AJ194" i="10"/>
  <c r="AH252" i="10" s="1"/>
  <c r="AI194" i="10"/>
  <c r="AF252" i="10" s="1"/>
  <c r="AE252" i="10" s="1"/>
  <c r="AX189" i="10"/>
  <c r="AX182" i="10"/>
  <c r="BM203" i="19"/>
  <c r="BN202" i="19"/>
  <c r="BN203" i="19"/>
  <c r="BM201" i="19"/>
  <c r="BN204" i="19"/>
  <c r="BM204" i="19"/>
  <c r="BM202" i="19"/>
  <c r="BN201" i="19"/>
  <c r="JS56" i="14"/>
  <c r="DH27" i="14"/>
  <c r="CH194" i="16"/>
  <c r="CJ188" i="16"/>
  <c r="CH187" i="16"/>
  <c r="CJ191" i="16"/>
  <c r="HU39" i="14"/>
  <c r="HT40" i="14"/>
  <c r="DF18" i="14"/>
  <c r="DG18" i="14"/>
  <c r="GS25" i="14"/>
  <c r="F42" i="9"/>
  <c r="LG26" i="14"/>
  <c r="H43" i="9"/>
  <c r="FD23" i="14"/>
  <c r="FM36" i="14"/>
  <c r="FN36" i="14"/>
  <c r="AU168" i="19"/>
  <c r="AV168" i="19"/>
  <c r="CX21" i="14"/>
  <c r="BX172" i="19"/>
  <c r="BX181" i="19" s="1"/>
  <c r="BW172" i="19"/>
  <c r="EL55" i="14"/>
  <c r="K41" i="9"/>
  <c r="CW34" i="14"/>
  <c r="AR58" i="14"/>
  <c r="I46" i="23" s="1"/>
  <c r="FN69" i="14"/>
  <c r="BG34" i="14"/>
  <c r="BH34" i="14" s="1"/>
  <c r="AF34" i="14"/>
  <c r="C80" i="9"/>
  <c r="C80" i="22" s="1"/>
  <c r="AB5" i="12"/>
  <c r="AE30" i="14"/>
  <c r="C18" i="9"/>
  <c r="LM27" i="14"/>
  <c r="H44" i="22"/>
  <c r="N84" i="23"/>
  <c r="MR66" i="14"/>
  <c r="N24" i="23" s="1"/>
  <c r="D83" i="9"/>
  <c r="DN37" i="14"/>
  <c r="CM37" i="14"/>
  <c r="MI53" i="14"/>
  <c r="CK57" i="14"/>
  <c r="J43" i="22"/>
  <c r="F43" i="22"/>
  <c r="GY26" i="14"/>
  <c r="HM26" i="14" s="1"/>
  <c r="F45" i="23" s="1"/>
  <c r="LM61" i="14"/>
  <c r="N47" i="22"/>
  <c r="DK62" i="14"/>
  <c r="DL62" i="14" s="1"/>
  <c r="J54" i="21"/>
  <c r="J24" i="21" s="1"/>
  <c r="BJ193" i="16"/>
  <c r="BH192" i="16"/>
  <c r="BJ196" i="16"/>
  <c r="BH199" i="16"/>
  <c r="AP182" i="19"/>
  <c r="AP189" i="19"/>
  <c r="AR186" i="19"/>
  <c r="AR183" i="19"/>
  <c r="CK32" i="14"/>
  <c r="D49" i="22"/>
  <c r="AI524" i="10"/>
  <c r="AI525" i="10" s="1"/>
  <c r="BP206" i="16"/>
  <c r="BP208" i="16"/>
  <c r="BP207" i="16"/>
  <c r="BO206" i="16"/>
  <c r="BO208" i="16"/>
  <c r="BP209" i="16"/>
  <c r="BO209" i="16"/>
  <c r="BO207" i="16"/>
  <c r="LM55" i="14"/>
  <c r="MA55" i="14" s="1"/>
  <c r="N43" i="23" s="1"/>
  <c r="N41" i="22"/>
  <c r="CB199" i="16"/>
  <c r="CB192" i="16"/>
  <c r="CD196" i="16"/>
  <c r="CD193" i="16"/>
  <c r="BY184" i="10"/>
  <c r="CA181" i="10"/>
  <c r="AR54" i="14"/>
  <c r="AE27" i="14"/>
  <c r="C15" i="9"/>
  <c r="BY168" i="19"/>
  <c r="BZ168" i="19"/>
  <c r="BO156" i="19"/>
  <c r="BO173" i="19"/>
  <c r="BP173" i="19"/>
  <c r="BN189" i="19" s="1"/>
  <c r="HV56" i="14"/>
  <c r="KF23" i="14"/>
  <c r="KG23" i="14" s="1"/>
  <c r="G46" i="21"/>
  <c r="G16" i="21" s="1"/>
  <c r="JH72" i="14"/>
  <c r="KI72" i="14"/>
  <c r="M87" i="9"/>
  <c r="LM30" i="14"/>
  <c r="H47" i="22"/>
  <c r="I50" i="21"/>
  <c r="I20" i="21" s="1"/>
  <c r="BD58" i="14"/>
  <c r="BE58" i="14" s="1"/>
  <c r="DK34" i="14"/>
  <c r="D57" i="21"/>
  <c r="D27" i="21" s="1"/>
  <c r="N99" i="14"/>
  <c r="EL29" i="14"/>
  <c r="E46" i="9"/>
  <c r="JF64" i="14"/>
  <c r="M50" i="22"/>
  <c r="L52" i="21"/>
  <c r="L22" i="21" s="1"/>
  <c r="HY60" i="14"/>
  <c r="HZ60" i="14" s="1"/>
  <c r="X60" i="14"/>
  <c r="I46" i="9"/>
  <c r="BV202" i="10"/>
  <c r="BU203" i="10"/>
  <c r="BU202" i="10"/>
  <c r="BV203" i="10"/>
  <c r="BV201" i="10"/>
  <c r="BV204" i="10"/>
  <c r="BU201" i="10"/>
  <c r="BU204" i="10"/>
  <c r="JR25" i="14"/>
  <c r="BB208" i="10"/>
  <c r="BA207" i="10"/>
  <c r="BA209" i="10"/>
  <c r="BB206" i="10"/>
  <c r="BB207" i="10"/>
  <c r="BA206" i="10"/>
  <c r="BA208" i="10"/>
  <c r="BB209" i="10"/>
  <c r="I56" i="21"/>
  <c r="I26" i="21" s="1"/>
  <c r="BD64" i="14"/>
  <c r="BE64" i="14" s="1"/>
  <c r="FR61" i="14"/>
  <c r="FS61" i="14" s="1"/>
  <c r="K53" i="21"/>
  <c r="K23" i="21" s="1"/>
  <c r="AQ168" i="19"/>
  <c r="AR168" i="19"/>
  <c r="GS62" i="14"/>
  <c r="L48" i="9"/>
  <c r="BK188" i="19"/>
  <c r="BK186" i="19"/>
  <c r="BL186" i="19"/>
  <c r="BK187" i="19"/>
  <c r="BL188" i="19"/>
  <c r="BL187" i="19"/>
  <c r="BL189" i="19"/>
  <c r="GY60" i="14"/>
  <c r="L46" i="22"/>
  <c r="F46" i="22"/>
  <c r="GY29" i="14"/>
  <c r="GX24" i="14"/>
  <c r="BF203" i="10"/>
  <c r="BF202" i="10"/>
  <c r="BE202" i="10"/>
  <c r="BE203" i="10"/>
  <c r="BF204" i="10"/>
  <c r="BE204" i="10"/>
  <c r="BE201" i="10"/>
  <c r="BF201" i="10"/>
  <c r="LM31" i="14"/>
  <c r="H48" i="22"/>
  <c r="HU68" i="14"/>
  <c r="BU206" i="19"/>
  <c r="BU209" i="19"/>
  <c r="BV207" i="19"/>
  <c r="BU207" i="19"/>
  <c r="BV209" i="19"/>
  <c r="BV208" i="19"/>
  <c r="BU208" i="19"/>
  <c r="BV206" i="19"/>
  <c r="HM35" i="14"/>
  <c r="FR55" i="14"/>
  <c r="FS55" i="14" s="1"/>
  <c r="K47" i="21"/>
  <c r="K17" i="21" s="1"/>
  <c r="AO168" i="16"/>
  <c r="AP168" i="16"/>
  <c r="L42" i="22"/>
  <c r="GY56" i="14"/>
  <c r="JT35" i="14"/>
  <c r="I87" i="9"/>
  <c r="BG72" i="14"/>
  <c r="AF72" i="14"/>
  <c r="E44" i="22"/>
  <c r="ER27" i="14"/>
  <c r="LZ30" i="14"/>
  <c r="DN19" i="14"/>
  <c r="D65" i="9"/>
  <c r="CM19" i="14"/>
  <c r="FF64" i="14"/>
  <c r="K52" i="23" s="1"/>
  <c r="BF201" i="16"/>
  <c r="BE204" i="16"/>
  <c r="BE202" i="16"/>
  <c r="BF202" i="16"/>
  <c r="BE203" i="16"/>
  <c r="BE201" i="16"/>
  <c r="BF204" i="16"/>
  <c r="BF203" i="16"/>
  <c r="I51" i="21"/>
  <c r="I21" i="21" s="1"/>
  <c r="BD59" i="14"/>
  <c r="BE59" i="14" s="1"/>
  <c r="KA70" i="14"/>
  <c r="GY32" i="14"/>
  <c r="F49" i="22"/>
  <c r="AZ72" i="14"/>
  <c r="BR209" i="19"/>
  <c r="BR208" i="19"/>
  <c r="BQ208" i="19"/>
  <c r="BR206" i="19"/>
  <c r="BQ209" i="19"/>
  <c r="BR207" i="19"/>
  <c r="BQ207" i="19"/>
  <c r="BQ206" i="19"/>
  <c r="AU181" i="10"/>
  <c r="AS184" i="10"/>
  <c r="HL55" i="14"/>
  <c r="HK52" i="14"/>
  <c r="AU196" i="16"/>
  <c r="AU193" i="16"/>
  <c r="AS192" i="16"/>
  <c r="AS199" i="16"/>
  <c r="BA207" i="19"/>
  <c r="BA206" i="19"/>
  <c r="BA209" i="19"/>
  <c r="BB206" i="19"/>
  <c r="BB208" i="19"/>
  <c r="BA208" i="19"/>
  <c r="BB209" i="19"/>
  <c r="BB207" i="19"/>
  <c r="MH67" i="14"/>
  <c r="BT202" i="16"/>
  <c r="BT204" i="16"/>
  <c r="BS201" i="16"/>
  <c r="BS203" i="16"/>
  <c r="BT203" i="16"/>
  <c r="BT201" i="16"/>
  <c r="BS204" i="16"/>
  <c r="BS202" i="16"/>
  <c r="BI157" i="16"/>
  <c r="BJ174" i="16"/>
  <c r="BI174" i="16"/>
  <c r="F54" i="21"/>
  <c r="F24" i="21" s="1"/>
  <c r="HY31" i="14"/>
  <c r="HZ31" i="14" s="1"/>
  <c r="EL30" i="14"/>
  <c r="E47" i="9"/>
  <c r="JT65" i="14"/>
  <c r="M53" i="23" s="1"/>
  <c r="HM29" i="14"/>
  <c r="F48" i="23" s="1"/>
  <c r="DH58" i="14"/>
  <c r="BK183" i="16"/>
  <c r="BL183" i="16"/>
  <c r="AY70" i="14"/>
  <c r="ET23" i="14"/>
  <c r="FU23" i="14"/>
  <c r="FV23" i="14" s="1"/>
  <c r="E69" i="9"/>
  <c r="AT191" i="16"/>
  <c r="AR194" i="16"/>
  <c r="AR187" i="16"/>
  <c r="AT188" i="16"/>
  <c r="HT69" i="14"/>
  <c r="J56" i="21"/>
  <c r="J26" i="21" s="1"/>
  <c r="DK64" i="14"/>
  <c r="DL64" i="14" s="1"/>
  <c r="AR60" i="14"/>
  <c r="I48" i="23" s="1"/>
  <c r="DF50" i="14"/>
  <c r="BQ209" i="10"/>
  <c r="BQ207" i="10"/>
  <c r="BR207" i="10"/>
  <c r="BQ206" i="10"/>
  <c r="BR208" i="10"/>
  <c r="BR209" i="10"/>
  <c r="BR206" i="10"/>
  <c r="BQ208" i="10"/>
  <c r="KB40" i="14"/>
  <c r="BR173" i="10"/>
  <c r="BR186" i="10" s="1"/>
  <c r="BQ173" i="10"/>
  <c r="BQ156" i="10"/>
  <c r="HT55" i="14"/>
  <c r="HV55" i="14" s="1"/>
  <c r="JT29" i="14"/>
  <c r="G48" i="23" s="1"/>
  <c r="MI57" i="14"/>
  <c r="AC66" i="14"/>
  <c r="LY34" i="14"/>
  <c r="KF65" i="14"/>
  <c r="KG65" i="14" s="1"/>
  <c r="M57" i="21"/>
  <c r="M27" i="21" s="1"/>
  <c r="CG191" i="19"/>
  <c r="CE187" i="19"/>
  <c r="CG188" i="19"/>
  <c r="CE194" i="19"/>
  <c r="P521" i="10"/>
  <c r="Q521" i="10" s="1"/>
  <c r="O522" i="10"/>
  <c r="KC58" i="14"/>
  <c r="FM18" i="14"/>
  <c r="HU24" i="14"/>
  <c r="FN54" i="14"/>
  <c r="F58" i="21"/>
  <c r="F28" i="21" s="1"/>
  <c r="HY35" i="14"/>
  <c r="HZ35" i="14" s="1"/>
  <c r="AQ53" i="14"/>
  <c r="BT182" i="19"/>
  <c r="BV183" i="19"/>
  <c r="JR23" i="14"/>
  <c r="BT188" i="16"/>
  <c r="BT191" i="16"/>
  <c r="BR187" i="16"/>
  <c r="BR194" i="16"/>
  <c r="AS188" i="16"/>
  <c r="AS191" i="16"/>
  <c r="AQ194" i="16"/>
  <c r="AQ187" i="16"/>
  <c r="BV207" i="16"/>
  <c r="BV208" i="16"/>
  <c r="BU207" i="16"/>
  <c r="BU209" i="16"/>
  <c r="BU208" i="16"/>
  <c r="BV209" i="16"/>
  <c r="BV206" i="16"/>
  <c r="BU206" i="16"/>
  <c r="GY59" i="14"/>
  <c r="L45" i="22"/>
  <c r="F40" i="22"/>
  <c r="GY23" i="14"/>
  <c r="AR61" i="14"/>
  <c r="I49" i="23" s="1"/>
  <c r="BC172" i="19"/>
  <c r="BD172" i="19"/>
  <c r="F50" i="21"/>
  <c r="F20" i="21" s="1"/>
  <c r="HY27" i="14"/>
  <c r="HZ27" i="14" s="1"/>
  <c r="G64" i="9"/>
  <c r="JH18" i="14"/>
  <c r="KI18" i="14"/>
  <c r="JS71" i="14"/>
  <c r="G52" i="22"/>
  <c r="JF35" i="14"/>
  <c r="CC156" i="19"/>
  <c r="CD173" i="19"/>
  <c r="CC173" i="19"/>
  <c r="CD156" i="19"/>
  <c r="KA40" i="14"/>
  <c r="AD57" i="14"/>
  <c r="AR57" i="14" s="1"/>
  <c r="I45" i="23" s="1"/>
  <c r="I43" i="22"/>
  <c r="BY194" i="19"/>
  <c r="BY187" i="19"/>
  <c r="CA191" i="19"/>
  <c r="CA188" i="19"/>
  <c r="MH40" i="14"/>
  <c r="BS209" i="19"/>
  <c r="BS206" i="19"/>
  <c r="BT206" i="19"/>
  <c r="BT208" i="19"/>
  <c r="BS208" i="19"/>
  <c r="BT207" i="19"/>
  <c r="BT209" i="19"/>
  <c r="BS207" i="19"/>
  <c r="JE27" i="14"/>
  <c r="BR201" i="16"/>
  <c r="BQ202" i="16"/>
  <c r="BR203" i="16"/>
  <c r="BR202" i="16"/>
  <c r="BQ204" i="16"/>
  <c r="BQ203" i="16"/>
  <c r="BQ201" i="16"/>
  <c r="BR204" i="16"/>
  <c r="MM29" i="14"/>
  <c r="MN29" i="14" s="1"/>
  <c r="MO29" i="14" s="1"/>
  <c r="H52" i="21"/>
  <c r="H22" i="21" s="1"/>
  <c r="KA50" i="14"/>
  <c r="FE71" i="14"/>
  <c r="JR41" i="14"/>
  <c r="BC156" i="10"/>
  <c r="BD173" i="10"/>
  <c r="BC173" i="10"/>
  <c r="BK192" i="19"/>
  <c r="BK193" i="19"/>
  <c r="BL193" i="19"/>
  <c r="BK191" i="19"/>
  <c r="BL191" i="19"/>
  <c r="BL192" i="19"/>
  <c r="BL194" i="19"/>
  <c r="BK194" i="19"/>
  <c r="FN58" i="14"/>
  <c r="JF31" i="14"/>
  <c r="G48" i="22"/>
  <c r="J105" i="14"/>
  <c r="HT26" i="14"/>
  <c r="HV26" i="14" s="1"/>
  <c r="MH22" i="14"/>
  <c r="BW157" i="16"/>
  <c r="BX174" i="16"/>
  <c r="BW174" i="16"/>
  <c r="BX157" i="16"/>
  <c r="BV192" i="19"/>
  <c r="BU193" i="19"/>
  <c r="BV191" i="19"/>
  <c r="BV194" i="19"/>
  <c r="BV193" i="19"/>
  <c r="BU194" i="19"/>
  <c r="BU191" i="19"/>
  <c r="BU192" i="19"/>
  <c r="I50" i="22"/>
  <c r="AD64" i="14"/>
  <c r="AR64" i="14" s="1"/>
  <c r="CJ28" i="14"/>
  <c r="CC189" i="19"/>
  <c r="CE183" i="19"/>
  <c r="CC182" i="19"/>
  <c r="CE186" i="19"/>
  <c r="CX35" i="14"/>
  <c r="FO63" i="14"/>
  <c r="I57" i="21"/>
  <c r="I27" i="21" s="1"/>
  <c r="BD65" i="14"/>
  <c r="BE65" i="14" s="1"/>
  <c r="CK31" i="14"/>
  <c r="D48" i="22"/>
  <c r="FO24" i="14"/>
  <c r="KA25" i="14"/>
  <c r="IY25" i="14"/>
  <c r="G13" i="22" s="1"/>
  <c r="HL52" i="14"/>
  <c r="HT65" i="14"/>
  <c r="HV65" i="14" s="1"/>
  <c r="GR65" i="14"/>
  <c r="L22" i="22" s="1"/>
  <c r="LY57" i="14"/>
  <c r="MA57" i="14" s="1"/>
  <c r="N45" i="23" s="1"/>
  <c r="BY187" i="16"/>
  <c r="BY194" i="16"/>
  <c r="CA191" i="16"/>
  <c r="CA188" i="16"/>
  <c r="N44" i="22"/>
  <c r="LM58" i="14"/>
  <c r="BA172" i="19"/>
  <c r="BB172" i="19"/>
  <c r="FM56" i="14"/>
  <c r="FE21" i="14"/>
  <c r="KB69" i="14"/>
  <c r="KB53" i="14"/>
  <c r="KA53" i="14"/>
  <c r="AP52" i="14"/>
  <c r="CW52" i="14"/>
  <c r="AY174" i="16"/>
  <c r="AZ174" i="16"/>
  <c r="AZ157" i="16"/>
  <c r="AY157" i="16"/>
  <c r="KA19" i="14"/>
  <c r="BY186" i="10"/>
  <c r="BY183" i="10"/>
  <c r="BW182" i="10"/>
  <c r="BW189" i="10"/>
  <c r="KI67" i="14"/>
  <c r="KJ67" i="14" s="1"/>
  <c r="M82" i="9"/>
  <c r="JH67" i="14"/>
  <c r="FD49" i="14"/>
  <c r="ET68" i="14"/>
  <c r="FU68" i="14"/>
  <c r="K83" i="9"/>
  <c r="LL34" i="14"/>
  <c r="BK191" i="16"/>
  <c r="BI187" i="16"/>
  <c r="BI194" i="16"/>
  <c r="LY32" i="14"/>
  <c r="JT64" i="14"/>
  <c r="M52" i="23" s="1"/>
  <c r="G82" i="9"/>
  <c r="KI36" i="14"/>
  <c r="JH36" i="14"/>
  <c r="AY69" i="14"/>
  <c r="J53" i="21"/>
  <c r="J23" i="21" s="1"/>
  <c r="DK61" i="14"/>
  <c r="DL61" i="14" s="1"/>
  <c r="KC61" i="14"/>
  <c r="BW191" i="10"/>
  <c r="BW188" i="10"/>
  <c r="IB66" i="14"/>
  <c r="IC66" i="14" s="1"/>
  <c r="L81" i="9"/>
  <c r="HA66" i="14"/>
  <c r="CD188" i="10"/>
  <c r="CB187" i="10"/>
  <c r="CB194" i="10"/>
  <c r="CD191" i="10"/>
  <c r="J46" i="22"/>
  <c r="CK60" i="14"/>
  <c r="BJ203" i="10"/>
  <c r="BI204" i="10"/>
  <c r="BI203" i="10"/>
  <c r="BJ204" i="10"/>
  <c r="BI201" i="10"/>
  <c r="BJ201" i="10"/>
  <c r="BJ202" i="10"/>
  <c r="BI202" i="10"/>
  <c r="CE170" i="10"/>
  <c r="CF170" i="10"/>
  <c r="CX71" i="14"/>
  <c r="AE195" i="10"/>
  <c r="AH195" i="10" s="1"/>
  <c r="AG195" i="10"/>
  <c r="HK24" i="14"/>
  <c r="CG186" i="10"/>
  <c r="CE189" i="10"/>
  <c r="CG183" i="10"/>
  <c r="CE182" i="10"/>
  <c r="H51" i="21"/>
  <c r="H21" i="21" s="1"/>
  <c r="MM28" i="14"/>
  <c r="MN28" i="14" s="1"/>
  <c r="CC193" i="16"/>
  <c r="CA199" i="16"/>
  <c r="CA192" i="16"/>
  <c r="CC196" i="16"/>
  <c r="M68" i="9"/>
  <c r="KI53" i="14"/>
  <c r="KJ53" i="14" s="1"/>
  <c r="JH53" i="14"/>
  <c r="AZ49" i="14"/>
  <c r="AY49" i="14"/>
  <c r="AS189" i="19"/>
  <c r="AS182" i="19"/>
  <c r="AU183" i="19"/>
  <c r="AU186" i="19"/>
  <c r="BN184" i="10"/>
  <c r="BP181" i="10"/>
  <c r="FM38" i="14"/>
  <c r="AG195" i="19"/>
  <c r="AE195" i="19"/>
  <c r="AH195" i="19" s="1"/>
  <c r="MA33" i="14"/>
  <c r="MH49" i="14"/>
  <c r="CW26" i="14"/>
  <c r="CY26" i="14" s="1"/>
  <c r="D45" i="23" s="1"/>
  <c r="HY59" i="14"/>
  <c r="HZ59" i="14" s="1"/>
  <c r="L51" i="21"/>
  <c r="L21" i="21" s="1"/>
  <c r="HL68" i="14"/>
  <c r="DF20" i="14"/>
  <c r="JR66" i="14"/>
  <c r="JS68" i="14"/>
  <c r="AQ70" i="14"/>
  <c r="AX186" i="10"/>
  <c r="AV182" i="10"/>
  <c r="AV189" i="10"/>
  <c r="AX183" i="10"/>
  <c r="FN70" i="14"/>
  <c r="HM59" i="14"/>
  <c r="L47" i="23" s="1"/>
  <c r="JT63" i="14"/>
  <c r="M51" i="23" s="1"/>
  <c r="D44" i="22"/>
  <c r="CK27" i="14"/>
  <c r="BU199" i="16"/>
  <c r="HV61" i="14"/>
  <c r="FN22" i="14"/>
  <c r="BR203" i="19"/>
  <c r="BR202" i="19"/>
  <c r="BQ203" i="19"/>
  <c r="BR204" i="19"/>
  <c r="BQ201" i="19"/>
  <c r="BQ204" i="19"/>
  <c r="BQ202" i="19"/>
  <c r="BR201" i="19"/>
  <c r="FN53" i="14"/>
  <c r="JT57" i="14"/>
  <c r="M45" i="23" s="1"/>
  <c r="MI51" i="14"/>
  <c r="FD72" i="14"/>
  <c r="LZ38" i="14"/>
  <c r="AO187" i="16"/>
  <c r="AQ188" i="16"/>
  <c r="AQ191" i="16"/>
  <c r="AO194" i="16"/>
  <c r="BQ172" i="16"/>
  <c r="BO184" i="16" s="1"/>
  <c r="BR172" i="16"/>
  <c r="BP184" i="16" s="1"/>
  <c r="BI173" i="19"/>
  <c r="BJ173" i="19"/>
  <c r="BI156" i="19"/>
  <c r="I546" i="10"/>
  <c r="J545" i="10"/>
  <c r="K545" i="10" s="1"/>
  <c r="AW182" i="10"/>
  <c r="AW189" i="10"/>
  <c r="LF30" i="14"/>
  <c r="H18" i="22" s="1"/>
  <c r="BN202" i="10"/>
  <c r="BM203" i="10"/>
  <c r="BN204" i="10"/>
  <c r="BM201" i="10"/>
  <c r="BN201" i="10"/>
  <c r="BM204" i="10"/>
  <c r="BM202" i="10"/>
  <c r="BN203" i="10"/>
  <c r="JR56" i="14"/>
  <c r="IZ29" i="14"/>
  <c r="G46" i="9"/>
  <c r="DG69" i="14"/>
  <c r="CI191" i="16"/>
  <c r="CG187" i="16"/>
  <c r="CI188" i="16"/>
  <c r="CG194" i="16"/>
  <c r="HU69" i="14"/>
  <c r="HK41" i="14"/>
  <c r="HL41" i="14"/>
  <c r="D66" i="9"/>
  <c r="DN20" i="14"/>
  <c r="CM20" i="14"/>
  <c r="BX186" i="19"/>
  <c r="BX183" i="19"/>
  <c r="AA547" i="10"/>
  <c r="AB546" i="10"/>
  <c r="AC546" i="10" s="1"/>
  <c r="AW168" i="16"/>
  <c r="AX168" i="16"/>
  <c r="IB52" i="14"/>
  <c r="HA52" i="14"/>
  <c r="L67" i="9"/>
  <c r="CD34" i="14"/>
  <c r="D22" i="22" s="1"/>
  <c r="C12" i="9"/>
  <c r="AE24" i="14"/>
  <c r="KB70" i="14"/>
  <c r="LO53" i="14"/>
  <c r="N68" i="9"/>
  <c r="MP53" i="14"/>
  <c r="MQ53" i="14" s="1"/>
  <c r="DP22" i="14"/>
  <c r="D11" i="23" s="1"/>
  <c r="D71" i="23"/>
  <c r="AP186" i="10"/>
  <c r="AP183" i="10"/>
  <c r="BI37" i="14"/>
  <c r="C26" i="23" s="1"/>
  <c r="C86" i="23"/>
  <c r="MM23" i="14"/>
  <c r="MN23" i="14" s="1"/>
  <c r="H46" i="21"/>
  <c r="H16" i="21" s="1"/>
  <c r="FF31" i="14"/>
  <c r="E50" i="23" s="1"/>
  <c r="L55" i="21"/>
  <c r="L25" i="21" s="1"/>
  <c r="HY63" i="14"/>
  <c r="HZ63" i="14" s="1"/>
  <c r="AC252" i="19"/>
  <c r="AG251" i="19"/>
  <c r="H54" i="21"/>
  <c r="H24" i="21" s="1"/>
  <c r="MM31" i="14"/>
  <c r="MN31" i="14" s="1"/>
  <c r="N42" i="22"/>
  <c r="LM56" i="14"/>
  <c r="O544" i="10"/>
  <c r="P543" i="10"/>
  <c r="Q543" i="10" s="1"/>
  <c r="CY60" i="14"/>
  <c r="J48" i="23" s="1"/>
  <c r="CX72" i="14"/>
  <c r="AL156" i="16"/>
  <c r="AA160" i="16" s="1"/>
  <c r="V5" i="15" s="1"/>
  <c r="AA159" i="16"/>
  <c r="V6" i="15" s="1"/>
  <c r="AB6" i="15" s="1"/>
  <c r="KB19" i="14"/>
  <c r="MJ34" i="14"/>
  <c r="FF62" i="14"/>
  <c r="K50" i="23" s="1"/>
  <c r="AP191" i="16"/>
  <c r="AP188" i="16"/>
  <c r="J46" i="21"/>
  <c r="J16" i="21" s="1"/>
  <c r="DK54" i="14"/>
  <c r="DL54" i="14" s="1"/>
  <c r="AD156" i="10"/>
  <c r="AB160" i="10" s="1"/>
  <c r="W5" i="12" s="1"/>
  <c r="AB159" i="10"/>
  <c r="W6" i="12" s="1"/>
  <c r="AB6" i="12" s="1"/>
  <c r="AQ156" i="16"/>
  <c r="AR173" i="16"/>
  <c r="AQ173" i="16"/>
  <c r="AR156" i="16"/>
  <c r="MM63" i="14"/>
  <c r="MN63" i="14" s="1"/>
  <c r="N55" i="21"/>
  <c r="N25" i="21" s="1"/>
  <c r="AS156" i="19"/>
  <c r="AS173" i="19"/>
  <c r="AT173" i="19"/>
  <c r="AT156" i="19"/>
  <c r="AX191" i="19"/>
  <c r="AV187" i="19"/>
  <c r="AV194" i="19"/>
  <c r="AX188" i="19"/>
  <c r="FM37" i="14"/>
  <c r="FM68" i="14"/>
  <c r="DK60" i="14"/>
  <c r="DL60" i="14" s="1"/>
  <c r="J52" i="21"/>
  <c r="J22" i="21" s="1"/>
  <c r="FR25" i="14"/>
  <c r="FS25" i="14" s="1"/>
  <c r="E48" i="21"/>
  <c r="E18" i="21" s="1"/>
  <c r="BM193" i="16"/>
  <c r="BK192" i="16"/>
  <c r="LG59" i="14"/>
  <c r="N45" i="9"/>
  <c r="HA69" i="14"/>
  <c r="L84" i="9"/>
  <c r="IB69" i="14"/>
  <c r="G47" i="21"/>
  <c r="G17" i="21" s="1"/>
  <c r="KF24" i="14"/>
  <c r="KG24" i="14" s="1"/>
  <c r="LF57" i="14"/>
  <c r="N14" i="22" s="1"/>
  <c r="FN39" i="14"/>
  <c r="KK52" i="14"/>
  <c r="M10" i="23" s="1"/>
  <c r="M70" i="23"/>
  <c r="GY64" i="14"/>
  <c r="L50" i="22"/>
  <c r="KF35" i="14"/>
  <c r="KG35" i="14" s="1"/>
  <c r="G58" i="21"/>
  <c r="G28" i="21" s="1"/>
  <c r="AR172" i="19"/>
  <c r="AQ172" i="19"/>
  <c r="AG524" i="10"/>
  <c r="AH524" i="10" s="1"/>
  <c r="AH523" i="10"/>
  <c r="AI523" i="10" s="1"/>
  <c r="H40" i="22"/>
  <c r="LM23" i="14"/>
  <c r="FD20" i="14"/>
  <c r="MA56" i="14"/>
  <c r="N44" i="23" s="1"/>
  <c r="LG64" i="14"/>
  <c r="N50" i="9"/>
  <c r="FR26" i="14"/>
  <c r="FS26" i="14" s="1"/>
  <c r="E49" i="21"/>
  <c r="E19" i="21" s="1"/>
  <c r="FE22" i="14"/>
  <c r="BF199" i="16"/>
  <c r="G53" i="23"/>
  <c r="KK34" i="14"/>
  <c r="G23" i="23" s="1"/>
  <c r="AS191" i="19"/>
  <c r="AQ194" i="19"/>
  <c r="AS188" i="19"/>
  <c r="AQ187" i="19"/>
  <c r="CE54" i="14"/>
  <c r="J40" i="9"/>
  <c r="F44" i="9"/>
  <c r="GS27" i="14"/>
  <c r="BG157" i="16"/>
  <c r="BH174" i="16"/>
  <c r="BH191" i="16" s="1"/>
  <c r="BG174" i="16"/>
  <c r="BG191" i="16" s="1"/>
  <c r="FM69" i="14"/>
  <c r="KF63" i="14"/>
  <c r="KG63" i="14" s="1"/>
  <c r="M55" i="21"/>
  <c r="M25" i="21" s="1"/>
  <c r="AC225" i="16"/>
  <c r="AD224" i="16"/>
  <c r="C71" i="23"/>
  <c r="BI22" i="14"/>
  <c r="C11" i="23" s="1"/>
  <c r="LZ40" i="14"/>
  <c r="BN193" i="16"/>
  <c r="BL192" i="16"/>
  <c r="BG26" i="14"/>
  <c r="BH26" i="14" s="1"/>
  <c r="AF26" i="14"/>
  <c r="C72" i="9"/>
  <c r="C72" i="22" s="1"/>
  <c r="BC202" i="16"/>
  <c r="BD203" i="16"/>
  <c r="BD204" i="16"/>
  <c r="BC204" i="16"/>
  <c r="BC201" i="16"/>
  <c r="BD201" i="16"/>
  <c r="BC203" i="16"/>
  <c r="BD202" i="16"/>
  <c r="JS38" i="14"/>
  <c r="ET39" i="14"/>
  <c r="E85" i="9"/>
  <c r="FU39" i="14"/>
  <c r="K51" i="21"/>
  <c r="K21" i="21" s="1"/>
  <c r="FR59" i="14"/>
  <c r="FS59" i="14" s="1"/>
  <c r="BC156" i="16"/>
  <c r="BC173" i="16"/>
  <c r="BD173" i="16"/>
  <c r="BE202" i="19"/>
  <c r="BF203" i="19"/>
  <c r="BE204" i="19"/>
  <c r="BF204" i="19"/>
  <c r="BE203" i="19"/>
  <c r="BE201" i="19"/>
  <c r="BF201" i="19"/>
  <c r="BF202" i="19"/>
  <c r="BQ187" i="19"/>
  <c r="BR188" i="19"/>
  <c r="BQ189" i="19"/>
  <c r="BR189" i="19"/>
  <c r="BR187" i="19"/>
  <c r="BQ188" i="19"/>
  <c r="BQ186" i="19"/>
  <c r="BR186" i="19"/>
  <c r="CG168" i="10"/>
  <c r="CH168" i="10"/>
  <c r="F53" i="21"/>
  <c r="F23" i="21" s="1"/>
  <c r="HY30" i="14"/>
  <c r="HZ30" i="14" s="1"/>
  <c r="CK30" i="14"/>
  <c r="CY30" i="14" s="1"/>
  <c r="D49" i="23" s="1"/>
  <c r="D47" i="22"/>
  <c r="D85" i="23"/>
  <c r="DP36" i="14"/>
  <c r="D25" i="23" s="1"/>
  <c r="FM72" i="14"/>
  <c r="LY38" i="14"/>
  <c r="CE156" i="10"/>
  <c r="CE173" i="10"/>
  <c r="CF173" i="10"/>
  <c r="CF156" i="10"/>
  <c r="C546" i="10"/>
  <c r="D545" i="10"/>
  <c r="E545" i="10" s="1"/>
  <c r="BH173" i="10"/>
  <c r="BG173" i="10"/>
  <c r="BG156" i="10"/>
  <c r="ET18" i="14"/>
  <c r="E64" i="9"/>
  <c r="FU18" i="14"/>
  <c r="LY69" i="14"/>
  <c r="BV173" i="10"/>
  <c r="BV183" i="10" s="1"/>
  <c r="BU156" i="10"/>
  <c r="BU173" i="10"/>
  <c r="BU183" i="10" s="1"/>
  <c r="BT182" i="10"/>
  <c r="I42" i="22"/>
  <c r="AD56" i="14"/>
  <c r="FD58" i="14"/>
  <c r="FF58" i="14" s="1"/>
  <c r="K46" i="23" s="1"/>
  <c r="CE168" i="16"/>
  <c r="CF168" i="16"/>
  <c r="DF40" i="14"/>
  <c r="CX66" i="14"/>
  <c r="AV193" i="16"/>
  <c r="AT192" i="16"/>
  <c r="AV196" i="16"/>
  <c r="AT199" i="16"/>
  <c r="H50" i="21"/>
  <c r="H20" i="21" s="1"/>
  <c r="MM27" i="14"/>
  <c r="MN27" i="14" s="1"/>
  <c r="FN56" i="14"/>
  <c r="FN21" i="14"/>
  <c r="CH182" i="19"/>
  <c r="CJ186" i="19"/>
  <c r="CJ183" i="19"/>
  <c r="CH189" i="19"/>
  <c r="LZ34" i="14"/>
  <c r="ER25" i="14"/>
  <c r="E42" i="22"/>
  <c r="BW156" i="10"/>
  <c r="BW173" i="10"/>
  <c r="BU189" i="10" s="1"/>
  <c r="BX173" i="10"/>
  <c r="BX156" i="10"/>
  <c r="DG41" i="14"/>
  <c r="FD32" i="14"/>
  <c r="MH71" i="14"/>
  <c r="CK62" i="14"/>
  <c r="J48" i="22"/>
  <c r="FD53" i="14"/>
  <c r="CY59" i="14"/>
  <c r="J47" i="23" s="1"/>
  <c r="FF61" i="14"/>
  <c r="K49" i="23" s="1"/>
  <c r="I49" i="21"/>
  <c r="I19" i="21" s="1"/>
  <c r="BD57" i="14"/>
  <c r="BE57" i="14" s="1"/>
  <c r="AS168" i="10"/>
  <c r="AT168" i="10"/>
  <c r="J44" i="22"/>
  <c r="CK58" i="14"/>
  <c r="CY58" i="14" s="1"/>
  <c r="J46" i="23" s="1"/>
  <c r="F56" i="21"/>
  <c r="F26" i="21" s="1"/>
  <c r="HY33" i="14"/>
  <c r="HZ33" i="14" s="1"/>
  <c r="JH49" i="14"/>
  <c r="M64" i="9"/>
  <c r="KI49" i="14"/>
  <c r="J48" i="21"/>
  <c r="J18" i="21" s="1"/>
  <c r="DK56" i="14"/>
  <c r="DL56" i="14" s="1"/>
  <c r="CK33" i="14"/>
  <c r="D50" i="22"/>
  <c r="DK57" i="14"/>
  <c r="DL57" i="14" s="1"/>
  <c r="J49" i="21"/>
  <c r="J19" i="21" s="1"/>
  <c r="KF32" i="14"/>
  <c r="KG32" i="14" s="1"/>
  <c r="G55" i="21"/>
  <c r="G25" i="21" s="1"/>
  <c r="DK32" i="14"/>
  <c r="DL32" i="14" s="1"/>
  <c r="D55" i="21"/>
  <c r="D25" i="21" s="1"/>
  <c r="D42" i="22"/>
  <c r="CK25" i="14"/>
  <c r="MA24" i="14"/>
  <c r="AE28" i="14"/>
  <c r="C16" i="9"/>
  <c r="M86" i="23"/>
  <c r="KK68" i="14"/>
  <c r="M26" i="23" s="1"/>
  <c r="CK64" i="14"/>
  <c r="J50" i="22"/>
  <c r="JR71" i="14"/>
  <c r="FD37" i="14"/>
  <c r="K46" i="22"/>
  <c r="ER60" i="14"/>
  <c r="FF60" i="14" s="1"/>
  <c r="K48" i="23" s="1"/>
  <c r="CX37" i="14"/>
  <c r="I41" i="22"/>
  <c r="AD55" i="14"/>
  <c r="CA156" i="19"/>
  <c r="CA173" i="19"/>
  <c r="CB173" i="19"/>
  <c r="CB156" i="19"/>
  <c r="BS208" i="10"/>
  <c r="BT207" i="10"/>
  <c r="BS206" i="10"/>
  <c r="BT208" i="10"/>
  <c r="BS209" i="10"/>
  <c r="BS207" i="10"/>
  <c r="BT206" i="10"/>
  <c r="BT209" i="10"/>
  <c r="GY30" i="14"/>
  <c r="F47" i="22"/>
  <c r="JR50" i="14"/>
  <c r="FE28" i="14"/>
  <c r="AG554" i="10"/>
  <c r="AH553" i="10"/>
  <c r="AI553" i="10" s="1"/>
  <c r="N72" i="23"/>
  <c r="MR54" i="14"/>
  <c r="N12" i="23" s="1"/>
  <c r="BL191" i="10"/>
  <c r="BK191" i="10"/>
  <c r="BL194" i="10"/>
  <c r="BL192" i="10"/>
  <c r="BK192" i="10"/>
  <c r="BK193" i="10"/>
  <c r="BL193" i="10"/>
  <c r="BK194" i="10"/>
  <c r="FE58" i="14"/>
  <c r="BN192" i="10"/>
  <c r="BM191" i="10"/>
  <c r="BN194" i="10"/>
  <c r="BM192" i="10"/>
  <c r="BN193" i="10"/>
  <c r="BN191" i="10"/>
  <c r="BM193" i="10"/>
  <c r="BM194" i="10"/>
  <c r="CW38" i="14"/>
  <c r="MH52" i="14"/>
  <c r="LY52" i="14"/>
  <c r="MI52" i="14"/>
  <c r="I85" i="9"/>
  <c r="BG70" i="14"/>
  <c r="AF70" i="14"/>
  <c r="BV186" i="19"/>
  <c r="BV189" i="19"/>
  <c r="BV188" i="19"/>
  <c r="BU186" i="19"/>
  <c r="BU187" i="19"/>
  <c r="BU188" i="19"/>
  <c r="BV187" i="19"/>
  <c r="BU189" i="19"/>
  <c r="U490" i="10"/>
  <c r="V489" i="10"/>
  <c r="W489" i="10" s="1"/>
  <c r="J51" i="22"/>
  <c r="CK65" i="14"/>
  <c r="BU193" i="10"/>
  <c r="BV192" i="10"/>
  <c r="BU192" i="10"/>
  <c r="BV191" i="10"/>
  <c r="BV194" i="10"/>
  <c r="BU191" i="10"/>
  <c r="BU194" i="10"/>
  <c r="BV193" i="10"/>
  <c r="K72" i="23"/>
  <c r="FW54" i="14"/>
  <c r="K12" i="23" s="1"/>
  <c r="CX40" i="14"/>
  <c r="G51" i="9"/>
  <c r="IZ34" i="14"/>
  <c r="BD56" i="14"/>
  <c r="BE56" i="14" s="1"/>
  <c r="I48" i="21"/>
  <c r="I18" i="21" s="1"/>
  <c r="CX28" i="14"/>
  <c r="FE51" i="14"/>
  <c r="JS39" i="14"/>
  <c r="CD182" i="19"/>
  <c r="CD189" i="19"/>
  <c r="CF186" i="19"/>
  <c r="CF183" i="19"/>
  <c r="CW35" i="14"/>
  <c r="JF65" i="14"/>
  <c r="M51" i="22"/>
  <c r="GY35" i="14"/>
  <c r="F52" i="22"/>
  <c r="AJ222" i="16"/>
  <c r="AH280" i="16" s="1"/>
  <c r="AI222" i="16"/>
  <c r="AF280" i="16" s="1"/>
  <c r="AE280" i="16" s="1"/>
  <c r="CY61" i="14"/>
  <c r="J49" i="23" s="1"/>
  <c r="CK66" i="14"/>
  <c r="J52" i="22"/>
  <c r="HU52" i="14"/>
  <c r="JR33" i="14"/>
  <c r="MH57" i="14"/>
  <c r="CF192" i="16"/>
  <c r="CH193" i="16"/>
  <c r="CH196" i="16"/>
  <c r="CF199" i="16"/>
  <c r="LZ67" i="14"/>
  <c r="EK56" i="14"/>
  <c r="K13" i="22" s="1"/>
  <c r="AZ209" i="16"/>
  <c r="AY209" i="16"/>
  <c r="AZ206" i="16"/>
  <c r="AZ208" i="16"/>
  <c r="AY206" i="16"/>
  <c r="AY207" i="16"/>
  <c r="AY208" i="16"/>
  <c r="AZ207" i="16"/>
  <c r="JS53" i="14"/>
  <c r="JR53" i="14"/>
  <c r="KA38" i="14"/>
  <c r="DF70" i="14"/>
  <c r="DG70" i="14"/>
  <c r="JS26" i="14"/>
  <c r="KA26" i="14"/>
  <c r="KC26" i="14" s="1"/>
  <c r="BY172" i="10"/>
  <c r="BZ172" i="10"/>
  <c r="AO189" i="19"/>
  <c r="AQ183" i="19"/>
  <c r="AO182" i="19"/>
  <c r="AQ186" i="19"/>
  <c r="HK31" i="14"/>
  <c r="EL26" i="14"/>
  <c r="E43" i="9"/>
  <c r="BK173" i="16"/>
  <c r="BL173" i="16"/>
  <c r="BK156" i="16"/>
  <c r="MH32" i="14"/>
  <c r="MJ32" i="14" s="1"/>
  <c r="LZ32" i="14"/>
  <c r="AM542" i="10"/>
  <c r="AN541" i="10"/>
  <c r="AO541" i="10" s="1"/>
  <c r="BA60" i="14"/>
  <c r="CY63" i="14"/>
  <c r="J51" i="23" s="1"/>
  <c r="LM60" i="14"/>
  <c r="N46" i="22"/>
  <c r="MA59" i="14"/>
  <c r="N47" i="23" s="1"/>
  <c r="JS67" i="14"/>
  <c r="AP69" i="14"/>
  <c r="N54" i="21"/>
  <c r="N24" i="21" s="1"/>
  <c r="MM62" i="14"/>
  <c r="MN62" i="14" s="1"/>
  <c r="AQ71" i="14"/>
  <c r="F67" i="9"/>
  <c r="IB21" i="14"/>
  <c r="HA21" i="14"/>
  <c r="DG22" i="14"/>
  <c r="CD173" i="10"/>
  <c r="CC173" i="10"/>
  <c r="CC156" i="10"/>
  <c r="CD156" i="10"/>
  <c r="CG156" i="16"/>
  <c r="CG173" i="16"/>
  <c r="CH173" i="16"/>
  <c r="CH156" i="16"/>
  <c r="KA20" i="14"/>
  <c r="CW71" i="14"/>
  <c r="AD196" i="10"/>
  <c r="AC197" i="10"/>
  <c r="HL24" i="14"/>
  <c r="FO27" i="14"/>
  <c r="E52" i="21"/>
  <c r="E22" i="21" s="1"/>
  <c r="FR29" i="14"/>
  <c r="FS29" i="14" s="1"/>
  <c r="CF182" i="10"/>
  <c r="CF189" i="10"/>
  <c r="CH183" i="10"/>
  <c r="CH186" i="10"/>
  <c r="AO156" i="16"/>
  <c r="AP173" i="16"/>
  <c r="AO173" i="16"/>
  <c r="AP156" i="16"/>
  <c r="HY57" i="14"/>
  <c r="HZ57" i="14" s="1"/>
  <c r="L49" i="21"/>
  <c r="L19" i="21" s="1"/>
  <c r="CC174" i="16"/>
  <c r="CD174" i="16"/>
  <c r="CD157" i="16"/>
  <c r="AW168" i="19"/>
  <c r="AX168" i="19"/>
  <c r="FN20" i="14"/>
  <c r="BB172" i="16"/>
  <c r="BA172" i="16"/>
  <c r="AU172" i="19"/>
  <c r="AV172" i="19"/>
  <c r="BZ184" i="10"/>
  <c r="CB181" i="10"/>
  <c r="BM184" i="10"/>
  <c r="BO181" i="10"/>
  <c r="AC197" i="19"/>
  <c r="AD196" i="19"/>
  <c r="DF26" i="14"/>
  <c r="DH26" i="14" s="1"/>
  <c r="CD26" i="14"/>
  <c r="D14" i="22" s="1"/>
  <c r="MN35" i="14"/>
  <c r="CX41" i="14"/>
  <c r="HT68" i="14"/>
  <c r="CX20" i="14"/>
  <c r="KA66" i="14"/>
  <c r="KA68" i="14"/>
  <c r="FE32" i="14"/>
  <c r="MI71" i="14"/>
  <c r="LY71" i="14"/>
  <c r="AW186" i="10"/>
  <c r="AU189" i="10"/>
  <c r="AW183" i="10"/>
  <c r="AU182" i="10"/>
  <c r="CY54" i="14"/>
  <c r="MA29" i="14"/>
  <c r="H48" i="23" s="1"/>
  <c r="MJ55" i="14"/>
  <c r="FE53" i="14"/>
  <c r="HK56" i="14"/>
  <c r="AR191" i="16"/>
  <c r="AP194" i="16"/>
  <c r="AR188" i="16"/>
  <c r="AP187" i="16"/>
  <c r="DN23" i="14"/>
  <c r="DO23" i="14" s="1"/>
  <c r="D69" i="9"/>
  <c r="CM23" i="14"/>
  <c r="FO31" i="14"/>
  <c r="F82" i="9"/>
  <c r="IB36" i="14"/>
  <c r="HA36" i="14"/>
  <c r="AY172" i="10"/>
  <c r="AW184" i="10" s="1"/>
  <c r="AZ172" i="10"/>
  <c r="AX184" i="10" s="1"/>
  <c r="MH30" i="14"/>
  <c r="MJ30" i="14" s="1"/>
  <c r="L85" i="23"/>
  <c r="ID67" i="14"/>
  <c r="L25" i="23" s="1"/>
  <c r="KB56" i="14"/>
  <c r="HV62" i="14"/>
  <c r="BY196" i="16"/>
  <c r="BY193" i="16"/>
  <c r="BW192" i="16"/>
  <c r="BW199" i="16"/>
  <c r="JT60" i="14"/>
  <c r="M48" i="23" s="1"/>
  <c r="CI156" i="16"/>
  <c r="CJ173" i="16"/>
  <c r="CI173" i="16"/>
  <c r="HK69" i="14"/>
  <c r="HL39" i="14"/>
  <c r="HK40" i="14"/>
  <c r="HL40" i="14"/>
  <c r="CX18" i="14"/>
  <c r="DH63" i="14"/>
  <c r="KC29" i="14"/>
  <c r="E41" i="9"/>
  <c r="EL24" i="14"/>
  <c r="FE23" i="14"/>
  <c r="FN23" i="14"/>
  <c r="U537" i="10"/>
  <c r="V536" i="10"/>
  <c r="W536" i="10" s="1"/>
  <c r="BW183" i="19"/>
  <c r="BW186" i="19"/>
  <c r="BU182" i="19"/>
  <c r="BV182" i="19"/>
  <c r="IZ28" i="14"/>
  <c r="G45" i="9"/>
  <c r="CJ34" i="14"/>
  <c r="GS61" i="14"/>
  <c r="L47" i="9"/>
  <c r="BG196" i="16"/>
  <c r="BG193" i="16"/>
  <c r="FD69" i="14"/>
  <c r="HT21" i="14"/>
  <c r="AO183" i="10"/>
  <c r="AO186" i="10"/>
  <c r="I52" i="23" l="1"/>
  <c r="BI64" i="14"/>
  <c r="I22" i="23" s="1"/>
  <c r="E7" i="26"/>
  <c r="E7" i="25"/>
  <c r="H54" i="23"/>
  <c r="MR35" i="14"/>
  <c r="H24" i="23" s="1"/>
  <c r="FF28" i="14"/>
  <c r="E47" i="23" s="1"/>
  <c r="CC183" i="10"/>
  <c r="CC186" i="10"/>
  <c r="CA182" i="10"/>
  <c r="CA189" i="10"/>
  <c r="E14" i="9"/>
  <c r="ES26" i="14"/>
  <c r="C547" i="10"/>
  <c r="D546" i="10"/>
  <c r="E546" i="10" s="1"/>
  <c r="AV184" i="10"/>
  <c r="AX181" i="10"/>
  <c r="CF181" i="19"/>
  <c r="CD184" i="19"/>
  <c r="DM59" i="14"/>
  <c r="J99" i="14"/>
  <c r="C81" i="23"/>
  <c r="BI32" i="14"/>
  <c r="C21" i="23" s="1"/>
  <c r="CC169" i="16"/>
  <c r="CD169" i="16"/>
  <c r="CJ181" i="19"/>
  <c r="CH184" i="19"/>
  <c r="J42" i="9"/>
  <c r="CE56" i="14"/>
  <c r="MO56" i="14"/>
  <c r="N96" i="14"/>
  <c r="AN542" i="10"/>
  <c r="AO542" i="10" s="1"/>
  <c r="AM543" i="10"/>
  <c r="D48" i="9"/>
  <c r="CE31" i="14"/>
  <c r="CY31" i="14"/>
  <c r="D50" i="23" s="1"/>
  <c r="F54" i="23"/>
  <c r="ID35" i="14"/>
  <c r="F24" i="23" s="1"/>
  <c r="GS60" i="14"/>
  <c r="L46" i="9"/>
  <c r="I98" i="14"/>
  <c r="BF58" i="14"/>
  <c r="AU184" i="10"/>
  <c r="AW181" i="10"/>
  <c r="KC27" i="14"/>
  <c r="LG65" i="14"/>
  <c r="N51" i="9"/>
  <c r="L54" i="21"/>
  <c r="L24" i="21" s="1"/>
  <c r="HY62" i="14"/>
  <c r="HZ62" i="14" s="1"/>
  <c r="AG555" i="10"/>
  <c r="AH554" i="10"/>
  <c r="AI554" i="10" s="1"/>
  <c r="N71" i="23"/>
  <c r="MR53" i="14"/>
  <c r="N11" i="23" s="1"/>
  <c r="HY65" i="14"/>
  <c r="HZ65" i="14" s="1"/>
  <c r="L57" i="21"/>
  <c r="L27" i="21" s="1"/>
  <c r="J104" i="14"/>
  <c r="I42" i="23"/>
  <c r="BI54" i="14"/>
  <c r="I12" i="23" s="1"/>
  <c r="BE172" i="19"/>
  <c r="BF172" i="19"/>
  <c r="M17" i="9"/>
  <c r="JG60" i="14"/>
  <c r="L72" i="23"/>
  <c r="ID54" i="14"/>
  <c r="L12" i="23" s="1"/>
  <c r="GS63" i="14"/>
  <c r="L49" i="9"/>
  <c r="M102" i="14"/>
  <c r="FT64" i="14"/>
  <c r="K104" i="14"/>
  <c r="CJ183" i="16"/>
  <c r="CJ186" i="16"/>
  <c r="CH189" i="16"/>
  <c r="CH182" i="16"/>
  <c r="CF189" i="16"/>
  <c r="CH183" i="16"/>
  <c r="CF182" i="16"/>
  <c r="CH186" i="16"/>
  <c r="CC182" i="10"/>
  <c r="CC189" i="10"/>
  <c r="CE186" i="10"/>
  <c r="CE183" i="10"/>
  <c r="CL54" i="14"/>
  <c r="J11" i="9"/>
  <c r="H106" i="14"/>
  <c r="G106" i="14"/>
  <c r="KH35" i="14"/>
  <c r="MO31" i="14"/>
  <c r="F102" i="14"/>
  <c r="BE156" i="10"/>
  <c r="BE173" i="10"/>
  <c r="BF173" i="10"/>
  <c r="CY28" i="14"/>
  <c r="D47" i="23" s="1"/>
  <c r="AU173" i="16"/>
  <c r="AV173" i="16"/>
  <c r="AV156" i="16"/>
  <c r="EL32" i="14"/>
  <c r="E49" i="9"/>
  <c r="GS33" i="14"/>
  <c r="F50" i="9"/>
  <c r="HM33" i="14"/>
  <c r="F52" i="23" s="1"/>
  <c r="M52" i="21"/>
  <c r="M22" i="21" s="1"/>
  <c r="KF60" i="14"/>
  <c r="KG60" i="14" s="1"/>
  <c r="E104" i="14"/>
  <c r="ER28" i="14"/>
  <c r="E45" i="22"/>
  <c r="AX172" i="19"/>
  <c r="AW172" i="19"/>
  <c r="I15" i="9"/>
  <c r="AE58" i="14"/>
  <c r="IA28" i="14"/>
  <c r="F99" i="14"/>
  <c r="J55" i="21"/>
  <c r="J25" i="21" s="1"/>
  <c r="DK63" i="14"/>
  <c r="DL63" i="14" s="1"/>
  <c r="CJ172" i="16"/>
  <c r="CI172" i="16"/>
  <c r="FR31" i="14"/>
  <c r="FS31" i="14" s="1"/>
  <c r="E54" i="21"/>
  <c r="E24" i="21" s="1"/>
  <c r="HM56" i="14"/>
  <c r="L44" i="23" s="1"/>
  <c r="AW169" i="19"/>
  <c r="AX169" i="19"/>
  <c r="AP186" i="16"/>
  <c r="AP183" i="16"/>
  <c r="E50" i="21"/>
  <c r="E20" i="21" s="1"/>
  <c r="FR27" i="14"/>
  <c r="FS27" i="14" s="1"/>
  <c r="CG183" i="16"/>
  <c r="CE189" i="16"/>
  <c r="CG186" i="16"/>
  <c r="CE182" i="16"/>
  <c r="BK172" i="16"/>
  <c r="BK181" i="16" s="1"/>
  <c r="BL172" i="16"/>
  <c r="BL181" i="16" s="1"/>
  <c r="D103" i="14"/>
  <c r="DM32" i="14"/>
  <c r="CE62" i="14"/>
  <c r="J48" i="9"/>
  <c r="BS182" i="10"/>
  <c r="BH172" i="10"/>
  <c r="BG172" i="10"/>
  <c r="CE172" i="10"/>
  <c r="CF172" i="10"/>
  <c r="E96" i="14"/>
  <c r="N103" i="14"/>
  <c r="AB5" i="15"/>
  <c r="I547" i="10"/>
  <c r="J546" i="10"/>
  <c r="K546" i="10" s="1"/>
  <c r="HY61" i="14"/>
  <c r="HZ61" i="14" s="1"/>
  <c r="L53" i="21"/>
  <c r="L23" i="21" s="1"/>
  <c r="K55" i="21"/>
  <c r="K25" i="21" s="1"/>
  <c r="FR63" i="14"/>
  <c r="FS63" i="14" s="1"/>
  <c r="CD183" i="19"/>
  <c r="CD186" i="19"/>
  <c r="CB182" i="19"/>
  <c r="CB189" i="19"/>
  <c r="F98" i="14"/>
  <c r="IA27" i="14"/>
  <c r="L45" i="9"/>
  <c r="GS59" i="14"/>
  <c r="BQ172" i="10"/>
  <c r="BR172" i="10"/>
  <c r="GS32" i="14"/>
  <c r="F49" i="9"/>
  <c r="LG31" i="14"/>
  <c r="H48" i="9"/>
  <c r="E17" i="9"/>
  <c r="ES29" i="14"/>
  <c r="LG30" i="14"/>
  <c r="H47" i="9"/>
  <c r="BO183" i="19"/>
  <c r="BM182" i="19"/>
  <c r="BO186" i="19"/>
  <c r="F13" i="9"/>
  <c r="GZ25" i="14"/>
  <c r="BS186" i="16"/>
  <c r="BQ189" i="16"/>
  <c r="J47" i="21"/>
  <c r="J17" i="21" s="1"/>
  <c r="DK55" i="14"/>
  <c r="DL55" i="14" s="1"/>
  <c r="H42" i="9"/>
  <c r="LG25" i="14"/>
  <c r="AX181" i="16"/>
  <c r="AV184" i="16"/>
  <c r="GY65" i="14"/>
  <c r="L51" i="22"/>
  <c r="CF172" i="16"/>
  <c r="CE172" i="16"/>
  <c r="BS189" i="10"/>
  <c r="N87" i="23"/>
  <c r="MR69" i="14"/>
  <c r="N27" i="23" s="1"/>
  <c r="AG251" i="10"/>
  <c r="AC252" i="10"/>
  <c r="BS183" i="10"/>
  <c r="BQ182" i="10"/>
  <c r="AS187" i="16"/>
  <c r="AS194" i="16"/>
  <c r="AU188" i="16"/>
  <c r="AU191" i="16"/>
  <c r="BO182" i="19"/>
  <c r="BO189" i="19"/>
  <c r="BQ183" i="19"/>
  <c r="N98" i="14"/>
  <c r="CE24" i="14"/>
  <c r="D41" i="9"/>
  <c r="CY24" i="14"/>
  <c r="D43" i="23" s="1"/>
  <c r="AS172" i="16"/>
  <c r="AT172" i="16"/>
  <c r="CE169" i="19"/>
  <c r="CF169" i="19"/>
  <c r="BD61" i="14"/>
  <c r="BE61" i="14" s="1"/>
  <c r="I53" i="21"/>
  <c r="I23" i="21" s="1"/>
  <c r="L44" i="9"/>
  <c r="GS58" i="14"/>
  <c r="CE189" i="19"/>
  <c r="CE182" i="19"/>
  <c r="CG186" i="19"/>
  <c r="CG183" i="19"/>
  <c r="F51" i="9"/>
  <c r="GS34" i="14"/>
  <c r="JG59" i="14"/>
  <c r="M16" i="9"/>
  <c r="BD66" i="14"/>
  <c r="BE66" i="14" s="1"/>
  <c r="I58" i="21"/>
  <c r="I28" i="21" s="1"/>
  <c r="K16" i="9"/>
  <c r="ES59" i="14"/>
  <c r="BH172" i="19"/>
  <c r="BG172" i="19"/>
  <c r="AZ172" i="19"/>
  <c r="AX184" i="19" s="1"/>
  <c r="AY172" i="19"/>
  <c r="AW184" i="19" s="1"/>
  <c r="EL57" i="14"/>
  <c r="K43" i="9"/>
  <c r="FF57" i="14"/>
  <c r="K45" i="23" s="1"/>
  <c r="D47" i="21"/>
  <c r="D17" i="21" s="1"/>
  <c r="DK24" i="14"/>
  <c r="DL24" i="14" s="1"/>
  <c r="CY56" i="14"/>
  <c r="J44" i="23" s="1"/>
  <c r="H49" i="22"/>
  <c r="LM32" i="14"/>
  <c r="MA32" i="14" s="1"/>
  <c r="DH28" i="14"/>
  <c r="AW183" i="19"/>
  <c r="AU189" i="19"/>
  <c r="AU182" i="19"/>
  <c r="AW186" i="19"/>
  <c r="M97" i="14"/>
  <c r="KH57" i="14"/>
  <c r="MM26" i="14"/>
  <c r="MN26" i="14" s="1"/>
  <c r="MO26" i="14" s="1"/>
  <c r="H49" i="21"/>
  <c r="H19" i="21" s="1"/>
  <c r="N105" i="14"/>
  <c r="AE196" i="19"/>
  <c r="AH196" i="19" s="1"/>
  <c r="AG196" i="19"/>
  <c r="AE224" i="16"/>
  <c r="AH224" i="16" s="1"/>
  <c r="AG224" i="16"/>
  <c r="AQ181" i="19"/>
  <c r="AO184" i="19"/>
  <c r="H57" i="21"/>
  <c r="H27" i="21" s="1"/>
  <c r="MM34" i="14"/>
  <c r="MN34" i="14" s="1"/>
  <c r="C7" i="25"/>
  <c r="C7" i="26"/>
  <c r="M41" i="9"/>
  <c r="IZ55" i="14"/>
  <c r="JT55" i="14"/>
  <c r="M43" i="23" s="1"/>
  <c r="EL33" i="14"/>
  <c r="E50" i="9"/>
  <c r="CE55" i="14"/>
  <c r="J41" i="9"/>
  <c r="EL63" i="14"/>
  <c r="K49" i="9"/>
  <c r="CI181" i="10"/>
  <c r="CG184" i="10"/>
  <c r="CB189" i="10"/>
  <c r="CB182" i="10"/>
  <c r="CD183" i="10"/>
  <c r="CD186" i="10"/>
  <c r="N44" i="9"/>
  <c r="LG58" i="14"/>
  <c r="C73" i="9"/>
  <c r="C73" i="22" s="1"/>
  <c r="AF27" i="14"/>
  <c r="BG27" i="14"/>
  <c r="BH27" i="14" s="1"/>
  <c r="J54" i="23"/>
  <c r="DP66" i="14"/>
  <c r="J24" i="23" s="1"/>
  <c r="CC184" i="19"/>
  <c r="CE181" i="19"/>
  <c r="KF34" i="14"/>
  <c r="KG34" i="14" s="1"/>
  <c r="G57" i="21"/>
  <c r="G27" i="21" s="1"/>
  <c r="EL31" i="14"/>
  <c r="E48" i="9"/>
  <c r="LG63" i="14"/>
  <c r="N49" i="9"/>
  <c r="IZ61" i="14"/>
  <c r="M47" i="9"/>
  <c r="MO64" i="14"/>
  <c r="N104" i="14"/>
  <c r="CG182" i="16"/>
  <c r="CI183" i="16"/>
  <c r="CI186" i="16"/>
  <c r="CG189" i="16"/>
  <c r="CE33" i="14"/>
  <c r="D50" i="9"/>
  <c r="CE30" i="14"/>
  <c r="D47" i="9"/>
  <c r="C75" i="23"/>
  <c r="BI26" i="14"/>
  <c r="C15" i="23" s="1"/>
  <c r="KH24" i="14"/>
  <c r="G95" i="14"/>
  <c r="H95" i="14"/>
  <c r="AT172" i="19"/>
  <c r="AS172" i="19"/>
  <c r="AJ195" i="10"/>
  <c r="AH253" i="10" s="1"/>
  <c r="AI195" i="10"/>
  <c r="AF253" i="10" s="1"/>
  <c r="AE253" i="10" s="1"/>
  <c r="D45" i="22"/>
  <c r="CK28" i="14"/>
  <c r="E72" i="23"/>
  <c r="FW23" i="14"/>
  <c r="E12" i="23" s="1"/>
  <c r="G54" i="23"/>
  <c r="KK35" i="14"/>
  <c r="G24" i="23" s="1"/>
  <c r="L48" i="21"/>
  <c r="L18" i="21" s="1"/>
  <c r="HY56" i="14"/>
  <c r="HZ56" i="14" s="1"/>
  <c r="C75" i="9"/>
  <c r="C75" i="22" s="1"/>
  <c r="AF29" i="14"/>
  <c r="BG29" i="14"/>
  <c r="BH29" i="14" s="1"/>
  <c r="BR181" i="16"/>
  <c r="CD189" i="16"/>
  <c r="CF186" i="16"/>
  <c r="CD182" i="16"/>
  <c r="CF183" i="16"/>
  <c r="DK31" i="14"/>
  <c r="DL31" i="14" s="1"/>
  <c r="D54" i="21"/>
  <c r="D24" i="21" s="1"/>
  <c r="X59" i="14"/>
  <c r="I45" i="9"/>
  <c r="IA29" i="14"/>
  <c r="F100" i="14"/>
  <c r="G43" i="22"/>
  <c r="JF26" i="14"/>
  <c r="IA32" i="14"/>
  <c r="F103" i="14"/>
  <c r="KF29" i="14"/>
  <c r="KG29" i="14" s="1"/>
  <c r="G52" i="21"/>
  <c r="G22" i="21" s="1"/>
  <c r="J51" i="9"/>
  <c r="CE65" i="14"/>
  <c r="CE64" i="14"/>
  <c r="J50" i="9"/>
  <c r="CY64" i="14"/>
  <c r="J52" i="23" s="1"/>
  <c r="BW172" i="10"/>
  <c r="BX172" i="10"/>
  <c r="BX181" i="10" s="1"/>
  <c r="H40" i="9"/>
  <c r="LG23" i="14"/>
  <c r="DM54" i="14"/>
  <c r="J94" i="14"/>
  <c r="MO23" i="14"/>
  <c r="F49" i="21"/>
  <c r="F19" i="21" s="1"/>
  <c r="HY26" i="14"/>
  <c r="HZ26" i="14" s="1"/>
  <c r="GZ62" i="14"/>
  <c r="L19" i="9"/>
  <c r="BN182" i="19"/>
  <c r="BP183" i="19"/>
  <c r="BP186" i="19"/>
  <c r="BR189" i="16"/>
  <c r="BT186" i="16"/>
  <c r="MA23" i="14"/>
  <c r="BS182" i="16"/>
  <c r="X62" i="14"/>
  <c r="I48" i="9"/>
  <c r="E84" i="23"/>
  <c r="FW35" i="14"/>
  <c r="E24" i="23" s="1"/>
  <c r="MO35" i="14"/>
  <c r="CD173" i="16"/>
  <c r="CC173" i="16"/>
  <c r="CD156" i="16"/>
  <c r="AO172" i="16"/>
  <c r="AO181" i="16" s="1"/>
  <c r="AP172" i="16"/>
  <c r="AP181" i="16" s="1"/>
  <c r="CH172" i="16"/>
  <c r="CG172" i="16"/>
  <c r="LG60" i="14"/>
  <c r="N46" i="9"/>
  <c r="MA60" i="14"/>
  <c r="N48" i="23" s="1"/>
  <c r="BJ189" i="16"/>
  <c r="BL186" i="16"/>
  <c r="AR59" i="14"/>
  <c r="I47" i="23" s="1"/>
  <c r="I96" i="14"/>
  <c r="BF56" i="14"/>
  <c r="AS169" i="10"/>
  <c r="AT169" i="10"/>
  <c r="E42" i="9"/>
  <c r="EL25" i="14"/>
  <c r="FF25" i="14"/>
  <c r="E44" i="23" s="1"/>
  <c r="MO27" i="14"/>
  <c r="GS64" i="14"/>
  <c r="L50" i="9"/>
  <c r="AW169" i="16"/>
  <c r="AX169" i="16"/>
  <c r="BI172" i="19"/>
  <c r="BJ172" i="19"/>
  <c r="IA59" i="14"/>
  <c r="L99" i="14"/>
  <c r="M71" i="23"/>
  <c r="KK53" i="14"/>
  <c r="M11" i="23" s="1"/>
  <c r="M85" i="23"/>
  <c r="KK67" i="14"/>
  <c r="M25" i="23" s="1"/>
  <c r="AX187" i="16"/>
  <c r="AX194" i="16"/>
  <c r="KC25" i="14"/>
  <c r="MA58" i="14"/>
  <c r="N46" i="23" s="1"/>
  <c r="CC172" i="19"/>
  <c r="CD172" i="19"/>
  <c r="JT23" i="14"/>
  <c r="BO182" i="10"/>
  <c r="BQ183" i="10"/>
  <c r="BO189" i="10"/>
  <c r="DK58" i="14"/>
  <c r="DL58" i="14" s="1"/>
  <c r="J50" i="21"/>
  <c r="J20" i="21" s="1"/>
  <c r="BI191" i="16"/>
  <c r="BI188" i="16"/>
  <c r="BG194" i="16"/>
  <c r="EL27" i="14"/>
  <c r="E44" i="9"/>
  <c r="FF27" i="14"/>
  <c r="E46" i="23" s="1"/>
  <c r="F41" i="22"/>
  <c r="GY24" i="14"/>
  <c r="HM24" i="14" s="1"/>
  <c r="AQ169" i="19"/>
  <c r="AR169" i="19"/>
  <c r="I17" i="9"/>
  <c r="AE60" i="14"/>
  <c r="MO59" i="14"/>
  <c r="BP172" i="19"/>
  <c r="BO172" i="19"/>
  <c r="D49" i="9"/>
  <c r="CE32" i="14"/>
  <c r="CE57" i="14"/>
  <c r="J43" i="9"/>
  <c r="H44" i="9"/>
  <c r="LG27" i="14"/>
  <c r="AU169" i="19"/>
  <c r="AV169" i="19"/>
  <c r="DK27" i="14"/>
  <c r="DL27" i="14" s="1"/>
  <c r="D50" i="21"/>
  <c r="D20" i="21" s="1"/>
  <c r="BS172" i="16"/>
  <c r="BT172" i="16"/>
  <c r="BE172" i="16"/>
  <c r="BF172" i="16"/>
  <c r="AU184" i="16"/>
  <c r="AW181" i="16"/>
  <c r="LG29" i="14"/>
  <c r="H46" i="9"/>
  <c r="BR182" i="16"/>
  <c r="G102" i="14"/>
  <c r="H102" i="14"/>
  <c r="AP172" i="19"/>
  <c r="AP181" i="19" s="1"/>
  <c r="AO172" i="19"/>
  <c r="AO181" i="19" s="1"/>
  <c r="CE59" i="14"/>
  <c r="J45" i="9"/>
  <c r="X61" i="14"/>
  <c r="I47" i="9"/>
  <c r="BN191" i="16"/>
  <c r="BL194" i="16"/>
  <c r="BL187" i="16"/>
  <c r="BN188" i="16"/>
  <c r="M104" i="14"/>
  <c r="KH64" i="14"/>
  <c r="AR172" i="10"/>
  <c r="AQ172" i="10"/>
  <c r="BQ186" i="10"/>
  <c r="BT183" i="10"/>
  <c r="BR182" i="10"/>
  <c r="D56" i="21"/>
  <c r="D26" i="21" s="1"/>
  <c r="DK33" i="14"/>
  <c r="DL33" i="14" s="1"/>
  <c r="AV191" i="16"/>
  <c r="AT194" i="16"/>
  <c r="AT187" i="16"/>
  <c r="AV188" i="16"/>
  <c r="I49" i="9"/>
  <c r="X63" i="14"/>
  <c r="BP182" i="19"/>
  <c r="BR183" i="19"/>
  <c r="BP189" i="19"/>
  <c r="IZ30" i="14"/>
  <c r="G47" i="9"/>
  <c r="CA169" i="19"/>
  <c r="CB169" i="19"/>
  <c r="AS186" i="16"/>
  <c r="AS183" i="16"/>
  <c r="AQ182" i="16"/>
  <c r="AQ189" i="16"/>
  <c r="JF23" i="14"/>
  <c r="G40" i="22"/>
  <c r="I55" i="21"/>
  <c r="I25" i="21" s="1"/>
  <c r="BD63" i="14"/>
  <c r="BE63" i="14" s="1"/>
  <c r="JF33" i="14"/>
  <c r="G50" i="22"/>
  <c r="AX182" i="19"/>
  <c r="AX189" i="19"/>
  <c r="KH59" i="14"/>
  <c r="M99" i="14"/>
  <c r="AV182" i="19"/>
  <c r="AX186" i="19"/>
  <c r="AX183" i="19"/>
  <c r="AV189" i="19"/>
  <c r="CE26" i="14"/>
  <c r="D43" i="9"/>
  <c r="MO33" i="14"/>
  <c r="DM29" i="14"/>
  <c r="D100" i="14"/>
  <c r="G16" i="9"/>
  <c r="JG28" i="14"/>
  <c r="J42" i="23"/>
  <c r="DP54" i="14"/>
  <c r="J12" i="23" s="1"/>
  <c r="G49" i="21"/>
  <c r="G19" i="21" s="1"/>
  <c r="KF26" i="14"/>
  <c r="KG26" i="14" s="1"/>
  <c r="CB186" i="19"/>
  <c r="CB183" i="19"/>
  <c r="BZ182" i="19"/>
  <c r="BZ189" i="19"/>
  <c r="LN64" i="14"/>
  <c r="N21" i="9"/>
  <c r="N16" i="9"/>
  <c r="LN59" i="14"/>
  <c r="AQ172" i="16"/>
  <c r="AR172" i="16"/>
  <c r="H52" i="23"/>
  <c r="MR33" i="14"/>
  <c r="H22" i="23" s="1"/>
  <c r="BX188" i="16"/>
  <c r="BX191" i="16"/>
  <c r="I43" i="9"/>
  <c r="X57" i="14"/>
  <c r="K95" i="14"/>
  <c r="FT55" i="14"/>
  <c r="K12" i="9"/>
  <c r="ES55" i="14"/>
  <c r="J58" i="21"/>
  <c r="J28" i="21" s="1"/>
  <c r="DK66" i="14"/>
  <c r="DL66" i="14" s="1"/>
  <c r="E105" i="14"/>
  <c r="FT34" i="14"/>
  <c r="EL61" i="14"/>
  <c r="K47" i="9"/>
  <c r="BW187" i="16"/>
  <c r="BY188" i="16"/>
  <c r="BW194" i="16"/>
  <c r="BY191" i="16"/>
  <c r="BS184" i="19"/>
  <c r="BU181" i="19"/>
  <c r="CA183" i="16"/>
  <c r="BY182" i="16"/>
  <c r="CA186" i="16"/>
  <c r="BY189" i="16"/>
  <c r="BM183" i="19"/>
  <c r="BK182" i="19"/>
  <c r="BV172" i="16"/>
  <c r="BV181" i="16" s="1"/>
  <c r="BU172" i="16"/>
  <c r="BU181" i="16" s="1"/>
  <c r="GS31" i="14"/>
  <c r="F48" i="9"/>
  <c r="K100" i="14"/>
  <c r="FT60" i="14"/>
  <c r="HM31" i="14"/>
  <c r="F50" i="23" s="1"/>
  <c r="BY182" i="19"/>
  <c r="CA183" i="19"/>
  <c r="BY189" i="19"/>
  <c r="CA186" i="19"/>
  <c r="D42" i="9"/>
  <c r="CE25" i="14"/>
  <c r="CY25" i="14"/>
  <c r="D44" i="23" s="1"/>
  <c r="AQ182" i="19"/>
  <c r="AS183" i="19"/>
  <c r="AQ189" i="19"/>
  <c r="AS186" i="19"/>
  <c r="LG56" i="14"/>
  <c r="N42" i="9"/>
  <c r="CY55" i="14"/>
  <c r="GS23" i="14"/>
  <c r="F40" i="9"/>
  <c r="F106" i="14"/>
  <c r="IA35" i="14"/>
  <c r="G94" i="14"/>
  <c r="H94" i="14"/>
  <c r="BW181" i="19"/>
  <c r="BU184" i="19"/>
  <c r="BV184" i="19"/>
  <c r="JG58" i="14"/>
  <c r="M15" i="9"/>
  <c r="ES65" i="14"/>
  <c r="K22" i="9"/>
  <c r="F105" i="14"/>
  <c r="IA34" i="14"/>
  <c r="K97" i="14"/>
  <c r="FT57" i="14"/>
  <c r="CI181" i="19"/>
  <c r="CG184" i="19"/>
  <c r="HM55" i="14"/>
  <c r="L43" i="23" s="1"/>
  <c r="F53" i="23"/>
  <c r="ID34" i="14"/>
  <c r="F23" i="23" s="1"/>
  <c r="J52" i="9"/>
  <c r="CE66" i="14"/>
  <c r="BW183" i="10"/>
  <c r="BW186" i="10"/>
  <c r="BU182" i="10"/>
  <c r="BV182" i="10"/>
  <c r="CD182" i="10"/>
  <c r="CD189" i="10"/>
  <c r="CF183" i="10"/>
  <c r="CF186" i="10"/>
  <c r="AI195" i="19"/>
  <c r="AF253" i="19" s="1"/>
  <c r="AE253" i="19" s="1"/>
  <c r="AJ195" i="19"/>
  <c r="AH253" i="19" s="1"/>
  <c r="BF65" i="14"/>
  <c r="I105" i="14"/>
  <c r="IZ64" i="14"/>
  <c r="M50" i="9"/>
  <c r="IZ57" i="14"/>
  <c r="M43" i="9"/>
  <c r="F48" i="21"/>
  <c r="F18" i="21" s="1"/>
  <c r="HY25" i="14"/>
  <c r="HZ25" i="14" s="1"/>
  <c r="H44" i="23"/>
  <c r="MR25" i="14"/>
  <c r="H14" i="23" s="1"/>
  <c r="ER56" i="14"/>
  <c r="K42" i="22"/>
  <c r="MO24" i="14"/>
  <c r="LG24" i="14"/>
  <c r="H41" i="9"/>
  <c r="BS184" i="16"/>
  <c r="K44" i="9"/>
  <c r="EL58" i="14"/>
  <c r="FT62" i="14"/>
  <c r="K102" i="14"/>
  <c r="H55" i="21"/>
  <c r="H25" i="21" s="1"/>
  <c r="MM32" i="14"/>
  <c r="MN32" i="14" s="1"/>
  <c r="I41" i="9"/>
  <c r="X55" i="14"/>
  <c r="AR55" i="14"/>
  <c r="AY156" i="16"/>
  <c r="AY173" i="16"/>
  <c r="AZ173" i="16"/>
  <c r="AZ156" i="16"/>
  <c r="X64" i="14"/>
  <c r="I50" i="9"/>
  <c r="BD172" i="10"/>
  <c r="BC172" i="10"/>
  <c r="CA189" i="19"/>
  <c r="CA182" i="19"/>
  <c r="CC183" i="19"/>
  <c r="CC186" i="19"/>
  <c r="C83" i="23"/>
  <c r="BI34" i="14"/>
  <c r="C23" i="23" s="1"/>
  <c r="CE186" i="16"/>
  <c r="CC189" i="16"/>
  <c r="CE183" i="16"/>
  <c r="CC182" i="16"/>
  <c r="MM60" i="14"/>
  <c r="MN60" i="14" s="1"/>
  <c r="N52" i="21"/>
  <c r="N22" i="21" s="1"/>
  <c r="AO169" i="19"/>
  <c r="AP169" i="19"/>
  <c r="CH186" i="19"/>
  <c r="CH183" i="19"/>
  <c r="CF189" i="19"/>
  <c r="CF182" i="19"/>
  <c r="H53" i="21"/>
  <c r="H23" i="21" s="1"/>
  <c r="MM30" i="14"/>
  <c r="MN30" i="14" s="1"/>
  <c r="MO30" i="14" s="1"/>
  <c r="CB187" i="16"/>
  <c r="CD188" i="16"/>
  <c r="CD191" i="16"/>
  <c r="CB194" i="16"/>
  <c r="BI189" i="16"/>
  <c r="BK186" i="16"/>
  <c r="BZ181" i="10"/>
  <c r="BX184" i="10"/>
  <c r="MJ57" i="14"/>
  <c r="G22" i="9"/>
  <c r="JG34" i="14"/>
  <c r="U491" i="10"/>
  <c r="V490" i="10"/>
  <c r="W490" i="10" s="1"/>
  <c r="GS30" i="14"/>
  <c r="F47" i="9"/>
  <c r="EL60" i="14"/>
  <c r="K46" i="9"/>
  <c r="KH32" i="14"/>
  <c r="H103" i="14"/>
  <c r="G103" i="14"/>
  <c r="BF57" i="14"/>
  <c r="I97" i="14"/>
  <c r="FF32" i="14"/>
  <c r="E51" i="23" s="1"/>
  <c r="BU172" i="10"/>
  <c r="BU181" i="10" s="1"/>
  <c r="BV172" i="10"/>
  <c r="BV181" i="10" s="1"/>
  <c r="BT184" i="10"/>
  <c r="BS184" i="10"/>
  <c r="CG169" i="10"/>
  <c r="CH169" i="10"/>
  <c r="FT26" i="14"/>
  <c r="E97" i="14"/>
  <c r="MA65" i="14"/>
  <c r="N53" i="23" s="1"/>
  <c r="AQ186" i="16"/>
  <c r="AO182" i="16"/>
  <c r="AQ183" i="16"/>
  <c r="AO189" i="16"/>
  <c r="AC253" i="19"/>
  <c r="AG252" i="19"/>
  <c r="C70" i="9"/>
  <c r="C70" i="22" s="1"/>
  <c r="AF24" i="14"/>
  <c r="BG24" i="14"/>
  <c r="BH24" i="14" s="1"/>
  <c r="G17" i="9"/>
  <c r="JG29" i="14"/>
  <c r="D44" i="9"/>
  <c r="CE27" i="14"/>
  <c r="H51" i="22"/>
  <c r="LM34" i="14"/>
  <c r="AW187" i="16"/>
  <c r="AW194" i="16"/>
  <c r="FO56" i="14"/>
  <c r="FR24" i="14"/>
  <c r="FS24" i="14" s="1"/>
  <c r="E47" i="21"/>
  <c r="E17" i="21" s="1"/>
  <c r="IZ35" i="14"/>
  <c r="G52" i="9"/>
  <c r="M50" i="21"/>
  <c r="M20" i="21" s="1"/>
  <c r="KF58" i="14"/>
  <c r="KG58" i="14" s="1"/>
  <c r="M105" i="14"/>
  <c r="KH65" i="14"/>
  <c r="BP182" i="10"/>
  <c r="BP189" i="10"/>
  <c r="BR183" i="10"/>
  <c r="BJ191" i="16"/>
  <c r="BH194" i="16"/>
  <c r="BJ188" i="16"/>
  <c r="HM23" i="14"/>
  <c r="I99" i="14"/>
  <c r="BF59" i="14"/>
  <c r="AO169" i="16"/>
  <c r="AP169" i="16"/>
  <c r="GS29" i="14"/>
  <c r="F46" i="9"/>
  <c r="BK189" i="19"/>
  <c r="CY34" i="14"/>
  <c r="D53" i="23" s="1"/>
  <c r="C80" i="23"/>
  <c r="BI31" i="14"/>
  <c r="C20" i="23" s="1"/>
  <c r="G42" i="22"/>
  <c r="JF25" i="14"/>
  <c r="BG33" i="14"/>
  <c r="BH33" i="14" s="1"/>
  <c r="AF33" i="14"/>
  <c r="C79" i="9"/>
  <c r="C79" i="22" s="1"/>
  <c r="F45" i="9"/>
  <c r="GS28" i="14"/>
  <c r="BQ182" i="16"/>
  <c r="AP183" i="19"/>
  <c r="AP186" i="19"/>
  <c r="E51" i="21"/>
  <c r="E21" i="21" s="1"/>
  <c r="FR28" i="14"/>
  <c r="FS28" i="14" s="1"/>
  <c r="BF62" i="14"/>
  <c r="I102" i="14"/>
  <c r="BK194" i="16"/>
  <c r="BM191" i="16"/>
  <c r="BM188" i="16"/>
  <c r="BK187" i="16"/>
  <c r="CE61" i="14"/>
  <c r="J47" i="9"/>
  <c r="AR183" i="10"/>
  <c r="AR186" i="10"/>
  <c r="AP189" i="10"/>
  <c r="AP182" i="10"/>
  <c r="BZ173" i="16"/>
  <c r="BY173" i="16"/>
  <c r="BZ156" i="16"/>
  <c r="JG24" i="14"/>
  <c r="G12" i="9"/>
  <c r="G56" i="21"/>
  <c r="G26" i="21" s="1"/>
  <c r="KF33" i="14"/>
  <c r="KG33" i="14" s="1"/>
  <c r="BQ172" i="19"/>
  <c r="BR172" i="19"/>
  <c r="M72" i="23"/>
  <c r="KK54" i="14"/>
  <c r="M12" i="23" s="1"/>
  <c r="AT183" i="16"/>
  <c r="AR189" i="16"/>
  <c r="AT186" i="16"/>
  <c r="AR182" i="16"/>
  <c r="H101" i="14"/>
  <c r="G101" i="14"/>
  <c r="KH30" i="14"/>
  <c r="K105" i="14"/>
  <c r="FT65" i="14"/>
  <c r="EL64" i="14"/>
  <c r="K50" i="9"/>
  <c r="AS169" i="19"/>
  <c r="AT169" i="19"/>
  <c r="BT183" i="16"/>
  <c r="CB172" i="16"/>
  <c r="CA172" i="16"/>
  <c r="CY32" i="14"/>
  <c r="D51" i="23" s="1"/>
  <c r="BN183" i="19"/>
  <c r="BL182" i="19"/>
  <c r="IZ63" i="14"/>
  <c r="M49" i="9"/>
  <c r="FO58" i="14"/>
  <c r="EL62" i="14"/>
  <c r="K48" i="9"/>
  <c r="I508" i="10"/>
  <c r="J507" i="10"/>
  <c r="K507" i="10" s="1"/>
  <c r="BS189" i="16"/>
  <c r="HV24" i="14"/>
  <c r="FF63" i="14"/>
  <c r="K51" i="23" s="1"/>
  <c r="IZ62" i="14"/>
  <c r="M48" i="9"/>
  <c r="JT62" i="14"/>
  <c r="M50" i="23" s="1"/>
  <c r="BV189" i="10"/>
  <c r="BF54" i="14"/>
  <c r="I94" i="14"/>
  <c r="H43" i="23"/>
  <c r="MR24" i="14"/>
  <c r="H13" i="23" s="1"/>
  <c r="J97" i="14"/>
  <c r="DM57" i="14"/>
  <c r="F104" i="14"/>
  <c r="F15" i="9"/>
  <c r="GZ27" i="14"/>
  <c r="AR182" i="19"/>
  <c r="AT183" i="19"/>
  <c r="AT186" i="19"/>
  <c r="AR189" i="19"/>
  <c r="P544" i="10"/>
  <c r="Q544" i="10" s="1"/>
  <c r="O545" i="10"/>
  <c r="AD66" i="14"/>
  <c r="I52" i="22"/>
  <c r="I104" i="14"/>
  <c r="BF64" i="14"/>
  <c r="DL34" i="14"/>
  <c r="CG181" i="10"/>
  <c r="CE184" i="10"/>
  <c r="L41" i="22"/>
  <c r="GY55" i="14"/>
  <c r="LN62" i="14"/>
  <c r="N19" i="9"/>
  <c r="BY169" i="16"/>
  <c r="BZ169" i="16"/>
  <c r="E12" i="9"/>
  <c r="ES24" i="14"/>
  <c r="AC198" i="19"/>
  <c r="AD197" i="19"/>
  <c r="L97" i="14"/>
  <c r="IA57" i="14"/>
  <c r="IZ65" i="14"/>
  <c r="M51" i="9"/>
  <c r="BX183" i="10"/>
  <c r="BX186" i="10"/>
  <c r="I42" i="9"/>
  <c r="X56" i="14"/>
  <c r="BD172" i="16"/>
  <c r="BC172" i="16"/>
  <c r="AC226" i="16"/>
  <c r="AD225" i="16"/>
  <c r="AP184" i="19"/>
  <c r="AR181" i="19"/>
  <c r="BW173" i="16"/>
  <c r="BX173" i="16"/>
  <c r="BW156" i="16"/>
  <c r="BX156" i="16"/>
  <c r="G44" i="22"/>
  <c r="JF27" i="14"/>
  <c r="LG61" i="14"/>
  <c r="N47" i="9"/>
  <c r="CH181" i="10"/>
  <c r="CF184" i="10"/>
  <c r="AG253" i="16"/>
  <c r="AC254" i="16"/>
  <c r="IZ56" i="14"/>
  <c r="M42" i="9"/>
  <c r="LN33" i="14"/>
  <c r="H21" i="9"/>
  <c r="BT184" i="19"/>
  <c r="BV181" i="19"/>
  <c r="LG35" i="14"/>
  <c r="H52" i="9"/>
  <c r="D46" i="9"/>
  <c r="CE29" i="14"/>
  <c r="FT29" i="14"/>
  <c r="E100" i="14"/>
  <c r="CB172" i="19"/>
  <c r="CA172" i="19"/>
  <c r="CE58" i="14"/>
  <c r="J44" i="9"/>
  <c r="FT59" i="14"/>
  <c r="K99" i="14"/>
  <c r="AR56" i="14"/>
  <c r="M53" i="21"/>
  <c r="M23" i="21" s="1"/>
  <c r="KF61" i="14"/>
  <c r="KG61" i="14" s="1"/>
  <c r="ES30" i="14"/>
  <c r="E18" i="9"/>
  <c r="N41" i="9"/>
  <c r="LG55" i="14"/>
  <c r="F43" i="9"/>
  <c r="GS26" i="14"/>
  <c r="H14" i="9"/>
  <c r="LN26" i="14"/>
  <c r="CH172" i="19"/>
  <c r="CG172" i="19"/>
  <c r="MA63" i="14"/>
  <c r="N51" i="23" s="1"/>
  <c r="BF55" i="14"/>
  <c r="I95" i="14"/>
  <c r="IZ32" i="14"/>
  <c r="G49" i="9"/>
  <c r="FT30" i="14"/>
  <c r="E101" i="14"/>
  <c r="L104" i="14"/>
  <c r="IA64" i="14"/>
  <c r="KH55" i="14"/>
  <c r="M95" i="14"/>
  <c r="AO183" i="16"/>
  <c r="AO186" i="16"/>
  <c r="J96" i="14"/>
  <c r="IA30" i="14"/>
  <c r="F101" i="14"/>
  <c r="KH63" i="14"/>
  <c r="M103" i="14"/>
  <c r="J101" i="14"/>
  <c r="DM61" i="14"/>
  <c r="L47" i="21"/>
  <c r="L17" i="21" s="1"/>
  <c r="HY55" i="14"/>
  <c r="HZ55" i="14" s="1"/>
  <c r="L42" i="9"/>
  <c r="GS56" i="14"/>
  <c r="HY23" i="14"/>
  <c r="HZ23" i="14" s="1"/>
  <c r="F46" i="21"/>
  <c r="F16" i="21" s="1"/>
  <c r="H45" i="9"/>
  <c r="LG28" i="14"/>
  <c r="MA28" i="14"/>
  <c r="H47" i="23" s="1"/>
  <c r="JT61" i="14"/>
  <c r="M49" i="23" s="1"/>
  <c r="I53" i="23"/>
  <c r="BI65" i="14"/>
  <c r="I23" i="23" s="1"/>
  <c r="BS172" i="10"/>
  <c r="BT172" i="10"/>
  <c r="X65" i="14"/>
  <c r="I51" i="9"/>
  <c r="AW182" i="19"/>
  <c r="AW189" i="19"/>
  <c r="KC56" i="14"/>
  <c r="GZ61" i="14"/>
  <c r="L18" i="9"/>
  <c r="CK34" i="14"/>
  <c r="D51" i="22"/>
  <c r="V537" i="10"/>
  <c r="W537" i="10" s="1"/>
  <c r="U538" i="10"/>
  <c r="N47" i="21"/>
  <c r="N17" i="21" s="1"/>
  <c r="MM55" i="14"/>
  <c r="MN55" i="14" s="1"/>
  <c r="AV181" i="19"/>
  <c r="AT184" i="19"/>
  <c r="AC198" i="10"/>
  <c r="AD197" i="10"/>
  <c r="D72" i="23"/>
  <c r="DP23" i="14"/>
  <c r="D12" i="23" s="1"/>
  <c r="DK26" i="14"/>
  <c r="DL26" i="14" s="1"/>
  <c r="D49" i="21"/>
  <c r="D19" i="21" s="1"/>
  <c r="AU181" i="19"/>
  <c r="AS184" i="19"/>
  <c r="CC188" i="16"/>
  <c r="CA194" i="16"/>
  <c r="CC191" i="16"/>
  <c r="CA187" i="16"/>
  <c r="AE196" i="10"/>
  <c r="AH196" i="10" s="1"/>
  <c r="AG196" i="10"/>
  <c r="CC172" i="10"/>
  <c r="CD172" i="10"/>
  <c r="N102" i="14"/>
  <c r="MO62" i="14"/>
  <c r="I52" i="21"/>
  <c r="I22" i="21" s="1"/>
  <c r="BD60" i="14"/>
  <c r="BE60" i="14" s="1"/>
  <c r="BW184" i="10"/>
  <c r="BY181" i="10"/>
  <c r="JT33" i="14"/>
  <c r="GS35" i="14"/>
  <c r="F52" i="9"/>
  <c r="C74" i="9"/>
  <c r="C74" i="22" s="1"/>
  <c r="AF28" i="14"/>
  <c r="BG28" i="14"/>
  <c r="BH28" i="14" s="1"/>
  <c r="CE169" i="16"/>
  <c r="CF169" i="16"/>
  <c r="BG173" i="16"/>
  <c r="BH173" i="16"/>
  <c r="BG156" i="16"/>
  <c r="CY29" i="14"/>
  <c r="D48" i="23" s="1"/>
  <c r="J100" i="14"/>
  <c r="DM60" i="14"/>
  <c r="AR183" i="16"/>
  <c r="AP182" i="16"/>
  <c r="AP189" i="16"/>
  <c r="AR186" i="16"/>
  <c r="L103" i="14"/>
  <c r="AB547" i="10"/>
  <c r="AC547" i="10" s="1"/>
  <c r="AA548" i="10"/>
  <c r="JT56" i="14"/>
  <c r="M44" i="23" s="1"/>
  <c r="J46" i="9"/>
  <c r="CE60" i="14"/>
  <c r="ID66" i="14"/>
  <c r="L24" i="23" s="1"/>
  <c r="L84" i="23"/>
  <c r="HM60" i="14"/>
  <c r="L48" i="23" s="1"/>
  <c r="HM63" i="14"/>
  <c r="L51" i="23" s="1"/>
  <c r="BW188" i="16"/>
  <c r="BW191" i="16"/>
  <c r="BV194" i="16"/>
  <c r="BU194" i="16"/>
  <c r="BU187" i="16"/>
  <c r="BV187" i="16"/>
  <c r="IZ31" i="14"/>
  <c r="G48" i="9"/>
  <c r="JT31" i="14"/>
  <c r="G50" i="23" s="1"/>
  <c r="O523" i="10"/>
  <c r="P522" i="10"/>
  <c r="Q522" i="10" s="1"/>
  <c r="MA34" i="14"/>
  <c r="FF33" i="14"/>
  <c r="E52" i="23" s="1"/>
  <c r="BI156" i="16"/>
  <c r="BJ173" i="16"/>
  <c r="BJ186" i="16" s="1"/>
  <c r="BI173" i="16"/>
  <c r="BI186" i="16" s="1"/>
  <c r="K101" i="14"/>
  <c r="FT61" i="14"/>
  <c r="L100" i="14"/>
  <c r="IA60" i="14"/>
  <c r="BY169" i="19"/>
  <c r="BZ169" i="19"/>
  <c r="J102" i="14"/>
  <c r="DM62" i="14"/>
  <c r="BG30" i="14"/>
  <c r="BH30" i="14" s="1"/>
  <c r="C76" i="9"/>
  <c r="C76" i="22" s="1"/>
  <c r="AF30" i="14"/>
  <c r="M84" i="23"/>
  <c r="KK66" i="14"/>
  <c r="M24" i="23" s="1"/>
  <c r="CY65" i="14"/>
  <c r="MM61" i="14"/>
  <c r="MN61" i="14" s="1"/>
  <c r="N53" i="21"/>
  <c r="N23" i="21" s="1"/>
  <c r="AO183" i="19"/>
  <c r="AO186" i="19"/>
  <c r="BS186" i="10"/>
  <c r="BM156" i="16"/>
  <c r="BN173" i="16"/>
  <c r="BM173" i="16"/>
  <c r="CC170" i="10"/>
  <c r="CD170" i="10"/>
  <c r="AO182" i="10"/>
  <c r="AQ186" i="10"/>
  <c r="AQ183" i="10"/>
  <c r="AO189" i="10"/>
  <c r="BX194" i="16"/>
  <c r="BZ191" i="16"/>
  <c r="BZ188" i="16"/>
  <c r="BX187" i="16"/>
  <c r="CY27" i="14"/>
  <c r="D46" i="23" s="1"/>
  <c r="L43" i="9"/>
  <c r="GS57" i="14"/>
  <c r="BB172" i="10"/>
  <c r="BA172" i="10"/>
  <c r="L50" i="21"/>
  <c r="L20" i="21" s="1"/>
  <c r="HY58" i="14"/>
  <c r="HZ58" i="14" s="1"/>
  <c r="BZ182" i="16"/>
  <c r="CB186" i="16"/>
  <c r="CB183" i="16"/>
  <c r="BZ189" i="16"/>
  <c r="EL34" i="14"/>
  <c r="E51" i="9"/>
  <c r="BN172" i="19"/>
  <c r="BM172" i="19"/>
  <c r="AF25" i="14"/>
  <c r="BG25" i="14"/>
  <c r="BH25" i="14" s="1"/>
  <c r="C71" i="9"/>
  <c r="C71" i="22" s="1"/>
  <c r="FO32" i="14"/>
  <c r="CH184" i="10"/>
  <c r="CJ181" i="10"/>
  <c r="CE63" i="14"/>
  <c r="J49" i="9"/>
  <c r="X54" i="14"/>
  <c r="I40" i="9"/>
  <c r="AI223" i="16"/>
  <c r="AF281" i="16" s="1"/>
  <c r="AE281" i="16" s="1"/>
  <c r="AJ223" i="16"/>
  <c r="AH281" i="16" s="1"/>
  <c r="N43" i="9"/>
  <c r="LG57" i="14"/>
  <c r="BI172" i="10"/>
  <c r="BJ172" i="10"/>
  <c r="H99" i="14"/>
  <c r="KH28" i="14"/>
  <c r="G99" i="14"/>
  <c r="D101" i="14"/>
  <c r="DM30" i="14"/>
  <c r="DM25" i="14"/>
  <c r="D96" i="14"/>
  <c r="F43" i="23" l="1"/>
  <c r="ID24" i="14"/>
  <c r="F13" i="23" s="1"/>
  <c r="H51" i="23"/>
  <c r="MR32" i="14"/>
  <c r="H21" i="23" s="1"/>
  <c r="J17" i="9"/>
  <c r="CL60" i="14"/>
  <c r="LN55" i="14"/>
  <c r="N12" i="9"/>
  <c r="JG62" i="14"/>
  <c r="M19" i="9"/>
  <c r="BZ186" i="16"/>
  <c r="BX182" i="16"/>
  <c r="BX189" i="16"/>
  <c r="BZ183" i="16"/>
  <c r="U492" i="10"/>
  <c r="V491" i="10"/>
  <c r="W491" i="10" s="1"/>
  <c r="ES61" i="14"/>
  <c r="K18" i="9"/>
  <c r="BR184" i="16"/>
  <c r="BT181" i="16"/>
  <c r="AX170" i="16"/>
  <c r="AW170" i="16"/>
  <c r="FT27" i="14"/>
  <c r="E98" i="14"/>
  <c r="AJ196" i="10"/>
  <c r="AH254" i="10" s="1"/>
  <c r="AI196" i="10"/>
  <c r="AF254" i="10" s="1"/>
  <c r="AE254" i="10" s="1"/>
  <c r="MO55" i="14"/>
  <c r="N95" i="14"/>
  <c r="JG65" i="14"/>
  <c r="M22" i="9"/>
  <c r="AE55" i="14"/>
  <c r="I12" i="9"/>
  <c r="I14" i="9"/>
  <c r="AE57" i="14"/>
  <c r="LN31" i="14"/>
  <c r="H19" i="9"/>
  <c r="M75" i="9"/>
  <c r="M75" i="22" s="1"/>
  <c r="JH60" i="14"/>
  <c r="KI60" i="14"/>
  <c r="KJ60" i="14" s="1"/>
  <c r="GZ60" i="14"/>
  <c r="L17" i="9"/>
  <c r="CE184" i="19"/>
  <c r="CG181" i="19"/>
  <c r="H104" i="14"/>
  <c r="KH33" i="14"/>
  <c r="G104" i="14"/>
  <c r="FR56" i="14"/>
  <c r="FS56" i="14" s="1"/>
  <c r="K48" i="21"/>
  <c r="K18" i="21" s="1"/>
  <c r="CL32" i="14"/>
  <c r="D20" i="9"/>
  <c r="GZ64" i="14"/>
  <c r="L21" i="9"/>
  <c r="AV184" i="19"/>
  <c r="AX181" i="19"/>
  <c r="L105" i="14"/>
  <c r="BY184" i="19"/>
  <c r="CA181" i="19"/>
  <c r="MP62" i="14"/>
  <c r="MQ62" i="14" s="1"/>
  <c r="N77" i="9"/>
  <c r="N77" i="22" s="1"/>
  <c r="LO62" i="14"/>
  <c r="IB27" i="14"/>
  <c r="IC27" i="14" s="1"/>
  <c r="HA27" i="14"/>
  <c r="F73" i="9"/>
  <c r="F73" i="22" s="1"/>
  <c r="N49" i="21"/>
  <c r="N19" i="21" s="1"/>
  <c r="MM57" i="14"/>
  <c r="MN57" i="14" s="1"/>
  <c r="JH58" i="14"/>
  <c r="KI58" i="14"/>
  <c r="KJ58" i="14" s="1"/>
  <c r="M73" i="9"/>
  <c r="M73" i="22" s="1"/>
  <c r="D104" i="14"/>
  <c r="DM33" i="14"/>
  <c r="LN23" i="14"/>
  <c r="H11" i="9"/>
  <c r="ES63" i="14"/>
  <c r="K20" i="9"/>
  <c r="GZ33" i="14"/>
  <c r="F21" i="9"/>
  <c r="CL56" i="14"/>
  <c r="J13" i="9"/>
  <c r="H16" i="9"/>
  <c r="LN28" i="14"/>
  <c r="DM56" i="14"/>
  <c r="MP26" i="14"/>
  <c r="H72" i="9"/>
  <c r="H72" i="22" s="1"/>
  <c r="LO26" i="14"/>
  <c r="M101" i="14"/>
  <c r="KH61" i="14"/>
  <c r="BZ184" i="19"/>
  <c r="CB181" i="19"/>
  <c r="BW183" i="16"/>
  <c r="BW186" i="16"/>
  <c r="BU189" i="16"/>
  <c r="BV189" i="16"/>
  <c r="BU182" i="16"/>
  <c r="BV182" i="16"/>
  <c r="I13" i="9"/>
  <c r="AE56" i="14"/>
  <c r="AG197" i="19"/>
  <c r="AE197" i="19"/>
  <c r="AH197" i="19" s="1"/>
  <c r="L41" i="9"/>
  <c r="GS55" i="14"/>
  <c r="I52" i="9"/>
  <c r="X66" i="14"/>
  <c r="AR66" i="14"/>
  <c r="BF66" i="14" s="1"/>
  <c r="ES64" i="14"/>
  <c r="K21" i="9"/>
  <c r="M98" i="14"/>
  <c r="KH58" i="14"/>
  <c r="K17" i="9"/>
  <c r="ES60" i="14"/>
  <c r="M14" i="9"/>
  <c r="JG57" i="14"/>
  <c r="MP64" i="14"/>
  <c r="MQ64" i="14" s="1"/>
  <c r="N79" i="9"/>
  <c r="N79" i="22" s="1"/>
  <c r="LO64" i="14"/>
  <c r="BM184" i="19"/>
  <c r="BO181" i="19"/>
  <c r="J98" i="14"/>
  <c r="DM58" i="14"/>
  <c r="KF25" i="14"/>
  <c r="KG25" i="14" s="1"/>
  <c r="G48" i="21"/>
  <c r="G18" i="21" s="1"/>
  <c r="AE62" i="14"/>
  <c r="I19" i="9"/>
  <c r="CL33" i="14"/>
  <c r="D21" i="9"/>
  <c r="JG61" i="14"/>
  <c r="M18" i="9"/>
  <c r="L11" i="25"/>
  <c r="L7" i="25"/>
  <c r="L8" i="25"/>
  <c r="L10" i="25"/>
  <c r="L9" i="25"/>
  <c r="L12" i="25"/>
  <c r="K74" i="9"/>
  <c r="K74" i="22" s="1"/>
  <c r="FU59" i="14"/>
  <c r="FV59" i="14" s="1"/>
  <c r="ET59" i="14"/>
  <c r="MO58" i="14"/>
  <c r="CF181" i="16"/>
  <c r="CD184" i="16"/>
  <c r="BP184" i="10"/>
  <c r="BR181" i="10"/>
  <c r="E45" i="9"/>
  <c r="EL28" i="14"/>
  <c r="BF172" i="10"/>
  <c r="BE172" i="10"/>
  <c r="CM54" i="14"/>
  <c r="DN54" i="14"/>
  <c r="J69" i="9"/>
  <c r="J69" i="22" s="1"/>
  <c r="KH62" i="14"/>
  <c r="J10" i="25"/>
  <c r="J12" i="25"/>
  <c r="J11" i="25"/>
  <c r="J7" i="25"/>
  <c r="J9" i="25"/>
  <c r="J8" i="25"/>
  <c r="H53" i="23"/>
  <c r="MR34" i="14"/>
  <c r="H23" i="23" s="1"/>
  <c r="GZ56" i="14"/>
  <c r="L13" i="9"/>
  <c r="AE225" i="16"/>
  <c r="AH225" i="16" s="1"/>
  <c r="AG225" i="16"/>
  <c r="AO170" i="16"/>
  <c r="AP170" i="16"/>
  <c r="CG170" i="10"/>
  <c r="CH170" i="10"/>
  <c r="KF56" i="14"/>
  <c r="KG56" i="14" s="1"/>
  <c r="M48" i="21"/>
  <c r="M18" i="21" s="1"/>
  <c r="AC255" i="16"/>
  <c r="AG254" i="16"/>
  <c r="BY170" i="16"/>
  <c r="BZ170" i="16"/>
  <c r="BO184" i="19"/>
  <c r="BQ181" i="19"/>
  <c r="JH29" i="14"/>
  <c r="G75" i="9"/>
  <c r="G75" i="22" s="1"/>
  <c r="KI29" i="14"/>
  <c r="KJ29" i="14" s="1"/>
  <c r="AP184" i="10"/>
  <c r="AR181" i="10"/>
  <c r="BQ184" i="16"/>
  <c r="BS181" i="16"/>
  <c r="CE184" i="16"/>
  <c r="CG181" i="16"/>
  <c r="CL64" i="14"/>
  <c r="J21" i="9"/>
  <c r="H13" i="9"/>
  <c r="LN25" i="14"/>
  <c r="L101" i="14"/>
  <c r="IA61" i="14"/>
  <c r="IA55" i="14"/>
  <c r="L95" i="14"/>
  <c r="J15" i="9"/>
  <c r="CL58" i="14"/>
  <c r="JG63" i="14"/>
  <c r="M20" i="9"/>
  <c r="AQ170" i="19"/>
  <c r="AR170" i="19"/>
  <c r="CF184" i="16"/>
  <c r="CH181" i="16"/>
  <c r="J22" i="9"/>
  <c r="CL65" i="14"/>
  <c r="AS181" i="19"/>
  <c r="AQ184" i="19"/>
  <c r="H105" i="14"/>
  <c r="KH34" i="14"/>
  <c r="G105" i="14"/>
  <c r="FU30" i="14"/>
  <c r="FV30" i="14" s="1"/>
  <c r="E76" i="9"/>
  <c r="E76" i="22" s="1"/>
  <c r="ET30" i="14"/>
  <c r="F42" i="23"/>
  <c r="ID23" i="14"/>
  <c r="F12" i="23" s="1"/>
  <c r="I21" i="9"/>
  <c r="AE64" i="14"/>
  <c r="D98" i="14"/>
  <c r="DM27" i="14"/>
  <c r="D95" i="14"/>
  <c r="DM24" i="14"/>
  <c r="CC184" i="16"/>
  <c r="CE181" i="16"/>
  <c r="BN181" i="19"/>
  <c r="BL184" i="19"/>
  <c r="AE197" i="10"/>
  <c r="AH197" i="10" s="1"/>
  <c r="AG197" i="10"/>
  <c r="AD198" i="19"/>
  <c r="AC199" i="19"/>
  <c r="P545" i="10"/>
  <c r="Q545" i="10" s="1"/>
  <c r="O546" i="10"/>
  <c r="IA33" i="14"/>
  <c r="I509" i="10"/>
  <c r="J508" i="10"/>
  <c r="K508" i="10" s="1"/>
  <c r="KI24" i="14"/>
  <c r="JH24" i="14"/>
  <c r="G70" i="9"/>
  <c r="G70" i="22" s="1"/>
  <c r="E99" i="14"/>
  <c r="FT28" i="14"/>
  <c r="H51" i="9"/>
  <c r="LG34" i="14"/>
  <c r="N100" i="14"/>
  <c r="MO60" i="14"/>
  <c r="AX182" i="16"/>
  <c r="AX189" i="16"/>
  <c r="CL66" i="14"/>
  <c r="J23" i="9"/>
  <c r="F11" i="9"/>
  <c r="GZ23" i="14"/>
  <c r="ET55" i="14"/>
  <c r="FU55" i="14"/>
  <c r="FV55" i="14" s="1"/>
  <c r="K70" i="9"/>
  <c r="K70" i="22" s="1"/>
  <c r="G74" i="9"/>
  <c r="G74" i="22" s="1"/>
  <c r="JH28" i="14"/>
  <c r="KI28" i="14"/>
  <c r="KJ28" i="14" s="1"/>
  <c r="IZ33" i="14"/>
  <c r="G50" i="9"/>
  <c r="AE63" i="14"/>
  <c r="I20" i="9"/>
  <c r="AU170" i="19"/>
  <c r="AV170" i="19"/>
  <c r="BP181" i="19"/>
  <c r="BN184" i="19"/>
  <c r="E13" i="9"/>
  <c r="ES25" i="14"/>
  <c r="CC172" i="16"/>
  <c r="CD172" i="16"/>
  <c r="IB62" i="14"/>
  <c r="IC62" i="14" s="1"/>
  <c r="HA62" i="14"/>
  <c r="L77" i="9"/>
  <c r="L77" i="22" s="1"/>
  <c r="G100" i="14"/>
  <c r="H100" i="14"/>
  <c r="KH29" i="14"/>
  <c r="I16" i="9"/>
  <c r="AE59" i="14"/>
  <c r="C78" i="23"/>
  <c r="BI29" i="14"/>
  <c r="C18" i="23" s="1"/>
  <c r="CL55" i="14"/>
  <c r="J12" i="9"/>
  <c r="MO34" i="14"/>
  <c r="CE170" i="19"/>
  <c r="CF170" i="19"/>
  <c r="LN30" i="14"/>
  <c r="H18" i="9"/>
  <c r="BO184" i="10"/>
  <c r="BQ181" i="10"/>
  <c r="MO63" i="14"/>
  <c r="AW170" i="19"/>
  <c r="AX170" i="19"/>
  <c r="FT33" i="14"/>
  <c r="ES32" i="14"/>
  <c r="E20" i="9"/>
  <c r="IA31" i="14"/>
  <c r="CL31" i="14"/>
  <c r="D19" i="9"/>
  <c r="J11" i="26"/>
  <c r="J8" i="26"/>
  <c r="J7" i="26"/>
  <c r="J12" i="26"/>
  <c r="J9" i="26"/>
  <c r="J10" i="26"/>
  <c r="GZ57" i="14"/>
  <c r="L14" i="9"/>
  <c r="CC181" i="10"/>
  <c r="CA184" i="10"/>
  <c r="K50" i="21"/>
  <c r="K20" i="21" s="1"/>
  <c r="FR58" i="14"/>
  <c r="FS58" i="14" s="1"/>
  <c r="I43" i="23"/>
  <c r="BI55" i="14"/>
  <c r="I13" i="23" s="1"/>
  <c r="N13" i="9"/>
  <c r="LN56" i="14"/>
  <c r="AO184" i="16"/>
  <c r="AQ181" i="16"/>
  <c r="AO184" i="10"/>
  <c r="AQ181" i="10"/>
  <c r="G42" i="23"/>
  <c r="KK23" i="14"/>
  <c r="G12" i="23" s="1"/>
  <c r="N17" i="9"/>
  <c r="LN60" i="14"/>
  <c r="IZ26" i="14"/>
  <c r="G43" i="9"/>
  <c r="IA56" i="14"/>
  <c r="L96" i="14"/>
  <c r="GZ58" i="14"/>
  <c r="L15" i="9"/>
  <c r="FT31" i="14"/>
  <c r="E102" i="14"/>
  <c r="CC170" i="16"/>
  <c r="CD170" i="16"/>
  <c r="BI25" i="14"/>
  <c r="C14" i="23" s="1"/>
  <c r="C74" i="23"/>
  <c r="AC227" i="16"/>
  <c r="AD226" i="16"/>
  <c r="FT24" i="14"/>
  <c r="E95" i="14"/>
  <c r="IA25" i="14"/>
  <c r="F96" i="14"/>
  <c r="KH26" i="14"/>
  <c r="G97" i="14"/>
  <c r="H97" i="14"/>
  <c r="JG30" i="14"/>
  <c r="G18" i="9"/>
  <c r="CD181" i="19"/>
  <c r="CB184" i="19"/>
  <c r="AJ224" i="16"/>
  <c r="AH282" i="16" s="1"/>
  <c r="AI224" i="16"/>
  <c r="AF282" i="16" s="1"/>
  <c r="AE282" i="16" s="1"/>
  <c r="AE54" i="14"/>
  <c r="I11" i="9"/>
  <c r="CE170" i="16"/>
  <c r="CF170" i="16"/>
  <c r="D97" i="14"/>
  <c r="DM26" i="14"/>
  <c r="BW172" i="16"/>
  <c r="BX172" i="16"/>
  <c r="BX181" i="16" s="1"/>
  <c r="AS170" i="19"/>
  <c r="AT170" i="19"/>
  <c r="GZ28" i="14"/>
  <c r="F16" i="9"/>
  <c r="CL30" i="14"/>
  <c r="D18" i="9"/>
  <c r="N15" i="9"/>
  <c r="LN58" i="14"/>
  <c r="CL24" i="14"/>
  <c r="D12" i="9"/>
  <c r="CH184" i="16"/>
  <c r="CJ181" i="16"/>
  <c r="BM181" i="19"/>
  <c r="BK184" i="19"/>
  <c r="AA549" i="10"/>
  <c r="AB548" i="10"/>
  <c r="AC548" i="10" s="1"/>
  <c r="I100" i="14"/>
  <c r="BF60" i="14"/>
  <c r="BI24" i="14"/>
  <c r="C13" i="23" s="1"/>
  <c r="C73" i="23"/>
  <c r="MO32" i="14"/>
  <c r="CL26" i="14"/>
  <c r="D14" i="9"/>
  <c r="CL59" i="14"/>
  <c r="J16" i="9"/>
  <c r="GS24" i="14"/>
  <c r="F41" i="9"/>
  <c r="AT181" i="19"/>
  <c r="AR184" i="19"/>
  <c r="L10" i="26"/>
  <c r="L9" i="26"/>
  <c r="L7" i="26"/>
  <c r="L8" i="26"/>
  <c r="L12" i="26"/>
  <c r="L11" i="26"/>
  <c r="DM55" i="14"/>
  <c r="J95" i="14"/>
  <c r="DM63" i="14"/>
  <c r="J103" i="14"/>
  <c r="KF27" i="14"/>
  <c r="KG27" i="14" s="1"/>
  <c r="G50" i="21"/>
  <c r="G20" i="21" s="1"/>
  <c r="CL63" i="14"/>
  <c r="J20" i="9"/>
  <c r="JT26" i="14"/>
  <c r="G45" i="23" s="1"/>
  <c r="IA63" i="14"/>
  <c r="I22" i="9"/>
  <c r="AE65" i="14"/>
  <c r="BN186" i="16"/>
  <c r="BL189" i="16"/>
  <c r="BL182" i="16"/>
  <c r="BN183" i="16"/>
  <c r="J53" i="23"/>
  <c r="DP65" i="14"/>
  <c r="J23" i="23" s="1"/>
  <c r="DM65" i="14"/>
  <c r="BJ172" i="16"/>
  <c r="BI172" i="16"/>
  <c r="BG172" i="16"/>
  <c r="BH172" i="16"/>
  <c r="AD198" i="10"/>
  <c r="AC199" i="10"/>
  <c r="CE34" i="14"/>
  <c r="D51" i="9"/>
  <c r="BT181" i="10"/>
  <c r="BR184" i="10"/>
  <c r="MO28" i="14"/>
  <c r="JG32" i="14"/>
  <c r="G20" i="9"/>
  <c r="GZ26" i="14"/>
  <c r="F14" i="9"/>
  <c r="I44" i="23"/>
  <c r="BI56" i="14"/>
  <c r="I14" i="23" s="1"/>
  <c r="LO33" i="14"/>
  <c r="MP33" i="14"/>
  <c r="H79" i="9"/>
  <c r="H79" i="22" s="1"/>
  <c r="LN61" i="14"/>
  <c r="N18" i="9"/>
  <c r="FU24" i="14"/>
  <c r="FV24" i="14" s="1"/>
  <c r="E70" i="9"/>
  <c r="E70" i="22" s="1"/>
  <c r="ET24" i="14"/>
  <c r="BY184" i="16"/>
  <c r="CA181" i="16"/>
  <c r="BY172" i="16"/>
  <c r="BZ172" i="16"/>
  <c r="CL61" i="14"/>
  <c r="J18" i="9"/>
  <c r="C82" i="23"/>
  <c r="BI33" i="14"/>
  <c r="C22" i="23" s="1"/>
  <c r="F17" i="9"/>
  <c r="GZ29" i="14"/>
  <c r="GZ30" i="14"/>
  <c r="F18" i="9"/>
  <c r="AW182" i="16"/>
  <c r="AW189" i="16"/>
  <c r="K42" i="9"/>
  <c r="EL56" i="14"/>
  <c r="FF56" i="14"/>
  <c r="K44" i="23" s="1"/>
  <c r="JG64" i="14"/>
  <c r="M21" i="9"/>
  <c r="J43" i="23"/>
  <c r="DP55" i="14"/>
  <c r="J13" i="23" s="1"/>
  <c r="CL25" i="14"/>
  <c r="D13" i="9"/>
  <c r="BF63" i="14"/>
  <c r="I103" i="14"/>
  <c r="H15" i="9"/>
  <c r="LN27" i="14"/>
  <c r="CC183" i="16"/>
  <c r="CA182" i="16"/>
  <c r="CC186" i="16"/>
  <c r="CA189" i="16"/>
  <c r="H42" i="23"/>
  <c r="MR23" i="14"/>
  <c r="H12" i="23" s="1"/>
  <c r="IA26" i="14"/>
  <c r="F97" i="14"/>
  <c r="BW181" i="10"/>
  <c r="BV184" i="10"/>
  <c r="BU184" i="10"/>
  <c r="CE28" i="14"/>
  <c r="D45" i="9"/>
  <c r="LN63" i="14"/>
  <c r="N20" i="9"/>
  <c r="MO65" i="14"/>
  <c r="AR184" i="16"/>
  <c r="AT181" i="16"/>
  <c r="AC253" i="10"/>
  <c r="AG252" i="10"/>
  <c r="GS65" i="14"/>
  <c r="L51" i="9"/>
  <c r="HM65" i="14"/>
  <c r="L53" i="23" s="1"/>
  <c r="ET29" i="14"/>
  <c r="E75" i="9"/>
  <c r="E75" i="22" s="1"/>
  <c r="FU29" i="14"/>
  <c r="FV29" i="14" s="1"/>
  <c r="GZ59" i="14"/>
  <c r="L16" i="9"/>
  <c r="K103" i="14"/>
  <c r="FT63" i="14"/>
  <c r="AU172" i="16"/>
  <c r="AV172" i="16"/>
  <c r="GZ63" i="14"/>
  <c r="L20" i="9"/>
  <c r="AG556" i="10"/>
  <c r="AH555" i="10"/>
  <c r="AI555" i="10" s="1"/>
  <c r="G52" i="23"/>
  <c r="KK33" i="14"/>
  <c r="G22" i="23" s="1"/>
  <c r="IB61" i="14"/>
  <c r="IC61" i="14" s="1"/>
  <c r="HA61" i="14"/>
  <c r="L76" i="9"/>
  <c r="L76" i="22" s="1"/>
  <c r="M13" i="9"/>
  <c r="JG56" i="14"/>
  <c r="D105" i="14"/>
  <c r="DM34" i="14"/>
  <c r="BP184" i="19"/>
  <c r="BR181" i="19"/>
  <c r="GZ31" i="14"/>
  <c r="F19" i="9"/>
  <c r="AS170" i="10"/>
  <c r="AT170" i="10"/>
  <c r="ES31" i="14"/>
  <c r="E19" i="9"/>
  <c r="LG32" i="14"/>
  <c r="H49" i="9"/>
  <c r="AU186" i="16"/>
  <c r="AS189" i="16"/>
  <c r="AU183" i="16"/>
  <c r="AS182" i="16"/>
  <c r="G80" i="9"/>
  <c r="G80" i="22" s="1"/>
  <c r="KI34" i="14"/>
  <c r="JH34" i="14"/>
  <c r="FU65" i="14"/>
  <c r="FV65" i="14" s="1"/>
  <c r="ET65" i="14"/>
  <c r="K80" i="9"/>
  <c r="K80" i="22" s="1"/>
  <c r="LO59" i="14"/>
  <c r="MP59" i="14"/>
  <c r="MQ59" i="14" s="1"/>
  <c r="N74" i="9"/>
  <c r="N74" i="22" s="1"/>
  <c r="G40" i="9"/>
  <c r="IZ23" i="14"/>
  <c r="AE61" i="14"/>
  <c r="I18" i="9"/>
  <c r="CL57" i="14"/>
  <c r="J14" i="9"/>
  <c r="JG55" i="14"/>
  <c r="M12" i="9"/>
  <c r="JH59" i="14"/>
  <c r="M74" i="9"/>
  <c r="M74" i="22" s="1"/>
  <c r="KI59" i="14"/>
  <c r="KJ59" i="14" s="1"/>
  <c r="CF181" i="10"/>
  <c r="CD184" i="10"/>
  <c r="CG184" i="16"/>
  <c r="CI181" i="16"/>
  <c r="AW181" i="19"/>
  <c r="AU184" i="19"/>
  <c r="O524" i="10"/>
  <c r="P524" i="10" s="1"/>
  <c r="P523" i="10"/>
  <c r="Q523" i="10" s="1"/>
  <c r="Q524" i="10" s="1"/>
  <c r="Q525" i="10" s="1"/>
  <c r="H23" i="9"/>
  <c r="LN35" i="14"/>
  <c r="HY24" i="14"/>
  <c r="HZ24" i="14" s="1"/>
  <c r="F47" i="21"/>
  <c r="F17" i="21" s="1"/>
  <c r="CC181" i="19"/>
  <c r="CA184" i="19"/>
  <c r="F22" i="9"/>
  <c r="GZ34" i="14"/>
  <c r="CC184" i="10"/>
  <c r="CE181" i="10"/>
  <c r="LN65" i="14"/>
  <c r="N22" i="9"/>
  <c r="C548" i="10"/>
  <c r="D547" i="10"/>
  <c r="E547" i="10" s="1"/>
  <c r="BT184" i="16"/>
  <c r="C79" i="23"/>
  <c r="BI30" i="14"/>
  <c r="C19" i="23" s="1"/>
  <c r="C77" i="23"/>
  <c r="BI28" i="14"/>
  <c r="C17" i="23" s="1"/>
  <c r="V538" i="10"/>
  <c r="W538" i="10" s="1"/>
  <c r="U539" i="10"/>
  <c r="CF184" i="19"/>
  <c r="CH181" i="19"/>
  <c r="BX183" i="16"/>
  <c r="BX186" i="16"/>
  <c r="AO170" i="19"/>
  <c r="AP170" i="19"/>
  <c r="H12" i="9"/>
  <c r="LN24" i="14"/>
  <c r="J106" i="14"/>
  <c r="DM66" i="14"/>
  <c r="H17" i="9"/>
  <c r="LN29" i="14"/>
  <c r="AI196" i="19"/>
  <c r="AF254" i="19" s="1"/>
  <c r="AE254" i="19" s="1"/>
  <c r="AJ196" i="19"/>
  <c r="AH254" i="19" s="1"/>
  <c r="I101" i="14"/>
  <c r="BF61" i="14"/>
  <c r="GZ32" i="14"/>
  <c r="F20" i="9"/>
  <c r="I548" i="10"/>
  <c r="J547" i="10"/>
  <c r="K547" i="10" s="1"/>
  <c r="ET26" i="14"/>
  <c r="FU26" i="14"/>
  <c r="FV26" i="14" s="1"/>
  <c r="E72" i="9"/>
  <c r="E72" i="22" s="1"/>
  <c r="L98" i="14"/>
  <c r="IA58" i="14"/>
  <c r="MO61" i="14"/>
  <c r="N101" i="14"/>
  <c r="LN57" i="14"/>
  <c r="N14" i="9"/>
  <c r="BM186" i="16"/>
  <c r="BK189" i="16"/>
  <c r="BK182" i="16"/>
  <c r="BM183" i="16"/>
  <c r="JG31" i="14"/>
  <c r="G19" i="9"/>
  <c r="ES34" i="14"/>
  <c r="E22" i="9"/>
  <c r="E55" i="21"/>
  <c r="E25" i="21" s="1"/>
  <c r="FR32" i="14"/>
  <c r="FS32" i="14" s="1"/>
  <c r="BN172" i="16"/>
  <c r="BM172" i="16"/>
  <c r="BY170" i="19"/>
  <c r="BZ170" i="19"/>
  <c r="GZ35" i="14"/>
  <c r="F23" i="9"/>
  <c r="CB184" i="10"/>
  <c r="CD181" i="10"/>
  <c r="BS181" i="10"/>
  <c r="BQ184" i="10"/>
  <c r="F94" i="14"/>
  <c r="IA23" i="14"/>
  <c r="D17" i="9"/>
  <c r="CL29" i="14"/>
  <c r="G44" i="9"/>
  <c r="IZ27" i="14"/>
  <c r="JT27" i="14"/>
  <c r="G46" i="23" s="1"/>
  <c r="ES62" i="14"/>
  <c r="K19" i="9"/>
  <c r="CB181" i="16"/>
  <c r="BZ184" i="16"/>
  <c r="BW182" i="16"/>
  <c r="BW189" i="16"/>
  <c r="BY183" i="16"/>
  <c r="BY186" i="16"/>
  <c r="G42" i="9"/>
  <c r="IZ25" i="14"/>
  <c r="JG35" i="14"/>
  <c r="G23" i="9"/>
  <c r="D15" i="9"/>
  <c r="CL27" i="14"/>
  <c r="AC254" i="19"/>
  <c r="AG253" i="19"/>
  <c r="AZ172" i="16"/>
  <c r="AX184" i="16" s="1"/>
  <c r="AY172" i="16"/>
  <c r="AW184" i="16" s="1"/>
  <c r="K15" i="9"/>
  <c r="ES58" i="14"/>
  <c r="JT25" i="14"/>
  <c r="KH23" i="14"/>
  <c r="AP184" i="16"/>
  <c r="AR181" i="16"/>
  <c r="CA170" i="19"/>
  <c r="CB170" i="19"/>
  <c r="KH31" i="14"/>
  <c r="I75" i="9"/>
  <c r="I75" i="22" s="1"/>
  <c r="BG60" i="14"/>
  <c r="BH60" i="14" s="1"/>
  <c r="AF60" i="14"/>
  <c r="E15" i="9"/>
  <c r="ES27" i="14"/>
  <c r="CB182" i="16"/>
  <c r="CD186" i="16"/>
  <c r="CB189" i="16"/>
  <c r="CD183" i="16"/>
  <c r="DM31" i="14"/>
  <c r="D102" i="14"/>
  <c r="C76" i="23"/>
  <c r="BI27" i="14"/>
  <c r="C16" i="23" s="1"/>
  <c r="ES33" i="14"/>
  <c r="E21" i="9"/>
  <c r="DK28" i="14"/>
  <c r="DL28" i="14" s="1"/>
  <c r="D51" i="21"/>
  <c r="D21" i="21" s="1"/>
  <c r="K14" i="9"/>
  <c r="ES57" i="14"/>
  <c r="I106" i="14"/>
  <c r="AS181" i="16"/>
  <c r="AQ184" i="16"/>
  <c r="IB25" i="14"/>
  <c r="IC25" i="14" s="1"/>
  <c r="F71" i="9"/>
  <c r="F71" i="22" s="1"/>
  <c r="HA25" i="14"/>
  <c r="FT25" i="14"/>
  <c r="CL62" i="14"/>
  <c r="J19" i="9"/>
  <c r="AF58" i="14"/>
  <c r="I73" i="9"/>
  <c r="I73" i="22" s="1"/>
  <c r="BG58" i="14"/>
  <c r="BH58" i="14" s="1"/>
  <c r="KH60" i="14"/>
  <c r="M100" i="14"/>
  <c r="AV186" i="16"/>
  <c r="AT189" i="16"/>
  <c r="AV183" i="16"/>
  <c r="AT182" i="16"/>
  <c r="DM64" i="14"/>
  <c r="IA62" i="14"/>
  <c r="L102" i="14"/>
  <c r="AM544" i="10"/>
  <c r="AN543" i="10"/>
  <c r="AO543" i="10" s="1"/>
  <c r="F81" i="9" l="1"/>
  <c r="F81" i="22" s="1"/>
  <c r="HA35" i="14"/>
  <c r="IB35" i="14"/>
  <c r="BY181" i="16"/>
  <c r="BW184" i="16"/>
  <c r="AC228" i="16"/>
  <c r="AD227" i="16"/>
  <c r="BG61" i="14"/>
  <c r="BH61" i="14" s="1"/>
  <c r="I76" i="9"/>
  <c r="I76" i="22" s="1"/>
  <c r="AF61" i="14"/>
  <c r="BG54" i="14"/>
  <c r="AF54" i="14"/>
  <c r="I69" i="9"/>
  <c r="I69" i="22" s="1"/>
  <c r="FT58" i="14"/>
  <c r="K98" i="14"/>
  <c r="CB184" i="16"/>
  <c r="CD181" i="16"/>
  <c r="KH56" i="14"/>
  <c r="M96" i="14"/>
  <c r="KK60" i="14"/>
  <c r="M18" i="23" s="1"/>
  <c r="M78" i="23"/>
  <c r="LO55" i="14"/>
  <c r="MP55" i="14"/>
  <c r="MQ55" i="14" s="1"/>
  <c r="N70" i="9"/>
  <c r="N70" i="22" s="1"/>
  <c r="G13" i="9"/>
  <c r="JG25" i="14"/>
  <c r="KI31" i="14"/>
  <c r="KJ31" i="14" s="1"/>
  <c r="G77" i="9"/>
  <c r="G77" i="22" s="1"/>
  <c r="JH31" i="14"/>
  <c r="MP58" i="14"/>
  <c r="MQ58" i="14" s="1"/>
  <c r="N73" i="9"/>
  <c r="N73" i="22" s="1"/>
  <c r="LO58" i="14"/>
  <c r="BG63" i="14"/>
  <c r="BH63" i="14" s="1"/>
  <c r="I78" i="9"/>
  <c r="I78" i="22" s="1"/>
  <c r="AF63" i="14"/>
  <c r="ET60" i="14"/>
  <c r="FU60" i="14"/>
  <c r="FV60" i="14" s="1"/>
  <c r="K75" i="9"/>
  <c r="K75" i="22" s="1"/>
  <c r="F76" i="23"/>
  <c r="ID27" i="14"/>
  <c r="F16" i="23" s="1"/>
  <c r="BK184" i="16"/>
  <c r="BM181" i="16"/>
  <c r="GZ65" i="14"/>
  <c r="L22" i="9"/>
  <c r="H22" i="9"/>
  <c r="LN34" i="14"/>
  <c r="L12" i="9"/>
  <c r="GZ55" i="14"/>
  <c r="ET27" i="14"/>
  <c r="FU27" i="14"/>
  <c r="FV27" i="14" s="1"/>
  <c r="E73" i="9"/>
  <c r="E73" i="22" s="1"/>
  <c r="BL184" i="16"/>
  <c r="BN181" i="16"/>
  <c r="H70" i="9"/>
  <c r="H70" i="22" s="1"/>
  <c r="MP24" i="14"/>
  <c r="LO24" i="14"/>
  <c r="V539" i="10"/>
  <c r="W539" i="10" s="1"/>
  <c r="U540" i="10"/>
  <c r="D548" i="10"/>
  <c r="E548" i="10" s="1"/>
  <c r="C549" i="10"/>
  <c r="FU31" i="14"/>
  <c r="FV31" i="14" s="1"/>
  <c r="E77" i="9"/>
  <c r="E77" i="22" s="1"/>
  <c r="ET31" i="14"/>
  <c r="D16" i="9"/>
  <c r="CL28" i="14"/>
  <c r="DN26" i="14"/>
  <c r="DO26" i="14" s="1"/>
  <c r="CM26" i="14"/>
  <c r="D72" i="9"/>
  <c r="D72" i="22" s="1"/>
  <c r="G14" i="9"/>
  <c r="JG26" i="14"/>
  <c r="G21" i="9"/>
  <c r="JG33" i="14"/>
  <c r="DN33" i="14"/>
  <c r="DO33" i="14" s="1"/>
  <c r="CM33" i="14"/>
  <c r="D79" i="9"/>
  <c r="D79" i="22" s="1"/>
  <c r="IB33" i="14"/>
  <c r="IC33" i="14" s="1"/>
  <c r="HA33" i="14"/>
  <c r="F79" i="9"/>
  <c r="F79" i="22" s="1"/>
  <c r="M76" i="23"/>
  <c r="KK58" i="14"/>
  <c r="M16" i="23" s="1"/>
  <c r="AT184" i="16"/>
  <c r="AV181" i="16"/>
  <c r="DN63" i="14"/>
  <c r="DO63" i="14" s="1"/>
  <c r="J78" i="9"/>
  <c r="J78" i="22" s="1"/>
  <c r="CM63" i="14"/>
  <c r="L73" i="9"/>
  <c r="L73" i="22" s="1"/>
  <c r="IB58" i="14"/>
  <c r="IC58" i="14" s="1"/>
  <c r="HA58" i="14"/>
  <c r="L80" i="23"/>
  <c r="ID62" i="14"/>
  <c r="L20" i="23" s="1"/>
  <c r="F74" i="23"/>
  <c r="ID25" i="14"/>
  <c r="F14" i="23" s="1"/>
  <c r="G81" i="9"/>
  <c r="G81" i="22" s="1"/>
  <c r="JH35" i="14"/>
  <c r="KI35" i="14"/>
  <c r="I549" i="10"/>
  <c r="J548" i="10"/>
  <c r="K548" i="10" s="1"/>
  <c r="M77" i="23"/>
  <c r="KK59" i="14"/>
  <c r="M17" i="23" s="1"/>
  <c r="AU181" i="16"/>
  <c r="AS184" i="16"/>
  <c r="DN24" i="14"/>
  <c r="DO24" i="14" s="1"/>
  <c r="D70" i="9"/>
  <c r="D70" i="22" s="1"/>
  <c r="CM24" i="14"/>
  <c r="K73" i="23"/>
  <c r="FW55" i="14"/>
  <c r="K13" i="23" s="1"/>
  <c r="E79" i="23"/>
  <c r="FW30" i="14"/>
  <c r="E19" i="23" s="1"/>
  <c r="K96" i="14"/>
  <c r="FT56" i="14"/>
  <c r="U493" i="10"/>
  <c r="V492" i="10"/>
  <c r="W492" i="10" s="1"/>
  <c r="G11" i="9"/>
  <c r="JG23" i="14"/>
  <c r="KI61" i="14"/>
  <c r="KJ61" i="14" s="1"/>
  <c r="M76" i="9"/>
  <c r="M76" i="22" s="1"/>
  <c r="JH61" i="14"/>
  <c r="DN56" i="14"/>
  <c r="DO56" i="14" s="1"/>
  <c r="CM56" i="14"/>
  <c r="J71" i="9"/>
  <c r="J71" i="22" s="1"/>
  <c r="J75" i="9"/>
  <c r="J75" i="22" s="1"/>
  <c r="CM60" i="14"/>
  <c r="DN60" i="14"/>
  <c r="DO60" i="14" s="1"/>
  <c r="FU62" i="14"/>
  <c r="FV62" i="14" s="1"/>
  <c r="ET62" i="14"/>
  <c r="K77" i="9"/>
  <c r="K77" i="22" s="1"/>
  <c r="IB32" i="14"/>
  <c r="IC32" i="14" s="1"/>
  <c r="F78" i="9"/>
  <c r="F78" i="22" s="1"/>
  <c r="HA32" i="14"/>
  <c r="BG64" i="14"/>
  <c r="AF64" i="14"/>
  <c r="I79" i="9"/>
  <c r="I79" i="22" s="1"/>
  <c r="AG254" i="19"/>
  <c r="AC255" i="19"/>
  <c r="FT32" i="14"/>
  <c r="E103" i="14"/>
  <c r="JH55" i="14"/>
  <c r="KI55" i="14"/>
  <c r="KJ55" i="14" s="1"/>
  <c r="M70" i="9"/>
  <c r="M70" i="22" s="1"/>
  <c r="N77" i="23"/>
  <c r="MR59" i="14"/>
  <c r="N17" i="23" s="1"/>
  <c r="M71" i="9"/>
  <c r="M71" i="22" s="1"/>
  <c r="JH56" i="14"/>
  <c r="KI56" i="14"/>
  <c r="KJ56" i="14" s="1"/>
  <c r="AG557" i="10"/>
  <c r="AH556" i="10"/>
  <c r="AI556" i="10" s="1"/>
  <c r="IB59" i="14"/>
  <c r="IC59" i="14" s="1"/>
  <c r="L74" i="9"/>
  <c r="L74" i="22" s="1"/>
  <c r="HA59" i="14"/>
  <c r="AG253" i="10"/>
  <c r="AC254" i="10"/>
  <c r="DN25" i="14"/>
  <c r="DO25" i="14" s="1"/>
  <c r="CM25" i="14"/>
  <c r="D71" i="9"/>
  <c r="D71" i="22" s="1"/>
  <c r="FW24" i="14"/>
  <c r="E13" i="23" s="1"/>
  <c r="E73" i="23"/>
  <c r="CL34" i="14"/>
  <c r="D22" i="9"/>
  <c r="DN30" i="14"/>
  <c r="DO30" i="14" s="1"/>
  <c r="D76" i="9"/>
  <c r="D76" i="22" s="1"/>
  <c r="CM30" i="14"/>
  <c r="N75" i="9"/>
  <c r="N75" i="22" s="1"/>
  <c r="LO60" i="14"/>
  <c r="MP60" i="14"/>
  <c r="MQ60" i="14" s="1"/>
  <c r="N71" i="9"/>
  <c r="N71" i="22" s="1"/>
  <c r="LO56" i="14"/>
  <c r="MP56" i="14"/>
  <c r="MQ56" i="14" s="1"/>
  <c r="KK28" i="14"/>
  <c r="G17" i="23" s="1"/>
  <c r="G77" i="23"/>
  <c r="O547" i="10"/>
  <c r="P546" i="10"/>
  <c r="Q546" i="10" s="1"/>
  <c r="H71" i="9"/>
  <c r="H71" i="22" s="1"/>
  <c r="LO25" i="14"/>
  <c r="MP25" i="14"/>
  <c r="N80" i="23"/>
  <c r="MR62" i="14"/>
  <c r="N20" i="23" s="1"/>
  <c r="IB64" i="14"/>
  <c r="IC64" i="14" s="1"/>
  <c r="HA64" i="14"/>
  <c r="L79" i="9"/>
  <c r="L79" i="22" s="1"/>
  <c r="MP31" i="14"/>
  <c r="MQ31" i="14" s="1"/>
  <c r="LO31" i="14"/>
  <c r="H77" i="9"/>
  <c r="H77" i="22" s="1"/>
  <c r="FU34" i="14"/>
  <c r="FV34" i="14" s="1"/>
  <c r="ET34" i="14"/>
  <c r="E80" i="9"/>
  <c r="E80" i="22" s="1"/>
  <c r="IB31" i="14"/>
  <c r="IC31" i="14" s="1"/>
  <c r="HA31" i="14"/>
  <c r="F77" i="9"/>
  <c r="F77" i="22" s="1"/>
  <c r="AG198" i="19"/>
  <c r="AE198" i="19"/>
  <c r="AH198" i="19" s="1"/>
  <c r="DN64" i="14"/>
  <c r="DO64" i="14" s="1"/>
  <c r="CM64" i="14"/>
  <c r="J79" i="9"/>
  <c r="J79" i="22" s="1"/>
  <c r="H96" i="14"/>
  <c r="G96" i="14"/>
  <c r="KH25" i="14"/>
  <c r="M72" i="9"/>
  <c r="M72" i="22" s="1"/>
  <c r="JH57" i="14"/>
  <c r="KI57" i="14"/>
  <c r="KJ57" i="14" s="1"/>
  <c r="HA60" i="14"/>
  <c r="L75" i="9"/>
  <c r="L75" i="22" s="1"/>
  <c r="IB60" i="14"/>
  <c r="IC60" i="14" s="1"/>
  <c r="KI64" i="14"/>
  <c r="KJ64" i="14" s="1"/>
  <c r="JH64" i="14"/>
  <c r="M79" i="9"/>
  <c r="M79" i="22" s="1"/>
  <c r="FU32" i="14"/>
  <c r="FV32" i="14" s="1"/>
  <c r="ET32" i="14"/>
  <c r="E78" i="9"/>
  <c r="E78" i="22" s="1"/>
  <c r="AJ197" i="10"/>
  <c r="AH255" i="10" s="1"/>
  <c r="AI197" i="10"/>
  <c r="AF255" i="10" s="1"/>
  <c r="AE255" i="10" s="1"/>
  <c r="K77" i="23"/>
  <c r="FW59" i="14"/>
  <c r="K17" i="23" s="1"/>
  <c r="AF55" i="14"/>
  <c r="I70" i="9"/>
  <c r="I70" i="22" s="1"/>
  <c r="BG55" i="14"/>
  <c r="G98" i="14"/>
  <c r="H98" i="14"/>
  <c r="KH27" i="14"/>
  <c r="L71" i="9"/>
  <c r="L71" i="22" s="1"/>
  <c r="IB56" i="14"/>
  <c r="IC56" i="14" s="1"/>
  <c r="HA56" i="14"/>
  <c r="E71" i="9"/>
  <c r="E71" i="22" s="1"/>
  <c r="FU25" i="14"/>
  <c r="FV25" i="14" s="1"/>
  <c r="ET25" i="14"/>
  <c r="IB23" i="14"/>
  <c r="HA23" i="14"/>
  <c r="F69" i="9"/>
  <c r="F69" i="22" s="1"/>
  <c r="J509" i="10"/>
  <c r="K509" i="10" s="1"/>
  <c r="I510" i="10"/>
  <c r="KI65" i="14"/>
  <c r="KJ65" i="14" s="1"/>
  <c r="M80" i="9"/>
  <c r="M80" i="22" s="1"/>
  <c r="JH65" i="14"/>
  <c r="FU57" i="14"/>
  <c r="FV57" i="14" s="1"/>
  <c r="K72" i="9"/>
  <c r="K72" i="22" s="1"/>
  <c r="ET57" i="14"/>
  <c r="D73" i="9"/>
  <c r="D73" i="22" s="1"/>
  <c r="DN27" i="14"/>
  <c r="DO27" i="14" s="1"/>
  <c r="CM27" i="14"/>
  <c r="E75" i="23"/>
  <c r="FW26" i="14"/>
  <c r="E15" i="23" s="1"/>
  <c r="MP65" i="14"/>
  <c r="MQ65" i="14" s="1"/>
  <c r="LO65" i="14"/>
  <c r="N80" i="9"/>
  <c r="N80" i="22" s="1"/>
  <c r="F95" i="14"/>
  <c r="IA24" i="14"/>
  <c r="E78" i="23"/>
  <c r="FW29" i="14"/>
  <c r="E18" i="23" s="1"/>
  <c r="DN61" i="14"/>
  <c r="DO61" i="14" s="1"/>
  <c r="J76" i="9"/>
  <c r="J76" i="22" s="1"/>
  <c r="CM61" i="14"/>
  <c r="HA26" i="14"/>
  <c r="F72" i="9"/>
  <c r="F72" i="22" s="1"/>
  <c r="IB26" i="14"/>
  <c r="IC26" i="14" s="1"/>
  <c r="AC200" i="10"/>
  <c r="AD199" i="10"/>
  <c r="IB57" i="14"/>
  <c r="IC57" i="14" s="1"/>
  <c r="L72" i="9"/>
  <c r="L72" i="22" s="1"/>
  <c r="HA57" i="14"/>
  <c r="DN31" i="14"/>
  <c r="DO31" i="14" s="1"/>
  <c r="CM31" i="14"/>
  <c r="D77" i="9"/>
  <c r="D77" i="22" s="1"/>
  <c r="J70" i="9"/>
  <c r="J70" i="22" s="1"/>
  <c r="CM55" i="14"/>
  <c r="DN55" i="14"/>
  <c r="DN66" i="14"/>
  <c r="CM66" i="14"/>
  <c r="J81" i="9"/>
  <c r="J81" i="22" s="1"/>
  <c r="KI63" i="14"/>
  <c r="KJ63" i="14" s="1"/>
  <c r="JH63" i="14"/>
  <c r="M78" i="9"/>
  <c r="M78" i="22" s="1"/>
  <c r="BG62" i="14"/>
  <c r="BH62" i="14" s="1"/>
  <c r="AF62" i="14"/>
  <c r="I77" i="9"/>
  <c r="I77" i="22" s="1"/>
  <c r="AI197" i="19"/>
  <c r="AF255" i="19" s="1"/>
  <c r="AE255" i="19" s="1"/>
  <c r="AJ197" i="19"/>
  <c r="AH255" i="19" s="1"/>
  <c r="FU63" i="14"/>
  <c r="FV63" i="14" s="1"/>
  <c r="K78" i="9"/>
  <c r="K78" i="22" s="1"/>
  <c r="ET63" i="14"/>
  <c r="N97" i="14"/>
  <c r="MO57" i="14"/>
  <c r="AF57" i="14"/>
  <c r="I72" i="9"/>
  <c r="I72" i="22" s="1"/>
  <c r="BG57" i="14"/>
  <c r="BH57" i="14" s="1"/>
  <c r="ET58" i="14"/>
  <c r="K73" i="9"/>
  <c r="K73" i="22" s="1"/>
  <c r="FU58" i="14"/>
  <c r="FV58" i="14" s="1"/>
  <c r="MP57" i="14"/>
  <c r="MQ57" i="14" s="1"/>
  <c r="LO57" i="14"/>
  <c r="N72" i="9"/>
  <c r="N72" i="22" s="1"/>
  <c r="LO29" i="14"/>
  <c r="MP29" i="14"/>
  <c r="MQ29" i="14" s="1"/>
  <c r="H75" i="9"/>
  <c r="H75" i="22" s="1"/>
  <c r="H73" i="9"/>
  <c r="H73" i="22" s="1"/>
  <c r="LO27" i="14"/>
  <c r="MP27" i="14"/>
  <c r="MQ27" i="14" s="1"/>
  <c r="IB30" i="14"/>
  <c r="IC30" i="14" s="1"/>
  <c r="F76" i="9"/>
  <c r="F76" i="22" s="1"/>
  <c r="HA30" i="14"/>
  <c r="KI32" i="14"/>
  <c r="KJ32" i="14" s="1"/>
  <c r="G78" i="9"/>
  <c r="G78" i="22" s="1"/>
  <c r="JH32" i="14"/>
  <c r="GZ24" i="14"/>
  <c r="F12" i="9"/>
  <c r="I54" i="23"/>
  <c r="BI66" i="14"/>
  <c r="I24" i="23" s="1"/>
  <c r="LO23" i="14"/>
  <c r="H69" i="9"/>
  <c r="H69" i="22" s="1"/>
  <c r="MP23" i="14"/>
  <c r="BI58" i="14"/>
  <c r="I16" i="23" s="1"/>
  <c r="I76" i="23"/>
  <c r="DM28" i="14"/>
  <c r="D99" i="14"/>
  <c r="IB34" i="14"/>
  <c r="HA34" i="14"/>
  <c r="F80" i="9"/>
  <c r="F80" i="22" s="1"/>
  <c r="K83" i="23"/>
  <c r="FW65" i="14"/>
  <c r="K23" i="23" s="1"/>
  <c r="L79" i="23"/>
  <c r="ID61" i="14"/>
  <c r="L19" i="23" s="1"/>
  <c r="IB29" i="14"/>
  <c r="IC29" i="14" s="1"/>
  <c r="HA29" i="14"/>
  <c r="F75" i="9"/>
  <c r="F75" i="22" s="1"/>
  <c r="MP30" i="14"/>
  <c r="MQ30" i="14" s="1"/>
  <c r="H76" i="9"/>
  <c r="H76" i="22" s="1"/>
  <c r="LO30" i="14"/>
  <c r="I74" i="9"/>
  <c r="I74" i="22" s="1"/>
  <c r="AF59" i="14"/>
  <c r="BG59" i="14"/>
  <c r="BH59" i="14" s="1"/>
  <c r="ES28" i="14"/>
  <c r="E16" i="9"/>
  <c r="AE66" i="14"/>
  <c r="I23" i="9"/>
  <c r="IA65" i="14"/>
  <c r="LN32" i="14"/>
  <c r="H20" i="9"/>
  <c r="MP63" i="14"/>
  <c r="MQ63" i="14" s="1"/>
  <c r="LO63" i="14"/>
  <c r="N78" i="9"/>
  <c r="N78" i="22" s="1"/>
  <c r="DN59" i="14"/>
  <c r="DO59" i="14" s="1"/>
  <c r="CM59" i="14"/>
  <c r="J74" i="9"/>
  <c r="J74" i="22" s="1"/>
  <c r="CA184" i="16"/>
  <c r="CC181" i="16"/>
  <c r="FU33" i="14"/>
  <c r="FV33" i="14" s="1"/>
  <c r="E79" i="9"/>
  <c r="E79" i="22" s="1"/>
  <c r="ET33" i="14"/>
  <c r="K13" i="9"/>
  <c r="ES56" i="14"/>
  <c r="I80" i="9"/>
  <c r="I80" i="22" s="1"/>
  <c r="AF65" i="14"/>
  <c r="BG65" i="14"/>
  <c r="AA550" i="10"/>
  <c r="AB549" i="10"/>
  <c r="AC549" i="10" s="1"/>
  <c r="BW181" i="16"/>
  <c r="BV184" i="16"/>
  <c r="BU184" i="16"/>
  <c r="DN62" i="14"/>
  <c r="DO62" i="14" s="1"/>
  <c r="CM62" i="14"/>
  <c r="J77" i="9"/>
  <c r="J77" i="22" s="1"/>
  <c r="G15" i="9"/>
  <c r="JG27" i="14"/>
  <c r="AM545" i="10"/>
  <c r="AN544" i="10"/>
  <c r="AO544" i="10" s="1"/>
  <c r="BI60" i="14"/>
  <c r="I18" i="23" s="1"/>
  <c r="I78" i="23"/>
  <c r="G44" i="23"/>
  <c r="KK25" i="14"/>
  <c r="G14" i="23" s="1"/>
  <c r="DN29" i="14"/>
  <c r="DO29" i="14" s="1"/>
  <c r="D75" i="9"/>
  <c r="D75" i="22" s="1"/>
  <c r="CM29" i="14"/>
  <c r="MP35" i="14"/>
  <c r="LO35" i="14"/>
  <c r="H81" i="9"/>
  <c r="H81" i="22" s="1"/>
  <c r="J72" i="9"/>
  <c r="J72" i="22" s="1"/>
  <c r="CM57" i="14"/>
  <c r="DN57" i="14"/>
  <c r="DO57" i="14" s="1"/>
  <c r="IB63" i="14"/>
  <c r="IC63" i="14" s="1"/>
  <c r="HA63" i="14"/>
  <c r="L78" i="9"/>
  <c r="L78" i="22" s="1"/>
  <c r="BX184" i="16"/>
  <c r="BZ181" i="16"/>
  <c r="MP61" i="14"/>
  <c r="MQ61" i="14" s="1"/>
  <c r="N76" i="9"/>
  <c r="N76" i="22" s="1"/>
  <c r="LO61" i="14"/>
  <c r="AE198" i="10"/>
  <c r="AH198" i="10" s="1"/>
  <c r="AG198" i="10"/>
  <c r="F74" i="9"/>
  <c r="F74" i="22" s="1"/>
  <c r="IB28" i="14"/>
  <c r="IC28" i="14" s="1"/>
  <c r="HA28" i="14"/>
  <c r="JH30" i="14"/>
  <c r="KI30" i="14"/>
  <c r="KJ30" i="14" s="1"/>
  <c r="G76" i="9"/>
  <c r="G76" i="22" s="1"/>
  <c r="AE226" i="16"/>
  <c r="AH226" i="16" s="1"/>
  <c r="AG226" i="16"/>
  <c r="AC200" i="19"/>
  <c r="AD199" i="19"/>
  <c r="J80" i="9"/>
  <c r="J80" i="22" s="1"/>
  <c r="DN65" i="14"/>
  <c r="CM65" i="14"/>
  <c r="CM58" i="14"/>
  <c r="DN58" i="14"/>
  <c r="DO58" i="14" s="1"/>
  <c r="J73" i="9"/>
  <c r="J73" i="22" s="1"/>
  <c r="KK29" i="14"/>
  <c r="G18" i="23" s="1"/>
  <c r="G78" i="23"/>
  <c r="AC256" i="16"/>
  <c r="AG255" i="16"/>
  <c r="AI225" i="16"/>
  <c r="AF283" i="16" s="1"/>
  <c r="AE283" i="16" s="1"/>
  <c r="AJ225" i="16"/>
  <c r="AH283" i="16" s="1"/>
  <c r="N82" i="23"/>
  <c r="MR64" i="14"/>
  <c r="N22" i="23" s="1"/>
  <c r="FU64" i="14"/>
  <c r="FV64" i="14" s="1"/>
  <c r="K79" i="9"/>
  <c r="K79" i="22" s="1"/>
  <c r="ET64" i="14"/>
  <c r="AF56" i="14"/>
  <c r="I71" i="9"/>
  <c r="I71" i="22" s="1"/>
  <c r="BG56" i="14"/>
  <c r="MP28" i="14"/>
  <c r="MQ28" i="14" s="1"/>
  <c r="H74" i="9"/>
  <c r="H74" i="22" s="1"/>
  <c r="LO28" i="14"/>
  <c r="DN32" i="14"/>
  <c r="DO32" i="14" s="1"/>
  <c r="CM32" i="14"/>
  <c r="D78" i="9"/>
  <c r="D78" i="22" s="1"/>
  <c r="FU61" i="14"/>
  <c r="FV61" i="14" s="1"/>
  <c r="ET61" i="14"/>
  <c r="K76" i="9"/>
  <c r="K76" i="22" s="1"/>
  <c r="KI62" i="14"/>
  <c r="KJ62" i="14" s="1"/>
  <c r="M77" i="9"/>
  <c r="M77" i="22" s="1"/>
  <c r="JH62" i="14"/>
  <c r="I77" i="23" l="1"/>
  <c r="BI59" i="14"/>
  <c r="I17" i="23" s="1"/>
  <c r="F79" i="23"/>
  <c r="ID30" i="14"/>
  <c r="F19" i="23" s="1"/>
  <c r="J79" i="23"/>
  <c r="DP61" i="14"/>
  <c r="J19" i="23" s="1"/>
  <c r="M74" i="23"/>
  <c r="KK56" i="14"/>
  <c r="M14" i="23" s="1"/>
  <c r="J549" i="10"/>
  <c r="K549" i="10" s="1"/>
  <c r="I550" i="10"/>
  <c r="I79" i="23"/>
  <c r="BI61" i="14"/>
  <c r="I19" i="23" s="1"/>
  <c r="H76" i="23"/>
  <c r="MR27" i="14"/>
  <c r="H16" i="23" s="1"/>
  <c r="J82" i="23"/>
  <c r="DP64" i="14"/>
  <c r="J22" i="23" s="1"/>
  <c r="AC255" i="10"/>
  <c r="AG254" i="10"/>
  <c r="L76" i="23"/>
  <c r="ID58" i="14"/>
  <c r="L16" i="23" s="1"/>
  <c r="H78" i="9"/>
  <c r="H78" i="22" s="1"/>
  <c r="MP32" i="14"/>
  <c r="LO32" i="14"/>
  <c r="AC201" i="10"/>
  <c r="AD200" i="10"/>
  <c r="AC256" i="19"/>
  <c r="AG255" i="19"/>
  <c r="AI198" i="19"/>
  <c r="AF256" i="19" s="1"/>
  <c r="AE256" i="19" s="1"/>
  <c r="AJ198" i="19"/>
  <c r="AH256" i="19" s="1"/>
  <c r="E80" i="23"/>
  <c r="FW31" i="14"/>
  <c r="E20" i="23" s="1"/>
  <c r="FW60" i="14"/>
  <c r="K18" i="23" s="1"/>
  <c r="K78" i="23"/>
  <c r="D81" i="23"/>
  <c r="DP32" i="14"/>
  <c r="D21" i="23" s="1"/>
  <c r="AG199" i="19"/>
  <c r="AE199" i="19"/>
  <c r="AH199" i="19" s="1"/>
  <c r="ID28" i="14"/>
  <c r="F17" i="23" s="1"/>
  <c r="F77" i="23"/>
  <c r="ET56" i="14"/>
  <c r="FU56" i="14"/>
  <c r="FV56" i="14" s="1"/>
  <c r="K71" i="9"/>
  <c r="K71" i="22" s="1"/>
  <c r="K81" i="23"/>
  <c r="FW63" i="14"/>
  <c r="K21" i="23" s="1"/>
  <c r="M81" i="23"/>
  <c r="KK63" i="14"/>
  <c r="M21" i="23" s="1"/>
  <c r="L74" i="23"/>
  <c r="ID56" i="14"/>
  <c r="L14" i="23" s="1"/>
  <c r="H80" i="23"/>
  <c r="MR31" i="14"/>
  <c r="H20" i="23" s="1"/>
  <c r="MR60" i="14"/>
  <c r="N18" i="23" s="1"/>
  <c r="N78" i="23"/>
  <c r="K80" i="23"/>
  <c r="FW62" i="14"/>
  <c r="K20" i="23" s="1"/>
  <c r="F82" i="23"/>
  <c r="ID33" i="14"/>
  <c r="F22" i="23" s="1"/>
  <c r="D549" i="10"/>
  <c r="E549" i="10" s="1"/>
  <c r="C550" i="10"/>
  <c r="D78" i="23"/>
  <c r="DP29" i="14"/>
  <c r="D18" i="23" s="1"/>
  <c r="N81" i="23"/>
  <c r="MR63" i="14"/>
  <c r="N21" i="23" s="1"/>
  <c r="IB55" i="14"/>
  <c r="IC55" i="14" s="1"/>
  <c r="L70" i="9"/>
  <c r="L70" i="22" s="1"/>
  <c r="HA55" i="14"/>
  <c r="K79" i="23"/>
  <c r="FW61" i="14"/>
  <c r="K19" i="23" s="1"/>
  <c r="I80" i="23"/>
  <c r="BI62" i="14"/>
  <c r="I20" i="23" s="1"/>
  <c r="FW25" i="14"/>
  <c r="E14" i="23" s="1"/>
  <c r="E74" i="23"/>
  <c r="E83" i="23"/>
  <c r="FW34" i="14"/>
  <c r="E23" i="23" s="1"/>
  <c r="AE227" i="16"/>
  <c r="AH227" i="16" s="1"/>
  <c r="AG227" i="16"/>
  <c r="M83" i="23"/>
  <c r="KK65" i="14"/>
  <c r="M23" i="23" s="1"/>
  <c r="E81" i="23"/>
  <c r="FW32" i="14"/>
  <c r="E21" i="23" s="1"/>
  <c r="MR58" i="14"/>
  <c r="N16" i="23" s="1"/>
  <c r="N76" i="23"/>
  <c r="AC257" i="16"/>
  <c r="AG256" i="16"/>
  <c r="J80" i="23"/>
  <c r="DP62" i="14"/>
  <c r="J20" i="23" s="1"/>
  <c r="BG66" i="14"/>
  <c r="AF66" i="14"/>
  <c r="I81" i="9"/>
  <c r="I81" i="22" s="1"/>
  <c r="G81" i="23"/>
  <c r="KK32" i="14"/>
  <c r="G21" i="23" s="1"/>
  <c r="MR29" i="14"/>
  <c r="H18" i="23" s="1"/>
  <c r="H78" i="23"/>
  <c r="D80" i="23"/>
  <c r="DP31" i="14"/>
  <c r="D20" i="23" s="1"/>
  <c r="M82" i="23"/>
  <c r="KK64" i="14"/>
  <c r="M22" i="23" s="1"/>
  <c r="L77" i="23"/>
  <c r="ID59" i="14"/>
  <c r="L17" i="23" s="1"/>
  <c r="J78" i="23"/>
  <c r="DP60" i="14"/>
  <c r="J18" i="23" s="1"/>
  <c r="M79" i="23"/>
  <c r="KK61" i="14"/>
  <c r="M19" i="23" s="1"/>
  <c r="J81" i="23"/>
  <c r="DP63" i="14"/>
  <c r="J21" i="23" s="1"/>
  <c r="IB65" i="14"/>
  <c r="IC65" i="14" s="1"/>
  <c r="L80" i="9"/>
  <c r="L80" i="22" s="1"/>
  <c r="HA65" i="14"/>
  <c r="G80" i="23"/>
  <c r="KK31" i="14"/>
  <c r="G20" i="23" s="1"/>
  <c r="DP57" i="14"/>
  <c r="J15" i="23" s="1"/>
  <c r="J75" i="23"/>
  <c r="AA551" i="10"/>
  <c r="AB550" i="10"/>
  <c r="AC550" i="10" s="1"/>
  <c r="ID29" i="14"/>
  <c r="F18" i="23" s="1"/>
  <c r="F78" i="23"/>
  <c r="ID57" i="14"/>
  <c r="L15" i="23" s="1"/>
  <c r="L75" i="23"/>
  <c r="DP25" i="14"/>
  <c r="D14" i="23" s="1"/>
  <c r="D74" i="23"/>
  <c r="G79" i="9"/>
  <c r="G79" i="22" s="1"/>
  <c r="KI33" i="14"/>
  <c r="JH33" i="14"/>
  <c r="N75" i="23"/>
  <c r="MR57" i="14"/>
  <c r="N15" i="23" s="1"/>
  <c r="N74" i="23"/>
  <c r="MR56" i="14"/>
  <c r="N14" i="23" s="1"/>
  <c r="U494" i="10"/>
  <c r="V493" i="10"/>
  <c r="W493" i="10" s="1"/>
  <c r="N73" i="23"/>
  <c r="MR55" i="14"/>
  <c r="N13" i="23" s="1"/>
  <c r="N79" i="23"/>
  <c r="MR61" i="14"/>
  <c r="N19" i="23" s="1"/>
  <c r="FW58" i="14"/>
  <c r="K16" i="23" s="1"/>
  <c r="K76" i="23"/>
  <c r="J74" i="23"/>
  <c r="DP56" i="14"/>
  <c r="J14" i="23" s="1"/>
  <c r="LO34" i="14"/>
  <c r="H80" i="9"/>
  <c r="H80" i="22" s="1"/>
  <c r="MP34" i="14"/>
  <c r="AC229" i="16"/>
  <c r="AD228" i="16"/>
  <c r="F75" i="23"/>
  <c r="ID26" i="14"/>
  <c r="F15" i="23" s="1"/>
  <c r="J510" i="10"/>
  <c r="K510" i="10" s="1"/>
  <c r="I511" i="10"/>
  <c r="DN34" i="14"/>
  <c r="DO34" i="14" s="1"/>
  <c r="CM34" i="14"/>
  <c r="D80" i="9"/>
  <c r="D80" i="22" s="1"/>
  <c r="K82" i="23"/>
  <c r="FW64" i="14"/>
  <c r="K22" i="23" s="1"/>
  <c r="AC201" i="19"/>
  <c r="AD200" i="19"/>
  <c r="DP59" i="14"/>
  <c r="J17" i="23" s="1"/>
  <c r="J77" i="23"/>
  <c r="H79" i="23"/>
  <c r="MR30" i="14"/>
  <c r="H19" i="23" s="1"/>
  <c r="BI57" i="14"/>
  <c r="I15" i="23" s="1"/>
  <c r="I75" i="23"/>
  <c r="M80" i="23"/>
  <c r="KK62" i="14"/>
  <c r="M20" i="23" s="1"/>
  <c r="AI226" i="16"/>
  <c r="AF284" i="16" s="1"/>
  <c r="AE284" i="16" s="1"/>
  <c r="AJ226" i="16"/>
  <c r="AH284" i="16" s="1"/>
  <c r="AJ198" i="10"/>
  <c r="AH256" i="10" s="1"/>
  <c r="AI198" i="10"/>
  <c r="AF256" i="10" s="1"/>
  <c r="AE256" i="10" s="1"/>
  <c r="AM546" i="10"/>
  <c r="AN545" i="10"/>
  <c r="AO545" i="10" s="1"/>
  <c r="ID60" i="14"/>
  <c r="L18" i="23" s="1"/>
  <c r="L78" i="23"/>
  <c r="F80" i="23"/>
  <c r="ID31" i="14"/>
  <c r="F20" i="23" s="1"/>
  <c r="P547" i="10"/>
  <c r="Q547" i="10" s="1"/>
  <c r="O548" i="10"/>
  <c r="M73" i="23"/>
  <c r="KK55" i="14"/>
  <c r="M13" i="23" s="1"/>
  <c r="G69" i="9"/>
  <c r="G69" i="22" s="1"/>
  <c r="JH23" i="14"/>
  <c r="KI23" i="14"/>
  <c r="D75" i="23"/>
  <c r="DP26" i="14"/>
  <c r="D15" i="23" s="1"/>
  <c r="V540" i="10"/>
  <c r="W540" i="10" s="1"/>
  <c r="U541" i="10"/>
  <c r="E76" i="23"/>
  <c r="FW27" i="14"/>
  <c r="E16" i="23" s="1"/>
  <c r="KI25" i="14"/>
  <c r="G71" i="9"/>
  <c r="G71" i="22" s="1"/>
  <c r="JH25" i="14"/>
  <c r="E82" i="23"/>
  <c r="FW33" i="14"/>
  <c r="E22" i="23" s="1"/>
  <c r="G79" i="23"/>
  <c r="KK30" i="14"/>
  <c r="G19" i="23" s="1"/>
  <c r="AE199" i="10"/>
  <c r="AH199" i="10" s="1"/>
  <c r="AG199" i="10"/>
  <c r="KK57" i="14"/>
  <c r="M15" i="23" s="1"/>
  <c r="M75" i="23"/>
  <c r="D79" i="23"/>
  <c r="DP30" i="14"/>
  <c r="D19" i="23" s="1"/>
  <c r="F81" i="23"/>
  <c r="ID32" i="14"/>
  <c r="F21" i="23" s="1"/>
  <c r="F70" i="9"/>
  <c r="F70" i="22" s="1"/>
  <c r="IB24" i="14"/>
  <c r="HA24" i="14"/>
  <c r="D73" i="23"/>
  <c r="DP24" i="14"/>
  <c r="D13" i="23" s="1"/>
  <c r="JH26" i="14"/>
  <c r="KI26" i="14"/>
  <c r="KJ26" i="14" s="1"/>
  <c r="G72" i="9"/>
  <c r="G72" i="22" s="1"/>
  <c r="D76" i="23"/>
  <c r="DP27" i="14"/>
  <c r="D16" i="23" s="1"/>
  <c r="H77" i="23"/>
  <c r="MR28" i="14"/>
  <c r="H17" i="23" s="1"/>
  <c r="DP58" i="14"/>
  <c r="J16" i="23" s="1"/>
  <c r="J76" i="23"/>
  <c r="L81" i="23"/>
  <c r="ID63" i="14"/>
  <c r="L21" i="23" s="1"/>
  <c r="JH27" i="14"/>
  <c r="KI27" i="14"/>
  <c r="KJ27" i="14" s="1"/>
  <c r="G73" i="9"/>
  <c r="G73" i="22" s="1"/>
  <c r="FU28" i="14"/>
  <c r="FV28" i="14" s="1"/>
  <c r="E74" i="9"/>
  <c r="E74" i="22" s="1"/>
  <c r="ET28" i="14"/>
  <c r="N83" i="23"/>
  <c r="MR65" i="14"/>
  <c r="N23" i="23" s="1"/>
  <c r="K75" i="23"/>
  <c r="FW57" i="14"/>
  <c r="K15" i="23" s="1"/>
  <c r="L82" i="23"/>
  <c r="ID64" i="14"/>
  <c r="L22" i="23" s="1"/>
  <c r="AG558" i="10"/>
  <c r="AH557" i="10"/>
  <c r="AI557" i="10" s="1"/>
  <c r="D82" i="23"/>
  <c r="DP33" i="14"/>
  <c r="D22" i="23" s="1"/>
  <c r="CM28" i="14"/>
  <c r="D74" i="9"/>
  <c r="D74" i="22" s="1"/>
  <c r="DN28" i="14"/>
  <c r="DO28" i="14" s="1"/>
  <c r="I81" i="23"/>
  <c r="BI63" i="14"/>
  <c r="I21" i="23" s="1"/>
  <c r="AA552" i="10" l="1"/>
  <c r="AB551" i="10"/>
  <c r="AC551" i="10" s="1"/>
  <c r="ID55" i="14"/>
  <c r="L13" i="23" s="1"/>
  <c r="L73" i="23"/>
  <c r="AG228" i="16"/>
  <c r="AE228" i="16"/>
  <c r="AH228" i="16" s="1"/>
  <c r="O549" i="10"/>
  <c r="P548" i="10"/>
  <c r="Q548" i="10" s="1"/>
  <c r="AC230" i="16"/>
  <c r="AD229" i="16"/>
  <c r="AI199" i="19"/>
  <c r="AF257" i="19" s="1"/>
  <c r="AE257" i="19" s="1"/>
  <c r="AJ199" i="19"/>
  <c r="AH257" i="19" s="1"/>
  <c r="AC202" i="10"/>
  <c r="AD201" i="10"/>
  <c r="AM547" i="10"/>
  <c r="AN546" i="10"/>
  <c r="AO546" i="10" s="1"/>
  <c r="AJ227" i="16"/>
  <c r="AH285" i="16" s="1"/>
  <c r="AI227" i="16"/>
  <c r="AF285" i="16" s="1"/>
  <c r="AE285" i="16" s="1"/>
  <c r="G76" i="23"/>
  <c r="KK27" i="14"/>
  <c r="G16" i="23" s="1"/>
  <c r="AI199" i="10"/>
  <c r="AF257" i="10" s="1"/>
  <c r="AE257" i="10" s="1"/>
  <c r="AJ199" i="10"/>
  <c r="AH257" i="10" s="1"/>
  <c r="FW28" i="14"/>
  <c r="E17" i="23" s="1"/>
  <c r="E77" i="23"/>
  <c r="D83" i="23"/>
  <c r="DP34" i="14"/>
  <c r="D23" i="23" s="1"/>
  <c r="AC258" i="16"/>
  <c r="AG257" i="16"/>
  <c r="C551" i="10"/>
  <c r="D550" i="10"/>
  <c r="E550" i="10" s="1"/>
  <c r="AC257" i="19"/>
  <c r="AG256" i="19"/>
  <c r="I551" i="10"/>
  <c r="J550" i="10"/>
  <c r="K550" i="10" s="1"/>
  <c r="AE200" i="19"/>
  <c r="AH200" i="19" s="1"/>
  <c r="AG200" i="19"/>
  <c r="AC202" i="19"/>
  <c r="AD201" i="19"/>
  <c r="U495" i="10"/>
  <c r="V494" i="10"/>
  <c r="W494" i="10" s="1"/>
  <c r="G75" i="23"/>
  <c r="KK26" i="14"/>
  <c r="G15" i="23" s="1"/>
  <c r="V541" i="10"/>
  <c r="W541" i="10" s="1"/>
  <c r="U542" i="10"/>
  <c r="AG559" i="10"/>
  <c r="AH558" i="10"/>
  <c r="AI558" i="10" s="1"/>
  <c r="D77" i="23"/>
  <c r="DP28" i="14"/>
  <c r="D17" i="23" s="1"/>
  <c r="I512" i="10"/>
  <c r="J511" i="10"/>
  <c r="K511" i="10" s="1"/>
  <c r="L83" i="23"/>
  <c r="ID65" i="14"/>
  <c r="L23" i="23" s="1"/>
  <c r="FW56" i="14"/>
  <c r="K14" i="23" s="1"/>
  <c r="K74" i="23"/>
  <c r="AE200" i="10"/>
  <c r="AH200" i="10" s="1"/>
  <c r="AG200" i="10"/>
  <c r="AC256" i="10"/>
  <c r="AG255" i="10"/>
  <c r="AG560" i="10" l="1"/>
  <c r="AH559" i="10"/>
  <c r="AI559" i="10" s="1"/>
  <c r="AC203" i="19"/>
  <c r="AD202" i="19"/>
  <c r="C552" i="10"/>
  <c r="D551" i="10"/>
  <c r="E551" i="10" s="1"/>
  <c r="AC203" i="10"/>
  <c r="AD202" i="10"/>
  <c r="AJ228" i="16"/>
  <c r="AH286" i="16" s="1"/>
  <c r="AI228" i="16"/>
  <c r="AF286" i="16" s="1"/>
  <c r="AE286" i="16" s="1"/>
  <c r="V542" i="10"/>
  <c r="W542" i="10" s="1"/>
  <c r="U543" i="10"/>
  <c r="AI200" i="19"/>
  <c r="AF258" i="19" s="1"/>
  <c r="AE258" i="19" s="1"/>
  <c r="AJ200" i="19"/>
  <c r="AH258" i="19" s="1"/>
  <c r="U496" i="10"/>
  <c r="V495" i="10"/>
  <c r="W495" i="10" s="1"/>
  <c r="O550" i="10"/>
  <c r="P549" i="10"/>
  <c r="Q549" i="10" s="1"/>
  <c r="AE201" i="19"/>
  <c r="AH201" i="19" s="1"/>
  <c r="AG201" i="19"/>
  <c r="AC259" i="16"/>
  <c r="AG258" i="16"/>
  <c r="AI200" i="10"/>
  <c r="AF258" i="10" s="1"/>
  <c r="AE258" i="10" s="1"/>
  <c r="AJ200" i="10"/>
  <c r="AH258" i="10" s="1"/>
  <c r="AC258" i="19"/>
  <c r="AG257" i="19"/>
  <c r="AM548" i="10"/>
  <c r="AN547" i="10"/>
  <c r="AO547" i="10" s="1"/>
  <c r="AE201" i="10"/>
  <c r="AH201" i="10" s="1"/>
  <c r="AG201" i="10"/>
  <c r="AE229" i="16"/>
  <c r="AH229" i="16" s="1"/>
  <c r="AG229" i="16"/>
  <c r="AG256" i="10"/>
  <c r="AC257" i="10"/>
  <c r="I513" i="10"/>
  <c r="J512" i="10"/>
  <c r="K512" i="10" s="1"/>
  <c r="I552" i="10"/>
  <c r="J551" i="10"/>
  <c r="K551" i="10" s="1"/>
  <c r="AC231" i="16"/>
  <c r="AD231" i="16" s="1"/>
  <c r="AD230" i="16"/>
  <c r="AA553" i="10"/>
  <c r="AB552" i="10"/>
  <c r="AC552" i="10" s="1"/>
  <c r="AE230" i="16" l="1"/>
  <c r="AH230" i="16" s="1"/>
  <c r="AG230" i="16"/>
  <c r="AE231" i="16"/>
  <c r="AH231" i="16" s="1"/>
  <c r="AG231" i="16"/>
  <c r="AI201" i="10"/>
  <c r="AF259" i="10" s="1"/>
  <c r="AE259" i="10" s="1"/>
  <c r="AJ201" i="10"/>
  <c r="AH259" i="10" s="1"/>
  <c r="AJ229" i="16"/>
  <c r="AH287" i="16" s="1"/>
  <c r="AI229" i="16"/>
  <c r="AF287" i="16" s="1"/>
  <c r="AE287" i="16" s="1"/>
  <c r="AG202" i="10"/>
  <c r="AE202" i="10"/>
  <c r="AH202" i="10" s="1"/>
  <c r="AC260" i="16"/>
  <c r="AG259" i="16"/>
  <c r="C553" i="10"/>
  <c r="D552" i="10"/>
  <c r="E552" i="10" s="1"/>
  <c r="AI201" i="19"/>
  <c r="AF259" i="19" s="1"/>
  <c r="AE259" i="19" s="1"/>
  <c r="AJ201" i="19"/>
  <c r="AH259" i="19" s="1"/>
  <c r="U544" i="10"/>
  <c r="V543" i="10"/>
  <c r="W543" i="10" s="1"/>
  <c r="AC204" i="19"/>
  <c r="AD203" i="19"/>
  <c r="AG257" i="10"/>
  <c r="AC258" i="10"/>
  <c r="U497" i="10"/>
  <c r="V496" i="10"/>
  <c r="W496" i="10" s="1"/>
  <c r="AC204" i="10"/>
  <c r="AD203" i="10"/>
  <c r="I553" i="10"/>
  <c r="J552" i="10"/>
  <c r="K552" i="10" s="1"/>
  <c r="AE202" i="19"/>
  <c r="AH202" i="19" s="1"/>
  <c r="AG202" i="19"/>
  <c r="J513" i="10"/>
  <c r="K513" i="10" s="1"/>
  <c r="I514" i="10"/>
  <c r="AM549" i="10"/>
  <c r="AN548" i="10"/>
  <c r="AO548" i="10" s="1"/>
  <c r="AA554" i="10"/>
  <c r="AB553" i="10"/>
  <c r="AC553" i="10" s="1"/>
  <c r="AG258" i="19"/>
  <c r="AC259" i="19"/>
  <c r="O551" i="10"/>
  <c r="P550" i="10"/>
  <c r="Q550" i="10" s="1"/>
  <c r="AG561" i="10"/>
  <c r="AH560" i="10"/>
  <c r="AI560" i="10" s="1"/>
  <c r="I515" i="10" l="1"/>
  <c r="J514" i="10"/>
  <c r="K514" i="10" s="1"/>
  <c r="P551" i="10"/>
  <c r="Q551" i="10" s="1"/>
  <c r="O552" i="10"/>
  <c r="AC260" i="19"/>
  <c r="AG259" i="19"/>
  <c r="AG258" i="10"/>
  <c r="AC259" i="10"/>
  <c r="AE203" i="19"/>
  <c r="AH203" i="19" s="1"/>
  <c r="AG203" i="19"/>
  <c r="AJ231" i="16"/>
  <c r="AH289" i="16" s="1"/>
  <c r="AI231" i="16"/>
  <c r="AF289" i="16" s="1"/>
  <c r="AE289" i="16" s="1"/>
  <c r="U498" i="10"/>
  <c r="V497" i="10"/>
  <c r="W497" i="10" s="1"/>
  <c r="AI202" i="19"/>
  <c r="AF260" i="19" s="1"/>
  <c r="AE260" i="19" s="1"/>
  <c r="AJ202" i="19"/>
  <c r="AH260" i="19" s="1"/>
  <c r="AJ230" i="16"/>
  <c r="AH288" i="16" s="1"/>
  <c r="AI230" i="16"/>
  <c r="AF288" i="16" s="1"/>
  <c r="AE288" i="16" s="1"/>
  <c r="C554" i="10"/>
  <c r="D553" i="10"/>
  <c r="E553" i="10" s="1"/>
  <c r="AB554" i="10"/>
  <c r="AC554" i="10" s="1"/>
  <c r="AA555" i="10"/>
  <c r="I554" i="10"/>
  <c r="J553" i="10"/>
  <c r="K553" i="10" s="1"/>
  <c r="AC205" i="19"/>
  <c r="AD204" i="19"/>
  <c r="AG260" i="16"/>
  <c r="AC261" i="16"/>
  <c r="AG203" i="10"/>
  <c r="AE203" i="10"/>
  <c r="AH203" i="10" s="1"/>
  <c r="AG562" i="10"/>
  <c r="AH561" i="10"/>
  <c r="AI561" i="10" s="1"/>
  <c r="AN549" i="10"/>
  <c r="AO549" i="10" s="1"/>
  <c r="AM550" i="10"/>
  <c r="AC205" i="10"/>
  <c r="AD204" i="10"/>
  <c r="U545" i="10"/>
  <c r="V544" i="10"/>
  <c r="W544" i="10" s="1"/>
  <c r="AJ202" i="10"/>
  <c r="AH260" i="10" s="1"/>
  <c r="AI202" i="10"/>
  <c r="AF260" i="10" s="1"/>
  <c r="AE260" i="10" s="1"/>
  <c r="I555" i="10" l="1"/>
  <c r="J554" i="10"/>
  <c r="K554" i="10" s="1"/>
  <c r="AB555" i="10"/>
  <c r="AC555" i="10" s="1"/>
  <c r="AA556" i="10"/>
  <c r="V545" i="10"/>
  <c r="W545" i="10" s="1"/>
  <c r="U546" i="10"/>
  <c r="AE204" i="10"/>
  <c r="AH204" i="10" s="1"/>
  <c r="AG204" i="10"/>
  <c r="AC262" i="16"/>
  <c r="AG261" i="16"/>
  <c r="O553" i="10"/>
  <c r="P552" i="10"/>
  <c r="Q552" i="10" s="1"/>
  <c r="AC260" i="10"/>
  <c r="AG259" i="10"/>
  <c r="AI203" i="10"/>
  <c r="AF261" i="10" s="1"/>
  <c r="AE261" i="10" s="1"/>
  <c r="AJ203" i="10"/>
  <c r="AH261" i="10" s="1"/>
  <c r="AC261" i="19"/>
  <c r="AG260" i="19"/>
  <c r="AG204" i="19"/>
  <c r="AE204" i="19"/>
  <c r="AH204" i="19" s="1"/>
  <c r="AI203" i="19"/>
  <c r="AF261" i="19" s="1"/>
  <c r="AE261" i="19" s="1"/>
  <c r="AJ203" i="19"/>
  <c r="AH261" i="19" s="1"/>
  <c r="AG563" i="10"/>
  <c r="AH562" i="10"/>
  <c r="AI562" i="10" s="1"/>
  <c r="U499" i="10"/>
  <c r="V498" i="10"/>
  <c r="W498" i="10" s="1"/>
  <c r="AC206" i="10"/>
  <c r="AD205" i="10"/>
  <c r="C555" i="10"/>
  <c r="D554" i="10"/>
  <c r="E554" i="10" s="1"/>
  <c r="AM551" i="10"/>
  <c r="AN550" i="10"/>
  <c r="AO550" i="10" s="1"/>
  <c r="AC206" i="19"/>
  <c r="AD205" i="19"/>
  <c r="I516" i="10"/>
  <c r="J515" i="10"/>
  <c r="K515" i="10" s="1"/>
  <c r="AJ204" i="10" l="1"/>
  <c r="AH262" i="10" s="1"/>
  <c r="AI204" i="10"/>
  <c r="AF262" i="10" s="1"/>
  <c r="AE262" i="10" s="1"/>
  <c r="AM552" i="10"/>
  <c r="AN551" i="10"/>
  <c r="AO551" i="10" s="1"/>
  <c r="AG564" i="10"/>
  <c r="AH563" i="10"/>
  <c r="AI563" i="10" s="1"/>
  <c r="AA557" i="10"/>
  <c r="AB556" i="10"/>
  <c r="AC556" i="10" s="1"/>
  <c r="V546" i="10"/>
  <c r="W546" i="10" s="1"/>
  <c r="U547" i="10"/>
  <c r="C556" i="10"/>
  <c r="D555" i="10"/>
  <c r="E555" i="10" s="1"/>
  <c r="AC261" i="10"/>
  <c r="AG260" i="10"/>
  <c r="AG205" i="19"/>
  <c r="AE205" i="19"/>
  <c r="AH205" i="19" s="1"/>
  <c r="AE205" i="10"/>
  <c r="AH205" i="10" s="1"/>
  <c r="AG205" i="10"/>
  <c r="I517" i="10"/>
  <c r="J516" i="10"/>
  <c r="K516" i="10" s="1"/>
  <c r="AC207" i="10"/>
  <c r="AD206" i="10"/>
  <c r="AJ204" i="19"/>
  <c r="AH262" i="19" s="1"/>
  <c r="AI204" i="19"/>
  <c r="AF262" i="19" s="1"/>
  <c r="AE262" i="19" s="1"/>
  <c r="P553" i="10"/>
  <c r="Q553" i="10" s="1"/>
  <c r="O554" i="10"/>
  <c r="AC207" i="19"/>
  <c r="AD206" i="19"/>
  <c r="U500" i="10"/>
  <c r="V499" i="10"/>
  <c r="W499" i="10" s="1"/>
  <c r="AC262" i="19"/>
  <c r="AG261" i="19"/>
  <c r="AG262" i="16"/>
  <c r="AC263" i="16"/>
  <c r="I556" i="10"/>
  <c r="J555" i="10"/>
  <c r="K555" i="10" s="1"/>
  <c r="V500" i="10" l="1"/>
  <c r="W500" i="10" s="1"/>
  <c r="U501" i="10"/>
  <c r="AC262" i="10"/>
  <c r="AG261" i="10"/>
  <c r="AE206" i="19"/>
  <c r="AH206" i="19" s="1"/>
  <c r="AG206" i="19"/>
  <c r="AC208" i="10"/>
  <c r="AD207" i="10"/>
  <c r="AG207" i="10" s="1"/>
  <c r="AG565" i="10"/>
  <c r="AH564" i="10"/>
  <c r="AI564" i="10" s="1"/>
  <c r="AC263" i="19"/>
  <c r="AG262" i="19"/>
  <c r="AJ205" i="19"/>
  <c r="AH263" i="19" s="1"/>
  <c r="AI205" i="19"/>
  <c r="AF263" i="19" s="1"/>
  <c r="AE263" i="19" s="1"/>
  <c r="AE206" i="10"/>
  <c r="AH206" i="10" s="1"/>
  <c r="AG206" i="10"/>
  <c r="I557" i="10"/>
  <c r="J556" i="10"/>
  <c r="K556" i="10" s="1"/>
  <c r="AC208" i="19"/>
  <c r="AD207" i="19"/>
  <c r="AG207" i="19" s="1"/>
  <c r="I518" i="10"/>
  <c r="J517" i="10"/>
  <c r="K517" i="10" s="1"/>
  <c r="C557" i="10"/>
  <c r="D556" i="10"/>
  <c r="E556" i="10" s="1"/>
  <c r="AM553" i="10"/>
  <c r="AN552" i="10"/>
  <c r="AO552" i="10" s="1"/>
  <c r="AC264" i="16"/>
  <c r="AG263" i="16"/>
  <c r="O555" i="10"/>
  <c r="P554" i="10"/>
  <c r="Q554" i="10" s="1"/>
  <c r="AI205" i="10"/>
  <c r="AF263" i="10" s="1"/>
  <c r="AE263" i="10" s="1"/>
  <c r="AJ205" i="10"/>
  <c r="AH263" i="10" s="1"/>
  <c r="V547" i="10"/>
  <c r="W547" i="10" s="1"/>
  <c r="U548" i="10"/>
  <c r="AA558" i="10"/>
  <c r="AB557" i="10"/>
  <c r="AC557" i="10" s="1"/>
  <c r="AI207" i="19" l="1"/>
  <c r="AF265" i="19" s="1"/>
  <c r="AE265" i="19" s="1"/>
  <c r="AJ207" i="19"/>
  <c r="AH265" i="19" s="1"/>
  <c r="AI206" i="10"/>
  <c r="AF264" i="10" s="1"/>
  <c r="AE264" i="10" s="1"/>
  <c r="AJ206" i="10"/>
  <c r="AH264" i="10" s="1"/>
  <c r="AI207" i="10"/>
  <c r="AF265" i="10" s="1"/>
  <c r="AE265" i="10" s="1"/>
  <c r="AJ207" i="10"/>
  <c r="AH265" i="10" s="1"/>
  <c r="C558" i="10"/>
  <c r="D557" i="10"/>
  <c r="E557" i="10" s="1"/>
  <c r="AA559" i="10"/>
  <c r="AB558" i="10"/>
  <c r="AC558" i="10" s="1"/>
  <c r="AC265" i="16"/>
  <c r="AG264" i="16"/>
  <c r="AC209" i="19"/>
  <c r="AD208" i="19"/>
  <c r="AC264" i="19"/>
  <c r="AG263" i="19"/>
  <c r="AC263" i="10"/>
  <c r="AG262" i="10"/>
  <c r="V501" i="10"/>
  <c r="W501" i="10" s="1"/>
  <c r="U502" i="10"/>
  <c r="AC209" i="10"/>
  <c r="AD208" i="10"/>
  <c r="AI206" i="19"/>
  <c r="AF264" i="19" s="1"/>
  <c r="AE264" i="19" s="1"/>
  <c r="AJ206" i="19"/>
  <c r="AH264" i="19" s="1"/>
  <c r="O556" i="10"/>
  <c r="P555" i="10"/>
  <c r="Q555" i="10" s="1"/>
  <c r="I519" i="10"/>
  <c r="J518" i="10"/>
  <c r="K518" i="10" s="1"/>
  <c r="U549" i="10"/>
  <c r="V548" i="10"/>
  <c r="W548" i="10" s="1"/>
  <c r="AM554" i="10"/>
  <c r="AN553" i="10"/>
  <c r="AO553" i="10" s="1"/>
  <c r="J557" i="10"/>
  <c r="K557" i="10" s="1"/>
  <c r="I558" i="10"/>
  <c r="AG566" i="10"/>
  <c r="AH565" i="10"/>
  <c r="AI565" i="10" s="1"/>
  <c r="AE208" i="10" l="1"/>
  <c r="AH208" i="10" s="1"/>
  <c r="AG208" i="10"/>
  <c r="U550" i="10"/>
  <c r="V549" i="10"/>
  <c r="W549" i="10" s="1"/>
  <c r="AC210" i="10"/>
  <c r="AD209" i="10"/>
  <c r="AC210" i="19"/>
  <c r="AD209" i="19"/>
  <c r="V502" i="10"/>
  <c r="W502" i="10" s="1"/>
  <c r="U503" i="10"/>
  <c r="AM555" i="10"/>
  <c r="AN554" i="10"/>
  <c r="AO554" i="10" s="1"/>
  <c r="AE208" i="19"/>
  <c r="AH208" i="19" s="1"/>
  <c r="AG208" i="19"/>
  <c r="I520" i="10"/>
  <c r="J519" i="10"/>
  <c r="K519" i="10" s="1"/>
  <c r="AG567" i="10"/>
  <c r="AH566" i="10"/>
  <c r="AI566" i="10" s="1"/>
  <c r="AC265" i="19"/>
  <c r="AG264" i="19"/>
  <c r="C559" i="10"/>
  <c r="D558" i="10"/>
  <c r="E558" i="10" s="1"/>
  <c r="AC266" i="16"/>
  <c r="AG265" i="16"/>
  <c r="I559" i="10"/>
  <c r="J558" i="10"/>
  <c r="K558" i="10" s="1"/>
  <c r="P556" i="10"/>
  <c r="Q556" i="10" s="1"/>
  <c r="O557" i="10"/>
  <c r="AC264" i="10"/>
  <c r="AG263" i="10"/>
  <c r="AA560" i="10"/>
  <c r="AB559" i="10"/>
  <c r="AC559" i="10" s="1"/>
  <c r="AC267" i="16" l="1"/>
  <c r="AG266" i="16"/>
  <c r="AJ208" i="19"/>
  <c r="AH266" i="19" s="1"/>
  <c r="AI208" i="19"/>
  <c r="AF266" i="19" s="1"/>
  <c r="AE266" i="19" s="1"/>
  <c r="AE209" i="19"/>
  <c r="AH209" i="19" s="1"/>
  <c r="AG209" i="19"/>
  <c r="I521" i="10"/>
  <c r="J520" i="10"/>
  <c r="K520" i="10" s="1"/>
  <c r="O558" i="10"/>
  <c r="P557" i="10"/>
  <c r="Q557" i="10" s="1"/>
  <c r="AM556" i="10"/>
  <c r="AN555" i="10"/>
  <c r="AO555" i="10" s="1"/>
  <c r="AA561" i="10"/>
  <c r="AB560" i="10"/>
  <c r="AC560" i="10" s="1"/>
  <c r="AC211" i="19"/>
  <c r="AD210" i="19"/>
  <c r="AE209" i="10"/>
  <c r="AH209" i="10" s="1"/>
  <c r="AG209" i="10"/>
  <c r="AG264" i="10"/>
  <c r="AC265" i="10"/>
  <c r="C560" i="10"/>
  <c r="D559" i="10"/>
  <c r="E559" i="10" s="1"/>
  <c r="AC211" i="10"/>
  <c r="AD210" i="10"/>
  <c r="U504" i="10"/>
  <c r="V503" i="10"/>
  <c r="W503" i="10" s="1"/>
  <c r="AI208" i="10"/>
  <c r="AF266" i="10" s="1"/>
  <c r="AE266" i="10" s="1"/>
  <c r="AJ208" i="10"/>
  <c r="AH266" i="10" s="1"/>
  <c r="AC266" i="19"/>
  <c r="AG265" i="19"/>
  <c r="U551" i="10"/>
  <c r="V550" i="10"/>
  <c r="W550" i="10" s="1"/>
  <c r="I560" i="10"/>
  <c r="J559" i="10"/>
  <c r="K559" i="10" s="1"/>
  <c r="AG568" i="10"/>
  <c r="AH567" i="10"/>
  <c r="AI567" i="10" s="1"/>
  <c r="AE210" i="19" l="1"/>
  <c r="AH210" i="19" s="1"/>
  <c r="AG210" i="19"/>
  <c r="V551" i="10"/>
  <c r="W551" i="10" s="1"/>
  <c r="U552" i="10"/>
  <c r="AC212" i="19"/>
  <c r="AD211" i="19"/>
  <c r="I522" i="10"/>
  <c r="J521" i="10"/>
  <c r="K521" i="10" s="1"/>
  <c r="AD211" i="10"/>
  <c r="AC212" i="10"/>
  <c r="AI209" i="19"/>
  <c r="AF267" i="19" s="1"/>
  <c r="AE267" i="19" s="1"/>
  <c r="AJ209" i="19"/>
  <c r="AH267" i="19" s="1"/>
  <c r="C561" i="10"/>
  <c r="D560" i="10"/>
  <c r="E560" i="10" s="1"/>
  <c r="AG265" i="10"/>
  <c r="AC266" i="10"/>
  <c r="AG569" i="10"/>
  <c r="AH569" i="10" s="1"/>
  <c r="AI569" i="10" s="1"/>
  <c r="AH568" i="10"/>
  <c r="AI568" i="10" s="1"/>
  <c r="AM557" i="10"/>
  <c r="AN556" i="10"/>
  <c r="AO556" i="10" s="1"/>
  <c r="AE210" i="10"/>
  <c r="AH210" i="10" s="1"/>
  <c r="AG210" i="10"/>
  <c r="AC267" i="19"/>
  <c r="AG266" i="19"/>
  <c r="AA562" i="10"/>
  <c r="AB561" i="10"/>
  <c r="AC561" i="10" s="1"/>
  <c r="AJ209" i="10"/>
  <c r="AH267" i="10" s="1"/>
  <c r="AI209" i="10"/>
  <c r="AF267" i="10" s="1"/>
  <c r="AE267" i="10" s="1"/>
  <c r="I561" i="10"/>
  <c r="J560" i="10"/>
  <c r="K560" i="10" s="1"/>
  <c r="U505" i="10"/>
  <c r="V504" i="10"/>
  <c r="W504" i="10" s="1"/>
  <c r="O559" i="10"/>
  <c r="P558" i="10"/>
  <c r="Q558" i="10" s="1"/>
  <c r="AG267" i="16"/>
  <c r="AC268" i="16"/>
  <c r="AG266" i="10" l="1"/>
  <c r="AC267" i="10"/>
  <c r="U506" i="10"/>
  <c r="V505" i="10"/>
  <c r="W505" i="10" s="1"/>
  <c r="AJ210" i="10"/>
  <c r="AH268" i="10" s="1"/>
  <c r="AI210" i="10"/>
  <c r="AF268" i="10" s="1"/>
  <c r="AE268" i="10" s="1"/>
  <c r="AE211" i="19"/>
  <c r="AH211" i="19" s="1"/>
  <c r="AG211" i="19"/>
  <c r="I562" i="10"/>
  <c r="J561" i="10"/>
  <c r="K561" i="10" s="1"/>
  <c r="AC213" i="19"/>
  <c r="AD212" i="19"/>
  <c r="U553" i="10"/>
  <c r="V552" i="10"/>
  <c r="W552" i="10" s="1"/>
  <c r="D561" i="10"/>
  <c r="E561" i="10" s="1"/>
  <c r="C562" i="10"/>
  <c r="AG268" i="16"/>
  <c r="AC269" i="16"/>
  <c r="AM558" i="10"/>
  <c r="AN557" i="10"/>
  <c r="AO557" i="10" s="1"/>
  <c r="AC213" i="10"/>
  <c r="AD212" i="10"/>
  <c r="AI210" i="19"/>
  <c r="AF268" i="19" s="1"/>
  <c r="AE268" i="19" s="1"/>
  <c r="AJ210" i="19"/>
  <c r="AH268" i="19" s="1"/>
  <c r="AC268" i="19"/>
  <c r="AG267" i="19"/>
  <c r="J522" i="10"/>
  <c r="K522" i="10" s="1"/>
  <c r="I523" i="10"/>
  <c r="O560" i="10"/>
  <c r="P559" i="10"/>
  <c r="Q559" i="10" s="1"/>
  <c r="AA563" i="10"/>
  <c r="AB562" i="10"/>
  <c r="AC562" i="10" s="1"/>
  <c r="AE211" i="10"/>
  <c r="AH211" i="10" s="1"/>
  <c r="AG211" i="10"/>
  <c r="AE212" i="10" l="1"/>
  <c r="AH212" i="10" s="1"/>
  <c r="AG212" i="10"/>
  <c r="O561" i="10"/>
  <c r="P560" i="10"/>
  <c r="Q560" i="10" s="1"/>
  <c r="AC214" i="10"/>
  <c r="AD213" i="10"/>
  <c r="U554" i="10"/>
  <c r="V553" i="10"/>
  <c r="W553" i="10" s="1"/>
  <c r="J523" i="10"/>
  <c r="K523" i="10" s="1"/>
  <c r="K524" i="10" s="1"/>
  <c r="K525" i="10" s="1"/>
  <c r="I524" i="10"/>
  <c r="J524" i="10" s="1"/>
  <c r="AM559" i="10"/>
  <c r="AN558" i="10"/>
  <c r="AO558" i="10" s="1"/>
  <c r="AC214" i="19"/>
  <c r="AD213" i="19"/>
  <c r="U507" i="10"/>
  <c r="V506" i="10"/>
  <c r="W506" i="10" s="1"/>
  <c r="AG267" i="10"/>
  <c r="AC268" i="10"/>
  <c r="C563" i="10"/>
  <c r="D562" i="10"/>
  <c r="E562" i="10" s="1"/>
  <c r="AI211" i="19"/>
  <c r="AF269" i="19" s="1"/>
  <c r="AE269" i="19" s="1"/>
  <c r="AJ211" i="19"/>
  <c r="AH269" i="19" s="1"/>
  <c r="AA564" i="10"/>
  <c r="AB563" i="10"/>
  <c r="AC563" i="10" s="1"/>
  <c r="AG212" i="19"/>
  <c r="AE212" i="19"/>
  <c r="AH212" i="19" s="1"/>
  <c r="AJ211" i="10"/>
  <c r="AH269" i="10" s="1"/>
  <c r="AI211" i="10"/>
  <c r="AF269" i="10" s="1"/>
  <c r="AE269" i="10" s="1"/>
  <c r="AG269" i="16"/>
  <c r="AC270" i="16"/>
  <c r="AC269" i="19"/>
  <c r="AG268" i="19"/>
  <c r="I563" i="10"/>
  <c r="J562" i="10"/>
  <c r="K562" i="10" s="1"/>
  <c r="AC271" i="16" l="1"/>
  <c r="AG270" i="16"/>
  <c r="U555" i="10"/>
  <c r="V554" i="10"/>
  <c r="W554" i="10" s="1"/>
  <c r="AE213" i="19"/>
  <c r="AH213" i="19" s="1"/>
  <c r="AG213" i="19"/>
  <c r="AE213" i="10"/>
  <c r="AH213" i="10" s="1"/>
  <c r="AG213" i="10"/>
  <c r="AC269" i="10"/>
  <c r="AG268" i="10"/>
  <c r="P561" i="10"/>
  <c r="Q561" i="10" s="1"/>
  <c r="O562" i="10"/>
  <c r="AG269" i="19"/>
  <c r="AC270" i="19"/>
  <c r="AA565" i="10"/>
  <c r="AB564" i="10"/>
  <c r="AC564" i="10" s="1"/>
  <c r="U508" i="10"/>
  <c r="V507" i="10"/>
  <c r="W507" i="10" s="1"/>
  <c r="AC215" i="19"/>
  <c r="AD214" i="19"/>
  <c r="AC215" i="10"/>
  <c r="AD214" i="10"/>
  <c r="C564" i="10"/>
  <c r="D563" i="10"/>
  <c r="E563" i="10" s="1"/>
  <c r="AM560" i="10"/>
  <c r="AN559" i="10"/>
  <c r="AO559" i="10" s="1"/>
  <c r="I564" i="10"/>
  <c r="J563" i="10"/>
  <c r="K563" i="10" s="1"/>
  <c r="AI212" i="19"/>
  <c r="AF270" i="19" s="1"/>
  <c r="AE270" i="19" s="1"/>
  <c r="AJ212" i="19"/>
  <c r="AH270" i="19" s="1"/>
  <c r="AI212" i="10"/>
  <c r="AF270" i="10" s="1"/>
  <c r="AE270" i="10" s="1"/>
  <c r="AJ212" i="10"/>
  <c r="AH270" i="10" s="1"/>
  <c r="AJ213" i="19" l="1"/>
  <c r="AH271" i="19" s="1"/>
  <c r="AI213" i="19"/>
  <c r="AF271" i="19" s="1"/>
  <c r="AE271" i="19" s="1"/>
  <c r="AA566" i="10"/>
  <c r="AB565" i="10"/>
  <c r="AC565" i="10" s="1"/>
  <c r="O563" i="10"/>
  <c r="P562" i="10"/>
  <c r="Q562" i="10" s="1"/>
  <c r="AC216" i="19"/>
  <c r="AD215" i="19"/>
  <c r="U556" i="10"/>
  <c r="V555" i="10"/>
  <c r="W555" i="10" s="1"/>
  <c r="AI213" i="10"/>
  <c r="AF271" i="10" s="1"/>
  <c r="AE271" i="10" s="1"/>
  <c r="AJ213" i="10"/>
  <c r="AH271" i="10" s="1"/>
  <c r="C565" i="10"/>
  <c r="D564" i="10"/>
  <c r="E564" i="10" s="1"/>
  <c r="AG270" i="19"/>
  <c r="AC271" i="19"/>
  <c r="AC216" i="10"/>
  <c r="AD215" i="10"/>
  <c r="AG214" i="19"/>
  <c r="AE214" i="19"/>
  <c r="AH214" i="19" s="1"/>
  <c r="I565" i="10"/>
  <c r="J564" i="10"/>
  <c r="K564" i="10" s="1"/>
  <c r="AE214" i="10"/>
  <c r="AH214" i="10" s="1"/>
  <c r="AG214" i="10"/>
  <c r="AM561" i="10"/>
  <c r="AN560" i="10"/>
  <c r="AO560" i="10" s="1"/>
  <c r="U509" i="10"/>
  <c r="V508" i="10"/>
  <c r="W508" i="10" s="1"/>
  <c r="AG269" i="10"/>
  <c r="AC270" i="10"/>
  <c r="AG271" i="16"/>
  <c r="AC272" i="16"/>
  <c r="AG215" i="19" l="1"/>
  <c r="AE215" i="19"/>
  <c r="AH215" i="19" s="1"/>
  <c r="O564" i="10"/>
  <c r="P563" i="10"/>
  <c r="Q563" i="10" s="1"/>
  <c r="AJ214" i="10"/>
  <c r="AH272" i="10" s="1"/>
  <c r="AI214" i="10"/>
  <c r="AF272" i="10" s="1"/>
  <c r="AE272" i="10" s="1"/>
  <c r="C566" i="10"/>
  <c r="D565" i="10"/>
  <c r="E565" i="10" s="1"/>
  <c r="U510" i="10"/>
  <c r="V509" i="10"/>
  <c r="W509" i="10" s="1"/>
  <c r="AI214" i="19"/>
  <c r="AF272" i="19" s="1"/>
  <c r="AE272" i="19" s="1"/>
  <c r="AJ214" i="19"/>
  <c r="AH272" i="19" s="1"/>
  <c r="AA567" i="10"/>
  <c r="AB566" i="10"/>
  <c r="AC566" i="10" s="1"/>
  <c r="AG272" i="16"/>
  <c r="AC273" i="16"/>
  <c r="AC272" i="19"/>
  <c r="AG271" i="19"/>
  <c r="AC217" i="19"/>
  <c r="AD216" i="19"/>
  <c r="AG270" i="10"/>
  <c r="AC271" i="10"/>
  <c r="J565" i="10"/>
  <c r="K565" i="10" s="1"/>
  <c r="I566" i="10"/>
  <c r="AE215" i="10"/>
  <c r="AH215" i="10" s="1"/>
  <c r="AG215" i="10"/>
  <c r="AM562" i="10"/>
  <c r="AN561" i="10"/>
  <c r="AO561" i="10" s="1"/>
  <c r="AC217" i="10"/>
  <c r="AD216" i="10"/>
  <c r="U557" i="10"/>
  <c r="V556" i="10"/>
  <c r="W556" i="10" s="1"/>
  <c r="U558" i="10" l="1"/>
  <c r="V557" i="10"/>
  <c r="W557" i="10" s="1"/>
  <c r="C567" i="10"/>
  <c r="D566" i="10"/>
  <c r="E566" i="10" s="1"/>
  <c r="AE216" i="19"/>
  <c r="AH216" i="19" s="1"/>
  <c r="AG216" i="19"/>
  <c r="AM563" i="10"/>
  <c r="AN562" i="10"/>
  <c r="AO562" i="10" s="1"/>
  <c r="AC218" i="19"/>
  <c r="AD217" i="19"/>
  <c r="O565" i="10"/>
  <c r="P564" i="10"/>
  <c r="Q564" i="10" s="1"/>
  <c r="J566" i="10"/>
  <c r="K566" i="10" s="1"/>
  <c r="I567" i="10"/>
  <c r="AC274" i="16"/>
  <c r="AG273" i="16"/>
  <c r="AE216" i="10"/>
  <c r="AH216" i="10" s="1"/>
  <c r="AG216" i="10"/>
  <c r="AG271" i="10"/>
  <c r="AC272" i="10"/>
  <c r="AC218" i="10"/>
  <c r="AD217" i="10"/>
  <c r="AA568" i="10"/>
  <c r="AB567" i="10"/>
  <c r="AC567" i="10" s="1"/>
  <c r="AJ215" i="10"/>
  <c r="AH273" i="10" s="1"/>
  <c r="AI215" i="10"/>
  <c r="AF273" i="10" s="1"/>
  <c r="AE273" i="10" s="1"/>
  <c r="AC273" i="19"/>
  <c r="AG272" i="19"/>
  <c r="V510" i="10"/>
  <c r="W510" i="10" s="1"/>
  <c r="U511" i="10"/>
  <c r="AI215" i="19"/>
  <c r="AF273" i="19" s="1"/>
  <c r="AE273" i="19" s="1"/>
  <c r="AJ215" i="19"/>
  <c r="AH273" i="19" s="1"/>
  <c r="AB568" i="10" l="1"/>
  <c r="AC568" i="10" s="1"/>
  <c r="AA569" i="10"/>
  <c r="AB569" i="10" s="1"/>
  <c r="AC569" i="10" s="1"/>
  <c r="AG274" i="16"/>
  <c r="AC275" i="16"/>
  <c r="AM564" i="10"/>
  <c r="AN563" i="10"/>
  <c r="AO563" i="10" s="1"/>
  <c r="V511" i="10"/>
  <c r="W511" i="10" s="1"/>
  <c r="U512" i="10"/>
  <c r="AE217" i="10"/>
  <c r="AH217" i="10" s="1"/>
  <c r="AG217" i="10"/>
  <c r="I568" i="10"/>
  <c r="J567" i="10"/>
  <c r="K567" i="10" s="1"/>
  <c r="AJ216" i="19"/>
  <c r="AH274" i="19" s="1"/>
  <c r="AI216" i="19"/>
  <c r="AF274" i="19" s="1"/>
  <c r="AE274" i="19" s="1"/>
  <c r="AC274" i="19"/>
  <c r="AG273" i="19"/>
  <c r="O566" i="10"/>
  <c r="P565" i="10"/>
  <c r="Q565" i="10" s="1"/>
  <c r="C568" i="10"/>
  <c r="D567" i="10"/>
  <c r="E567" i="10" s="1"/>
  <c r="AE217" i="19"/>
  <c r="AH217" i="19" s="1"/>
  <c r="AG217" i="19"/>
  <c r="AD218" i="10"/>
  <c r="AC219" i="10"/>
  <c r="AC273" i="10"/>
  <c r="AG272" i="10"/>
  <c r="AI216" i="10"/>
  <c r="AF274" i="10" s="1"/>
  <c r="AE274" i="10" s="1"/>
  <c r="AJ216" i="10"/>
  <c r="AH274" i="10" s="1"/>
  <c r="AC219" i="19"/>
  <c r="AD218" i="19"/>
  <c r="U559" i="10"/>
  <c r="V558" i="10"/>
  <c r="W558" i="10" s="1"/>
  <c r="AD219" i="10" l="1"/>
  <c r="AC220" i="10"/>
  <c r="V512" i="10"/>
  <c r="W512" i="10" s="1"/>
  <c r="U513" i="10"/>
  <c r="U560" i="10"/>
  <c r="V559" i="10"/>
  <c r="W559" i="10" s="1"/>
  <c r="AG218" i="19"/>
  <c r="AE218" i="19"/>
  <c r="AH218" i="19" s="1"/>
  <c r="AI217" i="19"/>
  <c r="AF275" i="19" s="1"/>
  <c r="AE275" i="19" s="1"/>
  <c r="AJ217" i="19"/>
  <c r="AH275" i="19" s="1"/>
  <c r="AM565" i="10"/>
  <c r="AN564" i="10"/>
  <c r="AO564" i="10" s="1"/>
  <c r="AG275" i="16"/>
  <c r="AC276" i="16"/>
  <c r="D568" i="10"/>
  <c r="E568" i="10" s="1"/>
  <c r="C569" i="10"/>
  <c r="D569" i="10" s="1"/>
  <c r="E569" i="10" s="1"/>
  <c r="J568" i="10"/>
  <c r="K568" i="10" s="1"/>
  <c r="I569" i="10"/>
  <c r="J569" i="10" s="1"/>
  <c r="K569" i="10" s="1"/>
  <c r="AC220" i="19"/>
  <c r="AD219" i="19"/>
  <c r="AI217" i="10"/>
  <c r="AF275" i="10" s="1"/>
  <c r="AE275" i="10" s="1"/>
  <c r="AJ217" i="10"/>
  <c r="AH275" i="10" s="1"/>
  <c r="AG218" i="10"/>
  <c r="AE218" i="10"/>
  <c r="AH218" i="10" s="1"/>
  <c r="AG274" i="19"/>
  <c r="AC275" i="19"/>
  <c r="AC274" i="10"/>
  <c r="AG273" i="10"/>
  <c r="O567" i="10"/>
  <c r="P566" i="10"/>
  <c r="Q566" i="10" s="1"/>
  <c r="AC277" i="16" l="1"/>
  <c r="AG276" i="16"/>
  <c r="U514" i="10"/>
  <c r="V513" i="10"/>
  <c r="W513" i="10" s="1"/>
  <c r="V560" i="10"/>
  <c r="W560" i="10" s="1"/>
  <c r="U561" i="10"/>
  <c r="AC221" i="19"/>
  <c r="AD220" i="19"/>
  <c r="AI218" i="10"/>
  <c r="AF276" i="10" s="1"/>
  <c r="AE276" i="10" s="1"/>
  <c r="AJ218" i="10"/>
  <c r="AH276" i="10" s="1"/>
  <c r="AJ218" i="19"/>
  <c r="AH276" i="19" s="1"/>
  <c r="AI218" i="19"/>
  <c r="AF276" i="19" s="1"/>
  <c r="AE276" i="19" s="1"/>
  <c r="AE219" i="19"/>
  <c r="AH219" i="19" s="1"/>
  <c r="AG219" i="19"/>
  <c r="AC275" i="10"/>
  <c r="AG274" i="10"/>
  <c r="AM566" i="10"/>
  <c r="AN565" i="10"/>
  <c r="AO565" i="10" s="1"/>
  <c r="AC276" i="19"/>
  <c r="AG275" i="19"/>
  <c r="AC221" i="10"/>
  <c r="AD220" i="10"/>
  <c r="O568" i="10"/>
  <c r="P567" i="10"/>
  <c r="Q567" i="10" s="1"/>
  <c r="AE219" i="10"/>
  <c r="AH219" i="10" s="1"/>
  <c r="AG219" i="10"/>
  <c r="O569" i="10" l="1"/>
  <c r="P569" i="10" s="1"/>
  <c r="Q569" i="10" s="1"/>
  <c r="P568" i="10"/>
  <c r="Q568" i="10" s="1"/>
  <c r="AC277" i="19"/>
  <c r="AG276" i="19"/>
  <c r="U515" i="10"/>
  <c r="V514" i="10"/>
  <c r="W514" i="10" s="1"/>
  <c r="AE220" i="10"/>
  <c r="AH220" i="10" s="1"/>
  <c r="AG220" i="10"/>
  <c r="AI219" i="19"/>
  <c r="AF277" i="19" s="1"/>
  <c r="AE277" i="19" s="1"/>
  <c r="AJ219" i="19"/>
  <c r="AH277" i="19" s="1"/>
  <c r="V561" i="10"/>
  <c r="W561" i="10" s="1"/>
  <c r="U562" i="10"/>
  <c r="AC222" i="10"/>
  <c r="AD221" i="10"/>
  <c r="AE220" i="19"/>
  <c r="AH220" i="19" s="1"/>
  <c r="AG220" i="19"/>
  <c r="AG275" i="10"/>
  <c r="AC276" i="10"/>
  <c r="AC222" i="19"/>
  <c r="AD221" i="19"/>
  <c r="AJ219" i="10"/>
  <c r="AH277" i="10" s="1"/>
  <c r="AI219" i="10"/>
  <c r="AF277" i="10" s="1"/>
  <c r="AE277" i="10" s="1"/>
  <c r="AM567" i="10"/>
  <c r="AN566" i="10"/>
  <c r="AO566" i="10" s="1"/>
  <c r="AC278" i="16"/>
  <c r="AG277" i="16"/>
  <c r="AJ220" i="10" l="1"/>
  <c r="AH278" i="10" s="1"/>
  <c r="AI220" i="10"/>
  <c r="AF278" i="10" s="1"/>
  <c r="AE278" i="10" s="1"/>
  <c r="AM568" i="10"/>
  <c r="AN567" i="10"/>
  <c r="AO567" i="10" s="1"/>
  <c r="AE221" i="10"/>
  <c r="AH221" i="10" s="1"/>
  <c r="AG221" i="10"/>
  <c r="AE221" i="19"/>
  <c r="AH221" i="19" s="1"/>
  <c r="AG221" i="19"/>
  <c r="U563" i="10"/>
  <c r="V562" i="10"/>
  <c r="W562" i="10" s="1"/>
  <c r="U516" i="10"/>
  <c r="V515" i="10"/>
  <c r="W515" i="10" s="1"/>
  <c r="AC223" i="19"/>
  <c r="AD222" i="19"/>
  <c r="AC278" i="19"/>
  <c r="AG277" i="19"/>
  <c r="AJ220" i="19"/>
  <c r="AH278" i="19" s="1"/>
  <c r="AI220" i="19"/>
  <c r="AF278" i="19" s="1"/>
  <c r="AE278" i="19" s="1"/>
  <c r="AC277" i="10"/>
  <c r="AG276" i="10"/>
  <c r="AD222" i="10"/>
  <c r="AC223" i="10"/>
  <c r="AC279" i="16"/>
  <c r="AG278" i="16"/>
  <c r="AJ221" i="19" l="1"/>
  <c r="AH279" i="19" s="1"/>
  <c r="AI221" i="19"/>
  <c r="AF279" i="19" s="1"/>
  <c r="AE279" i="19" s="1"/>
  <c r="AE222" i="19"/>
  <c r="AH222" i="19" s="1"/>
  <c r="AG222" i="19"/>
  <c r="AC278" i="10"/>
  <c r="AG277" i="10"/>
  <c r="V516" i="10"/>
  <c r="W516" i="10" s="1"/>
  <c r="U517" i="10"/>
  <c r="AN568" i="10"/>
  <c r="AO568" i="10" s="1"/>
  <c r="AM569" i="10"/>
  <c r="AN569" i="10" s="1"/>
  <c r="AO569" i="10" s="1"/>
  <c r="AC224" i="10"/>
  <c r="AD223" i="10"/>
  <c r="AJ221" i="10"/>
  <c r="AH279" i="10" s="1"/>
  <c r="AI221" i="10"/>
  <c r="AF279" i="10" s="1"/>
  <c r="AE279" i="10" s="1"/>
  <c r="AC224" i="19"/>
  <c r="AD223" i="19"/>
  <c r="AC280" i="16"/>
  <c r="AG279" i="16"/>
  <c r="AG278" i="19"/>
  <c r="AC279" i="19"/>
  <c r="AE222" i="10"/>
  <c r="AH222" i="10" s="1"/>
  <c r="AG222" i="10"/>
  <c r="U564" i="10"/>
  <c r="V563" i="10"/>
  <c r="W563" i="10" s="1"/>
  <c r="AE223" i="10" l="1"/>
  <c r="AH223" i="10" s="1"/>
  <c r="AG223" i="10"/>
  <c r="AI222" i="19"/>
  <c r="AF280" i="19" s="1"/>
  <c r="AE280" i="19" s="1"/>
  <c r="AJ222" i="19"/>
  <c r="AH280" i="19" s="1"/>
  <c r="U518" i="10"/>
  <c r="V517" i="10"/>
  <c r="W517" i="10" s="1"/>
  <c r="AC225" i="19"/>
  <c r="AD224" i="19"/>
  <c r="AC279" i="10"/>
  <c r="AG278" i="10"/>
  <c r="AC280" i="19"/>
  <c r="AG279" i="19"/>
  <c r="AC225" i="10"/>
  <c r="AD224" i="10"/>
  <c r="AG223" i="19"/>
  <c r="AE223" i="19"/>
  <c r="AH223" i="19" s="1"/>
  <c r="U565" i="10"/>
  <c r="V564" i="10"/>
  <c r="W564" i="10" s="1"/>
  <c r="AI222" i="10"/>
  <c r="AF280" i="10" s="1"/>
  <c r="AE280" i="10" s="1"/>
  <c r="AJ222" i="10"/>
  <c r="AH280" i="10" s="1"/>
  <c r="AC281" i="16"/>
  <c r="AG280" i="16"/>
  <c r="AE224" i="10" l="1"/>
  <c r="AH224" i="10" s="1"/>
  <c r="AG224" i="10"/>
  <c r="AC226" i="10"/>
  <c r="AD225" i="10"/>
  <c r="AC281" i="19"/>
  <c r="AG280" i="19"/>
  <c r="AE224" i="19"/>
  <c r="AH224" i="19" s="1"/>
  <c r="AG224" i="19"/>
  <c r="AI223" i="10"/>
  <c r="AF281" i="10" s="1"/>
  <c r="AE281" i="10" s="1"/>
  <c r="AJ223" i="10"/>
  <c r="AH281" i="10" s="1"/>
  <c r="AJ223" i="19"/>
  <c r="AH281" i="19" s="1"/>
  <c r="AI223" i="19"/>
  <c r="AF281" i="19" s="1"/>
  <c r="AE281" i="19" s="1"/>
  <c r="AC226" i="19"/>
  <c r="AD225" i="19"/>
  <c r="AC282" i="16"/>
  <c r="AG281" i="16"/>
  <c r="U519" i="10"/>
  <c r="V518" i="10"/>
  <c r="W518" i="10" s="1"/>
  <c r="U566" i="10"/>
  <c r="V565" i="10"/>
  <c r="W565" i="10" s="1"/>
  <c r="AC280" i="10"/>
  <c r="AG279" i="10"/>
  <c r="AE225" i="10" l="1"/>
  <c r="AH225" i="10" s="1"/>
  <c r="AG225" i="10"/>
  <c r="AC283" i="16"/>
  <c r="AG282" i="16"/>
  <c r="AE225" i="19"/>
  <c r="AH225" i="19" s="1"/>
  <c r="AG225" i="19"/>
  <c r="AG280" i="10"/>
  <c r="AC281" i="10"/>
  <c r="AC227" i="19"/>
  <c r="AD226" i="19"/>
  <c r="AC282" i="19"/>
  <c r="AG281" i="19"/>
  <c r="U567" i="10"/>
  <c r="V566" i="10"/>
  <c r="W566" i="10" s="1"/>
  <c r="AC227" i="10"/>
  <c r="AD226" i="10"/>
  <c r="AI224" i="10"/>
  <c r="AF282" i="10" s="1"/>
  <c r="AE282" i="10" s="1"/>
  <c r="AJ224" i="10"/>
  <c r="AH282" i="10" s="1"/>
  <c r="AI224" i="19"/>
  <c r="AF282" i="19" s="1"/>
  <c r="AE282" i="19" s="1"/>
  <c r="AJ224" i="19"/>
  <c r="AH282" i="19" s="1"/>
  <c r="V519" i="10"/>
  <c r="W519" i="10" s="1"/>
  <c r="U520" i="10"/>
  <c r="U568" i="10" l="1"/>
  <c r="V567" i="10"/>
  <c r="W567" i="10" s="1"/>
  <c r="AC282" i="10"/>
  <c r="AG281" i="10"/>
  <c r="AG282" i="19"/>
  <c r="AC283" i="19"/>
  <c r="AC284" i="16"/>
  <c r="AG283" i="16"/>
  <c r="AE226" i="10"/>
  <c r="AH226" i="10" s="1"/>
  <c r="AG226" i="10"/>
  <c r="AC228" i="10"/>
  <c r="AD227" i="10"/>
  <c r="U521" i="10"/>
  <c r="V520" i="10"/>
  <c r="W520" i="10" s="1"/>
  <c r="AI225" i="19"/>
  <c r="AF283" i="19" s="1"/>
  <c r="AE283" i="19" s="1"/>
  <c r="AJ225" i="19"/>
  <c r="AH283" i="19" s="1"/>
  <c r="AE226" i="19"/>
  <c r="AH226" i="19" s="1"/>
  <c r="AG226" i="19"/>
  <c r="AJ225" i="10"/>
  <c r="AH283" i="10" s="1"/>
  <c r="AI225" i="10"/>
  <c r="AF283" i="10" s="1"/>
  <c r="AE283" i="10" s="1"/>
  <c r="AC228" i="19"/>
  <c r="AD227" i="19"/>
  <c r="AC284" i="19" l="1"/>
  <c r="AG283" i="19"/>
  <c r="AC229" i="19"/>
  <c r="AD228" i="19"/>
  <c r="V521" i="10"/>
  <c r="W521" i="10" s="1"/>
  <c r="U522" i="10"/>
  <c r="AG227" i="19"/>
  <c r="AE227" i="19"/>
  <c r="AH227" i="19" s="1"/>
  <c r="AG227" i="10"/>
  <c r="AE227" i="10"/>
  <c r="AH227" i="10" s="1"/>
  <c r="AC229" i="10"/>
  <c r="AD228" i="10"/>
  <c r="AG282" i="10"/>
  <c r="AC283" i="10"/>
  <c r="AC285" i="16"/>
  <c r="AG284" i="16"/>
  <c r="AJ226" i="10"/>
  <c r="AH284" i="10" s="1"/>
  <c r="AI226" i="10"/>
  <c r="AF284" i="10" s="1"/>
  <c r="AE284" i="10" s="1"/>
  <c r="AJ226" i="19"/>
  <c r="AH284" i="19" s="1"/>
  <c r="AI226" i="19"/>
  <c r="AF284" i="19" s="1"/>
  <c r="AE284" i="19" s="1"/>
  <c r="U569" i="10"/>
  <c r="V569" i="10" s="1"/>
  <c r="W569" i="10" s="1"/>
  <c r="V568" i="10"/>
  <c r="W568" i="10" s="1"/>
  <c r="AG285" i="16" l="1"/>
  <c r="AC286" i="16"/>
  <c r="AJ227" i="19"/>
  <c r="AH285" i="19" s="1"/>
  <c r="AI227" i="19"/>
  <c r="AF285" i="19" s="1"/>
  <c r="AE285" i="19" s="1"/>
  <c r="AE228" i="10"/>
  <c r="AH228" i="10" s="1"/>
  <c r="AG228" i="10"/>
  <c r="AG283" i="10"/>
  <c r="AC284" i="10"/>
  <c r="V522" i="10"/>
  <c r="W522" i="10" s="1"/>
  <c r="U523" i="10"/>
  <c r="AE228" i="19"/>
  <c r="AH228" i="19" s="1"/>
  <c r="AG228" i="19"/>
  <c r="AC230" i="10"/>
  <c r="AD229" i="10"/>
  <c r="AC230" i="19"/>
  <c r="AD229" i="19"/>
  <c r="AJ227" i="10"/>
  <c r="AH285" i="10" s="1"/>
  <c r="AI227" i="10"/>
  <c r="AF285" i="10" s="1"/>
  <c r="AE285" i="10" s="1"/>
  <c r="AC285" i="19"/>
  <c r="AG284" i="19"/>
  <c r="AG229" i="10" l="1"/>
  <c r="AE229" i="10"/>
  <c r="AH229" i="10" s="1"/>
  <c r="AC231" i="10"/>
  <c r="AD231" i="10" s="1"/>
  <c r="AD230" i="10"/>
  <c r="AJ228" i="19"/>
  <c r="AH286" i="19" s="1"/>
  <c r="AI228" i="19"/>
  <c r="AF286" i="19" s="1"/>
  <c r="AE286" i="19" s="1"/>
  <c r="AE229" i="19"/>
  <c r="AH229" i="19" s="1"/>
  <c r="AG229" i="19"/>
  <c r="AC231" i="19"/>
  <c r="AD231" i="19" s="1"/>
  <c r="AD230" i="19"/>
  <c r="AI228" i="10"/>
  <c r="AF286" i="10" s="1"/>
  <c r="AE286" i="10" s="1"/>
  <c r="AJ228" i="10"/>
  <c r="AH286" i="10" s="1"/>
  <c r="AC285" i="10"/>
  <c r="AG284" i="10"/>
  <c r="AC286" i="19"/>
  <c r="AG285" i="19"/>
  <c r="V523" i="10"/>
  <c r="W523" i="10" s="1"/>
  <c r="U524" i="10"/>
  <c r="V524" i="10" s="1"/>
  <c r="AG286" i="16"/>
  <c r="AC287" i="16"/>
  <c r="W524" i="10"/>
  <c r="W525" i="10" s="1"/>
  <c r="AJ229" i="19" l="1"/>
  <c r="AH287" i="19" s="1"/>
  <c r="AI229" i="19"/>
  <c r="AF287" i="19" s="1"/>
  <c r="AE287" i="19" s="1"/>
  <c r="AG286" i="19"/>
  <c r="AC287" i="19"/>
  <c r="AG287" i="16"/>
  <c r="AC288" i="16"/>
  <c r="AE230" i="10"/>
  <c r="AH230" i="10" s="1"/>
  <c r="AG230" i="10"/>
  <c r="AE231" i="10"/>
  <c r="AH231" i="10" s="1"/>
  <c r="AG231" i="10"/>
  <c r="AG285" i="10"/>
  <c r="AC286" i="10"/>
  <c r="AG230" i="19"/>
  <c r="AE230" i="19"/>
  <c r="AH230" i="19" s="1"/>
  <c r="AE231" i="19"/>
  <c r="AH231" i="19" s="1"/>
  <c r="AG231" i="19"/>
  <c r="AI229" i="10"/>
  <c r="AF287" i="10" s="1"/>
  <c r="AE287" i="10" s="1"/>
  <c r="AJ229" i="10"/>
  <c r="AH287" i="10" s="1"/>
  <c r="AJ231" i="19" l="1"/>
  <c r="AH289" i="19" s="1"/>
  <c r="AI231" i="19"/>
  <c r="AF289" i="19" s="1"/>
  <c r="AE289" i="19" s="1"/>
  <c r="AJ230" i="10"/>
  <c r="AH288" i="10" s="1"/>
  <c r="AI230" i="10"/>
  <c r="AF288" i="10" s="1"/>
  <c r="AE288" i="10" s="1"/>
  <c r="AJ230" i="19"/>
  <c r="AH288" i="19" s="1"/>
  <c r="AI230" i="19"/>
  <c r="AF288" i="19" s="1"/>
  <c r="AE288" i="19" s="1"/>
  <c r="AG286" i="10"/>
  <c r="AC287" i="10"/>
  <c r="AC288" i="19"/>
  <c r="AG287" i="19"/>
  <c r="AC289" i="16"/>
  <c r="AG289" i="16" s="1"/>
  <c r="AG288" i="16"/>
  <c r="AJ231" i="10"/>
  <c r="AH289" i="10" s="1"/>
  <c r="AI231" i="10"/>
  <c r="AF289" i="10" s="1"/>
  <c r="AE289" i="10" s="1"/>
  <c r="AG287" i="10" l="1"/>
  <c r="AC288" i="10"/>
  <c r="AC289" i="19"/>
  <c r="AG289" i="19" s="1"/>
  <c r="AG288" i="19"/>
  <c r="AC289" i="10" l="1"/>
  <c r="AG289" i="10" s="1"/>
  <c r="AG288" i="10"/>
</calcChain>
</file>

<file path=xl/sharedStrings.xml><?xml version="1.0" encoding="utf-8"?>
<sst xmlns="http://schemas.openxmlformats.org/spreadsheetml/2006/main" count="2962" uniqueCount="258">
  <si>
    <t>ESTIMACION DE TEMPERATURAS HORARIAS MEDIAS MENSUALES, A PARTIR DE MEDIAS EXTREMAS.</t>
  </si>
  <si>
    <t>Localidad</t>
  </si>
  <si>
    <t>Lat. (xx.x)</t>
  </si>
  <si>
    <t>Long.(xxx.x)</t>
  </si>
  <si>
    <t>Altitud (m)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</si>
  <si>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</si>
  <si>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</si>
  <si>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</si>
  <si>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</si>
  <si>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</si>
  <si>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</si>
  <si>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</si>
  <si>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</si>
  <si>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</si>
  <si>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</si>
  <si>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</si>
  <si>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</si>
  <si>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Temp max</t>
  </si>
  <si>
    <t>Temp min</t>
  </si>
  <si>
    <t>Temp med</t>
  </si>
  <si>
    <t>Hora min</t>
  </si>
  <si>
    <t>Hora max</t>
  </si>
  <si>
    <t>Hora (TSV)</t>
  </si>
  <si>
    <t xml:space="preserve">      Esta hoja de cálculo estima la H R media horaria mensual a partir de los valores promedio de máxima y de mínima. </t>
  </si>
  <si>
    <t xml:space="preserve">        Los valores de H R max y H R min pueden ser calculados a partir de la media en el caso de no contar con los valores observados.</t>
  </si>
  <si>
    <t xml:space="preserve">                      ¿Desea utilizar valores observados?</t>
  </si>
  <si>
    <t xml:space="preserve">                (Sí / No ):</t>
  </si>
  <si>
    <t xml:space="preserve">       Si no cuenta con los valores de la H R media, éstos pueden ser estimados a partir de la temp. mínima.</t>
  </si>
  <si>
    <t xml:space="preserve">                     ¿Cuenta con los valores observados?</t>
  </si>
  <si>
    <t xml:space="preserve">                (Sí  / No ):</t>
  </si>
  <si>
    <t>H R med observ</t>
  </si>
  <si>
    <t>H R max observ</t>
  </si>
  <si>
    <t>H R min observ</t>
  </si>
  <si>
    <t>H R med calc</t>
  </si>
  <si>
    <t>H R max calc</t>
  </si>
  <si>
    <t>H R min calc</t>
  </si>
  <si>
    <t>Tem med</t>
  </si>
  <si>
    <t>Tn [°C]</t>
  </si>
  <si>
    <t>Rango mín confort</t>
  </si>
  <si>
    <t>Rango máx confort</t>
  </si>
  <si>
    <t>Oscilación</t>
  </si>
  <si>
    <t>Amplitud Zconfort</t>
  </si>
  <si>
    <t>x</t>
  </si>
  <si>
    <t>y</t>
  </si>
  <si>
    <t>Recta 1</t>
  </si>
  <si>
    <t>Recta 2</t>
  </si>
  <si>
    <t>Recta 3</t>
  </si>
  <si>
    <t>Recta 4</t>
  </si>
  <si>
    <t>Tn</t>
  </si>
  <si>
    <t>m</t>
  </si>
  <si>
    <t>b</t>
  </si>
  <si>
    <t>Coeficientes</t>
  </si>
  <si>
    <t>AmplitudZ</t>
  </si>
  <si>
    <t>Enero</t>
  </si>
  <si>
    <t>T</t>
  </si>
  <si>
    <t>HR</t>
  </si>
  <si>
    <t>Hora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</si>
  <si>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</si>
  <si>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</si>
  <si>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</si>
  <si>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</si>
  <si>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</si>
  <si>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</si>
  <si>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</si>
  <si>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</si>
  <si>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</si>
  <si>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</si>
  <si>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</si>
  <si>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Lim inf</t>
  </si>
  <si>
    <t>Lim sup</t>
  </si>
  <si>
    <t>Lim der</t>
  </si>
  <si>
    <t>Lim izq</t>
  </si>
  <si>
    <t>Temperaturas</t>
  </si>
  <si>
    <t>Humedades</t>
  </si>
  <si>
    <t>DIAGRAMA DE ISORREQUERIMIENTOS</t>
  </si>
  <si>
    <t>FRÍO</t>
  </si>
  <si>
    <t>CONFORT</t>
  </si>
  <si>
    <t>CALOR</t>
  </si>
  <si>
    <t>Oscilación media de la temperatura del aire [°C]</t>
  </si>
  <si>
    <t>Menos de 13</t>
  </si>
  <si>
    <t>13-15</t>
  </si>
  <si>
    <t>16-18</t>
  </si>
  <si>
    <t>19-23</t>
  </si>
  <si>
    <t>24-27</t>
  </si>
  <si>
    <t>28-32</t>
  </si>
  <si>
    <t>33-37</t>
  </si>
  <si>
    <t>38-44</t>
  </si>
  <si>
    <t>45-51</t>
  </si>
  <si>
    <t>más de 51</t>
  </si>
  <si>
    <t>R</t>
  </si>
  <si>
    <t>hora</t>
  </si>
  <si>
    <t>Mes</t>
  </si>
  <si>
    <t>Día</t>
  </si>
  <si>
    <t>teta</t>
  </si>
  <si>
    <t>r</t>
  </si>
  <si>
    <t>y2</t>
  </si>
  <si>
    <t>y1</t>
  </si>
  <si>
    <t>x2</t>
  </si>
  <si>
    <t>x1</t>
  </si>
  <si>
    <t>junio</t>
  </si>
  <si>
    <t>mayo</t>
  </si>
  <si>
    <t>abril</t>
  </si>
  <si>
    <t>marzo</t>
  </si>
  <si>
    <t>febrero</t>
  </si>
  <si>
    <t>enero</t>
  </si>
  <si>
    <t>diciembre</t>
  </si>
  <si>
    <t>grados</t>
  </si>
  <si>
    <t>Partesol</t>
  </si>
  <si>
    <t>Alero</t>
  </si>
  <si>
    <t>Latitud (XX.XX)[°]</t>
  </si>
  <si>
    <t>GRÁFICA SOLAR EQUIDISTANTE</t>
  </si>
  <si>
    <t>Ciudad</t>
  </si>
  <si>
    <t>Ángulo</t>
  </si>
  <si>
    <t>Mostrar horas que deben protegerse (si/no):</t>
  </si>
  <si>
    <t>Alero (si/no):</t>
  </si>
  <si>
    <t>Ángulo alero (0 a 90):</t>
  </si>
  <si>
    <t>Partesol (si/no):</t>
  </si>
  <si>
    <t>Ángulo partesol (0 a 90):</t>
  </si>
  <si>
    <t>no</t>
  </si>
  <si>
    <t>1er SEMESTRE</t>
  </si>
  <si>
    <t>Dic</t>
  </si>
  <si>
    <t>Nov</t>
  </si>
  <si>
    <t>Oct</t>
  </si>
  <si>
    <t>Sep</t>
  </si>
  <si>
    <t>Ago</t>
  </si>
  <si>
    <t>Jul</t>
  </si>
  <si>
    <t>Jun</t>
  </si>
  <si>
    <t>May</t>
  </si>
  <si>
    <t>Abr</t>
  </si>
  <si>
    <t>Mar</t>
  </si>
  <si>
    <t>Feb</t>
  </si>
  <si>
    <t>Ene</t>
  </si>
  <si>
    <t>m'</t>
  </si>
  <si>
    <t>∈</t>
  </si>
  <si>
    <t>Z[°]</t>
  </si>
  <si>
    <t>h [m]</t>
  </si>
  <si>
    <t>a</t>
  </si>
  <si>
    <r>
      <t>a</t>
    </r>
    <r>
      <rPr>
        <sz val="11"/>
        <color theme="1"/>
        <rFont val="Calibri"/>
        <family val="2"/>
        <scheme val="minor"/>
      </rPr>
      <t>(T,HR)</t>
    </r>
  </si>
  <si>
    <t>W [cm]</t>
  </si>
  <si>
    <t>Eficacia Luminosa Global</t>
  </si>
  <si>
    <t>Eficacia Luminosa Difusa</t>
  </si>
  <si>
    <t>Coeficientes para Iluminancia</t>
  </si>
  <si>
    <t>Coeficientes para Irradiancia</t>
  </si>
  <si>
    <r>
      <rPr>
        <sz val="11"/>
        <color theme="1"/>
        <rFont val="GreekC"/>
      </rPr>
      <t>∈</t>
    </r>
    <r>
      <rPr>
        <sz val="11"/>
        <color theme="1"/>
        <rFont val="Calibri"/>
        <family val="2"/>
      </rPr>
      <t xml:space="preserve"> Categoría</t>
    </r>
  </si>
  <si>
    <t>Tipo de cielo</t>
  </si>
  <si>
    <t>Cerrado</t>
  </si>
  <si>
    <t>Claro</t>
  </si>
  <si>
    <t>--</t>
  </si>
  <si>
    <t>Lím inferior</t>
  </si>
  <si>
    <t>Lím superior</t>
  </si>
  <si>
    <t>c</t>
  </si>
  <si>
    <t>d</t>
  </si>
  <si>
    <r>
      <rPr>
        <sz val="11"/>
        <color theme="1"/>
        <rFont val="GreekC"/>
      </rPr>
      <t>∈</t>
    </r>
    <r>
      <rPr>
        <sz val="7.7"/>
        <color theme="1"/>
        <rFont val="Calibri"/>
        <family val="2"/>
      </rPr>
      <t xml:space="preserve"> categoría</t>
    </r>
  </si>
  <si>
    <t>Eficacia Luminosa Directa</t>
  </si>
  <si>
    <t>Iluminancia Difusa en Superficies Inclinadas</t>
  </si>
  <si>
    <t>Irradiancia Difusa en Superficies Inclinadas</t>
  </si>
  <si>
    <t>Irradiancia Dir. Sup. Incl.</t>
  </si>
  <si>
    <t>Irrad. e Ilum. Global Sup. In.</t>
  </si>
  <si>
    <t>Fachada:</t>
  </si>
  <si>
    <t>Ciudad:</t>
  </si>
  <si>
    <t>Latitud [°]:</t>
  </si>
  <si>
    <t>Sur</t>
  </si>
  <si>
    <t>Especifique la fachada (N, S, E, O, H ó núm de grados a partir del Sur):</t>
  </si>
  <si>
    <t>S</t>
  </si>
  <si>
    <t>Iluminancia Global [lx]</t>
  </si>
  <si>
    <t>2do SEMESTRE</t>
  </si>
  <si>
    <t>Eficacia Luminosa Global [lum/W]</t>
  </si>
  <si>
    <t>Eficacia Luminosa Difusa [lum/W]</t>
  </si>
  <si>
    <t>Ángulo inclinación (0 = superficie Horizontal; 90 = superficie Vertical; ó grados de inclinación a partir de la horizontal):</t>
  </si>
  <si>
    <t>Ángulo fachada (0 = fachada Sur; 90 = fachada Este;   -90 = fachada Oeste; 180 = fachada Norte; ó grados a partir del Sur):</t>
  </si>
  <si>
    <t>Latitud</t>
  </si>
  <si>
    <t>Lat. [°]</t>
  </si>
  <si>
    <t>Long. [°]</t>
  </si>
  <si>
    <r>
      <t>Irradiancia Global Horizontal [W/m</t>
    </r>
    <r>
      <rPr>
        <b/>
        <sz val="11"/>
        <color theme="1"/>
        <rFont val="Calibri"/>
        <family val="2"/>
      </rPr>
      <t>²</t>
    </r>
    <r>
      <rPr>
        <b/>
        <sz val="8.8000000000000007"/>
        <color theme="1"/>
        <rFont val="Calibri"/>
        <family val="2"/>
      </rPr>
      <t>]</t>
    </r>
  </si>
  <si>
    <r>
      <t>Irradiancia Difusa Horizontal [W/m</t>
    </r>
    <r>
      <rPr>
        <b/>
        <sz val="11"/>
        <color theme="1"/>
        <rFont val="Calibri"/>
        <family val="2"/>
      </rPr>
      <t>²</t>
    </r>
    <r>
      <rPr>
        <b/>
        <sz val="8.8000000000000007"/>
        <color theme="1"/>
        <rFont val="Calibri"/>
        <family val="2"/>
      </rPr>
      <t>]</t>
    </r>
  </si>
  <si>
    <r>
      <t>Irradiancia Directa Horizontal [W/m</t>
    </r>
    <r>
      <rPr>
        <b/>
        <sz val="11"/>
        <color theme="1"/>
        <rFont val="Calibri"/>
        <family val="2"/>
      </rPr>
      <t>²</t>
    </r>
    <r>
      <rPr>
        <b/>
        <sz val="8.8000000000000007"/>
        <color theme="1"/>
        <rFont val="Calibri"/>
        <family val="2"/>
      </rPr>
      <t>]</t>
    </r>
  </si>
  <si>
    <r>
      <t>Irradiancia Global en Superficie Inclinada [W/m</t>
    </r>
    <r>
      <rPr>
        <b/>
        <sz val="11"/>
        <color theme="1"/>
        <rFont val="Calibri"/>
        <family val="2"/>
      </rPr>
      <t>²</t>
    </r>
    <r>
      <rPr>
        <b/>
        <sz val="8.8000000000000007"/>
        <color theme="1"/>
        <rFont val="Calibri"/>
        <family val="2"/>
      </rPr>
      <t>]</t>
    </r>
  </si>
  <si>
    <r>
      <t>Irradiancia Difusa en Superficie Inclinada [W/m</t>
    </r>
    <r>
      <rPr>
        <b/>
        <sz val="11"/>
        <color theme="1"/>
        <rFont val="Calibri"/>
        <family val="2"/>
      </rPr>
      <t>²</t>
    </r>
    <r>
      <rPr>
        <b/>
        <sz val="8.8000000000000007"/>
        <color theme="1"/>
        <rFont val="Calibri"/>
        <family val="2"/>
      </rPr>
      <t>]</t>
    </r>
  </si>
  <si>
    <r>
      <t>Irradiancia Directa en Superficie Inclinada [W/m</t>
    </r>
    <r>
      <rPr>
        <b/>
        <sz val="11"/>
        <color theme="1"/>
        <rFont val="Calibri"/>
        <family val="2"/>
      </rPr>
      <t>²</t>
    </r>
    <r>
      <rPr>
        <b/>
        <sz val="8.8000000000000007"/>
        <color theme="1"/>
        <rFont val="Calibri"/>
        <family val="2"/>
      </rPr>
      <t>]</t>
    </r>
  </si>
  <si>
    <r>
      <t>Iluminancia Global en Superficie Inclinada [klux</t>
    </r>
    <r>
      <rPr>
        <b/>
        <sz val="8.8000000000000007"/>
        <color theme="1"/>
        <rFont val="Calibri"/>
        <family val="2"/>
      </rPr>
      <t>]</t>
    </r>
  </si>
  <si>
    <r>
      <t>Iluminancia Difusa en Superficie Inclinada [klux</t>
    </r>
    <r>
      <rPr>
        <b/>
        <sz val="8.8000000000000007"/>
        <color theme="1"/>
        <rFont val="Calibri"/>
        <family val="2"/>
      </rPr>
      <t>]</t>
    </r>
  </si>
  <si>
    <r>
      <t>Iluminancia Directa en Superficie Inclinada [klux</t>
    </r>
    <r>
      <rPr>
        <b/>
        <sz val="8.8000000000000007"/>
        <color theme="1"/>
        <rFont val="Calibri"/>
        <family val="2"/>
      </rPr>
      <t>]</t>
    </r>
  </si>
  <si>
    <t>ESTIMACION DE HUMEDADES RELATIVAS HORARIAS MEDIAS MENSUALES.</t>
  </si>
  <si>
    <t>si</t>
  </si>
  <si>
    <r>
      <t xml:space="preserve">Amplitud de la zona de confort               </t>
    </r>
    <r>
      <rPr>
        <sz val="11"/>
        <color theme="1"/>
        <rFont val="GreekC"/>
      </rPr>
      <t>Δ</t>
    </r>
    <r>
      <rPr>
        <sz val="11"/>
        <color theme="1"/>
        <rFont val="Calibri"/>
        <family val="2"/>
        <scheme val="minor"/>
      </rPr>
      <t>T [°C]</t>
    </r>
  </si>
  <si>
    <t>DATOS DE ENTRADA</t>
  </si>
  <si>
    <t>Introduzca en las celdas en blanco los datos de entrada necesarios</t>
  </si>
  <si>
    <t>¿Cuenta con datos de humedades relativas medias extremas?</t>
  </si>
  <si>
    <t>(si/no)</t>
  </si>
  <si>
    <t>Hermosillo, Son.</t>
  </si>
  <si>
    <t>Latitud (xx.xx)</t>
  </si>
  <si>
    <t>Longitud (xxx.xx)</t>
  </si>
  <si>
    <t>Temp max [°C]</t>
  </si>
  <si>
    <t>Temp min [°C]</t>
  </si>
  <si>
    <t>¿Cuenta con datos de humedades relativas medias?</t>
  </si>
  <si>
    <t>Hora/Mes</t>
  </si>
  <si>
    <t>GRÁFICA SOLAR CILÍNDRICA</t>
  </si>
  <si>
    <t>Introduzca el ancho de la ventana [m]:</t>
  </si>
  <si>
    <t>Introduzca la altura de la ventana [m]:</t>
  </si>
  <si>
    <t>Tamaño del alero [m]:</t>
  </si>
  <si>
    <t>Tamaño del partesol [m]:</t>
  </si>
  <si>
    <t>Altitud [m]</t>
  </si>
  <si>
    <t>Longitud</t>
  </si>
  <si>
    <t>HR max [%]</t>
  </si>
  <si>
    <t>HR min [%]</t>
  </si>
  <si>
    <t>HR med [%]</t>
  </si>
  <si>
    <t>ESTIMACIÓN DE IRRADIANCIA HORARIA MEDIA MENSUAL SOBRE SUPERFICIES HORIZONTALES</t>
  </si>
  <si>
    <r>
      <t>Hg [MJ/m</t>
    </r>
    <r>
      <rPr>
        <b/>
        <sz val="11"/>
        <color theme="1"/>
        <rFont val="Calibri"/>
        <family val="2"/>
      </rPr>
      <t>²</t>
    </r>
    <r>
      <rPr>
        <b/>
        <sz val="9.9"/>
        <color theme="1"/>
        <rFont val="Calibri"/>
        <family val="2"/>
      </rPr>
      <t>]</t>
    </r>
  </si>
  <si>
    <r>
      <t>Hg [Wh/m</t>
    </r>
    <r>
      <rPr>
        <b/>
        <sz val="11"/>
        <color theme="1"/>
        <rFont val="Calibri"/>
        <family val="2"/>
      </rPr>
      <t>²</t>
    </r>
    <r>
      <rPr>
        <b/>
        <sz val="9.9"/>
        <color theme="1"/>
        <rFont val="Calibri"/>
        <family val="2"/>
      </rPr>
      <t>]</t>
    </r>
  </si>
  <si>
    <t>Introduzca el ángulo de orientación de la superficie con respecto al Sur</t>
  </si>
  <si>
    <t>Ángulo orientación (0 = fachada Sur; 90 = fachada Este; -90 = fachada Oeste; 180 = fachada Norte; ó grados a partir del Sur):</t>
  </si>
  <si>
    <t>Introduzca el ángulo de inclinación de la superficie con respecto a la horizontal</t>
  </si>
  <si>
    <t>ESTIMACIÓN DE IRRADIANCIA HORARIA MEDIA MENSUAL SOBRE SUPERFICIES INCLINADAS</t>
  </si>
  <si>
    <t>Inclinación:</t>
  </si>
  <si>
    <t>ESTIMACIÓN DE LA EFICACIA LUMINOSA HORIZONTAL</t>
  </si>
  <si>
    <t>Eficacia Luminosa Directa [lum/W]</t>
  </si>
  <si>
    <t>ESTIMACIÓN DE ILUMINANCIA HORARIA MEDIA MENSUAL SOBRE SUPERFICIES HORIZONTALES</t>
  </si>
  <si>
    <t>ESTIMACIÓN DE ILUMINANCIA HORARIA MEDIA MENSUAL SOBRE SUPERFICIES INCLINADAS</t>
  </si>
  <si>
    <t>Iluminancia Global Horizontal [klux]</t>
  </si>
  <si>
    <t>Iluminancia Difusa Horizontal [klux]</t>
  </si>
  <si>
    <t>Iluminancia Directa Horizontal [klux]</t>
  </si>
  <si>
    <t>Horas en que se requiere sombra y no hay protección</t>
  </si>
  <si>
    <t>Horas en que se requiere Sol y no hay protección</t>
  </si>
  <si>
    <t>F</t>
  </si>
  <si>
    <t>Total</t>
  </si>
  <si>
    <t>T1</t>
  </si>
  <si>
    <t>T2</t>
  </si>
  <si>
    <t>Fachada</t>
  </si>
  <si>
    <t>Horas en que se requiere soleamiento</t>
  </si>
  <si>
    <t>Horas en que se requiere sombra</t>
  </si>
  <si>
    <t>Ángulo del alero [°]</t>
  </si>
  <si>
    <t>Eficiencia periodo de calor [%]</t>
  </si>
  <si>
    <t>Eficiencia en periodo frío [%]</t>
  </si>
  <si>
    <t>K</t>
  </si>
  <si>
    <t>EPC=1-(K/T2)</t>
  </si>
  <si>
    <t>L</t>
  </si>
  <si>
    <t>EPF=L/T1</t>
  </si>
  <si>
    <t>CyC</t>
  </si>
  <si>
    <t>No. de horas que requieren ganancia de calor (T1) o protección (T2), semestre Enero-Junio</t>
  </si>
  <si>
    <t>ALERO</t>
  </si>
  <si>
    <t>Introduzca el No. de horas en que se requiere sombra y no hay protección</t>
  </si>
  <si>
    <t>Introduzca el No. horas en que se requiere Sol y no hay protección</t>
  </si>
  <si>
    <t>No. de horas que requieren ganancia de calor (T1) o protección (T2), semestre Julio-Diciembre</t>
  </si>
  <si>
    <t>EFICIENCIA DEL ALERO</t>
  </si>
  <si>
    <t>M. I. Oscar Ulises Preciado Olvera</t>
  </si>
  <si>
    <t>Dr. David Morillón Gálvez</t>
  </si>
  <si>
    <t>Creado por:</t>
  </si>
  <si>
    <t>upreciado@gmail.com</t>
  </si>
  <si>
    <t>damg@pumas.iingen.unam.mx</t>
  </si>
  <si>
    <t>PARTESOL</t>
  </si>
  <si>
    <t>EFICIENCIA DEL PARTESOL</t>
  </si>
  <si>
    <t>Ángulo del partesol [°]</t>
  </si>
  <si>
    <t>SI</t>
  </si>
  <si>
    <t>NO</t>
  </si>
  <si>
    <t>Introduzca en las celdas en blanco los datos de Irradiación Global Horizontal Diaria Media</t>
  </si>
  <si>
    <t>Introduzca en las celdas en blanco los datos de Irradiación Difusa Horizontal Diaria Media</t>
  </si>
  <si>
    <r>
      <t>Hd [MJ/m</t>
    </r>
    <r>
      <rPr>
        <b/>
        <sz val="11"/>
        <color theme="1"/>
        <rFont val="Calibri"/>
        <family val="2"/>
      </rPr>
      <t>²</t>
    </r>
    <r>
      <rPr>
        <b/>
        <sz val="9.9"/>
        <color theme="1"/>
        <rFont val="Calibri"/>
        <family val="2"/>
      </rPr>
      <t>]</t>
    </r>
  </si>
  <si>
    <r>
      <t>Hd [Wh/m</t>
    </r>
    <r>
      <rPr>
        <b/>
        <sz val="11"/>
        <color theme="1"/>
        <rFont val="Calibri"/>
        <family val="2"/>
      </rPr>
      <t>²</t>
    </r>
    <r>
      <rPr>
        <b/>
        <sz val="9.9"/>
        <color theme="1"/>
        <rFont val="Calibri"/>
        <family val="2"/>
      </rPr>
      <t>]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</si>
</sst>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27" x14ac:knownFonts="1">
    <font>
      <sz val="11"/>
      <color theme="1"/>
      <name val="Calibri"/>
      <family val="2"/>
      <scheme val="minor"/>
    </font>
    <font>
      <b/>
      <sz val="10"/>
      <color rgb="FF010000"/>
      <name val="Arial"/>
      <family val="2"/>
    </font>
    <font>
      <b/>
      <sz val="9"/>
      <color rgb="FF010000"/>
      <name val="Arial"/>
      <family val="2"/>
    </font>
    <font>
      <sz val="9"/>
      <color rgb="FF010000"/>
      <name val="Arial"/>
      <family val="2"/>
    </font>
    <font>
      <sz val="10"/>
      <color rgb="FF010000"/>
      <name val="Arial"/>
      <family val="2"/>
    </font>
    <font>
      <sz val="10"/>
      <name val="Arial"/>
      <family val="2"/>
    </font>
    <font>
      <b/>
      <i/>
      <sz val="9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i/>
      <sz val="9"/>
      <name val="Arial"/>
      <family val="2"/>
    </font>
    <font>
      <sz val="10"/>
      <name val="Arial"/>
      <family val="2"/>
    </font>
    <font>
      <sz val="11"/>
      <name val="Calibri"/>
      <family val="2"/>
      <scheme val="minor"/>
    </font>
    <font>
      <sz val="9"/>
      <color theme="1"/>
      <name val="Arial"/>
      <family val="2"/>
    </font>
    <font>
      <sz val="11"/>
      <color theme="1"/>
      <name val="Calibri"/>
      <family val="2"/>
    </font>
    <font>
      <sz val="11"/>
      <color theme="1"/>
      <name val="GreekC"/>
    </font>
    <font>
      <sz val="7.7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8.8000000000000007"/>
      <color theme="1"/>
      <name val="Calibri"/>
      <family val="2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sz val="10"/>
      <name val="Calibri"/>
      <family val="2"/>
      <scheme val="minor"/>
    </font>
    <font>
      <b/>
      <sz val="9.9"/>
      <color theme="1"/>
      <name val="Calibri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E3E3E3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79998168889431442"/>
        <bgColor rgb="FF000000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</borders>
  <cellStyleXfs count="6">
    <xf numFmtId="0" fontId="0" fillId="0" borderId="0"/>
    <xf numFmtId="0" fontId="5" fillId="0" borderId="0" applyNumberFormat="0" applyFon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368">
    <xf numFmtId="0" fontId="0" fillId="0" borderId="0" xfId="0"/>
    <xf numFmtId="164" fontId="3" fillId="2" borderId="1" xfId="0" applyNumberFormat="1" applyFont="1" applyFill="1" applyBorder="1" applyAlignment="1">
      <alignment horizontal="center" vertical="center"/>
    </xf>
    <xf numFmtId="0" fontId="11" fillId="0" borderId="0" xfId="0" applyNumberFormat="1" applyFont="1" applyFill="1" applyBorder="1" applyAlignment="1"/>
    <xf numFmtId="0" fontId="0" fillId="0" borderId="0" xfId="0" applyNumberFormat="1" applyFont="1" applyFill="1" applyBorder="1" applyAlignment="1"/>
    <xf numFmtId="164" fontId="0" fillId="0" borderId="0" xfId="0" applyNumberFormat="1" applyFont="1" applyFill="1" applyBorder="1" applyAlignment="1"/>
    <xf numFmtId="164" fontId="11" fillId="0" borderId="0" xfId="0" applyNumberFormat="1" applyFont="1" applyFill="1" applyBorder="1" applyAlignment="1"/>
    <xf numFmtId="164" fontId="0" fillId="0" borderId="0" xfId="0" applyNumberFormat="1"/>
    <xf numFmtId="0" fontId="0" fillId="0" borderId="0" xfId="0" applyAlignment="1">
      <alignment horizontal="center"/>
    </xf>
    <xf numFmtId="0" fontId="11" fillId="0" borderId="0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" xfId="0" applyBorder="1" applyAlignment="1">
      <alignment horizontal="center"/>
    </xf>
    <xf numFmtId="164" fontId="11" fillId="0" borderId="3" xfId="0" applyNumberFormat="1" applyFont="1" applyFill="1" applyBorder="1" applyAlignment="1"/>
    <xf numFmtId="164" fontId="0" fillId="0" borderId="3" xfId="0" applyNumberFormat="1" applyFont="1" applyFill="1" applyBorder="1" applyAlignment="1"/>
    <xf numFmtId="0" fontId="0" fillId="0" borderId="0" xfId="0" applyBorder="1"/>
    <xf numFmtId="0" fontId="0" fillId="0" borderId="3" xfId="0" applyBorder="1"/>
    <xf numFmtId="164" fontId="0" fillId="0" borderId="3" xfId="0" applyNumberFormat="1" applyBorder="1"/>
    <xf numFmtId="0" fontId="0" fillId="0" borderId="4" xfId="0" applyBorder="1"/>
    <xf numFmtId="0" fontId="11" fillId="0" borderId="3" xfId="0" applyNumberFormat="1" applyFont="1" applyFill="1" applyBorder="1" applyAlignment="1">
      <alignment horizontal="center"/>
    </xf>
    <xf numFmtId="9" fontId="0" fillId="0" borderId="0" xfId="0" applyNumberFormat="1" applyBorder="1"/>
    <xf numFmtId="0" fontId="0" fillId="0" borderId="4" xfId="0" applyBorder="1" applyAlignment="1">
      <alignment horizontal="center"/>
    </xf>
    <xf numFmtId="164" fontId="0" fillId="0" borderId="0" xfId="0" applyNumberFormat="1" applyBorder="1"/>
    <xf numFmtId="20" fontId="0" fillId="0" borderId="0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2" xfId="0" applyBorder="1"/>
    <xf numFmtId="164" fontId="0" fillId="0" borderId="4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11" fillId="0" borderId="3" xfId="0" applyNumberFormat="1" applyFont="1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/>
    <xf numFmtId="18" fontId="0" fillId="0" borderId="1" xfId="0" applyNumberFormat="1" applyBorder="1"/>
    <xf numFmtId="0" fontId="0" fillId="0" borderId="0" xfId="0" applyAlignment="1">
      <alignment horizontal="center"/>
    </xf>
    <xf numFmtId="0" fontId="0" fillId="7" borderId="1" xfId="0" applyFill="1" applyBorder="1" applyAlignment="1">
      <alignment horizontal="center"/>
    </xf>
    <xf numFmtId="0" fontId="0" fillId="0" borderId="0" xfId="0" applyNumberFormat="1"/>
    <xf numFmtId="0" fontId="0" fillId="0" borderId="0" xfId="0" applyNumberFormat="1" applyBorder="1"/>
    <xf numFmtId="18" fontId="0" fillId="0" borderId="0" xfId="0" applyNumberFormat="1" applyBorder="1"/>
    <xf numFmtId="0" fontId="0" fillId="0" borderId="18" xfId="0" applyBorder="1"/>
    <xf numFmtId="0" fontId="0" fillId="0" borderId="20" xfId="0" applyBorder="1"/>
    <xf numFmtId="0" fontId="0" fillId="0" borderId="0" xfId="0" applyFill="1" applyBorder="1" applyAlignment="1">
      <alignment horizontal="center"/>
    </xf>
    <xf numFmtId="18" fontId="0" fillId="0" borderId="0" xfId="0" applyNumberFormat="1" applyBorder="1" applyAlignment="1">
      <alignment horizontal="center"/>
    </xf>
    <xf numFmtId="0" fontId="0" fillId="0" borderId="3" xfId="0" applyFill="1" applyBorder="1"/>
    <xf numFmtId="0" fontId="0" fillId="0" borderId="0" xfId="0" applyBorder="1" applyAlignment="1"/>
    <xf numFmtId="0" fontId="0" fillId="0" borderId="3" xfId="0" applyBorder="1" applyAlignment="1"/>
    <xf numFmtId="0" fontId="0" fillId="0" borderId="4" xfId="0" applyBorder="1" applyAlignment="1"/>
    <xf numFmtId="0" fontId="0" fillId="0" borderId="3" xfId="0" applyNumberFormat="1" applyBorder="1" applyAlignment="1"/>
    <xf numFmtId="0" fontId="0" fillId="0" borderId="4" xfId="0" applyNumberFormat="1" applyBorder="1" applyAlignment="1"/>
    <xf numFmtId="18" fontId="0" fillId="0" borderId="1" xfId="0" applyNumberFormat="1" applyBorder="1" applyAlignment="1">
      <alignment horizontal="center"/>
    </xf>
    <xf numFmtId="0" fontId="0" fillId="0" borderId="0" xfId="0" applyAlignment="1">
      <alignment vertical="justify" wrapText="1"/>
    </xf>
    <xf numFmtId="0" fontId="0" fillId="0" borderId="0" xfId="0" applyAlignment="1">
      <alignment vertical="top" wrapText="1"/>
    </xf>
    <xf numFmtId="0" fontId="0" fillId="0" borderId="0" xfId="0" applyAlignment="1"/>
    <xf numFmtId="164" fontId="3" fillId="2" borderId="5" xfId="0" applyNumberFormat="1" applyFont="1" applyFill="1" applyBorder="1" applyAlignment="1">
      <alignment horizontal="center" vertical="center"/>
    </xf>
    <xf numFmtId="164" fontId="3" fillId="2" borderId="6" xfId="0" applyNumberFormat="1" applyFont="1" applyFill="1" applyBorder="1" applyAlignment="1">
      <alignment horizontal="center" vertical="center"/>
    </xf>
    <xf numFmtId="164" fontId="3" fillId="2" borderId="7" xfId="0" applyNumberFormat="1" applyFont="1" applyFill="1" applyBorder="1" applyAlignment="1">
      <alignment horizontal="center" vertical="center"/>
    </xf>
    <xf numFmtId="164" fontId="3" fillId="2" borderId="8" xfId="0" applyNumberFormat="1" applyFont="1" applyFill="1" applyBorder="1" applyAlignment="1">
      <alignment horizontal="center" vertical="center"/>
    </xf>
    <xf numFmtId="164" fontId="3" fillId="2" borderId="9" xfId="0" applyNumberFormat="1" applyFont="1" applyFill="1" applyBorder="1" applyAlignment="1">
      <alignment horizontal="center" vertical="center"/>
    </xf>
    <xf numFmtId="164" fontId="3" fillId="2" borderId="10" xfId="0" applyNumberFormat="1" applyFont="1" applyFill="1" applyBorder="1" applyAlignment="1">
      <alignment horizontal="center" vertical="center"/>
    </xf>
    <xf numFmtId="164" fontId="3" fillId="2" borderId="11" xfId="0" applyNumberFormat="1" applyFont="1" applyFill="1" applyBorder="1" applyAlignment="1">
      <alignment horizontal="center" vertical="center"/>
    </xf>
    <xf numFmtId="164" fontId="3" fillId="2" borderId="12" xfId="0" applyNumberFormat="1" applyFont="1" applyFill="1" applyBorder="1" applyAlignment="1">
      <alignment horizontal="center" vertical="center"/>
    </xf>
    <xf numFmtId="1" fontId="9" fillId="2" borderId="5" xfId="0" applyNumberFormat="1" applyFont="1" applyFill="1" applyBorder="1" applyAlignment="1" applyProtection="1">
      <alignment horizontal="centerContinuous" vertical="center"/>
      <protection hidden="1"/>
    </xf>
    <xf numFmtId="1" fontId="9" fillId="2" borderId="8" xfId="0" applyNumberFormat="1" applyFont="1" applyFill="1" applyBorder="1" applyAlignment="1" applyProtection="1">
      <alignment horizontal="centerContinuous" vertical="center"/>
      <protection hidden="1"/>
    </xf>
    <xf numFmtId="1" fontId="9" fillId="2" borderId="10" xfId="0" applyNumberFormat="1" applyFont="1" applyFill="1" applyBorder="1" applyAlignment="1" applyProtection="1">
      <alignment horizontal="centerContinuous" vertical="center"/>
      <protection hidden="1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7" borderId="1" xfId="0" applyFill="1" applyBorder="1"/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4" fillId="0" borderId="1" xfId="0" applyFon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1" xfId="0" quotePrefix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14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7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7" borderId="1" xfId="0" applyFill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65" fontId="0" fillId="0" borderId="0" xfId="0" applyNumberFormat="1"/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2" fillId="10" borderId="1" xfId="0" applyNumberFormat="1" applyFont="1" applyFill="1" applyBorder="1" applyAlignment="1">
      <alignment vertical="center"/>
    </xf>
    <xf numFmtId="0" fontId="4" fillId="10" borderId="1" xfId="0" applyNumberFormat="1" applyFont="1" applyFill="1" applyBorder="1" applyAlignment="1">
      <alignment vertical="center"/>
    </xf>
    <xf numFmtId="0" fontId="2" fillId="10" borderId="1" xfId="0" applyNumberFormat="1" applyFont="1" applyFill="1" applyBorder="1" applyAlignment="1">
      <alignment horizontal="center" vertical="center"/>
    </xf>
    <xf numFmtId="20" fontId="8" fillId="10" borderId="13" xfId="0" applyNumberFormat="1" applyFont="1" applyFill="1" applyBorder="1" applyAlignment="1" applyProtection="1">
      <alignment horizontal="centerContinuous" vertical="center"/>
      <protection hidden="1"/>
    </xf>
    <xf numFmtId="0" fontId="8" fillId="10" borderId="1" xfId="0" applyFont="1" applyFill="1" applyBorder="1" applyAlignment="1">
      <alignment horizontal="centerContinuous" vertical="center"/>
    </xf>
    <xf numFmtId="0" fontId="9" fillId="11" borderId="1" xfId="0" applyFont="1" applyFill="1" applyBorder="1" applyAlignment="1">
      <alignment horizontal="centerContinuous" vertical="center"/>
    </xf>
    <xf numFmtId="0" fontId="9" fillId="11" borderId="1" xfId="0" applyFont="1" applyFill="1" applyBorder="1" applyAlignment="1">
      <alignment horizontal="center" vertical="center"/>
    </xf>
    <xf numFmtId="0" fontId="9" fillId="10" borderId="1" xfId="0" applyFont="1" applyFill="1" applyBorder="1" applyAlignment="1">
      <alignment horizontal="centerContinuous" vertical="center"/>
    </xf>
    <xf numFmtId="0" fontId="10" fillId="10" borderId="1" xfId="0" applyFont="1" applyFill="1" applyBorder="1" applyAlignment="1">
      <alignment vertical="center"/>
    </xf>
    <xf numFmtId="0" fontId="9" fillId="10" borderId="1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left" vertical="center"/>
    </xf>
    <xf numFmtId="0" fontId="10" fillId="10" borderId="1" xfId="0" applyFont="1" applyFill="1" applyBorder="1" applyAlignment="1">
      <alignment horizontal="center" vertical="center"/>
    </xf>
    <xf numFmtId="0" fontId="6" fillId="10" borderId="1" xfId="0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center" vertical="center"/>
    </xf>
    <xf numFmtId="0" fontId="8" fillId="10" borderId="1" xfId="0" applyFont="1" applyFill="1" applyBorder="1" applyAlignment="1" applyProtection="1">
      <alignment horizontal="centerContinuous" vertical="center"/>
      <protection hidden="1"/>
    </xf>
    <xf numFmtId="0" fontId="8" fillId="10" borderId="1" xfId="0" applyFont="1" applyFill="1" applyBorder="1" applyAlignment="1" applyProtection="1">
      <alignment horizontal="center" vertical="center"/>
      <protection hidden="1"/>
    </xf>
    <xf numFmtId="0" fontId="3" fillId="11" borderId="1" xfId="0" applyNumberFormat="1" applyFont="1" applyFill="1" applyBorder="1" applyAlignment="1">
      <alignment horizontal="center" vertical="center"/>
    </xf>
    <xf numFmtId="0" fontId="5" fillId="11" borderId="1" xfId="0" applyNumberFormat="1" applyFont="1" applyFill="1" applyBorder="1" applyAlignment="1"/>
    <xf numFmtId="0" fontId="11" fillId="11" borderId="1" xfId="0" applyNumberFormat="1" applyFont="1" applyFill="1" applyBorder="1" applyAlignment="1"/>
    <xf numFmtId="0" fontId="0" fillId="0" borderId="0" xfId="0" applyFill="1" applyBorder="1" applyAlignment="1">
      <alignment vertical="center" wrapText="1"/>
    </xf>
    <xf numFmtId="0" fontId="0" fillId="0" borderId="1" xfId="0" applyBorder="1" applyAlignment="1">
      <alignment horizontal="center"/>
    </xf>
    <xf numFmtId="0" fontId="0" fillId="7" borderId="1" xfId="0" applyFill="1" applyBorder="1" applyAlignment="1">
      <alignment horizontal="center"/>
    </xf>
    <xf numFmtId="2" fontId="0" fillId="12" borderId="1" xfId="0" applyNumberFormat="1" applyFill="1" applyBorder="1" applyAlignment="1">
      <alignment horizontal="center"/>
    </xf>
    <xf numFmtId="164" fontId="3" fillId="13" borderId="1" xfId="0" applyNumberFormat="1" applyFont="1" applyFill="1" applyBorder="1" applyAlignment="1">
      <alignment horizontal="center" vertical="center"/>
    </xf>
    <xf numFmtId="165" fontId="3" fillId="13" borderId="1" xfId="0" applyNumberFormat="1" applyFont="1" applyFill="1" applyBorder="1" applyAlignment="1">
      <alignment horizontal="center" vertical="center"/>
    </xf>
    <xf numFmtId="0" fontId="1" fillId="13" borderId="17" xfId="0" applyNumberFormat="1" applyFont="1" applyFill="1" applyBorder="1" applyAlignment="1">
      <alignment horizontal="center" vertical="center"/>
    </xf>
    <xf numFmtId="0" fontId="2" fillId="13" borderId="17" xfId="0" applyNumberFormat="1" applyFont="1" applyFill="1" applyBorder="1" applyAlignment="1">
      <alignment horizontal="center" vertical="center"/>
    </xf>
    <xf numFmtId="0" fontId="9" fillId="12" borderId="1" xfId="0" applyFont="1" applyFill="1" applyBorder="1" applyAlignment="1">
      <alignment horizontal="center" vertical="center"/>
    </xf>
    <xf numFmtId="164" fontId="9" fillId="13" borderId="1" xfId="0" applyNumberFormat="1" applyFont="1" applyFill="1" applyBorder="1" applyAlignment="1">
      <alignment horizontal="centerContinuous" vertical="center"/>
    </xf>
    <xf numFmtId="1" fontId="9" fillId="13" borderId="1" xfId="0" applyNumberFormat="1" applyFont="1" applyFill="1" applyBorder="1" applyAlignment="1" applyProtection="1">
      <alignment horizontal="center" vertical="center"/>
      <protection hidden="1"/>
    </xf>
    <xf numFmtId="1" fontId="9" fillId="13" borderId="1" xfId="0" applyNumberFormat="1" applyFont="1" applyFill="1" applyBorder="1" applyAlignment="1" applyProtection="1">
      <alignment horizontal="centerContinuous" vertical="center"/>
      <protection hidden="1"/>
    </xf>
    <xf numFmtId="165" fontId="9" fillId="13" borderId="1" xfId="0" applyNumberFormat="1" applyFont="1" applyFill="1" applyBorder="1" applyAlignment="1" applyProtection="1">
      <alignment horizontal="centerContinuous" vertical="center"/>
      <protection hidden="1"/>
    </xf>
    <xf numFmtId="0" fontId="8" fillId="13" borderId="17" xfId="0" applyFont="1" applyFill="1" applyBorder="1" applyAlignment="1" applyProtection="1">
      <alignment horizontal="centerContinuous" vertical="center"/>
      <protection hidden="1"/>
    </xf>
    <xf numFmtId="164" fontId="5" fillId="12" borderId="1" xfId="0" applyNumberFormat="1" applyFont="1" applyFill="1" applyBorder="1" applyAlignment="1">
      <alignment horizontal="center"/>
    </xf>
    <xf numFmtId="2" fontId="0" fillId="12" borderId="5" xfId="0" applyNumberFormat="1" applyFill="1" applyBorder="1" applyAlignment="1">
      <alignment horizontal="center"/>
    </xf>
    <xf numFmtId="2" fontId="0" fillId="12" borderId="6" xfId="0" applyNumberFormat="1" applyFill="1" applyBorder="1" applyAlignment="1">
      <alignment horizontal="center"/>
    </xf>
    <xf numFmtId="2" fontId="0" fillId="12" borderId="7" xfId="0" applyNumberFormat="1" applyFill="1" applyBorder="1" applyAlignment="1">
      <alignment horizontal="center"/>
    </xf>
    <xf numFmtId="2" fontId="0" fillId="12" borderId="8" xfId="0" applyNumberFormat="1" applyFill="1" applyBorder="1" applyAlignment="1">
      <alignment horizontal="center"/>
    </xf>
    <xf numFmtId="2" fontId="0" fillId="12" borderId="9" xfId="0" applyNumberFormat="1" applyFill="1" applyBorder="1" applyAlignment="1">
      <alignment horizontal="center"/>
    </xf>
    <xf numFmtId="2" fontId="0" fillId="12" borderId="10" xfId="0" applyNumberFormat="1" applyFill="1" applyBorder="1" applyAlignment="1">
      <alignment horizontal="center"/>
    </xf>
    <xf numFmtId="2" fontId="0" fillId="12" borderId="11" xfId="0" applyNumberFormat="1" applyFill="1" applyBorder="1" applyAlignment="1">
      <alignment horizontal="center"/>
    </xf>
    <xf numFmtId="2" fontId="0" fillId="12" borderId="12" xfId="0" applyNumberForma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7" borderId="1" xfId="0" applyFill="1" applyBorder="1" applyAlignment="1">
      <alignment horizontal="center"/>
    </xf>
    <xf numFmtId="165" fontId="0" fillId="12" borderId="5" xfId="0" applyNumberFormat="1" applyFill="1" applyBorder="1" applyAlignment="1">
      <alignment horizontal="center"/>
    </xf>
    <xf numFmtId="165" fontId="0" fillId="12" borderId="6" xfId="0" applyNumberFormat="1" applyFill="1" applyBorder="1" applyAlignment="1">
      <alignment horizontal="center"/>
    </xf>
    <xf numFmtId="165" fontId="0" fillId="12" borderId="7" xfId="0" applyNumberFormat="1" applyFill="1" applyBorder="1" applyAlignment="1">
      <alignment horizontal="center"/>
    </xf>
    <xf numFmtId="165" fontId="0" fillId="12" borderId="8" xfId="0" applyNumberFormat="1" applyFill="1" applyBorder="1" applyAlignment="1">
      <alignment horizontal="center"/>
    </xf>
    <xf numFmtId="165" fontId="0" fillId="12" borderId="1" xfId="0" applyNumberFormat="1" applyFill="1" applyBorder="1" applyAlignment="1">
      <alignment horizontal="center"/>
    </xf>
    <xf numFmtId="165" fontId="0" fillId="12" borderId="9" xfId="0" applyNumberFormat="1" applyFill="1" applyBorder="1" applyAlignment="1">
      <alignment horizontal="center"/>
    </xf>
    <xf numFmtId="165" fontId="0" fillId="12" borderId="10" xfId="0" applyNumberFormat="1" applyFill="1" applyBorder="1" applyAlignment="1">
      <alignment horizontal="center"/>
    </xf>
    <xf numFmtId="165" fontId="0" fillId="12" borderId="11" xfId="0" applyNumberFormat="1" applyFill="1" applyBorder="1" applyAlignment="1">
      <alignment horizontal="center"/>
    </xf>
    <xf numFmtId="165" fontId="0" fillId="12" borderId="12" xfId="0" applyNumberFormat="1" applyFill="1" applyBorder="1" applyAlignment="1">
      <alignment horizontal="center"/>
    </xf>
    <xf numFmtId="0" fontId="0" fillId="0" borderId="1" xfId="0" applyBorder="1" applyAlignment="1">
      <alignment horizontal="center"/>
    </xf>
    <xf numFmtId="165" fontId="0" fillId="12" borderId="1" xfId="0" applyNumberFormat="1" applyFill="1" applyBorder="1" applyAlignment="1">
      <alignment horizontal="center" vertical="center"/>
    </xf>
    <xf numFmtId="2" fontId="0" fillId="12" borderId="1" xfId="0" applyNumberFormat="1" applyFill="1" applyBorder="1" applyAlignment="1">
      <alignment horizontal="center" vertical="center"/>
    </xf>
    <xf numFmtId="2" fontId="0" fillId="12" borderId="5" xfId="0" applyNumberFormat="1" applyFill="1" applyBorder="1" applyAlignment="1">
      <alignment horizontal="center" vertical="center"/>
    </xf>
    <xf numFmtId="2" fontId="0" fillId="12" borderId="6" xfId="0" applyNumberFormat="1" applyFill="1" applyBorder="1" applyAlignment="1">
      <alignment horizontal="center" vertical="center"/>
    </xf>
    <xf numFmtId="2" fontId="0" fillId="12" borderId="7" xfId="0" applyNumberFormat="1" applyFill="1" applyBorder="1" applyAlignment="1">
      <alignment horizontal="center" vertical="center"/>
    </xf>
    <xf numFmtId="2" fontId="0" fillId="12" borderId="8" xfId="0" applyNumberFormat="1" applyFill="1" applyBorder="1" applyAlignment="1">
      <alignment horizontal="center" vertical="center"/>
    </xf>
    <xf numFmtId="2" fontId="0" fillId="12" borderId="9" xfId="0" applyNumberFormat="1" applyFill="1" applyBorder="1" applyAlignment="1">
      <alignment horizontal="center" vertical="center"/>
    </xf>
    <xf numFmtId="2" fontId="0" fillId="12" borderId="10" xfId="0" applyNumberFormat="1" applyFill="1" applyBorder="1" applyAlignment="1">
      <alignment horizontal="center" vertical="center"/>
    </xf>
    <xf numFmtId="2" fontId="0" fillId="12" borderId="11" xfId="0" applyNumberFormat="1" applyFill="1" applyBorder="1" applyAlignment="1">
      <alignment horizontal="center" vertical="center"/>
    </xf>
    <xf numFmtId="2" fontId="0" fillId="12" borderId="12" xfId="0" applyNumberFormat="1" applyFill="1" applyBorder="1" applyAlignment="1">
      <alignment horizontal="center" vertical="center"/>
    </xf>
    <xf numFmtId="165" fontId="0" fillId="12" borderId="5" xfId="0" applyNumberFormat="1" applyFill="1" applyBorder="1" applyAlignment="1">
      <alignment horizontal="center" vertical="center"/>
    </xf>
    <xf numFmtId="165" fontId="0" fillId="12" borderId="6" xfId="0" applyNumberFormat="1" applyFill="1" applyBorder="1" applyAlignment="1">
      <alignment horizontal="center" vertical="center"/>
    </xf>
    <xf numFmtId="165" fontId="0" fillId="12" borderId="7" xfId="0" applyNumberFormat="1" applyFill="1" applyBorder="1" applyAlignment="1">
      <alignment horizontal="center" vertical="center"/>
    </xf>
    <xf numFmtId="165" fontId="0" fillId="12" borderId="8" xfId="0" applyNumberFormat="1" applyFill="1" applyBorder="1" applyAlignment="1">
      <alignment horizontal="center" vertical="center"/>
    </xf>
    <xf numFmtId="165" fontId="0" fillId="12" borderId="9" xfId="0" applyNumberFormat="1" applyFill="1" applyBorder="1" applyAlignment="1">
      <alignment horizontal="center" vertical="center"/>
    </xf>
    <xf numFmtId="165" fontId="0" fillId="12" borderId="10" xfId="0" applyNumberFormat="1" applyFill="1" applyBorder="1" applyAlignment="1">
      <alignment horizontal="center" vertical="center"/>
    </xf>
    <xf numFmtId="165" fontId="0" fillId="12" borderId="11" xfId="0" applyNumberFormat="1" applyFill="1" applyBorder="1" applyAlignment="1">
      <alignment horizontal="center" vertical="center"/>
    </xf>
    <xf numFmtId="165" fontId="0" fillId="12" borderId="12" xfId="0" applyNumberFormat="1" applyFill="1" applyBorder="1" applyAlignment="1">
      <alignment horizontal="center" vertical="center"/>
    </xf>
    <xf numFmtId="1" fontId="9" fillId="2" borderId="1" xfId="0" applyNumberFormat="1" applyFont="1" applyFill="1" applyBorder="1" applyAlignment="1" applyProtection="1">
      <alignment horizontal="centerContinuous" vertical="center"/>
      <protection hidden="1"/>
    </xf>
    <xf numFmtId="1" fontId="9" fillId="2" borderId="6" xfId="0" applyNumberFormat="1" applyFont="1" applyFill="1" applyBorder="1" applyAlignment="1" applyProtection="1">
      <alignment horizontal="centerContinuous" vertical="center"/>
      <protection hidden="1"/>
    </xf>
    <xf numFmtId="1" fontId="9" fillId="2" borderId="7" xfId="0" applyNumberFormat="1" applyFont="1" applyFill="1" applyBorder="1" applyAlignment="1" applyProtection="1">
      <alignment horizontal="centerContinuous" vertical="center"/>
      <protection hidden="1"/>
    </xf>
    <xf numFmtId="1" fontId="9" fillId="2" borderId="9" xfId="0" applyNumberFormat="1" applyFont="1" applyFill="1" applyBorder="1" applyAlignment="1" applyProtection="1">
      <alignment horizontal="centerContinuous" vertical="center"/>
      <protection hidden="1"/>
    </xf>
    <xf numFmtId="1" fontId="9" fillId="2" borderId="11" xfId="0" applyNumberFormat="1" applyFont="1" applyFill="1" applyBorder="1" applyAlignment="1" applyProtection="1">
      <alignment horizontal="centerContinuous" vertical="center"/>
      <protection hidden="1"/>
    </xf>
    <xf numFmtId="1" fontId="9" fillId="2" borderId="12" xfId="0" applyNumberFormat="1" applyFont="1" applyFill="1" applyBorder="1" applyAlignment="1" applyProtection="1">
      <alignment horizontal="centerContinuous" vertical="center"/>
      <protection hidden="1"/>
    </xf>
    <xf numFmtId="0" fontId="3" fillId="0" borderId="1" xfId="0" applyNumberFormat="1" applyFont="1" applyFill="1" applyBorder="1" applyAlignment="1" applyProtection="1">
      <alignment horizontal="center" vertical="center"/>
      <protection locked="0"/>
    </xf>
    <xf numFmtId="0" fontId="6" fillId="3" borderId="1" xfId="0" applyFont="1" applyFill="1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/>
      <protection locked="0"/>
    </xf>
    <xf numFmtId="0" fontId="0" fillId="0" borderId="0" xfId="0" applyProtection="1"/>
    <xf numFmtId="0" fontId="13" fillId="0" borderId="1" xfId="0" applyFont="1" applyBorder="1" applyAlignment="1">
      <alignment horizontal="center"/>
    </xf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9" fillId="3" borderId="1" xfId="0" applyFont="1" applyFill="1" applyBorder="1" applyAlignment="1" applyProtection="1">
      <alignment horizontal="center" vertical="center"/>
      <protection locked="0"/>
    </xf>
    <xf numFmtId="0" fontId="8" fillId="0" borderId="0" xfId="0" applyFont="1" applyFill="1" applyBorder="1" applyAlignment="1" applyProtection="1">
      <alignment horizontal="centerContinuous" vertical="center"/>
      <protection hidden="1"/>
    </xf>
    <xf numFmtId="1" fontId="9" fillId="0" borderId="0" xfId="0" applyNumberFormat="1" applyFont="1" applyFill="1" applyBorder="1" applyAlignment="1" applyProtection="1">
      <alignment horizontal="center" vertical="center"/>
      <protection hidden="1"/>
    </xf>
    <xf numFmtId="1" fontId="9" fillId="0" borderId="0" xfId="0" applyNumberFormat="1" applyFont="1" applyFill="1" applyBorder="1" applyAlignment="1" applyProtection="1">
      <alignment horizontal="centerContinuous" vertical="center"/>
      <protection hidden="1"/>
    </xf>
    <xf numFmtId="165" fontId="9" fillId="0" borderId="0" xfId="0" applyNumberFormat="1" applyFont="1" applyFill="1" applyBorder="1" applyAlignment="1" applyProtection="1">
      <alignment horizontal="centerContinuous" vertical="center"/>
      <protection hidden="1"/>
    </xf>
    <xf numFmtId="0" fontId="8" fillId="0" borderId="0" xfId="0" applyFont="1" applyFill="1" applyBorder="1" applyAlignment="1" applyProtection="1">
      <alignment horizontal="center" vertical="center"/>
      <protection hidden="1"/>
    </xf>
    <xf numFmtId="20" fontId="8" fillId="0" borderId="0" xfId="0" applyNumberFormat="1" applyFont="1" applyFill="1" applyBorder="1" applyAlignment="1" applyProtection="1">
      <alignment horizontal="centerContinuous" vertical="center"/>
      <protection hidden="1"/>
    </xf>
    <xf numFmtId="0" fontId="12" fillId="3" borderId="1" xfId="0" applyFont="1" applyFill="1" applyBorder="1" applyAlignment="1" applyProtection="1">
      <alignment horizontal="center" vertical="center"/>
      <protection locked="0"/>
    </xf>
    <xf numFmtId="0" fontId="12" fillId="0" borderId="1" xfId="0" applyFont="1" applyBorder="1" applyAlignment="1" applyProtection="1">
      <alignment horizontal="center" vertical="center"/>
      <protection locked="0"/>
    </xf>
    <xf numFmtId="0" fontId="0" fillId="12" borderId="1" xfId="0" applyFill="1" applyBorder="1"/>
    <xf numFmtId="0" fontId="22" fillId="0" borderId="1" xfId="0" applyFont="1" applyBorder="1" applyAlignment="1">
      <alignment horizontal="center"/>
    </xf>
    <xf numFmtId="0" fontId="17" fillId="12" borderId="1" xfId="0" applyFont="1" applyFill="1" applyBorder="1" applyAlignment="1">
      <alignment horizontal="center"/>
    </xf>
    <xf numFmtId="0" fontId="17" fillId="12" borderId="1" xfId="0" applyFont="1" applyFill="1" applyBorder="1" applyAlignment="1">
      <alignment horizontal="center" vertical="center"/>
    </xf>
    <xf numFmtId="0" fontId="17" fillId="0" borderId="0" xfId="0" applyFont="1" applyAlignment="1">
      <alignment horizontal="center"/>
    </xf>
    <xf numFmtId="0" fontId="12" fillId="12" borderId="13" xfId="0" applyFont="1" applyFill="1" applyBorder="1" applyAlignment="1">
      <alignment vertical="center"/>
    </xf>
    <xf numFmtId="0" fontId="12" fillId="12" borderId="15" xfId="0" applyFont="1" applyFill="1" applyBorder="1" applyAlignment="1">
      <alignment vertical="center"/>
    </xf>
    <xf numFmtId="0" fontId="12" fillId="12" borderId="1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0" fontId="0" fillId="0" borderId="1" xfId="0" applyFont="1" applyBorder="1" applyAlignment="1" applyProtection="1">
      <alignment horizontal="center"/>
      <protection locked="0"/>
    </xf>
    <xf numFmtId="0" fontId="0" fillId="0" borderId="0" xfId="0" applyFont="1" applyAlignment="1">
      <alignment vertical="top" wrapText="1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1" xfId="0" applyFont="1" applyFill="1" applyBorder="1" applyAlignment="1" applyProtection="1">
      <alignment horizontal="center"/>
      <protection locked="0"/>
    </xf>
    <xf numFmtId="165" fontId="0" fillId="12" borderId="1" xfId="0" applyNumberFormat="1" applyFont="1" applyFill="1" applyBorder="1" applyAlignment="1">
      <alignment horizontal="center"/>
    </xf>
    <xf numFmtId="0" fontId="0" fillId="0" borderId="0" xfId="0" applyFill="1" applyBorder="1" applyAlignment="1">
      <alignment vertical="top" wrapText="1"/>
    </xf>
    <xf numFmtId="0" fontId="0" fillId="0" borderId="0" xfId="0" applyFill="1" applyBorder="1"/>
    <xf numFmtId="0" fontId="0" fillId="0" borderId="0" xfId="0" applyFill="1" applyBorder="1" applyAlignment="1">
      <alignment vertical="justify" wrapText="1"/>
    </xf>
    <xf numFmtId="0" fontId="0" fillId="0" borderId="0" xfId="0" applyFill="1" applyBorder="1" applyAlignment="1"/>
    <xf numFmtId="0" fontId="0" fillId="0" borderId="20" xfId="0" applyBorder="1" applyAlignment="1"/>
    <xf numFmtId="20" fontId="17" fillId="12" borderId="13" xfId="0" applyNumberFormat="1" applyFont="1" applyFill="1" applyBorder="1" applyAlignment="1">
      <alignment horizontal="center" vertical="center"/>
    </xf>
    <xf numFmtId="0" fontId="20" fillId="13" borderId="17" xfId="0" applyFont="1" applyFill="1" applyBorder="1" applyAlignment="1">
      <alignment horizontal="center" vertical="center"/>
    </xf>
    <xf numFmtId="0" fontId="22" fillId="0" borderId="5" xfId="0" applyFont="1" applyBorder="1" applyAlignment="1">
      <alignment horizontal="center"/>
    </xf>
    <xf numFmtId="0" fontId="22" fillId="0" borderId="6" xfId="0" applyFont="1" applyBorder="1" applyAlignment="1">
      <alignment horizontal="center"/>
    </xf>
    <xf numFmtId="0" fontId="22" fillId="0" borderId="7" xfId="0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0" fontId="22" fillId="0" borderId="9" xfId="0" applyFont="1" applyBorder="1" applyAlignment="1">
      <alignment horizontal="center"/>
    </xf>
    <xf numFmtId="0" fontId="22" fillId="0" borderId="10" xfId="0" applyFont="1" applyBorder="1" applyAlignment="1">
      <alignment horizontal="center"/>
    </xf>
    <xf numFmtId="0" fontId="22" fillId="0" borderId="11" xfId="0" applyFont="1" applyBorder="1" applyAlignment="1">
      <alignment horizontal="center"/>
    </xf>
    <xf numFmtId="0" fontId="22" fillId="0" borderId="12" xfId="0" applyFont="1" applyBorder="1" applyAlignment="1">
      <alignment horizontal="center"/>
    </xf>
    <xf numFmtId="20" fontId="17" fillId="0" borderId="0" xfId="0" applyNumberFormat="1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horizontal="center"/>
    </xf>
    <xf numFmtId="0" fontId="17" fillId="12" borderId="17" xfId="0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0" borderId="0" xfId="1" applyNumberFormat="1" applyFont="1" applyFill="1" applyBorder="1" applyAlignment="1">
      <alignment wrapText="1"/>
    </xf>
    <xf numFmtId="0" fontId="5" fillId="0" borderId="0" xfId="1" applyNumberFormat="1" applyFont="1" applyFill="1" applyBorder="1" applyAlignment="1">
      <alignment horizontal="center" wrapText="1"/>
    </xf>
    <xf numFmtId="0" fontId="5" fillId="0" borderId="0" xfId="1" applyNumberFormat="1" applyFont="1" applyFill="1" applyBorder="1" applyAlignment="1">
      <alignment horizontal="center"/>
    </xf>
    <xf numFmtId="0" fontId="12" fillId="0" borderId="0" xfId="1" applyNumberFormat="1" applyFont="1" applyFill="1" applyBorder="1" applyAlignment="1">
      <alignment horizontal="center" vertical="center" wrapText="1"/>
    </xf>
    <xf numFmtId="0" fontId="12" fillId="0" borderId="0" xfId="1" applyNumberFormat="1" applyFont="1" applyFill="1" applyBorder="1" applyAlignment="1">
      <alignment vertical="center" wrapText="1"/>
    </xf>
    <xf numFmtId="0" fontId="12" fillId="12" borderId="1" xfId="1" applyNumberFormat="1" applyFont="1" applyFill="1" applyBorder="1" applyAlignment="1">
      <alignment horizontal="center" vertical="center"/>
    </xf>
    <xf numFmtId="0" fontId="20" fillId="12" borderId="1" xfId="1" applyNumberFormat="1" applyFont="1" applyFill="1" applyBorder="1" applyAlignment="1">
      <alignment horizontal="center" vertical="center"/>
    </xf>
    <xf numFmtId="0" fontId="24" fillId="12" borderId="1" xfId="0" applyFont="1" applyFill="1" applyBorder="1" applyAlignment="1">
      <alignment horizontal="center" vertical="center"/>
    </xf>
    <xf numFmtId="0" fontId="20" fillId="12" borderId="1" xfId="1" applyNumberFormat="1" applyFont="1" applyFill="1" applyBorder="1" applyAlignment="1">
      <alignment horizontal="center" vertical="center" wrapText="1"/>
    </xf>
    <xf numFmtId="0" fontId="12" fillId="12" borderId="1" xfId="1" applyNumberFormat="1" applyFont="1" applyFill="1" applyBorder="1" applyAlignment="1">
      <alignment horizontal="center"/>
    </xf>
    <xf numFmtId="0" fontId="24" fillId="12" borderId="1" xfId="0" applyFont="1" applyFill="1" applyBorder="1" applyAlignment="1">
      <alignment horizontal="center"/>
    </xf>
    <xf numFmtId="0" fontId="12" fillId="0" borderId="0" xfId="1" applyNumberFormat="1" applyFont="1" applyFill="1" applyBorder="1" applyAlignment="1">
      <alignment horizontal="center"/>
    </xf>
    <xf numFmtId="2" fontId="12" fillId="0" borderId="0" xfId="1" applyNumberFormat="1" applyFont="1" applyFill="1" applyBorder="1" applyAlignment="1">
      <alignment horizontal="center"/>
    </xf>
    <xf numFmtId="0" fontId="12" fillId="12" borderId="18" xfId="1" applyNumberFormat="1" applyFont="1" applyFill="1" applyBorder="1" applyAlignment="1">
      <alignment horizontal="center"/>
    </xf>
    <xf numFmtId="0" fontId="12" fillId="12" borderId="18" xfId="1" applyNumberFormat="1" applyFont="1" applyFill="1" applyBorder="1" applyAlignment="1"/>
    <xf numFmtId="0" fontId="12" fillId="12" borderId="0" xfId="1" applyNumberFormat="1" applyFont="1" applyFill="1" applyBorder="1" applyAlignment="1"/>
    <xf numFmtId="0" fontId="12" fillId="12" borderId="0" xfId="1" applyNumberFormat="1" applyFont="1" applyFill="1" applyBorder="1" applyAlignment="1">
      <alignment horizontal="center"/>
    </xf>
    <xf numFmtId="2" fontId="12" fillId="12" borderId="0" xfId="1" applyNumberFormat="1" applyFont="1" applyFill="1" applyBorder="1" applyAlignment="1">
      <alignment horizontal="center"/>
    </xf>
    <xf numFmtId="0" fontId="12" fillId="0" borderId="0" xfId="1" applyFont="1" applyFill="1" applyBorder="1" applyAlignment="1"/>
    <xf numFmtId="2" fontId="12" fillId="12" borderId="18" xfId="1" applyNumberFormat="1" applyFont="1" applyFill="1" applyBorder="1" applyAlignment="1">
      <alignment horizontal="center"/>
    </xf>
    <xf numFmtId="0" fontId="12" fillId="0" borderId="15" xfId="0" applyFont="1" applyFill="1" applyBorder="1" applyAlignment="1" applyProtection="1">
      <alignment vertical="center"/>
    </xf>
    <xf numFmtId="0" fontId="20" fillId="13" borderId="1" xfId="0" applyFont="1" applyFill="1" applyBorder="1" applyAlignment="1" applyProtection="1">
      <alignment horizontal="center" vertical="center"/>
    </xf>
    <xf numFmtId="0" fontId="20" fillId="13" borderId="1" xfId="0" applyFont="1" applyFill="1" applyBorder="1" applyAlignment="1" applyProtection="1">
      <alignment horizontal="left" vertical="center"/>
    </xf>
    <xf numFmtId="0" fontId="12" fillId="0" borderId="1" xfId="0" applyFont="1" applyFill="1" applyBorder="1" applyAlignment="1" applyProtection="1">
      <alignment horizontal="center" vertical="center"/>
      <protection locked="0"/>
    </xf>
    <xf numFmtId="0" fontId="12" fillId="0" borderId="13" xfId="0" applyFont="1" applyFill="1" applyBorder="1" applyAlignment="1" applyProtection="1">
      <alignment vertical="center"/>
      <protection locked="0"/>
    </xf>
    <xf numFmtId="0" fontId="21" fillId="0" borderId="1" xfId="0" applyFont="1" applyFill="1" applyBorder="1" applyAlignment="1" applyProtection="1">
      <alignment horizontal="center" vertical="center"/>
      <protection locked="0"/>
    </xf>
    <xf numFmtId="0" fontId="12" fillId="0" borderId="1" xfId="1" applyNumberFormat="1" applyFont="1" applyFill="1" applyBorder="1" applyAlignment="1" applyProtection="1">
      <alignment horizontal="center" vertical="center"/>
      <protection locked="0"/>
    </xf>
    <xf numFmtId="0" fontId="12" fillId="0" borderId="1" xfId="1" applyNumberFormat="1" applyFont="1" applyFill="1" applyBorder="1" applyAlignment="1" applyProtection="1">
      <alignment horizontal="center" vertical="center" wrapText="1"/>
      <protection locked="0"/>
    </xf>
    <xf numFmtId="0" fontId="25" fillId="0" borderId="0" xfId="2" applyProtection="1"/>
    <xf numFmtId="0" fontId="20" fillId="12" borderId="1" xfId="1" applyNumberFormat="1" applyFont="1" applyFill="1" applyBorder="1" applyAlignment="1">
      <alignment horizontal="center" vertical="center" wrapText="1"/>
    </xf>
    <xf numFmtId="0" fontId="0" fillId="12" borderId="1" xfId="0" applyFill="1" applyBorder="1" applyAlignment="1">
      <alignment horizontal="center"/>
    </xf>
    <xf numFmtId="0" fontId="12" fillId="12" borderId="18" xfId="1" applyNumberFormat="1" applyFont="1" applyFill="1" applyBorder="1" applyAlignment="1">
      <alignment horizontal="center"/>
    </xf>
    <xf numFmtId="0" fontId="12" fillId="12" borderId="0" xfId="1" applyNumberFormat="1" applyFont="1" applyFill="1" applyBorder="1" applyAlignment="1">
      <alignment horizontal="center"/>
    </xf>
    <xf numFmtId="0" fontId="0" fillId="12" borderId="1" xfId="0" applyFont="1" applyFill="1" applyBorder="1" applyAlignment="1" applyProtection="1">
      <alignment horizontal="center"/>
    </xf>
    <xf numFmtId="0" fontId="20" fillId="13" borderId="13" xfId="0" applyFont="1" applyFill="1" applyBorder="1" applyAlignment="1" applyProtection="1">
      <alignment horizontal="center" vertical="center"/>
    </xf>
    <xf numFmtId="0" fontId="20" fillId="13" borderId="14" xfId="0" applyFont="1" applyFill="1" applyBorder="1" applyAlignment="1" applyProtection="1">
      <alignment horizontal="center" vertical="center"/>
    </xf>
    <xf numFmtId="0" fontId="20" fillId="13" borderId="15" xfId="0" applyFont="1" applyFill="1" applyBorder="1" applyAlignment="1" applyProtection="1">
      <alignment horizontal="center" vertical="center"/>
    </xf>
    <xf numFmtId="0" fontId="20" fillId="13" borderId="1" xfId="0" applyFont="1" applyFill="1" applyBorder="1" applyAlignment="1" applyProtection="1">
      <alignment horizontal="center" vertical="center"/>
    </xf>
    <xf numFmtId="0" fontId="21" fillId="13" borderId="1" xfId="0" applyFont="1" applyFill="1" applyBorder="1" applyAlignment="1" applyProtection="1">
      <alignment horizontal="center" vertical="center"/>
    </xf>
    <xf numFmtId="0" fontId="1" fillId="10" borderId="13" xfId="0" applyNumberFormat="1" applyFont="1" applyFill="1" applyBorder="1" applyAlignment="1">
      <alignment horizontal="center"/>
    </xf>
    <xf numFmtId="0" fontId="1" fillId="10" borderId="14" xfId="0" applyNumberFormat="1" applyFont="1" applyFill="1" applyBorder="1" applyAlignment="1">
      <alignment horizontal="center"/>
    </xf>
    <xf numFmtId="0" fontId="1" fillId="10" borderId="15" xfId="0" applyNumberFormat="1" applyFont="1" applyFill="1" applyBorder="1" applyAlignment="1">
      <alignment horizontal="center"/>
    </xf>
    <xf numFmtId="0" fontId="4" fillId="10" borderId="13" xfId="0" applyNumberFormat="1" applyFont="1" applyFill="1" applyBorder="1" applyAlignment="1">
      <alignment horizontal="center" vertical="center"/>
    </xf>
    <xf numFmtId="0" fontId="4" fillId="10" borderId="14" xfId="0" applyNumberFormat="1" applyFont="1" applyFill="1" applyBorder="1" applyAlignment="1">
      <alignment horizontal="center" vertical="center"/>
    </xf>
    <xf numFmtId="0" fontId="4" fillId="10" borderId="15" xfId="0" applyNumberFormat="1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11" borderId="1" xfId="0" applyFill="1" applyBorder="1" applyAlignment="1">
      <alignment horizontal="center" vertical="center" wrapText="1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0" fontId="11" fillId="0" borderId="0" xfId="0" applyNumberFormat="1" applyFont="1" applyFill="1" applyBorder="1" applyAlignment="1">
      <alignment horizontal="center"/>
    </xf>
    <xf numFmtId="0" fontId="11" fillId="0" borderId="3" xfId="0" applyNumberFormat="1" applyFont="1" applyFill="1" applyBorder="1" applyAlignment="1">
      <alignment horizontal="center"/>
    </xf>
    <xf numFmtId="0" fontId="11" fillId="0" borderId="4" xfId="0" applyNumberFormat="1" applyFont="1" applyFill="1" applyBorder="1" applyAlignment="1">
      <alignment horizontal="center"/>
    </xf>
    <xf numFmtId="0" fontId="17" fillId="12" borderId="1" xfId="0" applyFont="1" applyFill="1" applyBorder="1" applyAlignment="1">
      <alignment horizontal="center" vertical="center"/>
    </xf>
    <xf numFmtId="0" fontId="20" fillId="13" borderId="13" xfId="0" applyFont="1" applyFill="1" applyBorder="1" applyAlignment="1">
      <alignment horizontal="center" vertical="center"/>
    </xf>
    <xf numFmtId="0" fontId="20" fillId="13" borderId="15" xfId="0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horizontal="center"/>
    </xf>
    <xf numFmtId="0" fontId="20" fillId="12" borderId="13" xfId="1" applyNumberFormat="1" applyFont="1" applyFill="1" applyBorder="1" applyAlignment="1">
      <alignment horizontal="center" vertical="center" wrapText="1"/>
    </xf>
    <xf numFmtId="0" fontId="20" fillId="12" borderId="14" xfId="1" applyNumberFormat="1" applyFont="1" applyFill="1" applyBorder="1" applyAlignment="1">
      <alignment horizontal="center" vertical="center" wrapText="1"/>
    </xf>
    <xf numFmtId="0" fontId="20" fillId="12" borderId="15" xfId="1" applyNumberFormat="1" applyFont="1" applyFill="1" applyBorder="1" applyAlignment="1">
      <alignment horizontal="center" vertical="center" wrapText="1"/>
    </xf>
    <xf numFmtId="0" fontId="20" fillId="12" borderId="1" xfId="1" applyNumberFormat="1" applyFont="1" applyFill="1" applyBorder="1" applyAlignment="1">
      <alignment horizontal="center" vertical="center" wrapText="1"/>
    </xf>
    <xf numFmtId="0" fontId="0" fillId="12" borderId="1" xfId="0" applyFont="1" applyFill="1" applyBorder="1" applyAlignment="1">
      <alignment horizontal="center" vertical="center" wrapText="1"/>
    </xf>
    <xf numFmtId="0" fontId="17" fillId="12" borderId="13" xfId="0" applyFont="1" applyFill="1" applyBorder="1" applyAlignment="1">
      <alignment horizontal="center" vertical="center"/>
    </xf>
    <xf numFmtId="0" fontId="17" fillId="12" borderId="14" xfId="0" applyFont="1" applyFill="1" applyBorder="1" applyAlignment="1">
      <alignment horizontal="center" vertical="center"/>
    </xf>
    <xf numFmtId="0" fontId="17" fillId="12" borderId="15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0" fontId="0" fillId="12" borderId="1" xfId="0" applyFont="1" applyFill="1" applyBorder="1" applyAlignment="1">
      <alignment horizontal="center"/>
    </xf>
    <xf numFmtId="0" fontId="0" fillId="12" borderId="1" xfId="0" applyFill="1" applyBorder="1" applyAlignment="1">
      <alignment horizontal="center" vertical="justify" wrapText="1"/>
    </xf>
    <xf numFmtId="0" fontId="0" fillId="12" borderId="1" xfId="0" applyFont="1" applyFill="1" applyBorder="1" applyAlignment="1">
      <alignment horizontal="center" vertical="justify" wrapText="1"/>
    </xf>
    <xf numFmtId="0" fontId="0" fillId="0" borderId="1" xfId="0" applyFont="1" applyBorder="1" applyAlignment="1" applyProtection="1">
      <alignment horizontal="center" vertical="center"/>
      <protection locked="0"/>
    </xf>
    <xf numFmtId="0" fontId="0" fillId="12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0" fillId="0" borderId="1" xfId="0" applyBorder="1" applyAlignment="1"/>
    <xf numFmtId="0" fontId="0" fillId="0" borderId="17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0" xfId="0" applyAlignment="1">
      <alignment horizontal="center"/>
    </xf>
    <xf numFmtId="18" fontId="0" fillId="0" borderId="19" xfId="0" applyNumberFormat="1" applyBorder="1" applyAlignment="1">
      <alignment horizontal="center"/>
    </xf>
    <xf numFmtId="18" fontId="0" fillId="0" borderId="18" xfId="0" applyNumberFormat="1" applyBorder="1" applyAlignment="1">
      <alignment horizontal="center"/>
    </xf>
    <xf numFmtId="0" fontId="0" fillId="0" borderId="2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8" xfId="0" applyBorder="1" applyAlignment="1">
      <alignment horizontal="center"/>
    </xf>
    <xf numFmtId="18" fontId="0" fillId="0" borderId="0" xfId="0" applyNumberFormat="1" applyBorder="1" applyAlignment="1">
      <alignment horizontal="center"/>
    </xf>
    <xf numFmtId="18" fontId="0" fillId="0" borderId="4" xfId="0" applyNumberFormat="1" applyBorder="1" applyAlignment="1">
      <alignment horizontal="center"/>
    </xf>
    <xf numFmtId="0" fontId="0" fillId="8" borderId="1" xfId="0" applyFill="1" applyBorder="1" applyAlignment="1"/>
    <xf numFmtId="0" fontId="0" fillId="0" borderId="1" xfId="0" applyBorder="1" applyAlignment="1" applyProtection="1">
      <alignment horizontal="center" vertical="center"/>
      <protection locked="0"/>
    </xf>
    <xf numFmtId="0" fontId="12" fillId="12" borderId="18" xfId="1" applyNumberFormat="1" applyFont="1" applyFill="1" applyBorder="1" applyAlignment="1">
      <alignment horizontal="center"/>
    </xf>
    <xf numFmtId="0" fontId="12" fillId="12" borderId="0" xfId="1" applyNumberFormat="1" applyFont="1" applyFill="1" applyBorder="1" applyAlignment="1">
      <alignment horizontal="center"/>
    </xf>
    <xf numFmtId="0" fontId="12" fillId="12" borderId="20" xfId="1" applyNumberFormat="1" applyFont="1" applyFill="1" applyBorder="1" applyAlignment="1">
      <alignment horizontal="center"/>
    </xf>
    <xf numFmtId="0" fontId="20" fillId="12" borderId="0" xfId="1" applyNumberFormat="1" applyFont="1" applyFill="1" applyBorder="1" applyAlignment="1">
      <alignment horizontal="center" vertical="center" wrapText="1"/>
    </xf>
    <xf numFmtId="0" fontId="20" fillId="12" borderId="18" xfId="1" applyNumberFormat="1" applyFont="1" applyFill="1" applyBorder="1" applyAlignment="1">
      <alignment horizontal="center" vertical="center" wrapText="1"/>
    </xf>
    <xf numFmtId="0" fontId="20" fillId="12" borderId="14" xfId="1" applyFont="1" applyFill="1" applyBorder="1" applyAlignment="1">
      <alignment horizontal="center"/>
    </xf>
    <xf numFmtId="0" fontId="20" fillId="12" borderId="0" xfId="1" applyNumberFormat="1" applyFont="1" applyFill="1" applyBorder="1" applyAlignment="1">
      <alignment horizontal="center" wrapText="1"/>
    </xf>
    <xf numFmtId="0" fontId="20" fillId="12" borderId="18" xfId="1" applyNumberFormat="1" applyFont="1" applyFill="1" applyBorder="1" applyAlignment="1">
      <alignment horizontal="center" wrapText="1"/>
    </xf>
    <xf numFmtId="0" fontId="17" fillId="12" borderId="13" xfId="0" applyFont="1" applyFill="1" applyBorder="1" applyAlignment="1">
      <alignment horizontal="center"/>
    </xf>
    <xf numFmtId="0" fontId="17" fillId="12" borderId="14" xfId="0" applyFont="1" applyFill="1" applyBorder="1" applyAlignment="1">
      <alignment horizontal="center"/>
    </xf>
    <xf numFmtId="0" fontId="17" fillId="12" borderId="15" xfId="0" applyFont="1" applyFill="1" applyBorder="1" applyAlignment="1">
      <alignment horizontal="center"/>
    </xf>
    <xf numFmtId="0" fontId="17" fillId="12" borderId="21" xfId="0" applyFont="1" applyFill="1" applyBorder="1" applyAlignment="1">
      <alignment horizontal="center"/>
    </xf>
    <xf numFmtId="0" fontId="17" fillId="12" borderId="22" xfId="0" applyFont="1" applyFill="1" applyBorder="1" applyAlignment="1">
      <alignment horizontal="center"/>
    </xf>
    <xf numFmtId="0" fontId="17" fillId="12" borderId="23" xfId="0" applyFont="1" applyFill="1" applyBorder="1" applyAlignment="1">
      <alignment horizontal="center"/>
    </xf>
    <xf numFmtId="0" fontId="17" fillId="12" borderId="21" xfId="0" applyFont="1" applyFill="1" applyBorder="1" applyAlignment="1">
      <alignment horizontal="center" vertical="center"/>
    </xf>
    <xf numFmtId="0" fontId="17" fillId="12" borderId="22" xfId="0" applyFont="1" applyFill="1" applyBorder="1" applyAlignment="1">
      <alignment horizontal="center" vertical="center"/>
    </xf>
    <xf numFmtId="0" fontId="17" fillId="12" borderId="23" xfId="0" applyFont="1" applyFill="1" applyBorder="1" applyAlignment="1">
      <alignment horizontal="center" vertical="center"/>
    </xf>
    <xf numFmtId="0" fontId="0" fillId="12" borderId="13" xfId="0" applyFill="1" applyBorder="1" applyAlignment="1">
      <alignment horizontal="center"/>
    </xf>
    <xf numFmtId="0" fontId="0" fillId="12" borderId="14" xfId="0" applyFill="1" applyBorder="1" applyAlignment="1">
      <alignment horizontal="center"/>
    </xf>
    <xf numFmtId="0" fontId="0" fillId="12" borderId="15" xfId="0" applyFill="1" applyBorder="1" applyAlignment="1">
      <alignment horizontal="center"/>
    </xf>
    <xf numFmtId="0" fontId="0" fillId="12" borderId="17" xfId="0" applyFill="1" applyBorder="1" applyAlignment="1">
      <alignment horizontal="center"/>
    </xf>
    <xf numFmtId="0" fontId="0" fillId="12" borderId="16" xfId="0" applyFill="1" applyBorder="1" applyAlignment="1">
      <alignment horizontal="center"/>
    </xf>
    <xf numFmtId="0" fontId="0" fillId="12" borderId="13" xfId="0" applyFill="1" applyBorder="1" applyAlignment="1">
      <alignment horizontal="center" vertical="center" wrapText="1"/>
    </xf>
    <xf numFmtId="0" fontId="0" fillId="12" borderId="14" xfId="0" applyFill="1" applyBorder="1" applyAlignment="1">
      <alignment horizontal="center" vertical="center" wrapText="1"/>
    </xf>
    <xf numFmtId="0" fontId="0" fillId="12" borderId="15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15" fillId="0" borderId="16" xfId="0" applyFont="1" applyBorder="1" applyAlignment="1">
      <alignment horizontal="center" vertical="center"/>
    </xf>
    <xf numFmtId="0" fontId="14" fillId="0" borderId="16" xfId="0" applyFont="1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8" borderId="17" xfId="0" applyFill="1" applyBorder="1" applyAlignment="1"/>
    <xf numFmtId="0" fontId="0" fillId="8" borderId="17" xfId="0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0" fillId="7" borderId="1" xfId="0" applyFill="1" applyBorder="1" applyAlignment="1">
      <alignment horizontal="center"/>
    </xf>
    <xf numFmtId="0" fontId="0" fillId="9" borderId="1" xfId="0" applyFill="1" applyBorder="1" applyAlignment="1">
      <alignment horizontal="center"/>
    </xf>
  </cellXfs>
  <cellStyles count="6">
    <cellStyle name="Hipervínculo" xfId="2" builtinId="8"/>
    <cellStyle name="Hipervínculo visitado" xfId="3" builtinId="9" hidden="1"/>
    <cellStyle name="Hipervínculo visitado" xfId="4" builtinId="9" hidden="1"/>
    <cellStyle name="Hipervínculo visitado" xfId="5" builtinId="9" hidden="1"/>
    <cellStyle name="Normal" xfId="0" builtinId="0"/>
    <cellStyle name="Normal 2" xfId="1"/>
  </cellStyles>
  <dxfs count="3"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Tn!$A$8</c:f>
              <c:strCache>
                <c:ptCount val="1"/>
                <c:pt idx="0">
                  <c:v>Rango mín confort</c:v>
                </c:pt>
              </c:strCache>
            </c:strRef>
          </c:tx>
          <c:cat>
            <c:strRef>
              <c:f>Tn!$B$3:$M$3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Tn!$B$8:$M$8</c:f>
              <c:numCache>
                <c:formatCode>0.0</c:formatCode>
                <c:ptCount val="12"/>
                <c:pt idx="0">
                  <c:v>19.947500000000002</c:v>
                </c:pt>
                <c:pt idx="1">
                  <c:v>20.273000000000003</c:v>
                </c:pt>
                <c:pt idx="2">
                  <c:v>20.5015</c:v>
                </c:pt>
                <c:pt idx="3">
                  <c:v>21.664000000000001</c:v>
                </c:pt>
                <c:pt idx="4">
                  <c:v>22.718000000000004</c:v>
                </c:pt>
                <c:pt idx="5">
                  <c:v>23.989000000000004</c:v>
                </c:pt>
                <c:pt idx="6">
                  <c:v>24.768000000000001</c:v>
                </c:pt>
                <c:pt idx="7">
                  <c:v>25.035499999999999</c:v>
                </c:pt>
                <c:pt idx="8">
                  <c:v>24.117000000000001</c:v>
                </c:pt>
                <c:pt idx="9">
                  <c:v>22.815000000000001</c:v>
                </c:pt>
                <c:pt idx="10">
                  <c:v>20.970500000000001</c:v>
                </c:pt>
                <c:pt idx="11">
                  <c:v>19.839000000000002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Tn!$A$5</c:f>
              <c:strCache>
                <c:ptCount val="1"/>
                <c:pt idx="0">
                  <c:v>Tn [°C]</c:v>
                </c:pt>
              </c:strCache>
            </c:strRef>
          </c:tx>
          <c:cat>
            <c:strRef>
              <c:f>Tn!$B$3:$M$3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Tn!$B$5:$M$5</c:f>
              <c:numCache>
                <c:formatCode>0.0</c:formatCode>
                <c:ptCount val="12"/>
                <c:pt idx="0">
                  <c:v>22.947500000000002</c:v>
                </c:pt>
                <c:pt idx="1">
                  <c:v>23.273000000000003</c:v>
                </c:pt>
                <c:pt idx="2">
                  <c:v>24.0015</c:v>
                </c:pt>
                <c:pt idx="3">
                  <c:v>25.164000000000001</c:v>
                </c:pt>
                <c:pt idx="4">
                  <c:v>26.218000000000004</c:v>
                </c:pt>
                <c:pt idx="5">
                  <c:v>27.489000000000004</c:v>
                </c:pt>
                <c:pt idx="6">
                  <c:v>27.768000000000001</c:v>
                </c:pt>
                <c:pt idx="7">
                  <c:v>27.535499999999999</c:v>
                </c:pt>
                <c:pt idx="8">
                  <c:v>27.117000000000001</c:v>
                </c:pt>
                <c:pt idx="9">
                  <c:v>25.815000000000001</c:v>
                </c:pt>
                <c:pt idx="10">
                  <c:v>23.970500000000001</c:v>
                </c:pt>
                <c:pt idx="11">
                  <c:v>22.839000000000002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Tn!$A$9</c:f>
              <c:strCache>
                <c:ptCount val="1"/>
                <c:pt idx="0">
                  <c:v>Rango máx confort</c:v>
                </c:pt>
              </c:strCache>
            </c:strRef>
          </c:tx>
          <c:cat>
            <c:strRef>
              <c:f>Tn!$B$3:$M$3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Tn!$B$9:$M$9</c:f>
              <c:numCache>
                <c:formatCode>0.0</c:formatCode>
                <c:ptCount val="12"/>
                <c:pt idx="0">
                  <c:v>25.947500000000002</c:v>
                </c:pt>
                <c:pt idx="1">
                  <c:v>26.273000000000003</c:v>
                </c:pt>
                <c:pt idx="2">
                  <c:v>27.5015</c:v>
                </c:pt>
                <c:pt idx="3">
                  <c:v>28.664000000000001</c:v>
                </c:pt>
                <c:pt idx="4">
                  <c:v>29.718000000000004</c:v>
                </c:pt>
                <c:pt idx="5">
                  <c:v>30.989000000000004</c:v>
                </c:pt>
                <c:pt idx="6">
                  <c:v>30.768000000000001</c:v>
                </c:pt>
                <c:pt idx="7">
                  <c:v>30.035499999999999</c:v>
                </c:pt>
                <c:pt idx="8">
                  <c:v>30.117000000000001</c:v>
                </c:pt>
                <c:pt idx="9">
                  <c:v>28.815000000000001</c:v>
                </c:pt>
                <c:pt idx="10">
                  <c:v>26.970500000000001</c:v>
                </c:pt>
                <c:pt idx="11">
                  <c:v>25.839000000000002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475872"/>
        <c:axId val="421477048"/>
      </c:lineChart>
      <c:catAx>
        <c:axId val="421475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MX"/>
                  <a:t>Meses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21477048"/>
        <c:crosses val="autoZero"/>
        <c:auto val="1"/>
        <c:lblAlgn val="ctr"/>
        <c:lblOffset val="100"/>
        <c:noMultiLvlLbl val="0"/>
      </c:catAx>
      <c:valAx>
        <c:axId val="4214770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MX"/>
                  <a:t>Temperatura</a:t>
                </a:r>
                <a:r>
                  <a:rPr lang="es-MX" baseline="0"/>
                  <a:t> [°C]</a:t>
                </a:r>
                <a:endParaRPr lang="es-MX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14758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" l="0.70000000000000095" r="0.70000000000000095" t="0.75000000000000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MX"/>
              <a:t>Enero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6"/>
          <c:order val="6"/>
          <c:spPr>
            <a:ln w="381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'Olgyay datos'!$A$5:$A$6</c:f>
              <c:numCache>
                <c:formatCode>General</c:formatCode>
                <c:ptCount val="2"/>
                <c:pt idx="0">
                  <c:v>25.924189526184534</c:v>
                </c:pt>
                <c:pt idx="1">
                  <c:v>84.570852869376523</c:v>
                </c:pt>
              </c:numCache>
            </c:numRef>
          </c:xVal>
          <c:yVal>
            <c:numRef>
              <c:f>'Olgyay datos'!$B$5:$B$6</c:f>
              <c:numCache>
                <c:formatCode>0.0</c:formatCode>
                <c:ptCount val="2"/>
                <c:pt idx="0">
                  <c:v>19.5503</c:v>
                </c:pt>
                <c:pt idx="1">
                  <c:v>19.5503</c:v>
                </c:pt>
              </c:numCache>
            </c:numRef>
          </c:yVal>
          <c:smooth val="1"/>
        </c:ser>
        <c:ser>
          <c:idx val="7"/>
          <c:order val="7"/>
          <c:spPr>
            <a:ln w="381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'Olgyay datos'!$A$8:$A$9</c:f>
              <c:numCache>
                <c:formatCode>General</c:formatCode>
                <c:ptCount val="2"/>
                <c:pt idx="0">
                  <c:v>63.653945453691968</c:v>
                </c:pt>
                <c:pt idx="1">
                  <c:v>84.570852869376523</c:v>
                </c:pt>
              </c:numCache>
            </c:numRef>
          </c:xVal>
          <c:yVal>
            <c:numRef>
              <c:f>'Olgyay datos'!$B$8:$B$9</c:f>
              <c:numCache>
                <c:formatCode>0.0</c:formatCode>
                <c:ptCount val="2"/>
                <c:pt idx="0">
                  <c:v>24.948326296765714</c:v>
                </c:pt>
                <c:pt idx="1">
                  <c:v>19.5503</c:v>
                </c:pt>
              </c:numCache>
            </c:numRef>
          </c:yVal>
          <c:smooth val="1"/>
        </c:ser>
        <c:ser>
          <c:idx val="8"/>
          <c:order val="8"/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'Olgyay datos'!$A$11:$A$12</c:f>
              <c:numCache>
                <c:formatCode>General</c:formatCode>
                <c:ptCount val="2"/>
                <c:pt idx="0">
                  <c:v>16.548034242232085</c:v>
                </c:pt>
                <c:pt idx="1">
                  <c:v>63.653945453691968</c:v>
                </c:pt>
              </c:numCache>
            </c:numRef>
          </c:xVal>
          <c:yVal>
            <c:numRef>
              <c:f>'Olgyay datos'!$B$11:$B$12</c:f>
              <c:numCache>
                <c:formatCode>0.0</c:formatCode>
                <c:ptCount val="2"/>
                <c:pt idx="0">
                  <c:v>27.069976537729868</c:v>
                </c:pt>
                <c:pt idx="1">
                  <c:v>24.948326296765714</c:v>
                </c:pt>
              </c:numCache>
            </c:numRef>
          </c:yVal>
          <c:smooth val="1"/>
        </c:ser>
        <c:ser>
          <c:idx val="9"/>
          <c:order val="9"/>
          <c:spPr>
            <a:ln w="381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'Olgyay datos'!$A$14:$A$15</c:f>
              <c:numCache>
                <c:formatCode>General</c:formatCode>
                <c:ptCount val="2"/>
                <c:pt idx="0">
                  <c:v>16.548034242232085</c:v>
                </c:pt>
                <c:pt idx="1">
                  <c:v>25.924189526184534</c:v>
                </c:pt>
              </c:numCache>
            </c:numRef>
          </c:xVal>
          <c:yVal>
            <c:numRef>
              <c:f>'Olgyay datos'!$B$14:$B$15</c:f>
              <c:numCache>
                <c:formatCode>0.0</c:formatCode>
                <c:ptCount val="2"/>
                <c:pt idx="0">
                  <c:v>27.069976537729868</c:v>
                </c:pt>
                <c:pt idx="1">
                  <c:v>19.550300000000004</c:v>
                </c:pt>
              </c:numCache>
            </c:numRef>
          </c:yVal>
          <c:smooth val="1"/>
        </c:ser>
        <c:ser>
          <c:idx val="10"/>
          <c:order val="10"/>
          <c:marker>
            <c:symbol val="none"/>
          </c:marker>
          <c:xVal>
            <c:numRef>
              <c:f>'Olgyay datos'!$A$18</c:f>
              <c:numCache>
                <c:formatCode>General</c:formatCode>
                <c:ptCount val="1"/>
                <c:pt idx="0">
                  <c:v>50</c:v>
                </c:pt>
              </c:numCache>
            </c:numRef>
          </c:xVal>
          <c:yVal>
            <c:numRef>
              <c:f>'Olgyay datos'!$B$18</c:f>
              <c:numCache>
                <c:formatCode>0.0</c:formatCode>
                <c:ptCount val="1"/>
                <c:pt idx="0">
                  <c:v>22.947500000000002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'Olgyay datos'!$L$1</c:f>
              <c:strCache>
                <c:ptCount val="1"/>
                <c:pt idx="0">
                  <c:v>Enero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xVal>
            <c:numRef>
              <c:f>'Olgyay datos'!$N$3:$N$26</c:f>
              <c:numCache>
                <c:formatCode>0</c:formatCode>
                <c:ptCount val="24"/>
                <c:pt idx="0">
                  <c:v>57.562018223183941</c:v>
                </c:pt>
                <c:pt idx="1">
                  <c:v>59.714333736734076</c:v>
                </c:pt>
                <c:pt idx="2">
                  <c:v>61.500561024608992</c:v>
                </c:pt>
                <c:pt idx="3">
                  <c:v>62.959218549750602</c:v>
                </c:pt>
                <c:pt idx="4">
                  <c:v>64.133902384707099</c:v>
                </c:pt>
                <c:pt idx="5">
                  <c:v>65.068465562886516</c:v>
                </c:pt>
                <c:pt idx="6">
                  <c:v>65.804063976184011</c:v>
                </c:pt>
                <c:pt idx="7">
                  <c:v>68.18183263920821</c:v>
                </c:pt>
                <c:pt idx="8">
                  <c:v>67.316170635281566</c:v>
                </c:pt>
                <c:pt idx="9">
                  <c:v>63.40145229147064</c:v>
                </c:pt>
                <c:pt idx="10">
                  <c:v>56.61550473182276</c:v>
                </c:pt>
                <c:pt idx="11">
                  <c:v>48.682982878815515</c:v>
                </c:pt>
                <c:pt idx="12">
                  <c:v>41.37531463577448</c:v>
                </c:pt>
                <c:pt idx="13">
                  <c:v>35.861816347339392</c:v>
                </c:pt>
                <c:pt idx="14">
                  <c:v>32.62504049515006</c:v>
                </c:pt>
                <c:pt idx="15">
                  <c:v>31.620308501680295</c:v>
                </c:pt>
                <c:pt idx="16">
                  <c:v>32.489385628134812</c:v>
                </c:pt>
                <c:pt idx="17">
                  <c:v>34.742423640774447</c:v>
                </c:pt>
                <c:pt idx="18">
                  <c:v>37.882712642469279</c:v>
                </c:pt>
                <c:pt idx="19">
                  <c:v>41.477412347101918</c:v>
                </c:pt>
                <c:pt idx="20">
                  <c:v>45.187613144523993</c:v>
                </c:pt>
                <c:pt idx="21">
                  <c:v>48.772124473742174</c:v>
                </c:pt>
                <c:pt idx="22">
                  <c:v>52.076761498247251</c:v>
                </c:pt>
                <c:pt idx="23">
                  <c:v>55.017409031977422</c:v>
                </c:pt>
              </c:numCache>
            </c:numRef>
          </c:xVal>
          <c:yVal>
            <c:numRef>
              <c:f>'Olgyay datos'!$M$3:$M$26</c:f>
              <c:numCache>
                <c:formatCode>0.0</c:formatCode>
                <c:ptCount val="24"/>
                <c:pt idx="0">
                  <c:v>14.234916754141189</c:v>
                </c:pt>
                <c:pt idx="1">
                  <c:v>13.376758223815056</c:v>
                </c:pt>
                <c:pt idx="2">
                  <c:v>12.664564228770711</c:v>
                </c:pt>
                <c:pt idx="3">
                  <c:v>12.082976914947945</c:v>
                </c:pt>
                <c:pt idx="4">
                  <c:v>11.614613913771883</c:v>
                </c:pt>
                <c:pt idx="5">
                  <c:v>11.241990402751185</c:v>
                </c:pt>
                <c:pt idx="6">
                  <c:v>10.948696947729628</c:v>
                </c:pt>
                <c:pt idx="7">
                  <c:v>10.000647069135995</c:v>
                </c:pt>
                <c:pt idx="8">
                  <c:v>10.345798710878119</c:v>
                </c:pt>
                <c:pt idx="9">
                  <c:v>11.906652089212187</c:v>
                </c:pt>
                <c:pt idx="10">
                  <c:v>14.612305023457058</c:v>
                </c:pt>
                <c:pt idx="11">
                  <c:v>17.775113288462908</c:v>
                </c:pt>
                <c:pt idx="12">
                  <c:v>20.688783612390075</c:v>
                </c:pt>
                <c:pt idx="13">
                  <c:v>22.887093088102048</c:v>
                </c:pt>
                <c:pt idx="14">
                  <c:v>24.17764123999838</c:v>
                </c:pt>
                <c:pt idx="15">
                  <c:v>24.57824204664567</c:v>
                </c:pt>
                <c:pt idx="16">
                  <c:v>24.231728747418412</c:v>
                </c:pt>
                <c:pt idx="17">
                  <c:v>23.333410737106529</c:v>
                </c:pt>
                <c:pt idx="18">
                  <c:v>22.081333252403212</c:v>
                </c:pt>
                <c:pt idx="19">
                  <c:v>20.648075815902608</c:v>
                </c:pt>
                <c:pt idx="20">
                  <c:v>19.168766465816269</c:v>
                </c:pt>
                <c:pt idx="21">
                  <c:v>17.739571278189977</c:v>
                </c:pt>
                <c:pt idx="22">
                  <c:v>16.421965920445309</c:v>
                </c:pt>
                <c:pt idx="23">
                  <c:v>15.249488302797783</c:v>
                </c:pt>
              </c:numCache>
            </c:numRef>
          </c:yVal>
          <c:smooth val="1"/>
        </c:ser>
        <c:ser>
          <c:idx val="0"/>
          <c:order val="0"/>
          <c:spPr>
            <a:ln w="381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'Olgyay datos'!$A$5:$A$6</c:f>
              <c:numCache>
                <c:formatCode>General</c:formatCode>
                <c:ptCount val="2"/>
                <c:pt idx="0">
                  <c:v>25.924189526184534</c:v>
                </c:pt>
                <c:pt idx="1">
                  <c:v>84.570852869376523</c:v>
                </c:pt>
              </c:numCache>
            </c:numRef>
          </c:xVal>
          <c:yVal>
            <c:numRef>
              <c:f>'Olgyay datos'!$B$5:$B$6</c:f>
              <c:numCache>
                <c:formatCode>0.0</c:formatCode>
                <c:ptCount val="2"/>
                <c:pt idx="0">
                  <c:v>19.5503</c:v>
                </c:pt>
                <c:pt idx="1">
                  <c:v>19.5503</c:v>
                </c:pt>
              </c:numCache>
            </c:numRef>
          </c:yVal>
          <c:smooth val="1"/>
        </c:ser>
        <c:ser>
          <c:idx val="1"/>
          <c:order val="1"/>
          <c:spPr>
            <a:ln w="381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'Olgyay datos'!$A$8:$A$9</c:f>
              <c:numCache>
                <c:formatCode>General</c:formatCode>
                <c:ptCount val="2"/>
                <c:pt idx="0">
                  <c:v>63.653945453691968</c:v>
                </c:pt>
                <c:pt idx="1">
                  <c:v>84.570852869376523</c:v>
                </c:pt>
              </c:numCache>
            </c:numRef>
          </c:xVal>
          <c:yVal>
            <c:numRef>
              <c:f>'Olgyay datos'!$B$8:$B$9</c:f>
              <c:numCache>
                <c:formatCode>0.0</c:formatCode>
                <c:ptCount val="2"/>
                <c:pt idx="0">
                  <c:v>24.948326296765714</c:v>
                </c:pt>
                <c:pt idx="1">
                  <c:v>19.5503</c:v>
                </c:pt>
              </c:numCache>
            </c:numRef>
          </c:yVal>
          <c:smooth val="1"/>
        </c:ser>
        <c:ser>
          <c:idx val="2"/>
          <c:order val="2"/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'Olgyay datos'!$A$11:$A$12</c:f>
              <c:numCache>
                <c:formatCode>General</c:formatCode>
                <c:ptCount val="2"/>
                <c:pt idx="0">
                  <c:v>16.548034242232085</c:v>
                </c:pt>
                <c:pt idx="1">
                  <c:v>63.653945453691968</c:v>
                </c:pt>
              </c:numCache>
            </c:numRef>
          </c:xVal>
          <c:yVal>
            <c:numRef>
              <c:f>'Olgyay datos'!$B$11:$B$12</c:f>
              <c:numCache>
                <c:formatCode>0.0</c:formatCode>
                <c:ptCount val="2"/>
                <c:pt idx="0">
                  <c:v>27.069976537729868</c:v>
                </c:pt>
                <c:pt idx="1">
                  <c:v>24.948326296765714</c:v>
                </c:pt>
              </c:numCache>
            </c:numRef>
          </c:yVal>
          <c:smooth val="1"/>
        </c:ser>
        <c:ser>
          <c:idx val="3"/>
          <c:order val="3"/>
          <c:spPr>
            <a:ln w="381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'Olgyay datos'!$A$14:$A$15</c:f>
              <c:numCache>
                <c:formatCode>General</c:formatCode>
                <c:ptCount val="2"/>
                <c:pt idx="0">
                  <c:v>16.548034242232085</c:v>
                </c:pt>
                <c:pt idx="1">
                  <c:v>25.924189526184534</c:v>
                </c:pt>
              </c:numCache>
            </c:numRef>
          </c:xVal>
          <c:yVal>
            <c:numRef>
              <c:f>'Olgyay datos'!$B$14:$B$15</c:f>
              <c:numCache>
                <c:formatCode>0.0</c:formatCode>
                <c:ptCount val="2"/>
                <c:pt idx="0">
                  <c:v>27.069976537729868</c:v>
                </c:pt>
                <c:pt idx="1">
                  <c:v>19.550300000000004</c:v>
                </c:pt>
              </c:numCache>
            </c:numRef>
          </c:yVal>
          <c:smooth val="1"/>
        </c:ser>
        <c:ser>
          <c:idx val="4"/>
          <c:order val="4"/>
          <c:marker>
            <c:symbol val="star"/>
            <c:size val="9"/>
            <c:spPr>
              <a:ln w="25400">
                <a:solidFill>
                  <a:srgbClr val="C00000"/>
                </a:solidFill>
              </a:ln>
            </c:spPr>
          </c:marker>
          <c:xVal>
            <c:numRef>
              <c:f>'Olgyay datos'!$A$18</c:f>
              <c:numCache>
                <c:formatCode>General</c:formatCode>
                <c:ptCount val="1"/>
                <c:pt idx="0">
                  <c:v>50</c:v>
                </c:pt>
              </c:numCache>
            </c:numRef>
          </c:xVal>
          <c:yVal>
            <c:numRef>
              <c:f>'Olgyay datos'!$B$18</c:f>
              <c:numCache>
                <c:formatCode>0.0</c:formatCode>
                <c:ptCount val="1"/>
                <c:pt idx="0">
                  <c:v>22.947500000000002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'Olgyay datos'!$L$1</c:f>
              <c:strCache>
                <c:ptCount val="1"/>
                <c:pt idx="0">
                  <c:v>Enero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'Olgyay datos'!$N$3:$N$26</c:f>
              <c:numCache>
                <c:formatCode>0</c:formatCode>
                <c:ptCount val="24"/>
                <c:pt idx="0">
                  <c:v>57.562018223183941</c:v>
                </c:pt>
                <c:pt idx="1">
                  <c:v>59.714333736734076</c:v>
                </c:pt>
                <c:pt idx="2">
                  <c:v>61.500561024608992</c:v>
                </c:pt>
                <c:pt idx="3">
                  <c:v>62.959218549750602</c:v>
                </c:pt>
                <c:pt idx="4">
                  <c:v>64.133902384707099</c:v>
                </c:pt>
                <c:pt idx="5">
                  <c:v>65.068465562886516</c:v>
                </c:pt>
                <c:pt idx="6">
                  <c:v>65.804063976184011</c:v>
                </c:pt>
                <c:pt idx="7">
                  <c:v>68.18183263920821</c:v>
                </c:pt>
                <c:pt idx="8">
                  <c:v>67.316170635281566</c:v>
                </c:pt>
                <c:pt idx="9">
                  <c:v>63.40145229147064</c:v>
                </c:pt>
                <c:pt idx="10">
                  <c:v>56.61550473182276</c:v>
                </c:pt>
                <c:pt idx="11">
                  <c:v>48.682982878815515</c:v>
                </c:pt>
                <c:pt idx="12">
                  <c:v>41.37531463577448</c:v>
                </c:pt>
                <c:pt idx="13">
                  <c:v>35.861816347339392</c:v>
                </c:pt>
                <c:pt idx="14">
                  <c:v>32.62504049515006</c:v>
                </c:pt>
                <c:pt idx="15">
                  <c:v>31.620308501680295</c:v>
                </c:pt>
                <c:pt idx="16">
                  <c:v>32.489385628134812</c:v>
                </c:pt>
                <c:pt idx="17">
                  <c:v>34.742423640774447</c:v>
                </c:pt>
                <c:pt idx="18">
                  <c:v>37.882712642469279</c:v>
                </c:pt>
                <c:pt idx="19">
                  <c:v>41.477412347101918</c:v>
                </c:pt>
                <c:pt idx="20">
                  <c:v>45.187613144523993</c:v>
                </c:pt>
                <c:pt idx="21">
                  <c:v>48.772124473742174</c:v>
                </c:pt>
                <c:pt idx="22">
                  <c:v>52.076761498247251</c:v>
                </c:pt>
                <c:pt idx="23">
                  <c:v>55.017409031977422</c:v>
                </c:pt>
              </c:numCache>
            </c:numRef>
          </c:xVal>
          <c:yVal>
            <c:numRef>
              <c:f>'Olgyay datos'!$M$3:$M$26</c:f>
              <c:numCache>
                <c:formatCode>0.0</c:formatCode>
                <c:ptCount val="24"/>
                <c:pt idx="0">
                  <c:v>14.234916754141189</c:v>
                </c:pt>
                <c:pt idx="1">
                  <c:v>13.376758223815056</c:v>
                </c:pt>
                <c:pt idx="2">
                  <c:v>12.664564228770711</c:v>
                </c:pt>
                <c:pt idx="3">
                  <c:v>12.082976914947945</c:v>
                </c:pt>
                <c:pt idx="4">
                  <c:v>11.614613913771883</c:v>
                </c:pt>
                <c:pt idx="5">
                  <c:v>11.241990402751185</c:v>
                </c:pt>
                <c:pt idx="6">
                  <c:v>10.948696947729628</c:v>
                </c:pt>
                <c:pt idx="7">
                  <c:v>10.000647069135995</c:v>
                </c:pt>
                <c:pt idx="8">
                  <c:v>10.345798710878119</c:v>
                </c:pt>
                <c:pt idx="9">
                  <c:v>11.906652089212187</c:v>
                </c:pt>
                <c:pt idx="10">
                  <c:v>14.612305023457058</c:v>
                </c:pt>
                <c:pt idx="11">
                  <c:v>17.775113288462908</c:v>
                </c:pt>
                <c:pt idx="12">
                  <c:v>20.688783612390075</c:v>
                </c:pt>
                <c:pt idx="13">
                  <c:v>22.887093088102048</c:v>
                </c:pt>
                <c:pt idx="14">
                  <c:v>24.17764123999838</c:v>
                </c:pt>
                <c:pt idx="15">
                  <c:v>24.57824204664567</c:v>
                </c:pt>
                <c:pt idx="16">
                  <c:v>24.231728747418412</c:v>
                </c:pt>
                <c:pt idx="17">
                  <c:v>23.333410737106529</c:v>
                </c:pt>
                <c:pt idx="18">
                  <c:v>22.081333252403212</c:v>
                </c:pt>
                <c:pt idx="19">
                  <c:v>20.648075815902608</c:v>
                </c:pt>
                <c:pt idx="20">
                  <c:v>19.168766465816269</c:v>
                </c:pt>
                <c:pt idx="21">
                  <c:v>17.739571278189977</c:v>
                </c:pt>
                <c:pt idx="22">
                  <c:v>16.421965920445309</c:v>
                </c:pt>
                <c:pt idx="23">
                  <c:v>15.249488302797783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230248"/>
        <c:axId val="471232208"/>
      </c:scatterChart>
      <c:valAx>
        <c:axId val="471230248"/>
        <c:scaling>
          <c:orientation val="minMax"/>
          <c:max val="10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s-MX"/>
                  <a:t>Humedad</a:t>
                </a:r>
                <a:r>
                  <a:rPr lang="es-MX" baseline="0"/>
                  <a:t> Relativa [%]</a:t>
                </a:r>
                <a:endParaRPr lang="es-MX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232208"/>
        <c:crosses val="autoZero"/>
        <c:crossBetween val="midCat"/>
      </c:valAx>
      <c:valAx>
        <c:axId val="4712322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MX"/>
                  <a:t>Temperatura</a:t>
                </a:r>
                <a:r>
                  <a:rPr lang="es-MX" baseline="0"/>
                  <a:t> [°C]</a:t>
                </a:r>
                <a:endParaRPr lang="es-MX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71230248"/>
        <c:crosses val="autoZero"/>
        <c:crossBetween val="midCat"/>
        <c:majorUnit val="5"/>
      </c:valAx>
    </c:plotArea>
    <c:plotVisOnly val="1"/>
    <c:dispBlanksAs val="gap"/>
    <c:showDLblsOverMax val="0"/>
  </c:chart>
  <c:printSettings>
    <c:headerFooter/>
    <c:pageMargins b="0.75000000000000999" l="0.70000000000000095" r="0.70000000000000095" t="0.75000000000000999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MX"/>
              <a:t>Febrero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6"/>
          <c:order val="2"/>
          <c:spPr>
            <a:ln w="381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'Olgyay datos'!$A$33:$A$34</c:f>
              <c:numCache>
                <c:formatCode>General</c:formatCode>
                <c:ptCount val="2"/>
                <c:pt idx="0">
                  <c:v>25.924189526184534</c:v>
                </c:pt>
                <c:pt idx="1">
                  <c:v>84.570852869376523</c:v>
                </c:pt>
              </c:numCache>
            </c:numRef>
          </c:xVal>
          <c:yVal>
            <c:numRef>
              <c:f>'Olgyay datos'!$B$33:$B$34</c:f>
              <c:numCache>
                <c:formatCode>0.0</c:formatCode>
                <c:ptCount val="2"/>
                <c:pt idx="0">
                  <c:v>19.875800000000005</c:v>
                </c:pt>
                <c:pt idx="1">
                  <c:v>19.875800000000005</c:v>
                </c:pt>
              </c:numCache>
            </c:numRef>
          </c:yVal>
          <c:smooth val="1"/>
        </c:ser>
        <c:ser>
          <c:idx val="7"/>
          <c:order val="3"/>
          <c:spPr>
            <a:ln w="381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'Olgyay datos'!$A$36:$A$37</c:f>
              <c:numCache>
                <c:formatCode>General</c:formatCode>
                <c:ptCount val="2"/>
                <c:pt idx="0">
                  <c:v>63.653945453691968</c:v>
                </c:pt>
                <c:pt idx="1">
                  <c:v>84.570852869376523</c:v>
                </c:pt>
              </c:numCache>
            </c:numRef>
          </c:xVal>
          <c:yVal>
            <c:numRef>
              <c:f>'Olgyay datos'!$B$36:$B$37</c:f>
              <c:numCache>
                <c:formatCode>0.0</c:formatCode>
                <c:ptCount val="2"/>
                <c:pt idx="0">
                  <c:v>25.273826296765716</c:v>
                </c:pt>
                <c:pt idx="1">
                  <c:v>19.875800000000002</c:v>
                </c:pt>
              </c:numCache>
            </c:numRef>
          </c:yVal>
          <c:smooth val="1"/>
        </c:ser>
        <c:ser>
          <c:idx val="8"/>
          <c:order val="4"/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'Olgyay datos'!$A$39:$A$40</c:f>
              <c:numCache>
                <c:formatCode>General</c:formatCode>
                <c:ptCount val="2"/>
                <c:pt idx="0">
                  <c:v>16.548034242232085</c:v>
                </c:pt>
                <c:pt idx="1">
                  <c:v>63.653945453691968</c:v>
                </c:pt>
              </c:numCache>
            </c:numRef>
          </c:xVal>
          <c:yVal>
            <c:numRef>
              <c:f>'Olgyay datos'!$B$39:$B$40</c:f>
              <c:numCache>
                <c:formatCode>0.0</c:formatCode>
                <c:ptCount val="2"/>
                <c:pt idx="0">
                  <c:v>27.39547653772987</c:v>
                </c:pt>
                <c:pt idx="1">
                  <c:v>25.273826296765716</c:v>
                </c:pt>
              </c:numCache>
            </c:numRef>
          </c:yVal>
          <c:smooth val="1"/>
        </c:ser>
        <c:ser>
          <c:idx val="9"/>
          <c:order val="5"/>
          <c:spPr>
            <a:ln w="381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'Olgyay datos'!$A$42:$A$43</c:f>
              <c:numCache>
                <c:formatCode>General</c:formatCode>
                <c:ptCount val="2"/>
                <c:pt idx="0">
                  <c:v>16.548034242232085</c:v>
                </c:pt>
                <c:pt idx="1">
                  <c:v>25.924189526184534</c:v>
                </c:pt>
              </c:numCache>
            </c:numRef>
          </c:xVal>
          <c:yVal>
            <c:numRef>
              <c:f>'Olgyay datos'!$B$42:$B$43</c:f>
              <c:numCache>
                <c:formatCode>0.0</c:formatCode>
                <c:ptCount val="2"/>
                <c:pt idx="0">
                  <c:v>27.39547653772987</c:v>
                </c:pt>
                <c:pt idx="1">
                  <c:v>19.875800000000005</c:v>
                </c:pt>
              </c:numCache>
            </c:numRef>
          </c:yVal>
          <c:smooth val="1"/>
        </c:ser>
        <c:ser>
          <c:idx val="10"/>
          <c:order val="6"/>
          <c:marker>
            <c:symbol val="none"/>
          </c:marker>
          <c:xVal>
            <c:numRef>
              <c:f>'Olgyay datos'!$A$18</c:f>
              <c:numCache>
                <c:formatCode>General</c:formatCode>
                <c:ptCount val="1"/>
                <c:pt idx="0">
                  <c:v>50</c:v>
                </c:pt>
              </c:numCache>
            </c:numRef>
          </c:xVal>
          <c:yVal>
            <c:numRef>
              <c:f>'Olgyay datos'!$B$18</c:f>
              <c:numCache>
                <c:formatCode>0.0</c:formatCode>
                <c:ptCount val="1"/>
                <c:pt idx="0">
                  <c:v>22.947500000000002</c:v>
                </c:pt>
              </c:numCache>
            </c:numRef>
          </c:yVal>
          <c:smooth val="1"/>
        </c:ser>
        <c:ser>
          <c:idx val="11"/>
          <c:order val="7"/>
          <c:tx>
            <c:strRef>
              <c:f>'Olgyay datos'!$L$1</c:f>
              <c:strCache>
                <c:ptCount val="1"/>
                <c:pt idx="0">
                  <c:v>Enero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xVal>
            <c:numRef>
              <c:f>'Olgyay datos'!$N$3:$N$26</c:f>
              <c:numCache>
                <c:formatCode>0</c:formatCode>
                <c:ptCount val="24"/>
                <c:pt idx="0">
                  <c:v>57.562018223183941</c:v>
                </c:pt>
                <c:pt idx="1">
                  <c:v>59.714333736734076</c:v>
                </c:pt>
                <c:pt idx="2">
                  <c:v>61.500561024608992</c:v>
                </c:pt>
                <c:pt idx="3">
                  <c:v>62.959218549750602</c:v>
                </c:pt>
                <c:pt idx="4">
                  <c:v>64.133902384707099</c:v>
                </c:pt>
                <c:pt idx="5">
                  <c:v>65.068465562886516</c:v>
                </c:pt>
                <c:pt idx="6">
                  <c:v>65.804063976184011</c:v>
                </c:pt>
                <c:pt idx="7">
                  <c:v>68.18183263920821</c:v>
                </c:pt>
                <c:pt idx="8">
                  <c:v>67.316170635281566</c:v>
                </c:pt>
                <c:pt idx="9">
                  <c:v>63.40145229147064</c:v>
                </c:pt>
                <c:pt idx="10">
                  <c:v>56.61550473182276</c:v>
                </c:pt>
                <c:pt idx="11">
                  <c:v>48.682982878815515</c:v>
                </c:pt>
                <c:pt idx="12">
                  <c:v>41.37531463577448</c:v>
                </c:pt>
                <c:pt idx="13">
                  <c:v>35.861816347339392</c:v>
                </c:pt>
                <c:pt idx="14">
                  <c:v>32.62504049515006</c:v>
                </c:pt>
                <c:pt idx="15">
                  <c:v>31.620308501680295</c:v>
                </c:pt>
                <c:pt idx="16">
                  <c:v>32.489385628134812</c:v>
                </c:pt>
                <c:pt idx="17">
                  <c:v>34.742423640774447</c:v>
                </c:pt>
                <c:pt idx="18">
                  <c:v>37.882712642469279</c:v>
                </c:pt>
                <c:pt idx="19">
                  <c:v>41.477412347101918</c:v>
                </c:pt>
                <c:pt idx="20">
                  <c:v>45.187613144523993</c:v>
                </c:pt>
                <c:pt idx="21">
                  <c:v>48.772124473742174</c:v>
                </c:pt>
                <c:pt idx="22">
                  <c:v>52.076761498247251</c:v>
                </c:pt>
                <c:pt idx="23">
                  <c:v>55.017409031977422</c:v>
                </c:pt>
              </c:numCache>
            </c:numRef>
          </c:xVal>
          <c:yVal>
            <c:numRef>
              <c:f>'Olgyay datos'!$M$3:$M$26</c:f>
              <c:numCache>
                <c:formatCode>0.0</c:formatCode>
                <c:ptCount val="24"/>
                <c:pt idx="0">
                  <c:v>14.234916754141189</c:v>
                </c:pt>
                <c:pt idx="1">
                  <c:v>13.376758223815056</c:v>
                </c:pt>
                <c:pt idx="2">
                  <c:v>12.664564228770711</c:v>
                </c:pt>
                <c:pt idx="3">
                  <c:v>12.082976914947945</c:v>
                </c:pt>
                <c:pt idx="4">
                  <c:v>11.614613913771883</c:v>
                </c:pt>
                <c:pt idx="5">
                  <c:v>11.241990402751185</c:v>
                </c:pt>
                <c:pt idx="6">
                  <c:v>10.948696947729628</c:v>
                </c:pt>
                <c:pt idx="7">
                  <c:v>10.000647069135995</c:v>
                </c:pt>
                <c:pt idx="8">
                  <c:v>10.345798710878119</c:v>
                </c:pt>
                <c:pt idx="9">
                  <c:v>11.906652089212187</c:v>
                </c:pt>
                <c:pt idx="10">
                  <c:v>14.612305023457058</c:v>
                </c:pt>
                <c:pt idx="11">
                  <c:v>17.775113288462908</c:v>
                </c:pt>
                <c:pt idx="12">
                  <c:v>20.688783612390075</c:v>
                </c:pt>
                <c:pt idx="13">
                  <c:v>22.887093088102048</c:v>
                </c:pt>
                <c:pt idx="14">
                  <c:v>24.17764123999838</c:v>
                </c:pt>
                <c:pt idx="15">
                  <c:v>24.57824204664567</c:v>
                </c:pt>
                <c:pt idx="16">
                  <c:v>24.231728747418412</c:v>
                </c:pt>
                <c:pt idx="17">
                  <c:v>23.333410737106529</c:v>
                </c:pt>
                <c:pt idx="18">
                  <c:v>22.081333252403212</c:v>
                </c:pt>
                <c:pt idx="19">
                  <c:v>20.648075815902608</c:v>
                </c:pt>
                <c:pt idx="20">
                  <c:v>19.168766465816269</c:v>
                </c:pt>
                <c:pt idx="21">
                  <c:v>17.739571278189977</c:v>
                </c:pt>
                <c:pt idx="22">
                  <c:v>16.421965920445309</c:v>
                </c:pt>
                <c:pt idx="23">
                  <c:v>15.249488302797783</c:v>
                </c:pt>
              </c:numCache>
            </c:numRef>
          </c:yVal>
          <c:smooth val="1"/>
        </c:ser>
        <c:ser>
          <c:idx val="4"/>
          <c:order val="0"/>
          <c:marker>
            <c:symbol val="star"/>
            <c:size val="9"/>
            <c:spPr>
              <a:ln w="25400">
                <a:solidFill>
                  <a:srgbClr val="C00000"/>
                </a:solidFill>
              </a:ln>
            </c:spPr>
          </c:marker>
          <c:xVal>
            <c:numRef>
              <c:f>'Olgyay datos'!$A$46</c:f>
              <c:numCache>
                <c:formatCode>General</c:formatCode>
                <c:ptCount val="1"/>
                <c:pt idx="0">
                  <c:v>50</c:v>
                </c:pt>
              </c:numCache>
            </c:numRef>
          </c:xVal>
          <c:yVal>
            <c:numRef>
              <c:f>'Olgyay datos'!$B$46</c:f>
              <c:numCache>
                <c:formatCode>0.0</c:formatCode>
                <c:ptCount val="1"/>
                <c:pt idx="0">
                  <c:v>23.273000000000003</c:v>
                </c:pt>
              </c:numCache>
            </c:numRef>
          </c:yVal>
          <c:smooth val="1"/>
        </c:ser>
        <c:ser>
          <c:idx val="5"/>
          <c:order val="1"/>
          <c:tx>
            <c:strRef>
              <c:f>'Olgyay datos'!$L$1</c:f>
              <c:strCache>
                <c:ptCount val="1"/>
                <c:pt idx="0">
                  <c:v>Enero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'Olgyay datos'!$N$31:$N$54</c:f>
              <c:numCache>
                <c:formatCode>0</c:formatCode>
                <c:ptCount val="24"/>
                <c:pt idx="0">
                  <c:v>58.72970531788723</c:v>
                </c:pt>
                <c:pt idx="1">
                  <c:v>60.858990705996654</c:v>
                </c:pt>
                <c:pt idx="2">
                  <c:v>62.616227285321102</c:v>
                </c:pt>
                <c:pt idx="3">
                  <c:v>64.044320324433798</c:v>
                </c:pt>
                <c:pt idx="4">
                  <c:v>65.189585624553018</c:v>
                </c:pt>
                <c:pt idx="5">
                  <c:v>66.097396955841887</c:v>
                </c:pt>
                <c:pt idx="6">
                  <c:v>66.809610289006116</c:v>
                </c:pt>
                <c:pt idx="7">
                  <c:v>69.028457980756457</c:v>
                </c:pt>
                <c:pt idx="8">
                  <c:v>67.22699982028746</c:v>
                </c:pt>
                <c:pt idx="9">
                  <c:v>61.980514114560805</c:v>
                </c:pt>
                <c:pt idx="10">
                  <c:v>54.232775092770282</c:v>
                </c:pt>
                <c:pt idx="11">
                  <c:v>45.938946453238188</c:v>
                </c:pt>
                <c:pt idx="12">
                  <c:v>38.788626240904648</c:v>
                </c:pt>
                <c:pt idx="13">
                  <c:v>33.763473441772369</c:v>
                </c:pt>
                <c:pt idx="14">
                  <c:v>31.163495830801569</c:v>
                </c:pt>
                <c:pt idx="15">
                  <c:v>30.808997911964319</c:v>
                </c:pt>
                <c:pt idx="16">
                  <c:v>32.259952215275341</c:v>
                </c:pt>
                <c:pt idx="17">
                  <c:v>34.988182354774501</c:v>
                </c:pt>
                <c:pt idx="18">
                  <c:v>38.488472445183113</c:v>
                </c:pt>
                <c:pt idx="19">
                  <c:v>42.337023128304594</c:v>
                </c:pt>
                <c:pt idx="20">
                  <c:v>46.212341930672451</c:v>
                </c:pt>
                <c:pt idx="21">
                  <c:v>49.893012869363673</c:v>
                </c:pt>
                <c:pt idx="22">
                  <c:v>53.243507661547021</c:v>
                </c:pt>
                <c:pt idx="23">
                  <c:v>56.195574270056284</c:v>
                </c:pt>
              </c:numCache>
            </c:numRef>
          </c:xVal>
          <c:yVal>
            <c:numRef>
              <c:f>'Olgyay datos'!$M$31:$M$54</c:f>
              <c:numCache>
                <c:formatCode>0.0</c:formatCode>
                <c:ptCount val="24"/>
                <c:pt idx="0">
                  <c:v>14.73355431589439</c:v>
                </c:pt>
                <c:pt idx="1">
                  <c:v>13.863653167330778</c:v>
                </c:pt>
                <c:pt idx="2">
                  <c:v>13.145749345143003</c:v>
                </c:pt>
                <c:pt idx="3">
                  <c:v>12.56231427255141</c:v>
                </c:pt>
                <c:pt idx="4">
                  <c:v>12.094426029130766</c:v>
                </c:pt>
                <c:pt idx="5">
                  <c:v>11.723547553104392</c:v>
                </c:pt>
                <c:pt idx="6">
                  <c:v>11.432578949270605</c:v>
                </c:pt>
                <c:pt idx="7">
                  <c:v>10.526087895361137</c:v>
                </c:pt>
                <c:pt idx="8">
                  <c:v>11.262058062456813</c:v>
                </c:pt>
                <c:pt idx="9">
                  <c:v>13.405464468578106</c:v>
                </c:pt>
                <c:pt idx="10">
                  <c:v>16.570736306474338</c:v>
                </c:pt>
                <c:pt idx="11">
                  <c:v>19.959108339555698</c:v>
                </c:pt>
                <c:pt idx="12">
                  <c:v>22.880309884469</c:v>
                </c:pt>
                <c:pt idx="13">
                  <c:v>24.933292643888656</c:v>
                </c:pt>
                <c:pt idx="14">
                  <c:v>25.99549103338277</c:v>
                </c:pt>
                <c:pt idx="15">
                  <c:v>26.140318095307869</c:v>
                </c:pt>
                <c:pt idx="16">
                  <c:v>25.547543250746397</c:v>
                </c:pt>
                <c:pt idx="17">
                  <c:v>24.432948398807167</c:v>
                </c:pt>
                <c:pt idx="18">
                  <c:v>23.002935124421324</c:v>
                </c:pt>
                <c:pt idx="19">
                  <c:v>21.43064299380881</c:v>
                </c:pt>
                <c:pt idx="20">
                  <c:v>19.847414979351257</c:v>
                </c:pt>
                <c:pt idx="21">
                  <c:v>18.343708667866593</c:v>
                </c:pt>
                <c:pt idx="22">
                  <c:v>16.974892968358812</c:v>
                </c:pt>
                <c:pt idx="23">
                  <c:v>15.768851660923449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233384"/>
        <c:axId val="474947576"/>
      </c:scatterChart>
      <c:valAx>
        <c:axId val="471233384"/>
        <c:scaling>
          <c:orientation val="minMax"/>
          <c:max val="10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s-MX"/>
                  <a:t>Humedad</a:t>
                </a:r>
                <a:r>
                  <a:rPr lang="es-MX" baseline="0"/>
                  <a:t> Relativa [%]</a:t>
                </a:r>
                <a:endParaRPr lang="es-MX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947576"/>
        <c:crosses val="autoZero"/>
        <c:crossBetween val="midCat"/>
      </c:valAx>
      <c:valAx>
        <c:axId val="4749475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MX"/>
                  <a:t>Temperatura</a:t>
                </a:r>
                <a:r>
                  <a:rPr lang="es-MX" baseline="0"/>
                  <a:t> [°C]</a:t>
                </a:r>
                <a:endParaRPr lang="es-MX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71233384"/>
        <c:crosses val="autoZero"/>
        <c:crossBetween val="midCat"/>
        <c:majorUnit val="5"/>
      </c:valAx>
    </c:plotArea>
    <c:plotVisOnly val="1"/>
    <c:dispBlanksAs val="gap"/>
    <c:showDLblsOverMax val="0"/>
  </c:chart>
  <c:printSettings>
    <c:headerFooter/>
    <c:pageMargins b="0.75000000000000999" l="0.70000000000000095" r="0.70000000000000095" t="0.75000000000000999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MX"/>
              <a:t>Marzo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6"/>
          <c:order val="2"/>
          <c:spPr>
            <a:ln w="381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'Olgyay datos'!$A$61:$A$62</c:f>
              <c:numCache>
                <c:formatCode>General</c:formatCode>
                <c:ptCount val="2"/>
                <c:pt idx="0">
                  <c:v>26.444389027431416</c:v>
                </c:pt>
                <c:pt idx="1">
                  <c:v>86.187468516294018</c:v>
                </c:pt>
              </c:numCache>
            </c:numRef>
          </c:xVal>
          <c:yVal>
            <c:numRef>
              <c:f>'Olgyay datos'!$B$61:$B$62</c:f>
              <c:numCache>
                <c:formatCode>0.0</c:formatCode>
                <c:ptCount val="2"/>
                <c:pt idx="0">
                  <c:v>20.187100000000001</c:v>
                </c:pt>
                <c:pt idx="1">
                  <c:v>20.187100000000001</c:v>
                </c:pt>
              </c:numCache>
            </c:numRef>
          </c:yVal>
          <c:smooth val="1"/>
        </c:ser>
        <c:ser>
          <c:idx val="7"/>
          <c:order val="3"/>
          <c:spPr>
            <a:ln w="381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'Olgyay datos'!$A$64:$A$65</c:f>
              <c:numCache>
                <c:formatCode>General</c:formatCode>
                <c:ptCount val="2"/>
                <c:pt idx="0">
                  <c:v>60.847767920011272</c:v>
                </c:pt>
                <c:pt idx="1">
                  <c:v>86.187468516294018</c:v>
                </c:pt>
              </c:numCache>
            </c:numRef>
          </c:xVal>
          <c:yVal>
            <c:numRef>
              <c:f>'Olgyay datos'!$B$64:$B$65</c:f>
              <c:numCache>
                <c:formatCode>0.0</c:formatCode>
                <c:ptCount val="2"/>
                <c:pt idx="0">
                  <c:v>26.726516532882691</c:v>
                </c:pt>
                <c:pt idx="1">
                  <c:v>20.187100000000001</c:v>
                </c:pt>
              </c:numCache>
            </c:numRef>
          </c:yVal>
          <c:smooth val="1"/>
        </c:ser>
        <c:ser>
          <c:idx val="8"/>
          <c:order val="4"/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'Olgyay datos'!$A$67:$A$68</c:f>
              <c:numCache>
                <c:formatCode>General</c:formatCode>
                <c:ptCount val="2"/>
                <c:pt idx="0">
                  <c:v>15.758296343267807</c:v>
                </c:pt>
                <c:pt idx="1">
                  <c:v>60.847767920011272</c:v>
                </c:pt>
              </c:numCache>
            </c:numRef>
          </c:xVal>
          <c:yVal>
            <c:numRef>
              <c:f>'Olgyay datos'!$B$67:$B$68</c:f>
              <c:numCache>
                <c:formatCode>0.0</c:formatCode>
                <c:ptCount val="2"/>
                <c:pt idx="0">
                  <c:v>28.757346332699218</c:v>
                </c:pt>
                <c:pt idx="1">
                  <c:v>26.726516532882691</c:v>
                </c:pt>
              </c:numCache>
            </c:numRef>
          </c:yVal>
          <c:smooth val="1"/>
        </c:ser>
        <c:ser>
          <c:idx val="9"/>
          <c:order val="5"/>
          <c:spPr>
            <a:ln w="381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'Olgyay datos'!$A$70:$A$71</c:f>
              <c:numCache>
                <c:formatCode>General</c:formatCode>
                <c:ptCount val="2"/>
                <c:pt idx="0">
                  <c:v>15.758296343267807</c:v>
                </c:pt>
                <c:pt idx="1">
                  <c:v>26.444389027431416</c:v>
                </c:pt>
              </c:numCache>
            </c:numRef>
          </c:xVal>
          <c:yVal>
            <c:numRef>
              <c:f>'Olgyay datos'!$B$70:$B$71</c:f>
              <c:numCache>
                <c:formatCode>0.0</c:formatCode>
                <c:ptCount val="2"/>
                <c:pt idx="0">
                  <c:v>28.757346332699218</c:v>
                </c:pt>
                <c:pt idx="1">
                  <c:v>20.187100000000001</c:v>
                </c:pt>
              </c:numCache>
            </c:numRef>
          </c:yVal>
          <c:smooth val="1"/>
        </c:ser>
        <c:ser>
          <c:idx val="10"/>
          <c:order val="6"/>
          <c:marker>
            <c:symbol val="none"/>
          </c:marker>
          <c:xVal>
            <c:numRef>
              <c:f>'Olgyay datos'!$A$18</c:f>
              <c:numCache>
                <c:formatCode>General</c:formatCode>
                <c:ptCount val="1"/>
                <c:pt idx="0">
                  <c:v>50</c:v>
                </c:pt>
              </c:numCache>
            </c:numRef>
          </c:xVal>
          <c:yVal>
            <c:numRef>
              <c:f>'Olgyay datos'!$B$18</c:f>
              <c:numCache>
                <c:formatCode>0.0</c:formatCode>
                <c:ptCount val="1"/>
                <c:pt idx="0">
                  <c:v>22.947500000000002</c:v>
                </c:pt>
              </c:numCache>
            </c:numRef>
          </c:yVal>
          <c:smooth val="1"/>
        </c:ser>
        <c:ser>
          <c:idx val="11"/>
          <c:order val="7"/>
          <c:tx>
            <c:strRef>
              <c:f>'Olgyay datos'!$L$1</c:f>
              <c:strCache>
                <c:ptCount val="1"/>
                <c:pt idx="0">
                  <c:v>Enero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xVal>
            <c:numRef>
              <c:f>'Olgyay datos'!$N$3:$N$26</c:f>
              <c:numCache>
                <c:formatCode>0</c:formatCode>
                <c:ptCount val="24"/>
                <c:pt idx="0">
                  <c:v>57.562018223183941</c:v>
                </c:pt>
                <c:pt idx="1">
                  <c:v>59.714333736734076</c:v>
                </c:pt>
                <c:pt idx="2">
                  <c:v>61.500561024608992</c:v>
                </c:pt>
                <c:pt idx="3">
                  <c:v>62.959218549750602</c:v>
                </c:pt>
                <c:pt idx="4">
                  <c:v>64.133902384707099</c:v>
                </c:pt>
                <c:pt idx="5">
                  <c:v>65.068465562886516</c:v>
                </c:pt>
                <c:pt idx="6">
                  <c:v>65.804063976184011</c:v>
                </c:pt>
                <c:pt idx="7">
                  <c:v>68.18183263920821</c:v>
                </c:pt>
                <c:pt idx="8">
                  <c:v>67.316170635281566</c:v>
                </c:pt>
                <c:pt idx="9">
                  <c:v>63.40145229147064</c:v>
                </c:pt>
                <c:pt idx="10">
                  <c:v>56.61550473182276</c:v>
                </c:pt>
                <c:pt idx="11">
                  <c:v>48.682982878815515</c:v>
                </c:pt>
                <c:pt idx="12">
                  <c:v>41.37531463577448</c:v>
                </c:pt>
                <c:pt idx="13">
                  <c:v>35.861816347339392</c:v>
                </c:pt>
                <c:pt idx="14">
                  <c:v>32.62504049515006</c:v>
                </c:pt>
                <c:pt idx="15">
                  <c:v>31.620308501680295</c:v>
                </c:pt>
                <c:pt idx="16">
                  <c:v>32.489385628134812</c:v>
                </c:pt>
                <c:pt idx="17">
                  <c:v>34.742423640774447</c:v>
                </c:pt>
                <c:pt idx="18">
                  <c:v>37.882712642469279</c:v>
                </c:pt>
                <c:pt idx="19">
                  <c:v>41.477412347101918</c:v>
                </c:pt>
                <c:pt idx="20">
                  <c:v>45.187613144523993</c:v>
                </c:pt>
                <c:pt idx="21">
                  <c:v>48.772124473742174</c:v>
                </c:pt>
                <c:pt idx="22">
                  <c:v>52.076761498247251</c:v>
                </c:pt>
                <c:pt idx="23">
                  <c:v>55.017409031977422</c:v>
                </c:pt>
              </c:numCache>
            </c:numRef>
          </c:xVal>
          <c:yVal>
            <c:numRef>
              <c:f>'Olgyay datos'!$M$3:$M$26</c:f>
              <c:numCache>
                <c:formatCode>0.0</c:formatCode>
                <c:ptCount val="24"/>
                <c:pt idx="0">
                  <c:v>14.234916754141189</c:v>
                </c:pt>
                <c:pt idx="1">
                  <c:v>13.376758223815056</c:v>
                </c:pt>
                <c:pt idx="2">
                  <c:v>12.664564228770711</c:v>
                </c:pt>
                <c:pt idx="3">
                  <c:v>12.082976914947945</c:v>
                </c:pt>
                <c:pt idx="4">
                  <c:v>11.614613913771883</c:v>
                </c:pt>
                <c:pt idx="5">
                  <c:v>11.241990402751185</c:v>
                </c:pt>
                <c:pt idx="6">
                  <c:v>10.948696947729628</c:v>
                </c:pt>
                <c:pt idx="7">
                  <c:v>10.000647069135995</c:v>
                </c:pt>
                <c:pt idx="8">
                  <c:v>10.345798710878119</c:v>
                </c:pt>
                <c:pt idx="9">
                  <c:v>11.906652089212187</c:v>
                </c:pt>
                <c:pt idx="10">
                  <c:v>14.612305023457058</c:v>
                </c:pt>
                <c:pt idx="11">
                  <c:v>17.775113288462908</c:v>
                </c:pt>
                <c:pt idx="12">
                  <c:v>20.688783612390075</c:v>
                </c:pt>
                <c:pt idx="13">
                  <c:v>22.887093088102048</c:v>
                </c:pt>
                <c:pt idx="14">
                  <c:v>24.17764123999838</c:v>
                </c:pt>
                <c:pt idx="15">
                  <c:v>24.57824204664567</c:v>
                </c:pt>
                <c:pt idx="16">
                  <c:v>24.231728747418412</c:v>
                </c:pt>
                <c:pt idx="17">
                  <c:v>23.333410737106529</c:v>
                </c:pt>
                <c:pt idx="18">
                  <c:v>22.081333252403212</c:v>
                </c:pt>
                <c:pt idx="19">
                  <c:v>20.648075815902608</c:v>
                </c:pt>
                <c:pt idx="20">
                  <c:v>19.168766465816269</c:v>
                </c:pt>
                <c:pt idx="21">
                  <c:v>17.739571278189977</c:v>
                </c:pt>
                <c:pt idx="22">
                  <c:v>16.421965920445309</c:v>
                </c:pt>
                <c:pt idx="23">
                  <c:v>15.249488302797783</c:v>
                </c:pt>
              </c:numCache>
            </c:numRef>
          </c:yVal>
          <c:smooth val="1"/>
        </c:ser>
        <c:ser>
          <c:idx val="4"/>
          <c:order val="0"/>
          <c:marker>
            <c:symbol val="star"/>
            <c:size val="9"/>
            <c:spPr>
              <a:ln w="25400">
                <a:solidFill>
                  <a:srgbClr val="C00000"/>
                </a:solidFill>
              </a:ln>
            </c:spPr>
          </c:marker>
          <c:xVal>
            <c:numRef>
              <c:f>'Olgyay datos'!$A$74</c:f>
              <c:numCache>
                <c:formatCode>General</c:formatCode>
                <c:ptCount val="1"/>
                <c:pt idx="0">
                  <c:v>50</c:v>
                </c:pt>
              </c:numCache>
            </c:numRef>
          </c:xVal>
          <c:yVal>
            <c:numRef>
              <c:f>'Olgyay datos'!$B$74</c:f>
              <c:numCache>
                <c:formatCode>0.0</c:formatCode>
                <c:ptCount val="1"/>
                <c:pt idx="0">
                  <c:v>24.0015</c:v>
                </c:pt>
              </c:numCache>
            </c:numRef>
          </c:yVal>
          <c:smooth val="1"/>
        </c:ser>
        <c:ser>
          <c:idx val="5"/>
          <c:order val="1"/>
          <c:tx>
            <c:strRef>
              <c:f>'Olgyay datos'!$L$1</c:f>
              <c:strCache>
                <c:ptCount val="1"/>
                <c:pt idx="0">
                  <c:v>Enero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'Olgyay datos'!$N$59:$N$82</c:f>
              <c:numCache>
                <c:formatCode>0</c:formatCode>
                <c:ptCount val="24"/>
                <c:pt idx="0">
                  <c:v>55.334182254545723</c:v>
                </c:pt>
                <c:pt idx="1">
                  <c:v>57.250952570677498</c:v>
                </c:pt>
                <c:pt idx="2">
                  <c:v>58.822722951280696</c:v>
                </c:pt>
                <c:pt idx="3">
                  <c:v>60.093059394659321</c:v>
                </c:pt>
                <c:pt idx="4">
                  <c:v>61.106913342305837</c:v>
                </c:pt>
                <c:pt idx="5">
                  <c:v>61.907150499591722</c:v>
                </c:pt>
                <c:pt idx="6">
                  <c:v>62.532597888795323</c:v>
                </c:pt>
                <c:pt idx="7">
                  <c:v>64.118487208285245</c:v>
                </c:pt>
                <c:pt idx="8">
                  <c:v>61.072864874088182</c:v>
                </c:pt>
                <c:pt idx="9">
                  <c:v>54.815235898893647</c:v>
                </c:pt>
                <c:pt idx="10">
                  <c:v>46.860143178125526</c:v>
                </c:pt>
                <c:pt idx="11">
                  <c:v>39.097305337126414</c:v>
                </c:pt>
                <c:pt idx="12">
                  <c:v>32.909912653513402</c:v>
                </c:pt>
                <c:pt idx="13">
                  <c:v>28.969310363822995</c:v>
                </c:pt>
                <c:pt idx="14">
                  <c:v>27.354519706365849</c:v>
                </c:pt>
                <c:pt idx="15">
                  <c:v>27.767071021806757</c:v>
                </c:pt>
                <c:pt idx="16">
                  <c:v>29.72949891257106</c:v>
                </c:pt>
                <c:pt idx="17">
                  <c:v>32.728680014942206</c:v>
                </c:pt>
                <c:pt idx="18">
                  <c:v>36.301678532481489</c:v>
                </c:pt>
                <c:pt idx="19">
                  <c:v>40.076113158222611</c:v>
                </c:pt>
                <c:pt idx="20">
                  <c:v>43.779960450687852</c:v>
                </c:pt>
                <c:pt idx="21">
                  <c:v>47.233678820652656</c:v>
                </c:pt>
                <c:pt idx="22">
                  <c:v>50.334045869896826</c:v>
                </c:pt>
                <c:pt idx="23">
                  <c:v>53.035753670076765</c:v>
                </c:pt>
              </c:numCache>
            </c:numRef>
          </c:xVal>
          <c:yVal>
            <c:numRef>
              <c:f>'Olgyay datos'!$M$59:$M$82</c:f>
              <c:numCache>
                <c:formatCode>0.0</c:formatCode>
                <c:ptCount val="24"/>
                <c:pt idx="0">
                  <c:v>16.339811816408435</c:v>
                </c:pt>
                <c:pt idx="1">
                  <c:v>15.454716524506797</c:v>
                </c:pt>
                <c:pt idx="2">
                  <c:v>14.72892974029269</c:v>
                </c:pt>
                <c:pt idx="3">
                  <c:v>14.142334259497382</c:v>
                </c:pt>
                <c:pt idx="4">
                  <c:v>13.6741731302345</c:v>
                </c:pt>
                <c:pt idx="5">
                  <c:v>13.304652518214652</c:v>
                </c:pt>
                <c:pt idx="6">
                  <c:v>13.015843507110258</c:v>
                </c:pt>
                <c:pt idx="7">
                  <c:v>12.283537106941065</c:v>
                </c:pt>
                <c:pt idx="8">
                  <c:v>13.689895482914046</c:v>
                </c:pt>
                <c:pt idx="9">
                  <c:v>16.579442497388573</c:v>
                </c:pt>
                <c:pt idx="10">
                  <c:v>20.25281695156016</c:v>
                </c:pt>
                <c:pt idx="11">
                  <c:v>23.837415047137014</c:v>
                </c:pt>
                <c:pt idx="12">
                  <c:v>26.694529479326512</c:v>
                </c:pt>
                <c:pt idx="13">
                  <c:v>28.51415726910809</c:v>
                </c:pt>
                <c:pt idx="14">
                  <c:v>29.259809263138557</c:v>
                </c:pt>
                <c:pt idx="15">
                  <c:v>29.069307968386937</c:v>
                </c:pt>
                <c:pt idx="16">
                  <c:v>28.163129657822715</c:v>
                </c:pt>
                <c:pt idx="17">
                  <c:v>26.778216165095934</c:v>
                </c:pt>
                <c:pt idx="18">
                  <c:v>25.128334518228787</c:v>
                </c:pt>
                <c:pt idx="19">
                  <c:v>23.385436953132977</c:v>
                </c:pt>
                <c:pt idx="20">
                  <c:v>21.675134068695861</c:v>
                </c:pt>
                <c:pt idx="21">
                  <c:v>20.080331685184881</c:v>
                </c:pt>
                <c:pt idx="22">
                  <c:v>18.648694177363453</c:v>
                </c:pt>
                <c:pt idx="23">
                  <c:v>17.401143109868308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948752"/>
        <c:axId val="474949144"/>
      </c:scatterChart>
      <c:valAx>
        <c:axId val="474948752"/>
        <c:scaling>
          <c:orientation val="minMax"/>
          <c:max val="10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s-MX"/>
                  <a:t>Humedad</a:t>
                </a:r>
                <a:r>
                  <a:rPr lang="es-MX" baseline="0"/>
                  <a:t> Relativa [%]</a:t>
                </a:r>
                <a:endParaRPr lang="es-MX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949144"/>
        <c:crosses val="autoZero"/>
        <c:crossBetween val="midCat"/>
      </c:valAx>
      <c:valAx>
        <c:axId val="4749491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MX"/>
                  <a:t>Temperatura</a:t>
                </a:r>
                <a:r>
                  <a:rPr lang="es-MX" baseline="0"/>
                  <a:t> [°C]</a:t>
                </a:r>
                <a:endParaRPr lang="es-MX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74948752"/>
        <c:crosses val="autoZero"/>
        <c:crossBetween val="midCat"/>
        <c:majorUnit val="5"/>
      </c:valAx>
    </c:plotArea>
    <c:plotVisOnly val="1"/>
    <c:dispBlanksAs val="gap"/>
    <c:showDLblsOverMax val="0"/>
  </c:chart>
  <c:printSettings>
    <c:headerFooter/>
    <c:pageMargins b="0.75000000000000999" l="0.70000000000000095" r="0.70000000000000095" t="0.75000000000000999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MX"/>
              <a:t>Abril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6"/>
          <c:order val="2"/>
          <c:spPr>
            <a:ln w="381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'Olgyay datos'!$A$89:$A$90</c:f>
              <c:numCache>
                <c:formatCode>General</c:formatCode>
                <c:ptCount val="2"/>
                <c:pt idx="0">
                  <c:v>26.444389027431416</c:v>
                </c:pt>
                <c:pt idx="1">
                  <c:v>86.187468516294018</c:v>
                </c:pt>
              </c:numCache>
            </c:numRef>
          </c:xVal>
          <c:yVal>
            <c:numRef>
              <c:f>'Olgyay datos'!$B$89:$B$90</c:f>
              <c:numCache>
                <c:formatCode>0.0</c:formatCode>
                <c:ptCount val="2"/>
                <c:pt idx="0">
                  <c:v>21.349600000000002</c:v>
                </c:pt>
                <c:pt idx="1">
                  <c:v>21.349600000000002</c:v>
                </c:pt>
              </c:numCache>
            </c:numRef>
          </c:yVal>
          <c:smooth val="1"/>
        </c:ser>
        <c:ser>
          <c:idx val="7"/>
          <c:order val="3"/>
          <c:spPr>
            <a:ln w="381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'Olgyay datos'!$A$92:$A$93</c:f>
              <c:numCache>
                <c:formatCode>General</c:formatCode>
                <c:ptCount val="2"/>
                <c:pt idx="0">
                  <c:v>60.847767920011272</c:v>
                </c:pt>
                <c:pt idx="1">
                  <c:v>86.187468516294018</c:v>
                </c:pt>
              </c:numCache>
            </c:numRef>
          </c:xVal>
          <c:yVal>
            <c:numRef>
              <c:f>'Olgyay datos'!$B$92:$B$93</c:f>
              <c:numCache>
                <c:formatCode>0.0</c:formatCode>
                <c:ptCount val="2"/>
                <c:pt idx="0">
                  <c:v>27.889016532882692</c:v>
                </c:pt>
                <c:pt idx="1">
                  <c:v>21.349600000000002</c:v>
                </c:pt>
              </c:numCache>
            </c:numRef>
          </c:yVal>
          <c:smooth val="1"/>
        </c:ser>
        <c:ser>
          <c:idx val="8"/>
          <c:order val="4"/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'Olgyay datos'!$A$95:$A$96</c:f>
              <c:numCache>
                <c:formatCode>General</c:formatCode>
                <c:ptCount val="2"/>
                <c:pt idx="0">
                  <c:v>15.758296343267807</c:v>
                </c:pt>
                <c:pt idx="1">
                  <c:v>60.847767920011272</c:v>
                </c:pt>
              </c:numCache>
            </c:numRef>
          </c:xVal>
          <c:yVal>
            <c:numRef>
              <c:f>'Olgyay datos'!$B$95:$B$96</c:f>
              <c:numCache>
                <c:formatCode>0.0</c:formatCode>
                <c:ptCount val="2"/>
                <c:pt idx="0">
                  <c:v>29.919846332699219</c:v>
                </c:pt>
                <c:pt idx="1">
                  <c:v>27.889016532882692</c:v>
                </c:pt>
              </c:numCache>
            </c:numRef>
          </c:yVal>
          <c:smooth val="1"/>
        </c:ser>
        <c:ser>
          <c:idx val="9"/>
          <c:order val="5"/>
          <c:spPr>
            <a:ln w="381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'Olgyay datos'!$A$98:$A$99</c:f>
              <c:numCache>
                <c:formatCode>General</c:formatCode>
                <c:ptCount val="2"/>
                <c:pt idx="0">
                  <c:v>15.758296343267807</c:v>
                </c:pt>
                <c:pt idx="1">
                  <c:v>26.444389027431416</c:v>
                </c:pt>
              </c:numCache>
            </c:numRef>
          </c:xVal>
          <c:yVal>
            <c:numRef>
              <c:f>'Olgyay datos'!$B$98:$B$99</c:f>
              <c:numCache>
                <c:formatCode>0.0</c:formatCode>
                <c:ptCount val="2"/>
                <c:pt idx="0">
                  <c:v>29.919846332699219</c:v>
                </c:pt>
                <c:pt idx="1">
                  <c:v>21.349600000000002</c:v>
                </c:pt>
              </c:numCache>
            </c:numRef>
          </c:yVal>
          <c:smooth val="1"/>
        </c:ser>
        <c:ser>
          <c:idx val="10"/>
          <c:order val="6"/>
          <c:marker>
            <c:symbol val="none"/>
          </c:marker>
          <c:xVal>
            <c:numRef>
              <c:f>'Olgyay datos'!$A$18</c:f>
              <c:numCache>
                <c:formatCode>General</c:formatCode>
                <c:ptCount val="1"/>
                <c:pt idx="0">
                  <c:v>50</c:v>
                </c:pt>
              </c:numCache>
            </c:numRef>
          </c:xVal>
          <c:yVal>
            <c:numRef>
              <c:f>'Olgyay datos'!$B$18</c:f>
              <c:numCache>
                <c:formatCode>0.0</c:formatCode>
                <c:ptCount val="1"/>
                <c:pt idx="0">
                  <c:v>22.947500000000002</c:v>
                </c:pt>
              </c:numCache>
            </c:numRef>
          </c:yVal>
          <c:smooth val="1"/>
        </c:ser>
        <c:ser>
          <c:idx val="11"/>
          <c:order val="7"/>
          <c:tx>
            <c:strRef>
              <c:f>'Olgyay datos'!$L$1</c:f>
              <c:strCache>
                <c:ptCount val="1"/>
                <c:pt idx="0">
                  <c:v>Enero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xVal>
            <c:numRef>
              <c:f>'Olgyay datos'!$N$3:$N$26</c:f>
              <c:numCache>
                <c:formatCode>0</c:formatCode>
                <c:ptCount val="24"/>
                <c:pt idx="0">
                  <c:v>57.562018223183941</c:v>
                </c:pt>
                <c:pt idx="1">
                  <c:v>59.714333736734076</c:v>
                </c:pt>
                <c:pt idx="2">
                  <c:v>61.500561024608992</c:v>
                </c:pt>
                <c:pt idx="3">
                  <c:v>62.959218549750602</c:v>
                </c:pt>
                <c:pt idx="4">
                  <c:v>64.133902384707099</c:v>
                </c:pt>
                <c:pt idx="5">
                  <c:v>65.068465562886516</c:v>
                </c:pt>
                <c:pt idx="6">
                  <c:v>65.804063976184011</c:v>
                </c:pt>
                <c:pt idx="7">
                  <c:v>68.18183263920821</c:v>
                </c:pt>
                <c:pt idx="8">
                  <c:v>67.316170635281566</c:v>
                </c:pt>
                <c:pt idx="9">
                  <c:v>63.40145229147064</c:v>
                </c:pt>
                <c:pt idx="10">
                  <c:v>56.61550473182276</c:v>
                </c:pt>
                <c:pt idx="11">
                  <c:v>48.682982878815515</c:v>
                </c:pt>
                <c:pt idx="12">
                  <c:v>41.37531463577448</c:v>
                </c:pt>
                <c:pt idx="13">
                  <c:v>35.861816347339392</c:v>
                </c:pt>
                <c:pt idx="14">
                  <c:v>32.62504049515006</c:v>
                </c:pt>
                <c:pt idx="15">
                  <c:v>31.620308501680295</c:v>
                </c:pt>
                <c:pt idx="16">
                  <c:v>32.489385628134812</c:v>
                </c:pt>
                <c:pt idx="17">
                  <c:v>34.742423640774447</c:v>
                </c:pt>
                <c:pt idx="18">
                  <c:v>37.882712642469279</c:v>
                </c:pt>
                <c:pt idx="19">
                  <c:v>41.477412347101918</c:v>
                </c:pt>
                <c:pt idx="20">
                  <c:v>45.187613144523993</c:v>
                </c:pt>
                <c:pt idx="21">
                  <c:v>48.772124473742174</c:v>
                </c:pt>
                <c:pt idx="22">
                  <c:v>52.076761498247251</c:v>
                </c:pt>
                <c:pt idx="23">
                  <c:v>55.017409031977422</c:v>
                </c:pt>
              </c:numCache>
            </c:numRef>
          </c:xVal>
          <c:yVal>
            <c:numRef>
              <c:f>'Olgyay datos'!$M$3:$M$26</c:f>
              <c:numCache>
                <c:formatCode>0.0</c:formatCode>
                <c:ptCount val="24"/>
                <c:pt idx="0">
                  <c:v>14.234916754141189</c:v>
                </c:pt>
                <c:pt idx="1">
                  <c:v>13.376758223815056</c:v>
                </c:pt>
                <c:pt idx="2">
                  <c:v>12.664564228770711</c:v>
                </c:pt>
                <c:pt idx="3">
                  <c:v>12.082976914947945</c:v>
                </c:pt>
                <c:pt idx="4">
                  <c:v>11.614613913771883</c:v>
                </c:pt>
                <c:pt idx="5">
                  <c:v>11.241990402751185</c:v>
                </c:pt>
                <c:pt idx="6">
                  <c:v>10.948696947729628</c:v>
                </c:pt>
                <c:pt idx="7">
                  <c:v>10.000647069135995</c:v>
                </c:pt>
                <c:pt idx="8">
                  <c:v>10.345798710878119</c:v>
                </c:pt>
                <c:pt idx="9">
                  <c:v>11.906652089212187</c:v>
                </c:pt>
                <c:pt idx="10">
                  <c:v>14.612305023457058</c:v>
                </c:pt>
                <c:pt idx="11">
                  <c:v>17.775113288462908</c:v>
                </c:pt>
                <c:pt idx="12">
                  <c:v>20.688783612390075</c:v>
                </c:pt>
                <c:pt idx="13">
                  <c:v>22.887093088102048</c:v>
                </c:pt>
                <c:pt idx="14">
                  <c:v>24.17764123999838</c:v>
                </c:pt>
                <c:pt idx="15">
                  <c:v>24.57824204664567</c:v>
                </c:pt>
                <c:pt idx="16">
                  <c:v>24.231728747418412</c:v>
                </c:pt>
                <c:pt idx="17">
                  <c:v>23.333410737106529</c:v>
                </c:pt>
                <c:pt idx="18">
                  <c:v>22.081333252403212</c:v>
                </c:pt>
                <c:pt idx="19">
                  <c:v>20.648075815902608</c:v>
                </c:pt>
                <c:pt idx="20">
                  <c:v>19.168766465816269</c:v>
                </c:pt>
                <c:pt idx="21">
                  <c:v>17.739571278189977</c:v>
                </c:pt>
                <c:pt idx="22">
                  <c:v>16.421965920445309</c:v>
                </c:pt>
                <c:pt idx="23">
                  <c:v>15.249488302797783</c:v>
                </c:pt>
              </c:numCache>
            </c:numRef>
          </c:yVal>
          <c:smooth val="1"/>
        </c:ser>
        <c:ser>
          <c:idx val="4"/>
          <c:order val="0"/>
          <c:marker>
            <c:symbol val="star"/>
            <c:size val="9"/>
            <c:spPr>
              <a:ln w="25400">
                <a:solidFill>
                  <a:srgbClr val="C00000"/>
                </a:solidFill>
              </a:ln>
            </c:spPr>
          </c:marker>
          <c:xVal>
            <c:numRef>
              <c:f>'Olgyay datos'!$A$102</c:f>
              <c:numCache>
                <c:formatCode>General</c:formatCode>
                <c:ptCount val="1"/>
                <c:pt idx="0">
                  <c:v>50</c:v>
                </c:pt>
              </c:numCache>
            </c:numRef>
          </c:xVal>
          <c:yVal>
            <c:numRef>
              <c:f>'Olgyay datos'!$B$102</c:f>
              <c:numCache>
                <c:formatCode>0.0</c:formatCode>
                <c:ptCount val="1"/>
                <c:pt idx="0">
                  <c:v>25.164000000000001</c:v>
                </c:pt>
              </c:numCache>
            </c:numRef>
          </c:yVal>
          <c:smooth val="1"/>
        </c:ser>
        <c:ser>
          <c:idx val="5"/>
          <c:order val="1"/>
          <c:tx>
            <c:strRef>
              <c:f>'Olgyay datos'!$L$1</c:f>
              <c:strCache>
                <c:ptCount val="1"/>
                <c:pt idx="0">
                  <c:v>Enero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'Olgyay datos'!$N$87:$N$110</c:f>
              <c:numCache>
                <c:formatCode>0</c:formatCode>
                <c:ptCount val="24"/>
                <c:pt idx="0">
                  <c:v>51.473886603799428</c:v>
                </c:pt>
                <c:pt idx="1">
                  <c:v>53.094044312995983</c:v>
                </c:pt>
                <c:pt idx="2">
                  <c:v>54.413477172571078</c:v>
                </c:pt>
                <c:pt idx="3">
                  <c:v>55.473520862074018</c:v>
                </c:pt>
                <c:pt idx="4">
                  <c:v>56.315120611039774</c:v>
                </c:pt>
                <c:pt idx="5">
                  <c:v>56.976323423317865</c:v>
                </c:pt>
                <c:pt idx="6">
                  <c:v>59.08539506763239</c:v>
                </c:pt>
                <c:pt idx="7">
                  <c:v>57.851501459070761</c:v>
                </c:pt>
                <c:pt idx="8">
                  <c:v>53.587949512529903</c:v>
                </c:pt>
                <c:pt idx="9">
                  <c:v>46.867280848586276</c:v>
                </c:pt>
                <c:pt idx="10">
                  <c:v>39.401579533839389</c:v>
                </c:pt>
                <c:pt idx="11">
                  <c:v>32.777572888987493</c:v>
                </c:pt>
                <c:pt idx="12">
                  <c:v>27.971291132622596</c:v>
                </c:pt>
                <c:pt idx="13">
                  <c:v>25.330216112329868</c:v>
                </c:pt>
                <c:pt idx="14">
                  <c:v>24.742757899636501</c:v>
                </c:pt>
                <c:pt idx="15">
                  <c:v>25.837605733856133</c:v>
                </c:pt>
                <c:pt idx="16">
                  <c:v>28.145587079696845</c:v>
                </c:pt>
                <c:pt idx="17">
                  <c:v>31.206919071825304</c:v>
                </c:pt>
                <c:pt idx="18">
                  <c:v>34.629600276510764</c:v>
                </c:pt>
                <c:pt idx="19">
                  <c:v>38.112135424099769</c:v>
                </c:pt>
                <c:pt idx="20">
                  <c:v>41.4438333902837</c:v>
                </c:pt>
                <c:pt idx="21">
                  <c:v>44.49315396483339</c:v>
                </c:pt>
                <c:pt idx="22">
                  <c:v>47.191301818283037</c:v>
                </c:pt>
                <c:pt idx="23">
                  <c:v>49.515448604656257</c:v>
                </c:pt>
              </c:numCache>
            </c:numRef>
          </c:xVal>
          <c:yVal>
            <c:numRef>
              <c:f>'Olgyay datos'!$M$87:$M$110</c:f>
              <c:numCache>
                <c:formatCode>0.0</c:formatCode>
                <c:ptCount val="24"/>
                <c:pt idx="0">
                  <c:v>19.414906594511965</c:v>
                </c:pt>
                <c:pt idx="1">
                  <c:v>18.562390847835488</c:v>
                </c:pt>
                <c:pt idx="2">
                  <c:v>17.868114430740288</c:v>
                </c:pt>
                <c:pt idx="3">
                  <c:v>17.310326795415307</c:v>
                </c:pt>
                <c:pt idx="4">
                  <c:v>16.867482846138248</c:v>
                </c:pt>
                <c:pt idx="5">
                  <c:v>16.519562513435957</c:v>
                </c:pt>
                <c:pt idx="6">
                  <c:v>15.409783645958523</c:v>
                </c:pt>
                <c:pt idx="7">
                  <c:v>16.059049902602084</c:v>
                </c:pt>
                <c:pt idx="8">
                  <c:v>18.302501358325934</c:v>
                </c:pt>
                <c:pt idx="9">
                  <c:v>21.838870584410962</c:v>
                </c:pt>
                <c:pt idx="10">
                  <c:v>25.767270822657679</c:v>
                </c:pt>
                <c:pt idx="11">
                  <c:v>29.252777164892894</c:v>
                </c:pt>
                <c:pt idx="12">
                  <c:v>31.781809281338454</c:v>
                </c:pt>
                <c:pt idx="13">
                  <c:v>33.171524634462941</c:v>
                </c:pt>
                <c:pt idx="14">
                  <c:v>33.480641070469581</c:v>
                </c:pt>
                <c:pt idx="15">
                  <c:v>32.904539735649685</c:v>
                </c:pt>
                <c:pt idx="16">
                  <c:v>31.690095963172425</c:v>
                </c:pt>
                <c:pt idx="17">
                  <c:v>30.079244307015934</c:v>
                </c:pt>
                <c:pt idx="18">
                  <c:v>28.278253202085185</c:v>
                </c:pt>
                <c:pt idx="19">
                  <c:v>26.445767367637487</c:v>
                </c:pt>
                <c:pt idx="20">
                  <c:v>24.692651011606731</c:v>
                </c:pt>
                <c:pt idx="21">
                  <c:v>23.088119680050543</c:v>
                </c:pt>
                <c:pt idx="22">
                  <c:v>21.668372998063731</c:v>
                </c:pt>
                <c:pt idx="23">
                  <c:v>20.445423082926595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347640"/>
        <c:axId val="468348424"/>
      </c:scatterChart>
      <c:valAx>
        <c:axId val="468347640"/>
        <c:scaling>
          <c:orientation val="minMax"/>
          <c:max val="10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s-MX"/>
                  <a:t>Humedad</a:t>
                </a:r>
                <a:r>
                  <a:rPr lang="es-MX" baseline="0"/>
                  <a:t> Relativa [%]</a:t>
                </a:r>
                <a:endParaRPr lang="es-MX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348424"/>
        <c:crosses val="autoZero"/>
        <c:crossBetween val="midCat"/>
      </c:valAx>
      <c:valAx>
        <c:axId val="4683484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MX"/>
                  <a:t>Temperatura</a:t>
                </a:r>
                <a:r>
                  <a:rPr lang="es-MX" baseline="0"/>
                  <a:t> [°C]</a:t>
                </a:r>
                <a:endParaRPr lang="es-MX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68347640"/>
        <c:crosses val="autoZero"/>
        <c:crossBetween val="midCat"/>
        <c:majorUnit val="5"/>
      </c:valAx>
    </c:plotArea>
    <c:plotVisOnly val="1"/>
    <c:dispBlanksAs val="gap"/>
    <c:showDLblsOverMax val="0"/>
  </c:chart>
  <c:printSettings>
    <c:headerFooter/>
    <c:pageMargins b="0.75000000000000999" l="0.70000000000000095" r="0.70000000000000095" t="0.75000000000000999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MX"/>
              <a:t>Mayo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6"/>
          <c:order val="2"/>
          <c:spPr>
            <a:ln w="381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'Olgyay datos'!$A$117:$A$118</c:f>
              <c:numCache>
                <c:formatCode>General</c:formatCode>
                <c:ptCount val="2"/>
                <c:pt idx="0">
                  <c:v>26.444389027431416</c:v>
                </c:pt>
                <c:pt idx="1">
                  <c:v>86.187468516294018</c:v>
                </c:pt>
              </c:numCache>
            </c:numRef>
          </c:xVal>
          <c:yVal>
            <c:numRef>
              <c:f>'Olgyay datos'!$B$117:$B$118</c:f>
              <c:numCache>
                <c:formatCode>0.0</c:formatCode>
                <c:ptCount val="2"/>
                <c:pt idx="0">
                  <c:v>22.403600000000004</c:v>
                </c:pt>
                <c:pt idx="1">
                  <c:v>22.403600000000004</c:v>
                </c:pt>
              </c:numCache>
            </c:numRef>
          </c:yVal>
          <c:smooth val="1"/>
        </c:ser>
        <c:ser>
          <c:idx val="7"/>
          <c:order val="3"/>
          <c:spPr>
            <a:ln w="381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'Olgyay datos'!$A$120:$A$121</c:f>
              <c:numCache>
                <c:formatCode>General</c:formatCode>
                <c:ptCount val="2"/>
                <c:pt idx="0">
                  <c:v>60.847767920011272</c:v>
                </c:pt>
                <c:pt idx="1">
                  <c:v>86.187468516294018</c:v>
                </c:pt>
              </c:numCache>
            </c:numRef>
          </c:xVal>
          <c:yVal>
            <c:numRef>
              <c:f>'Olgyay datos'!$B$120:$B$121</c:f>
              <c:numCache>
                <c:formatCode>0.0</c:formatCode>
                <c:ptCount val="2"/>
                <c:pt idx="0">
                  <c:v>28.943016532882694</c:v>
                </c:pt>
                <c:pt idx="1">
                  <c:v>22.403600000000004</c:v>
                </c:pt>
              </c:numCache>
            </c:numRef>
          </c:yVal>
          <c:smooth val="1"/>
        </c:ser>
        <c:ser>
          <c:idx val="8"/>
          <c:order val="4"/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'Olgyay datos'!$A$123:$A$124</c:f>
              <c:numCache>
                <c:formatCode>General</c:formatCode>
                <c:ptCount val="2"/>
                <c:pt idx="0">
                  <c:v>15.758296343267807</c:v>
                </c:pt>
                <c:pt idx="1">
                  <c:v>60.847767920011272</c:v>
                </c:pt>
              </c:numCache>
            </c:numRef>
          </c:xVal>
          <c:yVal>
            <c:numRef>
              <c:f>'Olgyay datos'!$B$123:$B$124</c:f>
              <c:numCache>
                <c:formatCode>0.0</c:formatCode>
                <c:ptCount val="2"/>
                <c:pt idx="0">
                  <c:v>30.973846332699221</c:v>
                </c:pt>
                <c:pt idx="1">
                  <c:v>28.943016532882694</c:v>
                </c:pt>
              </c:numCache>
            </c:numRef>
          </c:yVal>
          <c:smooth val="1"/>
        </c:ser>
        <c:ser>
          <c:idx val="9"/>
          <c:order val="5"/>
          <c:spPr>
            <a:ln w="381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'Olgyay datos'!$A$126:$A$127</c:f>
              <c:numCache>
                <c:formatCode>General</c:formatCode>
                <c:ptCount val="2"/>
                <c:pt idx="0">
                  <c:v>15.758296343267807</c:v>
                </c:pt>
                <c:pt idx="1">
                  <c:v>26.444389027431416</c:v>
                </c:pt>
              </c:numCache>
            </c:numRef>
          </c:xVal>
          <c:yVal>
            <c:numRef>
              <c:f>'Olgyay datos'!$B$126:$B$127</c:f>
              <c:numCache>
                <c:formatCode>0.0</c:formatCode>
                <c:ptCount val="2"/>
                <c:pt idx="0">
                  <c:v>30.973846332699221</c:v>
                </c:pt>
                <c:pt idx="1">
                  <c:v>22.403600000000004</c:v>
                </c:pt>
              </c:numCache>
            </c:numRef>
          </c:yVal>
          <c:smooth val="1"/>
        </c:ser>
        <c:ser>
          <c:idx val="10"/>
          <c:order val="6"/>
          <c:marker>
            <c:symbol val="none"/>
          </c:marker>
          <c:xVal>
            <c:numRef>
              <c:f>'Olgyay datos'!$A$18</c:f>
              <c:numCache>
                <c:formatCode>General</c:formatCode>
                <c:ptCount val="1"/>
                <c:pt idx="0">
                  <c:v>50</c:v>
                </c:pt>
              </c:numCache>
            </c:numRef>
          </c:xVal>
          <c:yVal>
            <c:numRef>
              <c:f>'Olgyay datos'!$B$18</c:f>
              <c:numCache>
                <c:formatCode>0.0</c:formatCode>
                <c:ptCount val="1"/>
                <c:pt idx="0">
                  <c:v>22.947500000000002</c:v>
                </c:pt>
              </c:numCache>
            </c:numRef>
          </c:yVal>
          <c:smooth val="1"/>
        </c:ser>
        <c:ser>
          <c:idx val="11"/>
          <c:order val="7"/>
          <c:tx>
            <c:strRef>
              <c:f>'Olgyay datos'!$L$1</c:f>
              <c:strCache>
                <c:ptCount val="1"/>
                <c:pt idx="0">
                  <c:v>Enero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xVal>
            <c:numRef>
              <c:f>'Olgyay datos'!$N$3:$N$26</c:f>
              <c:numCache>
                <c:formatCode>0</c:formatCode>
                <c:ptCount val="24"/>
                <c:pt idx="0">
                  <c:v>57.562018223183941</c:v>
                </c:pt>
                <c:pt idx="1">
                  <c:v>59.714333736734076</c:v>
                </c:pt>
                <c:pt idx="2">
                  <c:v>61.500561024608992</c:v>
                </c:pt>
                <c:pt idx="3">
                  <c:v>62.959218549750602</c:v>
                </c:pt>
                <c:pt idx="4">
                  <c:v>64.133902384707099</c:v>
                </c:pt>
                <c:pt idx="5">
                  <c:v>65.068465562886516</c:v>
                </c:pt>
                <c:pt idx="6">
                  <c:v>65.804063976184011</c:v>
                </c:pt>
                <c:pt idx="7">
                  <c:v>68.18183263920821</c:v>
                </c:pt>
                <c:pt idx="8">
                  <c:v>67.316170635281566</c:v>
                </c:pt>
                <c:pt idx="9">
                  <c:v>63.40145229147064</c:v>
                </c:pt>
                <c:pt idx="10">
                  <c:v>56.61550473182276</c:v>
                </c:pt>
                <c:pt idx="11">
                  <c:v>48.682982878815515</c:v>
                </c:pt>
                <c:pt idx="12">
                  <c:v>41.37531463577448</c:v>
                </c:pt>
                <c:pt idx="13">
                  <c:v>35.861816347339392</c:v>
                </c:pt>
                <c:pt idx="14">
                  <c:v>32.62504049515006</c:v>
                </c:pt>
                <c:pt idx="15">
                  <c:v>31.620308501680295</c:v>
                </c:pt>
                <c:pt idx="16">
                  <c:v>32.489385628134812</c:v>
                </c:pt>
                <c:pt idx="17">
                  <c:v>34.742423640774447</c:v>
                </c:pt>
                <c:pt idx="18">
                  <c:v>37.882712642469279</c:v>
                </c:pt>
                <c:pt idx="19">
                  <c:v>41.477412347101918</c:v>
                </c:pt>
                <c:pt idx="20">
                  <c:v>45.187613144523993</c:v>
                </c:pt>
                <c:pt idx="21">
                  <c:v>48.772124473742174</c:v>
                </c:pt>
                <c:pt idx="22">
                  <c:v>52.076761498247251</c:v>
                </c:pt>
                <c:pt idx="23">
                  <c:v>55.017409031977422</c:v>
                </c:pt>
              </c:numCache>
            </c:numRef>
          </c:xVal>
          <c:yVal>
            <c:numRef>
              <c:f>'Olgyay datos'!$M$3:$M$26</c:f>
              <c:numCache>
                <c:formatCode>0.0</c:formatCode>
                <c:ptCount val="24"/>
                <c:pt idx="0">
                  <c:v>14.234916754141189</c:v>
                </c:pt>
                <c:pt idx="1">
                  <c:v>13.376758223815056</c:v>
                </c:pt>
                <c:pt idx="2">
                  <c:v>12.664564228770711</c:v>
                </c:pt>
                <c:pt idx="3">
                  <c:v>12.082976914947945</c:v>
                </c:pt>
                <c:pt idx="4">
                  <c:v>11.614613913771883</c:v>
                </c:pt>
                <c:pt idx="5">
                  <c:v>11.241990402751185</c:v>
                </c:pt>
                <c:pt idx="6">
                  <c:v>10.948696947729628</c:v>
                </c:pt>
                <c:pt idx="7">
                  <c:v>10.000647069135995</c:v>
                </c:pt>
                <c:pt idx="8">
                  <c:v>10.345798710878119</c:v>
                </c:pt>
                <c:pt idx="9">
                  <c:v>11.906652089212187</c:v>
                </c:pt>
                <c:pt idx="10">
                  <c:v>14.612305023457058</c:v>
                </c:pt>
                <c:pt idx="11">
                  <c:v>17.775113288462908</c:v>
                </c:pt>
                <c:pt idx="12">
                  <c:v>20.688783612390075</c:v>
                </c:pt>
                <c:pt idx="13">
                  <c:v>22.887093088102048</c:v>
                </c:pt>
                <c:pt idx="14">
                  <c:v>24.17764123999838</c:v>
                </c:pt>
                <c:pt idx="15">
                  <c:v>24.57824204664567</c:v>
                </c:pt>
                <c:pt idx="16">
                  <c:v>24.231728747418412</c:v>
                </c:pt>
                <c:pt idx="17">
                  <c:v>23.333410737106529</c:v>
                </c:pt>
                <c:pt idx="18">
                  <c:v>22.081333252403212</c:v>
                </c:pt>
                <c:pt idx="19">
                  <c:v>20.648075815902608</c:v>
                </c:pt>
                <c:pt idx="20">
                  <c:v>19.168766465816269</c:v>
                </c:pt>
                <c:pt idx="21">
                  <c:v>17.739571278189977</c:v>
                </c:pt>
                <c:pt idx="22">
                  <c:v>16.421965920445309</c:v>
                </c:pt>
                <c:pt idx="23">
                  <c:v>15.249488302797783</c:v>
                </c:pt>
              </c:numCache>
            </c:numRef>
          </c:yVal>
          <c:smooth val="1"/>
        </c:ser>
        <c:ser>
          <c:idx val="4"/>
          <c:order val="0"/>
          <c:marker>
            <c:symbol val="star"/>
            <c:size val="9"/>
            <c:spPr>
              <a:ln w="25400">
                <a:solidFill>
                  <a:srgbClr val="C00000"/>
                </a:solidFill>
              </a:ln>
            </c:spPr>
          </c:marker>
          <c:xVal>
            <c:numRef>
              <c:f>'Olgyay datos'!$A$130</c:f>
              <c:numCache>
                <c:formatCode>General</c:formatCode>
                <c:ptCount val="1"/>
                <c:pt idx="0">
                  <c:v>50</c:v>
                </c:pt>
              </c:numCache>
            </c:numRef>
          </c:xVal>
          <c:yVal>
            <c:numRef>
              <c:f>'Olgyay datos'!$B$130</c:f>
              <c:numCache>
                <c:formatCode>0.0</c:formatCode>
                <c:ptCount val="1"/>
                <c:pt idx="0">
                  <c:v>26.218000000000004</c:v>
                </c:pt>
              </c:numCache>
            </c:numRef>
          </c:yVal>
          <c:smooth val="1"/>
        </c:ser>
        <c:ser>
          <c:idx val="5"/>
          <c:order val="1"/>
          <c:tx>
            <c:strRef>
              <c:f>'Olgyay datos'!$L$1</c:f>
              <c:strCache>
                <c:ptCount val="1"/>
                <c:pt idx="0">
                  <c:v>Enero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'Olgyay datos'!$N$115:$N$138</c:f>
              <c:numCache>
                <c:formatCode>0</c:formatCode>
                <c:ptCount val="24"/>
                <c:pt idx="0">
                  <c:v>50.950064321293056</c:v>
                </c:pt>
                <c:pt idx="1">
                  <c:v>52.427624492666567</c:v>
                </c:pt>
                <c:pt idx="2">
                  <c:v>53.624552843373273</c:v>
                </c:pt>
                <c:pt idx="3">
                  <c:v>54.581732285590135</c:v>
                </c:pt>
                <c:pt idx="4">
                  <c:v>55.338571552799536</c:v>
                </c:pt>
                <c:pt idx="5">
                  <c:v>55.931031076026827</c:v>
                </c:pt>
                <c:pt idx="6">
                  <c:v>57.628489577400558</c:v>
                </c:pt>
                <c:pt idx="7">
                  <c:v>55.377981619588212</c:v>
                </c:pt>
                <c:pt idx="8">
                  <c:v>50.116561130887177</c:v>
                </c:pt>
                <c:pt idx="9">
                  <c:v>43.024742245898956</c:v>
                </c:pt>
                <c:pt idx="10">
                  <c:v>35.839468550857674</c:v>
                </c:pt>
                <c:pt idx="11">
                  <c:v>29.919614230256872</c:v>
                </c:pt>
                <c:pt idx="12">
                  <c:v>25.980611664557138</c:v>
                </c:pt>
                <c:pt idx="13">
                  <c:v>24.171502142415321</c:v>
                </c:pt>
                <c:pt idx="14">
                  <c:v>24.265028484744445</c:v>
                </c:pt>
                <c:pt idx="15">
                  <c:v>25.844194498520462</c:v>
                </c:pt>
                <c:pt idx="16">
                  <c:v>28.441599825083351</c:v>
                </c:pt>
                <c:pt idx="17">
                  <c:v>31.625597023396239</c:v>
                </c:pt>
                <c:pt idx="18">
                  <c:v>35.042934682683622</c:v>
                </c:pt>
                <c:pt idx="19">
                  <c:v>38.431424585157245</c:v>
                </c:pt>
                <c:pt idx="20">
                  <c:v>41.614797301246433</c:v>
                </c:pt>
                <c:pt idx="21">
                  <c:v>44.488825419645508</c:v>
                </c:pt>
                <c:pt idx="22">
                  <c:v>47.004675865277079</c:v>
                </c:pt>
                <c:pt idx="23">
                  <c:v>49.152945509420533</c:v>
                </c:pt>
              </c:numCache>
            </c:numRef>
          </c:xVal>
          <c:yVal>
            <c:numRef>
              <c:f>'Olgyay datos'!$M$115:$M$138</c:f>
              <c:numCache>
                <c:formatCode>0.0</c:formatCode>
                <c:ptCount val="24"/>
                <c:pt idx="0">
                  <c:v>22.238704829018218</c:v>
                </c:pt>
                <c:pt idx="1">
                  <c:v>21.412866122799013</c:v>
                </c:pt>
                <c:pt idx="2">
                  <c:v>20.743878301026687</c:v>
                </c:pt>
                <c:pt idx="3">
                  <c:v>20.208891064977152</c:v>
                </c:pt>
                <c:pt idx="4">
                  <c:v>19.785878064655755</c:v>
                </c:pt>
                <c:pt idx="5">
                  <c:v>19.454740277086366</c:v>
                </c:pt>
                <c:pt idx="6">
                  <c:v>18.50599588088884</c:v>
                </c:pt>
                <c:pt idx="7">
                  <c:v>19.76385096944885</c:v>
                </c:pt>
                <c:pt idx="8">
                  <c:v>22.704566869516036</c:v>
                </c:pt>
                <c:pt idx="9">
                  <c:v>26.668330001595674</c:v>
                </c:pt>
                <c:pt idx="10">
                  <c:v>30.684326945143333</c:v>
                </c:pt>
                <c:pt idx="11">
                  <c:v>33.993055027998032</c:v>
                </c:pt>
                <c:pt idx="12">
                  <c:v>36.194644408705074</c:v>
                </c:pt>
                <c:pt idx="13">
                  <c:v>37.205792852010511</c:v>
                </c:pt>
                <c:pt idx="14">
                  <c:v>37.153519059685223</c:v>
                </c:pt>
                <c:pt idx="15">
                  <c:v>36.270890762720619</c:v>
                </c:pt>
                <c:pt idx="16">
                  <c:v>34.819147614811058</c:v>
                </c:pt>
                <c:pt idx="17">
                  <c:v>33.039546230174395</c:v>
                </c:pt>
                <c:pt idx="18">
                  <c:v>31.129526072662557</c:v>
                </c:pt>
                <c:pt idx="19">
                  <c:v>29.235629518524686</c:v>
                </c:pt>
                <c:pt idx="20">
                  <c:v>27.456377169820136</c:v>
                </c:pt>
                <c:pt idx="21">
                  <c:v>25.850023865961138</c:v>
                </c:pt>
                <c:pt idx="22">
                  <c:v>24.443863414891311</c:v>
                </c:pt>
                <c:pt idx="23">
                  <c:v>23.243151418248743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102328"/>
        <c:axId val="463100760"/>
      </c:scatterChart>
      <c:valAx>
        <c:axId val="463102328"/>
        <c:scaling>
          <c:orientation val="minMax"/>
          <c:max val="10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s-MX"/>
                  <a:t>Humedad</a:t>
                </a:r>
                <a:r>
                  <a:rPr lang="es-MX" baseline="0"/>
                  <a:t> Relativa [%]</a:t>
                </a:r>
                <a:endParaRPr lang="es-MX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100760"/>
        <c:crosses val="autoZero"/>
        <c:crossBetween val="midCat"/>
      </c:valAx>
      <c:valAx>
        <c:axId val="4631007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MX"/>
                  <a:t>Temperatura</a:t>
                </a:r>
                <a:r>
                  <a:rPr lang="es-MX" baseline="0"/>
                  <a:t> [°C]</a:t>
                </a:r>
                <a:endParaRPr lang="es-MX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63102328"/>
        <c:crosses val="autoZero"/>
        <c:crossBetween val="midCat"/>
        <c:majorUnit val="5"/>
      </c:valAx>
    </c:plotArea>
    <c:plotVisOnly val="1"/>
    <c:dispBlanksAs val="gap"/>
    <c:showDLblsOverMax val="0"/>
  </c:chart>
  <c:printSettings>
    <c:headerFooter/>
    <c:pageMargins b="0.75000000000000999" l="0.70000000000000095" r="0.70000000000000095" t="0.75000000000000999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MX"/>
              <a:t>Junio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6"/>
          <c:order val="2"/>
          <c:spPr>
            <a:ln w="381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'Olgyay datos'!$A$145:$A$146</c:f>
              <c:numCache>
                <c:formatCode>General</c:formatCode>
                <c:ptCount val="2"/>
                <c:pt idx="0">
                  <c:v>26.444389027431416</c:v>
                </c:pt>
                <c:pt idx="1">
                  <c:v>86.187468516294018</c:v>
                </c:pt>
              </c:numCache>
            </c:numRef>
          </c:xVal>
          <c:yVal>
            <c:numRef>
              <c:f>'Olgyay datos'!$B$145:$B$146</c:f>
              <c:numCache>
                <c:formatCode>0.0</c:formatCode>
                <c:ptCount val="2"/>
                <c:pt idx="0">
                  <c:v>23.674600000000005</c:v>
                </c:pt>
                <c:pt idx="1">
                  <c:v>23.674600000000005</c:v>
                </c:pt>
              </c:numCache>
            </c:numRef>
          </c:yVal>
          <c:smooth val="1"/>
        </c:ser>
        <c:ser>
          <c:idx val="7"/>
          <c:order val="3"/>
          <c:spPr>
            <a:ln w="381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'Olgyay datos'!$A$148:$A$149</c:f>
              <c:numCache>
                <c:formatCode>General</c:formatCode>
                <c:ptCount val="2"/>
                <c:pt idx="0">
                  <c:v>60.847767920011272</c:v>
                </c:pt>
                <c:pt idx="1">
                  <c:v>86.187468516294018</c:v>
                </c:pt>
              </c:numCache>
            </c:numRef>
          </c:xVal>
          <c:yVal>
            <c:numRef>
              <c:f>'Olgyay datos'!$B$148:$B$149</c:f>
              <c:numCache>
                <c:formatCode>0.0</c:formatCode>
                <c:ptCount val="2"/>
                <c:pt idx="0">
                  <c:v>30.214016532882695</c:v>
                </c:pt>
                <c:pt idx="1">
                  <c:v>23.674600000000005</c:v>
                </c:pt>
              </c:numCache>
            </c:numRef>
          </c:yVal>
          <c:smooth val="1"/>
        </c:ser>
        <c:ser>
          <c:idx val="8"/>
          <c:order val="4"/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'Olgyay datos'!$A$151:$A$152</c:f>
              <c:numCache>
                <c:formatCode>General</c:formatCode>
                <c:ptCount val="2"/>
                <c:pt idx="0">
                  <c:v>15.758296343267807</c:v>
                </c:pt>
                <c:pt idx="1">
                  <c:v>60.847767920011272</c:v>
                </c:pt>
              </c:numCache>
            </c:numRef>
          </c:xVal>
          <c:yVal>
            <c:numRef>
              <c:f>'Olgyay datos'!$B$151:$B$152</c:f>
              <c:numCache>
                <c:formatCode>0.0</c:formatCode>
                <c:ptCount val="2"/>
                <c:pt idx="0">
                  <c:v>32.244846332699225</c:v>
                </c:pt>
                <c:pt idx="1">
                  <c:v>30.214016532882695</c:v>
                </c:pt>
              </c:numCache>
            </c:numRef>
          </c:yVal>
          <c:smooth val="1"/>
        </c:ser>
        <c:ser>
          <c:idx val="9"/>
          <c:order val="5"/>
          <c:spPr>
            <a:ln w="381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'Olgyay datos'!$A$154:$A$155</c:f>
              <c:numCache>
                <c:formatCode>General</c:formatCode>
                <c:ptCount val="2"/>
                <c:pt idx="0">
                  <c:v>15.758296343267807</c:v>
                </c:pt>
                <c:pt idx="1">
                  <c:v>26.444389027431416</c:v>
                </c:pt>
              </c:numCache>
            </c:numRef>
          </c:xVal>
          <c:yVal>
            <c:numRef>
              <c:f>'Olgyay datos'!$B$154:$B$155</c:f>
              <c:numCache>
                <c:formatCode>0.0</c:formatCode>
                <c:ptCount val="2"/>
                <c:pt idx="0">
                  <c:v>32.244846332699225</c:v>
                </c:pt>
                <c:pt idx="1">
                  <c:v>23.674600000000005</c:v>
                </c:pt>
              </c:numCache>
            </c:numRef>
          </c:yVal>
          <c:smooth val="1"/>
        </c:ser>
        <c:ser>
          <c:idx val="10"/>
          <c:order val="6"/>
          <c:marker>
            <c:symbol val="none"/>
          </c:marker>
          <c:xVal>
            <c:numRef>
              <c:f>'Olgyay datos'!$A$18</c:f>
              <c:numCache>
                <c:formatCode>General</c:formatCode>
                <c:ptCount val="1"/>
                <c:pt idx="0">
                  <c:v>50</c:v>
                </c:pt>
              </c:numCache>
            </c:numRef>
          </c:xVal>
          <c:yVal>
            <c:numRef>
              <c:f>'Olgyay datos'!$B$18</c:f>
              <c:numCache>
                <c:formatCode>0.0</c:formatCode>
                <c:ptCount val="1"/>
                <c:pt idx="0">
                  <c:v>22.947500000000002</c:v>
                </c:pt>
              </c:numCache>
            </c:numRef>
          </c:yVal>
          <c:smooth val="1"/>
        </c:ser>
        <c:ser>
          <c:idx val="11"/>
          <c:order val="7"/>
          <c:tx>
            <c:strRef>
              <c:f>'Olgyay datos'!$L$1</c:f>
              <c:strCache>
                <c:ptCount val="1"/>
                <c:pt idx="0">
                  <c:v>Enero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xVal>
            <c:numRef>
              <c:f>'Olgyay datos'!$N$3:$N$26</c:f>
              <c:numCache>
                <c:formatCode>0</c:formatCode>
                <c:ptCount val="24"/>
                <c:pt idx="0">
                  <c:v>57.562018223183941</c:v>
                </c:pt>
                <c:pt idx="1">
                  <c:v>59.714333736734076</c:v>
                </c:pt>
                <c:pt idx="2">
                  <c:v>61.500561024608992</c:v>
                </c:pt>
                <c:pt idx="3">
                  <c:v>62.959218549750602</c:v>
                </c:pt>
                <c:pt idx="4">
                  <c:v>64.133902384707099</c:v>
                </c:pt>
                <c:pt idx="5">
                  <c:v>65.068465562886516</c:v>
                </c:pt>
                <c:pt idx="6">
                  <c:v>65.804063976184011</c:v>
                </c:pt>
                <c:pt idx="7">
                  <c:v>68.18183263920821</c:v>
                </c:pt>
                <c:pt idx="8">
                  <c:v>67.316170635281566</c:v>
                </c:pt>
                <c:pt idx="9">
                  <c:v>63.40145229147064</c:v>
                </c:pt>
                <c:pt idx="10">
                  <c:v>56.61550473182276</c:v>
                </c:pt>
                <c:pt idx="11">
                  <c:v>48.682982878815515</c:v>
                </c:pt>
                <c:pt idx="12">
                  <c:v>41.37531463577448</c:v>
                </c:pt>
                <c:pt idx="13">
                  <c:v>35.861816347339392</c:v>
                </c:pt>
                <c:pt idx="14">
                  <c:v>32.62504049515006</c:v>
                </c:pt>
                <c:pt idx="15">
                  <c:v>31.620308501680295</c:v>
                </c:pt>
                <c:pt idx="16">
                  <c:v>32.489385628134812</c:v>
                </c:pt>
                <c:pt idx="17">
                  <c:v>34.742423640774447</c:v>
                </c:pt>
                <c:pt idx="18">
                  <c:v>37.882712642469279</c:v>
                </c:pt>
                <c:pt idx="19">
                  <c:v>41.477412347101918</c:v>
                </c:pt>
                <c:pt idx="20">
                  <c:v>45.187613144523993</c:v>
                </c:pt>
                <c:pt idx="21">
                  <c:v>48.772124473742174</c:v>
                </c:pt>
                <c:pt idx="22">
                  <c:v>52.076761498247251</c:v>
                </c:pt>
                <c:pt idx="23">
                  <c:v>55.017409031977422</c:v>
                </c:pt>
              </c:numCache>
            </c:numRef>
          </c:xVal>
          <c:yVal>
            <c:numRef>
              <c:f>'Olgyay datos'!$M$3:$M$26</c:f>
              <c:numCache>
                <c:formatCode>0.0</c:formatCode>
                <c:ptCount val="24"/>
                <c:pt idx="0">
                  <c:v>14.234916754141189</c:v>
                </c:pt>
                <c:pt idx="1">
                  <c:v>13.376758223815056</c:v>
                </c:pt>
                <c:pt idx="2">
                  <c:v>12.664564228770711</c:v>
                </c:pt>
                <c:pt idx="3">
                  <c:v>12.082976914947945</c:v>
                </c:pt>
                <c:pt idx="4">
                  <c:v>11.614613913771883</c:v>
                </c:pt>
                <c:pt idx="5">
                  <c:v>11.241990402751185</c:v>
                </c:pt>
                <c:pt idx="6">
                  <c:v>10.948696947729628</c:v>
                </c:pt>
                <c:pt idx="7">
                  <c:v>10.000647069135995</c:v>
                </c:pt>
                <c:pt idx="8">
                  <c:v>10.345798710878119</c:v>
                </c:pt>
                <c:pt idx="9">
                  <c:v>11.906652089212187</c:v>
                </c:pt>
                <c:pt idx="10">
                  <c:v>14.612305023457058</c:v>
                </c:pt>
                <c:pt idx="11">
                  <c:v>17.775113288462908</c:v>
                </c:pt>
                <c:pt idx="12">
                  <c:v>20.688783612390075</c:v>
                </c:pt>
                <c:pt idx="13">
                  <c:v>22.887093088102048</c:v>
                </c:pt>
                <c:pt idx="14">
                  <c:v>24.17764123999838</c:v>
                </c:pt>
                <c:pt idx="15">
                  <c:v>24.57824204664567</c:v>
                </c:pt>
                <c:pt idx="16">
                  <c:v>24.231728747418412</c:v>
                </c:pt>
                <c:pt idx="17">
                  <c:v>23.333410737106529</c:v>
                </c:pt>
                <c:pt idx="18">
                  <c:v>22.081333252403212</c:v>
                </c:pt>
                <c:pt idx="19">
                  <c:v>20.648075815902608</c:v>
                </c:pt>
                <c:pt idx="20">
                  <c:v>19.168766465816269</c:v>
                </c:pt>
                <c:pt idx="21">
                  <c:v>17.739571278189977</c:v>
                </c:pt>
                <c:pt idx="22">
                  <c:v>16.421965920445309</c:v>
                </c:pt>
                <c:pt idx="23">
                  <c:v>15.249488302797783</c:v>
                </c:pt>
              </c:numCache>
            </c:numRef>
          </c:yVal>
          <c:smooth val="1"/>
        </c:ser>
        <c:ser>
          <c:idx val="4"/>
          <c:order val="0"/>
          <c:marker>
            <c:symbol val="star"/>
            <c:size val="9"/>
            <c:spPr>
              <a:ln w="25400">
                <a:solidFill>
                  <a:srgbClr val="C00000"/>
                </a:solidFill>
              </a:ln>
            </c:spPr>
          </c:marker>
          <c:xVal>
            <c:numRef>
              <c:f>'Olgyay datos'!$A$158</c:f>
              <c:numCache>
                <c:formatCode>General</c:formatCode>
                <c:ptCount val="1"/>
                <c:pt idx="0">
                  <c:v>50</c:v>
                </c:pt>
              </c:numCache>
            </c:numRef>
          </c:xVal>
          <c:yVal>
            <c:numRef>
              <c:f>'Olgyay datos'!$B$158</c:f>
              <c:numCache>
                <c:formatCode>0.0</c:formatCode>
                <c:ptCount val="1"/>
                <c:pt idx="0">
                  <c:v>27.489000000000004</c:v>
                </c:pt>
              </c:numCache>
            </c:numRef>
          </c:yVal>
          <c:smooth val="1"/>
        </c:ser>
        <c:ser>
          <c:idx val="5"/>
          <c:order val="1"/>
          <c:tx>
            <c:strRef>
              <c:f>'Olgyay datos'!$L$1</c:f>
              <c:strCache>
                <c:ptCount val="1"/>
                <c:pt idx="0">
                  <c:v>Enero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'Olgyay datos'!$N$143:$N$166</c:f>
              <c:numCache>
                <c:formatCode>0</c:formatCode>
                <c:ptCount val="24"/>
                <c:pt idx="0">
                  <c:v>52.949073488936321</c:v>
                </c:pt>
                <c:pt idx="1">
                  <c:v>54.323869414998583</c:v>
                </c:pt>
                <c:pt idx="2">
                  <c:v>55.434553740447797</c:v>
                </c:pt>
                <c:pt idx="3">
                  <c:v>56.320672904766951</c:v>
                </c:pt>
                <c:pt idx="4">
                  <c:v>57.019867911343667</c:v>
                </c:pt>
                <c:pt idx="5">
                  <c:v>57.566189282529393</c:v>
                </c:pt>
                <c:pt idx="6">
                  <c:v>58.909851589717704</c:v>
                </c:pt>
                <c:pt idx="7">
                  <c:v>56.13717977049437</c:v>
                </c:pt>
                <c:pt idx="8">
                  <c:v>50.559602782498104</c:v>
                </c:pt>
                <c:pt idx="9">
                  <c:v>43.539493244352336</c:v>
                </c:pt>
                <c:pt idx="10">
                  <c:v>36.734168827935832</c:v>
                </c:pt>
                <c:pt idx="11">
                  <c:v>31.342582889513132</c:v>
                </c:pt>
                <c:pt idx="12">
                  <c:v>27.937457387787664</c:v>
                </c:pt>
                <c:pt idx="13">
                  <c:v>26.575387741111232</c:v>
                </c:pt>
                <c:pt idx="14">
                  <c:v>26.986520644193249</c:v>
                </c:pt>
                <c:pt idx="15">
                  <c:v>28.748064753502383</c:v>
                </c:pt>
                <c:pt idx="16">
                  <c:v>31.408846055072352</c:v>
                </c:pt>
                <c:pt idx="17">
                  <c:v>34.563465498886742</c:v>
                </c:pt>
                <c:pt idx="18">
                  <c:v>37.88682143552353</c:v>
                </c:pt>
                <c:pt idx="19">
                  <c:v>41.142113378869603</c:v>
                </c:pt>
                <c:pt idx="20">
                  <c:v>44.173582702339161</c:v>
                </c:pt>
                <c:pt idx="21">
                  <c:v>46.892161960187821</c:v>
                </c:pt>
                <c:pt idx="22">
                  <c:v>49.25927251109092</c:v>
                </c:pt>
                <c:pt idx="23">
                  <c:v>51.271722124707786</c:v>
                </c:pt>
              </c:numCache>
            </c:numRef>
          </c:xVal>
          <c:yVal>
            <c:numRef>
              <c:f>'Olgyay datos'!$M$143:$M$166</c:f>
              <c:numCache>
                <c:formatCode>0.0</c:formatCode>
                <c:ptCount val="24"/>
                <c:pt idx="0">
                  <c:v>26.527816743908332</c:v>
                </c:pt>
                <c:pt idx="1">
                  <c:v>25.785470668894629</c:v>
                </c:pt>
                <c:pt idx="2">
                  <c:v>25.185736458204861</c:v>
                </c:pt>
                <c:pt idx="3">
                  <c:v>24.707260292283379</c:v>
                </c:pt>
                <c:pt idx="4">
                  <c:v>24.329717226464098</c:v>
                </c:pt>
                <c:pt idx="5">
                  <c:v>24.03472106164606</c:v>
                </c:pt>
                <c:pt idx="6">
                  <c:v>23.309186150626896</c:v>
                </c:pt>
                <c:pt idx="7">
                  <c:v>24.806340748834746</c:v>
                </c:pt>
                <c:pt idx="8">
                  <c:v>27.818054928833156</c:v>
                </c:pt>
                <c:pt idx="9">
                  <c:v>31.608690806505038</c:v>
                </c:pt>
                <c:pt idx="10">
                  <c:v>35.283349549633208</c:v>
                </c:pt>
                <c:pt idx="11">
                  <c:v>38.194634478263325</c:v>
                </c:pt>
                <c:pt idx="12">
                  <c:v>40.033293949982237</c:v>
                </c:pt>
                <c:pt idx="13">
                  <c:v>40.768768238883908</c:v>
                </c:pt>
                <c:pt idx="14">
                  <c:v>40.546769547204555</c:v>
                </c:pt>
                <c:pt idx="15">
                  <c:v>39.595591753672224</c:v>
                </c:pt>
                <c:pt idx="16">
                  <c:v>38.158854476345688</c:v>
                </c:pt>
                <c:pt idx="17">
                  <c:v>36.455460308612714</c:v>
                </c:pt>
                <c:pt idx="18">
                  <c:v>34.660953801379968</c:v>
                </c:pt>
                <c:pt idx="19">
                  <c:v>32.903199685764967</c:v>
                </c:pt>
                <c:pt idx="20">
                  <c:v>31.266302666257697</c:v>
                </c:pt>
                <c:pt idx="21">
                  <c:v>29.798356330791023</c:v>
                </c:pt>
                <c:pt idx="22">
                  <c:v>28.520191918695687</c:v>
                </c:pt>
                <c:pt idx="23">
                  <c:v>27.43353313282752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101544"/>
        <c:axId val="554373544"/>
      </c:scatterChart>
      <c:valAx>
        <c:axId val="463101544"/>
        <c:scaling>
          <c:orientation val="minMax"/>
          <c:max val="10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s-MX"/>
                  <a:t>Humedad</a:t>
                </a:r>
                <a:r>
                  <a:rPr lang="es-MX" baseline="0"/>
                  <a:t> Relativa [%]</a:t>
                </a:r>
                <a:endParaRPr lang="es-MX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373544"/>
        <c:crosses val="autoZero"/>
        <c:crossBetween val="midCat"/>
      </c:valAx>
      <c:valAx>
        <c:axId val="5543735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MX"/>
                  <a:t>Temperatura</a:t>
                </a:r>
                <a:r>
                  <a:rPr lang="es-MX" baseline="0"/>
                  <a:t> [°C]</a:t>
                </a:r>
                <a:endParaRPr lang="es-MX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63101544"/>
        <c:crosses val="autoZero"/>
        <c:crossBetween val="midCat"/>
        <c:majorUnit val="5"/>
      </c:valAx>
    </c:plotArea>
    <c:plotVisOnly val="1"/>
    <c:dispBlanksAs val="gap"/>
    <c:showDLblsOverMax val="0"/>
  </c:chart>
  <c:printSettings>
    <c:headerFooter/>
    <c:pageMargins b="0.75000000000001099" l="0.70000000000000095" r="0.70000000000000095" t="0.75000000000001099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MX"/>
              <a:t>Julio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6"/>
          <c:order val="2"/>
          <c:spPr>
            <a:ln w="381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'Olgyay datos'!$A$173:$A$174</c:f>
              <c:numCache>
                <c:formatCode>General</c:formatCode>
                <c:ptCount val="2"/>
                <c:pt idx="0">
                  <c:v>25.924189526184534</c:v>
                </c:pt>
                <c:pt idx="1">
                  <c:v>84.570852869376523</c:v>
                </c:pt>
              </c:numCache>
            </c:numRef>
          </c:xVal>
          <c:yVal>
            <c:numRef>
              <c:f>'Olgyay datos'!$B$173:$B$174</c:f>
              <c:numCache>
                <c:formatCode>0.0</c:formatCode>
                <c:ptCount val="2"/>
                <c:pt idx="0">
                  <c:v>24.370800000000003</c:v>
                </c:pt>
                <c:pt idx="1">
                  <c:v>24.370800000000003</c:v>
                </c:pt>
              </c:numCache>
            </c:numRef>
          </c:yVal>
          <c:smooth val="1"/>
        </c:ser>
        <c:ser>
          <c:idx val="7"/>
          <c:order val="3"/>
          <c:spPr>
            <a:ln w="381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'Olgyay datos'!$A$176:$A$177</c:f>
              <c:numCache>
                <c:formatCode>General</c:formatCode>
                <c:ptCount val="2"/>
                <c:pt idx="0">
                  <c:v>63.653945453691968</c:v>
                </c:pt>
                <c:pt idx="1">
                  <c:v>84.570852869376523</c:v>
                </c:pt>
              </c:numCache>
            </c:numRef>
          </c:xVal>
          <c:yVal>
            <c:numRef>
              <c:f>'Olgyay datos'!$B$176:$B$177</c:f>
              <c:numCache>
                <c:formatCode>0.0</c:formatCode>
                <c:ptCount val="2"/>
                <c:pt idx="0">
                  <c:v>29.768826296765713</c:v>
                </c:pt>
                <c:pt idx="1">
                  <c:v>24.370799999999999</c:v>
                </c:pt>
              </c:numCache>
            </c:numRef>
          </c:yVal>
          <c:smooth val="1"/>
        </c:ser>
        <c:ser>
          <c:idx val="8"/>
          <c:order val="4"/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'Olgyay datos'!$A$179:$A$180</c:f>
              <c:numCache>
                <c:formatCode>General</c:formatCode>
                <c:ptCount val="2"/>
                <c:pt idx="0">
                  <c:v>16.548034242232085</c:v>
                </c:pt>
                <c:pt idx="1">
                  <c:v>63.653945453691968</c:v>
                </c:pt>
              </c:numCache>
            </c:numRef>
          </c:xVal>
          <c:yVal>
            <c:numRef>
              <c:f>'Olgyay datos'!$B$179:$B$180</c:f>
              <c:numCache>
                <c:formatCode>0.0</c:formatCode>
                <c:ptCount val="2"/>
                <c:pt idx="0">
                  <c:v>31.890476537729867</c:v>
                </c:pt>
                <c:pt idx="1">
                  <c:v>29.768826296765713</c:v>
                </c:pt>
              </c:numCache>
            </c:numRef>
          </c:yVal>
          <c:smooth val="1"/>
        </c:ser>
        <c:ser>
          <c:idx val="9"/>
          <c:order val="5"/>
          <c:spPr>
            <a:ln w="381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'Olgyay datos'!$A$182:$A$183</c:f>
              <c:numCache>
                <c:formatCode>General</c:formatCode>
                <c:ptCount val="2"/>
                <c:pt idx="0">
                  <c:v>16.548034242232085</c:v>
                </c:pt>
                <c:pt idx="1">
                  <c:v>25.924189526184534</c:v>
                </c:pt>
              </c:numCache>
            </c:numRef>
          </c:xVal>
          <c:yVal>
            <c:numRef>
              <c:f>'Olgyay datos'!$B$182:$B$183</c:f>
              <c:numCache>
                <c:formatCode>0.0</c:formatCode>
                <c:ptCount val="2"/>
                <c:pt idx="0">
                  <c:v>31.890476537729867</c:v>
                </c:pt>
                <c:pt idx="1">
                  <c:v>24.370800000000003</c:v>
                </c:pt>
              </c:numCache>
            </c:numRef>
          </c:yVal>
          <c:smooth val="1"/>
        </c:ser>
        <c:ser>
          <c:idx val="10"/>
          <c:order val="6"/>
          <c:marker>
            <c:symbol val="none"/>
          </c:marker>
          <c:xVal>
            <c:numRef>
              <c:f>'Olgyay datos'!$A$18</c:f>
              <c:numCache>
                <c:formatCode>General</c:formatCode>
                <c:ptCount val="1"/>
                <c:pt idx="0">
                  <c:v>50</c:v>
                </c:pt>
              </c:numCache>
            </c:numRef>
          </c:xVal>
          <c:yVal>
            <c:numRef>
              <c:f>'Olgyay datos'!$B$18</c:f>
              <c:numCache>
                <c:formatCode>0.0</c:formatCode>
                <c:ptCount val="1"/>
                <c:pt idx="0">
                  <c:v>22.947500000000002</c:v>
                </c:pt>
              </c:numCache>
            </c:numRef>
          </c:yVal>
          <c:smooth val="1"/>
        </c:ser>
        <c:ser>
          <c:idx val="4"/>
          <c:order val="0"/>
          <c:marker>
            <c:symbol val="star"/>
            <c:size val="9"/>
            <c:spPr>
              <a:ln w="25400">
                <a:solidFill>
                  <a:srgbClr val="C00000"/>
                </a:solidFill>
              </a:ln>
            </c:spPr>
          </c:marker>
          <c:xVal>
            <c:numRef>
              <c:f>'Olgyay datos'!$A$186</c:f>
              <c:numCache>
                <c:formatCode>General</c:formatCode>
                <c:ptCount val="1"/>
                <c:pt idx="0">
                  <c:v>50</c:v>
                </c:pt>
              </c:numCache>
            </c:numRef>
          </c:xVal>
          <c:yVal>
            <c:numRef>
              <c:f>'Olgyay datos'!$B$186</c:f>
              <c:numCache>
                <c:formatCode>0.0</c:formatCode>
                <c:ptCount val="1"/>
                <c:pt idx="0">
                  <c:v>27.768000000000001</c:v>
                </c:pt>
              </c:numCache>
            </c:numRef>
          </c:yVal>
          <c:smooth val="1"/>
        </c:ser>
        <c:ser>
          <c:idx val="5"/>
          <c:order val="1"/>
          <c:tx>
            <c:strRef>
              <c:f>'Olgyay datos'!$L$1</c:f>
              <c:strCache>
                <c:ptCount val="1"/>
                <c:pt idx="0">
                  <c:v>Enero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'Olgyay datos'!$N$171:$N$194</c:f>
              <c:numCache>
                <c:formatCode>0</c:formatCode>
                <c:ptCount val="24"/>
                <c:pt idx="0">
                  <c:v>57.336624348098432</c:v>
                </c:pt>
                <c:pt idx="1">
                  <c:v>58.663995234471358</c:v>
                </c:pt>
                <c:pt idx="2">
                  <c:v>59.737505725867422</c:v>
                </c:pt>
                <c:pt idx="3">
                  <c:v>60.594764083993283</c:v>
                </c:pt>
                <c:pt idx="4">
                  <c:v>61.271742556809151</c:v>
                </c:pt>
                <c:pt idx="5">
                  <c:v>61.801092358435838</c:v>
                </c:pt>
                <c:pt idx="6">
                  <c:v>63.201763283508171</c:v>
                </c:pt>
                <c:pt idx="7">
                  <c:v>60.793912694826645</c:v>
                </c:pt>
                <c:pt idx="8">
                  <c:v>55.670094927313556</c:v>
                </c:pt>
                <c:pt idx="9">
                  <c:v>49.049341988987081</c:v>
                </c:pt>
                <c:pt idx="10">
                  <c:v>42.519382468462865</c:v>
                </c:pt>
                <c:pt idx="11">
                  <c:v>37.264499092628839</c:v>
                </c:pt>
                <c:pt idx="12">
                  <c:v>33.87379843628711</c:v>
                </c:pt>
                <c:pt idx="13">
                  <c:v>32.433347668508809</c:v>
                </c:pt>
                <c:pt idx="14">
                  <c:v>32.704741410507005</c:v>
                </c:pt>
                <c:pt idx="15">
                  <c:v>34.29283108583909</c:v>
                </c:pt>
                <c:pt idx="16">
                  <c:v>36.768008933594018</c:v>
                </c:pt>
                <c:pt idx="17">
                  <c:v>39.740130995959056</c:v>
                </c:pt>
                <c:pt idx="18">
                  <c:v>42.893820699770473</c:v>
                </c:pt>
                <c:pt idx="19">
                  <c:v>45.997633698926762</c:v>
                </c:pt>
                <c:pt idx="20">
                  <c:v>48.897983126047009</c:v>
                </c:pt>
                <c:pt idx="21">
                  <c:v>51.505824030767116</c:v>
                </c:pt>
                <c:pt idx="22">
                  <c:v>53.781274490878232</c:v>
                </c:pt>
                <c:pt idx="23">
                  <c:v>55.719123567416389</c:v>
                </c:pt>
              </c:numCache>
            </c:numRef>
          </c:xVal>
          <c:yVal>
            <c:numRef>
              <c:f>'Olgyay datos'!$M$171:$M$194</c:f>
              <c:numCache>
                <c:formatCode>0.0</c:formatCode>
                <c:ptCount val="24"/>
                <c:pt idx="0">
                  <c:v>28.45790372175837</c:v>
                </c:pt>
                <c:pt idx="1">
                  <c:v>27.840595798607318</c:v>
                </c:pt>
                <c:pt idx="2">
                  <c:v>27.34134834732761</c:v>
                </c:pt>
                <c:pt idx="3">
                  <c:v>26.942671246532832</c:v>
                </c:pt>
                <c:pt idx="4">
                  <c:v>26.627835220398595</c:v>
                </c:pt>
                <c:pt idx="5">
                  <c:v>26.381655475146303</c:v>
                </c:pt>
                <c:pt idx="6">
                  <c:v>25.730258590785578</c:v>
                </c:pt>
                <c:pt idx="7">
                  <c:v>26.850055070741991</c:v>
                </c:pt>
                <c:pt idx="8">
                  <c:v>29.23294092211912</c:v>
                </c:pt>
                <c:pt idx="9">
                  <c:v>32.311992367357966</c:v>
                </c:pt>
                <c:pt idx="10">
                  <c:v>35.348819369711492</c:v>
                </c:pt>
                <c:pt idx="11">
                  <c:v>37.792658673736817</c:v>
                </c:pt>
                <c:pt idx="12">
                  <c:v>39.369540012390161</c:v>
                </c:pt>
                <c:pt idx="13">
                  <c:v>40.039436934936298</c:v>
                </c:pt>
                <c:pt idx="14">
                  <c:v>39.913222393884482</c:v>
                </c:pt>
                <c:pt idx="15">
                  <c:v>39.174664429926359</c:v>
                </c:pt>
                <c:pt idx="16">
                  <c:v>38.023556693337206</c:v>
                </c:pt>
                <c:pt idx="17">
                  <c:v>36.641339773781752</c:v>
                </c:pt>
                <c:pt idx="18">
                  <c:v>35.174682894902659</c:v>
                </c:pt>
                <c:pt idx="19">
                  <c:v>33.7312217070549</c:v>
                </c:pt>
                <c:pt idx="20">
                  <c:v>32.382383413516408</c:v>
                </c:pt>
                <c:pt idx="21">
                  <c:v>31.169579313827239</c:v>
                </c:pt>
                <c:pt idx="22">
                  <c:v>30.111356919329381</c:v>
                </c:pt>
                <c:pt idx="23">
                  <c:v>29.210139632511581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374720"/>
        <c:axId val="472731944"/>
      </c:scatterChart>
      <c:valAx>
        <c:axId val="554374720"/>
        <c:scaling>
          <c:orientation val="minMax"/>
          <c:max val="10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s-MX"/>
                  <a:t>Humedad</a:t>
                </a:r>
                <a:r>
                  <a:rPr lang="es-MX" baseline="0"/>
                  <a:t> Relativa [%]</a:t>
                </a:r>
                <a:endParaRPr lang="es-MX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731944"/>
        <c:crosses val="autoZero"/>
        <c:crossBetween val="midCat"/>
      </c:valAx>
      <c:valAx>
        <c:axId val="4727319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MX"/>
                  <a:t>Temperatura</a:t>
                </a:r>
                <a:r>
                  <a:rPr lang="es-MX" baseline="0"/>
                  <a:t> [°C]</a:t>
                </a:r>
                <a:endParaRPr lang="es-MX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554374720"/>
        <c:crosses val="autoZero"/>
        <c:crossBetween val="midCat"/>
        <c:majorUnit val="5"/>
      </c:valAx>
    </c:plotArea>
    <c:plotVisOnly val="1"/>
    <c:dispBlanksAs val="gap"/>
    <c:showDLblsOverMax val="0"/>
  </c:chart>
  <c:printSettings>
    <c:headerFooter/>
    <c:pageMargins b="0.75000000000001099" l="0.70000000000000095" r="0.70000000000000095" t="0.75000000000001099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MX"/>
              <a:t>Agosto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6"/>
          <c:order val="2"/>
          <c:spPr>
            <a:ln w="381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'Olgyay datos'!$A$201:$A$202</c:f>
              <c:numCache>
                <c:formatCode>General</c:formatCode>
                <c:ptCount val="2"/>
                <c:pt idx="0">
                  <c:v>25.403990024937652</c:v>
                </c:pt>
                <c:pt idx="1">
                  <c:v>82.954237222459014</c:v>
                </c:pt>
              </c:numCache>
            </c:numRef>
          </c:xVal>
          <c:yVal>
            <c:numRef>
              <c:f>'Olgyay datos'!$B$201:$B$202</c:f>
              <c:numCache>
                <c:formatCode>0.0</c:formatCode>
                <c:ptCount val="2"/>
                <c:pt idx="0">
                  <c:v>24.555499999999999</c:v>
                </c:pt>
                <c:pt idx="1">
                  <c:v>24.555499999999999</c:v>
                </c:pt>
              </c:numCache>
            </c:numRef>
          </c:yVal>
          <c:smooth val="1"/>
        </c:ser>
        <c:ser>
          <c:idx val="7"/>
          <c:order val="3"/>
          <c:spPr>
            <a:ln w="381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'Olgyay datos'!$A$204:$A$205</c:f>
              <c:numCache>
                <c:formatCode>General</c:formatCode>
                <c:ptCount val="2"/>
                <c:pt idx="0">
                  <c:v>66.460122987372671</c:v>
                </c:pt>
                <c:pt idx="1">
                  <c:v>82.954237222459014</c:v>
                </c:pt>
              </c:numCache>
            </c:numRef>
          </c:xVal>
          <c:yVal>
            <c:numRef>
              <c:f>'Olgyay datos'!$B$204:$B$205</c:f>
              <c:numCache>
                <c:formatCode>0.0</c:formatCode>
                <c:ptCount val="2"/>
                <c:pt idx="0">
                  <c:v>28.812136060648733</c:v>
                </c:pt>
                <c:pt idx="1">
                  <c:v>24.555499999999999</c:v>
                </c:pt>
              </c:numCache>
            </c:numRef>
          </c:yVal>
          <c:smooth val="1"/>
        </c:ser>
        <c:ser>
          <c:idx val="8"/>
          <c:order val="4"/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'Olgyay datos'!$A$207:$A$208</c:f>
              <c:numCache>
                <c:formatCode>General</c:formatCode>
                <c:ptCount val="2"/>
                <c:pt idx="0">
                  <c:v>17.337772141196361</c:v>
                </c:pt>
                <c:pt idx="1">
                  <c:v>66.460122987372671</c:v>
                </c:pt>
              </c:numCache>
            </c:numRef>
          </c:xVal>
          <c:yVal>
            <c:numRef>
              <c:f>'Olgyay datos'!$B$207:$B$208</c:f>
              <c:numCache>
                <c:formatCode>0.0</c:formatCode>
                <c:ptCount val="2"/>
                <c:pt idx="0">
                  <c:v>31.024606742760515</c:v>
                </c:pt>
                <c:pt idx="1">
                  <c:v>28.812136060648733</c:v>
                </c:pt>
              </c:numCache>
            </c:numRef>
          </c:yVal>
          <c:smooth val="1"/>
        </c:ser>
        <c:ser>
          <c:idx val="9"/>
          <c:order val="5"/>
          <c:spPr>
            <a:ln w="381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'Olgyay datos'!$A$210:$A$211</c:f>
              <c:numCache>
                <c:formatCode>General</c:formatCode>
                <c:ptCount val="2"/>
                <c:pt idx="0">
                  <c:v>17.337772141196361</c:v>
                </c:pt>
                <c:pt idx="1">
                  <c:v>25.403990024937652</c:v>
                </c:pt>
              </c:numCache>
            </c:numRef>
          </c:xVal>
          <c:yVal>
            <c:numRef>
              <c:f>'Olgyay datos'!$B$210:$B$211</c:f>
              <c:numCache>
                <c:formatCode>0.0</c:formatCode>
                <c:ptCount val="2"/>
                <c:pt idx="0">
                  <c:v>31.024606742760515</c:v>
                </c:pt>
                <c:pt idx="1">
                  <c:v>24.555499999999999</c:v>
                </c:pt>
              </c:numCache>
            </c:numRef>
          </c:yVal>
          <c:smooth val="1"/>
        </c:ser>
        <c:ser>
          <c:idx val="10"/>
          <c:order val="6"/>
          <c:marker>
            <c:symbol val="none"/>
          </c:marker>
          <c:xVal>
            <c:numRef>
              <c:f>'Olgyay datos'!$A$18</c:f>
              <c:numCache>
                <c:formatCode>General</c:formatCode>
                <c:ptCount val="1"/>
                <c:pt idx="0">
                  <c:v>50</c:v>
                </c:pt>
              </c:numCache>
            </c:numRef>
          </c:xVal>
          <c:yVal>
            <c:numRef>
              <c:f>'Olgyay datos'!$B$18</c:f>
              <c:numCache>
                <c:formatCode>0.0</c:formatCode>
                <c:ptCount val="1"/>
                <c:pt idx="0">
                  <c:v>22.947500000000002</c:v>
                </c:pt>
              </c:numCache>
            </c:numRef>
          </c:yVal>
          <c:smooth val="1"/>
        </c:ser>
        <c:ser>
          <c:idx val="4"/>
          <c:order val="0"/>
          <c:marker>
            <c:symbol val="star"/>
            <c:size val="9"/>
            <c:spPr>
              <a:ln w="25400">
                <a:solidFill>
                  <a:srgbClr val="C00000"/>
                </a:solidFill>
              </a:ln>
            </c:spPr>
          </c:marker>
          <c:xVal>
            <c:numRef>
              <c:f>'Olgyay datos'!$A$214</c:f>
              <c:numCache>
                <c:formatCode>General</c:formatCode>
                <c:ptCount val="1"/>
                <c:pt idx="0">
                  <c:v>50</c:v>
                </c:pt>
              </c:numCache>
            </c:numRef>
          </c:xVal>
          <c:yVal>
            <c:numRef>
              <c:f>'Olgyay datos'!$B$214</c:f>
              <c:numCache>
                <c:formatCode>0.0</c:formatCode>
                <c:ptCount val="1"/>
                <c:pt idx="0">
                  <c:v>27.535499999999999</c:v>
                </c:pt>
              </c:numCache>
            </c:numRef>
          </c:yVal>
          <c:smooth val="1"/>
        </c:ser>
        <c:ser>
          <c:idx val="5"/>
          <c:order val="1"/>
          <c:tx>
            <c:strRef>
              <c:f>'Olgyay datos'!$L$1</c:f>
              <c:strCache>
                <c:ptCount val="1"/>
                <c:pt idx="0">
                  <c:v>Enero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'Olgyay datos'!$N$199:$N$222</c:f>
              <c:numCache>
                <c:formatCode>0</c:formatCode>
                <c:ptCount val="24"/>
                <c:pt idx="0">
                  <c:v>67.855091068525923</c:v>
                </c:pt>
                <c:pt idx="1">
                  <c:v>69.43228773779262</c:v>
                </c:pt>
                <c:pt idx="2">
                  <c:v>70.713528682935021</c:v>
                </c:pt>
                <c:pt idx="3">
                  <c:v>71.740651530174318</c:v>
                </c:pt>
                <c:pt idx="4">
                  <c:v>72.554554691814701</c:v>
                </c:pt>
                <c:pt idx="5">
                  <c:v>73.192911687218356</c:v>
                </c:pt>
                <c:pt idx="6">
                  <c:v>75.167865309188954</c:v>
                </c:pt>
                <c:pt idx="7">
                  <c:v>73.458971183030769</c:v>
                </c:pt>
                <c:pt idx="8">
                  <c:v>68.6352921204643</c:v>
                </c:pt>
                <c:pt idx="9">
                  <c:v>61.599989873447072</c:v>
                </c:pt>
                <c:pt idx="10">
                  <c:v>54.123323201276136</c:v>
                </c:pt>
                <c:pt idx="11">
                  <c:v>47.714763467920811</c:v>
                </c:pt>
                <c:pt idx="12">
                  <c:v>43.240902135111632</c:v>
                </c:pt>
                <c:pt idx="13">
                  <c:v>40.95696923618307</c:v>
                </c:pt>
                <c:pt idx="14">
                  <c:v>40.691136092501225</c:v>
                </c:pt>
                <c:pt idx="15">
                  <c:v>42.04184687437224</c:v>
                </c:pt>
                <c:pt idx="16">
                  <c:v>44.531684802399148</c:v>
                </c:pt>
                <c:pt idx="17">
                  <c:v>47.706127926668358</c:v>
                </c:pt>
                <c:pt idx="18">
                  <c:v>51.185128131472538</c:v>
                </c:pt>
                <c:pt idx="19">
                  <c:v>54.68118472756116</c:v>
                </c:pt>
                <c:pt idx="20">
                  <c:v>57.996886765668577</c:v>
                </c:pt>
                <c:pt idx="21">
                  <c:v>61.011903811998927</c:v>
                </c:pt>
                <c:pt idx="22">
                  <c:v>63.666138566920566</c:v>
                </c:pt>
                <c:pt idx="23">
                  <c:v>65.943037253038369</c:v>
                </c:pt>
              </c:numCache>
            </c:numRef>
          </c:xVal>
          <c:yVal>
            <c:numRef>
              <c:f>'Olgyay datos'!$M$199:$M$222</c:f>
              <c:numCache>
                <c:formatCode>0.0</c:formatCode>
                <c:ptCount val="24"/>
                <c:pt idx="0">
                  <c:v>28.362329609718117</c:v>
                </c:pt>
                <c:pt idx="1">
                  <c:v>27.772159370147111</c:v>
                </c:pt>
                <c:pt idx="2">
                  <c:v>27.292732618698015</c:v>
                </c:pt>
                <c:pt idx="3">
                  <c:v>26.908394160066916</c:v>
                </c:pt>
                <c:pt idx="4">
                  <c:v>26.603840242820667</c:v>
                </c:pt>
                <c:pt idx="5">
                  <c:v>26.364973836208002</c:v>
                </c:pt>
                <c:pt idx="6">
                  <c:v>25.625967170183323</c:v>
                </c:pt>
                <c:pt idx="7">
                  <c:v>26.265417199142092</c:v>
                </c:pt>
                <c:pt idx="8">
                  <c:v>28.070386663915357</c:v>
                </c:pt>
                <c:pt idx="9">
                  <c:v>30.702922030926388</c:v>
                </c:pt>
                <c:pt idx="10">
                  <c:v>33.500611277353222</c:v>
                </c:pt>
                <c:pt idx="11">
                  <c:v>35.898626253442337</c:v>
                </c:pt>
                <c:pt idx="12">
                  <c:v>37.57269763974513</c:v>
                </c:pt>
                <c:pt idx="13">
                  <c:v>38.427321069016926</c:v>
                </c:pt>
                <c:pt idx="14">
                  <c:v>38.526793007520055</c:v>
                </c:pt>
                <c:pt idx="15">
                  <c:v>38.021371381123529</c:v>
                </c:pt>
                <c:pt idx="16">
                  <c:v>37.089700477228071</c:v>
                </c:pt>
                <c:pt idx="17">
                  <c:v>35.901857581246347</c:v>
                </c:pt>
                <c:pt idx="18">
                  <c:v>34.600052660943362</c:v>
                </c:pt>
                <c:pt idx="19">
                  <c:v>33.291865420206477</c:v>
                </c:pt>
                <c:pt idx="20">
                  <c:v>32.051164939215901</c:v>
                </c:pt>
                <c:pt idx="21">
                  <c:v>30.922977588065365</c:v>
                </c:pt>
                <c:pt idx="22">
                  <c:v>29.929791137882145</c:v>
                </c:pt>
                <c:pt idx="23">
                  <c:v>29.077799836321876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732728"/>
        <c:axId val="472733120"/>
      </c:scatterChart>
      <c:valAx>
        <c:axId val="472732728"/>
        <c:scaling>
          <c:orientation val="minMax"/>
          <c:max val="10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s-MX"/>
                  <a:t>Humedad</a:t>
                </a:r>
                <a:r>
                  <a:rPr lang="es-MX" baseline="0"/>
                  <a:t> Relativa [%]</a:t>
                </a:r>
                <a:endParaRPr lang="es-MX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733120"/>
        <c:crosses val="autoZero"/>
        <c:crossBetween val="midCat"/>
      </c:valAx>
      <c:valAx>
        <c:axId val="4727331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MX"/>
                  <a:t>Temperatura</a:t>
                </a:r>
                <a:r>
                  <a:rPr lang="es-MX" baseline="0"/>
                  <a:t> [°C]</a:t>
                </a:r>
                <a:endParaRPr lang="es-MX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72732728"/>
        <c:crosses val="autoZero"/>
        <c:crossBetween val="midCat"/>
        <c:majorUnit val="5"/>
      </c:valAx>
    </c:plotArea>
    <c:plotVisOnly val="1"/>
    <c:dispBlanksAs val="gap"/>
    <c:showDLblsOverMax val="0"/>
  </c:chart>
  <c:printSettings>
    <c:headerFooter/>
    <c:pageMargins b="0.75000000000001099" l="0.70000000000000095" r="0.70000000000000095" t="0.75000000000001099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MX"/>
              <a:t>Septiembre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6"/>
          <c:order val="2"/>
          <c:spPr>
            <a:ln w="381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'Olgyay datos'!$A$229:$A$230</c:f>
              <c:numCache>
                <c:formatCode>General</c:formatCode>
                <c:ptCount val="2"/>
                <c:pt idx="0">
                  <c:v>25.924189526184534</c:v>
                </c:pt>
                <c:pt idx="1">
                  <c:v>84.570852869376523</c:v>
                </c:pt>
              </c:numCache>
            </c:numRef>
          </c:xVal>
          <c:yVal>
            <c:numRef>
              <c:f>'Olgyay datos'!$B$229:$B$230</c:f>
              <c:numCache>
                <c:formatCode>0.0</c:formatCode>
                <c:ptCount val="2"/>
                <c:pt idx="0">
                  <c:v>23.719799999999999</c:v>
                </c:pt>
                <c:pt idx="1">
                  <c:v>23.719799999999999</c:v>
                </c:pt>
              </c:numCache>
            </c:numRef>
          </c:yVal>
          <c:smooth val="1"/>
        </c:ser>
        <c:ser>
          <c:idx val="7"/>
          <c:order val="3"/>
          <c:spPr>
            <a:ln w="381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'Olgyay datos'!$A$232:$A$233</c:f>
              <c:numCache>
                <c:formatCode>General</c:formatCode>
                <c:ptCount val="2"/>
                <c:pt idx="0">
                  <c:v>63.653945453691968</c:v>
                </c:pt>
                <c:pt idx="1">
                  <c:v>84.570852869376523</c:v>
                </c:pt>
              </c:numCache>
            </c:numRef>
          </c:xVal>
          <c:yVal>
            <c:numRef>
              <c:f>'Olgyay datos'!$B$232:$B$233</c:f>
              <c:numCache>
                <c:formatCode>0.0</c:formatCode>
                <c:ptCount val="2"/>
                <c:pt idx="0">
                  <c:v>29.117826296765713</c:v>
                </c:pt>
                <c:pt idx="1">
                  <c:v>23.719799999999999</c:v>
                </c:pt>
              </c:numCache>
            </c:numRef>
          </c:yVal>
          <c:smooth val="1"/>
        </c:ser>
        <c:ser>
          <c:idx val="8"/>
          <c:order val="4"/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'Olgyay datos'!$A$235:$A$236</c:f>
              <c:numCache>
                <c:formatCode>General</c:formatCode>
                <c:ptCount val="2"/>
                <c:pt idx="0">
                  <c:v>16.548034242232085</c:v>
                </c:pt>
                <c:pt idx="1">
                  <c:v>63.653945453691968</c:v>
                </c:pt>
              </c:numCache>
            </c:numRef>
          </c:xVal>
          <c:yVal>
            <c:numRef>
              <c:f>'Olgyay datos'!$B$235:$B$236</c:f>
              <c:numCache>
                <c:formatCode>0.0</c:formatCode>
                <c:ptCount val="2"/>
                <c:pt idx="0">
                  <c:v>31.239476537729868</c:v>
                </c:pt>
                <c:pt idx="1">
                  <c:v>29.117826296765713</c:v>
                </c:pt>
              </c:numCache>
            </c:numRef>
          </c:yVal>
          <c:smooth val="1"/>
        </c:ser>
        <c:ser>
          <c:idx val="9"/>
          <c:order val="5"/>
          <c:spPr>
            <a:ln w="381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'Olgyay datos'!$A$238:$A$239</c:f>
              <c:numCache>
                <c:formatCode>General</c:formatCode>
                <c:ptCount val="2"/>
                <c:pt idx="0">
                  <c:v>16.548034242232085</c:v>
                </c:pt>
                <c:pt idx="1">
                  <c:v>25.924189526184534</c:v>
                </c:pt>
              </c:numCache>
            </c:numRef>
          </c:xVal>
          <c:yVal>
            <c:numRef>
              <c:f>'Olgyay datos'!$B$238:$B$239</c:f>
              <c:numCache>
                <c:formatCode>0.0</c:formatCode>
                <c:ptCount val="2"/>
                <c:pt idx="0">
                  <c:v>31.239476537729868</c:v>
                </c:pt>
                <c:pt idx="1">
                  <c:v>23.719800000000003</c:v>
                </c:pt>
              </c:numCache>
            </c:numRef>
          </c:yVal>
          <c:smooth val="1"/>
        </c:ser>
        <c:ser>
          <c:idx val="10"/>
          <c:order val="6"/>
          <c:marker>
            <c:symbol val="none"/>
          </c:marker>
          <c:xVal>
            <c:numRef>
              <c:f>'Olgyay datos'!$A$18</c:f>
              <c:numCache>
                <c:formatCode>General</c:formatCode>
                <c:ptCount val="1"/>
                <c:pt idx="0">
                  <c:v>50</c:v>
                </c:pt>
              </c:numCache>
            </c:numRef>
          </c:xVal>
          <c:yVal>
            <c:numRef>
              <c:f>'Olgyay datos'!$B$18</c:f>
              <c:numCache>
                <c:formatCode>0.0</c:formatCode>
                <c:ptCount val="1"/>
                <c:pt idx="0">
                  <c:v>22.947500000000002</c:v>
                </c:pt>
              </c:numCache>
            </c:numRef>
          </c:yVal>
          <c:smooth val="1"/>
        </c:ser>
        <c:ser>
          <c:idx val="4"/>
          <c:order val="0"/>
          <c:marker>
            <c:symbol val="star"/>
            <c:size val="9"/>
            <c:spPr>
              <a:ln w="25400">
                <a:solidFill>
                  <a:srgbClr val="C00000"/>
                </a:solidFill>
              </a:ln>
            </c:spPr>
          </c:marker>
          <c:xVal>
            <c:numRef>
              <c:f>'Olgyay datos'!$A$242</c:f>
              <c:numCache>
                <c:formatCode>General</c:formatCode>
                <c:ptCount val="1"/>
                <c:pt idx="0">
                  <c:v>50</c:v>
                </c:pt>
              </c:numCache>
            </c:numRef>
          </c:xVal>
          <c:yVal>
            <c:numRef>
              <c:f>'Olgyay datos'!$B$242</c:f>
              <c:numCache>
                <c:formatCode>0.0</c:formatCode>
                <c:ptCount val="1"/>
                <c:pt idx="0">
                  <c:v>27.117000000000001</c:v>
                </c:pt>
              </c:numCache>
            </c:numRef>
          </c:yVal>
          <c:smooth val="1"/>
        </c:ser>
        <c:ser>
          <c:idx val="5"/>
          <c:order val="1"/>
          <c:tx>
            <c:strRef>
              <c:f>'Olgyay datos'!$L$1</c:f>
              <c:strCache>
                <c:ptCount val="1"/>
                <c:pt idx="0">
                  <c:v>Enero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'Olgyay datos'!$N$227:$N$250</c:f>
              <c:numCache>
                <c:formatCode>0</c:formatCode>
                <c:ptCount val="24"/>
                <c:pt idx="0">
                  <c:v>63.844607677536331</c:v>
                </c:pt>
                <c:pt idx="1">
                  <c:v>65.524418462029786</c:v>
                </c:pt>
                <c:pt idx="2">
                  <c:v>66.897847108375856</c:v>
                </c:pt>
                <c:pt idx="3">
                  <c:v>68.005064358700906</c:v>
                </c:pt>
                <c:pt idx="4">
                  <c:v>68.886769280631526</c:v>
                </c:pt>
                <c:pt idx="5">
                  <c:v>69.581332872927931</c:v>
                </c:pt>
                <c:pt idx="6">
                  <c:v>71.833022100632903</c:v>
                </c:pt>
                <c:pt idx="7">
                  <c:v>71.184539843103551</c:v>
                </c:pt>
                <c:pt idx="8">
                  <c:v>67.814988205410643</c:v>
                </c:pt>
                <c:pt idx="9">
                  <c:v>61.696886405774507</c:v>
                </c:pt>
                <c:pt idx="10">
                  <c:v>54.373187610953835</c:v>
                </c:pt>
                <c:pt idx="11">
                  <c:v>47.512109508373499</c:v>
                </c:pt>
                <c:pt idx="12">
                  <c:v>42.248993744593164</c:v>
                </c:pt>
                <c:pt idx="13">
                  <c:v>39.078140149461632</c:v>
                </c:pt>
                <c:pt idx="14">
                  <c:v>37.990318394317953</c:v>
                </c:pt>
                <c:pt idx="15">
                  <c:v>38.67048921539395</c:v>
                </c:pt>
                <c:pt idx="16">
                  <c:v>40.67001657384538</c:v>
                </c:pt>
                <c:pt idx="17">
                  <c:v>43.526551477396026</c:v>
                </c:pt>
                <c:pt idx="18">
                  <c:v>46.833155619255045</c:v>
                </c:pt>
                <c:pt idx="19">
                  <c:v>50.268665096701781</c:v>
                </c:pt>
                <c:pt idx="20">
                  <c:v>53.6027195559926</c:v>
                </c:pt>
                <c:pt idx="21">
                  <c:v>56.686603649112314</c:v>
                </c:pt>
                <c:pt idx="22">
                  <c:v>59.43782302196562</c:v>
                </c:pt>
                <c:pt idx="23">
                  <c:v>61.823397101642541</c:v>
                </c:pt>
              </c:numCache>
            </c:numRef>
          </c:xVal>
          <c:yVal>
            <c:numRef>
              <c:f>'Olgyay datos'!$M$227:$M$250</c:f>
              <c:numCache>
                <c:formatCode>0.0</c:formatCode>
                <c:ptCount val="24"/>
                <c:pt idx="0">
                  <c:v>27.232181075928228</c:v>
                </c:pt>
                <c:pt idx="1">
                  <c:v>26.573556087719719</c:v>
                </c:pt>
                <c:pt idx="2">
                  <c:v>26.035058279302756</c:v>
                </c:pt>
                <c:pt idx="3">
                  <c:v>25.600937391896085</c:v>
                </c:pt>
                <c:pt idx="4">
                  <c:v>25.255236019354264</c:v>
                </c:pt>
                <c:pt idx="5">
                  <c:v>24.982909551391849</c:v>
                </c:pt>
                <c:pt idx="6">
                  <c:v>24.100060837276931</c:v>
                </c:pt>
                <c:pt idx="7">
                  <c:v>24.354319604491291</c:v>
                </c:pt>
                <c:pt idx="8">
                  <c:v>25.675462990478465</c:v>
                </c:pt>
                <c:pt idx="9">
                  <c:v>28.074265738288489</c:v>
                </c:pt>
                <c:pt idx="10">
                  <c:v>30.945762383570461</c:v>
                </c:pt>
                <c:pt idx="11">
                  <c:v>33.635873392574545</c:v>
                </c:pt>
                <c:pt idx="12">
                  <c:v>35.699450784658701</c:v>
                </c:pt>
                <c:pt idx="13">
                  <c:v>36.942688077205418</c:v>
                </c:pt>
                <c:pt idx="14">
                  <c:v>37.36920432371857</c:v>
                </c:pt>
                <c:pt idx="15">
                  <c:v>37.102521014415942</c:v>
                </c:pt>
                <c:pt idx="16">
                  <c:v>36.318540642912502</c:v>
                </c:pt>
                <c:pt idx="17">
                  <c:v>35.198542316591741</c:v>
                </c:pt>
                <c:pt idx="18">
                  <c:v>33.902079563735434</c:v>
                </c:pt>
                <c:pt idx="19">
                  <c:v>32.555075240414638</c:v>
                </c:pt>
                <c:pt idx="20">
                  <c:v>31.247849689056416</c:v>
                </c:pt>
                <c:pt idx="21">
                  <c:v>30.038711646119118</c:v>
                </c:pt>
                <c:pt idx="22">
                  <c:v>28.96000573249389</c:v>
                </c:pt>
                <c:pt idx="23">
                  <c:v>28.024663064973431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949928"/>
        <c:axId val="474950320"/>
      </c:scatterChart>
      <c:valAx>
        <c:axId val="474949928"/>
        <c:scaling>
          <c:orientation val="minMax"/>
          <c:max val="10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s-MX"/>
                  <a:t>Humedad</a:t>
                </a:r>
                <a:r>
                  <a:rPr lang="es-MX" baseline="0"/>
                  <a:t> Relativa [%]</a:t>
                </a:r>
                <a:endParaRPr lang="es-MX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950320"/>
        <c:crosses val="autoZero"/>
        <c:crossBetween val="midCat"/>
      </c:valAx>
      <c:valAx>
        <c:axId val="4749503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MX"/>
                  <a:t>Temperatura</a:t>
                </a:r>
                <a:r>
                  <a:rPr lang="es-MX" baseline="0"/>
                  <a:t> [°C]</a:t>
                </a:r>
                <a:endParaRPr lang="es-MX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74949928"/>
        <c:crosses val="autoZero"/>
        <c:crossBetween val="midCat"/>
        <c:majorUnit val="5"/>
      </c:valAx>
    </c:plotArea>
    <c:plotVisOnly val="1"/>
    <c:dispBlanksAs val="gap"/>
    <c:showDLblsOverMax val="0"/>
  </c:chart>
  <c:printSettings>
    <c:headerFooter/>
    <c:pageMargins b="0.75000000000001099" l="0.70000000000000095" r="0.70000000000000095" t="0.75000000000001099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MX"/>
              <a:t>Octubre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6"/>
          <c:order val="2"/>
          <c:spPr>
            <a:ln w="381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'Olgyay datos'!$A$257:$A$258</c:f>
              <c:numCache>
                <c:formatCode>General</c:formatCode>
                <c:ptCount val="2"/>
                <c:pt idx="0">
                  <c:v>25.924189526184534</c:v>
                </c:pt>
                <c:pt idx="1">
                  <c:v>84.570852869376523</c:v>
                </c:pt>
              </c:numCache>
            </c:numRef>
          </c:xVal>
          <c:yVal>
            <c:numRef>
              <c:f>'Olgyay datos'!$B$257:$B$258</c:f>
              <c:numCache>
                <c:formatCode>0.0</c:formatCode>
                <c:ptCount val="2"/>
                <c:pt idx="0">
                  <c:v>22.4178</c:v>
                </c:pt>
                <c:pt idx="1">
                  <c:v>22.4178</c:v>
                </c:pt>
              </c:numCache>
            </c:numRef>
          </c:yVal>
          <c:smooth val="1"/>
        </c:ser>
        <c:ser>
          <c:idx val="7"/>
          <c:order val="3"/>
          <c:spPr>
            <a:ln w="381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'Olgyay datos'!$A$260:$A$261</c:f>
              <c:numCache>
                <c:formatCode>General</c:formatCode>
                <c:ptCount val="2"/>
                <c:pt idx="0">
                  <c:v>63.653945453691968</c:v>
                </c:pt>
                <c:pt idx="1">
                  <c:v>84.570852869376523</c:v>
                </c:pt>
              </c:numCache>
            </c:numRef>
          </c:xVal>
          <c:yVal>
            <c:numRef>
              <c:f>'Olgyay datos'!$B$260:$B$261</c:f>
              <c:numCache>
                <c:formatCode>0.0</c:formatCode>
                <c:ptCount val="2"/>
                <c:pt idx="0">
                  <c:v>27.815826296765714</c:v>
                </c:pt>
                <c:pt idx="1">
                  <c:v>22.4178</c:v>
                </c:pt>
              </c:numCache>
            </c:numRef>
          </c:yVal>
          <c:smooth val="1"/>
        </c:ser>
        <c:ser>
          <c:idx val="8"/>
          <c:order val="4"/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'Olgyay datos'!$A$263:$A$264</c:f>
              <c:numCache>
                <c:formatCode>General</c:formatCode>
                <c:ptCount val="2"/>
                <c:pt idx="0">
                  <c:v>16.548034242232085</c:v>
                </c:pt>
                <c:pt idx="1">
                  <c:v>63.653945453691968</c:v>
                </c:pt>
              </c:numCache>
            </c:numRef>
          </c:xVal>
          <c:yVal>
            <c:numRef>
              <c:f>'Olgyay datos'!$B$263:$B$264</c:f>
              <c:numCache>
                <c:formatCode>0.0</c:formatCode>
                <c:ptCount val="2"/>
                <c:pt idx="0">
                  <c:v>29.937476537729868</c:v>
                </c:pt>
                <c:pt idx="1">
                  <c:v>27.815826296765714</c:v>
                </c:pt>
              </c:numCache>
            </c:numRef>
          </c:yVal>
          <c:smooth val="1"/>
        </c:ser>
        <c:ser>
          <c:idx val="9"/>
          <c:order val="5"/>
          <c:spPr>
            <a:ln w="381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'Olgyay datos'!$A$266:$A$267</c:f>
              <c:numCache>
                <c:formatCode>General</c:formatCode>
                <c:ptCount val="2"/>
                <c:pt idx="0">
                  <c:v>16.548034242232085</c:v>
                </c:pt>
                <c:pt idx="1">
                  <c:v>25.924189526184534</c:v>
                </c:pt>
              </c:numCache>
            </c:numRef>
          </c:xVal>
          <c:yVal>
            <c:numRef>
              <c:f>'Olgyay datos'!$B$266:$B$267</c:f>
              <c:numCache>
                <c:formatCode>0.0</c:formatCode>
                <c:ptCount val="2"/>
                <c:pt idx="0">
                  <c:v>29.937476537729868</c:v>
                </c:pt>
                <c:pt idx="1">
                  <c:v>22.417800000000003</c:v>
                </c:pt>
              </c:numCache>
            </c:numRef>
          </c:yVal>
          <c:smooth val="1"/>
        </c:ser>
        <c:ser>
          <c:idx val="10"/>
          <c:order val="6"/>
          <c:marker>
            <c:symbol val="none"/>
          </c:marker>
          <c:xVal>
            <c:numRef>
              <c:f>'Olgyay datos'!$A$18</c:f>
              <c:numCache>
                <c:formatCode>General</c:formatCode>
                <c:ptCount val="1"/>
                <c:pt idx="0">
                  <c:v>50</c:v>
                </c:pt>
              </c:numCache>
            </c:numRef>
          </c:xVal>
          <c:yVal>
            <c:numRef>
              <c:f>'Olgyay datos'!$B$18</c:f>
              <c:numCache>
                <c:formatCode>0.0</c:formatCode>
                <c:ptCount val="1"/>
                <c:pt idx="0">
                  <c:v>22.947500000000002</c:v>
                </c:pt>
              </c:numCache>
            </c:numRef>
          </c:yVal>
          <c:smooth val="1"/>
        </c:ser>
        <c:ser>
          <c:idx val="4"/>
          <c:order val="0"/>
          <c:marker>
            <c:symbol val="star"/>
            <c:size val="9"/>
            <c:spPr>
              <a:ln w="25400">
                <a:solidFill>
                  <a:srgbClr val="C00000"/>
                </a:solidFill>
              </a:ln>
            </c:spPr>
          </c:marker>
          <c:xVal>
            <c:numRef>
              <c:f>'Olgyay datos'!$A$270</c:f>
              <c:numCache>
                <c:formatCode>General</c:formatCode>
                <c:ptCount val="1"/>
                <c:pt idx="0">
                  <c:v>50</c:v>
                </c:pt>
              </c:numCache>
            </c:numRef>
          </c:xVal>
          <c:yVal>
            <c:numRef>
              <c:f>'Olgyay datos'!$B$270</c:f>
              <c:numCache>
                <c:formatCode>0.0</c:formatCode>
                <c:ptCount val="1"/>
                <c:pt idx="0">
                  <c:v>25.815000000000001</c:v>
                </c:pt>
              </c:numCache>
            </c:numRef>
          </c:yVal>
          <c:smooth val="1"/>
        </c:ser>
        <c:ser>
          <c:idx val="5"/>
          <c:order val="1"/>
          <c:tx>
            <c:strRef>
              <c:f>'Olgyay datos'!$L$1</c:f>
              <c:strCache>
                <c:ptCount val="1"/>
                <c:pt idx="0">
                  <c:v>Enero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'Olgyay datos'!$N$255:$N$278</c:f>
              <c:numCache>
                <c:formatCode>0</c:formatCode>
                <c:ptCount val="24"/>
                <c:pt idx="0">
                  <c:v>58.558497033701563</c:v>
                </c:pt>
                <c:pt idx="1">
                  <c:v>60.514303352012739</c:v>
                </c:pt>
                <c:pt idx="2">
                  <c:v>62.124490988608564</c:v>
                </c:pt>
                <c:pt idx="3">
                  <c:v>63.430366739986297</c:v>
                </c:pt>
                <c:pt idx="4">
                  <c:v>64.475726478195796</c:v>
                </c:pt>
                <c:pt idx="5">
                  <c:v>65.303026453825993</c:v>
                </c:pt>
                <c:pt idx="6">
                  <c:v>65.951156658708442</c:v>
                </c:pt>
                <c:pt idx="7">
                  <c:v>67.881806616326259</c:v>
                </c:pt>
                <c:pt idx="8">
                  <c:v>65.735890293636814</c:v>
                </c:pt>
                <c:pt idx="9">
                  <c:v>60.338636669331265</c:v>
                </c:pt>
                <c:pt idx="10">
                  <c:v>52.831467230254439</c:v>
                </c:pt>
                <c:pt idx="11">
                  <c:v>45.07639416736076</c:v>
                </c:pt>
                <c:pt idx="12">
                  <c:v>38.581505310139399</c:v>
                </c:pt>
                <c:pt idx="13">
                  <c:v>34.170754616351239</c:v>
                </c:pt>
                <c:pt idx="14">
                  <c:v>32.04722092349872</c:v>
                </c:pt>
                <c:pt idx="15">
                  <c:v>31.992866114130901</c:v>
                </c:pt>
                <c:pt idx="16">
                  <c:v>33.571323636349376</c:v>
                </c:pt>
                <c:pt idx="17">
                  <c:v>36.282019583217526</c:v>
                </c:pt>
                <c:pt idx="18">
                  <c:v>39.656966110135215</c:v>
                </c:pt>
                <c:pt idx="19">
                  <c:v>43.309791658249253</c:v>
                </c:pt>
                <c:pt idx="20">
                  <c:v>46.951453930757381</c:v>
                </c:pt>
                <c:pt idx="21">
                  <c:v>50.385898451930487</c:v>
                </c:pt>
                <c:pt idx="22">
                  <c:v>53.49568334518829</c:v>
                </c:pt>
                <c:pt idx="23">
                  <c:v>56.224216115766211</c:v>
                </c:pt>
              </c:numCache>
            </c:numRef>
          </c:xVal>
          <c:yVal>
            <c:numRef>
              <c:f>'Olgyay datos'!$M$255:$M$278</c:f>
              <c:numCache>
                <c:formatCode>0.0</c:formatCode>
                <c:ptCount val="24"/>
                <c:pt idx="0">
                  <c:v>22.795474812529811</c:v>
                </c:pt>
                <c:pt idx="1">
                  <c:v>21.94890867603803</c:v>
                </c:pt>
                <c:pt idx="2">
                  <c:v>21.251942768024801</c:v>
                </c:pt>
                <c:pt idx="3">
                  <c:v>20.686697539378262</c:v>
                </c:pt>
                <c:pt idx="4">
                  <c:v>20.234216050523969</c:v>
                </c:pt>
                <c:pt idx="5">
                  <c:v>19.876121213866643</c:v>
                </c:pt>
                <c:pt idx="6">
                  <c:v>19.595579588474642</c:v>
                </c:pt>
                <c:pt idx="7">
                  <c:v>18.759902323176803</c:v>
                </c:pt>
                <c:pt idx="8">
                  <c:v>19.688757125170955</c:v>
                </c:pt>
                <c:pt idx="9">
                  <c:v>22.024945583923877</c:v>
                </c:pt>
                <c:pt idx="10">
                  <c:v>25.274406110013288</c:v>
                </c:pt>
                <c:pt idx="11">
                  <c:v>28.631171133011254</c:v>
                </c:pt>
                <c:pt idx="12">
                  <c:v>31.442468404792841</c:v>
                </c:pt>
                <c:pt idx="13">
                  <c:v>33.351651404617158</c:v>
                </c:pt>
                <c:pt idx="14">
                  <c:v>34.270817938254588</c:v>
                </c:pt>
                <c:pt idx="15">
                  <c:v>34.294345288859532</c:v>
                </c:pt>
                <c:pt idx="16">
                  <c:v>33.611113685765652</c:v>
                </c:pt>
                <c:pt idx="17">
                  <c:v>32.437795359989082</c:v>
                </c:pt>
                <c:pt idx="18">
                  <c:v>30.976957742578094</c:v>
                </c:pt>
                <c:pt idx="19">
                  <c:v>29.395840848439214</c:v>
                </c:pt>
                <c:pt idx="20">
                  <c:v>27.819555951728606</c:v>
                </c:pt>
                <c:pt idx="21">
                  <c:v>26.332964768305359</c:v>
                </c:pt>
                <c:pt idx="22">
                  <c:v>24.986901736522629</c:v>
                </c:pt>
                <c:pt idx="23">
                  <c:v>23.805862783813893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231424"/>
        <c:axId val="471229856"/>
      </c:scatterChart>
      <c:valAx>
        <c:axId val="471231424"/>
        <c:scaling>
          <c:orientation val="minMax"/>
          <c:max val="10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s-MX"/>
                  <a:t>Humedad</a:t>
                </a:r>
                <a:r>
                  <a:rPr lang="es-MX" baseline="0"/>
                  <a:t> Relativa [%]</a:t>
                </a:r>
                <a:endParaRPr lang="es-MX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229856"/>
        <c:crosses val="autoZero"/>
        <c:crossBetween val="midCat"/>
      </c:valAx>
      <c:valAx>
        <c:axId val="4712298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MX"/>
                  <a:t>Temperatura</a:t>
                </a:r>
                <a:r>
                  <a:rPr lang="es-MX" baseline="0"/>
                  <a:t> [°C]</a:t>
                </a:r>
                <a:endParaRPr lang="es-MX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71231424"/>
        <c:crosses val="autoZero"/>
        <c:crossBetween val="midCat"/>
        <c:majorUnit val="5"/>
      </c:valAx>
    </c:plotArea>
    <c:plotVisOnly val="1"/>
    <c:dispBlanksAs val="gap"/>
    <c:showDLblsOverMax val="0"/>
  </c:chart>
  <c:printSettings>
    <c:headerFooter/>
    <c:pageMargins b="0.75000000000001199" l="0.70000000000000095" r="0.70000000000000095" t="0.75000000000001199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MX"/>
              <a:t>Noviembre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6"/>
          <c:order val="2"/>
          <c:spPr>
            <a:ln w="381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'Olgyay datos'!$A$285:$A$286</c:f>
              <c:numCache>
                <c:formatCode>General</c:formatCode>
                <c:ptCount val="2"/>
                <c:pt idx="0">
                  <c:v>25.924189526184534</c:v>
                </c:pt>
                <c:pt idx="1">
                  <c:v>84.570852869376523</c:v>
                </c:pt>
              </c:numCache>
            </c:numRef>
          </c:xVal>
          <c:yVal>
            <c:numRef>
              <c:f>'Olgyay datos'!$B$285:$B$286</c:f>
              <c:numCache>
                <c:formatCode>0.0</c:formatCode>
                <c:ptCount val="2"/>
                <c:pt idx="0">
                  <c:v>20.573300000000003</c:v>
                </c:pt>
                <c:pt idx="1">
                  <c:v>20.573300000000003</c:v>
                </c:pt>
              </c:numCache>
            </c:numRef>
          </c:yVal>
          <c:smooth val="1"/>
        </c:ser>
        <c:ser>
          <c:idx val="7"/>
          <c:order val="3"/>
          <c:spPr>
            <a:ln w="381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'Olgyay datos'!$A$288:$A$289</c:f>
              <c:numCache>
                <c:formatCode>General</c:formatCode>
                <c:ptCount val="2"/>
                <c:pt idx="0">
                  <c:v>63.653945453691968</c:v>
                </c:pt>
                <c:pt idx="1">
                  <c:v>84.570852869376523</c:v>
                </c:pt>
              </c:numCache>
            </c:numRef>
          </c:xVal>
          <c:yVal>
            <c:numRef>
              <c:f>'Olgyay datos'!$B$288:$B$289</c:f>
              <c:numCache>
                <c:formatCode>0.0</c:formatCode>
                <c:ptCount val="2"/>
                <c:pt idx="0">
                  <c:v>25.971326296765714</c:v>
                </c:pt>
                <c:pt idx="1">
                  <c:v>20.5733</c:v>
                </c:pt>
              </c:numCache>
            </c:numRef>
          </c:yVal>
          <c:smooth val="1"/>
        </c:ser>
        <c:ser>
          <c:idx val="8"/>
          <c:order val="4"/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'Olgyay datos'!$A$291:$A$292</c:f>
              <c:numCache>
                <c:formatCode>General</c:formatCode>
                <c:ptCount val="2"/>
                <c:pt idx="0">
                  <c:v>16.548034242232085</c:v>
                </c:pt>
                <c:pt idx="1">
                  <c:v>63.653945453691968</c:v>
                </c:pt>
              </c:numCache>
            </c:numRef>
          </c:xVal>
          <c:yVal>
            <c:numRef>
              <c:f>'Olgyay datos'!$B$291:$B$292</c:f>
              <c:numCache>
                <c:formatCode>0.0</c:formatCode>
                <c:ptCount val="2"/>
                <c:pt idx="0">
                  <c:v>28.092976537729868</c:v>
                </c:pt>
                <c:pt idx="1">
                  <c:v>25.971326296765714</c:v>
                </c:pt>
              </c:numCache>
            </c:numRef>
          </c:yVal>
          <c:smooth val="1"/>
        </c:ser>
        <c:ser>
          <c:idx val="9"/>
          <c:order val="5"/>
          <c:spPr>
            <a:ln w="381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'Olgyay datos'!$A$294:$A$295</c:f>
              <c:numCache>
                <c:formatCode>General</c:formatCode>
                <c:ptCount val="2"/>
                <c:pt idx="0">
                  <c:v>16.548034242232085</c:v>
                </c:pt>
                <c:pt idx="1">
                  <c:v>25.924189526184534</c:v>
                </c:pt>
              </c:numCache>
            </c:numRef>
          </c:xVal>
          <c:yVal>
            <c:numRef>
              <c:f>'Olgyay datos'!$B$294:$B$295</c:f>
              <c:numCache>
                <c:formatCode>0.0</c:formatCode>
                <c:ptCount val="2"/>
                <c:pt idx="0">
                  <c:v>28.092976537729868</c:v>
                </c:pt>
                <c:pt idx="1">
                  <c:v>20.573300000000003</c:v>
                </c:pt>
              </c:numCache>
            </c:numRef>
          </c:yVal>
          <c:smooth val="1"/>
        </c:ser>
        <c:ser>
          <c:idx val="10"/>
          <c:order val="6"/>
          <c:marker>
            <c:symbol val="none"/>
          </c:marker>
          <c:xVal>
            <c:numRef>
              <c:f>'Olgyay datos'!$A$18</c:f>
              <c:numCache>
                <c:formatCode>General</c:formatCode>
                <c:ptCount val="1"/>
                <c:pt idx="0">
                  <c:v>50</c:v>
                </c:pt>
              </c:numCache>
            </c:numRef>
          </c:xVal>
          <c:yVal>
            <c:numRef>
              <c:f>'Olgyay datos'!$B$18</c:f>
              <c:numCache>
                <c:formatCode>0.0</c:formatCode>
                <c:ptCount val="1"/>
                <c:pt idx="0">
                  <c:v>22.947500000000002</c:v>
                </c:pt>
              </c:numCache>
            </c:numRef>
          </c:yVal>
          <c:smooth val="1"/>
        </c:ser>
        <c:ser>
          <c:idx val="4"/>
          <c:order val="0"/>
          <c:marker>
            <c:symbol val="star"/>
            <c:size val="9"/>
            <c:spPr>
              <a:ln w="25400">
                <a:solidFill>
                  <a:srgbClr val="C00000"/>
                </a:solidFill>
              </a:ln>
            </c:spPr>
          </c:marker>
          <c:xVal>
            <c:numRef>
              <c:f>'Olgyay datos'!$A$298</c:f>
              <c:numCache>
                <c:formatCode>General</c:formatCode>
                <c:ptCount val="1"/>
                <c:pt idx="0">
                  <c:v>50</c:v>
                </c:pt>
              </c:numCache>
            </c:numRef>
          </c:xVal>
          <c:yVal>
            <c:numRef>
              <c:f>'Olgyay datos'!$B$298</c:f>
              <c:numCache>
                <c:formatCode>0.0</c:formatCode>
                <c:ptCount val="1"/>
                <c:pt idx="0">
                  <c:v>23.970500000000001</c:v>
                </c:pt>
              </c:numCache>
            </c:numRef>
          </c:yVal>
          <c:smooth val="1"/>
        </c:ser>
        <c:ser>
          <c:idx val="5"/>
          <c:order val="1"/>
          <c:tx>
            <c:strRef>
              <c:f>'Olgyay datos'!$L$1</c:f>
              <c:strCache>
                <c:ptCount val="1"/>
                <c:pt idx="0">
                  <c:v>Enero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'Olgyay datos'!$N$283:$N$306</c:f>
              <c:numCache>
                <c:formatCode>0</c:formatCode>
                <c:ptCount val="24"/>
                <c:pt idx="0">
                  <c:v>61.488535316404693</c:v>
                </c:pt>
                <c:pt idx="1">
                  <c:v>63.797862849850858</c:v>
                </c:pt>
                <c:pt idx="2">
                  <c:v>65.711285955035336</c:v>
                </c:pt>
                <c:pt idx="3">
                  <c:v>67.271639507338335</c:v>
                </c:pt>
                <c:pt idx="4">
                  <c:v>68.526702513735046</c:v>
                </c:pt>
                <c:pt idx="5">
                  <c:v>69.524154734596877</c:v>
                </c:pt>
                <c:pt idx="6">
                  <c:v>70.30851505099605</c:v>
                </c:pt>
                <c:pt idx="7">
                  <c:v>72.830994894961606</c:v>
                </c:pt>
                <c:pt idx="8">
                  <c:v>71.652369822186188</c:v>
                </c:pt>
                <c:pt idx="9">
                  <c:v>67.03731343506405</c:v>
                </c:pt>
                <c:pt idx="10">
                  <c:v>59.426491204645671</c:v>
                </c:pt>
                <c:pt idx="11">
                  <c:v>50.761057945297267</c:v>
                </c:pt>
                <c:pt idx="12">
                  <c:v>42.929584477193124</c:v>
                </c:pt>
                <c:pt idx="13">
                  <c:v>37.135238546895089</c:v>
                </c:pt>
                <c:pt idx="14">
                  <c:v>33.841162084716714</c:v>
                </c:pt>
                <c:pt idx="15">
                  <c:v>32.956744607344326</c:v>
                </c:pt>
                <c:pt idx="16">
                  <c:v>34.070139456800732</c:v>
                </c:pt>
                <c:pt idx="17">
                  <c:v>36.641411378315269</c:v>
                </c:pt>
                <c:pt idx="18">
                  <c:v>40.132691410029139</c:v>
                </c:pt>
                <c:pt idx="19">
                  <c:v>44.0805013778673</c:v>
                </c:pt>
                <c:pt idx="20">
                  <c:v>48.125224705712405</c:v>
                </c:pt>
                <c:pt idx="21">
                  <c:v>52.013268815211632</c:v>
                </c:pt>
                <c:pt idx="22">
                  <c:v>55.584414201037788</c:v>
                </c:pt>
                <c:pt idx="23">
                  <c:v>58.753034742976389</c:v>
                </c:pt>
              </c:numCache>
            </c:numRef>
          </c:xVal>
          <c:yVal>
            <c:numRef>
              <c:f>'Olgyay datos'!$M$283:$M$306</c:f>
              <c:numCache>
                <c:formatCode>0.0</c:formatCode>
                <c:ptCount val="24"/>
                <c:pt idx="0">
                  <c:v>17.233988158485985</c:v>
                </c:pt>
                <c:pt idx="1">
                  <c:v>16.331858737872903</c:v>
                </c:pt>
                <c:pt idx="2">
                  <c:v>15.584387774024028</c:v>
                </c:pt>
                <c:pt idx="3">
                  <c:v>14.974841996864354</c:v>
                </c:pt>
                <c:pt idx="4">
                  <c:v>14.484556731394035</c:v>
                </c:pt>
                <c:pt idx="5">
                  <c:v>14.09490607289584</c:v>
                </c:pt>
                <c:pt idx="6">
                  <c:v>13.788498901311497</c:v>
                </c:pt>
                <c:pt idx="7">
                  <c:v>12.803102396403863</c:v>
                </c:pt>
                <c:pt idx="8">
                  <c:v>13.263527493590592</c:v>
                </c:pt>
                <c:pt idx="9">
                  <c:v>15.066380525182115</c:v>
                </c:pt>
                <c:pt idx="10">
                  <c:v>18.039517314865023</c:v>
                </c:pt>
                <c:pt idx="11">
                  <c:v>21.424633619242872</c:v>
                </c:pt>
                <c:pt idx="12">
                  <c:v>24.483966918657764</c:v>
                </c:pt>
                <c:pt idx="13">
                  <c:v>26.74750462009893</c:v>
                </c:pt>
                <c:pt idx="14">
                  <c:v>28.034322209739656</c:v>
                </c:pt>
                <c:pt idx="15">
                  <c:v>28.379816304832961</c:v>
                </c:pt>
                <c:pt idx="16">
                  <c:v>27.944873129425176</c:v>
                </c:pt>
                <c:pt idx="17">
                  <c:v>26.940416197613057</c:v>
                </c:pt>
                <c:pt idx="18">
                  <c:v>25.576561834560458</c:v>
                </c:pt>
                <c:pt idx="19">
                  <c:v>24.03436590635372</c:v>
                </c:pt>
                <c:pt idx="20">
                  <c:v>22.454311167715588</c:v>
                </c:pt>
                <c:pt idx="21">
                  <c:v>20.935462529304203</c:v>
                </c:pt>
                <c:pt idx="22">
                  <c:v>19.540409090075144</c:v>
                </c:pt>
                <c:pt idx="23">
                  <c:v>18.302600346082869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348032"/>
        <c:axId val="544458336"/>
      </c:scatterChart>
      <c:valAx>
        <c:axId val="468348032"/>
        <c:scaling>
          <c:orientation val="minMax"/>
          <c:max val="10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s-MX"/>
                  <a:t>Humedad</a:t>
                </a:r>
                <a:r>
                  <a:rPr lang="es-MX" baseline="0"/>
                  <a:t> Relativa [%]</a:t>
                </a:r>
                <a:endParaRPr lang="es-MX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4458336"/>
        <c:crosses val="autoZero"/>
        <c:crossBetween val="midCat"/>
      </c:valAx>
      <c:valAx>
        <c:axId val="5444583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MX"/>
                  <a:t>Temperatura</a:t>
                </a:r>
                <a:r>
                  <a:rPr lang="es-MX" baseline="0"/>
                  <a:t> [°C]</a:t>
                </a:r>
                <a:endParaRPr lang="es-MX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68348032"/>
        <c:crosses val="autoZero"/>
        <c:crossBetween val="midCat"/>
        <c:majorUnit val="5"/>
      </c:valAx>
    </c:plotArea>
    <c:plotVisOnly val="1"/>
    <c:dispBlanksAs val="gap"/>
    <c:showDLblsOverMax val="0"/>
  </c:chart>
  <c:printSettings>
    <c:headerFooter/>
    <c:pageMargins b="0.75000000000001199" l="0.70000000000000095" r="0.70000000000000095" t="0.75000000000001199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MX"/>
              <a:t>Diciembre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6"/>
          <c:order val="2"/>
          <c:spPr>
            <a:ln w="381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'Olgyay datos'!$A$313:$A$314</c:f>
              <c:numCache>
                <c:formatCode>General</c:formatCode>
                <c:ptCount val="2"/>
                <c:pt idx="0">
                  <c:v>25.924189526184534</c:v>
                </c:pt>
                <c:pt idx="1">
                  <c:v>84.570852869376523</c:v>
                </c:pt>
              </c:numCache>
            </c:numRef>
          </c:xVal>
          <c:yVal>
            <c:numRef>
              <c:f>'Olgyay datos'!$B$313:$B$314</c:f>
              <c:numCache>
                <c:formatCode>0.0</c:formatCode>
                <c:ptCount val="2"/>
                <c:pt idx="0">
                  <c:v>19.441800000000001</c:v>
                </c:pt>
                <c:pt idx="1">
                  <c:v>19.441800000000001</c:v>
                </c:pt>
              </c:numCache>
            </c:numRef>
          </c:yVal>
          <c:smooth val="1"/>
        </c:ser>
        <c:ser>
          <c:idx val="7"/>
          <c:order val="3"/>
          <c:spPr>
            <a:ln w="381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'Olgyay datos'!$A$316:$A$317</c:f>
              <c:numCache>
                <c:formatCode>General</c:formatCode>
                <c:ptCount val="2"/>
                <c:pt idx="0">
                  <c:v>63.653945453691968</c:v>
                </c:pt>
                <c:pt idx="1">
                  <c:v>84.570852869376523</c:v>
                </c:pt>
              </c:numCache>
            </c:numRef>
          </c:xVal>
          <c:yVal>
            <c:numRef>
              <c:f>'Olgyay datos'!$B$316:$B$317</c:f>
              <c:numCache>
                <c:formatCode>0.0</c:formatCode>
                <c:ptCount val="2"/>
                <c:pt idx="0">
                  <c:v>24.839826296765715</c:v>
                </c:pt>
                <c:pt idx="1">
                  <c:v>19.441800000000001</c:v>
                </c:pt>
              </c:numCache>
            </c:numRef>
          </c:yVal>
          <c:smooth val="1"/>
        </c:ser>
        <c:ser>
          <c:idx val="8"/>
          <c:order val="4"/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'Olgyay datos'!$A$319:$A$320</c:f>
              <c:numCache>
                <c:formatCode>General</c:formatCode>
                <c:ptCount val="2"/>
                <c:pt idx="0">
                  <c:v>16.548034242232085</c:v>
                </c:pt>
                <c:pt idx="1">
                  <c:v>63.653945453691968</c:v>
                </c:pt>
              </c:numCache>
            </c:numRef>
          </c:xVal>
          <c:yVal>
            <c:numRef>
              <c:f>'Olgyay datos'!$B$319:$B$320</c:f>
              <c:numCache>
                <c:formatCode>0.0</c:formatCode>
                <c:ptCount val="2"/>
                <c:pt idx="0">
                  <c:v>26.961476537729869</c:v>
                </c:pt>
                <c:pt idx="1">
                  <c:v>24.839826296765715</c:v>
                </c:pt>
              </c:numCache>
            </c:numRef>
          </c:yVal>
          <c:smooth val="1"/>
        </c:ser>
        <c:ser>
          <c:idx val="9"/>
          <c:order val="5"/>
          <c:spPr>
            <a:ln w="381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'Olgyay datos'!$A$322:$A$323</c:f>
              <c:numCache>
                <c:formatCode>General</c:formatCode>
                <c:ptCount val="2"/>
                <c:pt idx="0">
                  <c:v>16.548034242232085</c:v>
                </c:pt>
                <c:pt idx="1">
                  <c:v>25.924189526184534</c:v>
                </c:pt>
              </c:numCache>
            </c:numRef>
          </c:xVal>
          <c:yVal>
            <c:numRef>
              <c:f>'Olgyay datos'!$B$322:$B$323</c:f>
              <c:numCache>
                <c:formatCode>0.0</c:formatCode>
                <c:ptCount val="2"/>
                <c:pt idx="0">
                  <c:v>26.961476537729869</c:v>
                </c:pt>
                <c:pt idx="1">
                  <c:v>19.441800000000004</c:v>
                </c:pt>
              </c:numCache>
            </c:numRef>
          </c:yVal>
          <c:smooth val="1"/>
        </c:ser>
        <c:ser>
          <c:idx val="10"/>
          <c:order val="6"/>
          <c:marker>
            <c:symbol val="none"/>
          </c:marker>
          <c:xVal>
            <c:numRef>
              <c:f>'Olgyay datos'!$A$18</c:f>
              <c:numCache>
                <c:formatCode>General</c:formatCode>
                <c:ptCount val="1"/>
                <c:pt idx="0">
                  <c:v>50</c:v>
                </c:pt>
              </c:numCache>
            </c:numRef>
          </c:xVal>
          <c:yVal>
            <c:numRef>
              <c:f>'Olgyay datos'!$B$18</c:f>
              <c:numCache>
                <c:formatCode>0.0</c:formatCode>
                <c:ptCount val="1"/>
                <c:pt idx="0">
                  <c:v>22.947500000000002</c:v>
                </c:pt>
              </c:numCache>
            </c:numRef>
          </c:yVal>
          <c:smooth val="1"/>
        </c:ser>
        <c:ser>
          <c:idx val="4"/>
          <c:order val="0"/>
          <c:marker>
            <c:symbol val="star"/>
            <c:size val="9"/>
            <c:spPr>
              <a:ln w="25400">
                <a:solidFill>
                  <a:srgbClr val="C00000"/>
                </a:solidFill>
              </a:ln>
            </c:spPr>
          </c:marker>
          <c:xVal>
            <c:numRef>
              <c:f>'Olgyay datos'!$A$326</c:f>
              <c:numCache>
                <c:formatCode>General</c:formatCode>
                <c:ptCount val="1"/>
                <c:pt idx="0">
                  <c:v>50</c:v>
                </c:pt>
              </c:numCache>
            </c:numRef>
          </c:xVal>
          <c:yVal>
            <c:numRef>
              <c:f>'Olgyay datos'!$B$326</c:f>
              <c:numCache>
                <c:formatCode>0.0</c:formatCode>
                <c:ptCount val="1"/>
                <c:pt idx="0">
                  <c:v>22.839000000000002</c:v>
                </c:pt>
              </c:numCache>
            </c:numRef>
          </c:yVal>
          <c:smooth val="1"/>
        </c:ser>
        <c:ser>
          <c:idx val="5"/>
          <c:order val="1"/>
          <c:tx>
            <c:strRef>
              <c:f>'Olgyay datos'!$L$1</c:f>
              <c:strCache>
                <c:ptCount val="1"/>
                <c:pt idx="0">
                  <c:v>Enero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'Olgyay datos'!$N$311:$N$334</c:f>
              <c:numCache>
                <c:formatCode>0</c:formatCode>
                <c:ptCount val="24"/>
                <c:pt idx="0">
                  <c:v>57.167551898308467</c:v>
                </c:pt>
                <c:pt idx="1">
                  <c:v>59.301087893244542</c:v>
                </c:pt>
                <c:pt idx="2">
                  <c:v>61.07455804385696</c:v>
                </c:pt>
                <c:pt idx="3">
                  <c:v>62.524778005386558</c:v>
                </c:pt>
                <c:pt idx="4">
                  <c:v>63.694052143136886</c:v>
                </c:pt>
                <c:pt idx="5">
                  <c:v>64.625279290914705</c:v>
                </c:pt>
                <c:pt idx="6">
                  <c:v>65.358927106190848</c:v>
                </c:pt>
                <c:pt idx="7">
                  <c:v>67.738043555760129</c:v>
                </c:pt>
                <c:pt idx="8">
                  <c:v>67.072834017913721</c:v>
                </c:pt>
                <c:pt idx="9">
                  <c:v>63.554563375755862</c:v>
                </c:pt>
                <c:pt idx="10">
                  <c:v>57.129168853462325</c:v>
                </c:pt>
                <c:pt idx="11">
                  <c:v>49.415049492919707</c:v>
                </c:pt>
                <c:pt idx="12">
                  <c:v>42.173424522538582</c:v>
                </c:pt>
                <c:pt idx="13">
                  <c:v>36.607357839173062</c:v>
                </c:pt>
                <c:pt idx="14">
                  <c:v>33.243844411121088</c:v>
                </c:pt>
                <c:pt idx="15">
                  <c:v>32.077337434745218</c:v>
                </c:pt>
                <c:pt idx="16">
                  <c:v>32.77805081960377</c:v>
                </c:pt>
                <c:pt idx="17">
                  <c:v>34.873899333468216</c:v>
                </c:pt>
                <c:pt idx="18">
                  <c:v>37.87738791695643</c:v>
                </c:pt>
                <c:pt idx="19">
                  <c:v>41.358920794056878</c:v>
                </c:pt>
                <c:pt idx="20">
                  <c:v>44.97912620592286</c:v>
                </c:pt>
                <c:pt idx="21">
                  <c:v>48.494354613849183</c:v>
                </c:pt>
                <c:pt idx="22">
                  <c:v>51.747127940957583</c:v>
                </c:pt>
                <c:pt idx="23">
                  <c:v>54.649920955025124</c:v>
                </c:pt>
              </c:numCache>
            </c:numRef>
          </c:xVal>
          <c:yVal>
            <c:numRef>
              <c:f>'Olgyay datos'!$M$311:$M$334</c:f>
              <c:numCache>
                <c:formatCode>0.0</c:formatCode>
                <c:ptCount val="24"/>
                <c:pt idx="0">
                  <c:v>14.07147168725287</c:v>
                </c:pt>
                <c:pt idx="1">
                  <c:v>13.229515179150573</c:v>
                </c:pt>
                <c:pt idx="2">
                  <c:v>12.529651319915317</c:v>
                </c:pt>
                <c:pt idx="3">
                  <c:v>11.957351561351228</c:v>
                </c:pt>
                <c:pt idx="4">
                  <c:v>11.495921347672507</c:v>
                </c:pt>
                <c:pt idx="5">
                  <c:v>11.128431528211284</c:v>
                </c:pt>
                <c:pt idx="6">
                  <c:v>10.838912366503731</c:v>
                </c:pt>
                <c:pt idx="7">
                  <c:v>9.9000425358552384</c:v>
                </c:pt>
                <c:pt idx="8">
                  <c:v>10.162553925853274</c:v>
                </c:pt>
                <c:pt idx="9">
                  <c:v>11.550967747537506</c:v>
                </c:pt>
                <c:pt idx="10">
                  <c:v>14.086618773819819</c:v>
                </c:pt>
                <c:pt idx="11">
                  <c:v>17.13083879884049</c:v>
                </c:pt>
                <c:pt idx="12">
                  <c:v>19.988598540190054</c:v>
                </c:pt>
                <c:pt idx="13">
                  <c:v>22.185133344249639</c:v>
                </c:pt>
                <c:pt idx="14">
                  <c:v>23.512475384674268</c:v>
                </c:pt>
                <c:pt idx="15">
                  <c:v>23.972813594499421</c:v>
                </c:pt>
                <c:pt idx="16">
                  <c:v>23.696291334693942</c:v>
                </c:pt>
                <c:pt idx="17">
                  <c:v>22.869207423087577</c:v>
                </c:pt>
                <c:pt idx="18">
                  <c:v>21.683941851810154</c:v>
                </c:pt>
                <c:pt idx="19">
                  <c:v>20.310025840547979</c:v>
                </c:pt>
                <c:pt idx="20">
                  <c:v>18.881385538991196</c:v>
                </c:pt>
                <c:pt idx="21">
                  <c:v>17.494172273058773</c:v>
                </c:pt>
                <c:pt idx="22">
                  <c:v>16.210531557063945</c:v>
                </c:pt>
                <c:pt idx="23">
                  <c:v>15.065003440515207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305544"/>
        <c:axId val="474950712"/>
      </c:scatterChart>
      <c:valAx>
        <c:axId val="463305544"/>
        <c:scaling>
          <c:orientation val="minMax"/>
          <c:max val="10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s-MX"/>
                  <a:t>Humedad</a:t>
                </a:r>
                <a:r>
                  <a:rPr lang="es-MX" baseline="0"/>
                  <a:t> Relativa [%]</a:t>
                </a:r>
                <a:endParaRPr lang="es-MX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950712"/>
        <c:crosses val="autoZero"/>
        <c:crossBetween val="midCat"/>
      </c:valAx>
      <c:valAx>
        <c:axId val="4749507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MX"/>
                  <a:t>Temperatura</a:t>
                </a:r>
                <a:r>
                  <a:rPr lang="es-MX" baseline="0"/>
                  <a:t> [°C]</a:t>
                </a:r>
                <a:endParaRPr lang="es-MX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63305544"/>
        <c:crosses val="autoZero"/>
        <c:crossBetween val="midCat"/>
        <c:majorUnit val="5"/>
      </c:valAx>
    </c:plotArea>
    <c:plotVisOnly val="1"/>
    <c:dispBlanksAs val="gap"/>
    <c:showDLblsOverMax val="0"/>
  </c:chart>
  <c:printSettings>
    <c:headerFooter/>
    <c:pageMargins b="0.75000000000001199" l="0.70000000000000095" r="0.70000000000000095" t="0.75000000000001199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3988005997001498E-2"/>
          <c:y val="2.2809742258077099E-2"/>
          <c:w val="0.95602198900549795"/>
          <c:h val="0.95438051548384795"/>
        </c:manualLayout>
      </c:layout>
      <c:scatterChart>
        <c:scatterStyle val="smoothMarker"/>
        <c:varyColors val="0"/>
        <c:ser>
          <c:idx val="3"/>
          <c:order val="0"/>
          <c:tx>
            <c:v>30°</c:v>
          </c:tx>
          <c:spPr>
            <a:ln w="19050">
              <a:solidFill>
                <a:prstClr val="black"/>
              </a:solidFill>
              <a:prstDash val="dash"/>
            </a:ln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9.9950024987507692E-3"/>
                  <c:y val="-1.036806466276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60°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('CS 1er sem datos'!$AA$89,'CS 1er sem datos'!$W$89)</c:f>
              <c:numCache>
                <c:formatCode>General</c:formatCode>
                <c:ptCount val="2"/>
                <c:pt idx="0">
                  <c:v>-7.7942286340599471</c:v>
                </c:pt>
                <c:pt idx="1">
                  <c:v>7.794228634059948</c:v>
                </c:pt>
              </c:numCache>
            </c:numRef>
          </c:xVal>
          <c:yVal>
            <c:numRef>
              <c:f>('CS 1er sem datos'!$AB$89,'CS 1er sem datos'!$X$89)</c:f>
              <c:numCache>
                <c:formatCode>General</c:formatCode>
                <c:ptCount val="2"/>
                <c:pt idx="0">
                  <c:v>-4.5000000000000009</c:v>
                </c:pt>
                <c:pt idx="1">
                  <c:v>4.4999999999999991</c:v>
                </c:pt>
              </c:numCache>
            </c:numRef>
          </c:yVal>
          <c:smooth val="1"/>
        </c:ser>
        <c:ser>
          <c:idx val="40"/>
          <c:order val="1"/>
          <c:tx>
            <c:v>40°</c:v>
          </c:tx>
          <c:spPr>
            <a:ln w="19050">
              <a:solidFill>
                <a:prstClr val="black"/>
              </a:solidFill>
              <a:prstDash val="dash"/>
            </a:ln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9.9950024987507692E-3"/>
                  <c:y val="-8.2944517302095695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50°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('CS 1er sem datos'!$AA$90,'CS 1er sem datos'!$W$90)</c:f>
              <c:numCache>
                <c:formatCode>General</c:formatCode>
                <c:ptCount val="2"/>
                <c:pt idx="0">
                  <c:v>-6.894399988070802</c:v>
                </c:pt>
                <c:pt idx="1">
                  <c:v>6.894399988070802</c:v>
                </c:pt>
              </c:numCache>
            </c:numRef>
          </c:xVal>
          <c:yVal>
            <c:numRef>
              <c:f>('CS 1er sem datos'!$AB$90,'CS 1er sem datos'!$X$90)</c:f>
              <c:numCache>
                <c:formatCode>General</c:formatCode>
                <c:ptCount val="2"/>
                <c:pt idx="0">
                  <c:v>-5.7850884871788537</c:v>
                </c:pt>
                <c:pt idx="1">
                  <c:v>5.7850884871788537</c:v>
                </c:pt>
              </c:numCache>
            </c:numRef>
          </c:yVal>
          <c:smooth val="1"/>
        </c:ser>
        <c:ser>
          <c:idx val="41"/>
          <c:order val="2"/>
          <c:tx>
            <c:v>50°</c:v>
          </c:tx>
          <c:spPr>
            <a:ln w="19050">
              <a:solidFill>
                <a:prstClr val="black"/>
              </a:solidFill>
              <a:prstDash val="dash"/>
            </a:ln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9.9950024987507692E-3"/>
                  <c:y val="-1.24416775953144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40°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('CS 1er sem datos'!$AA$91,'CS 1er sem datos'!$W$91)</c:f>
              <c:numCache>
                <c:formatCode>General</c:formatCode>
                <c:ptCount val="2"/>
                <c:pt idx="0">
                  <c:v>-5.7850884871788555</c:v>
                </c:pt>
                <c:pt idx="1">
                  <c:v>5.7850884871788546</c:v>
                </c:pt>
              </c:numCache>
            </c:numRef>
          </c:xVal>
          <c:yVal>
            <c:numRef>
              <c:f>('CS 1er sem datos'!$AB$91,'CS 1er sem datos'!$X$91)</c:f>
              <c:numCache>
                <c:formatCode>General</c:formatCode>
                <c:ptCount val="2"/>
                <c:pt idx="0">
                  <c:v>-6.8943999880708011</c:v>
                </c:pt>
                <c:pt idx="1">
                  <c:v>6.894399988070802</c:v>
                </c:pt>
              </c:numCache>
            </c:numRef>
          </c:yVal>
          <c:smooth val="1"/>
        </c:ser>
        <c:ser>
          <c:idx val="42"/>
          <c:order val="3"/>
          <c:tx>
            <c:v>60°</c:v>
          </c:tx>
          <c:spPr>
            <a:ln w="19050">
              <a:solidFill>
                <a:prstClr val="black"/>
              </a:solidFill>
              <a:prstDash val="dash"/>
            </a:ln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1.1994002998500701E-2"/>
                  <c:y val="-1.658890346041910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30°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('CS 1er sem datos'!$AA$92,'CS 1er sem datos'!$W$92)</c:f>
              <c:numCache>
                <c:formatCode>General</c:formatCode>
                <c:ptCount val="2"/>
                <c:pt idx="0">
                  <c:v>-4.5000000000000036</c:v>
                </c:pt>
                <c:pt idx="1">
                  <c:v>4.5000000000000009</c:v>
                </c:pt>
              </c:numCache>
            </c:numRef>
          </c:xVal>
          <c:yVal>
            <c:numRef>
              <c:f>('CS 1er sem datos'!$AB$92,'CS 1er sem datos'!$X$92)</c:f>
              <c:numCache>
                <c:formatCode>General</c:formatCode>
                <c:ptCount val="2"/>
                <c:pt idx="0">
                  <c:v>-7.7942286340599454</c:v>
                </c:pt>
                <c:pt idx="1">
                  <c:v>7.7942286340599471</c:v>
                </c:pt>
              </c:numCache>
            </c:numRef>
          </c:yVal>
          <c:smooth val="1"/>
        </c:ser>
        <c:ser>
          <c:idx val="43"/>
          <c:order val="4"/>
          <c:tx>
            <c:v>70°</c:v>
          </c:tx>
          <c:spPr>
            <a:ln w="19050">
              <a:solidFill>
                <a:prstClr val="black"/>
              </a:solidFill>
              <a:prstDash val="dash"/>
            </a:ln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1.5992003998000999E-2"/>
                  <c:y val="-1.244167759531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20°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('CS 1er sem datos'!$AA$93,'CS 1er sem datos'!$W$93)</c:f>
              <c:numCache>
                <c:formatCode>General</c:formatCode>
                <c:ptCount val="2"/>
                <c:pt idx="0">
                  <c:v>-3.0781812899310168</c:v>
                </c:pt>
                <c:pt idx="1">
                  <c:v>3.0781812899310195</c:v>
                </c:pt>
              </c:numCache>
            </c:numRef>
          </c:xVal>
          <c:yVal>
            <c:numRef>
              <c:f>('CS 1er sem datos'!$AB$93,'CS 1er sem datos'!$X$93)</c:f>
              <c:numCache>
                <c:formatCode>General</c:formatCode>
                <c:ptCount val="2"/>
                <c:pt idx="0">
                  <c:v>-8.4572335870731763</c:v>
                </c:pt>
                <c:pt idx="1">
                  <c:v>8.4572335870731745</c:v>
                </c:pt>
              </c:numCache>
            </c:numRef>
          </c:yVal>
          <c:smooth val="1"/>
        </c:ser>
        <c:ser>
          <c:idx val="44"/>
          <c:order val="5"/>
          <c:tx>
            <c:v>80°</c:v>
          </c:tx>
          <c:spPr>
            <a:ln w="19050">
              <a:solidFill>
                <a:prstClr val="black"/>
              </a:solidFill>
              <a:prstDash val="dash"/>
            </a:ln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1.5992003998000999E-2"/>
                  <c:y val="-1.24416775953144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10°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('CS 1er sem datos'!$AA$94,'CS 1er sem datos'!$W$94)</c:f>
              <c:numCache>
                <c:formatCode>General</c:formatCode>
                <c:ptCount val="2"/>
                <c:pt idx="0">
                  <c:v>-1.562833599002373</c:v>
                </c:pt>
                <c:pt idx="1">
                  <c:v>1.5628335990023738</c:v>
                </c:pt>
              </c:numCache>
            </c:numRef>
          </c:xVal>
          <c:yVal>
            <c:numRef>
              <c:f>('CS 1er sem datos'!$AB$94,'CS 1er sem datos'!$X$94)</c:f>
              <c:numCache>
                <c:formatCode>General</c:formatCode>
                <c:ptCount val="2"/>
                <c:pt idx="0">
                  <c:v>-8.8632697771098723</c:v>
                </c:pt>
                <c:pt idx="1">
                  <c:v>8.8632697771098723</c:v>
                </c:pt>
              </c:numCache>
            </c:numRef>
          </c:yVal>
          <c:smooth val="1"/>
        </c:ser>
        <c:ser>
          <c:idx val="46"/>
          <c:order val="6"/>
          <c:tx>
            <c:v>100°</c:v>
          </c:tx>
          <c:spPr>
            <a:ln w="19050">
              <a:solidFill>
                <a:prstClr val="black"/>
              </a:solidFill>
              <a:prstDash val="dash"/>
            </a:ln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5.59720139930035E-2"/>
                  <c:y val="-1.8662516392971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10°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('CS 1er sem datos'!$AA$96,'CS 1er sem datos'!$W$96)</c:f>
              <c:numCache>
                <c:formatCode>General</c:formatCode>
                <c:ptCount val="2"/>
                <c:pt idx="0">
                  <c:v>1.5628335990023698</c:v>
                </c:pt>
                <c:pt idx="1">
                  <c:v>-1.5628335990023727</c:v>
                </c:pt>
              </c:numCache>
            </c:numRef>
          </c:xVal>
          <c:yVal>
            <c:numRef>
              <c:f>('CS 1er sem datos'!$AB$96,'CS 1er sem datos'!$X$96)</c:f>
              <c:numCache>
                <c:formatCode>General</c:formatCode>
                <c:ptCount val="2"/>
                <c:pt idx="0">
                  <c:v>-8.8632697771098741</c:v>
                </c:pt>
                <c:pt idx="1">
                  <c:v>8.8632697771098723</c:v>
                </c:pt>
              </c:numCache>
            </c:numRef>
          </c:yVal>
          <c:smooth val="1"/>
        </c:ser>
        <c:ser>
          <c:idx val="47"/>
          <c:order val="7"/>
          <c:tx>
            <c:v>110°</c:v>
          </c:tx>
          <c:spPr>
            <a:ln w="19050">
              <a:solidFill>
                <a:prstClr val="black"/>
              </a:solidFill>
              <a:prstDash val="dash"/>
            </a:ln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5.59720139930035E-2"/>
                  <c:y val="-1.244167759531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20°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('CS 1er sem datos'!$AA$97,'CS 1er sem datos'!$W$97)</c:f>
              <c:numCache>
                <c:formatCode>General</c:formatCode>
                <c:ptCount val="2"/>
                <c:pt idx="0">
                  <c:v>3.0781812899310208</c:v>
                </c:pt>
                <c:pt idx="1">
                  <c:v>-3.0781812899310186</c:v>
                </c:pt>
              </c:numCache>
            </c:numRef>
          </c:xVal>
          <c:yVal>
            <c:numRef>
              <c:f>('CS 1er sem datos'!$AB$97,'CS 1er sem datos'!$X$97)</c:f>
              <c:numCache>
                <c:formatCode>General</c:formatCode>
                <c:ptCount val="2"/>
                <c:pt idx="0">
                  <c:v>-8.4572335870731745</c:v>
                </c:pt>
                <c:pt idx="1">
                  <c:v>8.4572335870731763</c:v>
                </c:pt>
              </c:numCache>
            </c:numRef>
          </c:yVal>
          <c:smooth val="1"/>
        </c:ser>
        <c:ser>
          <c:idx val="48"/>
          <c:order val="8"/>
          <c:tx>
            <c:v>120°</c:v>
          </c:tx>
          <c:spPr>
            <a:ln w="19050">
              <a:solidFill>
                <a:prstClr val="black"/>
              </a:solidFill>
              <a:prstDash val="dash"/>
            </a:ln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5.59720139930035E-2"/>
                  <c:y val="-1.45152905278667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30°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('CS 1er sem datos'!$AA$98,'CS 1er sem datos'!$W$98)</c:f>
              <c:numCache>
                <c:formatCode>General</c:formatCode>
                <c:ptCount val="2"/>
                <c:pt idx="0">
                  <c:v>4.5000000000000009</c:v>
                </c:pt>
                <c:pt idx="1">
                  <c:v>-4.4999999999999982</c:v>
                </c:pt>
              </c:numCache>
            </c:numRef>
          </c:xVal>
          <c:yVal>
            <c:numRef>
              <c:f>('CS 1er sem datos'!$AB$98,'CS 1er sem datos'!$X$98)</c:f>
              <c:numCache>
                <c:formatCode>General</c:formatCode>
                <c:ptCount val="2"/>
                <c:pt idx="0">
                  <c:v>-7.7942286340599471</c:v>
                </c:pt>
                <c:pt idx="1">
                  <c:v>7.794228634059948</c:v>
                </c:pt>
              </c:numCache>
            </c:numRef>
          </c:yVal>
          <c:smooth val="1"/>
        </c:ser>
        <c:ser>
          <c:idx val="49"/>
          <c:order val="9"/>
          <c:tx>
            <c:v>130°</c:v>
          </c:tx>
          <c:spPr>
            <a:ln w="19050">
              <a:solidFill>
                <a:prstClr val="black"/>
              </a:solidFill>
              <a:prstDash val="dash"/>
            </a:ln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6.3968015992003996E-2"/>
                  <c:y val="-1.24416775953144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40°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('CS 1er sem datos'!$AA$99,'CS 1er sem datos'!$W$99)</c:f>
              <c:numCache>
                <c:formatCode>General</c:formatCode>
                <c:ptCount val="2"/>
                <c:pt idx="0">
                  <c:v>5.7850884871788537</c:v>
                </c:pt>
                <c:pt idx="1">
                  <c:v>-5.7850884871788546</c:v>
                </c:pt>
              </c:numCache>
            </c:numRef>
          </c:xVal>
          <c:yVal>
            <c:numRef>
              <c:f>('CS 1er sem datos'!$AB$99,'CS 1er sem datos'!$X$99)</c:f>
              <c:numCache>
                <c:formatCode>General</c:formatCode>
                <c:ptCount val="2"/>
                <c:pt idx="0">
                  <c:v>-6.8943999880708029</c:v>
                </c:pt>
                <c:pt idx="1">
                  <c:v>6.894399988070802</c:v>
                </c:pt>
              </c:numCache>
            </c:numRef>
          </c:yVal>
          <c:smooth val="1"/>
        </c:ser>
        <c:ser>
          <c:idx val="50"/>
          <c:order val="10"/>
          <c:tx>
            <c:v>140°</c:v>
          </c:tx>
          <c:spPr>
            <a:ln w="19050">
              <a:solidFill>
                <a:prstClr val="black"/>
              </a:solidFill>
              <a:prstDash val="dash"/>
            </a:ln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5.7971014492753603E-2"/>
                  <c:y val="-8.2944517302095695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50°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('CS 1er sem datos'!$AA$100,'CS 1er sem datos'!$W$100)</c:f>
              <c:numCache>
                <c:formatCode>General</c:formatCode>
                <c:ptCount val="2"/>
                <c:pt idx="0">
                  <c:v>6.8943999880708002</c:v>
                </c:pt>
                <c:pt idx="1">
                  <c:v>-6.8943999880708011</c:v>
                </c:pt>
              </c:numCache>
            </c:numRef>
          </c:xVal>
          <c:yVal>
            <c:numRef>
              <c:f>('CS 1er sem datos'!$AB$100,'CS 1er sem datos'!$X$100)</c:f>
              <c:numCache>
                <c:formatCode>General</c:formatCode>
                <c:ptCount val="2"/>
                <c:pt idx="0">
                  <c:v>-5.7850884871788564</c:v>
                </c:pt>
                <c:pt idx="1">
                  <c:v>5.7850884871788555</c:v>
                </c:pt>
              </c:numCache>
            </c:numRef>
          </c:yVal>
          <c:smooth val="1"/>
        </c:ser>
        <c:ser>
          <c:idx val="51"/>
          <c:order val="11"/>
          <c:tx>
            <c:v>150°</c:v>
          </c:tx>
          <c:spPr>
            <a:ln w="19050">
              <a:solidFill>
                <a:prstClr val="black"/>
              </a:solidFill>
              <a:prstDash val="dash"/>
            </a:ln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5.9970014992503998E-2"/>
                  <c:y val="-1.658890346041910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60°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('CS 1er sem datos'!$AA$101,'CS 1er sem datos'!$W$101)</c:f>
              <c:numCache>
                <c:formatCode>General</c:formatCode>
                <c:ptCount val="2"/>
                <c:pt idx="0">
                  <c:v>7.7942286340599454</c:v>
                </c:pt>
                <c:pt idx="1">
                  <c:v>-7.794228634059948</c:v>
                </c:pt>
              </c:numCache>
            </c:numRef>
          </c:xVal>
          <c:yVal>
            <c:numRef>
              <c:f>('CS 1er sem datos'!$AB$101,'CS 1er sem datos'!$X$101)</c:f>
              <c:numCache>
                <c:formatCode>General</c:formatCode>
                <c:ptCount val="2"/>
                <c:pt idx="0">
                  <c:v>-4.5000000000000036</c:v>
                </c:pt>
                <c:pt idx="1">
                  <c:v>4.4999999999999991</c:v>
                </c:pt>
              </c:numCache>
            </c:numRef>
          </c:yVal>
          <c:smooth val="1"/>
        </c:ser>
        <c:ser>
          <c:idx val="52"/>
          <c:order val="12"/>
          <c:tx>
            <c:v>160°</c:v>
          </c:tx>
          <c:spPr>
            <a:ln w="19050">
              <a:solidFill>
                <a:prstClr val="black"/>
              </a:solidFill>
              <a:prstDash val="dash"/>
            </a:ln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6.19690154922539E-2"/>
                  <c:y val="-1.036806466276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70°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('CS 1er sem datos'!$AA$102,'CS 1er sem datos'!$W$102)</c:f>
              <c:numCache>
                <c:formatCode>General</c:formatCode>
                <c:ptCount val="2"/>
                <c:pt idx="0">
                  <c:v>8.4572335870731763</c:v>
                </c:pt>
                <c:pt idx="1">
                  <c:v>-8.4572335870731745</c:v>
                </c:pt>
              </c:numCache>
            </c:numRef>
          </c:xVal>
          <c:yVal>
            <c:numRef>
              <c:f>('CS 1er sem datos'!$AB$102,'CS 1er sem datos'!$X$102)</c:f>
              <c:numCache>
                <c:formatCode>General</c:formatCode>
                <c:ptCount val="2"/>
                <c:pt idx="0">
                  <c:v>-3.0781812899310173</c:v>
                </c:pt>
                <c:pt idx="1">
                  <c:v>3.0781812899310199</c:v>
                </c:pt>
              </c:numCache>
            </c:numRef>
          </c:yVal>
          <c:smooth val="1"/>
        </c:ser>
        <c:ser>
          <c:idx val="53"/>
          <c:order val="13"/>
          <c:tx>
            <c:v>170°</c:v>
          </c:tx>
          <c:spPr>
            <a:ln w="19050">
              <a:solidFill>
                <a:prstClr val="black"/>
              </a:solidFill>
              <a:prstDash val="dash"/>
            </a:ln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5.7971014492753603E-2"/>
                  <c:y val="-1.24416775953144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80°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('CS 1er sem datos'!$AA$103,'CS 1er sem datos'!$W$103)</c:f>
              <c:numCache>
                <c:formatCode>General</c:formatCode>
                <c:ptCount val="2"/>
                <c:pt idx="0">
                  <c:v>8.8632697771098723</c:v>
                </c:pt>
                <c:pt idx="1">
                  <c:v>-8.8632697771098723</c:v>
                </c:pt>
              </c:numCache>
            </c:numRef>
          </c:xVal>
          <c:yVal>
            <c:numRef>
              <c:f>('CS 1er sem datos'!$AB$103,'CS 1er sem datos'!$X$103)</c:f>
              <c:numCache>
                <c:formatCode>General</c:formatCode>
                <c:ptCount val="2"/>
                <c:pt idx="0">
                  <c:v>-1.5628335990023734</c:v>
                </c:pt>
                <c:pt idx="1">
                  <c:v>1.5628335990023725</c:v>
                </c:pt>
              </c:numCache>
            </c:numRef>
          </c:yVal>
          <c:smooth val="1"/>
        </c:ser>
        <c:ser>
          <c:idx val="73"/>
          <c:order val="14"/>
          <c:spPr>
            <a:ln w="1905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'CS 1er sem datos'!$A$2:$A$182</c:f>
              <c:numCache>
                <c:formatCode>General</c:formatCode>
                <c:ptCount val="181"/>
                <c:pt idx="0">
                  <c:v>9</c:v>
                </c:pt>
                <c:pt idx="1">
                  <c:v>8.9</c:v>
                </c:pt>
                <c:pt idx="2">
                  <c:v>8.8000000000000007</c:v>
                </c:pt>
                <c:pt idx="3">
                  <c:v>8.6999999999999993</c:v>
                </c:pt>
                <c:pt idx="4">
                  <c:v>8.6</c:v>
                </c:pt>
                <c:pt idx="5">
                  <c:v>8.5</c:v>
                </c:pt>
                <c:pt idx="6">
                  <c:v>8.4</c:v>
                </c:pt>
                <c:pt idx="7">
                  <c:v>8.3000000000000007</c:v>
                </c:pt>
                <c:pt idx="8">
                  <c:v>8.1999999999999993</c:v>
                </c:pt>
                <c:pt idx="9">
                  <c:v>8.1</c:v>
                </c:pt>
                <c:pt idx="10">
                  <c:v>8</c:v>
                </c:pt>
                <c:pt idx="11">
                  <c:v>7.9</c:v>
                </c:pt>
                <c:pt idx="12">
                  <c:v>7.8</c:v>
                </c:pt>
                <c:pt idx="13">
                  <c:v>7.7</c:v>
                </c:pt>
                <c:pt idx="14">
                  <c:v>7.6</c:v>
                </c:pt>
                <c:pt idx="15">
                  <c:v>7.5</c:v>
                </c:pt>
                <c:pt idx="16">
                  <c:v>7.4</c:v>
                </c:pt>
                <c:pt idx="17">
                  <c:v>7.3</c:v>
                </c:pt>
                <c:pt idx="18">
                  <c:v>7.2</c:v>
                </c:pt>
                <c:pt idx="19">
                  <c:v>7.1</c:v>
                </c:pt>
                <c:pt idx="20">
                  <c:v>7</c:v>
                </c:pt>
                <c:pt idx="21">
                  <c:v>6.9</c:v>
                </c:pt>
                <c:pt idx="22">
                  <c:v>6.8</c:v>
                </c:pt>
                <c:pt idx="23">
                  <c:v>6.7</c:v>
                </c:pt>
                <c:pt idx="24">
                  <c:v>6.6</c:v>
                </c:pt>
                <c:pt idx="25">
                  <c:v>6.5</c:v>
                </c:pt>
                <c:pt idx="26">
                  <c:v>6.4</c:v>
                </c:pt>
                <c:pt idx="27">
                  <c:v>6.3</c:v>
                </c:pt>
                <c:pt idx="28">
                  <c:v>6.2</c:v>
                </c:pt>
                <c:pt idx="29">
                  <c:v>6.1</c:v>
                </c:pt>
                <c:pt idx="30">
                  <c:v>6</c:v>
                </c:pt>
                <c:pt idx="31">
                  <c:v>5.9</c:v>
                </c:pt>
                <c:pt idx="32">
                  <c:v>5.8</c:v>
                </c:pt>
                <c:pt idx="33">
                  <c:v>5.7</c:v>
                </c:pt>
                <c:pt idx="34">
                  <c:v>5.6</c:v>
                </c:pt>
                <c:pt idx="35">
                  <c:v>5.5</c:v>
                </c:pt>
                <c:pt idx="36">
                  <c:v>5.4</c:v>
                </c:pt>
                <c:pt idx="37">
                  <c:v>5.3</c:v>
                </c:pt>
                <c:pt idx="38">
                  <c:v>5.2</c:v>
                </c:pt>
                <c:pt idx="39">
                  <c:v>5.0999999999999996</c:v>
                </c:pt>
                <c:pt idx="40">
                  <c:v>5</c:v>
                </c:pt>
                <c:pt idx="41">
                  <c:v>4.9000000000000004</c:v>
                </c:pt>
                <c:pt idx="42">
                  <c:v>4.8</c:v>
                </c:pt>
                <c:pt idx="43">
                  <c:v>4.7</c:v>
                </c:pt>
                <c:pt idx="44">
                  <c:v>4.5999999999999996</c:v>
                </c:pt>
                <c:pt idx="45">
                  <c:v>4.5</c:v>
                </c:pt>
                <c:pt idx="46">
                  <c:v>4.4000000000000004</c:v>
                </c:pt>
                <c:pt idx="47">
                  <c:v>4.3</c:v>
                </c:pt>
                <c:pt idx="48">
                  <c:v>4.2</c:v>
                </c:pt>
                <c:pt idx="49">
                  <c:v>4.0999999999999996</c:v>
                </c:pt>
                <c:pt idx="50">
                  <c:v>4</c:v>
                </c:pt>
                <c:pt idx="51">
                  <c:v>3.9</c:v>
                </c:pt>
                <c:pt idx="52">
                  <c:v>3.8</c:v>
                </c:pt>
                <c:pt idx="53">
                  <c:v>3.7</c:v>
                </c:pt>
                <c:pt idx="54">
                  <c:v>3.6</c:v>
                </c:pt>
                <c:pt idx="55">
                  <c:v>3.5</c:v>
                </c:pt>
                <c:pt idx="56">
                  <c:v>3.4</c:v>
                </c:pt>
                <c:pt idx="57">
                  <c:v>3.3</c:v>
                </c:pt>
                <c:pt idx="58">
                  <c:v>3.2</c:v>
                </c:pt>
                <c:pt idx="59">
                  <c:v>3.1</c:v>
                </c:pt>
                <c:pt idx="60">
                  <c:v>3</c:v>
                </c:pt>
                <c:pt idx="61">
                  <c:v>2.9</c:v>
                </c:pt>
                <c:pt idx="62">
                  <c:v>2.8</c:v>
                </c:pt>
                <c:pt idx="63">
                  <c:v>2.7</c:v>
                </c:pt>
                <c:pt idx="64">
                  <c:v>2.6</c:v>
                </c:pt>
                <c:pt idx="65">
                  <c:v>2.5</c:v>
                </c:pt>
                <c:pt idx="66">
                  <c:v>2.4</c:v>
                </c:pt>
                <c:pt idx="67">
                  <c:v>2.2999999999999998</c:v>
                </c:pt>
                <c:pt idx="68">
                  <c:v>2.2000000000000002</c:v>
                </c:pt>
                <c:pt idx="69">
                  <c:v>2.1</c:v>
                </c:pt>
                <c:pt idx="70">
                  <c:v>2</c:v>
                </c:pt>
                <c:pt idx="71">
                  <c:v>1.9</c:v>
                </c:pt>
                <c:pt idx="72">
                  <c:v>1.8</c:v>
                </c:pt>
                <c:pt idx="73">
                  <c:v>1.7</c:v>
                </c:pt>
                <c:pt idx="74">
                  <c:v>1.6</c:v>
                </c:pt>
                <c:pt idx="75">
                  <c:v>1.5</c:v>
                </c:pt>
                <c:pt idx="76">
                  <c:v>1.4</c:v>
                </c:pt>
                <c:pt idx="77">
                  <c:v>1.3</c:v>
                </c:pt>
                <c:pt idx="78">
                  <c:v>1.2</c:v>
                </c:pt>
                <c:pt idx="79">
                  <c:v>1.1000000000000001</c:v>
                </c:pt>
                <c:pt idx="80">
                  <c:v>1</c:v>
                </c:pt>
                <c:pt idx="81">
                  <c:v>0.9</c:v>
                </c:pt>
                <c:pt idx="82">
                  <c:v>0.8</c:v>
                </c:pt>
                <c:pt idx="83">
                  <c:v>0.7</c:v>
                </c:pt>
                <c:pt idx="84">
                  <c:v>0.6</c:v>
                </c:pt>
                <c:pt idx="85">
                  <c:v>0.5</c:v>
                </c:pt>
                <c:pt idx="86">
                  <c:v>0.4</c:v>
                </c:pt>
                <c:pt idx="87">
                  <c:v>0.3</c:v>
                </c:pt>
                <c:pt idx="88">
                  <c:v>0.2</c:v>
                </c:pt>
                <c:pt idx="89">
                  <c:v>0.1</c:v>
                </c:pt>
                <c:pt idx="90">
                  <c:v>0</c:v>
                </c:pt>
                <c:pt idx="91">
                  <c:v>-0.1</c:v>
                </c:pt>
                <c:pt idx="92">
                  <c:v>-0.2</c:v>
                </c:pt>
                <c:pt idx="93">
                  <c:v>-0.3</c:v>
                </c:pt>
                <c:pt idx="94">
                  <c:v>-0.4</c:v>
                </c:pt>
                <c:pt idx="95">
                  <c:v>-0.5</c:v>
                </c:pt>
                <c:pt idx="96">
                  <c:v>-0.6</c:v>
                </c:pt>
                <c:pt idx="97">
                  <c:v>-0.7</c:v>
                </c:pt>
                <c:pt idx="98">
                  <c:v>-0.8</c:v>
                </c:pt>
                <c:pt idx="99">
                  <c:v>-0.9</c:v>
                </c:pt>
                <c:pt idx="100">
                  <c:v>-1</c:v>
                </c:pt>
                <c:pt idx="101">
                  <c:v>-1.1000000000000001</c:v>
                </c:pt>
                <c:pt idx="102">
                  <c:v>-1.2</c:v>
                </c:pt>
                <c:pt idx="103">
                  <c:v>-1.3</c:v>
                </c:pt>
                <c:pt idx="104">
                  <c:v>-1.4</c:v>
                </c:pt>
                <c:pt idx="105">
                  <c:v>-1.5</c:v>
                </c:pt>
                <c:pt idx="106">
                  <c:v>-1.6</c:v>
                </c:pt>
                <c:pt idx="107">
                  <c:v>-1.7</c:v>
                </c:pt>
                <c:pt idx="108">
                  <c:v>-1.8</c:v>
                </c:pt>
                <c:pt idx="109">
                  <c:v>-1.9</c:v>
                </c:pt>
                <c:pt idx="110">
                  <c:v>-2</c:v>
                </c:pt>
                <c:pt idx="111">
                  <c:v>-2.1</c:v>
                </c:pt>
                <c:pt idx="112">
                  <c:v>-2.2000000000000002</c:v>
                </c:pt>
                <c:pt idx="113">
                  <c:v>-2.2999999999999998</c:v>
                </c:pt>
                <c:pt idx="114">
                  <c:v>-2.4</c:v>
                </c:pt>
                <c:pt idx="115">
                  <c:v>-2.5</c:v>
                </c:pt>
                <c:pt idx="116">
                  <c:v>-2.6</c:v>
                </c:pt>
                <c:pt idx="117">
                  <c:v>-2.7</c:v>
                </c:pt>
                <c:pt idx="118">
                  <c:v>-2.8</c:v>
                </c:pt>
                <c:pt idx="119">
                  <c:v>-2.9</c:v>
                </c:pt>
                <c:pt idx="120">
                  <c:v>-3</c:v>
                </c:pt>
                <c:pt idx="121">
                  <c:v>-3.1</c:v>
                </c:pt>
                <c:pt idx="122">
                  <c:v>-3.2</c:v>
                </c:pt>
                <c:pt idx="123">
                  <c:v>-3.3</c:v>
                </c:pt>
                <c:pt idx="124">
                  <c:v>-3.4</c:v>
                </c:pt>
                <c:pt idx="125">
                  <c:v>-3.5</c:v>
                </c:pt>
                <c:pt idx="126">
                  <c:v>-3.6</c:v>
                </c:pt>
                <c:pt idx="127">
                  <c:v>-3.7</c:v>
                </c:pt>
                <c:pt idx="128">
                  <c:v>-3.8</c:v>
                </c:pt>
                <c:pt idx="129">
                  <c:v>-3.9</c:v>
                </c:pt>
                <c:pt idx="130">
                  <c:v>-4</c:v>
                </c:pt>
                <c:pt idx="131">
                  <c:v>-4.0999999999999996</c:v>
                </c:pt>
                <c:pt idx="132">
                  <c:v>-4.2</c:v>
                </c:pt>
                <c:pt idx="133">
                  <c:v>-4.3</c:v>
                </c:pt>
                <c:pt idx="134">
                  <c:v>-4.4000000000000004</c:v>
                </c:pt>
                <c:pt idx="135">
                  <c:v>-4.5</c:v>
                </c:pt>
                <c:pt idx="136">
                  <c:v>-4.5999999999999996</c:v>
                </c:pt>
                <c:pt idx="137">
                  <c:v>-4.7</c:v>
                </c:pt>
                <c:pt idx="138">
                  <c:v>-4.8</c:v>
                </c:pt>
                <c:pt idx="139">
                  <c:v>-4.9000000000000004</c:v>
                </c:pt>
                <c:pt idx="140">
                  <c:v>-5</c:v>
                </c:pt>
                <c:pt idx="141">
                  <c:v>-5.0999999999999996</c:v>
                </c:pt>
                <c:pt idx="142">
                  <c:v>-5.2</c:v>
                </c:pt>
                <c:pt idx="143">
                  <c:v>-5.3</c:v>
                </c:pt>
                <c:pt idx="144">
                  <c:v>-5.4</c:v>
                </c:pt>
                <c:pt idx="145">
                  <c:v>-5.5</c:v>
                </c:pt>
                <c:pt idx="146">
                  <c:v>-5.6</c:v>
                </c:pt>
                <c:pt idx="147">
                  <c:v>-5.7</c:v>
                </c:pt>
                <c:pt idx="148">
                  <c:v>-5.8</c:v>
                </c:pt>
                <c:pt idx="149">
                  <c:v>-5.9</c:v>
                </c:pt>
                <c:pt idx="150">
                  <c:v>-6</c:v>
                </c:pt>
                <c:pt idx="151">
                  <c:v>-6.1</c:v>
                </c:pt>
                <c:pt idx="152">
                  <c:v>-6.2</c:v>
                </c:pt>
                <c:pt idx="153">
                  <c:v>-6.3</c:v>
                </c:pt>
                <c:pt idx="154">
                  <c:v>-6.4</c:v>
                </c:pt>
                <c:pt idx="155">
                  <c:v>-6.5</c:v>
                </c:pt>
                <c:pt idx="156">
                  <c:v>-6.6</c:v>
                </c:pt>
                <c:pt idx="157">
                  <c:v>-6.7</c:v>
                </c:pt>
                <c:pt idx="158">
                  <c:v>-6.8</c:v>
                </c:pt>
                <c:pt idx="159">
                  <c:v>-6.9</c:v>
                </c:pt>
                <c:pt idx="160">
                  <c:v>-7</c:v>
                </c:pt>
                <c:pt idx="161">
                  <c:v>-7.1</c:v>
                </c:pt>
                <c:pt idx="162">
                  <c:v>-7.2</c:v>
                </c:pt>
                <c:pt idx="163">
                  <c:v>-7.3</c:v>
                </c:pt>
                <c:pt idx="164">
                  <c:v>-7.4</c:v>
                </c:pt>
                <c:pt idx="165">
                  <c:v>-7.5</c:v>
                </c:pt>
                <c:pt idx="166">
                  <c:v>-7.6</c:v>
                </c:pt>
                <c:pt idx="167">
                  <c:v>-7.7</c:v>
                </c:pt>
                <c:pt idx="168">
                  <c:v>-7.8</c:v>
                </c:pt>
                <c:pt idx="169">
                  <c:v>-7.9</c:v>
                </c:pt>
                <c:pt idx="170">
                  <c:v>-8</c:v>
                </c:pt>
                <c:pt idx="171">
                  <c:v>-8.1</c:v>
                </c:pt>
                <c:pt idx="172">
                  <c:v>-8.1999999999999993</c:v>
                </c:pt>
                <c:pt idx="173">
                  <c:v>-8.3000000000000007</c:v>
                </c:pt>
                <c:pt idx="174">
                  <c:v>-8.4</c:v>
                </c:pt>
                <c:pt idx="175">
                  <c:v>-8.5</c:v>
                </c:pt>
                <c:pt idx="176">
                  <c:v>-8.6</c:v>
                </c:pt>
                <c:pt idx="177">
                  <c:v>-8.6999999999999993</c:v>
                </c:pt>
                <c:pt idx="178">
                  <c:v>-8.8000000000000007</c:v>
                </c:pt>
                <c:pt idx="179">
                  <c:v>-8.9</c:v>
                </c:pt>
                <c:pt idx="180">
                  <c:v>-9</c:v>
                </c:pt>
              </c:numCache>
            </c:numRef>
          </c:xVal>
          <c:yVal>
            <c:numRef>
              <c:f>'CS 1er sem datos'!$B$2:$B$182</c:f>
              <c:numCache>
                <c:formatCode>General</c:formatCode>
                <c:ptCount val="181"/>
                <c:pt idx="0">
                  <c:v>0</c:v>
                </c:pt>
                <c:pt idx="1">
                  <c:v>1.3379088160259622</c:v>
                </c:pt>
                <c:pt idx="2">
                  <c:v>1.8867962264113176</c:v>
                </c:pt>
                <c:pt idx="3">
                  <c:v>2.304343724360586</c:v>
                </c:pt>
                <c:pt idx="4">
                  <c:v>2.6532998322843211</c:v>
                </c:pt>
                <c:pt idx="5">
                  <c:v>2.9580398915498081</c:v>
                </c:pt>
                <c:pt idx="6">
                  <c:v>3.2310988842807022</c:v>
                </c:pt>
                <c:pt idx="7">
                  <c:v>3.479942528261061</c:v>
                </c:pt>
                <c:pt idx="8">
                  <c:v>3.7094473981982823</c:v>
                </c:pt>
                <c:pt idx="9">
                  <c:v>3.9230090491866063</c:v>
                </c:pt>
                <c:pt idx="10">
                  <c:v>4.1231056256176606</c:v>
                </c:pt>
                <c:pt idx="11">
                  <c:v>4.3116122274620192</c:v>
                </c:pt>
                <c:pt idx="12">
                  <c:v>4.4899888641287298</c:v>
                </c:pt>
                <c:pt idx="13">
                  <c:v>4.6593991028886972</c:v>
                </c:pt>
                <c:pt idx="14">
                  <c:v>4.8207883172775805</c:v>
                </c:pt>
                <c:pt idx="15">
                  <c:v>4.9749371855330997</c:v>
                </c:pt>
                <c:pt idx="16">
                  <c:v>5.1224993899462783</c:v>
                </c:pt>
                <c:pt idx="17">
                  <c:v>5.2640288753007427</c:v>
                </c:pt>
                <c:pt idx="18">
                  <c:v>5.3999999999999995</c:v>
                </c:pt>
                <c:pt idx="19">
                  <c:v>5.5308227236099334</c:v>
                </c:pt>
                <c:pt idx="20">
                  <c:v>5.6568542494923806</c:v>
                </c:pt>
                <c:pt idx="21">
                  <c:v>5.7784080852774666</c:v>
                </c:pt>
                <c:pt idx="22">
                  <c:v>5.89576118919347</c:v>
                </c:pt>
                <c:pt idx="23">
                  <c:v>6.009159675029446</c:v>
                </c:pt>
                <c:pt idx="24">
                  <c:v>6.1188234163113426</c:v>
                </c:pt>
                <c:pt idx="25">
                  <c:v>6.2249497989943663</c:v>
                </c:pt>
                <c:pt idx="26">
                  <c:v>6.327716807822549</c:v>
                </c:pt>
                <c:pt idx="27">
                  <c:v>6.4272855856885656</c:v>
                </c:pt>
                <c:pt idx="28">
                  <c:v>6.5238025721200357</c:v>
                </c:pt>
                <c:pt idx="29">
                  <c:v>6.6174013026262815</c:v>
                </c:pt>
                <c:pt idx="30">
                  <c:v>6.7082039324993694</c:v>
                </c:pt>
                <c:pt idx="31">
                  <c:v>6.7963225350184784</c:v>
                </c:pt>
                <c:pt idx="32">
                  <c:v>6.8818602136341012</c:v>
                </c:pt>
                <c:pt idx="33">
                  <c:v>6.9649120597463394</c:v>
                </c:pt>
                <c:pt idx="34">
                  <c:v>7.0455659815234153</c:v>
                </c:pt>
                <c:pt idx="35">
                  <c:v>7.1239034243875032</c:v>
                </c:pt>
                <c:pt idx="36">
                  <c:v>7.2</c:v>
                </c:pt>
                <c:pt idx="37">
                  <c:v>7.2739260375673327</c:v>
                </c:pt>
                <c:pt idx="38">
                  <c:v>7.3457470688827824</c:v>
                </c:pt>
                <c:pt idx="39">
                  <c:v>7.4155242565849653</c:v>
                </c:pt>
                <c:pt idx="40">
                  <c:v>7.4833147735478827</c:v>
                </c:pt>
                <c:pt idx="41">
                  <c:v>7.5491721400429066</c:v>
                </c:pt>
                <c:pt idx="42">
                  <c:v>7.6131465242697125</c:v>
                </c:pt>
                <c:pt idx="43">
                  <c:v>7.6752850109947053</c:v>
                </c:pt>
                <c:pt idx="44">
                  <c:v>7.7356318423254864</c:v>
                </c:pt>
                <c:pt idx="45">
                  <c:v>7.794228634059948</c:v>
                </c:pt>
                <c:pt idx="46">
                  <c:v>7.8511145705562084</c:v>
                </c:pt>
                <c:pt idx="47">
                  <c:v>7.9063265806567848</c:v>
                </c:pt>
                <c:pt idx="48">
                  <c:v>7.9598994968529597</c:v>
                </c:pt>
                <c:pt idx="49">
                  <c:v>8.0118661995817178</c:v>
                </c:pt>
                <c:pt idx="50">
                  <c:v>8.0622577482985491</c:v>
                </c:pt>
                <c:pt idx="51">
                  <c:v>8.1111035007574657</c:v>
                </c:pt>
                <c:pt idx="52">
                  <c:v>8.1584312217484563</c:v>
                </c:pt>
                <c:pt idx="53">
                  <c:v>8.2042671823874684</c:v>
                </c:pt>
                <c:pt idx="54">
                  <c:v>8.2486362509205122</c:v>
                </c:pt>
                <c:pt idx="55">
                  <c:v>8.2915619758885004</c:v>
                </c:pt>
                <c:pt idx="56">
                  <c:v>8.3330666623998635</c:v>
                </c:pt>
                <c:pt idx="57">
                  <c:v>8.3731714421717172</c:v>
                </c:pt>
                <c:pt idx="58">
                  <c:v>8.4118963379252349</c:v>
                </c:pt>
                <c:pt idx="59">
                  <c:v>8.4492603226554692</c:v>
                </c:pt>
                <c:pt idx="60">
                  <c:v>8.4852813742385695</c:v>
                </c:pt>
                <c:pt idx="61">
                  <c:v>8.519976525789259</c:v>
                </c:pt>
                <c:pt idx="62">
                  <c:v>8.5533619121372393</c:v>
                </c:pt>
                <c:pt idx="63">
                  <c:v>8.5854528127525107</c:v>
                </c:pt>
                <c:pt idx="64">
                  <c:v>8.616263691415206</c:v>
                </c:pt>
                <c:pt idx="65">
                  <c:v>8.6458082328952912</c:v>
                </c:pt>
                <c:pt idx="66">
                  <c:v>8.6740993768805765</c:v>
                </c:pt>
                <c:pt idx="67">
                  <c:v>8.7011493493675882</c:v>
                </c:pt>
                <c:pt idx="68">
                  <c:v>8.7269696917085717</c:v>
                </c:pt>
                <c:pt idx="69">
                  <c:v>8.7515712874888933</c:v>
                </c:pt>
                <c:pt idx="70">
                  <c:v>8.7749643873921226</c:v>
                </c:pt>
                <c:pt idx="71">
                  <c:v>8.7971586321948294</c:v>
                </c:pt>
                <c:pt idx="72">
                  <c:v>8.8181630740194414</c:v>
                </c:pt>
                <c:pt idx="73">
                  <c:v>8.8379861959611592</c:v>
                </c:pt>
                <c:pt idx="74">
                  <c:v>8.8566359301938107</c:v>
                </c:pt>
                <c:pt idx="75">
                  <c:v>8.8741196746494246</c:v>
                </c:pt>
                <c:pt idx="76">
                  <c:v>8.8904443083571483</c:v>
                </c:pt>
                <c:pt idx="77">
                  <c:v>8.9056162055188519</c:v>
                </c:pt>
                <c:pt idx="78">
                  <c:v>8.9196412483911036</c:v>
                </c:pt>
                <c:pt idx="79">
                  <c:v>8.9325248390362741</c:v>
                </c:pt>
                <c:pt idx="80">
                  <c:v>8.9442719099991592</c:v>
                </c:pt>
                <c:pt idx="81">
                  <c:v>8.95488693395958</c:v>
                </c:pt>
                <c:pt idx="82">
                  <c:v>8.964373932405989</c:v>
                </c:pt>
                <c:pt idx="83">
                  <c:v>8.9727364833700545</c:v>
                </c:pt>
                <c:pt idx="84">
                  <c:v>8.9799777282574595</c:v>
                </c:pt>
                <c:pt idx="85">
                  <c:v>8.9861003778057142</c:v>
                </c:pt>
                <c:pt idx="86">
                  <c:v>8.9911067171956098</c:v>
                </c:pt>
                <c:pt idx="87">
                  <c:v>8.9949986103389694</c:v>
                </c:pt>
                <c:pt idx="88">
                  <c:v>8.9977775033615934</c:v>
                </c:pt>
                <c:pt idx="89">
                  <c:v>8.9994444272966092</c:v>
                </c:pt>
                <c:pt idx="90">
                  <c:v>9</c:v>
                </c:pt>
                <c:pt idx="91">
                  <c:v>8.9994444272966092</c:v>
                </c:pt>
                <c:pt idx="92">
                  <c:v>8.9977775033615934</c:v>
                </c:pt>
                <c:pt idx="93">
                  <c:v>8.9949986103389694</c:v>
                </c:pt>
                <c:pt idx="94">
                  <c:v>8.9911067171956098</c:v>
                </c:pt>
                <c:pt idx="95">
                  <c:v>8.9861003778057142</c:v>
                </c:pt>
                <c:pt idx="96">
                  <c:v>8.9799777282574595</c:v>
                </c:pt>
                <c:pt idx="97">
                  <c:v>8.9727364833700545</c:v>
                </c:pt>
                <c:pt idx="98">
                  <c:v>8.964373932405989</c:v>
                </c:pt>
                <c:pt idx="99">
                  <c:v>8.95488693395958</c:v>
                </c:pt>
                <c:pt idx="100">
                  <c:v>8.9442719099991592</c:v>
                </c:pt>
                <c:pt idx="101">
                  <c:v>8.9325248390362741</c:v>
                </c:pt>
                <c:pt idx="102">
                  <c:v>8.9196412483911036</c:v>
                </c:pt>
                <c:pt idx="103">
                  <c:v>8.9056162055188519</c:v>
                </c:pt>
                <c:pt idx="104">
                  <c:v>8.8904443083571483</c:v>
                </c:pt>
                <c:pt idx="105">
                  <c:v>8.8741196746494246</c:v>
                </c:pt>
                <c:pt idx="106">
                  <c:v>8.8566359301938107</c:v>
                </c:pt>
                <c:pt idx="107">
                  <c:v>8.8379861959611592</c:v>
                </c:pt>
                <c:pt idx="108">
                  <c:v>8.8181630740194414</c:v>
                </c:pt>
                <c:pt idx="109">
                  <c:v>8.7971586321948294</c:v>
                </c:pt>
                <c:pt idx="110">
                  <c:v>8.7749643873921226</c:v>
                </c:pt>
                <c:pt idx="111">
                  <c:v>8.7515712874888933</c:v>
                </c:pt>
                <c:pt idx="112">
                  <c:v>8.7269696917085717</c:v>
                </c:pt>
                <c:pt idx="113">
                  <c:v>8.7011493493675882</c:v>
                </c:pt>
                <c:pt idx="114">
                  <c:v>8.6740993768805765</c:v>
                </c:pt>
                <c:pt idx="115">
                  <c:v>8.6458082328952912</c:v>
                </c:pt>
                <c:pt idx="116">
                  <c:v>8.616263691415206</c:v>
                </c:pt>
                <c:pt idx="117">
                  <c:v>8.5854528127525107</c:v>
                </c:pt>
                <c:pt idx="118">
                  <c:v>8.5533619121372393</c:v>
                </c:pt>
                <c:pt idx="119">
                  <c:v>8.519976525789259</c:v>
                </c:pt>
                <c:pt idx="120">
                  <c:v>8.4852813742385695</c:v>
                </c:pt>
                <c:pt idx="121">
                  <c:v>8.4492603226554692</c:v>
                </c:pt>
                <c:pt idx="122">
                  <c:v>8.4118963379252349</c:v>
                </c:pt>
                <c:pt idx="123">
                  <c:v>8.3731714421717172</c:v>
                </c:pt>
                <c:pt idx="124">
                  <c:v>8.3330666623998635</c:v>
                </c:pt>
                <c:pt idx="125">
                  <c:v>8.2915619758885004</c:v>
                </c:pt>
                <c:pt idx="126">
                  <c:v>8.2486362509205122</c:v>
                </c:pt>
                <c:pt idx="127">
                  <c:v>8.2042671823874684</c:v>
                </c:pt>
                <c:pt idx="128">
                  <c:v>8.1584312217484563</c:v>
                </c:pt>
                <c:pt idx="129">
                  <c:v>8.1111035007574657</c:v>
                </c:pt>
                <c:pt idx="130">
                  <c:v>8.0622577482985491</c:v>
                </c:pt>
                <c:pt idx="131">
                  <c:v>8.0118661995817178</c:v>
                </c:pt>
                <c:pt idx="132">
                  <c:v>7.9598994968529597</c:v>
                </c:pt>
                <c:pt idx="133">
                  <c:v>7.9063265806567848</c:v>
                </c:pt>
                <c:pt idx="134">
                  <c:v>7.8511145705562084</c:v>
                </c:pt>
                <c:pt idx="135">
                  <c:v>7.794228634059948</c:v>
                </c:pt>
                <c:pt idx="136">
                  <c:v>7.7356318423254864</c:v>
                </c:pt>
                <c:pt idx="137">
                  <c:v>7.6752850109947053</c:v>
                </c:pt>
                <c:pt idx="138">
                  <c:v>7.6131465242697125</c:v>
                </c:pt>
                <c:pt idx="139">
                  <c:v>7.5491721400429066</c:v>
                </c:pt>
                <c:pt idx="140">
                  <c:v>7.4833147735478827</c:v>
                </c:pt>
                <c:pt idx="141">
                  <c:v>7.4155242565849653</c:v>
                </c:pt>
                <c:pt idx="142">
                  <c:v>7.3457470688827824</c:v>
                </c:pt>
                <c:pt idx="143">
                  <c:v>7.2739260375673327</c:v>
                </c:pt>
                <c:pt idx="144">
                  <c:v>7.2</c:v>
                </c:pt>
                <c:pt idx="145">
                  <c:v>7.1239034243875032</c:v>
                </c:pt>
                <c:pt idx="146">
                  <c:v>7.0455659815234153</c:v>
                </c:pt>
                <c:pt idx="147">
                  <c:v>6.9649120597463394</c:v>
                </c:pt>
                <c:pt idx="148">
                  <c:v>6.8818602136341012</c:v>
                </c:pt>
                <c:pt idx="149">
                  <c:v>6.7963225350184784</c:v>
                </c:pt>
                <c:pt idx="150">
                  <c:v>6.7082039324993694</c:v>
                </c:pt>
                <c:pt idx="151">
                  <c:v>6.6174013026262815</c:v>
                </c:pt>
                <c:pt idx="152">
                  <c:v>6.5238025721200357</c:v>
                </c:pt>
                <c:pt idx="153">
                  <c:v>6.4272855856885656</c:v>
                </c:pt>
                <c:pt idx="154">
                  <c:v>6.327716807822549</c:v>
                </c:pt>
                <c:pt idx="155">
                  <c:v>6.2249497989943663</c:v>
                </c:pt>
                <c:pt idx="156">
                  <c:v>6.1188234163113426</c:v>
                </c:pt>
                <c:pt idx="157">
                  <c:v>6.009159675029446</c:v>
                </c:pt>
                <c:pt idx="158">
                  <c:v>5.89576118919347</c:v>
                </c:pt>
                <c:pt idx="159">
                  <c:v>5.7784080852774666</c:v>
                </c:pt>
                <c:pt idx="160">
                  <c:v>5.6568542494923806</c:v>
                </c:pt>
                <c:pt idx="161">
                  <c:v>5.5308227236099334</c:v>
                </c:pt>
                <c:pt idx="162">
                  <c:v>5.3999999999999995</c:v>
                </c:pt>
                <c:pt idx="163">
                  <c:v>5.2640288753007427</c:v>
                </c:pt>
                <c:pt idx="164">
                  <c:v>5.1224993899462783</c:v>
                </c:pt>
                <c:pt idx="165">
                  <c:v>4.9749371855330997</c:v>
                </c:pt>
                <c:pt idx="166">
                  <c:v>4.8207883172775805</c:v>
                </c:pt>
                <c:pt idx="167">
                  <c:v>4.6593991028886972</c:v>
                </c:pt>
                <c:pt idx="168">
                  <c:v>4.4899888641287298</c:v>
                </c:pt>
                <c:pt idx="169">
                  <c:v>4.3116122274620192</c:v>
                </c:pt>
                <c:pt idx="170">
                  <c:v>4.1231056256176606</c:v>
                </c:pt>
                <c:pt idx="171">
                  <c:v>3.9230090491866063</c:v>
                </c:pt>
                <c:pt idx="172">
                  <c:v>3.7094473981982823</c:v>
                </c:pt>
                <c:pt idx="173">
                  <c:v>3.479942528261061</c:v>
                </c:pt>
                <c:pt idx="174">
                  <c:v>3.2310988842807022</c:v>
                </c:pt>
                <c:pt idx="175">
                  <c:v>2.9580398915498081</c:v>
                </c:pt>
                <c:pt idx="176">
                  <c:v>2.6532998322843211</c:v>
                </c:pt>
                <c:pt idx="177">
                  <c:v>2.304343724360586</c:v>
                </c:pt>
                <c:pt idx="178">
                  <c:v>1.8867962264113176</c:v>
                </c:pt>
                <c:pt idx="179">
                  <c:v>1.3379088160259622</c:v>
                </c:pt>
                <c:pt idx="180">
                  <c:v>0</c:v>
                </c:pt>
              </c:numCache>
            </c:numRef>
          </c:yVal>
          <c:smooth val="1"/>
        </c:ser>
        <c:ser>
          <c:idx val="74"/>
          <c:order val="15"/>
          <c:spPr>
            <a:ln w="1905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'CS 1er sem datos'!$A$2:$A$182</c:f>
              <c:numCache>
                <c:formatCode>General</c:formatCode>
                <c:ptCount val="181"/>
                <c:pt idx="0">
                  <c:v>9</c:v>
                </c:pt>
                <c:pt idx="1">
                  <c:v>8.9</c:v>
                </c:pt>
                <c:pt idx="2">
                  <c:v>8.8000000000000007</c:v>
                </c:pt>
                <c:pt idx="3">
                  <c:v>8.6999999999999993</c:v>
                </c:pt>
                <c:pt idx="4">
                  <c:v>8.6</c:v>
                </c:pt>
                <c:pt idx="5">
                  <c:v>8.5</c:v>
                </c:pt>
                <c:pt idx="6">
                  <c:v>8.4</c:v>
                </c:pt>
                <c:pt idx="7">
                  <c:v>8.3000000000000007</c:v>
                </c:pt>
                <c:pt idx="8">
                  <c:v>8.1999999999999993</c:v>
                </c:pt>
                <c:pt idx="9">
                  <c:v>8.1</c:v>
                </c:pt>
                <c:pt idx="10">
                  <c:v>8</c:v>
                </c:pt>
                <c:pt idx="11">
                  <c:v>7.9</c:v>
                </c:pt>
                <c:pt idx="12">
                  <c:v>7.8</c:v>
                </c:pt>
                <c:pt idx="13">
                  <c:v>7.7</c:v>
                </c:pt>
                <c:pt idx="14">
                  <c:v>7.6</c:v>
                </c:pt>
                <c:pt idx="15">
                  <c:v>7.5</c:v>
                </c:pt>
                <c:pt idx="16">
                  <c:v>7.4</c:v>
                </c:pt>
                <c:pt idx="17">
                  <c:v>7.3</c:v>
                </c:pt>
                <c:pt idx="18">
                  <c:v>7.2</c:v>
                </c:pt>
                <c:pt idx="19">
                  <c:v>7.1</c:v>
                </c:pt>
                <c:pt idx="20">
                  <c:v>7</c:v>
                </c:pt>
                <c:pt idx="21">
                  <c:v>6.9</c:v>
                </c:pt>
                <c:pt idx="22">
                  <c:v>6.8</c:v>
                </c:pt>
                <c:pt idx="23">
                  <c:v>6.7</c:v>
                </c:pt>
                <c:pt idx="24">
                  <c:v>6.6</c:v>
                </c:pt>
                <c:pt idx="25">
                  <c:v>6.5</c:v>
                </c:pt>
                <c:pt idx="26">
                  <c:v>6.4</c:v>
                </c:pt>
                <c:pt idx="27">
                  <c:v>6.3</c:v>
                </c:pt>
                <c:pt idx="28">
                  <c:v>6.2</c:v>
                </c:pt>
                <c:pt idx="29">
                  <c:v>6.1</c:v>
                </c:pt>
                <c:pt idx="30">
                  <c:v>6</c:v>
                </c:pt>
                <c:pt idx="31">
                  <c:v>5.9</c:v>
                </c:pt>
                <c:pt idx="32">
                  <c:v>5.8</c:v>
                </c:pt>
                <c:pt idx="33">
                  <c:v>5.7</c:v>
                </c:pt>
                <c:pt idx="34">
                  <c:v>5.6</c:v>
                </c:pt>
                <c:pt idx="35">
                  <c:v>5.5</c:v>
                </c:pt>
                <c:pt idx="36">
                  <c:v>5.4</c:v>
                </c:pt>
                <c:pt idx="37">
                  <c:v>5.3</c:v>
                </c:pt>
                <c:pt idx="38">
                  <c:v>5.2</c:v>
                </c:pt>
                <c:pt idx="39">
                  <c:v>5.0999999999999996</c:v>
                </c:pt>
                <c:pt idx="40">
                  <c:v>5</c:v>
                </c:pt>
                <c:pt idx="41">
                  <c:v>4.9000000000000004</c:v>
                </c:pt>
                <c:pt idx="42">
                  <c:v>4.8</c:v>
                </c:pt>
                <c:pt idx="43">
                  <c:v>4.7</c:v>
                </c:pt>
                <c:pt idx="44">
                  <c:v>4.5999999999999996</c:v>
                </c:pt>
                <c:pt idx="45">
                  <c:v>4.5</c:v>
                </c:pt>
                <c:pt idx="46">
                  <c:v>4.4000000000000004</c:v>
                </c:pt>
                <c:pt idx="47">
                  <c:v>4.3</c:v>
                </c:pt>
                <c:pt idx="48">
                  <c:v>4.2</c:v>
                </c:pt>
                <c:pt idx="49">
                  <c:v>4.0999999999999996</c:v>
                </c:pt>
                <c:pt idx="50">
                  <c:v>4</c:v>
                </c:pt>
                <c:pt idx="51">
                  <c:v>3.9</c:v>
                </c:pt>
                <c:pt idx="52">
                  <c:v>3.8</c:v>
                </c:pt>
                <c:pt idx="53">
                  <c:v>3.7</c:v>
                </c:pt>
                <c:pt idx="54">
                  <c:v>3.6</c:v>
                </c:pt>
                <c:pt idx="55">
                  <c:v>3.5</c:v>
                </c:pt>
                <c:pt idx="56">
                  <c:v>3.4</c:v>
                </c:pt>
                <c:pt idx="57">
                  <c:v>3.3</c:v>
                </c:pt>
                <c:pt idx="58">
                  <c:v>3.2</c:v>
                </c:pt>
                <c:pt idx="59">
                  <c:v>3.1</c:v>
                </c:pt>
                <c:pt idx="60">
                  <c:v>3</c:v>
                </c:pt>
                <c:pt idx="61">
                  <c:v>2.9</c:v>
                </c:pt>
                <c:pt idx="62">
                  <c:v>2.8</c:v>
                </c:pt>
                <c:pt idx="63">
                  <c:v>2.7</c:v>
                </c:pt>
                <c:pt idx="64">
                  <c:v>2.6</c:v>
                </c:pt>
                <c:pt idx="65">
                  <c:v>2.5</c:v>
                </c:pt>
                <c:pt idx="66">
                  <c:v>2.4</c:v>
                </c:pt>
                <c:pt idx="67">
                  <c:v>2.2999999999999998</c:v>
                </c:pt>
                <c:pt idx="68">
                  <c:v>2.2000000000000002</c:v>
                </c:pt>
                <c:pt idx="69">
                  <c:v>2.1</c:v>
                </c:pt>
                <c:pt idx="70">
                  <c:v>2</c:v>
                </c:pt>
                <c:pt idx="71">
                  <c:v>1.9</c:v>
                </c:pt>
                <c:pt idx="72">
                  <c:v>1.8</c:v>
                </c:pt>
                <c:pt idx="73">
                  <c:v>1.7</c:v>
                </c:pt>
                <c:pt idx="74">
                  <c:v>1.6</c:v>
                </c:pt>
                <c:pt idx="75">
                  <c:v>1.5</c:v>
                </c:pt>
                <c:pt idx="76">
                  <c:v>1.4</c:v>
                </c:pt>
                <c:pt idx="77">
                  <c:v>1.3</c:v>
                </c:pt>
                <c:pt idx="78">
                  <c:v>1.2</c:v>
                </c:pt>
                <c:pt idx="79">
                  <c:v>1.1000000000000001</c:v>
                </c:pt>
                <c:pt idx="80">
                  <c:v>1</c:v>
                </c:pt>
                <c:pt idx="81">
                  <c:v>0.9</c:v>
                </c:pt>
                <c:pt idx="82">
                  <c:v>0.8</c:v>
                </c:pt>
                <c:pt idx="83">
                  <c:v>0.7</c:v>
                </c:pt>
                <c:pt idx="84">
                  <c:v>0.6</c:v>
                </c:pt>
                <c:pt idx="85">
                  <c:v>0.5</c:v>
                </c:pt>
                <c:pt idx="86">
                  <c:v>0.4</c:v>
                </c:pt>
                <c:pt idx="87">
                  <c:v>0.3</c:v>
                </c:pt>
                <c:pt idx="88">
                  <c:v>0.2</c:v>
                </c:pt>
                <c:pt idx="89">
                  <c:v>0.1</c:v>
                </c:pt>
                <c:pt idx="90">
                  <c:v>0</c:v>
                </c:pt>
                <c:pt idx="91">
                  <c:v>-0.1</c:v>
                </c:pt>
                <c:pt idx="92">
                  <c:v>-0.2</c:v>
                </c:pt>
                <c:pt idx="93">
                  <c:v>-0.3</c:v>
                </c:pt>
                <c:pt idx="94">
                  <c:v>-0.4</c:v>
                </c:pt>
                <c:pt idx="95">
                  <c:v>-0.5</c:v>
                </c:pt>
                <c:pt idx="96">
                  <c:v>-0.6</c:v>
                </c:pt>
                <c:pt idx="97">
                  <c:v>-0.7</c:v>
                </c:pt>
                <c:pt idx="98">
                  <c:v>-0.8</c:v>
                </c:pt>
                <c:pt idx="99">
                  <c:v>-0.9</c:v>
                </c:pt>
                <c:pt idx="100">
                  <c:v>-1</c:v>
                </c:pt>
                <c:pt idx="101">
                  <c:v>-1.1000000000000001</c:v>
                </c:pt>
                <c:pt idx="102">
                  <c:v>-1.2</c:v>
                </c:pt>
                <c:pt idx="103">
                  <c:v>-1.3</c:v>
                </c:pt>
                <c:pt idx="104">
                  <c:v>-1.4</c:v>
                </c:pt>
                <c:pt idx="105">
                  <c:v>-1.5</c:v>
                </c:pt>
                <c:pt idx="106">
                  <c:v>-1.6</c:v>
                </c:pt>
                <c:pt idx="107">
                  <c:v>-1.7</c:v>
                </c:pt>
                <c:pt idx="108">
                  <c:v>-1.8</c:v>
                </c:pt>
                <c:pt idx="109">
                  <c:v>-1.9</c:v>
                </c:pt>
                <c:pt idx="110">
                  <c:v>-2</c:v>
                </c:pt>
                <c:pt idx="111">
                  <c:v>-2.1</c:v>
                </c:pt>
                <c:pt idx="112">
                  <c:v>-2.2000000000000002</c:v>
                </c:pt>
                <c:pt idx="113">
                  <c:v>-2.2999999999999998</c:v>
                </c:pt>
                <c:pt idx="114">
                  <c:v>-2.4</c:v>
                </c:pt>
                <c:pt idx="115">
                  <c:v>-2.5</c:v>
                </c:pt>
                <c:pt idx="116">
                  <c:v>-2.6</c:v>
                </c:pt>
                <c:pt idx="117">
                  <c:v>-2.7</c:v>
                </c:pt>
                <c:pt idx="118">
                  <c:v>-2.8</c:v>
                </c:pt>
                <c:pt idx="119">
                  <c:v>-2.9</c:v>
                </c:pt>
                <c:pt idx="120">
                  <c:v>-3</c:v>
                </c:pt>
                <c:pt idx="121">
                  <c:v>-3.1</c:v>
                </c:pt>
                <c:pt idx="122">
                  <c:v>-3.2</c:v>
                </c:pt>
                <c:pt idx="123">
                  <c:v>-3.3</c:v>
                </c:pt>
                <c:pt idx="124">
                  <c:v>-3.4</c:v>
                </c:pt>
                <c:pt idx="125">
                  <c:v>-3.5</c:v>
                </c:pt>
                <c:pt idx="126">
                  <c:v>-3.6</c:v>
                </c:pt>
                <c:pt idx="127">
                  <c:v>-3.7</c:v>
                </c:pt>
                <c:pt idx="128">
                  <c:v>-3.8</c:v>
                </c:pt>
                <c:pt idx="129">
                  <c:v>-3.9</c:v>
                </c:pt>
                <c:pt idx="130">
                  <c:v>-4</c:v>
                </c:pt>
                <c:pt idx="131">
                  <c:v>-4.0999999999999996</c:v>
                </c:pt>
                <c:pt idx="132">
                  <c:v>-4.2</c:v>
                </c:pt>
                <c:pt idx="133">
                  <c:v>-4.3</c:v>
                </c:pt>
                <c:pt idx="134">
                  <c:v>-4.4000000000000004</c:v>
                </c:pt>
                <c:pt idx="135">
                  <c:v>-4.5</c:v>
                </c:pt>
                <c:pt idx="136">
                  <c:v>-4.5999999999999996</c:v>
                </c:pt>
                <c:pt idx="137">
                  <c:v>-4.7</c:v>
                </c:pt>
                <c:pt idx="138">
                  <c:v>-4.8</c:v>
                </c:pt>
                <c:pt idx="139">
                  <c:v>-4.9000000000000004</c:v>
                </c:pt>
                <c:pt idx="140">
                  <c:v>-5</c:v>
                </c:pt>
                <c:pt idx="141">
                  <c:v>-5.0999999999999996</c:v>
                </c:pt>
                <c:pt idx="142">
                  <c:v>-5.2</c:v>
                </c:pt>
                <c:pt idx="143">
                  <c:v>-5.3</c:v>
                </c:pt>
                <c:pt idx="144">
                  <c:v>-5.4</c:v>
                </c:pt>
                <c:pt idx="145">
                  <c:v>-5.5</c:v>
                </c:pt>
                <c:pt idx="146">
                  <c:v>-5.6</c:v>
                </c:pt>
                <c:pt idx="147">
                  <c:v>-5.7</c:v>
                </c:pt>
                <c:pt idx="148">
                  <c:v>-5.8</c:v>
                </c:pt>
                <c:pt idx="149">
                  <c:v>-5.9</c:v>
                </c:pt>
                <c:pt idx="150">
                  <c:v>-6</c:v>
                </c:pt>
                <c:pt idx="151">
                  <c:v>-6.1</c:v>
                </c:pt>
                <c:pt idx="152">
                  <c:v>-6.2</c:v>
                </c:pt>
                <c:pt idx="153">
                  <c:v>-6.3</c:v>
                </c:pt>
                <c:pt idx="154">
                  <c:v>-6.4</c:v>
                </c:pt>
                <c:pt idx="155">
                  <c:v>-6.5</c:v>
                </c:pt>
                <c:pt idx="156">
                  <c:v>-6.6</c:v>
                </c:pt>
                <c:pt idx="157">
                  <c:v>-6.7</c:v>
                </c:pt>
                <c:pt idx="158">
                  <c:v>-6.8</c:v>
                </c:pt>
                <c:pt idx="159">
                  <c:v>-6.9</c:v>
                </c:pt>
                <c:pt idx="160">
                  <c:v>-7</c:v>
                </c:pt>
                <c:pt idx="161">
                  <c:v>-7.1</c:v>
                </c:pt>
                <c:pt idx="162">
                  <c:v>-7.2</c:v>
                </c:pt>
                <c:pt idx="163">
                  <c:v>-7.3</c:v>
                </c:pt>
                <c:pt idx="164">
                  <c:v>-7.4</c:v>
                </c:pt>
                <c:pt idx="165">
                  <c:v>-7.5</c:v>
                </c:pt>
                <c:pt idx="166">
                  <c:v>-7.6</c:v>
                </c:pt>
                <c:pt idx="167">
                  <c:v>-7.7</c:v>
                </c:pt>
                <c:pt idx="168">
                  <c:v>-7.8</c:v>
                </c:pt>
                <c:pt idx="169">
                  <c:v>-7.9</c:v>
                </c:pt>
                <c:pt idx="170">
                  <c:v>-8</c:v>
                </c:pt>
                <c:pt idx="171">
                  <c:v>-8.1</c:v>
                </c:pt>
                <c:pt idx="172">
                  <c:v>-8.1999999999999993</c:v>
                </c:pt>
                <c:pt idx="173">
                  <c:v>-8.3000000000000007</c:v>
                </c:pt>
                <c:pt idx="174">
                  <c:v>-8.4</c:v>
                </c:pt>
                <c:pt idx="175">
                  <c:v>-8.5</c:v>
                </c:pt>
                <c:pt idx="176">
                  <c:v>-8.6</c:v>
                </c:pt>
                <c:pt idx="177">
                  <c:v>-8.6999999999999993</c:v>
                </c:pt>
                <c:pt idx="178">
                  <c:v>-8.8000000000000007</c:v>
                </c:pt>
                <c:pt idx="179">
                  <c:v>-8.9</c:v>
                </c:pt>
                <c:pt idx="180">
                  <c:v>-9</c:v>
                </c:pt>
              </c:numCache>
            </c:numRef>
          </c:xVal>
          <c:yVal>
            <c:numRef>
              <c:f>'CS 1er sem datos'!$C$2:$C$182</c:f>
              <c:numCache>
                <c:formatCode>General</c:formatCode>
                <c:ptCount val="181"/>
                <c:pt idx="0">
                  <c:v>0</c:v>
                </c:pt>
                <c:pt idx="1">
                  <c:v>-1.3379088160259622</c:v>
                </c:pt>
                <c:pt idx="2">
                  <c:v>-1.8867962264113176</c:v>
                </c:pt>
                <c:pt idx="3">
                  <c:v>-2.304343724360586</c:v>
                </c:pt>
                <c:pt idx="4">
                  <c:v>-2.6532998322843211</c:v>
                </c:pt>
                <c:pt idx="5">
                  <c:v>-2.9580398915498081</c:v>
                </c:pt>
                <c:pt idx="6">
                  <c:v>-3.2310988842807022</c:v>
                </c:pt>
                <c:pt idx="7">
                  <c:v>-3.479942528261061</c:v>
                </c:pt>
                <c:pt idx="8">
                  <c:v>-3.7094473981982823</c:v>
                </c:pt>
                <c:pt idx="9">
                  <c:v>-3.9230090491866063</c:v>
                </c:pt>
                <c:pt idx="10">
                  <c:v>-4.1231056256176606</c:v>
                </c:pt>
                <c:pt idx="11">
                  <c:v>-4.3116122274620192</c:v>
                </c:pt>
                <c:pt idx="12">
                  <c:v>-4.4899888641287298</c:v>
                </c:pt>
                <c:pt idx="13">
                  <c:v>-4.6593991028886972</c:v>
                </c:pt>
                <c:pt idx="14">
                  <c:v>-4.8207883172775805</c:v>
                </c:pt>
                <c:pt idx="15">
                  <c:v>-4.9749371855330997</c:v>
                </c:pt>
                <c:pt idx="16">
                  <c:v>-5.1224993899462783</c:v>
                </c:pt>
                <c:pt idx="17">
                  <c:v>-5.2640288753007427</c:v>
                </c:pt>
                <c:pt idx="18">
                  <c:v>-5.3999999999999995</c:v>
                </c:pt>
                <c:pt idx="19">
                  <c:v>-5.5308227236099334</c:v>
                </c:pt>
                <c:pt idx="20">
                  <c:v>-5.6568542494923806</c:v>
                </c:pt>
                <c:pt idx="21">
                  <c:v>-5.7784080852774666</c:v>
                </c:pt>
                <c:pt idx="22">
                  <c:v>-5.89576118919347</c:v>
                </c:pt>
                <c:pt idx="23">
                  <c:v>-6.009159675029446</c:v>
                </c:pt>
                <c:pt idx="24">
                  <c:v>-6.1188234163113426</c:v>
                </c:pt>
                <c:pt idx="25">
                  <c:v>-6.2249497989943663</c:v>
                </c:pt>
                <c:pt idx="26">
                  <c:v>-6.327716807822549</c:v>
                </c:pt>
                <c:pt idx="27">
                  <c:v>-6.4272855856885656</c:v>
                </c:pt>
                <c:pt idx="28">
                  <c:v>-6.5238025721200357</c:v>
                </c:pt>
                <c:pt idx="29">
                  <c:v>-6.6174013026262815</c:v>
                </c:pt>
                <c:pt idx="30">
                  <c:v>-6.7082039324993694</c:v>
                </c:pt>
                <c:pt idx="31">
                  <c:v>-6.7963225350184784</c:v>
                </c:pt>
                <c:pt idx="32">
                  <c:v>-6.8818602136341012</c:v>
                </c:pt>
                <c:pt idx="33">
                  <c:v>-6.9649120597463394</c:v>
                </c:pt>
                <c:pt idx="34">
                  <c:v>-7.0455659815234153</c:v>
                </c:pt>
                <c:pt idx="35">
                  <c:v>-7.1239034243875032</c:v>
                </c:pt>
                <c:pt idx="36">
                  <c:v>-7.2</c:v>
                </c:pt>
                <c:pt idx="37">
                  <c:v>-7.2739260375673327</c:v>
                </c:pt>
                <c:pt idx="38">
                  <c:v>-7.3457470688827824</c:v>
                </c:pt>
                <c:pt idx="39">
                  <c:v>-7.4155242565849653</c:v>
                </c:pt>
                <c:pt idx="40">
                  <c:v>-7.4833147735478827</c:v>
                </c:pt>
                <c:pt idx="41">
                  <c:v>-7.5491721400429066</c:v>
                </c:pt>
                <c:pt idx="42">
                  <c:v>-7.6131465242697125</c:v>
                </c:pt>
                <c:pt idx="43">
                  <c:v>-7.6752850109947053</c:v>
                </c:pt>
                <c:pt idx="44">
                  <c:v>-7.7356318423254864</c:v>
                </c:pt>
                <c:pt idx="45">
                  <c:v>-7.794228634059948</c:v>
                </c:pt>
                <c:pt idx="46">
                  <c:v>-7.8511145705562084</c:v>
                </c:pt>
                <c:pt idx="47">
                  <c:v>-7.9063265806567848</c:v>
                </c:pt>
                <c:pt idx="48">
                  <c:v>-7.9598994968529597</c:v>
                </c:pt>
                <c:pt idx="49">
                  <c:v>-8.0118661995817178</c:v>
                </c:pt>
                <c:pt idx="50">
                  <c:v>-8.0622577482985491</c:v>
                </c:pt>
                <c:pt idx="51">
                  <c:v>-8.1111035007574657</c:v>
                </c:pt>
                <c:pt idx="52">
                  <c:v>-8.1584312217484563</c:v>
                </c:pt>
                <c:pt idx="53">
                  <c:v>-8.2042671823874684</c:v>
                </c:pt>
                <c:pt idx="54">
                  <c:v>-8.2486362509205122</c:v>
                </c:pt>
                <c:pt idx="55">
                  <c:v>-8.2915619758885004</c:v>
                </c:pt>
                <c:pt idx="56">
                  <c:v>-8.3330666623998635</c:v>
                </c:pt>
                <c:pt idx="57">
                  <c:v>-8.3731714421717172</c:v>
                </c:pt>
                <c:pt idx="58">
                  <c:v>-8.4118963379252349</c:v>
                </c:pt>
                <c:pt idx="59">
                  <c:v>-8.4492603226554692</c:v>
                </c:pt>
                <c:pt idx="60">
                  <c:v>-8.4852813742385695</c:v>
                </c:pt>
                <c:pt idx="61">
                  <c:v>-8.519976525789259</c:v>
                </c:pt>
                <c:pt idx="62">
                  <c:v>-8.5533619121372393</c:v>
                </c:pt>
                <c:pt idx="63">
                  <c:v>-8.5854528127525107</c:v>
                </c:pt>
                <c:pt idx="64">
                  <c:v>-8.616263691415206</c:v>
                </c:pt>
                <c:pt idx="65">
                  <c:v>-8.6458082328952912</c:v>
                </c:pt>
                <c:pt idx="66">
                  <c:v>-8.6740993768805765</c:v>
                </c:pt>
                <c:pt idx="67">
                  <c:v>-8.7011493493675882</c:v>
                </c:pt>
                <c:pt idx="68">
                  <c:v>-8.7269696917085717</c:v>
                </c:pt>
                <c:pt idx="69">
                  <c:v>-8.7515712874888933</c:v>
                </c:pt>
                <c:pt idx="70">
                  <c:v>-8.7749643873921226</c:v>
                </c:pt>
                <c:pt idx="71">
                  <c:v>-8.7971586321948294</c:v>
                </c:pt>
                <c:pt idx="72">
                  <c:v>-8.8181630740194414</c:v>
                </c:pt>
                <c:pt idx="73">
                  <c:v>-8.8379861959611592</c:v>
                </c:pt>
                <c:pt idx="74">
                  <c:v>-8.8566359301938107</c:v>
                </c:pt>
                <c:pt idx="75">
                  <c:v>-8.8741196746494246</c:v>
                </c:pt>
                <c:pt idx="76">
                  <c:v>-8.8904443083571483</c:v>
                </c:pt>
                <c:pt idx="77">
                  <c:v>-8.9056162055188519</c:v>
                </c:pt>
                <c:pt idx="78">
                  <c:v>-8.9196412483911036</c:v>
                </c:pt>
                <c:pt idx="79">
                  <c:v>-8.9325248390362741</c:v>
                </c:pt>
                <c:pt idx="80">
                  <c:v>-8.9442719099991592</c:v>
                </c:pt>
                <c:pt idx="81">
                  <c:v>-8.95488693395958</c:v>
                </c:pt>
                <c:pt idx="82">
                  <c:v>-8.964373932405989</c:v>
                </c:pt>
                <c:pt idx="83">
                  <c:v>-8.9727364833700545</c:v>
                </c:pt>
                <c:pt idx="84">
                  <c:v>-8.9799777282574595</c:v>
                </c:pt>
                <c:pt idx="85">
                  <c:v>-8.9861003778057142</c:v>
                </c:pt>
                <c:pt idx="86">
                  <c:v>-8.9911067171956098</c:v>
                </c:pt>
                <c:pt idx="87">
                  <c:v>-8.9949986103389694</c:v>
                </c:pt>
                <c:pt idx="88">
                  <c:v>-8.9977775033615934</c:v>
                </c:pt>
                <c:pt idx="89">
                  <c:v>-8.9994444272966092</c:v>
                </c:pt>
                <c:pt idx="90">
                  <c:v>-9</c:v>
                </c:pt>
                <c:pt idx="91">
                  <c:v>-8.9994444272966092</c:v>
                </c:pt>
                <c:pt idx="92">
                  <c:v>-8.9977775033615934</c:v>
                </c:pt>
                <c:pt idx="93">
                  <c:v>-8.9949986103389694</c:v>
                </c:pt>
                <c:pt idx="94">
                  <c:v>-8.9911067171956098</c:v>
                </c:pt>
                <c:pt idx="95">
                  <c:v>-8.9861003778057142</c:v>
                </c:pt>
                <c:pt idx="96">
                  <c:v>-8.9799777282574595</c:v>
                </c:pt>
                <c:pt idx="97">
                  <c:v>-8.9727364833700545</c:v>
                </c:pt>
                <c:pt idx="98">
                  <c:v>-8.964373932405989</c:v>
                </c:pt>
                <c:pt idx="99">
                  <c:v>-8.95488693395958</c:v>
                </c:pt>
                <c:pt idx="100">
                  <c:v>-8.9442719099991592</c:v>
                </c:pt>
                <c:pt idx="101">
                  <c:v>-8.9325248390362741</c:v>
                </c:pt>
                <c:pt idx="102">
                  <c:v>-8.9196412483911036</c:v>
                </c:pt>
                <c:pt idx="103">
                  <c:v>-8.9056162055188519</c:v>
                </c:pt>
                <c:pt idx="104">
                  <c:v>-8.8904443083571483</c:v>
                </c:pt>
                <c:pt idx="105">
                  <c:v>-8.8741196746494246</c:v>
                </c:pt>
                <c:pt idx="106">
                  <c:v>-8.8566359301938107</c:v>
                </c:pt>
                <c:pt idx="107">
                  <c:v>-8.8379861959611592</c:v>
                </c:pt>
                <c:pt idx="108">
                  <c:v>-8.8181630740194414</c:v>
                </c:pt>
                <c:pt idx="109">
                  <c:v>-8.7971586321948294</c:v>
                </c:pt>
                <c:pt idx="110">
                  <c:v>-8.7749643873921226</c:v>
                </c:pt>
                <c:pt idx="111">
                  <c:v>-8.7515712874888933</c:v>
                </c:pt>
                <c:pt idx="112">
                  <c:v>-8.7269696917085717</c:v>
                </c:pt>
                <c:pt idx="113">
                  <c:v>-8.7011493493675882</c:v>
                </c:pt>
                <c:pt idx="114">
                  <c:v>-8.6740993768805765</c:v>
                </c:pt>
                <c:pt idx="115">
                  <c:v>-8.6458082328952912</c:v>
                </c:pt>
                <c:pt idx="116">
                  <c:v>-8.616263691415206</c:v>
                </c:pt>
                <c:pt idx="117">
                  <c:v>-8.5854528127525107</c:v>
                </c:pt>
                <c:pt idx="118">
                  <c:v>-8.5533619121372393</c:v>
                </c:pt>
                <c:pt idx="119">
                  <c:v>-8.519976525789259</c:v>
                </c:pt>
                <c:pt idx="120">
                  <c:v>-8.4852813742385695</c:v>
                </c:pt>
                <c:pt idx="121">
                  <c:v>-8.4492603226554692</c:v>
                </c:pt>
                <c:pt idx="122">
                  <c:v>-8.4118963379252349</c:v>
                </c:pt>
                <c:pt idx="123">
                  <c:v>-8.3731714421717172</c:v>
                </c:pt>
                <c:pt idx="124">
                  <c:v>-8.3330666623998635</c:v>
                </c:pt>
                <c:pt idx="125">
                  <c:v>-8.2915619758885004</c:v>
                </c:pt>
                <c:pt idx="126">
                  <c:v>-8.2486362509205122</c:v>
                </c:pt>
                <c:pt idx="127">
                  <c:v>-8.2042671823874684</c:v>
                </c:pt>
                <c:pt idx="128">
                  <c:v>-8.1584312217484563</c:v>
                </c:pt>
                <c:pt idx="129">
                  <c:v>-8.1111035007574657</c:v>
                </c:pt>
                <c:pt idx="130">
                  <c:v>-8.0622577482985491</c:v>
                </c:pt>
                <c:pt idx="131">
                  <c:v>-8.0118661995817178</c:v>
                </c:pt>
                <c:pt idx="132">
                  <c:v>-7.9598994968529597</c:v>
                </c:pt>
                <c:pt idx="133">
                  <c:v>-7.9063265806567848</c:v>
                </c:pt>
                <c:pt idx="134">
                  <c:v>-7.8511145705562084</c:v>
                </c:pt>
                <c:pt idx="135">
                  <c:v>-7.794228634059948</c:v>
                </c:pt>
                <c:pt idx="136">
                  <c:v>-7.7356318423254864</c:v>
                </c:pt>
                <c:pt idx="137">
                  <c:v>-7.6752850109947053</c:v>
                </c:pt>
                <c:pt idx="138">
                  <c:v>-7.6131465242697125</c:v>
                </c:pt>
                <c:pt idx="139">
                  <c:v>-7.5491721400429066</c:v>
                </c:pt>
                <c:pt idx="140">
                  <c:v>-7.4833147735478827</c:v>
                </c:pt>
                <c:pt idx="141">
                  <c:v>-7.4155242565849653</c:v>
                </c:pt>
                <c:pt idx="142">
                  <c:v>-7.3457470688827824</c:v>
                </c:pt>
                <c:pt idx="143">
                  <c:v>-7.2739260375673327</c:v>
                </c:pt>
                <c:pt idx="144">
                  <c:v>-7.2</c:v>
                </c:pt>
                <c:pt idx="145">
                  <c:v>-7.1239034243875032</c:v>
                </c:pt>
                <c:pt idx="146">
                  <c:v>-7.0455659815234153</c:v>
                </c:pt>
                <c:pt idx="147">
                  <c:v>-6.9649120597463394</c:v>
                </c:pt>
                <c:pt idx="148">
                  <c:v>-6.8818602136341012</c:v>
                </c:pt>
                <c:pt idx="149">
                  <c:v>-6.7963225350184784</c:v>
                </c:pt>
                <c:pt idx="150">
                  <c:v>-6.7082039324993694</c:v>
                </c:pt>
                <c:pt idx="151">
                  <c:v>-6.6174013026262815</c:v>
                </c:pt>
                <c:pt idx="152">
                  <c:v>-6.5238025721200357</c:v>
                </c:pt>
                <c:pt idx="153">
                  <c:v>-6.4272855856885656</c:v>
                </c:pt>
                <c:pt idx="154">
                  <c:v>-6.327716807822549</c:v>
                </c:pt>
                <c:pt idx="155">
                  <c:v>-6.2249497989943663</c:v>
                </c:pt>
                <c:pt idx="156">
                  <c:v>-6.1188234163113426</c:v>
                </c:pt>
                <c:pt idx="157">
                  <c:v>-6.009159675029446</c:v>
                </c:pt>
                <c:pt idx="158">
                  <c:v>-5.89576118919347</c:v>
                </c:pt>
                <c:pt idx="159">
                  <c:v>-5.7784080852774666</c:v>
                </c:pt>
                <c:pt idx="160">
                  <c:v>-5.6568542494923806</c:v>
                </c:pt>
                <c:pt idx="161">
                  <c:v>-5.5308227236099334</c:v>
                </c:pt>
                <c:pt idx="162">
                  <c:v>-5.3999999999999995</c:v>
                </c:pt>
                <c:pt idx="163">
                  <c:v>-5.2640288753007427</c:v>
                </c:pt>
                <c:pt idx="164">
                  <c:v>-5.1224993899462783</c:v>
                </c:pt>
                <c:pt idx="165">
                  <c:v>-4.9749371855330997</c:v>
                </c:pt>
                <c:pt idx="166">
                  <c:v>-4.8207883172775805</c:v>
                </c:pt>
                <c:pt idx="167">
                  <c:v>-4.6593991028886972</c:v>
                </c:pt>
                <c:pt idx="168">
                  <c:v>-4.4899888641287298</c:v>
                </c:pt>
                <c:pt idx="169">
                  <c:v>-4.3116122274620192</c:v>
                </c:pt>
                <c:pt idx="170">
                  <c:v>-4.1231056256176606</c:v>
                </c:pt>
                <c:pt idx="171">
                  <c:v>-3.9230090491866063</c:v>
                </c:pt>
                <c:pt idx="172">
                  <c:v>-3.7094473981982823</c:v>
                </c:pt>
                <c:pt idx="173">
                  <c:v>-3.479942528261061</c:v>
                </c:pt>
                <c:pt idx="174">
                  <c:v>-3.2310988842807022</c:v>
                </c:pt>
                <c:pt idx="175">
                  <c:v>-2.9580398915498081</c:v>
                </c:pt>
                <c:pt idx="176">
                  <c:v>-2.6532998322843211</c:v>
                </c:pt>
                <c:pt idx="177">
                  <c:v>-2.304343724360586</c:v>
                </c:pt>
                <c:pt idx="178">
                  <c:v>-1.8867962264113176</c:v>
                </c:pt>
                <c:pt idx="179">
                  <c:v>-1.3379088160259622</c:v>
                </c:pt>
                <c:pt idx="180">
                  <c:v>0</c:v>
                </c:pt>
              </c:numCache>
            </c:numRef>
          </c:yVal>
          <c:smooth val="1"/>
        </c:ser>
        <c:ser>
          <c:idx val="77"/>
          <c:order val="16"/>
          <c:spPr>
            <a:ln w="1905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'CS 1er sem datos'!$A$12:$A$172</c:f>
              <c:numCache>
                <c:formatCode>General</c:formatCode>
                <c:ptCount val="161"/>
                <c:pt idx="0">
                  <c:v>8</c:v>
                </c:pt>
                <c:pt idx="1">
                  <c:v>7.9</c:v>
                </c:pt>
                <c:pt idx="2">
                  <c:v>7.8</c:v>
                </c:pt>
                <c:pt idx="3">
                  <c:v>7.7</c:v>
                </c:pt>
                <c:pt idx="4">
                  <c:v>7.6</c:v>
                </c:pt>
                <c:pt idx="5">
                  <c:v>7.5</c:v>
                </c:pt>
                <c:pt idx="6">
                  <c:v>7.4</c:v>
                </c:pt>
                <c:pt idx="7">
                  <c:v>7.3</c:v>
                </c:pt>
                <c:pt idx="8">
                  <c:v>7.2</c:v>
                </c:pt>
                <c:pt idx="9">
                  <c:v>7.1</c:v>
                </c:pt>
                <c:pt idx="10">
                  <c:v>7</c:v>
                </c:pt>
                <c:pt idx="11">
                  <c:v>6.9</c:v>
                </c:pt>
                <c:pt idx="12">
                  <c:v>6.8</c:v>
                </c:pt>
                <c:pt idx="13">
                  <c:v>6.7</c:v>
                </c:pt>
                <c:pt idx="14">
                  <c:v>6.6</c:v>
                </c:pt>
                <c:pt idx="15">
                  <c:v>6.5</c:v>
                </c:pt>
                <c:pt idx="16">
                  <c:v>6.4</c:v>
                </c:pt>
                <c:pt idx="17">
                  <c:v>6.3</c:v>
                </c:pt>
                <c:pt idx="18">
                  <c:v>6.2</c:v>
                </c:pt>
                <c:pt idx="19">
                  <c:v>6.1</c:v>
                </c:pt>
                <c:pt idx="20">
                  <c:v>6</c:v>
                </c:pt>
                <c:pt idx="21">
                  <c:v>5.9</c:v>
                </c:pt>
                <c:pt idx="22">
                  <c:v>5.8</c:v>
                </c:pt>
                <c:pt idx="23">
                  <c:v>5.7</c:v>
                </c:pt>
                <c:pt idx="24">
                  <c:v>5.6</c:v>
                </c:pt>
                <c:pt idx="25">
                  <c:v>5.5</c:v>
                </c:pt>
                <c:pt idx="26">
                  <c:v>5.4</c:v>
                </c:pt>
                <c:pt idx="27">
                  <c:v>5.3</c:v>
                </c:pt>
                <c:pt idx="28">
                  <c:v>5.2</c:v>
                </c:pt>
                <c:pt idx="29">
                  <c:v>5.0999999999999996</c:v>
                </c:pt>
                <c:pt idx="30">
                  <c:v>5</c:v>
                </c:pt>
                <c:pt idx="31">
                  <c:v>4.9000000000000004</c:v>
                </c:pt>
                <c:pt idx="32">
                  <c:v>4.8</c:v>
                </c:pt>
                <c:pt idx="33">
                  <c:v>4.7</c:v>
                </c:pt>
                <c:pt idx="34">
                  <c:v>4.5999999999999996</c:v>
                </c:pt>
                <c:pt idx="35">
                  <c:v>4.5</c:v>
                </c:pt>
                <c:pt idx="36">
                  <c:v>4.4000000000000004</c:v>
                </c:pt>
                <c:pt idx="37">
                  <c:v>4.3</c:v>
                </c:pt>
                <c:pt idx="38">
                  <c:v>4.2</c:v>
                </c:pt>
                <c:pt idx="39">
                  <c:v>4.0999999999999996</c:v>
                </c:pt>
                <c:pt idx="40">
                  <c:v>4</c:v>
                </c:pt>
                <c:pt idx="41">
                  <c:v>3.9</c:v>
                </c:pt>
                <c:pt idx="42">
                  <c:v>3.8</c:v>
                </c:pt>
                <c:pt idx="43">
                  <c:v>3.7</c:v>
                </c:pt>
                <c:pt idx="44">
                  <c:v>3.6</c:v>
                </c:pt>
                <c:pt idx="45">
                  <c:v>3.5</c:v>
                </c:pt>
                <c:pt idx="46">
                  <c:v>3.4</c:v>
                </c:pt>
                <c:pt idx="47">
                  <c:v>3.3</c:v>
                </c:pt>
                <c:pt idx="48">
                  <c:v>3.2</c:v>
                </c:pt>
                <c:pt idx="49">
                  <c:v>3.1</c:v>
                </c:pt>
                <c:pt idx="50">
                  <c:v>3</c:v>
                </c:pt>
                <c:pt idx="51">
                  <c:v>2.9</c:v>
                </c:pt>
                <c:pt idx="52">
                  <c:v>2.8</c:v>
                </c:pt>
                <c:pt idx="53">
                  <c:v>2.7</c:v>
                </c:pt>
                <c:pt idx="54">
                  <c:v>2.6</c:v>
                </c:pt>
                <c:pt idx="55">
                  <c:v>2.5</c:v>
                </c:pt>
                <c:pt idx="56">
                  <c:v>2.4</c:v>
                </c:pt>
                <c:pt idx="57">
                  <c:v>2.2999999999999998</c:v>
                </c:pt>
                <c:pt idx="58">
                  <c:v>2.2000000000000002</c:v>
                </c:pt>
                <c:pt idx="59">
                  <c:v>2.1</c:v>
                </c:pt>
                <c:pt idx="60">
                  <c:v>2</c:v>
                </c:pt>
                <c:pt idx="61">
                  <c:v>1.9</c:v>
                </c:pt>
                <c:pt idx="62">
                  <c:v>1.8</c:v>
                </c:pt>
                <c:pt idx="63">
                  <c:v>1.7</c:v>
                </c:pt>
                <c:pt idx="64">
                  <c:v>1.6</c:v>
                </c:pt>
                <c:pt idx="65">
                  <c:v>1.5</c:v>
                </c:pt>
                <c:pt idx="66">
                  <c:v>1.4</c:v>
                </c:pt>
                <c:pt idx="67">
                  <c:v>1.3</c:v>
                </c:pt>
                <c:pt idx="68">
                  <c:v>1.2</c:v>
                </c:pt>
                <c:pt idx="69">
                  <c:v>1.1000000000000001</c:v>
                </c:pt>
                <c:pt idx="70">
                  <c:v>1</c:v>
                </c:pt>
                <c:pt idx="71">
                  <c:v>0.9</c:v>
                </c:pt>
                <c:pt idx="72">
                  <c:v>0.8</c:v>
                </c:pt>
                <c:pt idx="73">
                  <c:v>0.7</c:v>
                </c:pt>
                <c:pt idx="74">
                  <c:v>0.6</c:v>
                </c:pt>
                <c:pt idx="75">
                  <c:v>0.5</c:v>
                </c:pt>
                <c:pt idx="76">
                  <c:v>0.4</c:v>
                </c:pt>
                <c:pt idx="77">
                  <c:v>0.3</c:v>
                </c:pt>
                <c:pt idx="78">
                  <c:v>0.2</c:v>
                </c:pt>
                <c:pt idx="79">
                  <c:v>0.1</c:v>
                </c:pt>
                <c:pt idx="80">
                  <c:v>0</c:v>
                </c:pt>
                <c:pt idx="81">
                  <c:v>-0.1</c:v>
                </c:pt>
                <c:pt idx="82">
                  <c:v>-0.2</c:v>
                </c:pt>
                <c:pt idx="83">
                  <c:v>-0.3</c:v>
                </c:pt>
                <c:pt idx="84">
                  <c:v>-0.4</c:v>
                </c:pt>
                <c:pt idx="85">
                  <c:v>-0.5</c:v>
                </c:pt>
                <c:pt idx="86">
                  <c:v>-0.6</c:v>
                </c:pt>
                <c:pt idx="87">
                  <c:v>-0.7</c:v>
                </c:pt>
                <c:pt idx="88">
                  <c:v>-0.8</c:v>
                </c:pt>
                <c:pt idx="89">
                  <c:v>-0.9</c:v>
                </c:pt>
                <c:pt idx="90">
                  <c:v>-1</c:v>
                </c:pt>
                <c:pt idx="91">
                  <c:v>-1.1000000000000001</c:v>
                </c:pt>
                <c:pt idx="92">
                  <c:v>-1.2</c:v>
                </c:pt>
                <c:pt idx="93">
                  <c:v>-1.3</c:v>
                </c:pt>
                <c:pt idx="94">
                  <c:v>-1.4</c:v>
                </c:pt>
                <c:pt idx="95">
                  <c:v>-1.5</c:v>
                </c:pt>
                <c:pt idx="96">
                  <c:v>-1.6</c:v>
                </c:pt>
                <c:pt idx="97">
                  <c:v>-1.7</c:v>
                </c:pt>
                <c:pt idx="98">
                  <c:v>-1.8</c:v>
                </c:pt>
                <c:pt idx="99">
                  <c:v>-1.9</c:v>
                </c:pt>
                <c:pt idx="100">
                  <c:v>-2</c:v>
                </c:pt>
                <c:pt idx="101">
                  <c:v>-2.1</c:v>
                </c:pt>
                <c:pt idx="102">
                  <c:v>-2.2000000000000002</c:v>
                </c:pt>
                <c:pt idx="103">
                  <c:v>-2.2999999999999998</c:v>
                </c:pt>
                <c:pt idx="104">
                  <c:v>-2.4</c:v>
                </c:pt>
                <c:pt idx="105">
                  <c:v>-2.5</c:v>
                </c:pt>
                <c:pt idx="106">
                  <c:v>-2.6</c:v>
                </c:pt>
                <c:pt idx="107">
                  <c:v>-2.7</c:v>
                </c:pt>
                <c:pt idx="108">
                  <c:v>-2.8</c:v>
                </c:pt>
                <c:pt idx="109">
                  <c:v>-2.9</c:v>
                </c:pt>
                <c:pt idx="110">
                  <c:v>-3</c:v>
                </c:pt>
                <c:pt idx="111">
                  <c:v>-3.1</c:v>
                </c:pt>
                <c:pt idx="112">
                  <c:v>-3.2</c:v>
                </c:pt>
                <c:pt idx="113">
                  <c:v>-3.3</c:v>
                </c:pt>
                <c:pt idx="114">
                  <c:v>-3.4</c:v>
                </c:pt>
                <c:pt idx="115">
                  <c:v>-3.5</c:v>
                </c:pt>
                <c:pt idx="116">
                  <c:v>-3.6</c:v>
                </c:pt>
                <c:pt idx="117">
                  <c:v>-3.7</c:v>
                </c:pt>
                <c:pt idx="118">
                  <c:v>-3.8</c:v>
                </c:pt>
                <c:pt idx="119">
                  <c:v>-3.9</c:v>
                </c:pt>
                <c:pt idx="120">
                  <c:v>-4</c:v>
                </c:pt>
                <c:pt idx="121">
                  <c:v>-4.0999999999999996</c:v>
                </c:pt>
                <c:pt idx="122">
                  <c:v>-4.2</c:v>
                </c:pt>
                <c:pt idx="123">
                  <c:v>-4.3</c:v>
                </c:pt>
                <c:pt idx="124">
                  <c:v>-4.4000000000000004</c:v>
                </c:pt>
                <c:pt idx="125">
                  <c:v>-4.5</c:v>
                </c:pt>
                <c:pt idx="126">
                  <c:v>-4.5999999999999996</c:v>
                </c:pt>
                <c:pt idx="127">
                  <c:v>-4.7</c:v>
                </c:pt>
                <c:pt idx="128">
                  <c:v>-4.8</c:v>
                </c:pt>
                <c:pt idx="129">
                  <c:v>-4.9000000000000004</c:v>
                </c:pt>
                <c:pt idx="130">
                  <c:v>-5</c:v>
                </c:pt>
                <c:pt idx="131">
                  <c:v>-5.0999999999999996</c:v>
                </c:pt>
                <c:pt idx="132">
                  <c:v>-5.2</c:v>
                </c:pt>
                <c:pt idx="133">
                  <c:v>-5.3</c:v>
                </c:pt>
                <c:pt idx="134">
                  <c:v>-5.4</c:v>
                </c:pt>
                <c:pt idx="135">
                  <c:v>-5.5</c:v>
                </c:pt>
                <c:pt idx="136">
                  <c:v>-5.6</c:v>
                </c:pt>
                <c:pt idx="137">
                  <c:v>-5.7</c:v>
                </c:pt>
                <c:pt idx="138">
                  <c:v>-5.8</c:v>
                </c:pt>
                <c:pt idx="139">
                  <c:v>-5.9</c:v>
                </c:pt>
                <c:pt idx="140">
                  <c:v>-6</c:v>
                </c:pt>
                <c:pt idx="141">
                  <c:v>-6.1</c:v>
                </c:pt>
                <c:pt idx="142">
                  <c:v>-6.2</c:v>
                </c:pt>
                <c:pt idx="143">
                  <c:v>-6.3</c:v>
                </c:pt>
                <c:pt idx="144">
                  <c:v>-6.4</c:v>
                </c:pt>
                <c:pt idx="145">
                  <c:v>-6.5</c:v>
                </c:pt>
                <c:pt idx="146">
                  <c:v>-6.6</c:v>
                </c:pt>
                <c:pt idx="147">
                  <c:v>-6.7</c:v>
                </c:pt>
                <c:pt idx="148">
                  <c:v>-6.8</c:v>
                </c:pt>
                <c:pt idx="149">
                  <c:v>-6.9</c:v>
                </c:pt>
                <c:pt idx="150">
                  <c:v>-7</c:v>
                </c:pt>
                <c:pt idx="151">
                  <c:v>-7.1</c:v>
                </c:pt>
                <c:pt idx="152">
                  <c:v>-7.2</c:v>
                </c:pt>
                <c:pt idx="153">
                  <c:v>-7.3</c:v>
                </c:pt>
                <c:pt idx="154">
                  <c:v>-7.4</c:v>
                </c:pt>
                <c:pt idx="155">
                  <c:v>-7.5</c:v>
                </c:pt>
                <c:pt idx="156">
                  <c:v>-7.6</c:v>
                </c:pt>
                <c:pt idx="157">
                  <c:v>-7.7</c:v>
                </c:pt>
                <c:pt idx="158">
                  <c:v>-7.8</c:v>
                </c:pt>
                <c:pt idx="159">
                  <c:v>-7.9</c:v>
                </c:pt>
                <c:pt idx="160">
                  <c:v>-8</c:v>
                </c:pt>
              </c:numCache>
            </c:numRef>
          </c:xVal>
          <c:yVal>
            <c:numRef>
              <c:f>'CS 1er sem datos'!$D$12:$D$172</c:f>
              <c:numCache>
                <c:formatCode>General</c:formatCode>
                <c:ptCount val="161"/>
                <c:pt idx="0">
                  <c:v>0</c:v>
                </c:pt>
                <c:pt idx="1">
                  <c:v>1.2609520212918477</c:v>
                </c:pt>
                <c:pt idx="2">
                  <c:v>1.7776388834631187</c:v>
                </c:pt>
                <c:pt idx="3">
                  <c:v>2.1702534414210692</c:v>
                </c:pt>
                <c:pt idx="4">
                  <c:v>2.4979991993593598</c:v>
                </c:pt>
                <c:pt idx="5">
                  <c:v>2.7838821814150108</c:v>
                </c:pt>
                <c:pt idx="6">
                  <c:v>3.0397368307141317</c:v>
                </c:pt>
                <c:pt idx="7">
                  <c:v>3.2726136343907144</c:v>
                </c:pt>
                <c:pt idx="8">
                  <c:v>3.4871191548325382</c:v>
                </c:pt>
                <c:pt idx="9">
                  <c:v>3.6864617182333528</c:v>
                </c:pt>
                <c:pt idx="10">
                  <c:v>3.872983346207417</c:v>
                </c:pt>
                <c:pt idx="11">
                  <c:v>4.0484564959994316</c:v>
                </c:pt>
                <c:pt idx="12">
                  <c:v>4.2142615011410962</c:v>
                </c:pt>
                <c:pt idx="13">
                  <c:v>4.3714985988788788</c:v>
                </c:pt>
                <c:pt idx="14">
                  <c:v>4.5210618221829266</c:v>
                </c:pt>
                <c:pt idx="15">
                  <c:v>4.6636895265444078</c:v>
                </c:pt>
                <c:pt idx="16">
                  <c:v>4.7999999999999989</c:v>
                </c:pt>
                <c:pt idx="17">
                  <c:v>4.9305172142484199</c:v>
                </c:pt>
                <c:pt idx="18">
                  <c:v>5.0556898639058145</c:v>
                </c:pt>
                <c:pt idx="19">
                  <c:v>5.1759057178430137</c:v>
                </c:pt>
                <c:pt idx="20">
                  <c:v>5.2915026221291814</c:v>
                </c:pt>
                <c:pt idx="21">
                  <c:v>5.4027770636960391</c:v>
                </c:pt>
                <c:pt idx="22">
                  <c:v>5.5099909255823647</c:v>
                </c:pt>
                <c:pt idx="23">
                  <c:v>5.6133768802744752</c:v>
                </c:pt>
                <c:pt idx="24">
                  <c:v>5.7131427428342798</c:v>
                </c:pt>
                <c:pt idx="25">
                  <c:v>5.8094750193111251</c:v>
                </c:pt>
                <c:pt idx="26">
                  <c:v>5.9025418253494824</c:v>
                </c:pt>
                <c:pt idx="27">
                  <c:v>5.9924953066314535</c:v>
                </c:pt>
                <c:pt idx="28">
                  <c:v>6.0794736614282652</c:v>
                </c:pt>
                <c:pt idx="29">
                  <c:v>6.163602842493991</c:v>
                </c:pt>
                <c:pt idx="30">
                  <c:v>6.2449979983983983</c:v>
                </c:pt>
                <c:pt idx="31">
                  <c:v>6.3237647015049507</c:v>
                </c:pt>
                <c:pt idx="32">
                  <c:v>6.4</c:v>
                </c:pt>
                <c:pt idx="33">
                  <c:v>6.473793323855805</c:v>
                </c:pt>
                <c:pt idx="34">
                  <c:v>6.5452272687814288</c:v>
                </c:pt>
                <c:pt idx="35">
                  <c:v>6.6143782776614763</c:v>
                </c:pt>
                <c:pt idx="36">
                  <c:v>6.6813172353960262</c:v>
                </c:pt>
                <c:pt idx="37">
                  <c:v>6.746109990209173</c:v>
                </c:pt>
                <c:pt idx="38">
                  <c:v>6.8088178122196803</c:v>
                </c:pt>
                <c:pt idx="39">
                  <c:v>6.8694977982382381</c:v>
                </c:pt>
                <c:pt idx="40">
                  <c:v>6.9282032302755088</c:v>
                </c:pt>
                <c:pt idx="41">
                  <c:v>6.9849838940401288</c:v>
                </c:pt>
                <c:pt idx="42">
                  <c:v>7.0398863627192165</c:v>
                </c:pt>
                <c:pt idx="43">
                  <c:v>7.0929542505221335</c:v>
                </c:pt>
                <c:pt idx="44">
                  <c:v>7.1442284397967004</c:v>
                </c:pt>
                <c:pt idx="45">
                  <c:v>7.1937472849690796</c:v>
                </c:pt>
                <c:pt idx="46">
                  <c:v>7.2415467960926687</c:v>
                </c:pt>
                <c:pt idx="47">
                  <c:v>7.2876608044008195</c:v>
                </c:pt>
                <c:pt idx="48">
                  <c:v>7.3321211119293439</c:v>
                </c:pt>
                <c:pt idx="49">
                  <c:v>7.3749576269969168</c:v>
                </c:pt>
                <c:pt idx="50">
                  <c:v>7.416198487095663</c:v>
                </c:pt>
                <c:pt idx="51">
                  <c:v>7.4558701705434762</c:v>
                </c:pt>
                <c:pt idx="52">
                  <c:v>7.493997598078078</c:v>
                </c:pt>
                <c:pt idx="53">
                  <c:v>7.5306042254257397</c:v>
                </c:pt>
                <c:pt idx="54">
                  <c:v>7.5657121277510955</c:v>
                </c:pt>
                <c:pt idx="55">
                  <c:v>7.5993420767853319</c:v>
                </c:pt>
                <c:pt idx="56">
                  <c:v>7.6315136113355653</c:v>
                </c:pt>
                <c:pt idx="57">
                  <c:v>7.6622451017962092</c:v>
                </c:pt>
                <c:pt idx="58">
                  <c:v>7.6915538092117641</c:v>
                </c:pt>
                <c:pt idx="59">
                  <c:v>7.7194559393781113</c:v>
                </c:pt>
                <c:pt idx="60">
                  <c:v>7.745966692414834</c:v>
                </c:pt>
                <c:pt idx="61">
                  <c:v>7.7711003081931711</c:v>
                </c:pt>
                <c:pt idx="62">
                  <c:v>7.7948701079620308</c:v>
                </c:pt>
                <c:pt idx="63">
                  <c:v>7.8172885324772299</c:v>
                </c:pt>
                <c:pt idx="64">
                  <c:v>7.8383671769061696</c:v>
                </c:pt>
                <c:pt idx="65">
                  <c:v>7.8581168227508558</c:v>
                </c:pt>
                <c:pt idx="66">
                  <c:v>7.8765474670060867</c:v>
                </c:pt>
                <c:pt idx="67">
                  <c:v>7.8936683487463544</c:v>
                </c:pt>
                <c:pt idx="68">
                  <c:v>7.9094879733140759</c:v>
                </c:pt>
                <c:pt idx="69">
                  <c:v>7.9240141342630128</c:v>
                </c:pt>
                <c:pt idx="70">
                  <c:v>7.9372539331937721</c:v>
                </c:pt>
                <c:pt idx="71">
                  <c:v>7.94921379760288</c:v>
                </c:pt>
                <c:pt idx="72">
                  <c:v>7.9598994968529597</c:v>
                </c:pt>
                <c:pt idx="73">
                  <c:v>7.9693161563587118</c:v>
                </c:pt>
                <c:pt idx="74">
                  <c:v>7.9774682700716522</c:v>
                </c:pt>
                <c:pt idx="75">
                  <c:v>7.9843597113356557</c:v>
                </c:pt>
                <c:pt idx="76">
                  <c:v>7.9899937421752716</c:v>
                </c:pt>
                <c:pt idx="77">
                  <c:v>7.994373021069257</c:v>
                </c:pt>
                <c:pt idx="78">
                  <c:v>7.9974996092528823</c:v>
                </c:pt>
                <c:pt idx="79">
                  <c:v>7.99937497558403</c:v>
                </c:pt>
                <c:pt idx="80">
                  <c:v>8</c:v>
                </c:pt>
                <c:pt idx="81">
                  <c:v>7.99937497558403</c:v>
                </c:pt>
                <c:pt idx="82">
                  <c:v>7.9974996092528823</c:v>
                </c:pt>
                <c:pt idx="83">
                  <c:v>7.994373021069257</c:v>
                </c:pt>
                <c:pt idx="84">
                  <c:v>7.9899937421752716</c:v>
                </c:pt>
                <c:pt idx="85">
                  <c:v>7.9843597113356557</c:v>
                </c:pt>
                <c:pt idx="86">
                  <c:v>7.9774682700716522</c:v>
                </c:pt>
                <c:pt idx="87">
                  <c:v>7.9693161563587118</c:v>
                </c:pt>
                <c:pt idx="88">
                  <c:v>7.9598994968529597</c:v>
                </c:pt>
                <c:pt idx="89">
                  <c:v>7.94921379760288</c:v>
                </c:pt>
                <c:pt idx="90">
                  <c:v>7.9372539331937721</c:v>
                </c:pt>
                <c:pt idx="91">
                  <c:v>7.9240141342630128</c:v>
                </c:pt>
                <c:pt idx="92">
                  <c:v>7.9094879733140759</c:v>
                </c:pt>
                <c:pt idx="93">
                  <c:v>7.8936683487463544</c:v>
                </c:pt>
                <c:pt idx="94">
                  <c:v>7.8765474670060867</c:v>
                </c:pt>
                <c:pt idx="95">
                  <c:v>7.8581168227508558</c:v>
                </c:pt>
                <c:pt idx="96">
                  <c:v>7.8383671769061696</c:v>
                </c:pt>
                <c:pt idx="97">
                  <c:v>7.8172885324772299</c:v>
                </c:pt>
                <c:pt idx="98">
                  <c:v>7.7948701079620308</c:v>
                </c:pt>
                <c:pt idx="99">
                  <c:v>7.7711003081931711</c:v>
                </c:pt>
                <c:pt idx="100">
                  <c:v>7.745966692414834</c:v>
                </c:pt>
                <c:pt idx="101">
                  <c:v>7.7194559393781113</c:v>
                </c:pt>
                <c:pt idx="102">
                  <c:v>7.6915538092117641</c:v>
                </c:pt>
                <c:pt idx="103">
                  <c:v>7.6622451017962092</c:v>
                </c:pt>
                <c:pt idx="104">
                  <c:v>7.6315136113355653</c:v>
                </c:pt>
                <c:pt idx="105">
                  <c:v>7.5993420767853319</c:v>
                </c:pt>
                <c:pt idx="106">
                  <c:v>7.5657121277510955</c:v>
                </c:pt>
                <c:pt idx="107">
                  <c:v>7.5306042254257397</c:v>
                </c:pt>
                <c:pt idx="108">
                  <c:v>7.493997598078078</c:v>
                </c:pt>
                <c:pt idx="109">
                  <c:v>7.4558701705434762</c:v>
                </c:pt>
                <c:pt idx="110">
                  <c:v>7.416198487095663</c:v>
                </c:pt>
                <c:pt idx="111">
                  <c:v>7.3749576269969168</c:v>
                </c:pt>
                <c:pt idx="112">
                  <c:v>7.3321211119293439</c:v>
                </c:pt>
                <c:pt idx="113">
                  <c:v>7.2876608044008195</c:v>
                </c:pt>
                <c:pt idx="114">
                  <c:v>7.2415467960926687</c:v>
                </c:pt>
                <c:pt idx="115">
                  <c:v>7.1937472849690796</c:v>
                </c:pt>
                <c:pt idx="116">
                  <c:v>7.1442284397967004</c:v>
                </c:pt>
                <c:pt idx="117">
                  <c:v>7.0929542505221335</c:v>
                </c:pt>
                <c:pt idx="118">
                  <c:v>7.0398863627192165</c:v>
                </c:pt>
                <c:pt idx="119">
                  <c:v>6.9849838940401288</c:v>
                </c:pt>
                <c:pt idx="120">
                  <c:v>6.9282032302755088</c:v>
                </c:pt>
                <c:pt idx="121">
                  <c:v>6.8694977982382381</c:v>
                </c:pt>
                <c:pt idx="122">
                  <c:v>6.8088178122196803</c:v>
                </c:pt>
                <c:pt idx="123">
                  <c:v>6.746109990209173</c:v>
                </c:pt>
                <c:pt idx="124">
                  <c:v>6.6813172353960262</c:v>
                </c:pt>
                <c:pt idx="125">
                  <c:v>6.6143782776614763</c:v>
                </c:pt>
                <c:pt idx="126">
                  <c:v>6.5452272687814288</c:v>
                </c:pt>
                <c:pt idx="127">
                  <c:v>6.473793323855805</c:v>
                </c:pt>
                <c:pt idx="128">
                  <c:v>6.4</c:v>
                </c:pt>
                <c:pt idx="129">
                  <c:v>6.3237647015049507</c:v>
                </c:pt>
                <c:pt idx="130">
                  <c:v>6.2449979983983983</c:v>
                </c:pt>
                <c:pt idx="131">
                  <c:v>6.163602842493991</c:v>
                </c:pt>
                <c:pt idx="132">
                  <c:v>6.0794736614282652</c:v>
                </c:pt>
                <c:pt idx="133">
                  <c:v>5.9924953066314535</c:v>
                </c:pt>
                <c:pt idx="134">
                  <c:v>5.9025418253494824</c:v>
                </c:pt>
                <c:pt idx="135">
                  <c:v>5.8094750193111251</c:v>
                </c:pt>
                <c:pt idx="136">
                  <c:v>5.7131427428342798</c:v>
                </c:pt>
                <c:pt idx="137">
                  <c:v>5.6133768802744752</c:v>
                </c:pt>
                <c:pt idx="138">
                  <c:v>5.5099909255823647</c:v>
                </c:pt>
                <c:pt idx="139">
                  <c:v>5.4027770636960391</c:v>
                </c:pt>
                <c:pt idx="140">
                  <c:v>5.2915026221291814</c:v>
                </c:pt>
                <c:pt idx="141">
                  <c:v>5.1759057178430137</c:v>
                </c:pt>
                <c:pt idx="142">
                  <c:v>5.0556898639058145</c:v>
                </c:pt>
                <c:pt idx="143">
                  <c:v>4.9305172142484199</c:v>
                </c:pt>
                <c:pt idx="144">
                  <c:v>4.7999999999999989</c:v>
                </c:pt>
                <c:pt idx="145">
                  <c:v>4.6636895265444078</c:v>
                </c:pt>
                <c:pt idx="146">
                  <c:v>4.5210618221829266</c:v>
                </c:pt>
                <c:pt idx="147">
                  <c:v>4.3714985988788788</c:v>
                </c:pt>
                <c:pt idx="148">
                  <c:v>4.2142615011410962</c:v>
                </c:pt>
                <c:pt idx="149">
                  <c:v>4.0484564959994316</c:v>
                </c:pt>
                <c:pt idx="150">
                  <c:v>3.872983346207417</c:v>
                </c:pt>
                <c:pt idx="151">
                  <c:v>3.6864617182333528</c:v>
                </c:pt>
                <c:pt idx="152">
                  <c:v>3.4871191548325382</c:v>
                </c:pt>
                <c:pt idx="153">
                  <c:v>3.2726136343907144</c:v>
                </c:pt>
                <c:pt idx="154">
                  <c:v>3.0397368307141317</c:v>
                </c:pt>
                <c:pt idx="155">
                  <c:v>2.7838821814150108</c:v>
                </c:pt>
                <c:pt idx="156">
                  <c:v>2.4979991993593598</c:v>
                </c:pt>
                <c:pt idx="157">
                  <c:v>2.1702534414210692</c:v>
                </c:pt>
                <c:pt idx="158">
                  <c:v>1.7776388834631187</c:v>
                </c:pt>
                <c:pt idx="159">
                  <c:v>1.2609520212918477</c:v>
                </c:pt>
                <c:pt idx="160">
                  <c:v>0</c:v>
                </c:pt>
              </c:numCache>
            </c:numRef>
          </c:yVal>
          <c:smooth val="1"/>
        </c:ser>
        <c:ser>
          <c:idx val="78"/>
          <c:order val="17"/>
          <c:spPr>
            <a:ln w="1905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'CS 1er sem datos'!$A$12:$A$172</c:f>
              <c:numCache>
                <c:formatCode>General</c:formatCode>
                <c:ptCount val="161"/>
                <c:pt idx="0">
                  <c:v>8</c:v>
                </c:pt>
                <c:pt idx="1">
                  <c:v>7.9</c:v>
                </c:pt>
                <c:pt idx="2">
                  <c:v>7.8</c:v>
                </c:pt>
                <c:pt idx="3">
                  <c:v>7.7</c:v>
                </c:pt>
                <c:pt idx="4">
                  <c:v>7.6</c:v>
                </c:pt>
                <c:pt idx="5">
                  <c:v>7.5</c:v>
                </c:pt>
                <c:pt idx="6">
                  <c:v>7.4</c:v>
                </c:pt>
                <c:pt idx="7">
                  <c:v>7.3</c:v>
                </c:pt>
                <c:pt idx="8">
                  <c:v>7.2</c:v>
                </c:pt>
                <c:pt idx="9">
                  <c:v>7.1</c:v>
                </c:pt>
                <c:pt idx="10">
                  <c:v>7</c:v>
                </c:pt>
                <c:pt idx="11">
                  <c:v>6.9</c:v>
                </c:pt>
                <c:pt idx="12">
                  <c:v>6.8</c:v>
                </c:pt>
                <c:pt idx="13">
                  <c:v>6.7</c:v>
                </c:pt>
                <c:pt idx="14">
                  <c:v>6.6</c:v>
                </c:pt>
                <c:pt idx="15">
                  <c:v>6.5</c:v>
                </c:pt>
                <c:pt idx="16">
                  <c:v>6.4</c:v>
                </c:pt>
                <c:pt idx="17">
                  <c:v>6.3</c:v>
                </c:pt>
                <c:pt idx="18">
                  <c:v>6.2</c:v>
                </c:pt>
                <c:pt idx="19">
                  <c:v>6.1</c:v>
                </c:pt>
                <c:pt idx="20">
                  <c:v>6</c:v>
                </c:pt>
                <c:pt idx="21">
                  <c:v>5.9</c:v>
                </c:pt>
                <c:pt idx="22">
                  <c:v>5.8</c:v>
                </c:pt>
                <c:pt idx="23">
                  <c:v>5.7</c:v>
                </c:pt>
                <c:pt idx="24">
                  <c:v>5.6</c:v>
                </c:pt>
                <c:pt idx="25">
                  <c:v>5.5</c:v>
                </c:pt>
                <c:pt idx="26">
                  <c:v>5.4</c:v>
                </c:pt>
                <c:pt idx="27">
                  <c:v>5.3</c:v>
                </c:pt>
                <c:pt idx="28">
                  <c:v>5.2</c:v>
                </c:pt>
                <c:pt idx="29">
                  <c:v>5.0999999999999996</c:v>
                </c:pt>
                <c:pt idx="30">
                  <c:v>5</c:v>
                </c:pt>
                <c:pt idx="31">
                  <c:v>4.9000000000000004</c:v>
                </c:pt>
                <c:pt idx="32">
                  <c:v>4.8</c:v>
                </c:pt>
                <c:pt idx="33">
                  <c:v>4.7</c:v>
                </c:pt>
                <c:pt idx="34">
                  <c:v>4.5999999999999996</c:v>
                </c:pt>
                <c:pt idx="35">
                  <c:v>4.5</c:v>
                </c:pt>
                <c:pt idx="36">
                  <c:v>4.4000000000000004</c:v>
                </c:pt>
                <c:pt idx="37">
                  <c:v>4.3</c:v>
                </c:pt>
                <c:pt idx="38">
                  <c:v>4.2</c:v>
                </c:pt>
                <c:pt idx="39">
                  <c:v>4.0999999999999996</c:v>
                </c:pt>
                <c:pt idx="40">
                  <c:v>4</c:v>
                </c:pt>
                <c:pt idx="41">
                  <c:v>3.9</c:v>
                </c:pt>
                <c:pt idx="42">
                  <c:v>3.8</c:v>
                </c:pt>
                <c:pt idx="43">
                  <c:v>3.7</c:v>
                </c:pt>
                <c:pt idx="44">
                  <c:v>3.6</c:v>
                </c:pt>
                <c:pt idx="45">
                  <c:v>3.5</c:v>
                </c:pt>
                <c:pt idx="46">
                  <c:v>3.4</c:v>
                </c:pt>
                <c:pt idx="47">
                  <c:v>3.3</c:v>
                </c:pt>
                <c:pt idx="48">
                  <c:v>3.2</c:v>
                </c:pt>
                <c:pt idx="49">
                  <c:v>3.1</c:v>
                </c:pt>
                <c:pt idx="50">
                  <c:v>3</c:v>
                </c:pt>
                <c:pt idx="51">
                  <c:v>2.9</c:v>
                </c:pt>
                <c:pt idx="52">
                  <c:v>2.8</c:v>
                </c:pt>
                <c:pt idx="53">
                  <c:v>2.7</c:v>
                </c:pt>
                <c:pt idx="54">
                  <c:v>2.6</c:v>
                </c:pt>
                <c:pt idx="55">
                  <c:v>2.5</c:v>
                </c:pt>
                <c:pt idx="56">
                  <c:v>2.4</c:v>
                </c:pt>
                <c:pt idx="57">
                  <c:v>2.2999999999999998</c:v>
                </c:pt>
                <c:pt idx="58">
                  <c:v>2.2000000000000002</c:v>
                </c:pt>
                <c:pt idx="59">
                  <c:v>2.1</c:v>
                </c:pt>
                <c:pt idx="60">
                  <c:v>2</c:v>
                </c:pt>
                <c:pt idx="61">
                  <c:v>1.9</c:v>
                </c:pt>
                <c:pt idx="62">
                  <c:v>1.8</c:v>
                </c:pt>
                <c:pt idx="63">
                  <c:v>1.7</c:v>
                </c:pt>
                <c:pt idx="64">
                  <c:v>1.6</c:v>
                </c:pt>
                <c:pt idx="65">
                  <c:v>1.5</c:v>
                </c:pt>
                <c:pt idx="66">
                  <c:v>1.4</c:v>
                </c:pt>
                <c:pt idx="67">
                  <c:v>1.3</c:v>
                </c:pt>
                <c:pt idx="68">
                  <c:v>1.2</c:v>
                </c:pt>
                <c:pt idx="69">
                  <c:v>1.1000000000000001</c:v>
                </c:pt>
                <c:pt idx="70">
                  <c:v>1</c:v>
                </c:pt>
                <c:pt idx="71">
                  <c:v>0.9</c:v>
                </c:pt>
                <c:pt idx="72">
                  <c:v>0.8</c:v>
                </c:pt>
                <c:pt idx="73">
                  <c:v>0.7</c:v>
                </c:pt>
                <c:pt idx="74">
                  <c:v>0.6</c:v>
                </c:pt>
                <c:pt idx="75">
                  <c:v>0.5</c:v>
                </c:pt>
                <c:pt idx="76">
                  <c:v>0.4</c:v>
                </c:pt>
                <c:pt idx="77">
                  <c:v>0.3</c:v>
                </c:pt>
                <c:pt idx="78">
                  <c:v>0.2</c:v>
                </c:pt>
                <c:pt idx="79">
                  <c:v>0.1</c:v>
                </c:pt>
                <c:pt idx="80">
                  <c:v>0</c:v>
                </c:pt>
                <c:pt idx="81">
                  <c:v>-0.1</c:v>
                </c:pt>
                <c:pt idx="82">
                  <c:v>-0.2</c:v>
                </c:pt>
                <c:pt idx="83">
                  <c:v>-0.3</c:v>
                </c:pt>
                <c:pt idx="84">
                  <c:v>-0.4</c:v>
                </c:pt>
                <c:pt idx="85">
                  <c:v>-0.5</c:v>
                </c:pt>
                <c:pt idx="86">
                  <c:v>-0.6</c:v>
                </c:pt>
                <c:pt idx="87">
                  <c:v>-0.7</c:v>
                </c:pt>
                <c:pt idx="88">
                  <c:v>-0.8</c:v>
                </c:pt>
                <c:pt idx="89">
                  <c:v>-0.9</c:v>
                </c:pt>
                <c:pt idx="90">
                  <c:v>-1</c:v>
                </c:pt>
                <c:pt idx="91">
                  <c:v>-1.1000000000000001</c:v>
                </c:pt>
                <c:pt idx="92">
                  <c:v>-1.2</c:v>
                </c:pt>
                <c:pt idx="93">
                  <c:v>-1.3</c:v>
                </c:pt>
                <c:pt idx="94">
                  <c:v>-1.4</c:v>
                </c:pt>
                <c:pt idx="95">
                  <c:v>-1.5</c:v>
                </c:pt>
                <c:pt idx="96">
                  <c:v>-1.6</c:v>
                </c:pt>
                <c:pt idx="97">
                  <c:v>-1.7</c:v>
                </c:pt>
                <c:pt idx="98">
                  <c:v>-1.8</c:v>
                </c:pt>
                <c:pt idx="99">
                  <c:v>-1.9</c:v>
                </c:pt>
                <c:pt idx="100">
                  <c:v>-2</c:v>
                </c:pt>
                <c:pt idx="101">
                  <c:v>-2.1</c:v>
                </c:pt>
                <c:pt idx="102">
                  <c:v>-2.2000000000000002</c:v>
                </c:pt>
                <c:pt idx="103">
                  <c:v>-2.2999999999999998</c:v>
                </c:pt>
                <c:pt idx="104">
                  <c:v>-2.4</c:v>
                </c:pt>
                <c:pt idx="105">
                  <c:v>-2.5</c:v>
                </c:pt>
                <c:pt idx="106">
                  <c:v>-2.6</c:v>
                </c:pt>
                <c:pt idx="107">
                  <c:v>-2.7</c:v>
                </c:pt>
                <c:pt idx="108">
                  <c:v>-2.8</c:v>
                </c:pt>
                <c:pt idx="109">
                  <c:v>-2.9</c:v>
                </c:pt>
                <c:pt idx="110">
                  <c:v>-3</c:v>
                </c:pt>
                <c:pt idx="111">
                  <c:v>-3.1</c:v>
                </c:pt>
                <c:pt idx="112">
                  <c:v>-3.2</c:v>
                </c:pt>
                <c:pt idx="113">
                  <c:v>-3.3</c:v>
                </c:pt>
                <c:pt idx="114">
                  <c:v>-3.4</c:v>
                </c:pt>
                <c:pt idx="115">
                  <c:v>-3.5</c:v>
                </c:pt>
                <c:pt idx="116">
                  <c:v>-3.6</c:v>
                </c:pt>
                <c:pt idx="117">
                  <c:v>-3.7</c:v>
                </c:pt>
                <c:pt idx="118">
                  <c:v>-3.8</c:v>
                </c:pt>
                <c:pt idx="119">
                  <c:v>-3.9</c:v>
                </c:pt>
                <c:pt idx="120">
                  <c:v>-4</c:v>
                </c:pt>
                <c:pt idx="121">
                  <c:v>-4.0999999999999996</c:v>
                </c:pt>
                <c:pt idx="122">
                  <c:v>-4.2</c:v>
                </c:pt>
                <c:pt idx="123">
                  <c:v>-4.3</c:v>
                </c:pt>
                <c:pt idx="124">
                  <c:v>-4.4000000000000004</c:v>
                </c:pt>
                <c:pt idx="125">
                  <c:v>-4.5</c:v>
                </c:pt>
                <c:pt idx="126">
                  <c:v>-4.5999999999999996</c:v>
                </c:pt>
                <c:pt idx="127">
                  <c:v>-4.7</c:v>
                </c:pt>
                <c:pt idx="128">
                  <c:v>-4.8</c:v>
                </c:pt>
                <c:pt idx="129">
                  <c:v>-4.9000000000000004</c:v>
                </c:pt>
                <c:pt idx="130">
                  <c:v>-5</c:v>
                </c:pt>
                <c:pt idx="131">
                  <c:v>-5.0999999999999996</c:v>
                </c:pt>
                <c:pt idx="132">
                  <c:v>-5.2</c:v>
                </c:pt>
                <c:pt idx="133">
                  <c:v>-5.3</c:v>
                </c:pt>
                <c:pt idx="134">
                  <c:v>-5.4</c:v>
                </c:pt>
                <c:pt idx="135">
                  <c:v>-5.5</c:v>
                </c:pt>
                <c:pt idx="136">
                  <c:v>-5.6</c:v>
                </c:pt>
                <c:pt idx="137">
                  <c:v>-5.7</c:v>
                </c:pt>
                <c:pt idx="138">
                  <c:v>-5.8</c:v>
                </c:pt>
                <c:pt idx="139">
                  <c:v>-5.9</c:v>
                </c:pt>
                <c:pt idx="140">
                  <c:v>-6</c:v>
                </c:pt>
                <c:pt idx="141">
                  <c:v>-6.1</c:v>
                </c:pt>
                <c:pt idx="142">
                  <c:v>-6.2</c:v>
                </c:pt>
                <c:pt idx="143">
                  <c:v>-6.3</c:v>
                </c:pt>
                <c:pt idx="144">
                  <c:v>-6.4</c:v>
                </c:pt>
                <c:pt idx="145">
                  <c:v>-6.5</c:v>
                </c:pt>
                <c:pt idx="146">
                  <c:v>-6.6</c:v>
                </c:pt>
                <c:pt idx="147">
                  <c:v>-6.7</c:v>
                </c:pt>
                <c:pt idx="148">
                  <c:v>-6.8</c:v>
                </c:pt>
                <c:pt idx="149">
                  <c:v>-6.9</c:v>
                </c:pt>
                <c:pt idx="150">
                  <c:v>-7</c:v>
                </c:pt>
                <c:pt idx="151">
                  <c:v>-7.1</c:v>
                </c:pt>
                <c:pt idx="152">
                  <c:v>-7.2</c:v>
                </c:pt>
                <c:pt idx="153">
                  <c:v>-7.3</c:v>
                </c:pt>
                <c:pt idx="154">
                  <c:v>-7.4</c:v>
                </c:pt>
                <c:pt idx="155">
                  <c:v>-7.5</c:v>
                </c:pt>
                <c:pt idx="156">
                  <c:v>-7.6</c:v>
                </c:pt>
                <c:pt idx="157">
                  <c:v>-7.7</c:v>
                </c:pt>
                <c:pt idx="158">
                  <c:v>-7.8</c:v>
                </c:pt>
                <c:pt idx="159">
                  <c:v>-7.9</c:v>
                </c:pt>
                <c:pt idx="160">
                  <c:v>-8</c:v>
                </c:pt>
              </c:numCache>
            </c:numRef>
          </c:xVal>
          <c:yVal>
            <c:numRef>
              <c:f>'CS 1er sem datos'!$E$12:$E$172</c:f>
              <c:numCache>
                <c:formatCode>General</c:formatCode>
                <c:ptCount val="161"/>
                <c:pt idx="0">
                  <c:v>0</c:v>
                </c:pt>
                <c:pt idx="1">
                  <c:v>-1.2609520212918477</c:v>
                </c:pt>
                <c:pt idx="2">
                  <c:v>-1.7776388834631187</c:v>
                </c:pt>
                <c:pt idx="3">
                  <c:v>-2.1702534414210692</c:v>
                </c:pt>
                <c:pt idx="4">
                  <c:v>-2.4979991993593598</c:v>
                </c:pt>
                <c:pt idx="5">
                  <c:v>-2.7838821814150108</c:v>
                </c:pt>
                <c:pt idx="6">
                  <c:v>-3.0397368307141317</c:v>
                </c:pt>
                <c:pt idx="7">
                  <c:v>-3.2726136343907144</c:v>
                </c:pt>
                <c:pt idx="8">
                  <c:v>-3.4871191548325382</c:v>
                </c:pt>
                <c:pt idx="9">
                  <c:v>-3.6864617182333528</c:v>
                </c:pt>
                <c:pt idx="10">
                  <c:v>-3.872983346207417</c:v>
                </c:pt>
                <c:pt idx="11">
                  <c:v>-4.0484564959994316</c:v>
                </c:pt>
                <c:pt idx="12">
                  <c:v>-4.2142615011410962</c:v>
                </c:pt>
                <c:pt idx="13">
                  <c:v>-4.3714985988788788</c:v>
                </c:pt>
                <c:pt idx="14">
                  <c:v>-4.5210618221829266</c:v>
                </c:pt>
                <c:pt idx="15">
                  <c:v>-4.6636895265444078</c:v>
                </c:pt>
                <c:pt idx="16">
                  <c:v>-4.7999999999999989</c:v>
                </c:pt>
                <c:pt idx="17">
                  <c:v>-4.9305172142484199</c:v>
                </c:pt>
                <c:pt idx="18">
                  <c:v>-5.0556898639058145</c:v>
                </c:pt>
                <c:pt idx="19">
                  <c:v>-5.1759057178430137</c:v>
                </c:pt>
                <c:pt idx="20">
                  <c:v>-5.2915026221291814</c:v>
                </c:pt>
                <c:pt idx="21">
                  <c:v>-5.4027770636960391</c:v>
                </c:pt>
                <c:pt idx="22">
                  <c:v>-5.5099909255823647</c:v>
                </c:pt>
                <c:pt idx="23">
                  <c:v>-5.6133768802744752</c:v>
                </c:pt>
                <c:pt idx="24">
                  <c:v>-5.7131427428342798</c:v>
                </c:pt>
                <c:pt idx="25">
                  <c:v>-5.8094750193111251</c:v>
                </c:pt>
                <c:pt idx="26">
                  <c:v>-5.9025418253494824</c:v>
                </c:pt>
                <c:pt idx="27">
                  <c:v>-5.9924953066314535</c:v>
                </c:pt>
                <c:pt idx="28">
                  <c:v>-6.0794736614282652</c:v>
                </c:pt>
                <c:pt idx="29">
                  <c:v>-6.163602842493991</c:v>
                </c:pt>
                <c:pt idx="30">
                  <c:v>-6.2449979983983983</c:v>
                </c:pt>
                <c:pt idx="31">
                  <c:v>-6.3237647015049507</c:v>
                </c:pt>
                <c:pt idx="32">
                  <c:v>-6.4</c:v>
                </c:pt>
                <c:pt idx="33">
                  <c:v>-6.473793323855805</c:v>
                </c:pt>
                <c:pt idx="34">
                  <c:v>-6.5452272687814288</c:v>
                </c:pt>
                <c:pt idx="35">
                  <c:v>-6.6143782776614763</c:v>
                </c:pt>
                <c:pt idx="36">
                  <c:v>-6.6813172353960262</c:v>
                </c:pt>
                <c:pt idx="37">
                  <c:v>-6.746109990209173</c:v>
                </c:pt>
                <c:pt idx="38">
                  <c:v>-6.8088178122196803</c:v>
                </c:pt>
                <c:pt idx="39">
                  <c:v>-6.8694977982382381</c:v>
                </c:pt>
                <c:pt idx="40">
                  <c:v>-6.9282032302755088</c:v>
                </c:pt>
                <c:pt idx="41">
                  <c:v>-6.9849838940401288</c:v>
                </c:pt>
                <c:pt idx="42">
                  <c:v>-7.0398863627192165</c:v>
                </c:pt>
                <c:pt idx="43">
                  <c:v>-7.0929542505221335</c:v>
                </c:pt>
                <c:pt idx="44">
                  <c:v>-7.1442284397967004</c:v>
                </c:pt>
                <c:pt idx="45">
                  <c:v>-7.1937472849690796</c:v>
                </c:pt>
                <c:pt idx="46">
                  <c:v>-7.2415467960926687</c:v>
                </c:pt>
                <c:pt idx="47">
                  <c:v>-7.2876608044008195</c:v>
                </c:pt>
                <c:pt idx="48">
                  <c:v>-7.3321211119293439</c:v>
                </c:pt>
                <c:pt idx="49">
                  <c:v>-7.3749576269969168</c:v>
                </c:pt>
                <c:pt idx="50">
                  <c:v>-7.416198487095663</c:v>
                </c:pt>
                <c:pt idx="51">
                  <c:v>-7.4558701705434762</c:v>
                </c:pt>
                <c:pt idx="52">
                  <c:v>-7.493997598078078</c:v>
                </c:pt>
                <c:pt idx="53">
                  <c:v>-7.5306042254257397</c:v>
                </c:pt>
                <c:pt idx="54">
                  <c:v>-7.5657121277510955</c:v>
                </c:pt>
                <c:pt idx="55">
                  <c:v>-7.5993420767853319</c:v>
                </c:pt>
                <c:pt idx="56">
                  <c:v>-7.6315136113355653</c:v>
                </c:pt>
                <c:pt idx="57">
                  <c:v>-7.6622451017962092</c:v>
                </c:pt>
                <c:pt idx="58">
                  <c:v>-7.6915538092117641</c:v>
                </c:pt>
                <c:pt idx="59">
                  <c:v>-7.7194559393781113</c:v>
                </c:pt>
                <c:pt idx="60">
                  <c:v>-7.745966692414834</c:v>
                </c:pt>
                <c:pt idx="61">
                  <c:v>-7.7711003081931711</c:v>
                </c:pt>
                <c:pt idx="62">
                  <c:v>-7.7948701079620308</c:v>
                </c:pt>
                <c:pt idx="63">
                  <c:v>-7.8172885324772299</c:v>
                </c:pt>
                <c:pt idx="64">
                  <c:v>-7.8383671769061696</c:v>
                </c:pt>
                <c:pt idx="65">
                  <c:v>-7.8581168227508558</c:v>
                </c:pt>
                <c:pt idx="66">
                  <c:v>-7.8765474670060867</c:v>
                </c:pt>
                <c:pt idx="67">
                  <c:v>-7.8936683487463544</c:v>
                </c:pt>
                <c:pt idx="68">
                  <c:v>-7.9094879733140759</c:v>
                </c:pt>
                <c:pt idx="69">
                  <c:v>-7.9240141342630128</c:v>
                </c:pt>
                <c:pt idx="70">
                  <c:v>-7.9372539331937721</c:v>
                </c:pt>
                <c:pt idx="71">
                  <c:v>-7.94921379760288</c:v>
                </c:pt>
                <c:pt idx="72">
                  <c:v>-7.9598994968529597</c:v>
                </c:pt>
                <c:pt idx="73">
                  <c:v>-7.9693161563587118</c:v>
                </c:pt>
                <c:pt idx="74">
                  <c:v>-7.9774682700716522</c:v>
                </c:pt>
                <c:pt idx="75">
                  <c:v>-7.9843597113356557</c:v>
                </c:pt>
                <c:pt idx="76">
                  <c:v>-7.9899937421752716</c:v>
                </c:pt>
                <c:pt idx="77">
                  <c:v>-7.994373021069257</c:v>
                </c:pt>
                <c:pt idx="78">
                  <c:v>-7.9974996092528823</c:v>
                </c:pt>
                <c:pt idx="79">
                  <c:v>-7.99937497558403</c:v>
                </c:pt>
                <c:pt idx="80">
                  <c:v>-8</c:v>
                </c:pt>
                <c:pt idx="81">
                  <c:v>-7.99937497558403</c:v>
                </c:pt>
                <c:pt idx="82">
                  <c:v>-7.9974996092528823</c:v>
                </c:pt>
                <c:pt idx="83">
                  <c:v>-7.994373021069257</c:v>
                </c:pt>
                <c:pt idx="84">
                  <c:v>-7.9899937421752716</c:v>
                </c:pt>
                <c:pt idx="85">
                  <c:v>-7.9843597113356557</c:v>
                </c:pt>
                <c:pt idx="86">
                  <c:v>-7.9774682700716522</c:v>
                </c:pt>
                <c:pt idx="87">
                  <c:v>-7.9693161563587118</c:v>
                </c:pt>
                <c:pt idx="88">
                  <c:v>-7.9598994968529597</c:v>
                </c:pt>
                <c:pt idx="89">
                  <c:v>-7.94921379760288</c:v>
                </c:pt>
                <c:pt idx="90">
                  <c:v>-7.9372539331937721</c:v>
                </c:pt>
                <c:pt idx="91">
                  <c:v>-7.9240141342630128</c:v>
                </c:pt>
                <c:pt idx="92">
                  <c:v>-7.9094879733140759</c:v>
                </c:pt>
                <c:pt idx="93">
                  <c:v>-7.8936683487463544</c:v>
                </c:pt>
                <c:pt idx="94">
                  <c:v>-7.8765474670060867</c:v>
                </c:pt>
                <c:pt idx="95">
                  <c:v>-7.8581168227508558</c:v>
                </c:pt>
                <c:pt idx="96">
                  <c:v>-7.8383671769061696</c:v>
                </c:pt>
                <c:pt idx="97">
                  <c:v>-7.8172885324772299</c:v>
                </c:pt>
                <c:pt idx="98">
                  <c:v>-7.7948701079620308</c:v>
                </c:pt>
                <c:pt idx="99">
                  <c:v>-7.7711003081931711</c:v>
                </c:pt>
                <c:pt idx="100">
                  <c:v>-7.745966692414834</c:v>
                </c:pt>
                <c:pt idx="101">
                  <c:v>-7.7194559393781113</c:v>
                </c:pt>
                <c:pt idx="102">
                  <c:v>-7.6915538092117641</c:v>
                </c:pt>
                <c:pt idx="103">
                  <c:v>-7.6622451017962092</c:v>
                </c:pt>
                <c:pt idx="104">
                  <c:v>-7.6315136113355653</c:v>
                </c:pt>
                <c:pt idx="105">
                  <c:v>-7.5993420767853319</c:v>
                </c:pt>
                <c:pt idx="106">
                  <c:v>-7.5657121277510955</c:v>
                </c:pt>
                <c:pt idx="107">
                  <c:v>-7.5306042254257397</c:v>
                </c:pt>
                <c:pt idx="108">
                  <c:v>-7.493997598078078</c:v>
                </c:pt>
                <c:pt idx="109">
                  <c:v>-7.4558701705434762</c:v>
                </c:pt>
                <c:pt idx="110">
                  <c:v>-7.416198487095663</c:v>
                </c:pt>
                <c:pt idx="111">
                  <c:v>-7.3749576269969168</c:v>
                </c:pt>
                <c:pt idx="112">
                  <c:v>-7.3321211119293439</c:v>
                </c:pt>
                <c:pt idx="113">
                  <c:v>-7.2876608044008195</c:v>
                </c:pt>
                <c:pt idx="114">
                  <c:v>-7.2415467960926687</c:v>
                </c:pt>
                <c:pt idx="115">
                  <c:v>-7.1937472849690796</c:v>
                </c:pt>
                <c:pt idx="116">
                  <c:v>-7.1442284397967004</c:v>
                </c:pt>
                <c:pt idx="117">
                  <c:v>-7.0929542505221335</c:v>
                </c:pt>
                <c:pt idx="118">
                  <c:v>-7.0398863627192165</c:v>
                </c:pt>
                <c:pt idx="119">
                  <c:v>-6.9849838940401288</c:v>
                </c:pt>
                <c:pt idx="120">
                  <c:v>-6.9282032302755088</c:v>
                </c:pt>
                <c:pt idx="121">
                  <c:v>-6.8694977982382381</c:v>
                </c:pt>
                <c:pt idx="122">
                  <c:v>-6.8088178122196803</c:v>
                </c:pt>
                <c:pt idx="123">
                  <c:v>-6.746109990209173</c:v>
                </c:pt>
                <c:pt idx="124">
                  <c:v>-6.6813172353960262</c:v>
                </c:pt>
                <c:pt idx="125">
                  <c:v>-6.6143782776614763</c:v>
                </c:pt>
                <c:pt idx="126">
                  <c:v>-6.5452272687814288</c:v>
                </c:pt>
                <c:pt idx="127">
                  <c:v>-6.473793323855805</c:v>
                </c:pt>
                <c:pt idx="128">
                  <c:v>-6.4</c:v>
                </c:pt>
                <c:pt idx="129">
                  <c:v>-6.3237647015049507</c:v>
                </c:pt>
                <c:pt idx="130">
                  <c:v>-6.2449979983983983</c:v>
                </c:pt>
                <c:pt idx="131">
                  <c:v>-6.163602842493991</c:v>
                </c:pt>
                <c:pt idx="132">
                  <c:v>-6.0794736614282652</c:v>
                </c:pt>
                <c:pt idx="133">
                  <c:v>-5.9924953066314535</c:v>
                </c:pt>
                <c:pt idx="134">
                  <c:v>-5.9025418253494824</c:v>
                </c:pt>
                <c:pt idx="135">
                  <c:v>-5.8094750193111251</c:v>
                </c:pt>
                <c:pt idx="136">
                  <c:v>-5.7131427428342798</c:v>
                </c:pt>
                <c:pt idx="137">
                  <c:v>-5.6133768802744752</c:v>
                </c:pt>
                <c:pt idx="138">
                  <c:v>-5.5099909255823647</c:v>
                </c:pt>
                <c:pt idx="139">
                  <c:v>-5.4027770636960391</c:v>
                </c:pt>
                <c:pt idx="140">
                  <c:v>-5.2915026221291814</c:v>
                </c:pt>
                <c:pt idx="141">
                  <c:v>-5.1759057178430137</c:v>
                </c:pt>
                <c:pt idx="142">
                  <c:v>-5.0556898639058145</c:v>
                </c:pt>
                <c:pt idx="143">
                  <c:v>-4.9305172142484199</c:v>
                </c:pt>
                <c:pt idx="144">
                  <c:v>-4.7999999999999989</c:v>
                </c:pt>
                <c:pt idx="145">
                  <c:v>-4.6636895265444078</c:v>
                </c:pt>
                <c:pt idx="146">
                  <c:v>-4.5210618221829266</c:v>
                </c:pt>
                <c:pt idx="147">
                  <c:v>-4.3714985988788788</c:v>
                </c:pt>
                <c:pt idx="148">
                  <c:v>-4.2142615011410962</c:v>
                </c:pt>
                <c:pt idx="149">
                  <c:v>-4.0484564959994316</c:v>
                </c:pt>
                <c:pt idx="150">
                  <c:v>-3.872983346207417</c:v>
                </c:pt>
                <c:pt idx="151">
                  <c:v>-3.6864617182333528</c:v>
                </c:pt>
                <c:pt idx="152">
                  <c:v>-3.4871191548325382</c:v>
                </c:pt>
                <c:pt idx="153">
                  <c:v>-3.2726136343907144</c:v>
                </c:pt>
                <c:pt idx="154">
                  <c:v>-3.0397368307141317</c:v>
                </c:pt>
                <c:pt idx="155">
                  <c:v>-2.7838821814150108</c:v>
                </c:pt>
                <c:pt idx="156">
                  <c:v>-2.4979991993593598</c:v>
                </c:pt>
                <c:pt idx="157">
                  <c:v>-2.1702534414210692</c:v>
                </c:pt>
                <c:pt idx="158">
                  <c:v>-1.7776388834631187</c:v>
                </c:pt>
                <c:pt idx="159">
                  <c:v>-1.2609520212918477</c:v>
                </c:pt>
                <c:pt idx="160">
                  <c:v>0</c:v>
                </c:pt>
              </c:numCache>
            </c:numRef>
          </c:yVal>
          <c:smooth val="1"/>
        </c:ser>
        <c:ser>
          <c:idx val="81"/>
          <c:order val="18"/>
          <c:spPr>
            <a:ln w="1905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'CS 1er sem datos'!$A$22:$A$162</c:f>
              <c:numCache>
                <c:formatCode>General</c:formatCode>
                <c:ptCount val="141"/>
                <c:pt idx="0">
                  <c:v>7</c:v>
                </c:pt>
                <c:pt idx="1">
                  <c:v>6.9</c:v>
                </c:pt>
                <c:pt idx="2">
                  <c:v>6.8</c:v>
                </c:pt>
                <c:pt idx="3">
                  <c:v>6.7</c:v>
                </c:pt>
                <c:pt idx="4">
                  <c:v>6.6</c:v>
                </c:pt>
                <c:pt idx="5">
                  <c:v>6.5</c:v>
                </c:pt>
                <c:pt idx="6">
                  <c:v>6.4</c:v>
                </c:pt>
                <c:pt idx="7">
                  <c:v>6.3</c:v>
                </c:pt>
                <c:pt idx="8">
                  <c:v>6.2</c:v>
                </c:pt>
                <c:pt idx="9">
                  <c:v>6.1</c:v>
                </c:pt>
                <c:pt idx="10">
                  <c:v>6</c:v>
                </c:pt>
                <c:pt idx="11">
                  <c:v>5.9</c:v>
                </c:pt>
                <c:pt idx="12">
                  <c:v>5.8</c:v>
                </c:pt>
                <c:pt idx="13">
                  <c:v>5.7</c:v>
                </c:pt>
                <c:pt idx="14">
                  <c:v>5.6</c:v>
                </c:pt>
                <c:pt idx="15">
                  <c:v>5.5</c:v>
                </c:pt>
                <c:pt idx="16">
                  <c:v>5.4</c:v>
                </c:pt>
                <c:pt idx="17">
                  <c:v>5.3</c:v>
                </c:pt>
                <c:pt idx="18">
                  <c:v>5.2</c:v>
                </c:pt>
                <c:pt idx="19">
                  <c:v>5.0999999999999996</c:v>
                </c:pt>
                <c:pt idx="20">
                  <c:v>5</c:v>
                </c:pt>
                <c:pt idx="21">
                  <c:v>4.9000000000000004</c:v>
                </c:pt>
                <c:pt idx="22">
                  <c:v>4.8</c:v>
                </c:pt>
                <c:pt idx="23">
                  <c:v>4.7</c:v>
                </c:pt>
                <c:pt idx="24">
                  <c:v>4.5999999999999996</c:v>
                </c:pt>
                <c:pt idx="25">
                  <c:v>4.5</c:v>
                </c:pt>
                <c:pt idx="26">
                  <c:v>4.4000000000000004</c:v>
                </c:pt>
                <c:pt idx="27">
                  <c:v>4.3</c:v>
                </c:pt>
                <c:pt idx="28">
                  <c:v>4.2</c:v>
                </c:pt>
                <c:pt idx="29">
                  <c:v>4.0999999999999996</c:v>
                </c:pt>
                <c:pt idx="30">
                  <c:v>4</c:v>
                </c:pt>
                <c:pt idx="31">
                  <c:v>3.9</c:v>
                </c:pt>
                <c:pt idx="32">
                  <c:v>3.8</c:v>
                </c:pt>
                <c:pt idx="33">
                  <c:v>3.7</c:v>
                </c:pt>
                <c:pt idx="34">
                  <c:v>3.6</c:v>
                </c:pt>
                <c:pt idx="35">
                  <c:v>3.5</c:v>
                </c:pt>
                <c:pt idx="36">
                  <c:v>3.4</c:v>
                </c:pt>
                <c:pt idx="37">
                  <c:v>3.3</c:v>
                </c:pt>
                <c:pt idx="38">
                  <c:v>3.2</c:v>
                </c:pt>
                <c:pt idx="39">
                  <c:v>3.1</c:v>
                </c:pt>
                <c:pt idx="40">
                  <c:v>3</c:v>
                </c:pt>
                <c:pt idx="41">
                  <c:v>2.9</c:v>
                </c:pt>
                <c:pt idx="42">
                  <c:v>2.8</c:v>
                </c:pt>
                <c:pt idx="43">
                  <c:v>2.7</c:v>
                </c:pt>
                <c:pt idx="44">
                  <c:v>2.6</c:v>
                </c:pt>
                <c:pt idx="45">
                  <c:v>2.5</c:v>
                </c:pt>
                <c:pt idx="46">
                  <c:v>2.4</c:v>
                </c:pt>
                <c:pt idx="47">
                  <c:v>2.2999999999999998</c:v>
                </c:pt>
                <c:pt idx="48">
                  <c:v>2.2000000000000002</c:v>
                </c:pt>
                <c:pt idx="49">
                  <c:v>2.1</c:v>
                </c:pt>
                <c:pt idx="50">
                  <c:v>2</c:v>
                </c:pt>
                <c:pt idx="51">
                  <c:v>1.9</c:v>
                </c:pt>
                <c:pt idx="52">
                  <c:v>1.8</c:v>
                </c:pt>
                <c:pt idx="53">
                  <c:v>1.7</c:v>
                </c:pt>
                <c:pt idx="54">
                  <c:v>1.6</c:v>
                </c:pt>
                <c:pt idx="55">
                  <c:v>1.5</c:v>
                </c:pt>
                <c:pt idx="56">
                  <c:v>1.4</c:v>
                </c:pt>
                <c:pt idx="57">
                  <c:v>1.3</c:v>
                </c:pt>
                <c:pt idx="58">
                  <c:v>1.2</c:v>
                </c:pt>
                <c:pt idx="59">
                  <c:v>1.1000000000000001</c:v>
                </c:pt>
                <c:pt idx="60">
                  <c:v>1</c:v>
                </c:pt>
                <c:pt idx="61">
                  <c:v>0.9</c:v>
                </c:pt>
                <c:pt idx="62">
                  <c:v>0.8</c:v>
                </c:pt>
                <c:pt idx="63">
                  <c:v>0.7</c:v>
                </c:pt>
                <c:pt idx="64">
                  <c:v>0.6</c:v>
                </c:pt>
                <c:pt idx="65">
                  <c:v>0.5</c:v>
                </c:pt>
                <c:pt idx="66">
                  <c:v>0.4</c:v>
                </c:pt>
                <c:pt idx="67">
                  <c:v>0.3</c:v>
                </c:pt>
                <c:pt idx="68">
                  <c:v>0.2</c:v>
                </c:pt>
                <c:pt idx="69">
                  <c:v>0.1</c:v>
                </c:pt>
                <c:pt idx="70">
                  <c:v>0</c:v>
                </c:pt>
                <c:pt idx="71">
                  <c:v>-0.1</c:v>
                </c:pt>
                <c:pt idx="72">
                  <c:v>-0.2</c:v>
                </c:pt>
                <c:pt idx="73">
                  <c:v>-0.3</c:v>
                </c:pt>
                <c:pt idx="74">
                  <c:v>-0.4</c:v>
                </c:pt>
                <c:pt idx="75">
                  <c:v>-0.5</c:v>
                </c:pt>
                <c:pt idx="76">
                  <c:v>-0.6</c:v>
                </c:pt>
                <c:pt idx="77">
                  <c:v>-0.7</c:v>
                </c:pt>
                <c:pt idx="78">
                  <c:v>-0.8</c:v>
                </c:pt>
                <c:pt idx="79">
                  <c:v>-0.9</c:v>
                </c:pt>
                <c:pt idx="80">
                  <c:v>-1</c:v>
                </c:pt>
                <c:pt idx="81">
                  <c:v>-1.1000000000000001</c:v>
                </c:pt>
                <c:pt idx="82">
                  <c:v>-1.2</c:v>
                </c:pt>
                <c:pt idx="83">
                  <c:v>-1.3</c:v>
                </c:pt>
                <c:pt idx="84">
                  <c:v>-1.4</c:v>
                </c:pt>
                <c:pt idx="85">
                  <c:v>-1.5</c:v>
                </c:pt>
                <c:pt idx="86">
                  <c:v>-1.6</c:v>
                </c:pt>
                <c:pt idx="87">
                  <c:v>-1.7</c:v>
                </c:pt>
                <c:pt idx="88">
                  <c:v>-1.8</c:v>
                </c:pt>
                <c:pt idx="89">
                  <c:v>-1.9</c:v>
                </c:pt>
                <c:pt idx="90">
                  <c:v>-2</c:v>
                </c:pt>
                <c:pt idx="91">
                  <c:v>-2.1</c:v>
                </c:pt>
                <c:pt idx="92">
                  <c:v>-2.2000000000000002</c:v>
                </c:pt>
                <c:pt idx="93">
                  <c:v>-2.2999999999999998</c:v>
                </c:pt>
                <c:pt idx="94">
                  <c:v>-2.4</c:v>
                </c:pt>
                <c:pt idx="95">
                  <c:v>-2.5</c:v>
                </c:pt>
                <c:pt idx="96">
                  <c:v>-2.6</c:v>
                </c:pt>
                <c:pt idx="97">
                  <c:v>-2.7</c:v>
                </c:pt>
                <c:pt idx="98">
                  <c:v>-2.8</c:v>
                </c:pt>
                <c:pt idx="99">
                  <c:v>-2.9</c:v>
                </c:pt>
                <c:pt idx="100">
                  <c:v>-3</c:v>
                </c:pt>
                <c:pt idx="101">
                  <c:v>-3.1</c:v>
                </c:pt>
                <c:pt idx="102">
                  <c:v>-3.2</c:v>
                </c:pt>
                <c:pt idx="103">
                  <c:v>-3.3</c:v>
                </c:pt>
                <c:pt idx="104">
                  <c:v>-3.4</c:v>
                </c:pt>
                <c:pt idx="105">
                  <c:v>-3.5</c:v>
                </c:pt>
                <c:pt idx="106">
                  <c:v>-3.6</c:v>
                </c:pt>
                <c:pt idx="107">
                  <c:v>-3.7</c:v>
                </c:pt>
                <c:pt idx="108">
                  <c:v>-3.8</c:v>
                </c:pt>
                <c:pt idx="109">
                  <c:v>-3.9</c:v>
                </c:pt>
                <c:pt idx="110">
                  <c:v>-4</c:v>
                </c:pt>
                <c:pt idx="111">
                  <c:v>-4.0999999999999996</c:v>
                </c:pt>
                <c:pt idx="112">
                  <c:v>-4.2</c:v>
                </c:pt>
                <c:pt idx="113">
                  <c:v>-4.3</c:v>
                </c:pt>
                <c:pt idx="114">
                  <c:v>-4.4000000000000004</c:v>
                </c:pt>
                <c:pt idx="115">
                  <c:v>-4.5</c:v>
                </c:pt>
                <c:pt idx="116">
                  <c:v>-4.5999999999999996</c:v>
                </c:pt>
                <c:pt idx="117">
                  <c:v>-4.7</c:v>
                </c:pt>
                <c:pt idx="118">
                  <c:v>-4.8</c:v>
                </c:pt>
                <c:pt idx="119">
                  <c:v>-4.9000000000000004</c:v>
                </c:pt>
                <c:pt idx="120">
                  <c:v>-5</c:v>
                </c:pt>
                <c:pt idx="121">
                  <c:v>-5.0999999999999996</c:v>
                </c:pt>
                <c:pt idx="122">
                  <c:v>-5.2</c:v>
                </c:pt>
                <c:pt idx="123">
                  <c:v>-5.3</c:v>
                </c:pt>
                <c:pt idx="124">
                  <c:v>-5.4</c:v>
                </c:pt>
                <c:pt idx="125">
                  <c:v>-5.5</c:v>
                </c:pt>
                <c:pt idx="126">
                  <c:v>-5.6</c:v>
                </c:pt>
                <c:pt idx="127">
                  <c:v>-5.7</c:v>
                </c:pt>
                <c:pt idx="128">
                  <c:v>-5.8</c:v>
                </c:pt>
                <c:pt idx="129">
                  <c:v>-5.9</c:v>
                </c:pt>
                <c:pt idx="130">
                  <c:v>-6</c:v>
                </c:pt>
                <c:pt idx="131">
                  <c:v>-6.1</c:v>
                </c:pt>
                <c:pt idx="132">
                  <c:v>-6.2</c:v>
                </c:pt>
                <c:pt idx="133">
                  <c:v>-6.3</c:v>
                </c:pt>
                <c:pt idx="134">
                  <c:v>-6.4</c:v>
                </c:pt>
                <c:pt idx="135">
                  <c:v>-6.5</c:v>
                </c:pt>
                <c:pt idx="136">
                  <c:v>-6.6</c:v>
                </c:pt>
                <c:pt idx="137">
                  <c:v>-6.7</c:v>
                </c:pt>
                <c:pt idx="138">
                  <c:v>-6.8</c:v>
                </c:pt>
                <c:pt idx="139">
                  <c:v>-6.9</c:v>
                </c:pt>
                <c:pt idx="140">
                  <c:v>-7</c:v>
                </c:pt>
              </c:numCache>
            </c:numRef>
          </c:xVal>
          <c:yVal>
            <c:numRef>
              <c:f>'CS 1er sem datos'!$F$22:$F$162</c:f>
              <c:numCache>
                <c:formatCode>General</c:formatCode>
                <c:ptCount val="141"/>
                <c:pt idx="0">
                  <c:v>0</c:v>
                </c:pt>
                <c:pt idx="1">
                  <c:v>1.1789826122551568</c:v>
                </c:pt>
                <c:pt idx="2">
                  <c:v>1.6613247725836164</c:v>
                </c:pt>
                <c:pt idx="3">
                  <c:v>2.027313493271329</c:v>
                </c:pt>
                <c:pt idx="4">
                  <c:v>2.3323807579381213</c:v>
                </c:pt>
                <c:pt idx="5">
                  <c:v>2.598076211353316</c:v>
                </c:pt>
                <c:pt idx="6">
                  <c:v>2.8354893757515636</c:v>
                </c:pt>
                <c:pt idx="7">
                  <c:v>3.0512292604784719</c:v>
                </c:pt>
                <c:pt idx="8">
                  <c:v>3.2496153618543833</c:v>
                </c:pt>
                <c:pt idx="9">
                  <c:v>3.4336569426778802</c:v>
                </c:pt>
                <c:pt idx="10">
                  <c:v>3.6055512754639891</c:v>
                </c:pt>
                <c:pt idx="11">
                  <c:v>3.7669616403674722</c:v>
                </c:pt>
                <c:pt idx="12">
                  <c:v>3.9191835884530848</c:v>
                </c:pt>
                <c:pt idx="13">
                  <c:v>4.0632499307820087</c:v>
                </c:pt>
                <c:pt idx="14">
                  <c:v>4.2</c:v>
                </c:pt>
                <c:pt idx="15">
                  <c:v>4.3301270189221936</c:v>
                </c:pt>
                <c:pt idx="16">
                  <c:v>4.4542114902640169</c:v>
                </c:pt>
                <c:pt idx="17">
                  <c:v>4.5727453460694703</c:v>
                </c:pt>
                <c:pt idx="18">
                  <c:v>4.6861498055439927</c:v>
                </c:pt>
                <c:pt idx="19">
                  <c:v>4.7947888378947408</c:v>
                </c:pt>
                <c:pt idx="20">
                  <c:v>4.8989794855663558</c:v>
                </c:pt>
                <c:pt idx="21">
                  <c:v>4.9989998999799941</c:v>
                </c:pt>
                <c:pt idx="22">
                  <c:v>5.0950956811427988</c:v>
                </c:pt>
                <c:pt idx="23">
                  <c:v>5.1874849397371747</c:v>
                </c:pt>
                <c:pt idx="24">
                  <c:v>5.2763623833091682</c:v>
                </c:pt>
                <c:pt idx="25">
                  <c:v>5.3619026473818039</c:v>
                </c:pt>
                <c:pt idx="26">
                  <c:v>5.4442630355264798</c:v>
                </c:pt>
                <c:pt idx="27">
                  <c:v>5.5235857918565907</c:v>
                </c:pt>
                <c:pt idx="28">
                  <c:v>5.6</c:v>
                </c:pt>
                <c:pt idx="29">
                  <c:v>5.6736231810017133</c:v>
                </c:pt>
                <c:pt idx="30">
                  <c:v>5.7445626465380286</c:v>
                </c:pt>
                <c:pt idx="31">
                  <c:v>5.8129166517334481</c:v>
                </c:pt>
                <c:pt idx="32">
                  <c:v>5.8787753826796276</c:v>
                </c:pt>
                <c:pt idx="33">
                  <c:v>5.9422218066982317</c:v>
                </c:pt>
                <c:pt idx="34">
                  <c:v>6.0033324079214534</c:v>
                </c:pt>
                <c:pt idx="35">
                  <c:v>6.0621778264910704</c:v>
                </c:pt>
                <c:pt idx="36">
                  <c:v>6.1188234163113417</c:v>
                </c:pt>
                <c:pt idx="37">
                  <c:v>6.1733297336202604</c:v>
                </c:pt>
                <c:pt idx="38">
                  <c:v>6.2257529665093525</c:v>
                </c:pt>
                <c:pt idx="39">
                  <c:v>6.2761453138052818</c:v>
                </c:pt>
                <c:pt idx="40">
                  <c:v>6.324555320336759</c:v>
                </c:pt>
                <c:pt idx="41">
                  <c:v>6.3710281744785906</c:v>
                </c:pt>
                <c:pt idx="42">
                  <c:v>6.4156059729381765</c:v>
                </c:pt>
                <c:pt idx="43">
                  <c:v>6.4583279569870093</c:v>
                </c:pt>
                <c:pt idx="44">
                  <c:v>6.4992307237087683</c:v>
                </c:pt>
                <c:pt idx="45">
                  <c:v>6.5383484153110105</c:v>
                </c:pt>
                <c:pt idx="46">
                  <c:v>6.5757128891094387</c:v>
                </c:pt>
                <c:pt idx="47">
                  <c:v>6.611353870426238</c:v>
                </c:pt>
                <c:pt idx="48">
                  <c:v>6.6452990903344595</c:v>
                </c:pt>
                <c:pt idx="49">
                  <c:v>6.6775744099186198</c:v>
                </c:pt>
                <c:pt idx="50">
                  <c:v>6.7082039324993694</c:v>
                </c:pt>
                <c:pt idx="51">
                  <c:v>6.7372101050805888</c:v>
                </c:pt>
                <c:pt idx="52">
                  <c:v>6.7646138101151054</c:v>
                </c:pt>
                <c:pt idx="53">
                  <c:v>6.7904344485459838</c:v>
                </c:pt>
                <c:pt idx="54">
                  <c:v>6.8146900149603278</c:v>
                </c:pt>
                <c:pt idx="55">
                  <c:v>6.8373971655886718</c:v>
                </c:pt>
                <c:pt idx="56">
                  <c:v>6.8585712797928986</c:v>
                </c:pt>
                <c:pt idx="57">
                  <c:v>6.8782265156070572</c:v>
                </c:pt>
                <c:pt idx="58">
                  <c:v>6.8963758598266676</c:v>
                </c:pt>
                <c:pt idx="59">
                  <c:v>6.9130311730817473</c:v>
                </c:pt>
                <c:pt idx="60">
                  <c:v>6.9282032302755088</c:v>
                </c:pt>
                <c:pt idx="61">
                  <c:v>6.9419017567234409</c:v>
                </c:pt>
                <c:pt idx="62">
                  <c:v>6.9541354602854843</c:v>
                </c:pt>
                <c:pt idx="63">
                  <c:v>6.9649120597463394</c:v>
                </c:pt>
                <c:pt idx="64">
                  <c:v>6.9742383096650773</c:v>
                </c:pt>
                <c:pt idx="65">
                  <c:v>6.9821200218844703</c:v>
                </c:pt>
                <c:pt idx="66">
                  <c:v>6.9885620838624591</c:v>
                </c:pt>
                <c:pt idx="67">
                  <c:v>6.9935684739623447</c:v>
                </c:pt>
                <c:pt idx="68">
                  <c:v>6.9971422738143607</c:v>
                </c:pt>
                <c:pt idx="69">
                  <c:v>6.9992856778388468</c:v>
                </c:pt>
                <c:pt idx="70">
                  <c:v>7</c:v>
                </c:pt>
                <c:pt idx="71">
                  <c:v>6.9992856778388468</c:v>
                </c:pt>
                <c:pt idx="72">
                  <c:v>6.9971422738143607</c:v>
                </c:pt>
                <c:pt idx="73">
                  <c:v>6.9935684739623447</c:v>
                </c:pt>
                <c:pt idx="74">
                  <c:v>6.9885620838624591</c:v>
                </c:pt>
                <c:pt idx="75">
                  <c:v>6.9821200218844703</c:v>
                </c:pt>
                <c:pt idx="76">
                  <c:v>6.9742383096650773</c:v>
                </c:pt>
                <c:pt idx="77">
                  <c:v>6.9649120597463394</c:v>
                </c:pt>
                <c:pt idx="78">
                  <c:v>6.9541354602854843</c:v>
                </c:pt>
                <c:pt idx="79">
                  <c:v>6.9419017567234409</c:v>
                </c:pt>
                <c:pt idx="80">
                  <c:v>6.9282032302755088</c:v>
                </c:pt>
                <c:pt idx="81">
                  <c:v>6.9130311730817473</c:v>
                </c:pt>
                <c:pt idx="82">
                  <c:v>6.8963758598266676</c:v>
                </c:pt>
                <c:pt idx="83">
                  <c:v>6.8782265156070572</c:v>
                </c:pt>
                <c:pt idx="84">
                  <c:v>6.8585712797928986</c:v>
                </c:pt>
                <c:pt idx="85">
                  <c:v>6.8373971655886718</c:v>
                </c:pt>
                <c:pt idx="86">
                  <c:v>6.8146900149603278</c:v>
                </c:pt>
                <c:pt idx="87">
                  <c:v>6.7904344485459838</c:v>
                </c:pt>
                <c:pt idx="88">
                  <c:v>6.7646138101151054</c:v>
                </c:pt>
                <c:pt idx="89">
                  <c:v>6.7372101050805888</c:v>
                </c:pt>
                <c:pt idx="90">
                  <c:v>6.7082039324993694</c:v>
                </c:pt>
                <c:pt idx="91">
                  <c:v>6.6775744099186198</c:v>
                </c:pt>
                <c:pt idx="92">
                  <c:v>6.6452990903344595</c:v>
                </c:pt>
                <c:pt idx="93">
                  <c:v>6.611353870426238</c:v>
                </c:pt>
                <c:pt idx="94">
                  <c:v>6.5757128891094387</c:v>
                </c:pt>
                <c:pt idx="95">
                  <c:v>6.5383484153110105</c:v>
                </c:pt>
                <c:pt idx="96">
                  <c:v>6.4992307237087683</c:v>
                </c:pt>
                <c:pt idx="97">
                  <c:v>6.4583279569870093</c:v>
                </c:pt>
                <c:pt idx="98">
                  <c:v>6.4156059729381765</c:v>
                </c:pt>
                <c:pt idx="99">
                  <c:v>6.3710281744785906</c:v>
                </c:pt>
                <c:pt idx="100">
                  <c:v>6.324555320336759</c:v>
                </c:pt>
                <c:pt idx="101">
                  <c:v>6.2761453138052818</c:v>
                </c:pt>
                <c:pt idx="102">
                  <c:v>6.2257529665093525</c:v>
                </c:pt>
                <c:pt idx="103">
                  <c:v>6.1733297336202604</c:v>
                </c:pt>
                <c:pt idx="104">
                  <c:v>6.1188234163113417</c:v>
                </c:pt>
                <c:pt idx="105">
                  <c:v>6.0621778264910704</c:v>
                </c:pt>
                <c:pt idx="106">
                  <c:v>6.0033324079214534</c:v>
                </c:pt>
                <c:pt idx="107">
                  <c:v>5.9422218066982317</c:v>
                </c:pt>
                <c:pt idx="108">
                  <c:v>5.8787753826796276</c:v>
                </c:pt>
                <c:pt idx="109">
                  <c:v>5.8129166517334481</c:v>
                </c:pt>
                <c:pt idx="110">
                  <c:v>5.7445626465380286</c:v>
                </c:pt>
                <c:pt idx="111">
                  <c:v>5.6736231810017133</c:v>
                </c:pt>
                <c:pt idx="112">
                  <c:v>5.6</c:v>
                </c:pt>
                <c:pt idx="113">
                  <c:v>5.5235857918565907</c:v>
                </c:pt>
                <c:pt idx="114">
                  <c:v>5.4442630355264798</c:v>
                </c:pt>
                <c:pt idx="115">
                  <c:v>5.3619026473818039</c:v>
                </c:pt>
                <c:pt idx="116">
                  <c:v>5.2763623833091682</c:v>
                </c:pt>
                <c:pt idx="117">
                  <c:v>5.1874849397371747</c:v>
                </c:pt>
                <c:pt idx="118">
                  <c:v>5.0950956811427988</c:v>
                </c:pt>
                <c:pt idx="119">
                  <c:v>4.9989998999799941</c:v>
                </c:pt>
                <c:pt idx="120">
                  <c:v>4.8989794855663558</c:v>
                </c:pt>
                <c:pt idx="121">
                  <c:v>4.7947888378947408</c:v>
                </c:pt>
                <c:pt idx="122">
                  <c:v>4.6861498055439927</c:v>
                </c:pt>
                <c:pt idx="123">
                  <c:v>4.5727453460694703</c:v>
                </c:pt>
                <c:pt idx="124">
                  <c:v>4.4542114902640169</c:v>
                </c:pt>
                <c:pt idx="125">
                  <c:v>4.3301270189221936</c:v>
                </c:pt>
                <c:pt idx="126">
                  <c:v>4.2</c:v>
                </c:pt>
                <c:pt idx="127">
                  <c:v>4.0632499307820087</c:v>
                </c:pt>
                <c:pt idx="128">
                  <c:v>3.9191835884530848</c:v>
                </c:pt>
                <c:pt idx="129">
                  <c:v>3.7669616403674722</c:v>
                </c:pt>
                <c:pt idx="130">
                  <c:v>3.6055512754639891</c:v>
                </c:pt>
                <c:pt idx="131">
                  <c:v>3.4336569426778802</c:v>
                </c:pt>
                <c:pt idx="132">
                  <c:v>3.2496153618543833</c:v>
                </c:pt>
                <c:pt idx="133">
                  <c:v>3.0512292604784719</c:v>
                </c:pt>
                <c:pt idx="134">
                  <c:v>2.8354893757515636</c:v>
                </c:pt>
                <c:pt idx="135">
                  <c:v>2.598076211353316</c:v>
                </c:pt>
                <c:pt idx="136">
                  <c:v>2.3323807579381213</c:v>
                </c:pt>
                <c:pt idx="137">
                  <c:v>2.027313493271329</c:v>
                </c:pt>
                <c:pt idx="138">
                  <c:v>1.6613247725836164</c:v>
                </c:pt>
                <c:pt idx="139">
                  <c:v>1.1789826122551568</c:v>
                </c:pt>
                <c:pt idx="140">
                  <c:v>0</c:v>
                </c:pt>
              </c:numCache>
            </c:numRef>
          </c:yVal>
          <c:smooth val="1"/>
        </c:ser>
        <c:ser>
          <c:idx val="82"/>
          <c:order val="19"/>
          <c:spPr>
            <a:ln w="1905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'CS 1er sem datos'!$A$22:$A$162</c:f>
              <c:numCache>
                <c:formatCode>General</c:formatCode>
                <c:ptCount val="141"/>
                <c:pt idx="0">
                  <c:v>7</c:v>
                </c:pt>
                <c:pt idx="1">
                  <c:v>6.9</c:v>
                </c:pt>
                <c:pt idx="2">
                  <c:v>6.8</c:v>
                </c:pt>
                <c:pt idx="3">
                  <c:v>6.7</c:v>
                </c:pt>
                <c:pt idx="4">
                  <c:v>6.6</c:v>
                </c:pt>
                <c:pt idx="5">
                  <c:v>6.5</c:v>
                </c:pt>
                <c:pt idx="6">
                  <c:v>6.4</c:v>
                </c:pt>
                <c:pt idx="7">
                  <c:v>6.3</c:v>
                </c:pt>
                <c:pt idx="8">
                  <c:v>6.2</c:v>
                </c:pt>
                <c:pt idx="9">
                  <c:v>6.1</c:v>
                </c:pt>
                <c:pt idx="10">
                  <c:v>6</c:v>
                </c:pt>
                <c:pt idx="11">
                  <c:v>5.9</c:v>
                </c:pt>
                <c:pt idx="12">
                  <c:v>5.8</c:v>
                </c:pt>
                <c:pt idx="13">
                  <c:v>5.7</c:v>
                </c:pt>
                <c:pt idx="14">
                  <c:v>5.6</c:v>
                </c:pt>
                <c:pt idx="15">
                  <c:v>5.5</c:v>
                </c:pt>
                <c:pt idx="16">
                  <c:v>5.4</c:v>
                </c:pt>
                <c:pt idx="17">
                  <c:v>5.3</c:v>
                </c:pt>
                <c:pt idx="18">
                  <c:v>5.2</c:v>
                </c:pt>
                <c:pt idx="19">
                  <c:v>5.0999999999999996</c:v>
                </c:pt>
                <c:pt idx="20">
                  <c:v>5</c:v>
                </c:pt>
                <c:pt idx="21">
                  <c:v>4.9000000000000004</c:v>
                </c:pt>
                <c:pt idx="22">
                  <c:v>4.8</c:v>
                </c:pt>
                <c:pt idx="23">
                  <c:v>4.7</c:v>
                </c:pt>
                <c:pt idx="24">
                  <c:v>4.5999999999999996</c:v>
                </c:pt>
                <c:pt idx="25">
                  <c:v>4.5</c:v>
                </c:pt>
                <c:pt idx="26">
                  <c:v>4.4000000000000004</c:v>
                </c:pt>
                <c:pt idx="27">
                  <c:v>4.3</c:v>
                </c:pt>
                <c:pt idx="28">
                  <c:v>4.2</c:v>
                </c:pt>
                <c:pt idx="29">
                  <c:v>4.0999999999999996</c:v>
                </c:pt>
                <c:pt idx="30">
                  <c:v>4</c:v>
                </c:pt>
                <c:pt idx="31">
                  <c:v>3.9</c:v>
                </c:pt>
                <c:pt idx="32">
                  <c:v>3.8</c:v>
                </c:pt>
                <c:pt idx="33">
                  <c:v>3.7</c:v>
                </c:pt>
                <c:pt idx="34">
                  <c:v>3.6</c:v>
                </c:pt>
                <c:pt idx="35">
                  <c:v>3.5</c:v>
                </c:pt>
                <c:pt idx="36">
                  <c:v>3.4</c:v>
                </c:pt>
                <c:pt idx="37">
                  <c:v>3.3</c:v>
                </c:pt>
                <c:pt idx="38">
                  <c:v>3.2</c:v>
                </c:pt>
                <c:pt idx="39">
                  <c:v>3.1</c:v>
                </c:pt>
                <c:pt idx="40">
                  <c:v>3</c:v>
                </c:pt>
                <c:pt idx="41">
                  <c:v>2.9</c:v>
                </c:pt>
                <c:pt idx="42">
                  <c:v>2.8</c:v>
                </c:pt>
                <c:pt idx="43">
                  <c:v>2.7</c:v>
                </c:pt>
                <c:pt idx="44">
                  <c:v>2.6</c:v>
                </c:pt>
                <c:pt idx="45">
                  <c:v>2.5</c:v>
                </c:pt>
                <c:pt idx="46">
                  <c:v>2.4</c:v>
                </c:pt>
                <c:pt idx="47">
                  <c:v>2.2999999999999998</c:v>
                </c:pt>
                <c:pt idx="48">
                  <c:v>2.2000000000000002</c:v>
                </c:pt>
                <c:pt idx="49">
                  <c:v>2.1</c:v>
                </c:pt>
                <c:pt idx="50">
                  <c:v>2</c:v>
                </c:pt>
                <c:pt idx="51">
                  <c:v>1.9</c:v>
                </c:pt>
                <c:pt idx="52">
                  <c:v>1.8</c:v>
                </c:pt>
                <c:pt idx="53">
                  <c:v>1.7</c:v>
                </c:pt>
                <c:pt idx="54">
                  <c:v>1.6</c:v>
                </c:pt>
                <c:pt idx="55">
                  <c:v>1.5</c:v>
                </c:pt>
                <c:pt idx="56">
                  <c:v>1.4</c:v>
                </c:pt>
                <c:pt idx="57">
                  <c:v>1.3</c:v>
                </c:pt>
                <c:pt idx="58">
                  <c:v>1.2</c:v>
                </c:pt>
                <c:pt idx="59">
                  <c:v>1.1000000000000001</c:v>
                </c:pt>
                <c:pt idx="60">
                  <c:v>1</c:v>
                </c:pt>
                <c:pt idx="61">
                  <c:v>0.9</c:v>
                </c:pt>
                <c:pt idx="62">
                  <c:v>0.8</c:v>
                </c:pt>
                <c:pt idx="63">
                  <c:v>0.7</c:v>
                </c:pt>
                <c:pt idx="64">
                  <c:v>0.6</c:v>
                </c:pt>
                <c:pt idx="65">
                  <c:v>0.5</c:v>
                </c:pt>
                <c:pt idx="66">
                  <c:v>0.4</c:v>
                </c:pt>
                <c:pt idx="67">
                  <c:v>0.3</c:v>
                </c:pt>
                <c:pt idx="68">
                  <c:v>0.2</c:v>
                </c:pt>
                <c:pt idx="69">
                  <c:v>0.1</c:v>
                </c:pt>
                <c:pt idx="70">
                  <c:v>0</c:v>
                </c:pt>
                <c:pt idx="71">
                  <c:v>-0.1</c:v>
                </c:pt>
                <c:pt idx="72">
                  <c:v>-0.2</c:v>
                </c:pt>
                <c:pt idx="73">
                  <c:v>-0.3</c:v>
                </c:pt>
                <c:pt idx="74">
                  <c:v>-0.4</c:v>
                </c:pt>
                <c:pt idx="75">
                  <c:v>-0.5</c:v>
                </c:pt>
                <c:pt idx="76">
                  <c:v>-0.6</c:v>
                </c:pt>
                <c:pt idx="77">
                  <c:v>-0.7</c:v>
                </c:pt>
                <c:pt idx="78">
                  <c:v>-0.8</c:v>
                </c:pt>
                <c:pt idx="79">
                  <c:v>-0.9</c:v>
                </c:pt>
                <c:pt idx="80">
                  <c:v>-1</c:v>
                </c:pt>
                <c:pt idx="81">
                  <c:v>-1.1000000000000001</c:v>
                </c:pt>
                <c:pt idx="82">
                  <c:v>-1.2</c:v>
                </c:pt>
                <c:pt idx="83">
                  <c:v>-1.3</c:v>
                </c:pt>
                <c:pt idx="84">
                  <c:v>-1.4</c:v>
                </c:pt>
                <c:pt idx="85">
                  <c:v>-1.5</c:v>
                </c:pt>
                <c:pt idx="86">
                  <c:v>-1.6</c:v>
                </c:pt>
                <c:pt idx="87">
                  <c:v>-1.7</c:v>
                </c:pt>
                <c:pt idx="88">
                  <c:v>-1.8</c:v>
                </c:pt>
                <c:pt idx="89">
                  <c:v>-1.9</c:v>
                </c:pt>
                <c:pt idx="90">
                  <c:v>-2</c:v>
                </c:pt>
                <c:pt idx="91">
                  <c:v>-2.1</c:v>
                </c:pt>
                <c:pt idx="92">
                  <c:v>-2.2000000000000002</c:v>
                </c:pt>
                <c:pt idx="93">
                  <c:v>-2.2999999999999998</c:v>
                </c:pt>
                <c:pt idx="94">
                  <c:v>-2.4</c:v>
                </c:pt>
                <c:pt idx="95">
                  <c:v>-2.5</c:v>
                </c:pt>
                <c:pt idx="96">
                  <c:v>-2.6</c:v>
                </c:pt>
                <c:pt idx="97">
                  <c:v>-2.7</c:v>
                </c:pt>
                <c:pt idx="98">
                  <c:v>-2.8</c:v>
                </c:pt>
                <c:pt idx="99">
                  <c:v>-2.9</c:v>
                </c:pt>
                <c:pt idx="100">
                  <c:v>-3</c:v>
                </c:pt>
                <c:pt idx="101">
                  <c:v>-3.1</c:v>
                </c:pt>
                <c:pt idx="102">
                  <c:v>-3.2</c:v>
                </c:pt>
                <c:pt idx="103">
                  <c:v>-3.3</c:v>
                </c:pt>
                <c:pt idx="104">
                  <c:v>-3.4</c:v>
                </c:pt>
                <c:pt idx="105">
                  <c:v>-3.5</c:v>
                </c:pt>
                <c:pt idx="106">
                  <c:v>-3.6</c:v>
                </c:pt>
                <c:pt idx="107">
                  <c:v>-3.7</c:v>
                </c:pt>
                <c:pt idx="108">
                  <c:v>-3.8</c:v>
                </c:pt>
                <c:pt idx="109">
                  <c:v>-3.9</c:v>
                </c:pt>
                <c:pt idx="110">
                  <c:v>-4</c:v>
                </c:pt>
                <c:pt idx="111">
                  <c:v>-4.0999999999999996</c:v>
                </c:pt>
                <c:pt idx="112">
                  <c:v>-4.2</c:v>
                </c:pt>
                <c:pt idx="113">
                  <c:v>-4.3</c:v>
                </c:pt>
                <c:pt idx="114">
                  <c:v>-4.4000000000000004</c:v>
                </c:pt>
                <c:pt idx="115">
                  <c:v>-4.5</c:v>
                </c:pt>
                <c:pt idx="116">
                  <c:v>-4.5999999999999996</c:v>
                </c:pt>
                <c:pt idx="117">
                  <c:v>-4.7</c:v>
                </c:pt>
                <c:pt idx="118">
                  <c:v>-4.8</c:v>
                </c:pt>
                <c:pt idx="119">
                  <c:v>-4.9000000000000004</c:v>
                </c:pt>
                <c:pt idx="120">
                  <c:v>-5</c:v>
                </c:pt>
                <c:pt idx="121">
                  <c:v>-5.0999999999999996</c:v>
                </c:pt>
                <c:pt idx="122">
                  <c:v>-5.2</c:v>
                </c:pt>
                <c:pt idx="123">
                  <c:v>-5.3</c:v>
                </c:pt>
                <c:pt idx="124">
                  <c:v>-5.4</c:v>
                </c:pt>
                <c:pt idx="125">
                  <c:v>-5.5</c:v>
                </c:pt>
                <c:pt idx="126">
                  <c:v>-5.6</c:v>
                </c:pt>
                <c:pt idx="127">
                  <c:v>-5.7</c:v>
                </c:pt>
                <c:pt idx="128">
                  <c:v>-5.8</c:v>
                </c:pt>
                <c:pt idx="129">
                  <c:v>-5.9</c:v>
                </c:pt>
                <c:pt idx="130">
                  <c:v>-6</c:v>
                </c:pt>
                <c:pt idx="131">
                  <c:v>-6.1</c:v>
                </c:pt>
                <c:pt idx="132">
                  <c:v>-6.2</c:v>
                </c:pt>
                <c:pt idx="133">
                  <c:v>-6.3</c:v>
                </c:pt>
                <c:pt idx="134">
                  <c:v>-6.4</c:v>
                </c:pt>
                <c:pt idx="135">
                  <c:v>-6.5</c:v>
                </c:pt>
                <c:pt idx="136">
                  <c:v>-6.6</c:v>
                </c:pt>
                <c:pt idx="137">
                  <c:v>-6.7</c:v>
                </c:pt>
                <c:pt idx="138">
                  <c:v>-6.8</c:v>
                </c:pt>
                <c:pt idx="139">
                  <c:v>-6.9</c:v>
                </c:pt>
                <c:pt idx="140">
                  <c:v>-7</c:v>
                </c:pt>
              </c:numCache>
            </c:numRef>
          </c:xVal>
          <c:yVal>
            <c:numRef>
              <c:f>'CS 1er sem datos'!$G$22:$G$162</c:f>
              <c:numCache>
                <c:formatCode>General</c:formatCode>
                <c:ptCount val="141"/>
                <c:pt idx="0">
                  <c:v>0</c:v>
                </c:pt>
                <c:pt idx="1">
                  <c:v>-1.1789826122551568</c:v>
                </c:pt>
                <c:pt idx="2">
                  <c:v>-1.6613247725836164</c:v>
                </c:pt>
                <c:pt idx="3">
                  <c:v>-2.027313493271329</c:v>
                </c:pt>
                <c:pt idx="4">
                  <c:v>-2.3323807579381213</c:v>
                </c:pt>
                <c:pt idx="5">
                  <c:v>-2.598076211353316</c:v>
                </c:pt>
                <c:pt idx="6">
                  <c:v>-2.8354893757515636</c:v>
                </c:pt>
                <c:pt idx="7">
                  <c:v>-3.0512292604784719</c:v>
                </c:pt>
                <c:pt idx="8">
                  <c:v>-3.2496153618543833</c:v>
                </c:pt>
                <c:pt idx="9">
                  <c:v>-3.4336569426778802</c:v>
                </c:pt>
                <c:pt idx="10">
                  <c:v>-3.6055512754639891</c:v>
                </c:pt>
                <c:pt idx="11">
                  <c:v>-3.7669616403674722</c:v>
                </c:pt>
                <c:pt idx="12">
                  <c:v>-3.9191835884530848</c:v>
                </c:pt>
                <c:pt idx="13">
                  <c:v>-4.0632499307820087</c:v>
                </c:pt>
                <c:pt idx="14">
                  <c:v>-4.2</c:v>
                </c:pt>
                <c:pt idx="15">
                  <c:v>-4.3301270189221936</c:v>
                </c:pt>
                <c:pt idx="16">
                  <c:v>-4.4542114902640169</c:v>
                </c:pt>
                <c:pt idx="17">
                  <c:v>-4.5727453460694703</c:v>
                </c:pt>
                <c:pt idx="18">
                  <c:v>-4.6861498055439927</c:v>
                </c:pt>
                <c:pt idx="19">
                  <c:v>-4.7947888378947408</c:v>
                </c:pt>
                <c:pt idx="20">
                  <c:v>-4.8989794855663558</c:v>
                </c:pt>
                <c:pt idx="21">
                  <c:v>-4.9989998999799941</c:v>
                </c:pt>
                <c:pt idx="22">
                  <c:v>-5.0950956811427988</c:v>
                </c:pt>
                <c:pt idx="23">
                  <c:v>-5.1874849397371747</c:v>
                </c:pt>
                <c:pt idx="24">
                  <c:v>-5.2763623833091682</c:v>
                </c:pt>
                <c:pt idx="25">
                  <c:v>-5.3619026473818039</c:v>
                </c:pt>
                <c:pt idx="26">
                  <c:v>-5.4442630355264798</c:v>
                </c:pt>
                <c:pt idx="27">
                  <c:v>-5.5235857918565907</c:v>
                </c:pt>
                <c:pt idx="28">
                  <c:v>-5.6</c:v>
                </c:pt>
                <c:pt idx="29">
                  <c:v>-5.6736231810017133</c:v>
                </c:pt>
                <c:pt idx="30">
                  <c:v>-5.7445626465380286</c:v>
                </c:pt>
                <c:pt idx="31">
                  <c:v>-5.8129166517334481</c:v>
                </c:pt>
                <c:pt idx="32">
                  <c:v>-5.8787753826796276</c:v>
                </c:pt>
                <c:pt idx="33">
                  <c:v>-5.9422218066982317</c:v>
                </c:pt>
                <c:pt idx="34">
                  <c:v>-6.0033324079214534</c:v>
                </c:pt>
                <c:pt idx="35">
                  <c:v>-6.0621778264910704</c:v>
                </c:pt>
                <c:pt idx="36">
                  <c:v>-6.1188234163113417</c:v>
                </c:pt>
                <c:pt idx="37">
                  <c:v>-6.1733297336202604</c:v>
                </c:pt>
                <c:pt idx="38">
                  <c:v>-6.2257529665093525</c:v>
                </c:pt>
                <c:pt idx="39">
                  <c:v>-6.2761453138052818</c:v>
                </c:pt>
                <c:pt idx="40">
                  <c:v>-6.324555320336759</c:v>
                </c:pt>
                <c:pt idx="41">
                  <c:v>-6.3710281744785906</c:v>
                </c:pt>
                <c:pt idx="42">
                  <c:v>-6.4156059729381765</c:v>
                </c:pt>
                <c:pt idx="43">
                  <c:v>-6.4583279569870093</c:v>
                </c:pt>
                <c:pt idx="44">
                  <c:v>-6.4992307237087683</c:v>
                </c:pt>
                <c:pt idx="45">
                  <c:v>-6.5383484153110105</c:v>
                </c:pt>
                <c:pt idx="46">
                  <c:v>-6.5757128891094387</c:v>
                </c:pt>
                <c:pt idx="47">
                  <c:v>-6.611353870426238</c:v>
                </c:pt>
                <c:pt idx="48">
                  <c:v>-6.6452990903344595</c:v>
                </c:pt>
                <c:pt idx="49">
                  <c:v>-6.6775744099186198</c:v>
                </c:pt>
                <c:pt idx="50">
                  <c:v>-6.7082039324993694</c:v>
                </c:pt>
                <c:pt idx="51">
                  <c:v>-6.7372101050805888</c:v>
                </c:pt>
                <c:pt idx="52">
                  <c:v>-6.7646138101151054</c:v>
                </c:pt>
                <c:pt idx="53">
                  <c:v>-6.7904344485459838</c:v>
                </c:pt>
                <c:pt idx="54">
                  <c:v>-6.8146900149603278</c:v>
                </c:pt>
                <c:pt idx="55">
                  <c:v>-6.8373971655886718</c:v>
                </c:pt>
                <c:pt idx="56">
                  <c:v>-6.8585712797928986</c:v>
                </c:pt>
                <c:pt idx="57">
                  <c:v>-6.8782265156070572</c:v>
                </c:pt>
                <c:pt idx="58">
                  <c:v>-6.8963758598266676</c:v>
                </c:pt>
                <c:pt idx="59">
                  <c:v>-6.9130311730817473</c:v>
                </c:pt>
                <c:pt idx="60">
                  <c:v>-6.9282032302755088</c:v>
                </c:pt>
                <c:pt idx="61">
                  <c:v>-6.9419017567234409</c:v>
                </c:pt>
                <c:pt idx="62">
                  <c:v>-6.9541354602854843</c:v>
                </c:pt>
                <c:pt idx="63">
                  <c:v>-6.9649120597463394</c:v>
                </c:pt>
                <c:pt idx="64">
                  <c:v>-6.9742383096650773</c:v>
                </c:pt>
                <c:pt idx="65">
                  <c:v>-6.9821200218844703</c:v>
                </c:pt>
                <c:pt idx="66">
                  <c:v>-6.9885620838624591</c:v>
                </c:pt>
                <c:pt idx="67">
                  <c:v>-6.9935684739623447</c:v>
                </c:pt>
                <c:pt idx="68">
                  <c:v>-6.9971422738143607</c:v>
                </c:pt>
                <c:pt idx="69">
                  <c:v>-6.9992856778388468</c:v>
                </c:pt>
                <c:pt idx="70">
                  <c:v>-7</c:v>
                </c:pt>
                <c:pt idx="71">
                  <c:v>-6.9992856778388468</c:v>
                </c:pt>
                <c:pt idx="72">
                  <c:v>-6.9971422738143607</c:v>
                </c:pt>
                <c:pt idx="73">
                  <c:v>-6.9935684739623447</c:v>
                </c:pt>
                <c:pt idx="74">
                  <c:v>-6.9885620838624591</c:v>
                </c:pt>
                <c:pt idx="75">
                  <c:v>-6.9821200218844703</c:v>
                </c:pt>
                <c:pt idx="76">
                  <c:v>-6.9742383096650773</c:v>
                </c:pt>
                <c:pt idx="77">
                  <c:v>-6.9649120597463394</c:v>
                </c:pt>
                <c:pt idx="78">
                  <c:v>-6.9541354602854843</c:v>
                </c:pt>
                <c:pt idx="79">
                  <c:v>-6.9419017567234409</c:v>
                </c:pt>
                <c:pt idx="80">
                  <c:v>-6.9282032302755088</c:v>
                </c:pt>
                <c:pt idx="81">
                  <c:v>-6.9130311730817473</c:v>
                </c:pt>
                <c:pt idx="82">
                  <c:v>-6.8963758598266676</c:v>
                </c:pt>
                <c:pt idx="83">
                  <c:v>-6.8782265156070572</c:v>
                </c:pt>
                <c:pt idx="84">
                  <c:v>-6.8585712797928986</c:v>
                </c:pt>
                <c:pt idx="85">
                  <c:v>-6.8373971655886718</c:v>
                </c:pt>
                <c:pt idx="86">
                  <c:v>-6.8146900149603278</c:v>
                </c:pt>
                <c:pt idx="87">
                  <c:v>-6.7904344485459838</c:v>
                </c:pt>
                <c:pt idx="88">
                  <c:v>-6.7646138101151054</c:v>
                </c:pt>
                <c:pt idx="89">
                  <c:v>-6.7372101050805888</c:v>
                </c:pt>
                <c:pt idx="90">
                  <c:v>-6.7082039324993694</c:v>
                </c:pt>
                <c:pt idx="91">
                  <c:v>-6.6775744099186198</c:v>
                </c:pt>
                <c:pt idx="92">
                  <c:v>-6.6452990903344595</c:v>
                </c:pt>
                <c:pt idx="93">
                  <c:v>-6.611353870426238</c:v>
                </c:pt>
                <c:pt idx="94">
                  <c:v>-6.5757128891094387</c:v>
                </c:pt>
                <c:pt idx="95">
                  <c:v>-6.5383484153110105</c:v>
                </c:pt>
                <c:pt idx="96">
                  <c:v>-6.4992307237087683</c:v>
                </c:pt>
                <c:pt idx="97">
                  <c:v>-6.4583279569870093</c:v>
                </c:pt>
                <c:pt idx="98">
                  <c:v>-6.4156059729381765</c:v>
                </c:pt>
                <c:pt idx="99">
                  <c:v>-6.3710281744785906</c:v>
                </c:pt>
                <c:pt idx="100">
                  <c:v>-6.324555320336759</c:v>
                </c:pt>
                <c:pt idx="101">
                  <c:v>-6.2761453138052818</c:v>
                </c:pt>
                <c:pt idx="102">
                  <c:v>-6.2257529665093525</c:v>
                </c:pt>
                <c:pt idx="103">
                  <c:v>-6.1733297336202604</c:v>
                </c:pt>
                <c:pt idx="104">
                  <c:v>-6.1188234163113417</c:v>
                </c:pt>
                <c:pt idx="105">
                  <c:v>-6.0621778264910704</c:v>
                </c:pt>
                <c:pt idx="106">
                  <c:v>-6.0033324079214534</c:v>
                </c:pt>
                <c:pt idx="107">
                  <c:v>-5.9422218066982317</c:v>
                </c:pt>
                <c:pt idx="108">
                  <c:v>-5.8787753826796276</c:v>
                </c:pt>
                <c:pt idx="109">
                  <c:v>-5.8129166517334481</c:v>
                </c:pt>
                <c:pt idx="110">
                  <c:v>-5.7445626465380286</c:v>
                </c:pt>
                <c:pt idx="111">
                  <c:v>-5.6736231810017133</c:v>
                </c:pt>
                <c:pt idx="112">
                  <c:v>-5.6</c:v>
                </c:pt>
                <c:pt idx="113">
                  <c:v>-5.5235857918565907</c:v>
                </c:pt>
                <c:pt idx="114">
                  <c:v>-5.4442630355264798</c:v>
                </c:pt>
                <c:pt idx="115">
                  <c:v>-5.3619026473818039</c:v>
                </c:pt>
                <c:pt idx="116">
                  <c:v>-5.2763623833091682</c:v>
                </c:pt>
                <c:pt idx="117">
                  <c:v>-5.1874849397371747</c:v>
                </c:pt>
                <c:pt idx="118">
                  <c:v>-5.0950956811427988</c:v>
                </c:pt>
                <c:pt idx="119">
                  <c:v>-4.9989998999799941</c:v>
                </c:pt>
                <c:pt idx="120">
                  <c:v>-4.8989794855663558</c:v>
                </c:pt>
                <c:pt idx="121">
                  <c:v>-4.7947888378947408</c:v>
                </c:pt>
                <c:pt idx="122">
                  <c:v>-4.6861498055439927</c:v>
                </c:pt>
                <c:pt idx="123">
                  <c:v>-4.5727453460694703</c:v>
                </c:pt>
                <c:pt idx="124">
                  <c:v>-4.4542114902640169</c:v>
                </c:pt>
                <c:pt idx="125">
                  <c:v>-4.3301270189221936</c:v>
                </c:pt>
                <c:pt idx="126">
                  <c:v>-4.2</c:v>
                </c:pt>
                <c:pt idx="127">
                  <c:v>-4.0632499307820087</c:v>
                </c:pt>
                <c:pt idx="128">
                  <c:v>-3.9191835884530848</c:v>
                </c:pt>
                <c:pt idx="129">
                  <c:v>-3.7669616403674722</c:v>
                </c:pt>
                <c:pt idx="130">
                  <c:v>-3.6055512754639891</c:v>
                </c:pt>
                <c:pt idx="131">
                  <c:v>-3.4336569426778802</c:v>
                </c:pt>
                <c:pt idx="132">
                  <c:v>-3.2496153618543833</c:v>
                </c:pt>
                <c:pt idx="133">
                  <c:v>-3.0512292604784719</c:v>
                </c:pt>
                <c:pt idx="134">
                  <c:v>-2.8354893757515636</c:v>
                </c:pt>
                <c:pt idx="135">
                  <c:v>-2.598076211353316</c:v>
                </c:pt>
                <c:pt idx="136">
                  <c:v>-2.3323807579381213</c:v>
                </c:pt>
                <c:pt idx="137">
                  <c:v>-2.027313493271329</c:v>
                </c:pt>
                <c:pt idx="138">
                  <c:v>-1.6613247725836164</c:v>
                </c:pt>
                <c:pt idx="139">
                  <c:v>-1.1789826122551568</c:v>
                </c:pt>
                <c:pt idx="140">
                  <c:v>0</c:v>
                </c:pt>
              </c:numCache>
            </c:numRef>
          </c:yVal>
          <c:smooth val="1"/>
        </c:ser>
        <c:ser>
          <c:idx val="85"/>
          <c:order val="20"/>
          <c:spPr>
            <a:ln w="1905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'CS 1er sem datos'!$A$32:$A$152</c:f>
              <c:numCache>
                <c:formatCode>General</c:formatCode>
                <c:ptCount val="121"/>
                <c:pt idx="0">
                  <c:v>6</c:v>
                </c:pt>
                <c:pt idx="1">
                  <c:v>5.9</c:v>
                </c:pt>
                <c:pt idx="2">
                  <c:v>5.8</c:v>
                </c:pt>
                <c:pt idx="3">
                  <c:v>5.7</c:v>
                </c:pt>
                <c:pt idx="4">
                  <c:v>5.6</c:v>
                </c:pt>
                <c:pt idx="5">
                  <c:v>5.5</c:v>
                </c:pt>
                <c:pt idx="6">
                  <c:v>5.4</c:v>
                </c:pt>
                <c:pt idx="7">
                  <c:v>5.3</c:v>
                </c:pt>
                <c:pt idx="8">
                  <c:v>5.2</c:v>
                </c:pt>
                <c:pt idx="9">
                  <c:v>5.0999999999999996</c:v>
                </c:pt>
                <c:pt idx="10">
                  <c:v>5</c:v>
                </c:pt>
                <c:pt idx="11">
                  <c:v>4.9000000000000004</c:v>
                </c:pt>
                <c:pt idx="12">
                  <c:v>4.8</c:v>
                </c:pt>
                <c:pt idx="13">
                  <c:v>4.7</c:v>
                </c:pt>
                <c:pt idx="14">
                  <c:v>4.5999999999999996</c:v>
                </c:pt>
                <c:pt idx="15">
                  <c:v>4.5</c:v>
                </c:pt>
                <c:pt idx="16">
                  <c:v>4.4000000000000004</c:v>
                </c:pt>
                <c:pt idx="17">
                  <c:v>4.3</c:v>
                </c:pt>
                <c:pt idx="18">
                  <c:v>4.2</c:v>
                </c:pt>
                <c:pt idx="19">
                  <c:v>4.0999999999999996</c:v>
                </c:pt>
                <c:pt idx="20">
                  <c:v>4</c:v>
                </c:pt>
                <c:pt idx="21">
                  <c:v>3.9</c:v>
                </c:pt>
                <c:pt idx="22">
                  <c:v>3.8</c:v>
                </c:pt>
                <c:pt idx="23">
                  <c:v>3.7</c:v>
                </c:pt>
                <c:pt idx="24">
                  <c:v>3.6</c:v>
                </c:pt>
                <c:pt idx="25">
                  <c:v>3.5</c:v>
                </c:pt>
                <c:pt idx="26">
                  <c:v>3.4</c:v>
                </c:pt>
                <c:pt idx="27">
                  <c:v>3.3</c:v>
                </c:pt>
                <c:pt idx="28">
                  <c:v>3.2</c:v>
                </c:pt>
                <c:pt idx="29">
                  <c:v>3.1</c:v>
                </c:pt>
                <c:pt idx="30">
                  <c:v>3</c:v>
                </c:pt>
                <c:pt idx="31">
                  <c:v>2.9</c:v>
                </c:pt>
                <c:pt idx="32">
                  <c:v>2.8</c:v>
                </c:pt>
                <c:pt idx="33">
                  <c:v>2.7</c:v>
                </c:pt>
                <c:pt idx="34">
                  <c:v>2.6</c:v>
                </c:pt>
                <c:pt idx="35">
                  <c:v>2.5</c:v>
                </c:pt>
                <c:pt idx="36">
                  <c:v>2.4</c:v>
                </c:pt>
                <c:pt idx="37">
                  <c:v>2.2999999999999998</c:v>
                </c:pt>
                <c:pt idx="38">
                  <c:v>2.2000000000000002</c:v>
                </c:pt>
                <c:pt idx="39">
                  <c:v>2.1</c:v>
                </c:pt>
                <c:pt idx="40">
                  <c:v>2</c:v>
                </c:pt>
                <c:pt idx="41">
                  <c:v>1.9</c:v>
                </c:pt>
                <c:pt idx="42">
                  <c:v>1.8</c:v>
                </c:pt>
                <c:pt idx="43">
                  <c:v>1.7</c:v>
                </c:pt>
                <c:pt idx="44">
                  <c:v>1.6</c:v>
                </c:pt>
                <c:pt idx="45">
                  <c:v>1.5</c:v>
                </c:pt>
                <c:pt idx="46">
                  <c:v>1.4</c:v>
                </c:pt>
                <c:pt idx="47">
                  <c:v>1.3</c:v>
                </c:pt>
                <c:pt idx="48">
                  <c:v>1.2</c:v>
                </c:pt>
                <c:pt idx="49">
                  <c:v>1.1000000000000001</c:v>
                </c:pt>
                <c:pt idx="50">
                  <c:v>1</c:v>
                </c:pt>
                <c:pt idx="51">
                  <c:v>0.9</c:v>
                </c:pt>
                <c:pt idx="52">
                  <c:v>0.8</c:v>
                </c:pt>
                <c:pt idx="53">
                  <c:v>0.7</c:v>
                </c:pt>
                <c:pt idx="54">
                  <c:v>0.6</c:v>
                </c:pt>
                <c:pt idx="55">
                  <c:v>0.5</c:v>
                </c:pt>
                <c:pt idx="56">
                  <c:v>0.4</c:v>
                </c:pt>
                <c:pt idx="57">
                  <c:v>0.3</c:v>
                </c:pt>
                <c:pt idx="58">
                  <c:v>0.2</c:v>
                </c:pt>
                <c:pt idx="59">
                  <c:v>0.1</c:v>
                </c:pt>
                <c:pt idx="60">
                  <c:v>0</c:v>
                </c:pt>
                <c:pt idx="61">
                  <c:v>-0.1</c:v>
                </c:pt>
                <c:pt idx="62">
                  <c:v>-0.2</c:v>
                </c:pt>
                <c:pt idx="63">
                  <c:v>-0.3</c:v>
                </c:pt>
                <c:pt idx="64">
                  <c:v>-0.4</c:v>
                </c:pt>
                <c:pt idx="65">
                  <c:v>-0.5</c:v>
                </c:pt>
                <c:pt idx="66">
                  <c:v>-0.6</c:v>
                </c:pt>
                <c:pt idx="67">
                  <c:v>-0.7</c:v>
                </c:pt>
                <c:pt idx="68">
                  <c:v>-0.8</c:v>
                </c:pt>
                <c:pt idx="69">
                  <c:v>-0.9</c:v>
                </c:pt>
                <c:pt idx="70">
                  <c:v>-1</c:v>
                </c:pt>
                <c:pt idx="71">
                  <c:v>-1.1000000000000001</c:v>
                </c:pt>
                <c:pt idx="72">
                  <c:v>-1.2</c:v>
                </c:pt>
                <c:pt idx="73">
                  <c:v>-1.3</c:v>
                </c:pt>
                <c:pt idx="74">
                  <c:v>-1.4</c:v>
                </c:pt>
                <c:pt idx="75">
                  <c:v>-1.5</c:v>
                </c:pt>
                <c:pt idx="76">
                  <c:v>-1.6</c:v>
                </c:pt>
                <c:pt idx="77">
                  <c:v>-1.7</c:v>
                </c:pt>
                <c:pt idx="78">
                  <c:v>-1.8</c:v>
                </c:pt>
                <c:pt idx="79">
                  <c:v>-1.9</c:v>
                </c:pt>
                <c:pt idx="80">
                  <c:v>-2</c:v>
                </c:pt>
                <c:pt idx="81">
                  <c:v>-2.1</c:v>
                </c:pt>
                <c:pt idx="82">
                  <c:v>-2.2000000000000002</c:v>
                </c:pt>
                <c:pt idx="83">
                  <c:v>-2.2999999999999998</c:v>
                </c:pt>
                <c:pt idx="84">
                  <c:v>-2.4</c:v>
                </c:pt>
                <c:pt idx="85">
                  <c:v>-2.5</c:v>
                </c:pt>
                <c:pt idx="86">
                  <c:v>-2.6</c:v>
                </c:pt>
                <c:pt idx="87">
                  <c:v>-2.7</c:v>
                </c:pt>
                <c:pt idx="88">
                  <c:v>-2.8</c:v>
                </c:pt>
                <c:pt idx="89">
                  <c:v>-2.9</c:v>
                </c:pt>
                <c:pt idx="90">
                  <c:v>-3</c:v>
                </c:pt>
                <c:pt idx="91">
                  <c:v>-3.1</c:v>
                </c:pt>
                <c:pt idx="92">
                  <c:v>-3.2</c:v>
                </c:pt>
                <c:pt idx="93">
                  <c:v>-3.3</c:v>
                </c:pt>
                <c:pt idx="94">
                  <c:v>-3.4</c:v>
                </c:pt>
                <c:pt idx="95">
                  <c:v>-3.5</c:v>
                </c:pt>
                <c:pt idx="96">
                  <c:v>-3.6</c:v>
                </c:pt>
                <c:pt idx="97">
                  <c:v>-3.7</c:v>
                </c:pt>
                <c:pt idx="98">
                  <c:v>-3.8</c:v>
                </c:pt>
                <c:pt idx="99">
                  <c:v>-3.9</c:v>
                </c:pt>
                <c:pt idx="100">
                  <c:v>-4</c:v>
                </c:pt>
                <c:pt idx="101">
                  <c:v>-4.0999999999999996</c:v>
                </c:pt>
                <c:pt idx="102">
                  <c:v>-4.2</c:v>
                </c:pt>
                <c:pt idx="103">
                  <c:v>-4.3</c:v>
                </c:pt>
                <c:pt idx="104">
                  <c:v>-4.4000000000000004</c:v>
                </c:pt>
                <c:pt idx="105">
                  <c:v>-4.5</c:v>
                </c:pt>
                <c:pt idx="106">
                  <c:v>-4.5999999999999996</c:v>
                </c:pt>
                <c:pt idx="107">
                  <c:v>-4.7</c:v>
                </c:pt>
                <c:pt idx="108">
                  <c:v>-4.8</c:v>
                </c:pt>
                <c:pt idx="109">
                  <c:v>-4.9000000000000004</c:v>
                </c:pt>
                <c:pt idx="110">
                  <c:v>-5</c:v>
                </c:pt>
                <c:pt idx="111">
                  <c:v>-5.0999999999999996</c:v>
                </c:pt>
                <c:pt idx="112">
                  <c:v>-5.2</c:v>
                </c:pt>
                <c:pt idx="113">
                  <c:v>-5.3</c:v>
                </c:pt>
                <c:pt idx="114">
                  <c:v>-5.4</c:v>
                </c:pt>
                <c:pt idx="115">
                  <c:v>-5.5</c:v>
                </c:pt>
                <c:pt idx="116">
                  <c:v>-5.6</c:v>
                </c:pt>
                <c:pt idx="117">
                  <c:v>-5.7</c:v>
                </c:pt>
                <c:pt idx="118">
                  <c:v>-5.8</c:v>
                </c:pt>
                <c:pt idx="119">
                  <c:v>-5.9</c:v>
                </c:pt>
                <c:pt idx="120">
                  <c:v>-6</c:v>
                </c:pt>
              </c:numCache>
            </c:numRef>
          </c:xVal>
          <c:yVal>
            <c:numRef>
              <c:f>'CS 1er sem datos'!$H$32:$H$152</c:f>
              <c:numCache>
                <c:formatCode>General</c:formatCode>
                <c:ptCount val="121"/>
                <c:pt idx="0">
                  <c:v>0</c:v>
                </c:pt>
                <c:pt idx="1">
                  <c:v>1.0908712114635704</c:v>
                </c:pt>
                <c:pt idx="2">
                  <c:v>1.5362291495737215</c:v>
                </c:pt>
                <c:pt idx="3">
                  <c:v>1.8734993995195188</c:v>
                </c:pt>
                <c:pt idx="4">
                  <c:v>2.1540659228538024</c:v>
                </c:pt>
                <c:pt idx="5">
                  <c:v>2.3979157616563596</c:v>
                </c:pt>
                <c:pt idx="6">
                  <c:v>2.6153393661244033</c:v>
                </c:pt>
                <c:pt idx="7">
                  <c:v>2.8124722220850469</c:v>
                </c:pt>
                <c:pt idx="8">
                  <c:v>2.9933259094191524</c:v>
                </c:pt>
                <c:pt idx="9">
                  <c:v>3.1606961258558219</c:v>
                </c:pt>
                <c:pt idx="10">
                  <c:v>3.3166247903553998</c:v>
                </c:pt>
                <c:pt idx="11">
                  <c:v>3.4626579386361565</c:v>
                </c:pt>
                <c:pt idx="12">
                  <c:v>3.6</c:v>
                </c:pt>
                <c:pt idx="13">
                  <c:v>3.7296112397943029</c:v>
                </c:pt>
                <c:pt idx="14">
                  <c:v>3.8522720568516449</c:v>
                </c:pt>
                <c:pt idx="15">
                  <c:v>3.9686269665968861</c:v>
                </c:pt>
                <c:pt idx="16">
                  <c:v>4.0792156108742272</c:v>
                </c:pt>
                <c:pt idx="17">
                  <c:v>4.1844951905815355</c:v>
                </c:pt>
                <c:pt idx="18">
                  <c:v>4.2848570571257101</c:v>
                </c:pt>
                <c:pt idx="19">
                  <c:v>4.3806392227619018</c:v>
                </c:pt>
                <c:pt idx="20">
                  <c:v>4.4721359549995796</c:v>
                </c:pt>
                <c:pt idx="21">
                  <c:v>4.5596052460711993</c:v>
                </c:pt>
                <c:pt idx="22">
                  <c:v>4.6432747064975599</c:v>
                </c:pt>
                <c:pt idx="23">
                  <c:v>4.7233462714478174</c:v>
                </c:pt>
                <c:pt idx="24">
                  <c:v>4.8</c:v>
                </c:pt>
                <c:pt idx="25">
                  <c:v>4.8733971724044816</c:v>
                </c:pt>
                <c:pt idx="26">
                  <c:v>4.9436828377233102</c:v>
                </c:pt>
                <c:pt idx="27">
                  <c:v>5.0109879265470196</c:v>
                </c:pt>
                <c:pt idx="28">
                  <c:v>5.0754310161798077</c:v>
                </c:pt>
                <c:pt idx="29">
                  <c:v>5.1371198156165292</c:v>
                </c:pt>
                <c:pt idx="30">
                  <c:v>5.196152422706632</c:v>
                </c:pt>
                <c:pt idx="31">
                  <c:v>5.2526183946675582</c:v>
                </c:pt>
                <c:pt idx="32">
                  <c:v>5.3065996645686395</c:v>
                </c:pt>
                <c:pt idx="33">
                  <c:v>5.3581713298475258</c:v>
                </c:pt>
                <c:pt idx="34">
                  <c:v>5.4074023338383093</c:v>
                </c:pt>
                <c:pt idx="35">
                  <c:v>5.4543560573178569</c:v>
                </c:pt>
                <c:pt idx="36">
                  <c:v>5.4990908339470082</c:v>
                </c:pt>
                <c:pt idx="37">
                  <c:v>5.5416604009989641</c:v>
                </c:pt>
                <c:pt idx="38">
                  <c:v>5.5821142947811451</c:v>
                </c:pt>
                <c:pt idx="39">
                  <c:v>5.6204981985585585</c:v>
                </c:pt>
                <c:pt idx="40">
                  <c:v>5.6568542494923806</c:v>
                </c:pt>
                <c:pt idx="41">
                  <c:v>5.6912213100528781</c:v>
                </c:pt>
                <c:pt idx="42">
                  <c:v>5.7236352085016735</c:v>
                </c:pt>
                <c:pt idx="43">
                  <c:v>5.7541289523263206</c:v>
                </c:pt>
                <c:pt idx="44">
                  <c:v>5.7827329179203844</c:v>
                </c:pt>
                <c:pt idx="45">
                  <c:v>5.8094750193111251</c:v>
                </c:pt>
                <c:pt idx="46">
                  <c:v>5.8343808583259289</c:v>
                </c:pt>
                <c:pt idx="47">
                  <c:v>5.8574738582429884</c:v>
                </c:pt>
                <c:pt idx="48">
                  <c:v>5.8787753826796276</c:v>
                </c:pt>
                <c:pt idx="49">
                  <c:v>5.8983048412234513</c:v>
                </c:pt>
                <c:pt idx="50">
                  <c:v>5.9160797830996161</c:v>
                </c:pt>
                <c:pt idx="51">
                  <c:v>5.9321159799855563</c:v>
                </c:pt>
                <c:pt idx="52">
                  <c:v>5.9464274989274024</c:v>
                </c:pt>
                <c:pt idx="53">
                  <c:v>5.9590267661758327</c:v>
                </c:pt>
                <c:pt idx="54">
                  <c:v>5.96992462263972</c:v>
                </c:pt>
                <c:pt idx="55">
                  <c:v>5.9791303715506992</c:v>
                </c:pt>
                <c:pt idx="56">
                  <c:v>5.9866518188383067</c:v>
                </c:pt>
                <c:pt idx="57">
                  <c:v>5.9924953066314535</c:v>
                </c:pt>
                <c:pt idx="58">
                  <c:v>5.9966657402259802</c:v>
                </c:pt>
                <c:pt idx="59">
                  <c:v>5.9991666087882578</c:v>
                </c:pt>
                <c:pt idx="60">
                  <c:v>6</c:v>
                </c:pt>
                <c:pt idx="61">
                  <c:v>5.9991666087882578</c:v>
                </c:pt>
                <c:pt idx="62">
                  <c:v>5.9966657402259802</c:v>
                </c:pt>
                <c:pt idx="63">
                  <c:v>5.9924953066314535</c:v>
                </c:pt>
                <c:pt idx="64">
                  <c:v>5.9866518188383067</c:v>
                </c:pt>
                <c:pt idx="65">
                  <c:v>5.9791303715506992</c:v>
                </c:pt>
                <c:pt idx="66">
                  <c:v>5.96992462263972</c:v>
                </c:pt>
                <c:pt idx="67">
                  <c:v>5.9590267661758327</c:v>
                </c:pt>
                <c:pt idx="68">
                  <c:v>5.9464274989274024</c:v>
                </c:pt>
                <c:pt idx="69">
                  <c:v>5.9321159799855563</c:v>
                </c:pt>
                <c:pt idx="70">
                  <c:v>5.9160797830996161</c:v>
                </c:pt>
                <c:pt idx="71">
                  <c:v>5.8983048412234513</c:v>
                </c:pt>
                <c:pt idx="72">
                  <c:v>5.8787753826796276</c:v>
                </c:pt>
                <c:pt idx="73">
                  <c:v>5.8574738582429884</c:v>
                </c:pt>
                <c:pt idx="74">
                  <c:v>5.8343808583259289</c:v>
                </c:pt>
                <c:pt idx="75">
                  <c:v>5.8094750193111251</c:v>
                </c:pt>
                <c:pt idx="76">
                  <c:v>5.7827329179203844</c:v>
                </c:pt>
                <c:pt idx="77">
                  <c:v>5.7541289523263206</c:v>
                </c:pt>
                <c:pt idx="78">
                  <c:v>5.7236352085016735</c:v>
                </c:pt>
                <c:pt idx="79">
                  <c:v>5.6912213100528781</c:v>
                </c:pt>
                <c:pt idx="80">
                  <c:v>5.6568542494923806</c:v>
                </c:pt>
                <c:pt idx="81">
                  <c:v>5.6204981985585585</c:v>
                </c:pt>
                <c:pt idx="82">
                  <c:v>5.5821142947811451</c:v>
                </c:pt>
                <c:pt idx="83">
                  <c:v>5.5416604009989641</c:v>
                </c:pt>
                <c:pt idx="84">
                  <c:v>5.4990908339470082</c:v>
                </c:pt>
                <c:pt idx="85">
                  <c:v>5.4543560573178569</c:v>
                </c:pt>
                <c:pt idx="86">
                  <c:v>5.4074023338383093</c:v>
                </c:pt>
                <c:pt idx="87">
                  <c:v>5.3581713298475258</c:v>
                </c:pt>
                <c:pt idx="88">
                  <c:v>5.3065996645686395</c:v>
                </c:pt>
                <c:pt idx="89">
                  <c:v>5.2526183946675582</c:v>
                </c:pt>
                <c:pt idx="90">
                  <c:v>5.196152422706632</c:v>
                </c:pt>
                <c:pt idx="91">
                  <c:v>5.1371198156165292</c:v>
                </c:pt>
                <c:pt idx="92">
                  <c:v>5.0754310161798077</c:v>
                </c:pt>
                <c:pt idx="93">
                  <c:v>5.0109879265470196</c:v>
                </c:pt>
                <c:pt idx="94">
                  <c:v>4.9436828377233102</c:v>
                </c:pt>
                <c:pt idx="95">
                  <c:v>4.8733971724044816</c:v>
                </c:pt>
                <c:pt idx="96">
                  <c:v>4.8</c:v>
                </c:pt>
                <c:pt idx="97">
                  <c:v>4.7233462714478174</c:v>
                </c:pt>
                <c:pt idx="98">
                  <c:v>4.6432747064975599</c:v>
                </c:pt>
                <c:pt idx="99">
                  <c:v>4.5596052460711993</c:v>
                </c:pt>
                <c:pt idx="100">
                  <c:v>4.4721359549995796</c:v>
                </c:pt>
                <c:pt idx="101">
                  <c:v>4.3806392227619018</c:v>
                </c:pt>
                <c:pt idx="102">
                  <c:v>4.2848570571257101</c:v>
                </c:pt>
                <c:pt idx="103">
                  <c:v>4.1844951905815355</c:v>
                </c:pt>
                <c:pt idx="104">
                  <c:v>4.0792156108742272</c:v>
                </c:pt>
                <c:pt idx="105">
                  <c:v>3.9686269665968861</c:v>
                </c:pt>
                <c:pt idx="106">
                  <c:v>3.8522720568516449</c:v>
                </c:pt>
                <c:pt idx="107">
                  <c:v>3.7296112397943029</c:v>
                </c:pt>
                <c:pt idx="108">
                  <c:v>3.6</c:v>
                </c:pt>
                <c:pt idx="109">
                  <c:v>3.4626579386361565</c:v>
                </c:pt>
                <c:pt idx="110">
                  <c:v>3.3166247903553998</c:v>
                </c:pt>
                <c:pt idx="111">
                  <c:v>3.1606961258558219</c:v>
                </c:pt>
                <c:pt idx="112">
                  <c:v>2.9933259094191524</c:v>
                </c:pt>
                <c:pt idx="113">
                  <c:v>2.8124722220850469</c:v>
                </c:pt>
                <c:pt idx="114">
                  <c:v>2.6153393661244033</c:v>
                </c:pt>
                <c:pt idx="115">
                  <c:v>2.3979157616563596</c:v>
                </c:pt>
                <c:pt idx="116">
                  <c:v>2.1540659228538024</c:v>
                </c:pt>
                <c:pt idx="117">
                  <c:v>1.8734993995195188</c:v>
                </c:pt>
                <c:pt idx="118">
                  <c:v>1.5362291495737215</c:v>
                </c:pt>
                <c:pt idx="119">
                  <c:v>1.0908712114635704</c:v>
                </c:pt>
                <c:pt idx="120">
                  <c:v>0</c:v>
                </c:pt>
              </c:numCache>
            </c:numRef>
          </c:yVal>
          <c:smooth val="1"/>
        </c:ser>
        <c:ser>
          <c:idx val="86"/>
          <c:order val="21"/>
          <c:spPr>
            <a:ln w="1905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'CS 1er sem datos'!$A$32:$A$152</c:f>
              <c:numCache>
                <c:formatCode>General</c:formatCode>
                <c:ptCount val="121"/>
                <c:pt idx="0">
                  <c:v>6</c:v>
                </c:pt>
                <c:pt idx="1">
                  <c:v>5.9</c:v>
                </c:pt>
                <c:pt idx="2">
                  <c:v>5.8</c:v>
                </c:pt>
                <c:pt idx="3">
                  <c:v>5.7</c:v>
                </c:pt>
                <c:pt idx="4">
                  <c:v>5.6</c:v>
                </c:pt>
                <c:pt idx="5">
                  <c:v>5.5</c:v>
                </c:pt>
                <c:pt idx="6">
                  <c:v>5.4</c:v>
                </c:pt>
                <c:pt idx="7">
                  <c:v>5.3</c:v>
                </c:pt>
                <c:pt idx="8">
                  <c:v>5.2</c:v>
                </c:pt>
                <c:pt idx="9">
                  <c:v>5.0999999999999996</c:v>
                </c:pt>
                <c:pt idx="10">
                  <c:v>5</c:v>
                </c:pt>
                <c:pt idx="11">
                  <c:v>4.9000000000000004</c:v>
                </c:pt>
                <c:pt idx="12">
                  <c:v>4.8</c:v>
                </c:pt>
                <c:pt idx="13">
                  <c:v>4.7</c:v>
                </c:pt>
                <c:pt idx="14">
                  <c:v>4.5999999999999996</c:v>
                </c:pt>
                <c:pt idx="15">
                  <c:v>4.5</c:v>
                </c:pt>
                <c:pt idx="16">
                  <c:v>4.4000000000000004</c:v>
                </c:pt>
                <c:pt idx="17">
                  <c:v>4.3</c:v>
                </c:pt>
                <c:pt idx="18">
                  <c:v>4.2</c:v>
                </c:pt>
                <c:pt idx="19">
                  <c:v>4.0999999999999996</c:v>
                </c:pt>
                <c:pt idx="20">
                  <c:v>4</c:v>
                </c:pt>
                <c:pt idx="21">
                  <c:v>3.9</c:v>
                </c:pt>
                <c:pt idx="22">
                  <c:v>3.8</c:v>
                </c:pt>
                <c:pt idx="23">
                  <c:v>3.7</c:v>
                </c:pt>
                <c:pt idx="24">
                  <c:v>3.6</c:v>
                </c:pt>
                <c:pt idx="25">
                  <c:v>3.5</c:v>
                </c:pt>
                <c:pt idx="26">
                  <c:v>3.4</c:v>
                </c:pt>
                <c:pt idx="27">
                  <c:v>3.3</c:v>
                </c:pt>
                <c:pt idx="28">
                  <c:v>3.2</c:v>
                </c:pt>
                <c:pt idx="29">
                  <c:v>3.1</c:v>
                </c:pt>
                <c:pt idx="30">
                  <c:v>3</c:v>
                </c:pt>
                <c:pt idx="31">
                  <c:v>2.9</c:v>
                </c:pt>
                <c:pt idx="32">
                  <c:v>2.8</c:v>
                </c:pt>
                <c:pt idx="33">
                  <c:v>2.7</c:v>
                </c:pt>
                <c:pt idx="34">
                  <c:v>2.6</c:v>
                </c:pt>
                <c:pt idx="35">
                  <c:v>2.5</c:v>
                </c:pt>
                <c:pt idx="36">
                  <c:v>2.4</c:v>
                </c:pt>
                <c:pt idx="37">
                  <c:v>2.2999999999999998</c:v>
                </c:pt>
                <c:pt idx="38">
                  <c:v>2.2000000000000002</c:v>
                </c:pt>
                <c:pt idx="39">
                  <c:v>2.1</c:v>
                </c:pt>
                <c:pt idx="40">
                  <c:v>2</c:v>
                </c:pt>
                <c:pt idx="41">
                  <c:v>1.9</c:v>
                </c:pt>
                <c:pt idx="42">
                  <c:v>1.8</c:v>
                </c:pt>
                <c:pt idx="43">
                  <c:v>1.7</c:v>
                </c:pt>
                <c:pt idx="44">
                  <c:v>1.6</c:v>
                </c:pt>
                <c:pt idx="45">
                  <c:v>1.5</c:v>
                </c:pt>
                <c:pt idx="46">
                  <c:v>1.4</c:v>
                </c:pt>
                <c:pt idx="47">
                  <c:v>1.3</c:v>
                </c:pt>
                <c:pt idx="48">
                  <c:v>1.2</c:v>
                </c:pt>
                <c:pt idx="49">
                  <c:v>1.1000000000000001</c:v>
                </c:pt>
                <c:pt idx="50">
                  <c:v>1</c:v>
                </c:pt>
                <c:pt idx="51">
                  <c:v>0.9</c:v>
                </c:pt>
                <c:pt idx="52">
                  <c:v>0.8</c:v>
                </c:pt>
                <c:pt idx="53">
                  <c:v>0.7</c:v>
                </c:pt>
                <c:pt idx="54">
                  <c:v>0.6</c:v>
                </c:pt>
                <c:pt idx="55">
                  <c:v>0.5</c:v>
                </c:pt>
                <c:pt idx="56">
                  <c:v>0.4</c:v>
                </c:pt>
                <c:pt idx="57">
                  <c:v>0.3</c:v>
                </c:pt>
                <c:pt idx="58">
                  <c:v>0.2</c:v>
                </c:pt>
                <c:pt idx="59">
                  <c:v>0.1</c:v>
                </c:pt>
                <c:pt idx="60">
                  <c:v>0</c:v>
                </c:pt>
                <c:pt idx="61">
                  <c:v>-0.1</c:v>
                </c:pt>
                <c:pt idx="62">
                  <c:v>-0.2</c:v>
                </c:pt>
                <c:pt idx="63">
                  <c:v>-0.3</c:v>
                </c:pt>
                <c:pt idx="64">
                  <c:v>-0.4</c:v>
                </c:pt>
                <c:pt idx="65">
                  <c:v>-0.5</c:v>
                </c:pt>
                <c:pt idx="66">
                  <c:v>-0.6</c:v>
                </c:pt>
                <c:pt idx="67">
                  <c:v>-0.7</c:v>
                </c:pt>
                <c:pt idx="68">
                  <c:v>-0.8</c:v>
                </c:pt>
                <c:pt idx="69">
                  <c:v>-0.9</c:v>
                </c:pt>
                <c:pt idx="70">
                  <c:v>-1</c:v>
                </c:pt>
                <c:pt idx="71">
                  <c:v>-1.1000000000000001</c:v>
                </c:pt>
                <c:pt idx="72">
                  <c:v>-1.2</c:v>
                </c:pt>
                <c:pt idx="73">
                  <c:v>-1.3</c:v>
                </c:pt>
                <c:pt idx="74">
                  <c:v>-1.4</c:v>
                </c:pt>
                <c:pt idx="75">
                  <c:v>-1.5</c:v>
                </c:pt>
                <c:pt idx="76">
                  <c:v>-1.6</c:v>
                </c:pt>
                <c:pt idx="77">
                  <c:v>-1.7</c:v>
                </c:pt>
                <c:pt idx="78">
                  <c:v>-1.8</c:v>
                </c:pt>
                <c:pt idx="79">
                  <c:v>-1.9</c:v>
                </c:pt>
                <c:pt idx="80">
                  <c:v>-2</c:v>
                </c:pt>
                <c:pt idx="81">
                  <c:v>-2.1</c:v>
                </c:pt>
                <c:pt idx="82">
                  <c:v>-2.2000000000000002</c:v>
                </c:pt>
                <c:pt idx="83">
                  <c:v>-2.2999999999999998</c:v>
                </c:pt>
                <c:pt idx="84">
                  <c:v>-2.4</c:v>
                </c:pt>
                <c:pt idx="85">
                  <c:v>-2.5</c:v>
                </c:pt>
                <c:pt idx="86">
                  <c:v>-2.6</c:v>
                </c:pt>
                <c:pt idx="87">
                  <c:v>-2.7</c:v>
                </c:pt>
                <c:pt idx="88">
                  <c:v>-2.8</c:v>
                </c:pt>
                <c:pt idx="89">
                  <c:v>-2.9</c:v>
                </c:pt>
                <c:pt idx="90">
                  <c:v>-3</c:v>
                </c:pt>
                <c:pt idx="91">
                  <c:v>-3.1</c:v>
                </c:pt>
                <c:pt idx="92">
                  <c:v>-3.2</c:v>
                </c:pt>
                <c:pt idx="93">
                  <c:v>-3.3</c:v>
                </c:pt>
                <c:pt idx="94">
                  <c:v>-3.4</c:v>
                </c:pt>
                <c:pt idx="95">
                  <c:v>-3.5</c:v>
                </c:pt>
                <c:pt idx="96">
                  <c:v>-3.6</c:v>
                </c:pt>
                <c:pt idx="97">
                  <c:v>-3.7</c:v>
                </c:pt>
                <c:pt idx="98">
                  <c:v>-3.8</c:v>
                </c:pt>
                <c:pt idx="99">
                  <c:v>-3.9</c:v>
                </c:pt>
                <c:pt idx="100">
                  <c:v>-4</c:v>
                </c:pt>
                <c:pt idx="101">
                  <c:v>-4.0999999999999996</c:v>
                </c:pt>
                <c:pt idx="102">
                  <c:v>-4.2</c:v>
                </c:pt>
                <c:pt idx="103">
                  <c:v>-4.3</c:v>
                </c:pt>
                <c:pt idx="104">
                  <c:v>-4.4000000000000004</c:v>
                </c:pt>
                <c:pt idx="105">
                  <c:v>-4.5</c:v>
                </c:pt>
                <c:pt idx="106">
                  <c:v>-4.5999999999999996</c:v>
                </c:pt>
                <c:pt idx="107">
                  <c:v>-4.7</c:v>
                </c:pt>
                <c:pt idx="108">
                  <c:v>-4.8</c:v>
                </c:pt>
                <c:pt idx="109">
                  <c:v>-4.9000000000000004</c:v>
                </c:pt>
                <c:pt idx="110">
                  <c:v>-5</c:v>
                </c:pt>
                <c:pt idx="111">
                  <c:v>-5.0999999999999996</c:v>
                </c:pt>
                <c:pt idx="112">
                  <c:v>-5.2</c:v>
                </c:pt>
                <c:pt idx="113">
                  <c:v>-5.3</c:v>
                </c:pt>
                <c:pt idx="114">
                  <c:v>-5.4</c:v>
                </c:pt>
                <c:pt idx="115">
                  <c:v>-5.5</c:v>
                </c:pt>
                <c:pt idx="116">
                  <c:v>-5.6</c:v>
                </c:pt>
                <c:pt idx="117">
                  <c:v>-5.7</c:v>
                </c:pt>
                <c:pt idx="118">
                  <c:v>-5.8</c:v>
                </c:pt>
                <c:pt idx="119">
                  <c:v>-5.9</c:v>
                </c:pt>
                <c:pt idx="120">
                  <c:v>-6</c:v>
                </c:pt>
              </c:numCache>
            </c:numRef>
          </c:xVal>
          <c:yVal>
            <c:numRef>
              <c:f>'CS 1er sem datos'!$I$32:$I$152</c:f>
              <c:numCache>
                <c:formatCode>General</c:formatCode>
                <c:ptCount val="121"/>
                <c:pt idx="0">
                  <c:v>0</c:v>
                </c:pt>
                <c:pt idx="1">
                  <c:v>-1.0908712114635704</c:v>
                </c:pt>
                <c:pt idx="2">
                  <c:v>-1.5362291495737215</c:v>
                </c:pt>
                <c:pt idx="3">
                  <c:v>-1.8734993995195188</c:v>
                </c:pt>
                <c:pt idx="4">
                  <c:v>-2.1540659228538024</c:v>
                </c:pt>
                <c:pt idx="5">
                  <c:v>-2.3979157616563596</c:v>
                </c:pt>
                <c:pt idx="6">
                  <c:v>-2.6153393661244033</c:v>
                </c:pt>
                <c:pt idx="7">
                  <c:v>-2.8124722220850469</c:v>
                </c:pt>
                <c:pt idx="8">
                  <c:v>-2.9933259094191524</c:v>
                </c:pt>
                <c:pt idx="9">
                  <c:v>-3.1606961258558219</c:v>
                </c:pt>
                <c:pt idx="10">
                  <c:v>-3.3166247903553998</c:v>
                </c:pt>
                <c:pt idx="11">
                  <c:v>-3.4626579386361565</c:v>
                </c:pt>
                <c:pt idx="12">
                  <c:v>-3.6</c:v>
                </c:pt>
                <c:pt idx="13">
                  <c:v>-3.7296112397943029</c:v>
                </c:pt>
                <c:pt idx="14">
                  <c:v>-3.8522720568516449</c:v>
                </c:pt>
                <c:pt idx="15">
                  <c:v>-3.9686269665968861</c:v>
                </c:pt>
                <c:pt idx="16">
                  <c:v>-4.0792156108742272</c:v>
                </c:pt>
                <c:pt idx="17">
                  <c:v>-4.1844951905815355</c:v>
                </c:pt>
                <c:pt idx="18">
                  <c:v>-4.2848570571257101</c:v>
                </c:pt>
                <c:pt idx="19">
                  <c:v>-4.3806392227619018</c:v>
                </c:pt>
                <c:pt idx="20">
                  <c:v>-4.4721359549995796</c:v>
                </c:pt>
                <c:pt idx="21">
                  <c:v>-4.5596052460711993</c:v>
                </c:pt>
                <c:pt idx="22">
                  <c:v>-4.6432747064975599</c:v>
                </c:pt>
                <c:pt idx="23">
                  <c:v>-4.7233462714478174</c:v>
                </c:pt>
                <c:pt idx="24">
                  <c:v>-4.8</c:v>
                </c:pt>
                <c:pt idx="25">
                  <c:v>-4.8733971724044816</c:v>
                </c:pt>
                <c:pt idx="26">
                  <c:v>-4.9436828377233102</c:v>
                </c:pt>
                <c:pt idx="27">
                  <c:v>-5.0109879265470196</c:v>
                </c:pt>
                <c:pt idx="28">
                  <c:v>-5.0754310161798077</c:v>
                </c:pt>
                <c:pt idx="29">
                  <c:v>-5.1371198156165292</c:v>
                </c:pt>
                <c:pt idx="30">
                  <c:v>-5.196152422706632</c:v>
                </c:pt>
                <c:pt idx="31">
                  <c:v>-5.2526183946675582</c:v>
                </c:pt>
                <c:pt idx="32">
                  <c:v>-5.3065996645686395</c:v>
                </c:pt>
                <c:pt idx="33">
                  <c:v>-5.3581713298475258</c:v>
                </c:pt>
                <c:pt idx="34">
                  <c:v>-5.4074023338383093</c:v>
                </c:pt>
                <c:pt idx="35">
                  <c:v>-5.4543560573178569</c:v>
                </c:pt>
                <c:pt idx="36">
                  <c:v>-5.4990908339470082</c:v>
                </c:pt>
                <c:pt idx="37">
                  <c:v>-5.5416604009989641</c:v>
                </c:pt>
                <c:pt idx="38">
                  <c:v>-5.5821142947811451</c:v>
                </c:pt>
                <c:pt idx="39">
                  <c:v>-5.6204981985585585</c:v>
                </c:pt>
                <c:pt idx="40">
                  <c:v>-5.6568542494923806</c:v>
                </c:pt>
                <c:pt idx="41">
                  <c:v>-5.6912213100528781</c:v>
                </c:pt>
                <c:pt idx="42">
                  <c:v>-5.7236352085016735</c:v>
                </c:pt>
                <c:pt idx="43">
                  <c:v>-5.7541289523263206</c:v>
                </c:pt>
                <c:pt idx="44">
                  <c:v>-5.7827329179203844</c:v>
                </c:pt>
                <c:pt idx="45">
                  <c:v>-5.8094750193111251</c:v>
                </c:pt>
                <c:pt idx="46">
                  <c:v>-5.8343808583259289</c:v>
                </c:pt>
                <c:pt idx="47">
                  <c:v>-5.8574738582429884</c:v>
                </c:pt>
                <c:pt idx="48">
                  <c:v>-5.8787753826796276</c:v>
                </c:pt>
                <c:pt idx="49">
                  <c:v>-5.8983048412234513</c:v>
                </c:pt>
                <c:pt idx="50">
                  <c:v>-5.9160797830996161</c:v>
                </c:pt>
                <c:pt idx="51">
                  <c:v>-5.9321159799855563</c:v>
                </c:pt>
                <c:pt idx="52">
                  <c:v>-5.9464274989274024</c:v>
                </c:pt>
                <c:pt idx="53">
                  <c:v>-5.9590267661758327</c:v>
                </c:pt>
                <c:pt idx="54">
                  <c:v>-5.96992462263972</c:v>
                </c:pt>
                <c:pt idx="55">
                  <c:v>-5.9791303715506992</c:v>
                </c:pt>
                <c:pt idx="56">
                  <c:v>-5.9866518188383067</c:v>
                </c:pt>
                <c:pt idx="57">
                  <c:v>-5.9924953066314535</c:v>
                </c:pt>
                <c:pt idx="58">
                  <c:v>-5.9966657402259802</c:v>
                </c:pt>
                <c:pt idx="59">
                  <c:v>-5.9991666087882578</c:v>
                </c:pt>
                <c:pt idx="60">
                  <c:v>-6</c:v>
                </c:pt>
                <c:pt idx="61">
                  <c:v>-5.9991666087882578</c:v>
                </c:pt>
                <c:pt idx="62">
                  <c:v>-5.9966657402259802</c:v>
                </c:pt>
                <c:pt idx="63">
                  <c:v>-5.9924953066314535</c:v>
                </c:pt>
                <c:pt idx="64">
                  <c:v>-5.9866518188383067</c:v>
                </c:pt>
                <c:pt idx="65">
                  <c:v>-5.9791303715506992</c:v>
                </c:pt>
                <c:pt idx="66">
                  <c:v>-5.96992462263972</c:v>
                </c:pt>
                <c:pt idx="67">
                  <c:v>-5.9590267661758327</c:v>
                </c:pt>
                <c:pt idx="68">
                  <c:v>-5.9464274989274024</c:v>
                </c:pt>
                <c:pt idx="69">
                  <c:v>-5.9321159799855563</c:v>
                </c:pt>
                <c:pt idx="70">
                  <c:v>-5.9160797830996161</c:v>
                </c:pt>
                <c:pt idx="71">
                  <c:v>-5.8983048412234513</c:v>
                </c:pt>
                <c:pt idx="72">
                  <c:v>-5.8787753826796276</c:v>
                </c:pt>
                <c:pt idx="73">
                  <c:v>-5.8574738582429884</c:v>
                </c:pt>
                <c:pt idx="74">
                  <c:v>-5.8343808583259289</c:v>
                </c:pt>
                <c:pt idx="75">
                  <c:v>-5.8094750193111251</c:v>
                </c:pt>
                <c:pt idx="76">
                  <c:v>-5.7827329179203844</c:v>
                </c:pt>
                <c:pt idx="77">
                  <c:v>-5.7541289523263206</c:v>
                </c:pt>
                <c:pt idx="78">
                  <c:v>-5.7236352085016735</c:v>
                </c:pt>
                <c:pt idx="79">
                  <c:v>-5.6912213100528781</c:v>
                </c:pt>
                <c:pt idx="80">
                  <c:v>-5.6568542494923806</c:v>
                </c:pt>
                <c:pt idx="81">
                  <c:v>-5.6204981985585585</c:v>
                </c:pt>
                <c:pt idx="82">
                  <c:v>-5.5821142947811451</c:v>
                </c:pt>
                <c:pt idx="83">
                  <c:v>-5.5416604009989641</c:v>
                </c:pt>
                <c:pt idx="84">
                  <c:v>-5.4990908339470082</c:v>
                </c:pt>
                <c:pt idx="85">
                  <c:v>-5.4543560573178569</c:v>
                </c:pt>
                <c:pt idx="86">
                  <c:v>-5.4074023338383093</c:v>
                </c:pt>
                <c:pt idx="87">
                  <c:v>-5.3581713298475258</c:v>
                </c:pt>
                <c:pt idx="88">
                  <c:v>-5.3065996645686395</c:v>
                </c:pt>
                <c:pt idx="89">
                  <c:v>-5.2526183946675582</c:v>
                </c:pt>
                <c:pt idx="90">
                  <c:v>-5.196152422706632</c:v>
                </c:pt>
                <c:pt idx="91">
                  <c:v>-5.1371198156165292</c:v>
                </c:pt>
                <c:pt idx="92">
                  <c:v>-5.0754310161798077</c:v>
                </c:pt>
                <c:pt idx="93">
                  <c:v>-5.0109879265470196</c:v>
                </c:pt>
                <c:pt idx="94">
                  <c:v>-4.9436828377233102</c:v>
                </c:pt>
                <c:pt idx="95">
                  <c:v>-4.8733971724044816</c:v>
                </c:pt>
                <c:pt idx="96">
                  <c:v>-4.8</c:v>
                </c:pt>
                <c:pt idx="97">
                  <c:v>-4.7233462714478174</c:v>
                </c:pt>
                <c:pt idx="98">
                  <c:v>-4.6432747064975599</c:v>
                </c:pt>
                <c:pt idx="99">
                  <c:v>-4.5596052460711993</c:v>
                </c:pt>
                <c:pt idx="100">
                  <c:v>-4.4721359549995796</c:v>
                </c:pt>
                <c:pt idx="101">
                  <c:v>-4.3806392227619018</c:v>
                </c:pt>
                <c:pt idx="102">
                  <c:v>-4.2848570571257101</c:v>
                </c:pt>
                <c:pt idx="103">
                  <c:v>-4.1844951905815355</c:v>
                </c:pt>
                <c:pt idx="104">
                  <c:v>-4.0792156108742272</c:v>
                </c:pt>
                <c:pt idx="105">
                  <c:v>-3.9686269665968861</c:v>
                </c:pt>
                <c:pt idx="106">
                  <c:v>-3.8522720568516449</c:v>
                </c:pt>
                <c:pt idx="107">
                  <c:v>-3.7296112397943029</c:v>
                </c:pt>
                <c:pt idx="108">
                  <c:v>-3.6</c:v>
                </c:pt>
                <c:pt idx="109">
                  <c:v>-3.4626579386361565</c:v>
                </c:pt>
                <c:pt idx="110">
                  <c:v>-3.3166247903553998</c:v>
                </c:pt>
                <c:pt idx="111">
                  <c:v>-3.1606961258558219</c:v>
                </c:pt>
                <c:pt idx="112">
                  <c:v>-2.9933259094191524</c:v>
                </c:pt>
                <c:pt idx="113">
                  <c:v>-2.8124722220850469</c:v>
                </c:pt>
                <c:pt idx="114">
                  <c:v>-2.6153393661244033</c:v>
                </c:pt>
                <c:pt idx="115">
                  <c:v>-2.3979157616563596</c:v>
                </c:pt>
                <c:pt idx="116">
                  <c:v>-2.1540659228538024</c:v>
                </c:pt>
                <c:pt idx="117">
                  <c:v>-1.8734993995195188</c:v>
                </c:pt>
                <c:pt idx="118">
                  <c:v>-1.5362291495737215</c:v>
                </c:pt>
                <c:pt idx="119">
                  <c:v>-1.0908712114635704</c:v>
                </c:pt>
                <c:pt idx="120">
                  <c:v>0</c:v>
                </c:pt>
              </c:numCache>
            </c:numRef>
          </c:yVal>
          <c:smooth val="1"/>
        </c:ser>
        <c:ser>
          <c:idx val="89"/>
          <c:order val="22"/>
          <c:spPr>
            <a:ln w="1905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'CS 1er sem datos'!$A$42:$A$142</c:f>
              <c:numCache>
                <c:formatCode>General</c:formatCode>
                <c:ptCount val="101"/>
                <c:pt idx="0">
                  <c:v>5</c:v>
                </c:pt>
                <c:pt idx="1">
                  <c:v>4.9000000000000004</c:v>
                </c:pt>
                <c:pt idx="2">
                  <c:v>4.8</c:v>
                </c:pt>
                <c:pt idx="3">
                  <c:v>4.7</c:v>
                </c:pt>
                <c:pt idx="4">
                  <c:v>4.5999999999999996</c:v>
                </c:pt>
                <c:pt idx="5">
                  <c:v>4.5</c:v>
                </c:pt>
                <c:pt idx="6">
                  <c:v>4.4000000000000004</c:v>
                </c:pt>
                <c:pt idx="7">
                  <c:v>4.3</c:v>
                </c:pt>
                <c:pt idx="8">
                  <c:v>4.2</c:v>
                </c:pt>
                <c:pt idx="9">
                  <c:v>4.0999999999999996</c:v>
                </c:pt>
                <c:pt idx="10">
                  <c:v>4</c:v>
                </c:pt>
                <c:pt idx="11">
                  <c:v>3.9</c:v>
                </c:pt>
                <c:pt idx="12">
                  <c:v>3.8</c:v>
                </c:pt>
                <c:pt idx="13">
                  <c:v>3.7</c:v>
                </c:pt>
                <c:pt idx="14">
                  <c:v>3.6</c:v>
                </c:pt>
                <c:pt idx="15">
                  <c:v>3.5</c:v>
                </c:pt>
                <c:pt idx="16">
                  <c:v>3.4</c:v>
                </c:pt>
                <c:pt idx="17">
                  <c:v>3.3</c:v>
                </c:pt>
                <c:pt idx="18">
                  <c:v>3.2</c:v>
                </c:pt>
                <c:pt idx="19">
                  <c:v>3.1</c:v>
                </c:pt>
                <c:pt idx="20">
                  <c:v>3</c:v>
                </c:pt>
                <c:pt idx="21">
                  <c:v>2.9</c:v>
                </c:pt>
                <c:pt idx="22">
                  <c:v>2.8</c:v>
                </c:pt>
                <c:pt idx="23">
                  <c:v>2.7</c:v>
                </c:pt>
                <c:pt idx="24">
                  <c:v>2.6</c:v>
                </c:pt>
                <c:pt idx="25">
                  <c:v>2.5</c:v>
                </c:pt>
                <c:pt idx="26">
                  <c:v>2.4</c:v>
                </c:pt>
                <c:pt idx="27">
                  <c:v>2.2999999999999998</c:v>
                </c:pt>
                <c:pt idx="28">
                  <c:v>2.2000000000000002</c:v>
                </c:pt>
                <c:pt idx="29">
                  <c:v>2.1</c:v>
                </c:pt>
                <c:pt idx="30">
                  <c:v>2</c:v>
                </c:pt>
                <c:pt idx="31">
                  <c:v>1.9</c:v>
                </c:pt>
                <c:pt idx="32">
                  <c:v>1.8</c:v>
                </c:pt>
                <c:pt idx="33">
                  <c:v>1.7</c:v>
                </c:pt>
                <c:pt idx="34">
                  <c:v>1.6</c:v>
                </c:pt>
                <c:pt idx="35">
                  <c:v>1.5</c:v>
                </c:pt>
                <c:pt idx="36">
                  <c:v>1.4</c:v>
                </c:pt>
                <c:pt idx="37">
                  <c:v>1.3</c:v>
                </c:pt>
                <c:pt idx="38">
                  <c:v>1.2</c:v>
                </c:pt>
                <c:pt idx="39">
                  <c:v>1.1000000000000001</c:v>
                </c:pt>
                <c:pt idx="40">
                  <c:v>1</c:v>
                </c:pt>
                <c:pt idx="41">
                  <c:v>0.9</c:v>
                </c:pt>
                <c:pt idx="42">
                  <c:v>0.8</c:v>
                </c:pt>
                <c:pt idx="43">
                  <c:v>0.7</c:v>
                </c:pt>
                <c:pt idx="44">
                  <c:v>0.6</c:v>
                </c:pt>
                <c:pt idx="45">
                  <c:v>0.5</c:v>
                </c:pt>
                <c:pt idx="46">
                  <c:v>0.4</c:v>
                </c:pt>
                <c:pt idx="47">
                  <c:v>0.3</c:v>
                </c:pt>
                <c:pt idx="48">
                  <c:v>0.2</c:v>
                </c:pt>
                <c:pt idx="49">
                  <c:v>0.1</c:v>
                </c:pt>
                <c:pt idx="50">
                  <c:v>0</c:v>
                </c:pt>
                <c:pt idx="51">
                  <c:v>-0.1</c:v>
                </c:pt>
                <c:pt idx="52">
                  <c:v>-0.2</c:v>
                </c:pt>
                <c:pt idx="53">
                  <c:v>-0.3</c:v>
                </c:pt>
                <c:pt idx="54">
                  <c:v>-0.4</c:v>
                </c:pt>
                <c:pt idx="55">
                  <c:v>-0.5</c:v>
                </c:pt>
                <c:pt idx="56">
                  <c:v>-0.6</c:v>
                </c:pt>
                <c:pt idx="57">
                  <c:v>-0.7</c:v>
                </c:pt>
                <c:pt idx="58">
                  <c:v>-0.8</c:v>
                </c:pt>
                <c:pt idx="59">
                  <c:v>-0.9</c:v>
                </c:pt>
                <c:pt idx="60">
                  <c:v>-1</c:v>
                </c:pt>
                <c:pt idx="61">
                  <c:v>-1.1000000000000001</c:v>
                </c:pt>
                <c:pt idx="62">
                  <c:v>-1.2</c:v>
                </c:pt>
                <c:pt idx="63">
                  <c:v>-1.3</c:v>
                </c:pt>
                <c:pt idx="64">
                  <c:v>-1.4</c:v>
                </c:pt>
                <c:pt idx="65">
                  <c:v>-1.5</c:v>
                </c:pt>
                <c:pt idx="66">
                  <c:v>-1.6</c:v>
                </c:pt>
                <c:pt idx="67">
                  <c:v>-1.7</c:v>
                </c:pt>
                <c:pt idx="68">
                  <c:v>-1.8</c:v>
                </c:pt>
                <c:pt idx="69">
                  <c:v>-1.9</c:v>
                </c:pt>
                <c:pt idx="70">
                  <c:v>-2</c:v>
                </c:pt>
                <c:pt idx="71">
                  <c:v>-2.1</c:v>
                </c:pt>
                <c:pt idx="72">
                  <c:v>-2.2000000000000002</c:v>
                </c:pt>
                <c:pt idx="73">
                  <c:v>-2.2999999999999998</c:v>
                </c:pt>
                <c:pt idx="74">
                  <c:v>-2.4</c:v>
                </c:pt>
                <c:pt idx="75">
                  <c:v>-2.5</c:v>
                </c:pt>
                <c:pt idx="76">
                  <c:v>-2.6</c:v>
                </c:pt>
                <c:pt idx="77">
                  <c:v>-2.7</c:v>
                </c:pt>
                <c:pt idx="78">
                  <c:v>-2.8</c:v>
                </c:pt>
                <c:pt idx="79">
                  <c:v>-2.9</c:v>
                </c:pt>
                <c:pt idx="80">
                  <c:v>-3</c:v>
                </c:pt>
                <c:pt idx="81">
                  <c:v>-3.1</c:v>
                </c:pt>
                <c:pt idx="82">
                  <c:v>-3.2</c:v>
                </c:pt>
                <c:pt idx="83">
                  <c:v>-3.3</c:v>
                </c:pt>
                <c:pt idx="84">
                  <c:v>-3.4</c:v>
                </c:pt>
                <c:pt idx="85">
                  <c:v>-3.5</c:v>
                </c:pt>
                <c:pt idx="86">
                  <c:v>-3.6</c:v>
                </c:pt>
                <c:pt idx="87">
                  <c:v>-3.7</c:v>
                </c:pt>
                <c:pt idx="88">
                  <c:v>-3.8</c:v>
                </c:pt>
                <c:pt idx="89">
                  <c:v>-3.9</c:v>
                </c:pt>
                <c:pt idx="90">
                  <c:v>-4</c:v>
                </c:pt>
                <c:pt idx="91">
                  <c:v>-4.0999999999999996</c:v>
                </c:pt>
                <c:pt idx="92">
                  <c:v>-4.2</c:v>
                </c:pt>
                <c:pt idx="93">
                  <c:v>-4.3</c:v>
                </c:pt>
                <c:pt idx="94">
                  <c:v>-4.4000000000000004</c:v>
                </c:pt>
                <c:pt idx="95">
                  <c:v>-4.5</c:v>
                </c:pt>
                <c:pt idx="96">
                  <c:v>-4.5999999999999996</c:v>
                </c:pt>
                <c:pt idx="97">
                  <c:v>-4.7</c:v>
                </c:pt>
                <c:pt idx="98">
                  <c:v>-4.8</c:v>
                </c:pt>
                <c:pt idx="99">
                  <c:v>-4.9000000000000004</c:v>
                </c:pt>
                <c:pt idx="100">
                  <c:v>-5</c:v>
                </c:pt>
              </c:numCache>
            </c:numRef>
          </c:xVal>
          <c:yVal>
            <c:numRef>
              <c:f>'CS 1er sem datos'!$J$42:$J$142</c:f>
              <c:numCache>
                <c:formatCode>General</c:formatCode>
                <c:ptCount val="101"/>
                <c:pt idx="0">
                  <c:v>0</c:v>
                </c:pt>
                <c:pt idx="1">
                  <c:v>0.99498743710661741</c:v>
                </c:pt>
                <c:pt idx="2">
                  <c:v>1.4000000000000004</c:v>
                </c:pt>
                <c:pt idx="3">
                  <c:v>1.7058722109231972</c:v>
                </c:pt>
                <c:pt idx="4">
                  <c:v>1.9595917942265433</c:v>
                </c:pt>
                <c:pt idx="5">
                  <c:v>2.179449471770337</c:v>
                </c:pt>
                <c:pt idx="6">
                  <c:v>2.3748684174075829</c:v>
                </c:pt>
                <c:pt idx="7">
                  <c:v>2.5514701644346149</c:v>
                </c:pt>
                <c:pt idx="8">
                  <c:v>2.7129319932501073</c:v>
                </c:pt>
                <c:pt idx="9">
                  <c:v>2.8618176042508372</c:v>
                </c:pt>
                <c:pt idx="10">
                  <c:v>3</c:v>
                </c:pt>
                <c:pt idx="11">
                  <c:v>3.1288975694324033</c:v>
                </c:pt>
                <c:pt idx="12">
                  <c:v>3.2496153618543842</c:v>
                </c:pt>
                <c:pt idx="13">
                  <c:v>3.363034344160047</c:v>
                </c:pt>
                <c:pt idx="14">
                  <c:v>3.4698703145794942</c:v>
                </c:pt>
                <c:pt idx="15">
                  <c:v>3.5707142142714252</c:v>
                </c:pt>
                <c:pt idx="16">
                  <c:v>3.6660605559646724</c:v>
                </c:pt>
                <c:pt idx="17">
                  <c:v>3.7563279941985899</c:v>
                </c:pt>
                <c:pt idx="18">
                  <c:v>3.8418745424597089</c:v>
                </c:pt>
                <c:pt idx="19">
                  <c:v>3.9230090491866059</c:v>
                </c:pt>
                <c:pt idx="20">
                  <c:v>4</c:v>
                </c:pt>
                <c:pt idx="21">
                  <c:v>4.0730823708832604</c:v>
                </c:pt>
                <c:pt idx="22">
                  <c:v>4.1424630354415957</c:v>
                </c:pt>
                <c:pt idx="23">
                  <c:v>4.2083250825001626</c:v>
                </c:pt>
                <c:pt idx="24">
                  <c:v>4.2708313008125245</c:v>
                </c:pt>
                <c:pt idx="25">
                  <c:v>4.3301270189221936</c:v>
                </c:pt>
                <c:pt idx="26">
                  <c:v>4.3863424398922621</c:v>
                </c:pt>
                <c:pt idx="27">
                  <c:v>4.4395945760846232</c:v>
                </c:pt>
                <c:pt idx="28">
                  <c:v>4.4899888641287298</c:v>
                </c:pt>
                <c:pt idx="29">
                  <c:v>4.5376205218153709</c:v>
                </c:pt>
                <c:pt idx="30">
                  <c:v>4.5825756949558398</c:v>
                </c:pt>
                <c:pt idx="31">
                  <c:v>4.6249324319388707</c:v>
                </c:pt>
                <c:pt idx="32">
                  <c:v>4.6647615158762399</c:v>
                </c:pt>
                <c:pt idx="33">
                  <c:v>4.702127178203499</c:v>
                </c:pt>
                <c:pt idx="34">
                  <c:v>4.737087712930804</c:v>
                </c:pt>
                <c:pt idx="35">
                  <c:v>4.7696960070847281</c:v>
                </c:pt>
                <c:pt idx="36">
                  <c:v>4.8</c:v>
                </c:pt>
                <c:pt idx="37">
                  <c:v>4.8280430818293238</c:v>
                </c:pt>
                <c:pt idx="38">
                  <c:v>4.8538644398046387</c:v>
                </c:pt>
                <c:pt idx="39">
                  <c:v>4.8774993593028793</c:v>
                </c:pt>
                <c:pt idx="40">
                  <c:v>4.8989794855663558</c:v>
                </c:pt>
                <c:pt idx="41">
                  <c:v>4.9183330509431755</c:v>
                </c:pt>
                <c:pt idx="42">
                  <c:v>4.935585071701226</c:v>
                </c:pt>
                <c:pt idx="43">
                  <c:v>4.9507575177946253</c:v>
                </c:pt>
                <c:pt idx="44">
                  <c:v>4.963869458396343</c:v>
                </c:pt>
                <c:pt idx="45">
                  <c:v>4.9749371855330997</c:v>
                </c:pt>
                <c:pt idx="46">
                  <c:v>4.9839743177508451</c:v>
                </c:pt>
                <c:pt idx="47">
                  <c:v>4.9909918853871122</c:v>
                </c:pt>
                <c:pt idx="48">
                  <c:v>4.9959983987187186</c:v>
                </c:pt>
                <c:pt idx="49">
                  <c:v>4.9989998999799949</c:v>
                </c:pt>
                <c:pt idx="50">
                  <c:v>5</c:v>
                </c:pt>
                <c:pt idx="51">
                  <c:v>4.9989998999799949</c:v>
                </c:pt>
                <c:pt idx="52">
                  <c:v>4.9959983987187186</c:v>
                </c:pt>
                <c:pt idx="53">
                  <c:v>4.9909918853871122</c:v>
                </c:pt>
                <c:pt idx="54">
                  <c:v>4.9839743177508451</c:v>
                </c:pt>
                <c:pt idx="55">
                  <c:v>4.9749371855330997</c:v>
                </c:pt>
                <c:pt idx="56">
                  <c:v>4.963869458396343</c:v>
                </c:pt>
                <c:pt idx="57">
                  <c:v>4.9507575177946253</c:v>
                </c:pt>
                <c:pt idx="58">
                  <c:v>4.935585071701226</c:v>
                </c:pt>
                <c:pt idx="59">
                  <c:v>4.9183330509431755</c:v>
                </c:pt>
                <c:pt idx="60">
                  <c:v>4.8989794855663558</c:v>
                </c:pt>
                <c:pt idx="61">
                  <c:v>4.8774993593028793</c:v>
                </c:pt>
                <c:pt idx="62">
                  <c:v>4.8538644398046387</c:v>
                </c:pt>
                <c:pt idx="63">
                  <c:v>4.8280430818293238</c:v>
                </c:pt>
                <c:pt idx="64">
                  <c:v>4.8</c:v>
                </c:pt>
                <c:pt idx="65">
                  <c:v>4.7696960070847281</c:v>
                </c:pt>
                <c:pt idx="66">
                  <c:v>4.737087712930804</c:v>
                </c:pt>
                <c:pt idx="67">
                  <c:v>4.702127178203499</c:v>
                </c:pt>
                <c:pt idx="68">
                  <c:v>4.6647615158762399</c:v>
                </c:pt>
                <c:pt idx="69">
                  <c:v>4.6249324319388707</c:v>
                </c:pt>
                <c:pt idx="70">
                  <c:v>4.5825756949558398</c:v>
                </c:pt>
                <c:pt idx="71">
                  <c:v>4.5376205218153709</c:v>
                </c:pt>
                <c:pt idx="72">
                  <c:v>4.4899888641287298</c:v>
                </c:pt>
                <c:pt idx="73">
                  <c:v>4.4395945760846232</c:v>
                </c:pt>
                <c:pt idx="74">
                  <c:v>4.3863424398922621</c:v>
                </c:pt>
                <c:pt idx="75">
                  <c:v>4.3301270189221936</c:v>
                </c:pt>
                <c:pt idx="76">
                  <c:v>4.2708313008125245</c:v>
                </c:pt>
                <c:pt idx="77">
                  <c:v>4.2083250825001626</c:v>
                </c:pt>
                <c:pt idx="78">
                  <c:v>4.1424630354415957</c:v>
                </c:pt>
                <c:pt idx="79">
                  <c:v>4.0730823708832604</c:v>
                </c:pt>
                <c:pt idx="80">
                  <c:v>4</c:v>
                </c:pt>
                <c:pt idx="81">
                  <c:v>3.9230090491866059</c:v>
                </c:pt>
                <c:pt idx="82">
                  <c:v>3.8418745424597089</c:v>
                </c:pt>
                <c:pt idx="83">
                  <c:v>3.7563279941985899</c:v>
                </c:pt>
                <c:pt idx="84">
                  <c:v>3.6660605559646724</c:v>
                </c:pt>
                <c:pt idx="85">
                  <c:v>3.5707142142714252</c:v>
                </c:pt>
                <c:pt idx="86">
                  <c:v>3.4698703145794942</c:v>
                </c:pt>
                <c:pt idx="87">
                  <c:v>3.363034344160047</c:v>
                </c:pt>
                <c:pt idx="88">
                  <c:v>3.2496153618543842</c:v>
                </c:pt>
                <c:pt idx="89">
                  <c:v>3.1288975694324033</c:v>
                </c:pt>
                <c:pt idx="90">
                  <c:v>3</c:v>
                </c:pt>
                <c:pt idx="91">
                  <c:v>2.8618176042508372</c:v>
                </c:pt>
                <c:pt idx="92">
                  <c:v>2.7129319932501073</c:v>
                </c:pt>
                <c:pt idx="93">
                  <c:v>2.5514701644346149</c:v>
                </c:pt>
                <c:pt idx="94">
                  <c:v>2.3748684174075829</c:v>
                </c:pt>
                <c:pt idx="95">
                  <c:v>2.179449471770337</c:v>
                </c:pt>
                <c:pt idx="96">
                  <c:v>1.9595917942265433</c:v>
                </c:pt>
                <c:pt idx="97">
                  <c:v>1.7058722109231972</c:v>
                </c:pt>
                <c:pt idx="98">
                  <c:v>1.4000000000000004</c:v>
                </c:pt>
                <c:pt idx="99">
                  <c:v>0.99498743710661741</c:v>
                </c:pt>
                <c:pt idx="100">
                  <c:v>0</c:v>
                </c:pt>
              </c:numCache>
            </c:numRef>
          </c:yVal>
          <c:smooth val="1"/>
        </c:ser>
        <c:ser>
          <c:idx val="90"/>
          <c:order val="23"/>
          <c:spPr>
            <a:ln w="1905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'CS 1er sem datos'!$A$42:$A$142</c:f>
              <c:numCache>
                <c:formatCode>General</c:formatCode>
                <c:ptCount val="101"/>
                <c:pt idx="0">
                  <c:v>5</c:v>
                </c:pt>
                <c:pt idx="1">
                  <c:v>4.9000000000000004</c:v>
                </c:pt>
                <c:pt idx="2">
                  <c:v>4.8</c:v>
                </c:pt>
                <c:pt idx="3">
                  <c:v>4.7</c:v>
                </c:pt>
                <c:pt idx="4">
                  <c:v>4.5999999999999996</c:v>
                </c:pt>
                <c:pt idx="5">
                  <c:v>4.5</c:v>
                </c:pt>
                <c:pt idx="6">
                  <c:v>4.4000000000000004</c:v>
                </c:pt>
                <c:pt idx="7">
                  <c:v>4.3</c:v>
                </c:pt>
                <c:pt idx="8">
                  <c:v>4.2</c:v>
                </c:pt>
                <c:pt idx="9">
                  <c:v>4.0999999999999996</c:v>
                </c:pt>
                <c:pt idx="10">
                  <c:v>4</c:v>
                </c:pt>
                <c:pt idx="11">
                  <c:v>3.9</c:v>
                </c:pt>
                <c:pt idx="12">
                  <c:v>3.8</c:v>
                </c:pt>
                <c:pt idx="13">
                  <c:v>3.7</c:v>
                </c:pt>
                <c:pt idx="14">
                  <c:v>3.6</c:v>
                </c:pt>
                <c:pt idx="15">
                  <c:v>3.5</c:v>
                </c:pt>
                <c:pt idx="16">
                  <c:v>3.4</c:v>
                </c:pt>
                <c:pt idx="17">
                  <c:v>3.3</c:v>
                </c:pt>
                <c:pt idx="18">
                  <c:v>3.2</c:v>
                </c:pt>
                <c:pt idx="19">
                  <c:v>3.1</c:v>
                </c:pt>
                <c:pt idx="20">
                  <c:v>3</c:v>
                </c:pt>
                <c:pt idx="21">
                  <c:v>2.9</c:v>
                </c:pt>
                <c:pt idx="22">
                  <c:v>2.8</c:v>
                </c:pt>
                <c:pt idx="23">
                  <c:v>2.7</c:v>
                </c:pt>
                <c:pt idx="24">
                  <c:v>2.6</c:v>
                </c:pt>
                <c:pt idx="25">
                  <c:v>2.5</c:v>
                </c:pt>
                <c:pt idx="26">
                  <c:v>2.4</c:v>
                </c:pt>
                <c:pt idx="27">
                  <c:v>2.2999999999999998</c:v>
                </c:pt>
                <c:pt idx="28">
                  <c:v>2.2000000000000002</c:v>
                </c:pt>
                <c:pt idx="29">
                  <c:v>2.1</c:v>
                </c:pt>
                <c:pt idx="30">
                  <c:v>2</c:v>
                </c:pt>
                <c:pt idx="31">
                  <c:v>1.9</c:v>
                </c:pt>
                <c:pt idx="32">
                  <c:v>1.8</c:v>
                </c:pt>
                <c:pt idx="33">
                  <c:v>1.7</c:v>
                </c:pt>
                <c:pt idx="34">
                  <c:v>1.6</c:v>
                </c:pt>
                <c:pt idx="35">
                  <c:v>1.5</c:v>
                </c:pt>
                <c:pt idx="36">
                  <c:v>1.4</c:v>
                </c:pt>
                <c:pt idx="37">
                  <c:v>1.3</c:v>
                </c:pt>
                <c:pt idx="38">
                  <c:v>1.2</c:v>
                </c:pt>
                <c:pt idx="39">
                  <c:v>1.1000000000000001</c:v>
                </c:pt>
                <c:pt idx="40">
                  <c:v>1</c:v>
                </c:pt>
                <c:pt idx="41">
                  <c:v>0.9</c:v>
                </c:pt>
                <c:pt idx="42">
                  <c:v>0.8</c:v>
                </c:pt>
                <c:pt idx="43">
                  <c:v>0.7</c:v>
                </c:pt>
                <c:pt idx="44">
                  <c:v>0.6</c:v>
                </c:pt>
                <c:pt idx="45">
                  <c:v>0.5</c:v>
                </c:pt>
                <c:pt idx="46">
                  <c:v>0.4</c:v>
                </c:pt>
                <c:pt idx="47">
                  <c:v>0.3</c:v>
                </c:pt>
                <c:pt idx="48">
                  <c:v>0.2</c:v>
                </c:pt>
                <c:pt idx="49">
                  <c:v>0.1</c:v>
                </c:pt>
                <c:pt idx="50">
                  <c:v>0</c:v>
                </c:pt>
                <c:pt idx="51">
                  <c:v>-0.1</c:v>
                </c:pt>
                <c:pt idx="52">
                  <c:v>-0.2</c:v>
                </c:pt>
                <c:pt idx="53">
                  <c:v>-0.3</c:v>
                </c:pt>
                <c:pt idx="54">
                  <c:v>-0.4</c:v>
                </c:pt>
                <c:pt idx="55">
                  <c:v>-0.5</c:v>
                </c:pt>
                <c:pt idx="56">
                  <c:v>-0.6</c:v>
                </c:pt>
                <c:pt idx="57">
                  <c:v>-0.7</c:v>
                </c:pt>
                <c:pt idx="58">
                  <c:v>-0.8</c:v>
                </c:pt>
                <c:pt idx="59">
                  <c:v>-0.9</c:v>
                </c:pt>
                <c:pt idx="60">
                  <c:v>-1</c:v>
                </c:pt>
                <c:pt idx="61">
                  <c:v>-1.1000000000000001</c:v>
                </c:pt>
                <c:pt idx="62">
                  <c:v>-1.2</c:v>
                </c:pt>
                <c:pt idx="63">
                  <c:v>-1.3</c:v>
                </c:pt>
                <c:pt idx="64">
                  <c:v>-1.4</c:v>
                </c:pt>
                <c:pt idx="65">
                  <c:v>-1.5</c:v>
                </c:pt>
                <c:pt idx="66">
                  <c:v>-1.6</c:v>
                </c:pt>
                <c:pt idx="67">
                  <c:v>-1.7</c:v>
                </c:pt>
                <c:pt idx="68">
                  <c:v>-1.8</c:v>
                </c:pt>
                <c:pt idx="69">
                  <c:v>-1.9</c:v>
                </c:pt>
                <c:pt idx="70">
                  <c:v>-2</c:v>
                </c:pt>
                <c:pt idx="71">
                  <c:v>-2.1</c:v>
                </c:pt>
                <c:pt idx="72">
                  <c:v>-2.2000000000000002</c:v>
                </c:pt>
                <c:pt idx="73">
                  <c:v>-2.2999999999999998</c:v>
                </c:pt>
                <c:pt idx="74">
                  <c:v>-2.4</c:v>
                </c:pt>
                <c:pt idx="75">
                  <c:v>-2.5</c:v>
                </c:pt>
                <c:pt idx="76">
                  <c:v>-2.6</c:v>
                </c:pt>
                <c:pt idx="77">
                  <c:v>-2.7</c:v>
                </c:pt>
                <c:pt idx="78">
                  <c:v>-2.8</c:v>
                </c:pt>
                <c:pt idx="79">
                  <c:v>-2.9</c:v>
                </c:pt>
                <c:pt idx="80">
                  <c:v>-3</c:v>
                </c:pt>
                <c:pt idx="81">
                  <c:v>-3.1</c:v>
                </c:pt>
                <c:pt idx="82">
                  <c:v>-3.2</c:v>
                </c:pt>
                <c:pt idx="83">
                  <c:v>-3.3</c:v>
                </c:pt>
                <c:pt idx="84">
                  <c:v>-3.4</c:v>
                </c:pt>
                <c:pt idx="85">
                  <c:v>-3.5</c:v>
                </c:pt>
                <c:pt idx="86">
                  <c:v>-3.6</c:v>
                </c:pt>
                <c:pt idx="87">
                  <c:v>-3.7</c:v>
                </c:pt>
                <c:pt idx="88">
                  <c:v>-3.8</c:v>
                </c:pt>
                <c:pt idx="89">
                  <c:v>-3.9</c:v>
                </c:pt>
                <c:pt idx="90">
                  <c:v>-4</c:v>
                </c:pt>
                <c:pt idx="91">
                  <c:v>-4.0999999999999996</c:v>
                </c:pt>
                <c:pt idx="92">
                  <c:v>-4.2</c:v>
                </c:pt>
                <c:pt idx="93">
                  <c:v>-4.3</c:v>
                </c:pt>
                <c:pt idx="94">
                  <c:v>-4.4000000000000004</c:v>
                </c:pt>
                <c:pt idx="95">
                  <c:v>-4.5</c:v>
                </c:pt>
                <c:pt idx="96">
                  <c:v>-4.5999999999999996</c:v>
                </c:pt>
                <c:pt idx="97">
                  <c:v>-4.7</c:v>
                </c:pt>
                <c:pt idx="98">
                  <c:v>-4.8</c:v>
                </c:pt>
                <c:pt idx="99">
                  <c:v>-4.9000000000000004</c:v>
                </c:pt>
                <c:pt idx="100">
                  <c:v>-5</c:v>
                </c:pt>
              </c:numCache>
            </c:numRef>
          </c:xVal>
          <c:yVal>
            <c:numRef>
              <c:f>'CS 1er sem datos'!$K$42:$K$142</c:f>
              <c:numCache>
                <c:formatCode>General</c:formatCode>
                <c:ptCount val="101"/>
                <c:pt idx="0">
                  <c:v>0</c:v>
                </c:pt>
                <c:pt idx="1">
                  <c:v>-0.99498743710661741</c:v>
                </c:pt>
                <c:pt idx="2">
                  <c:v>-1.4000000000000004</c:v>
                </c:pt>
                <c:pt idx="3">
                  <c:v>-1.7058722109231972</c:v>
                </c:pt>
                <c:pt idx="4">
                  <c:v>-1.9595917942265433</c:v>
                </c:pt>
                <c:pt idx="5">
                  <c:v>-2.179449471770337</c:v>
                </c:pt>
                <c:pt idx="6">
                  <c:v>-2.3748684174075829</c:v>
                </c:pt>
                <c:pt idx="7">
                  <c:v>-2.5514701644346149</c:v>
                </c:pt>
                <c:pt idx="8">
                  <c:v>-2.7129319932501073</c:v>
                </c:pt>
                <c:pt idx="9">
                  <c:v>-2.8618176042508372</c:v>
                </c:pt>
                <c:pt idx="10">
                  <c:v>-3</c:v>
                </c:pt>
                <c:pt idx="11">
                  <c:v>-3.1288975694324033</c:v>
                </c:pt>
                <c:pt idx="12">
                  <c:v>-3.2496153618543842</c:v>
                </c:pt>
                <c:pt idx="13">
                  <c:v>-3.363034344160047</c:v>
                </c:pt>
                <c:pt idx="14">
                  <c:v>-3.4698703145794942</c:v>
                </c:pt>
                <c:pt idx="15">
                  <c:v>-3.5707142142714252</c:v>
                </c:pt>
                <c:pt idx="16">
                  <c:v>-3.6660605559646724</c:v>
                </c:pt>
                <c:pt idx="17">
                  <c:v>-3.7563279941985899</c:v>
                </c:pt>
                <c:pt idx="18">
                  <c:v>-3.8418745424597089</c:v>
                </c:pt>
                <c:pt idx="19">
                  <c:v>-3.9230090491866059</c:v>
                </c:pt>
                <c:pt idx="20">
                  <c:v>-4</c:v>
                </c:pt>
                <c:pt idx="21">
                  <c:v>-4.0730823708832604</c:v>
                </c:pt>
                <c:pt idx="22">
                  <c:v>-4.1424630354415957</c:v>
                </c:pt>
                <c:pt idx="23">
                  <c:v>-4.2083250825001626</c:v>
                </c:pt>
                <c:pt idx="24">
                  <c:v>-4.2708313008125245</c:v>
                </c:pt>
                <c:pt idx="25">
                  <c:v>-4.3301270189221936</c:v>
                </c:pt>
                <c:pt idx="26">
                  <c:v>-4.3863424398922621</c:v>
                </c:pt>
                <c:pt idx="27">
                  <c:v>-4.4395945760846232</c:v>
                </c:pt>
                <c:pt idx="28">
                  <c:v>-4.4899888641287298</c:v>
                </c:pt>
                <c:pt idx="29">
                  <c:v>-4.5376205218153709</c:v>
                </c:pt>
                <c:pt idx="30">
                  <c:v>-4.5825756949558398</c:v>
                </c:pt>
                <c:pt idx="31">
                  <c:v>-4.6249324319388707</c:v>
                </c:pt>
                <c:pt idx="32">
                  <c:v>-4.6647615158762399</c:v>
                </c:pt>
                <c:pt idx="33">
                  <c:v>-4.702127178203499</c:v>
                </c:pt>
                <c:pt idx="34">
                  <c:v>-4.737087712930804</c:v>
                </c:pt>
                <c:pt idx="35">
                  <c:v>-4.7696960070847281</c:v>
                </c:pt>
                <c:pt idx="36">
                  <c:v>-4.8</c:v>
                </c:pt>
                <c:pt idx="37">
                  <c:v>-4.8280430818293238</c:v>
                </c:pt>
                <c:pt idx="38">
                  <c:v>-4.8538644398046387</c:v>
                </c:pt>
                <c:pt idx="39">
                  <c:v>-4.8774993593028793</c:v>
                </c:pt>
                <c:pt idx="40">
                  <c:v>-4.8989794855663558</c:v>
                </c:pt>
                <c:pt idx="41">
                  <c:v>-4.9183330509431755</c:v>
                </c:pt>
                <c:pt idx="42">
                  <c:v>-4.935585071701226</c:v>
                </c:pt>
                <c:pt idx="43">
                  <c:v>-4.9507575177946253</c:v>
                </c:pt>
                <c:pt idx="44">
                  <c:v>-4.963869458396343</c:v>
                </c:pt>
                <c:pt idx="45">
                  <c:v>-4.9749371855330997</c:v>
                </c:pt>
                <c:pt idx="46">
                  <c:v>-4.9839743177508451</c:v>
                </c:pt>
                <c:pt idx="47">
                  <c:v>-4.9909918853871122</c:v>
                </c:pt>
                <c:pt idx="48">
                  <c:v>-4.9959983987187186</c:v>
                </c:pt>
                <c:pt idx="49">
                  <c:v>-4.9989998999799949</c:v>
                </c:pt>
                <c:pt idx="50">
                  <c:v>-5</c:v>
                </c:pt>
                <c:pt idx="51">
                  <c:v>-4.9989998999799949</c:v>
                </c:pt>
                <c:pt idx="52">
                  <c:v>-4.9959983987187186</c:v>
                </c:pt>
                <c:pt idx="53">
                  <c:v>-4.9909918853871122</c:v>
                </c:pt>
                <c:pt idx="54">
                  <c:v>-4.9839743177508451</c:v>
                </c:pt>
                <c:pt idx="55">
                  <c:v>-4.9749371855330997</c:v>
                </c:pt>
                <c:pt idx="56">
                  <c:v>-4.963869458396343</c:v>
                </c:pt>
                <c:pt idx="57">
                  <c:v>-4.9507575177946253</c:v>
                </c:pt>
                <c:pt idx="58">
                  <c:v>-4.935585071701226</c:v>
                </c:pt>
                <c:pt idx="59">
                  <c:v>-4.9183330509431755</c:v>
                </c:pt>
                <c:pt idx="60">
                  <c:v>-4.8989794855663558</c:v>
                </c:pt>
                <c:pt idx="61">
                  <c:v>-4.8774993593028793</c:v>
                </c:pt>
                <c:pt idx="62">
                  <c:v>-4.8538644398046387</c:v>
                </c:pt>
                <c:pt idx="63">
                  <c:v>-4.8280430818293238</c:v>
                </c:pt>
                <c:pt idx="64">
                  <c:v>-4.8</c:v>
                </c:pt>
                <c:pt idx="65">
                  <c:v>-4.7696960070847281</c:v>
                </c:pt>
                <c:pt idx="66">
                  <c:v>-4.737087712930804</c:v>
                </c:pt>
                <c:pt idx="67">
                  <c:v>-4.702127178203499</c:v>
                </c:pt>
                <c:pt idx="68">
                  <c:v>-4.6647615158762399</c:v>
                </c:pt>
                <c:pt idx="69">
                  <c:v>-4.6249324319388707</c:v>
                </c:pt>
                <c:pt idx="70">
                  <c:v>-4.5825756949558398</c:v>
                </c:pt>
                <c:pt idx="71">
                  <c:v>-4.5376205218153709</c:v>
                </c:pt>
                <c:pt idx="72">
                  <c:v>-4.4899888641287298</c:v>
                </c:pt>
                <c:pt idx="73">
                  <c:v>-4.4395945760846232</c:v>
                </c:pt>
                <c:pt idx="74">
                  <c:v>-4.3863424398922621</c:v>
                </c:pt>
                <c:pt idx="75">
                  <c:v>-4.3301270189221936</c:v>
                </c:pt>
                <c:pt idx="76">
                  <c:v>-4.2708313008125245</c:v>
                </c:pt>
                <c:pt idx="77">
                  <c:v>-4.2083250825001626</c:v>
                </c:pt>
                <c:pt idx="78">
                  <c:v>-4.1424630354415957</c:v>
                </c:pt>
                <c:pt idx="79">
                  <c:v>-4.0730823708832604</c:v>
                </c:pt>
                <c:pt idx="80">
                  <c:v>-4</c:v>
                </c:pt>
                <c:pt idx="81">
                  <c:v>-3.9230090491866059</c:v>
                </c:pt>
                <c:pt idx="82">
                  <c:v>-3.8418745424597089</c:v>
                </c:pt>
                <c:pt idx="83">
                  <c:v>-3.7563279941985899</c:v>
                </c:pt>
                <c:pt idx="84">
                  <c:v>-3.6660605559646724</c:v>
                </c:pt>
                <c:pt idx="85">
                  <c:v>-3.5707142142714252</c:v>
                </c:pt>
                <c:pt idx="86">
                  <c:v>-3.4698703145794942</c:v>
                </c:pt>
                <c:pt idx="87">
                  <c:v>-3.363034344160047</c:v>
                </c:pt>
                <c:pt idx="88">
                  <c:v>-3.2496153618543842</c:v>
                </c:pt>
                <c:pt idx="89">
                  <c:v>-3.1288975694324033</c:v>
                </c:pt>
                <c:pt idx="90">
                  <c:v>-3</c:v>
                </c:pt>
                <c:pt idx="91">
                  <c:v>-2.8618176042508372</c:v>
                </c:pt>
                <c:pt idx="92">
                  <c:v>-2.7129319932501073</c:v>
                </c:pt>
                <c:pt idx="93">
                  <c:v>-2.5514701644346149</c:v>
                </c:pt>
                <c:pt idx="94">
                  <c:v>-2.3748684174075829</c:v>
                </c:pt>
                <c:pt idx="95">
                  <c:v>-2.179449471770337</c:v>
                </c:pt>
                <c:pt idx="96">
                  <c:v>-1.9595917942265433</c:v>
                </c:pt>
                <c:pt idx="97">
                  <c:v>-1.7058722109231972</c:v>
                </c:pt>
                <c:pt idx="98">
                  <c:v>-1.4000000000000004</c:v>
                </c:pt>
                <c:pt idx="99">
                  <c:v>-0.99498743710661741</c:v>
                </c:pt>
                <c:pt idx="100">
                  <c:v>0</c:v>
                </c:pt>
              </c:numCache>
            </c:numRef>
          </c:yVal>
          <c:smooth val="1"/>
        </c:ser>
        <c:ser>
          <c:idx val="93"/>
          <c:order val="24"/>
          <c:spPr>
            <a:ln w="1905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'CS 1er sem datos'!$A$52:$A$132</c:f>
              <c:numCache>
                <c:formatCode>General</c:formatCode>
                <c:ptCount val="81"/>
                <c:pt idx="0">
                  <c:v>4</c:v>
                </c:pt>
                <c:pt idx="1">
                  <c:v>3.9</c:v>
                </c:pt>
                <c:pt idx="2">
                  <c:v>3.8</c:v>
                </c:pt>
                <c:pt idx="3">
                  <c:v>3.7</c:v>
                </c:pt>
                <c:pt idx="4">
                  <c:v>3.6</c:v>
                </c:pt>
                <c:pt idx="5">
                  <c:v>3.5</c:v>
                </c:pt>
                <c:pt idx="6">
                  <c:v>3.4</c:v>
                </c:pt>
                <c:pt idx="7">
                  <c:v>3.3</c:v>
                </c:pt>
                <c:pt idx="8">
                  <c:v>3.2</c:v>
                </c:pt>
                <c:pt idx="9">
                  <c:v>3.1</c:v>
                </c:pt>
                <c:pt idx="10">
                  <c:v>3</c:v>
                </c:pt>
                <c:pt idx="11">
                  <c:v>2.9</c:v>
                </c:pt>
                <c:pt idx="12">
                  <c:v>2.8</c:v>
                </c:pt>
                <c:pt idx="13">
                  <c:v>2.7</c:v>
                </c:pt>
                <c:pt idx="14">
                  <c:v>2.6</c:v>
                </c:pt>
                <c:pt idx="15">
                  <c:v>2.5</c:v>
                </c:pt>
                <c:pt idx="16">
                  <c:v>2.4</c:v>
                </c:pt>
                <c:pt idx="17">
                  <c:v>2.2999999999999998</c:v>
                </c:pt>
                <c:pt idx="18">
                  <c:v>2.2000000000000002</c:v>
                </c:pt>
                <c:pt idx="19">
                  <c:v>2.1</c:v>
                </c:pt>
                <c:pt idx="20">
                  <c:v>2</c:v>
                </c:pt>
                <c:pt idx="21">
                  <c:v>1.9</c:v>
                </c:pt>
                <c:pt idx="22">
                  <c:v>1.8</c:v>
                </c:pt>
                <c:pt idx="23">
                  <c:v>1.7</c:v>
                </c:pt>
                <c:pt idx="24">
                  <c:v>1.6</c:v>
                </c:pt>
                <c:pt idx="25">
                  <c:v>1.5</c:v>
                </c:pt>
                <c:pt idx="26">
                  <c:v>1.4</c:v>
                </c:pt>
                <c:pt idx="27">
                  <c:v>1.3</c:v>
                </c:pt>
                <c:pt idx="28">
                  <c:v>1.2</c:v>
                </c:pt>
                <c:pt idx="29">
                  <c:v>1.1000000000000001</c:v>
                </c:pt>
                <c:pt idx="30">
                  <c:v>1</c:v>
                </c:pt>
                <c:pt idx="31">
                  <c:v>0.9</c:v>
                </c:pt>
                <c:pt idx="32">
                  <c:v>0.8</c:v>
                </c:pt>
                <c:pt idx="33">
                  <c:v>0.7</c:v>
                </c:pt>
                <c:pt idx="34">
                  <c:v>0.6</c:v>
                </c:pt>
                <c:pt idx="35">
                  <c:v>0.5</c:v>
                </c:pt>
                <c:pt idx="36">
                  <c:v>0.4</c:v>
                </c:pt>
                <c:pt idx="37">
                  <c:v>0.3</c:v>
                </c:pt>
                <c:pt idx="38">
                  <c:v>0.2</c:v>
                </c:pt>
                <c:pt idx="39">
                  <c:v>0.1</c:v>
                </c:pt>
                <c:pt idx="40">
                  <c:v>0</c:v>
                </c:pt>
                <c:pt idx="41">
                  <c:v>-0.1</c:v>
                </c:pt>
                <c:pt idx="42">
                  <c:v>-0.2</c:v>
                </c:pt>
                <c:pt idx="43">
                  <c:v>-0.3</c:v>
                </c:pt>
                <c:pt idx="44">
                  <c:v>-0.4</c:v>
                </c:pt>
                <c:pt idx="45">
                  <c:v>-0.5</c:v>
                </c:pt>
                <c:pt idx="46">
                  <c:v>-0.6</c:v>
                </c:pt>
                <c:pt idx="47">
                  <c:v>-0.7</c:v>
                </c:pt>
                <c:pt idx="48">
                  <c:v>-0.8</c:v>
                </c:pt>
                <c:pt idx="49">
                  <c:v>-0.9</c:v>
                </c:pt>
                <c:pt idx="50">
                  <c:v>-1</c:v>
                </c:pt>
                <c:pt idx="51">
                  <c:v>-1.1000000000000001</c:v>
                </c:pt>
                <c:pt idx="52">
                  <c:v>-1.2</c:v>
                </c:pt>
                <c:pt idx="53">
                  <c:v>-1.3</c:v>
                </c:pt>
                <c:pt idx="54">
                  <c:v>-1.4</c:v>
                </c:pt>
                <c:pt idx="55">
                  <c:v>-1.5</c:v>
                </c:pt>
                <c:pt idx="56">
                  <c:v>-1.6</c:v>
                </c:pt>
                <c:pt idx="57">
                  <c:v>-1.7</c:v>
                </c:pt>
                <c:pt idx="58">
                  <c:v>-1.8</c:v>
                </c:pt>
                <c:pt idx="59">
                  <c:v>-1.9</c:v>
                </c:pt>
                <c:pt idx="60">
                  <c:v>-2</c:v>
                </c:pt>
                <c:pt idx="61">
                  <c:v>-2.1</c:v>
                </c:pt>
                <c:pt idx="62">
                  <c:v>-2.2000000000000002</c:v>
                </c:pt>
                <c:pt idx="63">
                  <c:v>-2.2999999999999998</c:v>
                </c:pt>
                <c:pt idx="64">
                  <c:v>-2.4</c:v>
                </c:pt>
                <c:pt idx="65">
                  <c:v>-2.5</c:v>
                </c:pt>
                <c:pt idx="66">
                  <c:v>-2.6</c:v>
                </c:pt>
                <c:pt idx="67">
                  <c:v>-2.7</c:v>
                </c:pt>
                <c:pt idx="68">
                  <c:v>-2.8</c:v>
                </c:pt>
                <c:pt idx="69">
                  <c:v>-2.9</c:v>
                </c:pt>
                <c:pt idx="70">
                  <c:v>-3</c:v>
                </c:pt>
                <c:pt idx="71">
                  <c:v>-3.1</c:v>
                </c:pt>
                <c:pt idx="72">
                  <c:v>-3.2</c:v>
                </c:pt>
                <c:pt idx="73">
                  <c:v>-3.3</c:v>
                </c:pt>
                <c:pt idx="74">
                  <c:v>-3.4</c:v>
                </c:pt>
                <c:pt idx="75">
                  <c:v>-3.5</c:v>
                </c:pt>
                <c:pt idx="76">
                  <c:v>-3.6</c:v>
                </c:pt>
                <c:pt idx="77">
                  <c:v>-3.7</c:v>
                </c:pt>
                <c:pt idx="78">
                  <c:v>-3.8</c:v>
                </c:pt>
                <c:pt idx="79">
                  <c:v>-3.9</c:v>
                </c:pt>
                <c:pt idx="80">
                  <c:v>-4</c:v>
                </c:pt>
              </c:numCache>
            </c:numRef>
          </c:xVal>
          <c:yVal>
            <c:numRef>
              <c:f>'CS 1er sem datos'!$L$52:$L$132</c:f>
              <c:numCache>
                <c:formatCode>General</c:formatCode>
                <c:ptCount val="81"/>
                <c:pt idx="0">
                  <c:v>0</c:v>
                </c:pt>
                <c:pt idx="1">
                  <c:v>0.88881944173155936</c:v>
                </c:pt>
                <c:pt idx="2">
                  <c:v>1.2489995996796799</c:v>
                </c:pt>
                <c:pt idx="3">
                  <c:v>1.5198684153570658</c:v>
                </c:pt>
                <c:pt idx="4">
                  <c:v>1.7435595774162691</c:v>
                </c:pt>
                <c:pt idx="5">
                  <c:v>1.9364916731037085</c:v>
                </c:pt>
                <c:pt idx="6">
                  <c:v>2.1071307505705481</c:v>
                </c:pt>
                <c:pt idx="7">
                  <c:v>2.2605309110914633</c:v>
                </c:pt>
                <c:pt idx="8">
                  <c:v>2.3999999999999995</c:v>
                </c:pt>
                <c:pt idx="9">
                  <c:v>2.5278449319529073</c:v>
                </c:pt>
                <c:pt idx="10">
                  <c:v>2.6457513110645907</c:v>
                </c:pt>
                <c:pt idx="11">
                  <c:v>2.7549954627911823</c:v>
                </c:pt>
                <c:pt idx="12">
                  <c:v>2.8565713714171399</c:v>
                </c:pt>
                <c:pt idx="13">
                  <c:v>2.9512709126747412</c:v>
                </c:pt>
                <c:pt idx="14">
                  <c:v>3.0397368307141326</c:v>
                </c:pt>
                <c:pt idx="15">
                  <c:v>3.1224989991991992</c:v>
                </c:pt>
                <c:pt idx="16">
                  <c:v>3.2</c:v>
                </c:pt>
                <c:pt idx="17">
                  <c:v>3.2726136343907144</c:v>
                </c:pt>
                <c:pt idx="18">
                  <c:v>3.3406586176980131</c:v>
                </c:pt>
                <c:pt idx="19">
                  <c:v>3.4044089061098401</c:v>
                </c:pt>
                <c:pt idx="20">
                  <c:v>3.4641016151377544</c:v>
                </c:pt>
                <c:pt idx="21">
                  <c:v>3.5199431813596083</c:v>
                </c:pt>
                <c:pt idx="22">
                  <c:v>3.5721142198983502</c:v>
                </c:pt>
                <c:pt idx="23">
                  <c:v>3.6207733980463344</c:v>
                </c:pt>
                <c:pt idx="24">
                  <c:v>3.666060555964672</c:v>
                </c:pt>
                <c:pt idx="25">
                  <c:v>3.7080992435478315</c:v>
                </c:pt>
                <c:pt idx="26">
                  <c:v>3.746998799039039</c:v>
                </c:pt>
                <c:pt idx="27">
                  <c:v>3.7828560638755477</c:v>
                </c:pt>
                <c:pt idx="28">
                  <c:v>3.8157568056677826</c:v>
                </c:pt>
                <c:pt idx="29">
                  <c:v>3.8457769046058821</c:v>
                </c:pt>
                <c:pt idx="30">
                  <c:v>3.872983346207417</c:v>
                </c:pt>
                <c:pt idx="31">
                  <c:v>3.8974350539810154</c:v>
                </c:pt>
                <c:pt idx="32">
                  <c:v>3.9191835884530848</c:v>
                </c:pt>
                <c:pt idx="33">
                  <c:v>3.9382737335030433</c:v>
                </c:pt>
                <c:pt idx="34">
                  <c:v>3.954743986657038</c:v>
                </c:pt>
                <c:pt idx="35">
                  <c:v>3.9686269665968861</c:v>
                </c:pt>
                <c:pt idx="36">
                  <c:v>3.9799497484264799</c:v>
                </c:pt>
                <c:pt idx="37">
                  <c:v>3.9887341350358261</c:v>
                </c:pt>
                <c:pt idx="38">
                  <c:v>3.9949968710876358</c:v>
                </c:pt>
                <c:pt idx="39">
                  <c:v>3.9987498046264411</c:v>
                </c:pt>
                <c:pt idx="40">
                  <c:v>4</c:v>
                </c:pt>
                <c:pt idx="41">
                  <c:v>3.9987498046264411</c:v>
                </c:pt>
                <c:pt idx="42">
                  <c:v>3.9949968710876358</c:v>
                </c:pt>
                <c:pt idx="43">
                  <c:v>3.9887341350358261</c:v>
                </c:pt>
                <c:pt idx="44">
                  <c:v>3.9799497484264799</c:v>
                </c:pt>
                <c:pt idx="45">
                  <c:v>3.9686269665968861</c:v>
                </c:pt>
                <c:pt idx="46">
                  <c:v>3.954743986657038</c:v>
                </c:pt>
                <c:pt idx="47">
                  <c:v>3.9382737335030433</c:v>
                </c:pt>
                <c:pt idx="48">
                  <c:v>3.9191835884530848</c:v>
                </c:pt>
                <c:pt idx="49">
                  <c:v>3.8974350539810154</c:v>
                </c:pt>
                <c:pt idx="50">
                  <c:v>3.872983346207417</c:v>
                </c:pt>
                <c:pt idx="51">
                  <c:v>3.8457769046058821</c:v>
                </c:pt>
                <c:pt idx="52">
                  <c:v>3.8157568056677826</c:v>
                </c:pt>
                <c:pt idx="53">
                  <c:v>3.7828560638755477</c:v>
                </c:pt>
                <c:pt idx="54">
                  <c:v>3.746998799039039</c:v>
                </c:pt>
                <c:pt idx="55">
                  <c:v>3.7080992435478315</c:v>
                </c:pt>
                <c:pt idx="56">
                  <c:v>3.666060555964672</c:v>
                </c:pt>
                <c:pt idx="57">
                  <c:v>3.6207733980463344</c:v>
                </c:pt>
                <c:pt idx="58">
                  <c:v>3.5721142198983502</c:v>
                </c:pt>
                <c:pt idx="59">
                  <c:v>3.5199431813596083</c:v>
                </c:pt>
                <c:pt idx="60">
                  <c:v>3.4641016151377544</c:v>
                </c:pt>
                <c:pt idx="61">
                  <c:v>3.4044089061098401</c:v>
                </c:pt>
                <c:pt idx="62">
                  <c:v>3.3406586176980131</c:v>
                </c:pt>
                <c:pt idx="63">
                  <c:v>3.2726136343907144</c:v>
                </c:pt>
                <c:pt idx="64">
                  <c:v>3.2</c:v>
                </c:pt>
                <c:pt idx="65">
                  <c:v>3.1224989991991992</c:v>
                </c:pt>
                <c:pt idx="66">
                  <c:v>3.0397368307141326</c:v>
                </c:pt>
                <c:pt idx="67">
                  <c:v>2.9512709126747412</c:v>
                </c:pt>
                <c:pt idx="68">
                  <c:v>2.8565713714171399</c:v>
                </c:pt>
                <c:pt idx="69">
                  <c:v>2.7549954627911823</c:v>
                </c:pt>
                <c:pt idx="70">
                  <c:v>2.6457513110645907</c:v>
                </c:pt>
                <c:pt idx="71">
                  <c:v>2.5278449319529073</c:v>
                </c:pt>
                <c:pt idx="72">
                  <c:v>2.3999999999999995</c:v>
                </c:pt>
                <c:pt idx="73">
                  <c:v>2.2605309110914633</c:v>
                </c:pt>
                <c:pt idx="74">
                  <c:v>2.1071307505705481</c:v>
                </c:pt>
                <c:pt idx="75">
                  <c:v>1.9364916731037085</c:v>
                </c:pt>
                <c:pt idx="76">
                  <c:v>1.7435595774162691</c:v>
                </c:pt>
                <c:pt idx="77">
                  <c:v>1.5198684153570658</c:v>
                </c:pt>
                <c:pt idx="78">
                  <c:v>1.2489995996796799</c:v>
                </c:pt>
                <c:pt idx="79">
                  <c:v>0.88881944173155936</c:v>
                </c:pt>
                <c:pt idx="80">
                  <c:v>0</c:v>
                </c:pt>
              </c:numCache>
            </c:numRef>
          </c:yVal>
          <c:smooth val="1"/>
        </c:ser>
        <c:ser>
          <c:idx val="94"/>
          <c:order val="25"/>
          <c:spPr>
            <a:ln w="1905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'CS 1er sem datos'!$A$52:$A$132</c:f>
              <c:numCache>
                <c:formatCode>General</c:formatCode>
                <c:ptCount val="81"/>
                <c:pt idx="0">
                  <c:v>4</c:v>
                </c:pt>
                <c:pt idx="1">
                  <c:v>3.9</c:v>
                </c:pt>
                <c:pt idx="2">
                  <c:v>3.8</c:v>
                </c:pt>
                <c:pt idx="3">
                  <c:v>3.7</c:v>
                </c:pt>
                <c:pt idx="4">
                  <c:v>3.6</c:v>
                </c:pt>
                <c:pt idx="5">
                  <c:v>3.5</c:v>
                </c:pt>
                <c:pt idx="6">
                  <c:v>3.4</c:v>
                </c:pt>
                <c:pt idx="7">
                  <c:v>3.3</c:v>
                </c:pt>
                <c:pt idx="8">
                  <c:v>3.2</c:v>
                </c:pt>
                <c:pt idx="9">
                  <c:v>3.1</c:v>
                </c:pt>
                <c:pt idx="10">
                  <c:v>3</c:v>
                </c:pt>
                <c:pt idx="11">
                  <c:v>2.9</c:v>
                </c:pt>
                <c:pt idx="12">
                  <c:v>2.8</c:v>
                </c:pt>
                <c:pt idx="13">
                  <c:v>2.7</c:v>
                </c:pt>
                <c:pt idx="14">
                  <c:v>2.6</c:v>
                </c:pt>
                <c:pt idx="15">
                  <c:v>2.5</c:v>
                </c:pt>
                <c:pt idx="16">
                  <c:v>2.4</c:v>
                </c:pt>
                <c:pt idx="17">
                  <c:v>2.2999999999999998</c:v>
                </c:pt>
                <c:pt idx="18">
                  <c:v>2.2000000000000002</c:v>
                </c:pt>
                <c:pt idx="19">
                  <c:v>2.1</c:v>
                </c:pt>
                <c:pt idx="20">
                  <c:v>2</c:v>
                </c:pt>
                <c:pt idx="21">
                  <c:v>1.9</c:v>
                </c:pt>
                <c:pt idx="22">
                  <c:v>1.8</c:v>
                </c:pt>
                <c:pt idx="23">
                  <c:v>1.7</c:v>
                </c:pt>
                <c:pt idx="24">
                  <c:v>1.6</c:v>
                </c:pt>
                <c:pt idx="25">
                  <c:v>1.5</c:v>
                </c:pt>
                <c:pt idx="26">
                  <c:v>1.4</c:v>
                </c:pt>
                <c:pt idx="27">
                  <c:v>1.3</c:v>
                </c:pt>
                <c:pt idx="28">
                  <c:v>1.2</c:v>
                </c:pt>
                <c:pt idx="29">
                  <c:v>1.1000000000000001</c:v>
                </c:pt>
                <c:pt idx="30">
                  <c:v>1</c:v>
                </c:pt>
                <c:pt idx="31">
                  <c:v>0.9</c:v>
                </c:pt>
                <c:pt idx="32">
                  <c:v>0.8</c:v>
                </c:pt>
                <c:pt idx="33">
                  <c:v>0.7</c:v>
                </c:pt>
                <c:pt idx="34">
                  <c:v>0.6</c:v>
                </c:pt>
                <c:pt idx="35">
                  <c:v>0.5</c:v>
                </c:pt>
                <c:pt idx="36">
                  <c:v>0.4</c:v>
                </c:pt>
                <c:pt idx="37">
                  <c:v>0.3</c:v>
                </c:pt>
                <c:pt idx="38">
                  <c:v>0.2</c:v>
                </c:pt>
                <c:pt idx="39">
                  <c:v>0.1</c:v>
                </c:pt>
                <c:pt idx="40">
                  <c:v>0</c:v>
                </c:pt>
                <c:pt idx="41">
                  <c:v>-0.1</c:v>
                </c:pt>
                <c:pt idx="42">
                  <c:v>-0.2</c:v>
                </c:pt>
                <c:pt idx="43">
                  <c:v>-0.3</c:v>
                </c:pt>
                <c:pt idx="44">
                  <c:v>-0.4</c:v>
                </c:pt>
                <c:pt idx="45">
                  <c:v>-0.5</c:v>
                </c:pt>
                <c:pt idx="46">
                  <c:v>-0.6</c:v>
                </c:pt>
                <c:pt idx="47">
                  <c:v>-0.7</c:v>
                </c:pt>
                <c:pt idx="48">
                  <c:v>-0.8</c:v>
                </c:pt>
                <c:pt idx="49">
                  <c:v>-0.9</c:v>
                </c:pt>
                <c:pt idx="50">
                  <c:v>-1</c:v>
                </c:pt>
                <c:pt idx="51">
                  <c:v>-1.1000000000000001</c:v>
                </c:pt>
                <c:pt idx="52">
                  <c:v>-1.2</c:v>
                </c:pt>
                <c:pt idx="53">
                  <c:v>-1.3</c:v>
                </c:pt>
                <c:pt idx="54">
                  <c:v>-1.4</c:v>
                </c:pt>
                <c:pt idx="55">
                  <c:v>-1.5</c:v>
                </c:pt>
                <c:pt idx="56">
                  <c:v>-1.6</c:v>
                </c:pt>
                <c:pt idx="57">
                  <c:v>-1.7</c:v>
                </c:pt>
                <c:pt idx="58">
                  <c:v>-1.8</c:v>
                </c:pt>
                <c:pt idx="59">
                  <c:v>-1.9</c:v>
                </c:pt>
                <c:pt idx="60">
                  <c:v>-2</c:v>
                </c:pt>
                <c:pt idx="61">
                  <c:v>-2.1</c:v>
                </c:pt>
                <c:pt idx="62">
                  <c:v>-2.2000000000000002</c:v>
                </c:pt>
                <c:pt idx="63">
                  <c:v>-2.2999999999999998</c:v>
                </c:pt>
                <c:pt idx="64">
                  <c:v>-2.4</c:v>
                </c:pt>
                <c:pt idx="65">
                  <c:v>-2.5</c:v>
                </c:pt>
                <c:pt idx="66">
                  <c:v>-2.6</c:v>
                </c:pt>
                <c:pt idx="67">
                  <c:v>-2.7</c:v>
                </c:pt>
                <c:pt idx="68">
                  <c:v>-2.8</c:v>
                </c:pt>
                <c:pt idx="69">
                  <c:v>-2.9</c:v>
                </c:pt>
                <c:pt idx="70">
                  <c:v>-3</c:v>
                </c:pt>
                <c:pt idx="71">
                  <c:v>-3.1</c:v>
                </c:pt>
                <c:pt idx="72">
                  <c:v>-3.2</c:v>
                </c:pt>
                <c:pt idx="73">
                  <c:v>-3.3</c:v>
                </c:pt>
                <c:pt idx="74">
                  <c:v>-3.4</c:v>
                </c:pt>
                <c:pt idx="75">
                  <c:v>-3.5</c:v>
                </c:pt>
                <c:pt idx="76">
                  <c:v>-3.6</c:v>
                </c:pt>
                <c:pt idx="77">
                  <c:v>-3.7</c:v>
                </c:pt>
                <c:pt idx="78">
                  <c:v>-3.8</c:v>
                </c:pt>
                <c:pt idx="79">
                  <c:v>-3.9</c:v>
                </c:pt>
                <c:pt idx="80">
                  <c:v>-4</c:v>
                </c:pt>
              </c:numCache>
            </c:numRef>
          </c:xVal>
          <c:yVal>
            <c:numRef>
              <c:f>'CS 1er sem datos'!$M$52:$M$132</c:f>
              <c:numCache>
                <c:formatCode>General</c:formatCode>
                <c:ptCount val="81"/>
                <c:pt idx="0">
                  <c:v>0</c:v>
                </c:pt>
                <c:pt idx="1">
                  <c:v>-0.88881944173155936</c:v>
                </c:pt>
                <c:pt idx="2">
                  <c:v>-1.2489995996796799</c:v>
                </c:pt>
                <c:pt idx="3">
                  <c:v>-1.5198684153570658</c:v>
                </c:pt>
                <c:pt idx="4">
                  <c:v>-1.7435595774162691</c:v>
                </c:pt>
                <c:pt idx="5">
                  <c:v>-1.9364916731037085</c:v>
                </c:pt>
                <c:pt idx="6">
                  <c:v>-2.1071307505705481</c:v>
                </c:pt>
                <c:pt idx="7">
                  <c:v>-2.2605309110914633</c:v>
                </c:pt>
                <c:pt idx="8">
                  <c:v>-2.3999999999999995</c:v>
                </c:pt>
                <c:pt idx="9">
                  <c:v>-2.5278449319529073</c:v>
                </c:pt>
                <c:pt idx="10">
                  <c:v>-2.6457513110645907</c:v>
                </c:pt>
                <c:pt idx="11">
                  <c:v>-2.7549954627911823</c:v>
                </c:pt>
                <c:pt idx="12">
                  <c:v>-2.8565713714171399</c:v>
                </c:pt>
                <c:pt idx="13">
                  <c:v>-2.9512709126747412</c:v>
                </c:pt>
                <c:pt idx="14">
                  <c:v>-3.0397368307141326</c:v>
                </c:pt>
                <c:pt idx="15">
                  <c:v>-3.1224989991991992</c:v>
                </c:pt>
                <c:pt idx="16">
                  <c:v>-3.2</c:v>
                </c:pt>
                <c:pt idx="17">
                  <c:v>-3.2726136343907144</c:v>
                </c:pt>
                <c:pt idx="18">
                  <c:v>-3.3406586176980131</c:v>
                </c:pt>
                <c:pt idx="19">
                  <c:v>-3.4044089061098401</c:v>
                </c:pt>
                <c:pt idx="20">
                  <c:v>-3.4641016151377544</c:v>
                </c:pt>
                <c:pt idx="21">
                  <c:v>-3.5199431813596083</c:v>
                </c:pt>
                <c:pt idx="22">
                  <c:v>-3.5721142198983502</c:v>
                </c:pt>
                <c:pt idx="23">
                  <c:v>-3.6207733980463344</c:v>
                </c:pt>
                <c:pt idx="24">
                  <c:v>-3.666060555964672</c:v>
                </c:pt>
                <c:pt idx="25">
                  <c:v>-3.7080992435478315</c:v>
                </c:pt>
                <c:pt idx="26">
                  <c:v>-3.746998799039039</c:v>
                </c:pt>
                <c:pt idx="27">
                  <c:v>-3.7828560638755477</c:v>
                </c:pt>
                <c:pt idx="28">
                  <c:v>-3.8157568056677826</c:v>
                </c:pt>
                <c:pt idx="29">
                  <c:v>-3.8457769046058821</c:v>
                </c:pt>
                <c:pt idx="30">
                  <c:v>-3.872983346207417</c:v>
                </c:pt>
                <c:pt idx="31">
                  <c:v>-3.8974350539810154</c:v>
                </c:pt>
                <c:pt idx="32">
                  <c:v>-3.9191835884530848</c:v>
                </c:pt>
                <c:pt idx="33">
                  <c:v>-3.9382737335030433</c:v>
                </c:pt>
                <c:pt idx="34">
                  <c:v>-3.954743986657038</c:v>
                </c:pt>
                <c:pt idx="35">
                  <c:v>-3.9686269665968861</c:v>
                </c:pt>
                <c:pt idx="36">
                  <c:v>-3.9799497484264799</c:v>
                </c:pt>
                <c:pt idx="37">
                  <c:v>-3.9887341350358261</c:v>
                </c:pt>
                <c:pt idx="38">
                  <c:v>-3.9949968710876358</c:v>
                </c:pt>
                <c:pt idx="39">
                  <c:v>-3.9987498046264411</c:v>
                </c:pt>
                <c:pt idx="40">
                  <c:v>-4</c:v>
                </c:pt>
                <c:pt idx="41">
                  <c:v>-3.9987498046264411</c:v>
                </c:pt>
                <c:pt idx="42">
                  <c:v>-3.9949968710876358</c:v>
                </c:pt>
                <c:pt idx="43">
                  <c:v>-3.9887341350358261</c:v>
                </c:pt>
                <c:pt idx="44">
                  <c:v>-3.9799497484264799</c:v>
                </c:pt>
                <c:pt idx="45">
                  <c:v>-3.9686269665968861</c:v>
                </c:pt>
                <c:pt idx="46">
                  <c:v>-3.954743986657038</c:v>
                </c:pt>
                <c:pt idx="47">
                  <c:v>-3.9382737335030433</c:v>
                </c:pt>
                <c:pt idx="48">
                  <c:v>-3.9191835884530848</c:v>
                </c:pt>
                <c:pt idx="49">
                  <c:v>-3.8974350539810154</c:v>
                </c:pt>
                <c:pt idx="50">
                  <c:v>-3.872983346207417</c:v>
                </c:pt>
                <c:pt idx="51">
                  <c:v>-3.8457769046058821</c:v>
                </c:pt>
                <c:pt idx="52">
                  <c:v>-3.8157568056677826</c:v>
                </c:pt>
                <c:pt idx="53">
                  <c:v>-3.7828560638755477</c:v>
                </c:pt>
                <c:pt idx="54">
                  <c:v>-3.746998799039039</c:v>
                </c:pt>
                <c:pt idx="55">
                  <c:v>-3.7080992435478315</c:v>
                </c:pt>
                <c:pt idx="56">
                  <c:v>-3.666060555964672</c:v>
                </c:pt>
                <c:pt idx="57">
                  <c:v>-3.6207733980463344</c:v>
                </c:pt>
                <c:pt idx="58">
                  <c:v>-3.5721142198983502</c:v>
                </c:pt>
                <c:pt idx="59">
                  <c:v>-3.5199431813596083</c:v>
                </c:pt>
                <c:pt idx="60">
                  <c:v>-3.4641016151377544</c:v>
                </c:pt>
                <c:pt idx="61">
                  <c:v>-3.4044089061098401</c:v>
                </c:pt>
                <c:pt idx="62">
                  <c:v>-3.3406586176980131</c:v>
                </c:pt>
                <c:pt idx="63">
                  <c:v>-3.2726136343907144</c:v>
                </c:pt>
                <c:pt idx="64">
                  <c:v>-3.2</c:v>
                </c:pt>
                <c:pt idx="65">
                  <c:v>-3.1224989991991992</c:v>
                </c:pt>
                <c:pt idx="66">
                  <c:v>-3.0397368307141326</c:v>
                </c:pt>
                <c:pt idx="67">
                  <c:v>-2.9512709126747412</c:v>
                </c:pt>
                <c:pt idx="68">
                  <c:v>-2.8565713714171399</c:v>
                </c:pt>
                <c:pt idx="69">
                  <c:v>-2.7549954627911823</c:v>
                </c:pt>
                <c:pt idx="70">
                  <c:v>-2.6457513110645907</c:v>
                </c:pt>
                <c:pt idx="71">
                  <c:v>-2.5278449319529073</c:v>
                </c:pt>
                <c:pt idx="72">
                  <c:v>-2.3999999999999995</c:v>
                </c:pt>
                <c:pt idx="73">
                  <c:v>-2.2605309110914633</c:v>
                </c:pt>
                <c:pt idx="74">
                  <c:v>-2.1071307505705481</c:v>
                </c:pt>
                <c:pt idx="75">
                  <c:v>-1.9364916731037085</c:v>
                </c:pt>
                <c:pt idx="76">
                  <c:v>-1.7435595774162691</c:v>
                </c:pt>
                <c:pt idx="77">
                  <c:v>-1.5198684153570658</c:v>
                </c:pt>
                <c:pt idx="78">
                  <c:v>-1.2489995996796799</c:v>
                </c:pt>
                <c:pt idx="79">
                  <c:v>-0.88881944173155936</c:v>
                </c:pt>
                <c:pt idx="80">
                  <c:v>0</c:v>
                </c:pt>
              </c:numCache>
            </c:numRef>
          </c:yVal>
          <c:smooth val="1"/>
        </c:ser>
        <c:ser>
          <c:idx val="97"/>
          <c:order val="26"/>
          <c:spPr>
            <a:ln w="1905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'CS 1er sem datos'!$A$62:$A$122</c:f>
              <c:numCache>
                <c:formatCode>General</c:formatCode>
                <c:ptCount val="61"/>
                <c:pt idx="0">
                  <c:v>3</c:v>
                </c:pt>
                <c:pt idx="1">
                  <c:v>2.9</c:v>
                </c:pt>
                <c:pt idx="2">
                  <c:v>2.8</c:v>
                </c:pt>
                <c:pt idx="3">
                  <c:v>2.7</c:v>
                </c:pt>
                <c:pt idx="4">
                  <c:v>2.6</c:v>
                </c:pt>
                <c:pt idx="5">
                  <c:v>2.5</c:v>
                </c:pt>
                <c:pt idx="6">
                  <c:v>2.4</c:v>
                </c:pt>
                <c:pt idx="7">
                  <c:v>2.2999999999999998</c:v>
                </c:pt>
                <c:pt idx="8">
                  <c:v>2.2000000000000002</c:v>
                </c:pt>
                <c:pt idx="9">
                  <c:v>2.1</c:v>
                </c:pt>
                <c:pt idx="10">
                  <c:v>2</c:v>
                </c:pt>
                <c:pt idx="11">
                  <c:v>1.9</c:v>
                </c:pt>
                <c:pt idx="12">
                  <c:v>1.8</c:v>
                </c:pt>
                <c:pt idx="13">
                  <c:v>1.7</c:v>
                </c:pt>
                <c:pt idx="14">
                  <c:v>1.6</c:v>
                </c:pt>
                <c:pt idx="15">
                  <c:v>1.5</c:v>
                </c:pt>
                <c:pt idx="16">
                  <c:v>1.4</c:v>
                </c:pt>
                <c:pt idx="17">
                  <c:v>1.3</c:v>
                </c:pt>
                <c:pt idx="18">
                  <c:v>1.2</c:v>
                </c:pt>
                <c:pt idx="19">
                  <c:v>1.1000000000000001</c:v>
                </c:pt>
                <c:pt idx="20">
                  <c:v>1</c:v>
                </c:pt>
                <c:pt idx="21">
                  <c:v>0.9</c:v>
                </c:pt>
                <c:pt idx="22">
                  <c:v>0.8</c:v>
                </c:pt>
                <c:pt idx="23">
                  <c:v>0.7</c:v>
                </c:pt>
                <c:pt idx="24">
                  <c:v>0.6</c:v>
                </c:pt>
                <c:pt idx="25">
                  <c:v>0.5</c:v>
                </c:pt>
                <c:pt idx="26">
                  <c:v>0.4</c:v>
                </c:pt>
                <c:pt idx="27">
                  <c:v>0.3</c:v>
                </c:pt>
                <c:pt idx="28">
                  <c:v>0.2</c:v>
                </c:pt>
                <c:pt idx="29">
                  <c:v>0.1</c:v>
                </c:pt>
                <c:pt idx="30">
                  <c:v>0</c:v>
                </c:pt>
                <c:pt idx="31">
                  <c:v>-0.1</c:v>
                </c:pt>
                <c:pt idx="32">
                  <c:v>-0.2</c:v>
                </c:pt>
                <c:pt idx="33">
                  <c:v>-0.3</c:v>
                </c:pt>
                <c:pt idx="34">
                  <c:v>-0.4</c:v>
                </c:pt>
                <c:pt idx="35">
                  <c:v>-0.5</c:v>
                </c:pt>
                <c:pt idx="36">
                  <c:v>-0.6</c:v>
                </c:pt>
                <c:pt idx="37">
                  <c:v>-0.7</c:v>
                </c:pt>
                <c:pt idx="38">
                  <c:v>-0.8</c:v>
                </c:pt>
                <c:pt idx="39">
                  <c:v>-0.9</c:v>
                </c:pt>
                <c:pt idx="40">
                  <c:v>-1</c:v>
                </c:pt>
                <c:pt idx="41">
                  <c:v>-1.1000000000000001</c:v>
                </c:pt>
                <c:pt idx="42">
                  <c:v>-1.2</c:v>
                </c:pt>
                <c:pt idx="43">
                  <c:v>-1.3</c:v>
                </c:pt>
                <c:pt idx="44">
                  <c:v>-1.4</c:v>
                </c:pt>
                <c:pt idx="45">
                  <c:v>-1.5</c:v>
                </c:pt>
                <c:pt idx="46">
                  <c:v>-1.6</c:v>
                </c:pt>
                <c:pt idx="47">
                  <c:v>-1.7</c:v>
                </c:pt>
                <c:pt idx="48">
                  <c:v>-1.8</c:v>
                </c:pt>
                <c:pt idx="49">
                  <c:v>-1.9</c:v>
                </c:pt>
                <c:pt idx="50">
                  <c:v>-2</c:v>
                </c:pt>
                <c:pt idx="51">
                  <c:v>-2.1</c:v>
                </c:pt>
                <c:pt idx="52">
                  <c:v>-2.2000000000000002</c:v>
                </c:pt>
                <c:pt idx="53">
                  <c:v>-2.2999999999999998</c:v>
                </c:pt>
                <c:pt idx="54">
                  <c:v>-2.4</c:v>
                </c:pt>
                <c:pt idx="55">
                  <c:v>-2.5</c:v>
                </c:pt>
                <c:pt idx="56">
                  <c:v>-2.6</c:v>
                </c:pt>
                <c:pt idx="57">
                  <c:v>-2.7</c:v>
                </c:pt>
                <c:pt idx="58">
                  <c:v>-2.8</c:v>
                </c:pt>
                <c:pt idx="59">
                  <c:v>-2.9</c:v>
                </c:pt>
                <c:pt idx="60">
                  <c:v>-3</c:v>
                </c:pt>
              </c:numCache>
            </c:numRef>
          </c:xVal>
          <c:yVal>
            <c:numRef>
              <c:f>'CS 1er sem datos'!$N$62:$N$122</c:f>
              <c:numCache>
                <c:formatCode>General</c:formatCode>
                <c:ptCount val="61"/>
                <c:pt idx="0">
                  <c:v>0</c:v>
                </c:pt>
                <c:pt idx="1">
                  <c:v>0.76811457478686074</c:v>
                </c:pt>
                <c:pt idx="2">
                  <c:v>1.0770329614269012</c:v>
                </c:pt>
                <c:pt idx="3">
                  <c:v>1.3076696830622017</c:v>
                </c:pt>
                <c:pt idx="4">
                  <c:v>1.4966629547095762</c:v>
                </c:pt>
                <c:pt idx="5">
                  <c:v>1.6583123951776999</c:v>
                </c:pt>
                <c:pt idx="6">
                  <c:v>1.8</c:v>
                </c:pt>
                <c:pt idx="7">
                  <c:v>1.9261360284258224</c:v>
                </c:pt>
                <c:pt idx="8">
                  <c:v>2.0396078054371136</c:v>
                </c:pt>
                <c:pt idx="9">
                  <c:v>2.142428528562855</c:v>
                </c:pt>
                <c:pt idx="10">
                  <c:v>2.2360679774997898</c:v>
                </c:pt>
                <c:pt idx="11">
                  <c:v>2.32163735324878</c:v>
                </c:pt>
                <c:pt idx="12">
                  <c:v>2.4</c:v>
                </c:pt>
                <c:pt idx="13">
                  <c:v>2.4718414188616551</c:v>
                </c:pt>
                <c:pt idx="14">
                  <c:v>2.5377155080899039</c:v>
                </c:pt>
                <c:pt idx="15">
                  <c:v>2.598076211353316</c:v>
                </c:pt>
                <c:pt idx="16">
                  <c:v>2.6532998322843198</c:v>
                </c:pt>
                <c:pt idx="17">
                  <c:v>2.7037011669191546</c:v>
                </c:pt>
                <c:pt idx="18">
                  <c:v>2.7495454169735041</c:v>
                </c:pt>
                <c:pt idx="19">
                  <c:v>2.7910571473905725</c:v>
                </c:pt>
                <c:pt idx="20">
                  <c:v>2.8284271247461903</c:v>
                </c:pt>
                <c:pt idx="21">
                  <c:v>2.8618176042508368</c:v>
                </c:pt>
                <c:pt idx="22">
                  <c:v>2.8913664589601922</c:v>
                </c:pt>
                <c:pt idx="23">
                  <c:v>2.9171904291629644</c:v>
                </c:pt>
                <c:pt idx="24">
                  <c:v>2.9393876913398138</c:v>
                </c:pt>
                <c:pt idx="25">
                  <c:v>2.9580398915498081</c:v>
                </c:pt>
                <c:pt idx="26">
                  <c:v>2.9732137494637012</c:v>
                </c:pt>
                <c:pt idx="27">
                  <c:v>2.98496231131986</c:v>
                </c:pt>
                <c:pt idx="28">
                  <c:v>2.9933259094191533</c:v>
                </c:pt>
                <c:pt idx="29">
                  <c:v>2.9983328701129901</c:v>
                </c:pt>
                <c:pt idx="30">
                  <c:v>3</c:v>
                </c:pt>
                <c:pt idx="31">
                  <c:v>2.9983328701129901</c:v>
                </c:pt>
                <c:pt idx="32">
                  <c:v>2.9933259094191533</c:v>
                </c:pt>
                <c:pt idx="33">
                  <c:v>2.98496231131986</c:v>
                </c:pt>
                <c:pt idx="34">
                  <c:v>2.9732137494637012</c:v>
                </c:pt>
                <c:pt idx="35">
                  <c:v>2.9580398915498081</c:v>
                </c:pt>
                <c:pt idx="36">
                  <c:v>2.9393876913398138</c:v>
                </c:pt>
                <c:pt idx="37">
                  <c:v>2.9171904291629644</c:v>
                </c:pt>
                <c:pt idx="38">
                  <c:v>2.8913664589601922</c:v>
                </c:pt>
                <c:pt idx="39">
                  <c:v>2.8618176042508368</c:v>
                </c:pt>
                <c:pt idx="40">
                  <c:v>2.8284271247461903</c:v>
                </c:pt>
                <c:pt idx="41">
                  <c:v>2.7910571473905725</c:v>
                </c:pt>
                <c:pt idx="42">
                  <c:v>2.7495454169735041</c:v>
                </c:pt>
                <c:pt idx="43">
                  <c:v>2.7037011669191546</c:v>
                </c:pt>
                <c:pt idx="44">
                  <c:v>2.6532998322843198</c:v>
                </c:pt>
                <c:pt idx="45">
                  <c:v>2.598076211353316</c:v>
                </c:pt>
                <c:pt idx="46">
                  <c:v>2.5377155080899039</c:v>
                </c:pt>
                <c:pt idx="47">
                  <c:v>2.4718414188616551</c:v>
                </c:pt>
                <c:pt idx="48">
                  <c:v>2.4</c:v>
                </c:pt>
                <c:pt idx="49">
                  <c:v>2.32163735324878</c:v>
                </c:pt>
                <c:pt idx="50">
                  <c:v>2.2360679774997898</c:v>
                </c:pt>
                <c:pt idx="51">
                  <c:v>2.142428528562855</c:v>
                </c:pt>
                <c:pt idx="52">
                  <c:v>2.0396078054371136</c:v>
                </c:pt>
                <c:pt idx="53">
                  <c:v>1.9261360284258224</c:v>
                </c:pt>
                <c:pt idx="54">
                  <c:v>1.8</c:v>
                </c:pt>
                <c:pt idx="55">
                  <c:v>1.6583123951776999</c:v>
                </c:pt>
                <c:pt idx="56">
                  <c:v>1.4966629547095762</c:v>
                </c:pt>
                <c:pt idx="57">
                  <c:v>1.3076696830622017</c:v>
                </c:pt>
                <c:pt idx="58">
                  <c:v>1.0770329614269012</c:v>
                </c:pt>
                <c:pt idx="59">
                  <c:v>0.76811457478686074</c:v>
                </c:pt>
                <c:pt idx="60">
                  <c:v>0</c:v>
                </c:pt>
              </c:numCache>
            </c:numRef>
          </c:yVal>
          <c:smooth val="1"/>
        </c:ser>
        <c:ser>
          <c:idx val="98"/>
          <c:order val="27"/>
          <c:spPr>
            <a:ln w="1905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'CS 1er sem datos'!$A$62:$A$122</c:f>
              <c:numCache>
                <c:formatCode>General</c:formatCode>
                <c:ptCount val="61"/>
                <c:pt idx="0">
                  <c:v>3</c:v>
                </c:pt>
                <c:pt idx="1">
                  <c:v>2.9</c:v>
                </c:pt>
                <c:pt idx="2">
                  <c:v>2.8</c:v>
                </c:pt>
                <c:pt idx="3">
                  <c:v>2.7</c:v>
                </c:pt>
                <c:pt idx="4">
                  <c:v>2.6</c:v>
                </c:pt>
                <c:pt idx="5">
                  <c:v>2.5</c:v>
                </c:pt>
                <c:pt idx="6">
                  <c:v>2.4</c:v>
                </c:pt>
                <c:pt idx="7">
                  <c:v>2.2999999999999998</c:v>
                </c:pt>
                <c:pt idx="8">
                  <c:v>2.2000000000000002</c:v>
                </c:pt>
                <c:pt idx="9">
                  <c:v>2.1</c:v>
                </c:pt>
                <c:pt idx="10">
                  <c:v>2</c:v>
                </c:pt>
                <c:pt idx="11">
                  <c:v>1.9</c:v>
                </c:pt>
                <c:pt idx="12">
                  <c:v>1.8</c:v>
                </c:pt>
                <c:pt idx="13">
                  <c:v>1.7</c:v>
                </c:pt>
                <c:pt idx="14">
                  <c:v>1.6</c:v>
                </c:pt>
                <c:pt idx="15">
                  <c:v>1.5</c:v>
                </c:pt>
                <c:pt idx="16">
                  <c:v>1.4</c:v>
                </c:pt>
                <c:pt idx="17">
                  <c:v>1.3</c:v>
                </c:pt>
                <c:pt idx="18">
                  <c:v>1.2</c:v>
                </c:pt>
                <c:pt idx="19">
                  <c:v>1.1000000000000001</c:v>
                </c:pt>
                <c:pt idx="20">
                  <c:v>1</c:v>
                </c:pt>
                <c:pt idx="21">
                  <c:v>0.9</c:v>
                </c:pt>
                <c:pt idx="22">
                  <c:v>0.8</c:v>
                </c:pt>
                <c:pt idx="23">
                  <c:v>0.7</c:v>
                </c:pt>
                <c:pt idx="24">
                  <c:v>0.6</c:v>
                </c:pt>
                <c:pt idx="25">
                  <c:v>0.5</c:v>
                </c:pt>
                <c:pt idx="26">
                  <c:v>0.4</c:v>
                </c:pt>
                <c:pt idx="27">
                  <c:v>0.3</c:v>
                </c:pt>
                <c:pt idx="28">
                  <c:v>0.2</c:v>
                </c:pt>
                <c:pt idx="29">
                  <c:v>0.1</c:v>
                </c:pt>
                <c:pt idx="30">
                  <c:v>0</c:v>
                </c:pt>
                <c:pt idx="31">
                  <c:v>-0.1</c:v>
                </c:pt>
                <c:pt idx="32">
                  <c:v>-0.2</c:v>
                </c:pt>
                <c:pt idx="33">
                  <c:v>-0.3</c:v>
                </c:pt>
                <c:pt idx="34">
                  <c:v>-0.4</c:v>
                </c:pt>
                <c:pt idx="35">
                  <c:v>-0.5</c:v>
                </c:pt>
                <c:pt idx="36">
                  <c:v>-0.6</c:v>
                </c:pt>
                <c:pt idx="37">
                  <c:v>-0.7</c:v>
                </c:pt>
                <c:pt idx="38">
                  <c:v>-0.8</c:v>
                </c:pt>
                <c:pt idx="39">
                  <c:v>-0.9</c:v>
                </c:pt>
                <c:pt idx="40">
                  <c:v>-1</c:v>
                </c:pt>
                <c:pt idx="41">
                  <c:v>-1.1000000000000001</c:v>
                </c:pt>
                <c:pt idx="42">
                  <c:v>-1.2</c:v>
                </c:pt>
                <c:pt idx="43">
                  <c:v>-1.3</c:v>
                </c:pt>
                <c:pt idx="44">
                  <c:v>-1.4</c:v>
                </c:pt>
                <c:pt idx="45">
                  <c:v>-1.5</c:v>
                </c:pt>
                <c:pt idx="46">
                  <c:v>-1.6</c:v>
                </c:pt>
                <c:pt idx="47">
                  <c:v>-1.7</c:v>
                </c:pt>
                <c:pt idx="48">
                  <c:v>-1.8</c:v>
                </c:pt>
                <c:pt idx="49">
                  <c:v>-1.9</c:v>
                </c:pt>
                <c:pt idx="50">
                  <c:v>-2</c:v>
                </c:pt>
                <c:pt idx="51">
                  <c:v>-2.1</c:v>
                </c:pt>
                <c:pt idx="52">
                  <c:v>-2.2000000000000002</c:v>
                </c:pt>
                <c:pt idx="53">
                  <c:v>-2.2999999999999998</c:v>
                </c:pt>
                <c:pt idx="54">
                  <c:v>-2.4</c:v>
                </c:pt>
                <c:pt idx="55">
                  <c:v>-2.5</c:v>
                </c:pt>
                <c:pt idx="56">
                  <c:v>-2.6</c:v>
                </c:pt>
                <c:pt idx="57">
                  <c:v>-2.7</c:v>
                </c:pt>
                <c:pt idx="58">
                  <c:v>-2.8</c:v>
                </c:pt>
                <c:pt idx="59">
                  <c:v>-2.9</c:v>
                </c:pt>
                <c:pt idx="60">
                  <c:v>-3</c:v>
                </c:pt>
              </c:numCache>
            </c:numRef>
          </c:xVal>
          <c:yVal>
            <c:numRef>
              <c:f>'CS 1er sem datos'!$O$62:$O$122</c:f>
              <c:numCache>
                <c:formatCode>General</c:formatCode>
                <c:ptCount val="61"/>
                <c:pt idx="0">
                  <c:v>0</c:v>
                </c:pt>
                <c:pt idx="1">
                  <c:v>-0.76811457478686074</c:v>
                </c:pt>
                <c:pt idx="2">
                  <c:v>-1.0770329614269012</c:v>
                </c:pt>
                <c:pt idx="3">
                  <c:v>-1.3076696830622017</c:v>
                </c:pt>
                <c:pt idx="4">
                  <c:v>-1.4966629547095762</c:v>
                </c:pt>
                <c:pt idx="5">
                  <c:v>-1.6583123951776999</c:v>
                </c:pt>
                <c:pt idx="6">
                  <c:v>-1.8</c:v>
                </c:pt>
                <c:pt idx="7">
                  <c:v>-1.9261360284258224</c:v>
                </c:pt>
                <c:pt idx="8">
                  <c:v>-2.0396078054371136</c:v>
                </c:pt>
                <c:pt idx="9">
                  <c:v>-2.142428528562855</c:v>
                </c:pt>
                <c:pt idx="10">
                  <c:v>-2.2360679774997898</c:v>
                </c:pt>
                <c:pt idx="11">
                  <c:v>-2.32163735324878</c:v>
                </c:pt>
                <c:pt idx="12">
                  <c:v>-2.4</c:v>
                </c:pt>
                <c:pt idx="13">
                  <c:v>-2.4718414188616551</c:v>
                </c:pt>
                <c:pt idx="14">
                  <c:v>-2.5377155080899039</c:v>
                </c:pt>
                <c:pt idx="15">
                  <c:v>-2.598076211353316</c:v>
                </c:pt>
                <c:pt idx="16">
                  <c:v>-2.6532998322843198</c:v>
                </c:pt>
                <c:pt idx="17">
                  <c:v>-2.7037011669191546</c:v>
                </c:pt>
                <c:pt idx="18">
                  <c:v>-2.7495454169735041</c:v>
                </c:pt>
                <c:pt idx="19">
                  <c:v>-2.7910571473905725</c:v>
                </c:pt>
                <c:pt idx="20">
                  <c:v>-2.8284271247461903</c:v>
                </c:pt>
                <c:pt idx="21">
                  <c:v>-2.8618176042508368</c:v>
                </c:pt>
                <c:pt idx="22">
                  <c:v>-2.8913664589601922</c:v>
                </c:pt>
                <c:pt idx="23">
                  <c:v>-2.9171904291629644</c:v>
                </c:pt>
                <c:pt idx="24">
                  <c:v>-2.9393876913398138</c:v>
                </c:pt>
                <c:pt idx="25">
                  <c:v>-2.9580398915498081</c:v>
                </c:pt>
                <c:pt idx="26">
                  <c:v>-2.9732137494637012</c:v>
                </c:pt>
                <c:pt idx="27">
                  <c:v>-2.98496231131986</c:v>
                </c:pt>
                <c:pt idx="28">
                  <c:v>-2.9933259094191533</c:v>
                </c:pt>
                <c:pt idx="29">
                  <c:v>-2.9983328701129901</c:v>
                </c:pt>
                <c:pt idx="30">
                  <c:v>-3</c:v>
                </c:pt>
                <c:pt idx="31">
                  <c:v>-2.9983328701129901</c:v>
                </c:pt>
                <c:pt idx="32">
                  <c:v>-2.9933259094191533</c:v>
                </c:pt>
                <c:pt idx="33">
                  <c:v>-2.98496231131986</c:v>
                </c:pt>
                <c:pt idx="34">
                  <c:v>-2.9732137494637012</c:v>
                </c:pt>
                <c:pt idx="35">
                  <c:v>-2.9580398915498081</c:v>
                </c:pt>
                <c:pt idx="36">
                  <c:v>-2.9393876913398138</c:v>
                </c:pt>
                <c:pt idx="37">
                  <c:v>-2.9171904291629644</c:v>
                </c:pt>
                <c:pt idx="38">
                  <c:v>-2.8913664589601922</c:v>
                </c:pt>
                <c:pt idx="39">
                  <c:v>-2.8618176042508368</c:v>
                </c:pt>
                <c:pt idx="40">
                  <c:v>-2.8284271247461903</c:v>
                </c:pt>
                <c:pt idx="41">
                  <c:v>-2.7910571473905725</c:v>
                </c:pt>
                <c:pt idx="42">
                  <c:v>-2.7495454169735041</c:v>
                </c:pt>
                <c:pt idx="43">
                  <c:v>-2.7037011669191546</c:v>
                </c:pt>
                <c:pt idx="44">
                  <c:v>-2.6532998322843198</c:v>
                </c:pt>
                <c:pt idx="45">
                  <c:v>-2.598076211353316</c:v>
                </c:pt>
                <c:pt idx="46">
                  <c:v>-2.5377155080899039</c:v>
                </c:pt>
                <c:pt idx="47">
                  <c:v>-2.4718414188616551</c:v>
                </c:pt>
                <c:pt idx="48">
                  <c:v>-2.4</c:v>
                </c:pt>
                <c:pt idx="49">
                  <c:v>-2.32163735324878</c:v>
                </c:pt>
                <c:pt idx="50">
                  <c:v>-2.2360679774997898</c:v>
                </c:pt>
                <c:pt idx="51">
                  <c:v>-2.142428528562855</c:v>
                </c:pt>
                <c:pt idx="52">
                  <c:v>-2.0396078054371136</c:v>
                </c:pt>
                <c:pt idx="53">
                  <c:v>-1.9261360284258224</c:v>
                </c:pt>
                <c:pt idx="54">
                  <c:v>-1.8</c:v>
                </c:pt>
                <c:pt idx="55">
                  <c:v>-1.6583123951776999</c:v>
                </c:pt>
                <c:pt idx="56">
                  <c:v>-1.4966629547095762</c:v>
                </c:pt>
                <c:pt idx="57">
                  <c:v>-1.3076696830622017</c:v>
                </c:pt>
                <c:pt idx="58">
                  <c:v>-1.0770329614269012</c:v>
                </c:pt>
                <c:pt idx="59">
                  <c:v>-0.76811457478686074</c:v>
                </c:pt>
                <c:pt idx="60">
                  <c:v>0</c:v>
                </c:pt>
              </c:numCache>
            </c:numRef>
          </c:yVal>
          <c:smooth val="1"/>
        </c:ser>
        <c:ser>
          <c:idx val="101"/>
          <c:order val="28"/>
          <c:spPr>
            <a:ln w="1905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'CS 1er sem datos'!$A$72:$A$112</c:f>
              <c:numCache>
                <c:formatCode>General</c:formatCode>
                <c:ptCount val="41"/>
                <c:pt idx="0">
                  <c:v>2</c:v>
                </c:pt>
                <c:pt idx="1">
                  <c:v>1.9</c:v>
                </c:pt>
                <c:pt idx="2">
                  <c:v>1.8</c:v>
                </c:pt>
                <c:pt idx="3">
                  <c:v>1.7</c:v>
                </c:pt>
                <c:pt idx="4">
                  <c:v>1.6</c:v>
                </c:pt>
                <c:pt idx="5">
                  <c:v>1.5</c:v>
                </c:pt>
                <c:pt idx="6">
                  <c:v>1.4</c:v>
                </c:pt>
                <c:pt idx="7">
                  <c:v>1.3</c:v>
                </c:pt>
                <c:pt idx="8">
                  <c:v>1.2</c:v>
                </c:pt>
                <c:pt idx="9">
                  <c:v>1.1000000000000001</c:v>
                </c:pt>
                <c:pt idx="10">
                  <c:v>1</c:v>
                </c:pt>
                <c:pt idx="11">
                  <c:v>0.9</c:v>
                </c:pt>
                <c:pt idx="12">
                  <c:v>0.8</c:v>
                </c:pt>
                <c:pt idx="13">
                  <c:v>0.7</c:v>
                </c:pt>
                <c:pt idx="14">
                  <c:v>0.6</c:v>
                </c:pt>
                <c:pt idx="15">
                  <c:v>0.5</c:v>
                </c:pt>
                <c:pt idx="16">
                  <c:v>0.4</c:v>
                </c:pt>
                <c:pt idx="17">
                  <c:v>0.3</c:v>
                </c:pt>
                <c:pt idx="18">
                  <c:v>0.2</c:v>
                </c:pt>
                <c:pt idx="19">
                  <c:v>0.1</c:v>
                </c:pt>
                <c:pt idx="20">
                  <c:v>0</c:v>
                </c:pt>
                <c:pt idx="21">
                  <c:v>-0.1</c:v>
                </c:pt>
                <c:pt idx="22">
                  <c:v>-0.2</c:v>
                </c:pt>
                <c:pt idx="23">
                  <c:v>-0.3</c:v>
                </c:pt>
                <c:pt idx="24">
                  <c:v>-0.4</c:v>
                </c:pt>
                <c:pt idx="25">
                  <c:v>-0.5</c:v>
                </c:pt>
                <c:pt idx="26">
                  <c:v>-0.6</c:v>
                </c:pt>
                <c:pt idx="27">
                  <c:v>-0.7</c:v>
                </c:pt>
                <c:pt idx="28">
                  <c:v>-0.8</c:v>
                </c:pt>
                <c:pt idx="29">
                  <c:v>-0.9</c:v>
                </c:pt>
                <c:pt idx="30">
                  <c:v>-1</c:v>
                </c:pt>
                <c:pt idx="31">
                  <c:v>-1.1000000000000001</c:v>
                </c:pt>
                <c:pt idx="32">
                  <c:v>-1.2</c:v>
                </c:pt>
                <c:pt idx="33">
                  <c:v>-1.3</c:v>
                </c:pt>
                <c:pt idx="34">
                  <c:v>-1.4</c:v>
                </c:pt>
                <c:pt idx="35">
                  <c:v>-1.5</c:v>
                </c:pt>
                <c:pt idx="36">
                  <c:v>-1.6</c:v>
                </c:pt>
                <c:pt idx="37">
                  <c:v>-1.7</c:v>
                </c:pt>
                <c:pt idx="38">
                  <c:v>-1.8</c:v>
                </c:pt>
                <c:pt idx="39">
                  <c:v>-1.9</c:v>
                </c:pt>
                <c:pt idx="40">
                  <c:v>-2</c:v>
                </c:pt>
              </c:numCache>
            </c:numRef>
          </c:xVal>
          <c:yVal>
            <c:numRef>
              <c:f>'CS 1er sem datos'!$P$72:$P$112</c:f>
              <c:numCache>
                <c:formatCode>General</c:formatCode>
                <c:ptCount val="41"/>
                <c:pt idx="0">
                  <c:v>0</c:v>
                </c:pt>
                <c:pt idx="1">
                  <c:v>0.62449979983983994</c:v>
                </c:pt>
                <c:pt idx="2">
                  <c:v>0.87177978870813455</c:v>
                </c:pt>
                <c:pt idx="3">
                  <c:v>1.0535653752852741</c:v>
                </c:pt>
                <c:pt idx="4">
                  <c:v>1.1999999999999997</c:v>
                </c:pt>
                <c:pt idx="5">
                  <c:v>1.3228756555322954</c:v>
                </c:pt>
                <c:pt idx="6">
                  <c:v>1.42828568570857</c:v>
                </c:pt>
                <c:pt idx="7">
                  <c:v>1.5198684153570663</c:v>
                </c:pt>
                <c:pt idx="8">
                  <c:v>1.6</c:v>
                </c:pt>
                <c:pt idx="9">
                  <c:v>1.6703293088490065</c:v>
                </c:pt>
                <c:pt idx="10">
                  <c:v>1.7320508075688772</c:v>
                </c:pt>
                <c:pt idx="11">
                  <c:v>1.7860571099491751</c:v>
                </c:pt>
                <c:pt idx="12">
                  <c:v>1.833030277982336</c:v>
                </c:pt>
                <c:pt idx="13">
                  <c:v>1.8734993995195195</c:v>
                </c:pt>
                <c:pt idx="14">
                  <c:v>1.9078784028338913</c:v>
                </c:pt>
                <c:pt idx="15">
                  <c:v>1.9364916731037085</c:v>
                </c:pt>
                <c:pt idx="16">
                  <c:v>1.9595917942265424</c:v>
                </c:pt>
                <c:pt idx="17">
                  <c:v>1.977371993328519</c:v>
                </c:pt>
                <c:pt idx="18">
                  <c:v>1.9899748742132399</c:v>
                </c:pt>
                <c:pt idx="19">
                  <c:v>1.9974984355438179</c:v>
                </c:pt>
                <c:pt idx="20">
                  <c:v>2</c:v>
                </c:pt>
                <c:pt idx="21">
                  <c:v>1.9974984355438179</c:v>
                </c:pt>
                <c:pt idx="22">
                  <c:v>1.9899748742132399</c:v>
                </c:pt>
                <c:pt idx="23">
                  <c:v>1.977371993328519</c:v>
                </c:pt>
                <c:pt idx="24">
                  <c:v>1.9595917942265424</c:v>
                </c:pt>
                <c:pt idx="25">
                  <c:v>1.9364916731037085</c:v>
                </c:pt>
                <c:pt idx="26">
                  <c:v>1.9078784028338913</c:v>
                </c:pt>
                <c:pt idx="27">
                  <c:v>1.8734993995195195</c:v>
                </c:pt>
                <c:pt idx="28">
                  <c:v>1.833030277982336</c:v>
                </c:pt>
                <c:pt idx="29">
                  <c:v>1.7860571099491751</c:v>
                </c:pt>
                <c:pt idx="30">
                  <c:v>1.7320508075688772</c:v>
                </c:pt>
                <c:pt idx="31">
                  <c:v>1.6703293088490065</c:v>
                </c:pt>
                <c:pt idx="32">
                  <c:v>1.6</c:v>
                </c:pt>
                <c:pt idx="33">
                  <c:v>1.5198684153570663</c:v>
                </c:pt>
                <c:pt idx="34">
                  <c:v>1.42828568570857</c:v>
                </c:pt>
                <c:pt idx="35">
                  <c:v>1.3228756555322954</c:v>
                </c:pt>
                <c:pt idx="36">
                  <c:v>1.1999999999999997</c:v>
                </c:pt>
                <c:pt idx="37">
                  <c:v>1.0535653752852741</c:v>
                </c:pt>
                <c:pt idx="38">
                  <c:v>0.87177978870813455</c:v>
                </c:pt>
                <c:pt idx="39">
                  <c:v>0.62449979983983994</c:v>
                </c:pt>
                <c:pt idx="40">
                  <c:v>0</c:v>
                </c:pt>
              </c:numCache>
            </c:numRef>
          </c:yVal>
          <c:smooth val="1"/>
        </c:ser>
        <c:ser>
          <c:idx val="102"/>
          <c:order val="29"/>
          <c:spPr>
            <a:ln w="1905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'CS 1er sem datos'!$A$72:$A$112</c:f>
              <c:numCache>
                <c:formatCode>General</c:formatCode>
                <c:ptCount val="41"/>
                <c:pt idx="0">
                  <c:v>2</c:v>
                </c:pt>
                <c:pt idx="1">
                  <c:v>1.9</c:v>
                </c:pt>
                <c:pt idx="2">
                  <c:v>1.8</c:v>
                </c:pt>
                <c:pt idx="3">
                  <c:v>1.7</c:v>
                </c:pt>
                <c:pt idx="4">
                  <c:v>1.6</c:v>
                </c:pt>
                <c:pt idx="5">
                  <c:v>1.5</c:v>
                </c:pt>
                <c:pt idx="6">
                  <c:v>1.4</c:v>
                </c:pt>
                <c:pt idx="7">
                  <c:v>1.3</c:v>
                </c:pt>
                <c:pt idx="8">
                  <c:v>1.2</c:v>
                </c:pt>
                <c:pt idx="9">
                  <c:v>1.1000000000000001</c:v>
                </c:pt>
                <c:pt idx="10">
                  <c:v>1</c:v>
                </c:pt>
                <c:pt idx="11">
                  <c:v>0.9</c:v>
                </c:pt>
                <c:pt idx="12">
                  <c:v>0.8</c:v>
                </c:pt>
                <c:pt idx="13">
                  <c:v>0.7</c:v>
                </c:pt>
                <c:pt idx="14">
                  <c:v>0.6</c:v>
                </c:pt>
                <c:pt idx="15">
                  <c:v>0.5</c:v>
                </c:pt>
                <c:pt idx="16">
                  <c:v>0.4</c:v>
                </c:pt>
                <c:pt idx="17">
                  <c:v>0.3</c:v>
                </c:pt>
                <c:pt idx="18">
                  <c:v>0.2</c:v>
                </c:pt>
                <c:pt idx="19">
                  <c:v>0.1</c:v>
                </c:pt>
                <c:pt idx="20">
                  <c:v>0</c:v>
                </c:pt>
                <c:pt idx="21">
                  <c:v>-0.1</c:v>
                </c:pt>
                <c:pt idx="22">
                  <c:v>-0.2</c:v>
                </c:pt>
                <c:pt idx="23">
                  <c:v>-0.3</c:v>
                </c:pt>
                <c:pt idx="24">
                  <c:v>-0.4</c:v>
                </c:pt>
                <c:pt idx="25">
                  <c:v>-0.5</c:v>
                </c:pt>
                <c:pt idx="26">
                  <c:v>-0.6</c:v>
                </c:pt>
                <c:pt idx="27">
                  <c:v>-0.7</c:v>
                </c:pt>
                <c:pt idx="28">
                  <c:v>-0.8</c:v>
                </c:pt>
                <c:pt idx="29">
                  <c:v>-0.9</c:v>
                </c:pt>
                <c:pt idx="30">
                  <c:v>-1</c:v>
                </c:pt>
                <c:pt idx="31">
                  <c:v>-1.1000000000000001</c:v>
                </c:pt>
                <c:pt idx="32">
                  <c:v>-1.2</c:v>
                </c:pt>
                <c:pt idx="33">
                  <c:v>-1.3</c:v>
                </c:pt>
                <c:pt idx="34">
                  <c:v>-1.4</c:v>
                </c:pt>
                <c:pt idx="35">
                  <c:v>-1.5</c:v>
                </c:pt>
                <c:pt idx="36">
                  <c:v>-1.6</c:v>
                </c:pt>
                <c:pt idx="37">
                  <c:v>-1.7</c:v>
                </c:pt>
                <c:pt idx="38">
                  <c:v>-1.8</c:v>
                </c:pt>
                <c:pt idx="39">
                  <c:v>-1.9</c:v>
                </c:pt>
                <c:pt idx="40">
                  <c:v>-2</c:v>
                </c:pt>
              </c:numCache>
            </c:numRef>
          </c:xVal>
          <c:yVal>
            <c:numRef>
              <c:f>'CS 1er sem datos'!$Q$72:$Q$112</c:f>
              <c:numCache>
                <c:formatCode>General</c:formatCode>
                <c:ptCount val="41"/>
                <c:pt idx="0">
                  <c:v>0</c:v>
                </c:pt>
                <c:pt idx="1">
                  <c:v>-0.62449979983983994</c:v>
                </c:pt>
                <c:pt idx="2">
                  <c:v>-0.87177978870813455</c:v>
                </c:pt>
                <c:pt idx="3">
                  <c:v>-1.0535653752852741</c:v>
                </c:pt>
                <c:pt idx="4">
                  <c:v>-1.1999999999999997</c:v>
                </c:pt>
                <c:pt idx="5">
                  <c:v>-1.3228756555322954</c:v>
                </c:pt>
                <c:pt idx="6">
                  <c:v>-1.42828568570857</c:v>
                </c:pt>
                <c:pt idx="7">
                  <c:v>-1.5198684153570663</c:v>
                </c:pt>
                <c:pt idx="8">
                  <c:v>-1.6</c:v>
                </c:pt>
                <c:pt idx="9">
                  <c:v>-1.6703293088490065</c:v>
                </c:pt>
                <c:pt idx="10">
                  <c:v>-1.7320508075688772</c:v>
                </c:pt>
                <c:pt idx="11">
                  <c:v>-1.7860571099491751</c:v>
                </c:pt>
                <c:pt idx="12">
                  <c:v>-1.833030277982336</c:v>
                </c:pt>
                <c:pt idx="13">
                  <c:v>-1.8734993995195195</c:v>
                </c:pt>
                <c:pt idx="14">
                  <c:v>-1.9078784028338913</c:v>
                </c:pt>
                <c:pt idx="15">
                  <c:v>-1.9364916731037085</c:v>
                </c:pt>
                <c:pt idx="16">
                  <c:v>-1.9595917942265424</c:v>
                </c:pt>
                <c:pt idx="17">
                  <c:v>-1.977371993328519</c:v>
                </c:pt>
                <c:pt idx="18">
                  <c:v>-1.9899748742132399</c:v>
                </c:pt>
                <c:pt idx="19">
                  <c:v>-1.9974984355438179</c:v>
                </c:pt>
                <c:pt idx="20">
                  <c:v>-2</c:v>
                </c:pt>
                <c:pt idx="21">
                  <c:v>-1.9974984355438179</c:v>
                </c:pt>
                <c:pt idx="22">
                  <c:v>-1.9899748742132399</c:v>
                </c:pt>
                <c:pt idx="23">
                  <c:v>-1.977371993328519</c:v>
                </c:pt>
                <c:pt idx="24">
                  <c:v>-1.9595917942265424</c:v>
                </c:pt>
                <c:pt idx="25">
                  <c:v>-1.9364916731037085</c:v>
                </c:pt>
                <c:pt idx="26">
                  <c:v>-1.9078784028338913</c:v>
                </c:pt>
                <c:pt idx="27">
                  <c:v>-1.8734993995195195</c:v>
                </c:pt>
                <c:pt idx="28">
                  <c:v>-1.833030277982336</c:v>
                </c:pt>
                <c:pt idx="29">
                  <c:v>-1.7860571099491751</c:v>
                </c:pt>
                <c:pt idx="30">
                  <c:v>-1.7320508075688772</c:v>
                </c:pt>
                <c:pt idx="31">
                  <c:v>-1.6703293088490065</c:v>
                </c:pt>
                <c:pt idx="32">
                  <c:v>-1.6</c:v>
                </c:pt>
                <c:pt idx="33">
                  <c:v>-1.5198684153570663</c:v>
                </c:pt>
                <c:pt idx="34">
                  <c:v>-1.42828568570857</c:v>
                </c:pt>
                <c:pt idx="35">
                  <c:v>-1.3228756555322954</c:v>
                </c:pt>
                <c:pt idx="36">
                  <c:v>-1.1999999999999997</c:v>
                </c:pt>
                <c:pt idx="37">
                  <c:v>-1.0535653752852741</c:v>
                </c:pt>
                <c:pt idx="38">
                  <c:v>-0.87177978870813455</c:v>
                </c:pt>
                <c:pt idx="39">
                  <c:v>-0.62449979983983994</c:v>
                </c:pt>
                <c:pt idx="40">
                  <c:v>0</c:v>
                </c:pt>
              </c:numCache>
            </c:numRef>
          </c:yVal>
          <c:smooth val="1"/>
        </c:ser>
        <c:ser>
          <c:idx val="105"/>
          <c:order val="30"/>
          <c:spPr>
            <a:ln w="1905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'CS 1er sem datos'!$A$82:$A$102</c:f>
              <c:numCache>
                <c:formatCode>General</c:formatCode>
                <c:ptCount val="21"/>
                <c:pt idx="0">
                  <c:v>1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  <c:pt idx="10">
                  <c:v>0</c:v>
                </c:pt>
                <c:pt idx="11">
                  <c:v>-0.1</c:v>
                </c:pt>
                <c:pt idx="12">
                  <c:v>-0.2</c:v>
                </c:pt>
                <c:pt idx="13">
                  <c:v>-0.3</c:v>
                </c:pt>
                <c:pt idx="14">
                  <c:v>-0.4</c:v>
                </c:pt>
                <c:pt idx="15">
                  <c:v>-0.5</c:v>
                </c:pt>
                <c:pt idx="16">
                  <c:v>-0.6</c:v>
                </c:pt>
                <c:pt idx="17">
                  <c:v>-0.7</c:v>
                </c:pt>
                <c:pt idx="18">
                  <c:v>-0.8</c:v>
                </c:pt>
                <c:pt idx="19">
                  <c:v>-0.9</c:v>
                </c:pt>
                <c:pt idx="20">
                  <c:v>-1</c:v>
                </c:pt>
              </c:numCache>
            </c:numRef>
          </c:xVal>
          <c:yVal>
            <c:numRef>
              <c:f>'CS 1er sem datos'!$R$82:$R$102</c:f>
              <c:numCache>
                <c:formatCode>General</c:formatCode>
                <c:ptCount val="21"/>
                <c:pt idx="0">
                  <c:v>0</c:v>
                </c:pt>
                <c:pt idx="1">
                  <c:v>0.43588989435406728</c:v>
                </c:pt>
                <c:pt idx="2">
                  <c:v>0.59999999999999987</c:v>
                </c:pt>
                <c:pt idx="3">
                  <c:v>0.71414284285428498</c:v>
                </c:pt>
                <c:pt idx="4">
                  <c:v>0.8</c:v>
                </c:pt>
                <c:pt idx="5">
                  <c:v>0.8660254037844386</c:v>
                </c:pt>
                <c:pt idx="6">
                  <c:v>0.91651513899116799</c:v>
                </c:pt>
                <c:pt idx="7">
                  <c:v>0.95393920141694566</c:v>
                </c:pt>
                <c:pt idx="8">
                  <c:v>0.9797958971132712</c:v>
                </c:pt>
                <c:pt idx="9">
                  <c:v>0.99498743710661997</c:v>
                </c:pt>
                <c:pt idx="10">
                  <c:v>1</c:v>
                </c:pt>
                <c:pt idx="11">
                  <c:v>0.99498743710661997</c:v>
                </c:pt>
                <c:pt idx="12">
                  <c:v>0.9797958971132712</c:v>
                </c:pt>
                <c:pt idx="13">
                  <c:v>0.95393920141694566</c:v>
                </c:pt>
                <c:pt idx="14">
                  <c:v>0.91651513899116799</c:v>
                </c:pt>
                <c:pt idx="15">
                  <c:v>0.8660254037844386</c:v>
                </c:pt>
                <c:pt idx="16">
                  <c:v>0.8</c:v>
                </c:pt>
                <c:pt idx="17">
                  <c:v>0.71414284285428498</c:v>
                </c:pt>
                <c:pt idx="18">
                  <c:v>0.59999999999999987</c:v>
                </c:pt>
                <c:pt idx="19">
                  <c:v>0.43588989435406728</c:v>
                </c:pt>
                <c:pt idx="20">
                  <c:v>0</c:v>
                </c:pt>
              </c:numCache>
            </c:numRef>
          </c:yVal>
          <c:smooth val="1"/>
        </c:ser>
        <c:ser>
          <c:idx val="106"/>
          <c:order val="31"/>
          <c:spPr>
            <a:ln w="1905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'CS 1er sem datos'!$A$82:$A$102</c:f>
              <c:numCache>
                <c:formatCode>General</c:formatCode>
                <c:ptCount val="21"/>
                <c:pt idx="0">
                  <c:v>1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  <c:pt idx="10">
                  <c:v>0</c:v>
                </c:pt>
                <c:pt idx="11">
                  <c:v>-0.1</c:v>
                </c:pt>
                <c:pt idx="12">
                  <c:v>-0.2</c:v>
                </c:pt>
                <c:pt idx="13">
                  <c:v>-0.3</c:v>
                </c:pt>
                <c:pt idx="14">
                  <c:v>-0.4</c:v>
                </c:pt>
                <c:pt idx="15">
                  <c:v>-0.5</c:v>
                </c:pt>
                <c:pt idx="16">
                  <c:v>-0.6</c:v>
                </c:pt>
                <c:pt idx="17">
                  <c:v>-0.7</c:v>
                </c:pt>
                <c:pt idx="18">
                  <c:v>-0.8</c:v>
                </c:pt>
                <c:pt idx="19">
                  <c:v>-0.9</c:v>
                </c:pt>
                <c:pt idx="20">
                  <c:v>-1</c:v>
                </c:pt>
              </c:numCache>
            </c:numRef>
          </c:xVal>
          <c:yVal>
            <c:numRef>
              <c:f>'CS 1er sem datos'!$S$82:$S$102</c:f>
              <c:numCache>
                <c:formatCode>General</c:formatCode>
                <c:ptCount val="21"/>
                <c:pt idx="0">
                  <c:v>0</c:v>
                </c:pt>
                <c:pt idx="1">
                  <c:v>-0.43588989435406728</c:v>
                </c:pt>
                <c:pt idx="2">
                  <c:v>-0.59999999999999987</c:v>
                </c:pt>
                <c:pt idx="3">
                  <c:v>-0.71414284285428498</c:v>
                </c:pt>
                <c:pt idx="4">
                  <c:v>-0.8</c:v>
                </c:pt>
                <c:pt idx="5">
                  <c:v>-0.8660254037844386</c:v>
                </c:pt>
                <c:pt idx="6">
                  <c:v>-0.91651513899116799</c:v>
                </c:pt>
                <c:pt idx="7">
                  <c:v>-0.95393920141694566</c:v>
                </c:pt>
                <c:pt idx="8">
                  <c:v>-0.9797958971132712</c:v>
                </c:pt>
                <c:pt idx="9">
                  <c:v>-0.99498743710661997</c:v>
                </c:pt>
                <c:pt idx="10">
                  <c:v>-1</c:v>
                </c:pt>
                <c:pt idx="11">
                  <c:v>-0.99498743710661997</c:v>
                </c:pt>
                <c:pt idx="12">
                  <c:v>-0.9797958971132712</c:v>
                </c:pt>
                <c:pt idx="13">
                  <c:v>-0.95393920141694566</c:v>
                </c:pt>
                <c:pt idx="14">
                  <c:v>-0.91651513899116799</c:v>
                </c:pt>
                <c:pt idx="15">
                  <c:v>-0.8660254037844386</c:v>
                </c:pt>
                <c:pt idx="16">
                  <c:v>-0.8</c:v>
                </c:pt>
                <c:pt idx="17">
                  <c:v>-0.71414284285428498</c:v>
                </c:pt>
                <c:pt idx="18">
                  <c:v>-0.59999999999999987</c:v>
                </c:pt>
                <c:pt idx="19">
                  <c:v>-0.43588989435406728</c:v>
                </c:pt>
                <c:pt idx="20">
                  <c:v>0</c:v>
                </c:pt>
              </c:numCache>
            </c:numRef>
          </c:yVal>
          <c:smooth val="1"/>
        </c:ser>
        <c:ser>
          <c:idx val="110"/>
          <c:order val="32"/>
          <c:tx>
            <c:v>10°</c:v>
          </c:tx>
          <c:spPr>
            <a:ln w="19050">
              <a:solidFill>
                <a:prstClr val="black"/>
              </a:solidFill>
              <a:prstDash val="dash"/>
            </a:ln>
          </c:spPr>
          <c:marker>
            <c:symbol val="none"/>
          </c:marker>
          <c:dLbls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80°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('CS 1er sem datos'!$AA$87,'CS 1er sem datos'!$W$87)</c:f>
              <c:numCache>
                <c:formatCode>General</c:formatCode>
                <c:ptCount val="2"/>
                <c:pt idx="0">
                  <c:v>-8.8632697771098723</c:v>
                </c:pt>
                <c:pt idx="1">
                  <c:v>8.8632697771098723</c:v>
                </c:pt>
              </c:numCache>
            </c:numRef>
          </c:xVal>
          <c:yVal>
            <c:numRef>
              <c:f>('CS 1er sem datos'!$AB$87,'CS 1er sem datos'!$X$87)</c:f>
              <c:numCache>
                <c:formatCode>General</c:formatCode>
                <c:ptCount val="2"/>
                <c:pt idx="0">
                  <c:v>-1.5628335990023743</c:v>
                </c:pt>
                <c:pt idx="1">
                  <c:v>1.562833599002373</c:v>
                </c:pt>
              </c:numCache>
            </c:numRef>
          </c:yVal>
          <c:smooth val="1"/>
        </c:ser>
        <c:ser>
          <c:idx val="111"/>
          <c:order val="33"/>
          <c:tx>
            <c:v>20°</c:v>
          </c:tx>
          <c:spPr>
            <a:ln w="19050">
              <a:solidFill>
                <a:prstClr val="black"/>
              </a:solidFill>
              <a:prstDash val="dash"/>
            </a:ln>
          </c:spPr>
          <c:marker>
            <c:symbol val="none"/>
          </c:marker>
          <c:dLbls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70°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('CS 1er sem datos'!$AA$88,'CS 1er sem datos'!$W$88)</c:f>
              <c:numCache>
                <c:formatCode>General</c:formatCode>
                <c:ptCount val="2"/>
                <c:pt idx="0">
                  <c:v>-8.4572335870731763</c:v>
                </c:pt>
                <c:pt idx="1">
                  <c:v>8.4572335870731763</c:v>
                </c:pt>
              </c:numCache>
            </c:numRef>
          </c:xVal>
          <c:yVal>
            <c:numRef>
              <c:f>('CS 1er sem datos'!$AB$88,'CS 1er sem datos'!$X$88)</c:f>
              <c:numCache>
                <c:formatCode>General</c:formatCode>
                <c:ptCount val="2"/>
                <c:pt idx="0">
                  <c:v>-3.0781812899310177</c:v>
                </c:pt>
                <c:pt idx="1">
                  <c:v>3.0781812899310186</c:v>
                </c:pt>
              </c:numCache>
            </c:numRef>
          </c:yVal>
          <c:smooth val="1"/>
        </c:ser>
        <c:ser>
          <c:idx val="145"/>
          <c:order val="34"/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rgbClr val="4F81BD"/>
                </a:solidFill>
              </a:ln>
            </c:spPr>
          </c:marker>
          <c:xVal>
            <c:numRef>
              <c:f>'CS 1er sem datos'!$AV$88:$AV$111</c:f>
              <c:numCache>
                <c:formatCode>General</c:formatCode>
                <c:ptCount val="24"/>
                <c:pt idx="0">
                  <c:v>8.4494268639521586</c:v>
                </c:pt>
                <c:pt idx="1">
                  <c:v>8.4494268639521586</c:v>
                </c:pt>
                <c:pt idx="2">
                  <c:v>8.4494268639521586</c:v>
                </c:pt>
                <c:pt idx="3">
                  <c:v>8.4494268639521586</c:v>
                </c:pt>
                <c:pt idx="4">
                  <c:v>8.4494268639521586</c:v>
                </c:pt>
                <c:pt idx="5">
                  <c:v>8.4494268639521586</c:v>
                </c:pt>
                <c:pt idx="6">
                  <c:v>7.9427188060969565</c:v>
                </c:pt>
                <c:pt idx="7">
                  <c:v>6.3745781167226729</c:v>
                </c:pt>
                <c:pt idx="8">
                  <c:v>4.7914718059899393</c:v>
                </c:pt>
                <c:pt idx="9">
                  <c:v>3.1989291170115344</c:v>
                </c:pt>
                <c:pt idx="10">
                  <c:v>1.6007777970337362</c:v>
                </c:pt>
                <c:pt idx="11">
                  <c:v>2.8543812206334089E-16</c:v>
                </c:pt>
                <c:pt idx="12">
                  <c:v>-1.6007777970337347</c:v>
                </c:pt>
                <c:pt idx="13">
                  <c:v>-3.1989291170115348</c:v>
                </c:pt>
                <c:pt idx="14">
                  <c:v>-4.7914718059899393</c:v>
                </c:pt>
                <c:pt idx="15">
                  <c:v>-6.3745781167226738</c:v>
                </c:pt>
                <c:pt idx="16">
                  <c:v>-7.9427188060969565</c:v>
                </c:pt>
                <c:pt idx="17">
                  <c:v>-8.4494268639521586</c:v>
                </c:pt>
                <c:pt idx="18">
                  <c:v>-8.4494268639521586</c:v>
                </c:pt>
                <c:pt idx="19">
                  <c:v>-8.4494268639521586</c:v>
                </c:pt>
                <c:pt idx="20">
                  <c:v>-8.4494268639521586</c:v>
                </c:pt>
                <c:pt idx="21">
                  <c:v>-8.4494268639521586</c:v>
                </c:pt>
                <c:pt idx="22">
                  <c:v>-8.4494268639521586</c:v>
                </c:pt>
                <c:pt idx="23">
                  <c:v>-8.4494268639521586</c:v>
                </c:pt>
              </c:numCache>
            </c:numRef>
          </c:xVal>
          <c:yVal>
            <c:numRef>
              <c:f>'CS 1er sem datos'!$AW$88:$AW$111</c:f>
              <c:numCache>
                <c:formatCode>General</c:formatCode>
                <c:ptCount val="24"/>
                <c:pt idx="0">
                  <c:v>-3.0995460426848935</c:v>
                </c:pt>
                <c:pt idx="1">
                  <c:v>-3.0995460426848935</c:v>
                </c:pt>
                <c:pt idx="2">
                  <c:v>-3.0995460426848935</c:v>
                </c:pt>
                <c:pt idx="3">
                  <c:v>-3.0995460426848935</c:v>
                </c:pt>
                <c:pt idx="4">
                  <c:v>-3.0995460426848935</c:v>
                </c:pt>
                <c:pt idx="5">
                  <c:v>-3.0995460426848935</c:v>
                </c:pt>
                <c:pt idx="6">
                  <c:v>-3.3025120163095778</c:v>
                </c:pt>
                <c:pt idx="7">
                  <c:v>-3.819074768232817</c:v>
                </c:pt>
                <c:pt idx="8">
                  <c:v>-4.1978666039421961</c:v>
                </c:pt>
                <c:pt idx="9">
                  <c:v>-4.4576700187236371</c:v>
                </c:pt>
                <c:pt idx="10">
                  <c:v>-4.6096209042552729</c:v>
                </c:pt>
                <c:pt idx="11">
                  <c:v>-4.6596495456484224</c:v>
                </c:pt>
                <c:pt idx="12">
                  <c:v>-4.6096209042552738</c:v>
                </c:pt>
                <c:pt idx="13">
                  <c:v>-4.4576700187236371</c:v>
                </c:pt>
                <c:pt idx="14">
                  <c:v>-4.197866603942197</c:v>
                </c:pt>
                <c:pt idx="15">
                  <c:v>-3.8190747682328157</c:v>
                </c:pt>
                <c:pt idx="16">
                  <c:v>-3.3025120163095769</c:v>
                </c:pt>
                <c:pt idx="17">
                  <c:v>-3.0995460426848935</c:v>
                </c:pt>
                <c:pt idx="18">
                  <c:v>-3.0995460426848935</c:v>
                </c:pt>
                <c:pt idx="19">
                  <c:v>-3.0995460426848935</c:v>
                </c:pt>
                <c:pt idx="20">
                  <c:v>-3.0995460426848935</c:v>
                </c:pt>
                <c:pt idx="21">
                  <c:v>-3.0995460426848935</c:v>
                </c:pt>
                <c:pt idx="22">
                  <c:v>-3.0995460426848935</c:v>
                </c:pt>
                <c:pt idx="23">
                  <c:v>-3.0995460426848935</c:v>
                </c:pt>
              </c:numCache>
            </c:numRef>
          </c:yVal>
          <c:smooth val="1"/>
        </c:ser>
        <c:ser>
          <c:idx val="146"/>
          <c:order val="35"/>
          <c:spPr>
            <a:ln>
              <a:solidFill>
                <a:srgbClr val="4F81BD"/>
              </a:solidFill>
            </a:ln>
          </c:spPr>
          <c:marker>
            <c:symbol val="circle"/>
            <c:size val="5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dLbls>
            <c:dLbl>
              <c:idx val="0"/>
              <c:layout>
                <c:manualLayout>
                  <c:x val="-3.0480822580836002E-3"/>
                  <c:y val="2.7169554267919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Febrero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1er sem datos'!$BG$88:$BG$111</c:f>
              <c:numCache>
                <c:formatCode>General</c:formatCode>
                <c:ptCount val="24"/>
                <c:pt idx="0">
                  <c:v>8.87656100451896</c:v>
                </c:pt>
                <c:pt idx="1">
                  <c:v>8.87656100451896</c:v>
                </c:pt>
                <c:pt idx="2">
                  <c:v>8.87656100451896</c:v>
                </c:pt>
                <c:pt idx="3">
                  <c:v>8.87656100451896</c:v>
                </c:pt>
                <c:pt idx="4">
                  <c:v>8.87656100451896</c:v>
                </c:pt>
                <c:pt idx="5">
                  <c:v>8.87656100451896</c:v>
                </c:pt>
                <c:pt idx="6">
                  <c:v>7.8505349227251555</c:v>
                </c:pt>
                <c:pt idx="7">
                  <c:v>6.3219057421889273</c:v>
                </c:pt>
                <c:pt idx="8">
                  <c:v>4.7621175617680649</c:v>
                </c:pt>
                <c:pt idx="9">
                  <c:v>3.1835652798692924</c:v>
                </c:pt>
                <c:pt idx="10">
                  <c:v>1.5942481393866368</c:v>
                </c:pt>
                <c:pt idx="11">
                  <c:v>2.2894168507319601E-16</c:v>
                </c:pt>
                <c:pt idx="12">
                  <c:v>-1.5942481393866366</c:v>
                </c:pt>
                <c:pt idx="13">
                  <c:v>-3.1835652798692937</c:v>
                </c:pt>
                <c:pt idx="14">
                  <c:v>-4.7621175617680658</c:v>
                </c:pt>
                <c:pt idx="15">
                  <c:v>-6.3219057421889273</c:v>
                </c:pt>
                <c:pt idx="16">
                  <c:v>-7.8505349227251564</c:v>
                </c:pt>
                <c:pt idx="17">
                  <c:v>-8.87656100451896</c:v>
                </c:pt>
                <c:pt idx="18">
                  <c:v>-8.87656100451896</c:v>
                </c:pt>
                <c:pt idx="19">
                  <c:v>-8.87656100451896</c:v>
                </c:pt>
                <c:pt idx="20">
                  <c:v>-8.87656100451896</c:v>
                </c:pt>
                <c:pt idx="21">
                  <c:v>-8.87656100451896</c:v>
                </c:pt>
                <c:pt idx="22">
                  <c:v>-8.87656100451896</c:v>
                </c:pt>
                <c:pt idx="23">
                  <c:v>-8.87656100451896</c:v>
                </c:pt>
              </c:numCache>
            </c:numRef>
          </c:xVal>
          <c:yVal>
            <c:numRef>
              <c:f>'CS 1er sem datos'!$BH$88:$BH$111</c:f>
              <c:numCache>
                <c:formatCode>General</c:formatCode>
                <c:ptCount val="24"/>
                <c:pt idx="0">
                  <c:v>-1.4854846795081202</c:v>
                </c:pt>
                <c:pt idx="1">
                  <c:v>-1.4854846795081202</c:v>
                </c:pt>
                <c:pt idx="2">
                  <c:v>-1.4854846795081202</c:v>
                </c:pt>
                <c:pt idx="3">
                  <c:v>-1.4854846795081202</c:v>
                </c:pt>
                <c:pt idx="4">
                  <c:v>-1.4854846795081202</c:v>
                </c:pt>
                <c:pt idx="5">
                  <c:v>-1.4854846795081202</c:v>
                </c:pt>
                <c:pt idx="6">
                  <c:v>-2.0577961364005248</c:v>
                </c:pt>
                <c:pt idx="7">
                  <c:v>-2.7039695211361687</c:v>
                </c:pt>
                <c:pt idx="8">
                  <c:v>-3.1725031675284874</c:v>
                </c:pt>
                <c:pt idx="9">
                  <c:v>-3.4911671364102341</c:v>
                </c:pt>
                <c:pt idx="10">
                  <c:v>-3.6765137729703996</c:v>
                </c:pt>
                <c:pt idx="11">
                  <c:v>-3.7373705065035905</c:v>
                </c:pt>
                <c:pt idx="12">
                  <c:v>-3.6765137729703996</c:v>
                </c:pt>
                <c:pt idx="13">
                  <c:v>-3.4911671364102332</c:v>
                </c:pt>
                <c:pt idx="14">
                  <c:v>-3.1725031675284869</c:v>
                </c:pt>
                <c:pt idx="15">
                  <c:v>-2.7039695211361696</c:v>
                </c:pt>
                <c:pt idx="16">
                  <c:v>-2.0577961364005222</c:v>
                </c:pt>
                <c:pt idx="17">
                  <c:v>-1.4854846795081202</c:v>
                </c:pt>
                <c:pt idx="18">
                  <c:v>-1.4854846795081202</c:v>
                </c:pt>
                <c:pt idx="19">
                  <c:v>-1.4854846795081202</c:v>
                </c:pt>
                <c:pt idx="20">
                  <c:v>-1.4854846795081202</c:v>
                </c:pt>
                <c:pt idx="21">
                  <c:v>-1.4854846795081202</c:v>
                </c:pt>
                <c:pt idx="22">
                  <c:v>-1.4854846795081202</c:v>
                </c:pt>
                <c:pt idx="23">
                  <c:v>-1.4854846795081202</c:v>
                </c:pt>
              </c:numCache>
            </c:numRef>
          </c:yVal>
          <c:smooth val="1"/>
        </c:ser>
        <c:ser>
          <c:idx val="147"/>
          <c:order val="36"/>
          <c:spPr>
            <a:ln>
              <a:solidFill>
                <a:srgbClr val="4F81BD"/>
              </a:solidFill>
            </a:ln>
          </c:spPr>
          <c:marker>
            <c:symbol val="circle"/>
            <c:size val="5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dLbls>
            <c:dLbl>
              <c:idx val="0"/>
              <c:layout>
                <c:manualLayout>
                  <c:x val="-5.74925135857275E-3"/>
                  <c:y val="4.375845772833909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Marzo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1er sem datos'!$BR$88:$BR$111</c:f>
              <c:numCache>
                <c:formatCode>General</c:formatCode>
                <c:ptCount val="24"/>
                <c:pt idx="0">
                  <c:v>8.9710428814800558</c:v>
                </c:pt>
                <c:pt idx="1">
                  <c:v>8.9710428814800558</c:v>
                </c:pt>
                <c:pt idx="2">
                  <c:v>8.9710428814800558</c:v>
                </c:pt>
                <c:pt idx="3">
                  <c:v>8.9710428814800558</c:v>
                </c:pt>
                <c:pt idx="4">
                  <c:v>8.9710428814800558</c:v>
                </c:pt>
                <c:pt idx="5">
                  <c:v>8.7883582682606036</c:v>
                </c:pt>
                <c:pt idx="6">
                  <c:v>7.4782579609816162</c:v>
                </c:pt>
                <c:pt idx="7">
                  <c:v>6.0649626831945911</c:v>
                </c:pt>
                <c:pt idx="8">
                  <c:v>4.5898087062962007</c:v>
                </c:pt>
                <c:pt idx="9">
                  <c:v>3.077355290895408</c:v>
                </c:pt>
                <c:pt idx="10">
                  <c:v>1.5435540171470266</c:v>
                </c:pt>
                <c:pt idx="11">
                  <c:v>1.5353055534212649E-16</c:v>
                </c:pt>
                <c:pt idx="12">
                  <c:v>-1.5435540171470266</c:v>
                </c:pt>
                <c:pt idx="13">
                  <c:v>-3.0773552908954072</c:v>
                </c:pt>
                <c:pt idx="14">
                  <c:v>-4.5898087062962007</c:v>
                </c:pt>
                <c:pt idx="15">
                  <c:v>-6.0649626831945911</c:v>
                </c:pt>
                <c:pt idx="16">
                  <c:v>-7.4782579609816162</c:v>
                </c:pt>
                <c:pt idx="17">
                  <c:v>-8.7883582682606036</c:v>
                </c:pt>
                <c:pt idx="18">
                  <c:v>-8.9710428814800558</c:v>
                </c:pt>
                <c:pt idx="19">
                  <c:v>-8.9710428814800558</c:v>
                </c:pt>
                <c:pt idx="20">
                  <c:v>-8.9710428814800558</c:v>
                </c:pt>
                <c:pt idx="21">
                  <c:v>-8.9710428814800558</c:v>
                </c:pt>
                <c:pt idx="22">
                  <c:v>-8.9710428814800558</c:v>
                </c:pt>
                <c:pt idx="23">
                  <c:v>-8.9710428814800558</c:v>
                </c:pt>
              </c:numCache>
            </c:numRef>
          </c:xVal>
          <c:yVal>
            <c:numRef>
              <c:f>'CS 1er sem datos'!$BS$88:$BS$111</c:f>
              <c:numCache>
                <c:formatCode>General</c:formatCode>
                <c:ptCount val="24"/>
                <c:pt idx="0">
                  <c:v>0.72138035643204523</c:v>
                </c:pt>
                <c:pt idx="1">
                  <c:v>0.72138035643204523</c:v>
                </c:pt>
                <c:pt idx="2">
                  <c:v>0.72138035643204523</c:v>
                </c:pt>
                <c:pt idx="3">
                  <c:v>0.72138035643204523</c:v>
                </c:pt>
                <c:pt idx="4">
                  <c:v>0.72138035643204523</c:v>
                </c:pt>
                <c:pt idx="5">
                  <c:v>0.53934028205281404</c:v>
                </c:pt>
                <c:pt idx="6">
                  <c:v>-0.49877504340216094</c:v>
                </c:pt>
                <c:pt idx="7">
                  <c:v>-1.2721013335297824</c:v>
                </c:pt>
                <c:pt idx="8">
                  <c:v>-1.8324364394971171</c:v>
                </c:pt>
                <c:pt idx="9">
                  <c:v>-2.2128940080973147</c:v>
                </c:pt>
                <c:pt idx="10">
                  <c:v>-2.4338374353420646</c:v>
                </c:pt>
                <c:pt idx="11">
                  <c:v>-2.5063175768944319</c:v>
                </c:pt>
                <c:pt idx="12">
                  <c:v>-2.4338374353420642</c:v>
                </c:pt>
                <c:pt idx="13">
                  <c:v>-2.2128940080973156</c:v>
                </c:pt>
                <c:pt idx="14">
                  <c:v>-1.8324364394971171</c:v>
                </c:pt>
                <c:pt idx="15">
                  <c:v>-1.2721013335297828</c:v>
                </c:pt>
                <c:pt idx="16">
                  <c:v>-0.49877504340215972</c:v>
                </c:pt>
                <c:pt idx="17">
                  <c:v>0.53934028205281592</c:v>
                </c:pt>
                <c:pt idx="18">
                  <c:v>0.72138035643204745</c:v>
                </c:pt>
                <c:pt idx="19">
                  <c:v>0.72138035643204745</c:v>
                </c:pt>
                <c:pt idx="20">
                  <c:v>0.72138035643204745</c:v>
                </c:pt>
                <c:pt idx="21">
                  <c:v>0.72138035643204745</c:v>
                </c:pt>
                <c:pt idx="22">
                  <c:v>0.72138035643204745</c:v>
                </c:pt>
                <c:pt idx="23">
                  <c:v>0.72138035643204745</c:v>
                </c:pt>
              </c:numCache>
            </c:numRef>
          </c:yVal>
          <c:smooth val="1"/>
        </c:ser>
        <c:ser>
          <c:idx val="148"/>
          <c:order val="37"/>
          <c:spPr>
            <a:ln>
              <a:solidFill>
                <a:srgbClr val="4F81BD"/>
              </a:solidFill>
            </a:ln>
          </c:spPr>
          <c:marker>
            <c:symbol val="circle"/>
            <c:size val="5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dLbls>
            <c:dLbl>
              <c:idx val="0"/>
              <c:layout>
                <c:manualLayout>
                  <c:x val="-5.3628303958257097E-3"/>
                  <c:y val="4.790568359344390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Abril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1er sem datos'!$CC$88:$CC$111</c:f>
              <c:numCache>
                <c:formatCode>General</c:formatCode>
                <c:ptCount val="24"/>
                <c:pt idx="0">
                  <c:v>8.601586970459481</c:v>
                </c:pt>
                <c:pt idx="1">
                  <c:v>8.601586970459481</c:v>
                </c:pt>
                <c:pt idx="2">
                  <c:v>8.601586970459481</c:v>
                </c:pt>
                <c:pt idx="3">
                  <c:v>8.601586970459481</c:v>
                </c:pt>
                <c:pt idx="4">
                  <c:v>8.601586970459481</c:v>
                </c:pt>
                <c:pt idx="5">
                  <c:v>8.0667743759958661</c:v>
                </c:pt>
                <c:pt idx="6">
                  <c:v>6.9482491884736275</c:v>
                </c:pt>
                <c:pt idx="7">
                  <c:v>5.681673954671612</c:v>
                </c:pt>
                <c:pt idx="8">
                  <c:v>4.3235372056031043</c:v>
                </c:pt>
                <c:pt idx="9">
                  <c:v>2.9090953902894121</c:v>
                </c:pt>
                <c:pt idx="10">
                  <c:v>1.4620437645376918</c:v>
                </c:pt>
                <c:pt idx="11">
                  <c:v>8.6857589127052893E-17</c:v>
                </c:pt>
                <c:pt idx="12">
                  <c:v>-1.4620437645376916</c:v>
                </c:pt>
                <c:pt idx="13">
                  <c:v>-2.9090953902894121</c:v>
                </c:pt>
                <c:pt idx="14">
                  <c:v>-4.3235372056031043</c:v>
                </c:pt>
                <c:pt idx="15">
                  <c:v>-5.681673954671612</c:v>
                </c:pt>
                <c:pt idx="16">
                  <c:v>-6.9482491884736275</c:v>
                </c:pt>
                <c:pt idx="17">
                  <c:v>-8.0667743759958661</c:v>
                </c:pt>
                <c:pt idx="18">
                  <c:v>-8.6015869704594792</c:v>
                </c:pt>
                <c:pt idx="19">
                  <c:v>-8.6015869704594792</c:v>
                </c:pt>
                <c:pt idx="20">
                  <c:v>-8.6015869704594792</c:v>
                </c:pt>
                <c:pt idx="21">
                  <c:v>-8.6015869704594792</c:v>
                </c:pt>
                <c:pt idx="22">
                  <c:v>-8.6015869704594792</c:v>
                </c:pt>
                <c:pt idx="23">
                  <c:v>-8.6015869704594792</c:v>
                </c:pt>
              </c:numCache>
            </c:numRef>
          </c:xVal>
          <c:yVal>
            <c:numRef>
              <c:f>'CS 1er sem datos'!$CD$88:$CD$111</c:f>
              <c:numCache>
                <c:formatCode>General</c:formatCode>
                <c:ptCount val="24"/>
                <c:pt idx="0">
                  <c:v>2.6481505979875286</c:v>
                </c:pt>
                <c:pt idx="1">
                  <c:v>2.6481505979875286</c:v>
                </c:pt>
                <c:pt idx="2">
                  <c:v>2.6481505979875286</c:v>
                </c:pt>
                <c:pt idx="3">
                  <c:v>2.6481505979875286</c:v>
                </c:pt>
                <c:pt idx="4">
                  <c:v>2.6481505979875286</c:v>
                </c:pt>
                <c:pt idx="5">
                  <c:v>1.8759482527650697</c:v>
                </c:pt>
                <c:pt idx="6">
                  <c:v>0.76795237286723683</c:v>
                </c:pt>
                <c:pt idx="7">
                  <c:v>-6.8641989673889181E-2</c:v>
                </c:pt>
                <c:pt idx="8">
                  <c:v>-0.67945035312016167</c:v>
                </c:pt>
                <c:pt idx="9">
                  <c:v>-1.0959270054663139</c:v>
                </c:pt>
                <c:pt idx="10">
                  <c:v>-1.3383201044311768</c:v>
                </c:pt>
                <c:pt idx="11">
                  <c:v>-1.417911254412533</c:v>
                </c:pt>
                <c:pt idx="12">
                  <c:v>-1.338320104431177</c:v>
                </c:pt>
                <c:pt idx="13">
                  <c:v>-1.0959270054663137</c:v>
                </c:pt>
                <c:pt idx="14">
                  <c:v>-0.67945035312016244</c:v>
                </c:pt>
                <c:pt idx="15">
                  <c:v>-6.8641989673888751E-2</c:v>
                </c:pt>
                <c:pt idx="16">
                  <c:v>0.76795237286723794</c:v>
                </c:pt>
                <c:pt idx="17">
                  <c:v>1.8759482527650715</c:v>
                </c:pt>
                <c:pt idx="18">
                  <c:v>2.6481505979875326</c:v>
                </c:pt>
                <c:pt idx="19">
                  <c:v>2.6481505979875326</c:v>
                </c:pt>
                <c:pt idx="20">
                  <c:v>2.6481505979875326</c:v>
                </c:pt>
                <c:pt idx="21">
                  <c:v>2.6481505979875326</c:v>
                </c:pt>
                <c:pt idx="22">
                  <c:v>2.6481505979875326</c:v>
                </c:pt>
                <c:pt idx="23">
                  <c:v>2.6481505979875326</c:v>
                </c:pt>
              </c:numCache>
            </c:numRef>
          </c:yVal>
          <c:smooth val="1"/>
        </c:ser>
        <c:ser>
          <c:idx val="149"/>
          <c:order val="38"/>
          <c:spPr>
            <a:ln>
              <a:solidFill>
                <a:srgbClr val="4F81BD"/>
              </a:solidFill>
            </a:ln>
          </c:spPr>
          <c:marker>
            <c:symbol val="circle"/>
            <c:size val="5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dLbls>
            <c:dLbl>
              <c:idx val="0"/>
              <c:layout>
                <c:manualLayout>
                  <c:x val="-3.68823462284612E-3"/>
                  <c:y val="3.131678013302469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Mayo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1er sem datos'!$CN$88:$CN$111</c:f>
              <c:numCache>
                <c:formatCode>General</c:formatCode>
                <c:ptCount val="24"/>
                <c:pt idx="0">
                  <c:v>8.1281420283668258</c:v>
                </c:pt>
                <c:pt idx="1">
                  <c:v>8.1281420283668258</c:v>
                </c:pt>
                <c:pt idx="2">
                  <c:v>8.1281420283668258</c:v>
                </c:pt>
                <c:pt idx="3">
                  <c:v>8.1281420283668258</c:v>
                </c:pt>
                <c:pt idx="4">
                  <c:v>8.1281420283668258</c:v>
                </c:pt>
                <c:pt idx="5">
                  <c:v>7.4939503996922818</c:v>
                </c:pt>
                <c:pt idx="6">
                  <c:v>6.5128329273581409</c:v>
                </c:pt>
                <c:pt idx="7">
                  <c:v>5.3589112820436533</c:v>
                </c:pt>
                <c:pt idx="8">
                  <c:v>4.0953514088422205</c:v>
                </c:pt>
                <c:pt idx="9">
                  <c:v>2.7632024243694069</c:v>
                </c:pt>
                <c:pt idx="10">
                  <c:v>1.3908903010032683</c:v>
                </c:pt>
                <c:pt idx="11">
                  <c:v>4.312752546919713E-17</c:v>
                </c:pt>
                <c:pt idx="12">
                  <c:v>-1.3908903010032683</c:v>
                </c:pt>
                <c:pt idx="13">
                  <c:v>-2.7632024243694073</c:v>
                </c:pt>
                <c:pt idx="14">
                  <c:v>-4.0953514088422205</c:v>
                </c:pt>
                <c:pt idx="15">
                  <c:v>-5.3589112820436533</c:v>
                </c:pt>
                <c:pt idx="16">
                  <c:v>-6.5128329273581409</c:v>
                </c:pt>
                <c:pt idx="17">
                  <c:v>-7.4939503996922818</c:v>
                </c:pt>
                <c:pt idx="18">
                  <c:v>-8.1281420283668258</c:v>
                </c:pt>
                <c:pt idx="19">
                  <c:v>-8.1281420283668258</c:v>
                </c:pt>
                <c:pt idx="20">
                  <c:v>-8.1281420283668258</c:v>
                </c:pt>
                <c:pt idx="21">
                  <c:v>-8.1281420283668258</c:v>
                </c:pt>
                <c:pt idx="22">
                  <c:v>-8.1281420283668258</c:v>
                </c:pt>
                <c:pt idx="23">
                  <c:v>-8.1281420283668258</c:v>
                </c:pt>
              </c:numCache>
            </c:numRef>
          </c:xVal>
          <c:yVal>
            <c:numRef>
              <c:f>'CS 1er sem datos'!$CO$88:$CO$111</c:f>
              <c:numCache>
                <c:formatCode>General</c:formatCode>
                <c:ptCount val="24"/>
                <c:pt idx="0">
                  <c:v>3.8643637466854508</c:v>
                </c:pt>
                <c:pt idx="1">
                  <c:v>3.8643637466854508</c:v>
                </c:pt>
                <c:pt idx="2">
                  <c:v>3.8643637466854508</c:v>
                </c:pt>
                <c:pt idx="3">
                  <c:v>3.8643637466854508</c:v>
                </c:pt>
                <c:pt idx="4">
                  <c:v>3.8643637466854508</c:v>
                </c:pt>
                <c:pt idx="5">
                  <c:v>2.6513500426204568</c:v>
                </c:pt>
                <c:pt idx="6">
                  <c:v>1.5373408369743473</c:v>
                </c:pt>
                <c:pt idx="7">
                  <c:v>0.68552167573681089</c:v>
                </c:pt>
                <c:pt idx="8">
                  <c:v>5.8631501008162723E-2</c:v>
                </c:pt>
                <c:pt idx="9">
                  <c:v>-0.37090968772972588</c:v>
                </c:pt>
                <c:pt idx="10">
                  <c:v>-0.62161206557584159</c:v>
                </c:pt>
                <c:pt idx="11">
                  <c:v>-0.70403754412625652</c:v>
                </c:pt>
                <c:pt idx="12">
                  <c:v>-0.62161206557584214</c:v>
                </c:pt>
                <c:pt idx="13">
                  <c:v>-0.37090968772972527</c:v>
                </c:pt>
                <c:pt idx="14">
                  <c:v>5.8631501008163472E-2</c:v>
                </c:pt>
                <c:pt idx="15">
                  <c:v>0.68552167573681033</c:v>
                </c:pt>
                <c:pt idx="16">
                  <c:v>1.5373408369743473</c:v>
                </c:pt>
                <c:pt idx="17">
                  <c:v>2.6513500426204546</c:v>
                </c:pt>
                <c:pt idx="18">
                  <c:v>3.8643637466854521</c:v>
                </c:pt>
                <c:pt idx="19">
                  <c:v>3.8643637466854521</c:v>
                </c:pt>
                <c:pt idx="20">
                  <c:v>3.8643637466854521</c:v>
                </c:pt>
                <c:pt idx="21">
                  <c:v>3.8643637466854521</c:v>
                </c:pt>
                <c:pt idx="22">
                  <c:v>3.8643637466854521</c:v>
                </c:pt>
                <c:pt idx="23">
                  <c:v>3.8643637466854521</c:v>
                </c:pt>
              </c:numCache>
            </c:numRef>
          </c:yVal>
          <c:smooth val="1"/>
        </c:ser>
        <c:ser>
          <c:idx val="150"/>
          <c:order val="39"/>
          <c:spPr>
            <a:ln>
              <a:solidFill>
                <a:srgbClr val="4F81BD"/>
              </a:solidFill>
            </a:ln>
          </c:spPr>
          <c:marker>
            <c:symbol val="circle"/>
            <c:size val="5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dLbls>
            <c:dLbl>
              <c:idx val="0"/>
              <c:layout>
                <c:manualLayout>
                  <c:x val="-4.4977511244377799E-3"/>
                  <c:y val="8.5070378749485601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Junio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6am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7am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8am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9am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10am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11am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12pm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1pm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2pm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3pm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en-US"/>
                      <a:t>4pm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tx>
                <c:rich>
                  <a:bodyPr/>
                  <a:lstStyle/>
                  <a:p>
                    <a:r>
                      <a:rPr lang="en-US"/>
                      <a:t>5pm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tx>
                <c:rich>
                  <a:bodyPr/>
                  <a:lstStyle/>
                  <a:p>
                    <a:r>
                      <a:rPr lang="en-US"/>
                      <a:t>6pm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1er sem datos'!$CY$88:$CY$111</c:f>
              <c:numCache>
                <c:formatCode>General</c:formatCode>
                <c:ptCount val="24"/>
                <c:pt idx="0">
                  <c:v>8.0128353242451471</c:v>
                </c:pt>
                <c:pt idx="1">
                  <c:v>8.0128353242451471</c:v>
                </c:pt>
                <c:pt idx="2">
                  <c:v>8.0128353242451471</c:v>
                </c:pt>
                <c:pt idx="3">
                  <c:v>8.0128353242451471</c:v>
                </c:pt>
                <c:pt idx="4">
                  <c:v>8.0128353242451471</c:v>
                </c:pt>
                <c:pt idx="5">
                  <c:v>7.3728011230173927</c:v>
                </c:pt>
                <c:pt idx="6">
                  <c:v>6.4193538234426155</c:v>
                </c:pt>
                <c:pt idx="7">
                  <c:v>5.2888743491714614</c:v>
                </c:pt>
                <c:pt idx="8">
                  <c:v>4.0454667905311457</c:v>
                </c:pt>
                <c:pt idx="9">
                  <c:v>2.731150994716121</c:v>
                </c:pt>
                <c:pt idx="10">
                  <c:v>1.3752146338471711</c:v>
                </c:pt>
                <c:pt idx="11">
                  <c:v>3.4489259230131462E-17</c:v>
                </c:pt>
                <c:pt idx="12">
                  <c:v>-1.3752146338471709</c:v>
                </c:pt>
                <c:pt idx="13">
                  <c:v>-2.731150994716121</c:v>
                </c:pt>
                <c:pt idx="14">
                  <c:v>-4.0454667905311457</c:v>
                </c:pt>
                <c:pt idx="15">
                  <c:v>-5.2888743491714614</c:v>
                </c:pt>
                <c:pt idx="16">
                  <c:v>-6.4193538234426146</c:v>
                </c:pt>
                <c:pt idx="17">
                  <c:v>-7.3728011230173927</c:v>
                </c:pt>
                <c:pt idx="18">
                  <c:v>-8.0128353242451471</c:v>
                </c:pt>
                <c:pt idx="19">
                  <c:v>-8.0128353242451471</c:v>
                </c:pt>
                <c:pt idx="20">
                  <c:v>-8.0128353242451471</c:v>
                </c:pt>
                <c:pt idx="21">
                  <c:v>-8.0128353242451471</c:v>
                </c:pt>
                <c:pt idx="22">
                  <c:v>-8.0128353242451471</c:v>
                </c:pt>
                <c:pt idx="23">
                  <c:v>-8.0128353242451471</c:v>
                </c:pt>
              </c:numCache>
            </c:numRef>
          </c:xVal>
          <c:yVal>
            <c:numRef>
              <c:f>'CS 1er sem datos'!$CZ$88:$CZ$111</c:f>
              <c:numCache>
                <c:formatCode>General</c:formatCode>
                <c:ptCount val="24"/>
                <c:pt idx="0">
                  <c:v>4.0981056680531269</c:v>
                </c:pt>
                <c:pt idx="1">
                  <c:v>4.0981056680531269</c:v>
                </c:pt>
                <c:pt idx="2">
                  <c:v>4.0981056680531269</c:v>
                </c:pt>
                <c:pt idx="3">
                  <c:v>4.0981056680531269</c:v>
                </c:pt>
                <c:pt idx="4">
                  <c:v>4.0981056680531269</c:v>
                </c:pt>
                <c:pt idx="5">
                  <c:v>2.7949575952418426</c:v>
                </c:pt>
                <c:pt idx="6">
                  <c:v>1.6833583727711796</c:v>
                </c:pt>
                <c:pt idx="7">
                  <c:v>0.83101995755279379</c:v>
                </c:pt>
                <c:pt idx="8">
                  <c:v>0.20261451930685959</c:v>
                </c:pt>
                <c:pt idx="9">
                  <c:v>-0.22845695384356915</c:v>
                </c:pt>
                <c:pt idx="10">
                  <c:v>-0.48022136807352639</c:v>
                </c:pt>
                <c:pt idx="11">
                  <c:v>-0.56302171531863721</c:v>
                </c:pt>
                <c:pt idx="12">
                  <c:v>-0.48022136807352689</c:v>
                </c:pt>
                <c:pt idx="13">
                  <c:v>-0.22845695384356787</c:v>
                </c:pt>
                <c:pt idx="14">
                  <c:v>0.20261451930686047</c:v>
                </c:pt>
                <c:pt idx="15">
                  <c:v>0.83101995755279434</c:v>
                </c:pt>
                <c:pt idx="16">
                  <c:v>1.6833583727711809</c:v>
                </c:pt>
                <c:pt idx="17">
                  <c:v>2.7949575952418431</c:v>
                </c:pt>
                <c:pt idx="18">
                  <c:v>4.0981056680531287</c:v>
                </c:pt>
                <c:pt idx="19">
                  <c:v>4.0981056680531287</c:v>
                </c:pt>
                <c:pt idx="20">
                  <c:v>4.0981056680531287</c:v>
                </c:pt>
                <c:pt idx="21">
                  <c:v>4.0981056680531287</c:v>
                </c:pt>
                <c:pt idx="22">
                  <c:v>4.0981056680531287</c:v>
                </c:pt>
                <c:pt idx="23">
                  <c:v>4.0981056680531287</c:v>
                </c:pt>
              </c:numCache>
            </c:numRef>
          </c:yVal>
          <c:smooth val="1"/>
        </c:ser>
        <c:ser>
          <c:idx val="156"/>
          <c:order val="40"/>
          <c:spPr>
            <a:ln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rgbClr val="4F81BD"/>
                </a:solidFill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4.14784733617443E-3"/>
                  <c:y val="-1.4302704383127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Enero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1.28436569117016E-2"/>
                  <c:y val="1.887510253771039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6am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7am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8am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9am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10am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11am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12pm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1pm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2pm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3pm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en-US"/>
                      <a:t>4pm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tx>
                <c:rich>
                  <a:bodyPr/>
                  <a:lstStyle/>
                  <a:p>
                    <a:r>
                      <a:rPr lang="en-US"/>
                      <a:t>5pm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4.9290315472185202E-2"/>
                  <c:y val="2.7169554267919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6pm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</c:extLst>
            </c:dLbl>
            <c:numFmt formatCode="@" sourceLinked="0"/>
            <c:spPr>
              <a:noFill/>
              <a:ln>
                <a:noFill/>
              </a:ln>
              <a:effectLst/>
            </c:sp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1er sem datos'!$DJ$88:$DJ$111</c:f>
              <c:numCache>
                <c:formatCode>General</c:formatCode>
                <c:ptCount val="24"/>
                <c:pt idx="0">
                  <c:v>8.0494360349177878</c:v>
                </c:pt>
                <c:pt idx="1">
                  <c:v>8.0494360349177878</c:v>
                </c:pt>
                <c:pt idx="2">
                  <c:v>8.0494360349177878</c:v>
                </c:pt>
                <c:pt idx="3">
                  <c:v>8.0494360349177878</c:v>
                </c:pt>
                <c:pt idx="4">
                  <c:v>8.0494360349177878</c:v>
                </c:pt>
                <c:pt idx="5">
                  <c:v>8.0494360349177878</c:v>
                </c:pt>
                <c:pt idx="6">
                  <c:v>7.9101816263441691</c:v>
                </c:pt>
                <c:pt idx="7">
                  <c:v>6.3418643967501813</c:v>
                </c:pt>
                <c:pt idx="8">
                  <c:v>4.763838160119902</c:v>
                </c:pt>
                <c:pt idx="9">
                  <c:v>3.1792610376260351</c:v>
                </c:pt>
                <c:pt idx="10">
                  <c:v>1.5906095938181593</c:v>
                </c:pt>
                <c:pt idx="11">
                  <c:v>3.1909994125405056E-16</c:v>
                </c:pt>
                <c:pt idx="12">
                  <c:v>-1.5906095938181599</c:v>
                </c:pt>
                <c:pt idx="13">
                  <c:v>-3.1792610376260346</c:v>
                </c:pt>
                <c:pt idx="14">
                  <c:v>-4.7638381601199011</c:v>
                </c:pt>
                <c:pt idx="15">
                  <c:v>-6.3418643967501813</c:v>
                </c:pt>
                <c:pt idx="16">
                  <c:v>-7.91018162634417</c:v>
                </c:pt>
                <c:pt idx="17">
                  <c:v>-8.049436034917786</c:v>
                </c:pt>
                <c:pt idx="18">
                  <c:v>-8.049436034917786</c:v>
                </c:pt>
                <c:pt idx="19">
                  <c:v>-8.049436034917786</c:v>
                </c:pt>
                <c:pt idx="20">
                  <c:v>-8.049436034917786</c:v>
                </c:pt>
                <c:pt idx="21">
                  <c:v>-8.049436034917786</c:v>
                </c:pt>
                <c:pt idx="22">
                  <c:v>-8.049436034917786</c:v>
                </c:pt>
                <c:pt idx="23">
                  <c:v>-8.049436034917786</c:v>
                </c:pt>
              </c:numCache>
            </c:numRef>
          </c:xVal>
          <c:yVal>
            <c:numRef>
              <c:f>'CS 1er sem datos'!$DK$88:$DK$111</c:f>
              <c:numCache>
                <c:formatCode>General</c:formatCode>
                <c:ptCount val="24"/>
                <c:pt idx="0">
                  <c:v>-4.0257396239407983</c:v>
                </c:pt>
                <c:pt idx="1">
                  <c:v>-4.0257396239407983</c:v>
                </c:pt>
                <c:pt idx="2">
                  <c:v>-4.0257396239407983</c:v>
                </c:pt>
                <c:pt idx="3">
                  <c:v>-4.0257396239407983</c:v>
                </c:pt>
                <c:pt idx="4">
                  <c:v>-4.0257396239407983</c:v>
                </c:pt>
                <c:pt idx="5">
                  <c:v>-4.0257396239407983</c:v>
                </c:pt>
                <c:pt idx="6">
                  <c:v>-4.0697958999738741</c:v>
                </c:pt>
                <c:pt idx="7">
                  <c:v>-4.4976926632318861</c:v>
                </c:pt>
                <c:pt idx="8">
                  <c:v>-4.8160129075246552</c:v>
                </c:pt>
                <c:pt idx="9">
                  <c:v>-5.036524706116456</c:v>
                </c:pt>
                <c:pt idx="10">
                  <c:v>-5.1663051434165812</c:v>
                </c:pt>
                <c:pt idx="11">
                  <c:v>-5.2091636727869233</c:v>
                </c:pt>
                <c:pt idx="12">
                  <c:v>-5.1663051434165812</c:v>
                </c:pt>
                <c:pt idx="13">
                  <c:v>-5.0365247061164569</c:v>
                </c:pt>
                <c:pt idx="14">
                  <c:v>-4.8160129075246561</c:v>
                </c:pt>
                <c:pt idx="15">
                  <c:v>-4.4976926632318852</c:v>
                </c:pt>
                <c:pt idx="16">
                  <c:v>-4.0697958999738733</c:v>
                </c:pt>
                <c:pt idx="17">
                  <c:v>-4.025739623940801</c:v>
                </c:pt>
                <c:pt idx="18">
                  <c:v>-4.025739623940801</c:v>
                </c:pt>
                <c:pt idx="19">
                  <c:v>-4.025739623940801</c:v>
                </c:pt>
                <c:pt idx="20">
                  <c:v>-4.025739623940801</c:v>
                </c:pt>
                <c:pt idx="21">
                  <c:v>-4.025739623940801</c:v>
                </c:pt>
                <c:pt idx="22">
                  <c:v>-4.025739623940801</c:v>
                </c:pt>
                <c:pt idx="23">
                  <c:v>-4.025739623940801</c:v>
                </c:pt>
              </c:numCache>
            </c:numRef>
          </c:yVal>
          <c:smooth val="1"/>
        </c:ser>
        <c:ser>
          <c:idx val="72"/>
          <c:order val="41"/>
          <c:marker>
            <c:symbol val="none"/>
          </c:marker>
          <c:dPt>
            <c:idx val="4"/>
            <c:bubble3D val="0"/>
            <c:spPr>
              <a:ln>
                <a:solidFill>
                  <a:schemeClr val="accent1"/>
                </a:solidFill>
              </a:ln>
            </c:spPr>
          </c:dPt>
          <c:xVal>
            <c:numRef>
              <c:f>'CS 1er sem datos'!$AY$172:$AY$178</c:f>
              <c:numCache>
                <c:formatCode>General</c:formatCode>
                <c:ptCount val="7"/>
                <c:pt idx="0">
                  <c:v>8.9999999158860629</c:v>
                </c:pt>
                <c:pt idx="1">
                  <c:v>8.9999999158860629</c:v>
                </c:pt>
                <c:pt idx="2">
                  <c:v>8.9999999158860629</c:v>
                </c:pt>
                <c:pt idx="3">
                  <c:v>8.7883582682606036</c:v>
                </c:pt>
                <c:pt idx="4">
                  <c:v>8.0667743759958661</c:v>
                </c:pt>
                <c:pt idx="5">
                  <c:v>7.4939503996922818</c:v>
                </c:pt>
                <c:pt idx="6">
                  <c:v>7.3728011230173927</c:v>
                </c:pt>
              </c:numCache>
            </c:numRef>
          </c:xVal>
          <c:yVal>
            <c:numRef>
              <c:f>'CS 1er sem datos'!$AZ$172:$AZ$178</c:f>
              <c:numCache>
                <c:formatCode>General</c:formatCode>
                <c:ptCount val="7"/>
                <c:pt idx="0">
                  <c:v>-1.2304677489461085E-3</c:v>
                </c:pt>
                <c:pt idx="1">
                  <c:v>-1.2304677489461085E-3</c:v>
                </c:pt>
                <c:pt idx="2">
                  <c:v>-1.2304677489461085E-3</c:v>
                </c:pt>
                <c:pt idx="3">
                  <c:v>0.53934028205281404</c:v>
                </c:pt>
                <c:pt idx="4">
                  <c:v>1.8759482527650697</c:v>
                </c:pt>
                <c:pt idx="5">
                  <c:v>2.6513500426204568</c:v>
                </c:pt>
                <c:pt idx="6">
                  <c:v>2.7949575952418422</c:v>
                </c:pt>
              </c:numCache>
            </c:numRef>
          </c:yVal>
          <c:smooth val="1"/>
        </c:ser>
        <c:ser>
          <c:idx val="151"/>
          <c:order val="42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datos'!$AO$172:$AO$178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xVal>
          <c:yVal>
            <c:numRef>
              <c:f>'CS 1er sem datos'!$AP$172:$AP$178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ser>
          <c:idx val="152"/>
          <c:order val="43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datos'!$AQ$172:$AQ$178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xVal>
          <c:yVal>
            <c:numRef>
              <c:f>'CS 1er sem datos'!$AR$172:$AR$178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ser>
          <c:idx val="153"/>
          <c:order val="44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datos'!$AS$172:$AS$178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xVal>
          <c:yVal>
            <c:numRef>
              <c:f>'CS 1er sem datos'!$AT$172:$AT$178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ser>
          <c:idx val="154"/>
          <c:order val="45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datos'!$AU$172:$AU$178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xVal>
          <c:yVal>
            <c:numRef>
              <c:f>'CS 1er sem datos'!$AV$172:$AV$178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ser>
          <c:idx val="155"/>
          <c:order val="46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datos'!$AW$172:$AW$178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xVal>
          <c:yVal>
            <c:numRef>
              <c:f>'CS 1er sem datos'!$AX$172:$AX$178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ser>
          <c:idx val="157"/>
          <c:order val="47"/>
          <c:spPr>
            <a:ln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'CS 1er sem datos'!$BA$172:$BA$178</c:f>
              <c:numCache>
                <c:formatCode>General</c:formatCode>
                <c:ptCount val="7"/>
                <c:pt idx="0">
                  <c:v>7.9101816263441691</c:v>
                </c:pt>
                <c:pt idx="1">
                  <c:v>7.9427188060969565</c:v>
                </c:pt>
                <c:pt idx="2">
                  <c:v>7.8505349227251555</c:v>
                </c:pt>
                <c:pt idx="3">
                  <c:v>7.4782579609816162</c:v>
                </c:pt>
                <c:pt idx="4">
                  <c:v>6.9482491884736275</c:v>
                </c:pt>
                <c:pt idx="5">
                  <c:v>6.5128329273581409</c:v>
                </c:pt>
                <c:pt idx="6">
                  <c:v>6.4193538234426146</c:v>
                </c:pt>
              </c:numCache>
            </c:numRef>
          </c:xVal>
          <c:yVal>
            <c:numRef>
              <c:f>'CS 1er sem datos'!$BB$172:$BB$178</c:f>
              <c:numCache>
                <c:formatCode>General</c:formatCode>
                <c:ptCount val="7"/>
                <c:pt idx="0">
                  <c:v>-4.0697958999738741</c:v>
                </c:pt>
                <c:pt idx="1">
                  <c:v>-3.3025120163095782</c:v>
                </c:pt>
                <c:pt idx="2">
                  <c:v>-2.0577961364005248</c:v>
                </c:pt>
                <c:pt idx="3">
                  <c:v>-0.49877504340216094</c:v>
                </c:pt>
                <c:pt idx="4">
                  <c:v>0.76795237286723683</c:v>
                </c:pt>
                <c:pt idx="5">
                  <c:v>1.5373408369743471</c:v>
                </c:pt>
                <c:pt idx="6">
                  <c:v>1.6833583727711794</c:v>
                </c:pt>
              </c:numCache>
            </c:numRef>
          </c:yVal>
          <c:smooth val="1"/>
        </c:ser>
        <c:ser>
          <c:idx val="158"/>
          <c:order val="48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datos'!$BC$172:$BC$178</c:f>
              <c:numCache>
                <c:formatCode>General</c:formatCode>
                <c:ptCount val="7"/>
                <c:pt idx="0">
                  <c:v>6.3418643967501813</c:v>
                </c:pt>
                <c:pt idx="1">
                  <c:v>6.3745781167226738</c:v>
                </c:pt>
                <c:pt idx="2">
                  <c:v>6.3219057421889273</c:v>
                </c:pt>
                <c:pt idx="3">
                  <c:v>6.0649626831945911</c:v>
                </c:pt>
                <c:pt idx="4">
                  <c:v>5.681673954671612</c:v>
                </c:pt>
                <c:pt idx="5">
                  <c:v>5.3589112820436533</c:v>
                </c:pt>
                <c:pt idx="6">
                  <c:v>5.2888743491714614</c:v>
                </c:pt>
              </c:numCache>
            </c:numRef>
          </c:xVal>
          <c:yVal>
            <c:numRef>
              <c:f>'CS 1er sem datos'!$BD$172:$BD$178</c:f>
              <c:numCache>
                <c:formatCode>General</c:formatCode>
                <c:ptCount val="7"/>
                <c:pt idx="0">
                  <c:v>-4.4976926632318861</c:v>
                </c:pt>
                <c:pt idx="1">
                  <c:v>-3.8190747682328166</c:v>
                </c:pt>
                <c:pt idx="2">
                  <c:v>-2.7039695211361687</c:v>
                </c:pt>
                <c:pt idx="3">
                  <c:v>-1.2721013335297824</c:v>
                </c:pt>
                <c:pt idx="4">
                  <c:v>-6.8641989673889181E-2</c:v>
                </c:pt>
                <c:pt idx="5">
                  <c:v>0.68552167573681078</c:v>
                </c:pt>
                <c:pt idx="6">
                  <c:v>0.8310199575527939</c:v>
                </c:pt>
              </c:numCache>
            </c:numRef>
          </c:yVal>
          <c:smooth val="1"/>
        </c:ser>
        <c:ser>
          <c:idx val="159"/>
          <c:order val="49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datos'!$BE$172:$BE$178</c:f>
              <c:numCache>
                <c:formatCode>General</c:formatCode>
                <c:ptCount val="7"/>
                <c:pt idx="0">
                  <c:v>4.7638381601199011</c:v>
                </c:pt>
                <c:pt idx="1">
                  <c:v>4.7914718059899393</c:v>
                </c:pt>
                <c:pt idx="2">
                  <c:v>4.7621175617680649</c:v>
                </c:pt>
                <c:pt idx="3">
                  <c:v>4.5898087062962007</c:v>
                </c:pt>
                <c:pt idx="4">
                  <c:v>4.3235372056031043</c:v>
                </c:pt>
                <c:pt idx="5">
                  <c:v>4.0953514088422205</c:v>
                </c:pt>
                <c:pt idx="6">
                  <c:v>4.0454667905311457</c:v>
                </c:pt>
              </c:numCache>
            </c:numRef>
          </c:xVal>
          <c:yVal>
            <c:numRef>
              <c:f>'CS 1er sem datos'!$BF$172:$BF$178</c:f>
              <c:numCache>
                <c:formatCode>General</c:formatCode>
                <c:ptCount val="7"/>
                <c:pt idx="0">
                  <c:v>-4.8160129075246561</c:v>
                </c:pt>
                <c:pt idx="1">
                  <c:v>-4.1978666039421961</c:v>
                </c:pt>
                <c:pt idx="2">
                  <c:v>-3.1725031675284874</c:v>
                </c:pt>
                <c:pt idx="3">
                  <c:v>-1.8324364394971169</c:v>
                </c:pt>
                <c:pt idx="4">
                  <c:v>-0.67945035312016167</c:v>
                </c:pt>
                <c:pt idx="5">
                  <c:v>5.8631501008162723E-2</c:v>
                </c:pt>
                <c:pt idx="6">
                  <c:v>0.20261451930685961</c:v>
                </c:pt>
              </c:numCache>
            </c:numRef>
          </c:yVal>
          <c:smooth val="1"/>
        </c:ser>
        <c:ser>
          <c:idx val="160"/>
          <c:order val="50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datos'!$BG$172:$BG$178</c:f>
              <c:numCache>
                <c:formatCode>General</c:formatCode>
                <c:ptCount val="7"/>
                <c:pt idx="0">
                  <c:v>3.1792610376260346</c:v>
                </c:pt>
                <c:pt idx="1">
                  <c:v>3.1989291170115344</c:v>
                </c:pt>
                <c:pt idx="2">
                  <c:v>3.1835652798692924</c:v>
                </c:pt>
                <c:pt idx="3">
                  <c:v>3.0773552908954085</c:v>
                </c:pt>
                <c:pt idx="4">
                  <c:v>2.9090953902894121</c:v>
                </c:pt>
                <c:pt idx="5">
                  <c:v>2.7632024243694069</c:v>
                </c:pt>
                <c:pt idx="6">
                  <c:v>2.731150994716121</c:v>
                </c:pt>
              </c:numCache>
            </c:numRef>
          </c:xVal>
          <c:yVal>
            <c:numRef>
              <c:f>'CS 1er sem datos'!$BH$172:$BH$178</c:f>
              <c:numCache>
                <c:formatCode>General</c:formatCode>
                <c:ptCount val="7"/>
                <c:pt idx="0">
                  <c:v>-5.0365247061164551</c:v>
                </c:pt>
                <c:pt idx="1">
                  <c:v>-4.4576700187236371</c:v>
                </c:pt>
                <c:pt idx="2">
                  <c:v>-3.4911671364102346</c:v>
                </c:pt>
                <c:pt idx="3">
                  <c:v>-2.2128940080973147</c:v>
                </c:pt>
                <c:pt idx="4">
                  <c:v>-1.0959270054663139</c:v>
                </c:pt>
                <c:pt idx="5">
                  <c:v>-0.37090968772972588</c:v>
                </c:pt>
                <c:pt idx="6">
                  <c:v>-0.22845695384356918</c:v>
                </c:pt>
              </c:numCache>
            </c:numRef>
          </c:yVal>
          <c:smooth val="1"/>
        </c:ser>
        <c:ser>
          <c:idx val="161"/>
          <c:order val="51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datos'!$BI$172:$BI$178</c:f>
              <c:numCache>
                <c:formatCode>General</c:formatCode>
                <c:ptCount val="7"/>
                <c:pt idx="0">
                  <c:v>1.5906095938181593</c:v>
                </c:pt>
                <c:pt idx="1">
                  <c:v>1.6007777970337362</c:v>
                </c:pt>
                <c:pt idx="2">
                  <c:v>1.5942481393866368</c:v>
                </c:pt>
                <c:pt idx="3">
                  <c:v>1.5435540171470266</c:v>
                </c:pt>
                <c:pt idx="4">
                  <c:v>1.462043764537692</c:v>
                </c:pt>
                <c:pt idx="5">
                  <c:v>1.390890301003268</c:v>
                </c:pt>
                <c:pt idx="6">
                  <c:v>1.3752146338471711</c:v>
                </c:pt>
              </c:numCache>
            </c:numRef>
          </c:xVal>
          <c:yVal>
            <c:numRef>
              <c:f>'CS 1er sem datos'!$BJ$172:$BJ$178</c:f>
              <c:numCache>
                <c:formatCode>General</c:formatCode>
                <c:ptCount val="7"/>
                <c:pt idx="0">
                  <c:v>-5.1663051434165812</c:v>
                </c:pt>
                <c:pt idx="1">
                  <c:v>-4.6096209042552729</c:v>
                </c:pt>
                <c:pt idx="2">
                  <c:v>-3.6765137729703996</c:v>
                </c:pt>
                <c:pt idx="3">
                  <c:v>-2.4338374353420646</c:v>
                </c:pt>
                <c:pt idx="4">
                  <c:v>-1.3383201044311768</c:v>
                </c:pt>
                <c:pt idx="5">
                  <c:v>-0.62161206557584159</c:v>
                </c:pt>
                <c:pt idx="6">
                  <c:v>-0.48022136807352639</c:v>
                </c:pt>
              </c:numCache>
            </c:numRef>
          </c:yVal>
          <c:smooth val="1"/>
        </c:ser>
        <c:ser>
          <c:idx val="162"/>
          <c:order val="52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datos'!$BK$172:$BK$178</c:f>
              <c:numCache>
                <c:formatCode>General</c:formatCode>
                <c:ptCount val="7"/>
                <c:pt idx="0">
                  <c:v>3.1909994125405056E-16</c:v>
                </c:pt>
                <c:pt idx="1">
                  <c:v>2.8543812206334089E-16</c:v>
                </c:pt>
                <c:pt idx="2">
                  <c:v>2.2894168507319601E-16</c:v>
                </c:pt>
                <c:pt idx="3">
                  <c:v>1.5353055534212649E-16</c:v>
                </c:pt>
                <c:pt idx="4">
                  <c:v>8.6857589127052893E-17</c:v>
                </c:pt>
                <c:pt idx="5">
                  <c:v>4.312752546919713E-17</c:v>
                </c:pt>
                <c:pt idx="6">
                  <c:v>3.4489259230131462E-17</c:v>
                </c:pt>
              </c:numCache>
            </c:numRef>
          </c:xVal>
          <c:yVal>
            <c:numRef>
              <c:f>'CS 1er sem datos'!$BL$172:$BL$178</c:f>
              <c:numCache>
                <c:formatCode>General</c:formatCode>
                <c:ptCount val="7"/>
                <c:pt idx="0">
                  <c:v>-5.2091636727869233</c:v>
                </c:pt>
                <c:pt idx="1">
                  <c:v>-4.6596495456484224</c:v>
                </c:pt>
                <c:pt idx="2">
                  <c:v>-3.7373705065035905</c:v>
                </c:pt>
                <c:pt idx="3">
                  <c:v>-2.5063175768944319</c:v>
                </c:pt>
                <c:pt idx="4">
                  <c:v>-1.417911254412533</c:v>
                </c:pt>
                <c:pt idx="5">
                  <c:v>-0.70403754412625652</c:v>
                </c:pt>
                <c:pt idx="6">
                  <c:v>-0.56302171531863721</c:v>
                </c:pt>
              </c:numCache>
            </c:numRef>
          </c:yVal>
          <c:smooth val="1"/>
        </c:ser>
        <c:ser>
          <c:idx val="163"/>
          <c:order val="53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datos'!$BM$172:$BM$178</c:f>
              <c:numCache>
                <c:formatCode>General</c:formatCode>
                <c:ptCount val="7"/>
                <c:pt idx="0">
                  <c:v>-1.5906095938181644</c:v>
                </c:pt>
                <c:pt idx="1">
                  <c:v>-1.6007777970337347</c:v>
                </c:pt>
                <c:pt idx="2">
                  <c:v>-1.5942481393866366</c:v>
                </c:pt>
                <c:pt idx="3">
                  <c:v>-1.5435540171470263</c:v>
                </c:pt>
                <c:pt idx="4">
                  <c:v>-1.4620437645376916</c:v>
                </c:pt>
                <c:pt idx="5">
                  <c:v>-1.390890301003268</c:v>
                </c:pt>
                <c:pt idx="6">
                  <c:v>-1.3752146338471709</c:v>
                </c:pt>
              </c:numCache>
            </c:numRef>
          </c:xVal>
          <c:yVal>
            <c:numRef>
              <c:f>'CS 1er sem datos'!$BN$172:$BN$178</c:f>
              <c:numCache>
                <c:formatCode>General</c:formatCode>
                <c:ptCount val="7"/>
                <c:pt idx="0">
                  <c:v>-5.1663051434165803</c:v>
                </c:pt>
                <c:pt idx="1">
                  <c:v>-4.6096209042552738</c:v>
                </c:pt>
                <c:pt idx="2">
                  <c:v>-3.6765137729703996</c:v>
                </c:pt>
                <c:pt idx="3">
                  <c:v>-2.4338374353420638</c:v>
                </c:pt>
                <c:pt idx="4">
                  <c:v>-1.338320104431177</c:v>
                </c:pt>
                <c:pt idx="5">
                  <c:v>-0.62161206557584281</c:v>
                </c:pt>
                <c:pt idx="6">
                  <c:v>-0.48022136807352689</c:v>
                </c:pt>
              </c:numCache>
            </c:numRef>
          </c:yVal>
          <c:smooth val="1"/>
        </c:ser>
        <c:ser>
          <c:idx val="164"/>
          <c:order val="54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datos'!$BO$172:$BO$178</c:f>
              <c:numCache>
                <c:formatCode>General</c:formatCode>
                <c:ptCount val="7"/>
                <c:pt idx="0">
                  <c:v>-3.1792610376260351</c:v>
                </c:pt>
                <c:pt idx="1">
                  <c:v>-3.1989291170115348</c:v>
                </c:pt>
                <c:pt idx="2">
                  <c:v>-3.1835652798692937</c:v>
                </c:pt>
                <c:pt idx="3">
                  <c:v>-3.0773552908954072</c:v>
                </c:pt>
                <c:pt idx="4">
                  <c:v>-2.9090953902894121</c:v>
                </c:pt>
                <c:pt idx="5">
                  <c:v>-2.7632024243694078</c:v>
                </c:pt>
                <c:pt idx="6">
                  <c:v>-2.7311509947161206</c:v>
                </c:pt>
              </c:numCache>
            </c:numRef>
          </c:xVal>
          <c:yVal>
            <c:numRef>
              <c:f>'CS 1er sem datos'!$BP$172:$BP$178</c:f>
              <c:numCache>
                <c:formatCode>General</c:formatCode>
                <c:ptCount val="7"/>
                <c:pt idx="0">
                  <c:v>-5.0365247061164578</c:v>
                </c:pt>
                <c:pt idx="1">
                  <c:v>-4.4576700187236371</c:v>
                </c:pt>
                <c:pt idx="2">
                  <c:v>-3.4911671364102332</c:v>
                </c:pt>
                <c:pt idx="3">
                  <c:v>-2.2128940080973152</c:v>
                </c:pt>
                <c:pt idx="4">
                  <c:v>-1.0959270054663137</c:v>
                </c:pt>
                <c:pt idx="5">
                  <c:v>-0.37090968772972532</c:v>
                </c:pt>
                <c:pt idx="6">
                  <c:v>-0.22845695384356782</c:v>
                </c:pt>
              </c:numCache>
            </c:numRef>
          </c:yVal>
          <c:smooth val="1"/>
        </c:ser>
        <c:ser>
          <c:idx val="165"/>
          <c:order val="55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datos'!$BQ$172:$BQ$178</c:f>
              <c:numCache>
                <c:formatCode>General</c:formatCode>
                <c:ptCount val="7"/>
                <c:pt idx="0">
                  <c:v>-4.7638381601198994</c:v>
                </c:pt>
                <c:pt idx="1">
                  <c:v>-4.7914718059899393</c:v>
                </c:pt>
                <c:pt idx="2">
                  <c:v>-4.7621175617680658</c:v>
                </c:pt>
                <c:pt idx="3">
                  <c:v>-4.5898087062962007</c:v>
                </c:pt>
                <c:pt idx="4">
                  <c:v>-4.3235372056031043</c:v>
                </c:pt>
                <c:pt idx="5">
                  <c:v>-4.0953514088422205</c:v>
                </c:pt>
                <c:pt idx="6">
                  <c:v>-4.0454667905311457</c:v>
                </c:pt>
              </c:numCache>
            </c:numRef>
          </c:xVal>
          <c:yVal>
            <c:numRef>
              <c:f>'CS 1er sem datos'!$BR$172:$BR$178</c:f>
              <c:numCache>
                <c:formatCode>General</c:formatCode>
                <c:ptCount val="7"/>
                <c:pt idx="0">
                  <c:v>-4.8160129075246578</c:v>
                </c:pt>
                <c:pt idx="1">
                  <c:v>-4.197866603942197</c:v>
                </c:pt>
                <c:pt idx="2">
                  <c:v>-3.1725031675284869</c:v>
                </c:pt>
                <c:pt idx="3">
                  <c:v>-1.8324364394971169</c:v>
                </c:pt>
                <c:pt idx="4">
                  <c:v>-0.67945035312016244</c:v>
                </c:pt>
                <c:pt idx="5">
                  <c:v>5.8631501008163472E-2</c:v>
                </c:pt>
                <c:pt idx="6">
                  <c:v>0.20261451930686047</c:v>
                </c:pt>
              </c:numCache>
            </c:numRef>
          </c:yVal>
          <c:smooth val="1"/>
        </c:ser>
        <c:ser>
          <c:idx val="166"/>
          <c:order val="56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datos'!$BS$172:$BS$178</c:f>
              <c:numCache>
                <c:formatCode>General</c:formatCode>
                <c:ptCount val="7"/>
                <c:pt idx="0">
                  <c:v>-6.3418643967501804</c:v>
                </c:pt>
                <c:pt idx="1">
                  <c:v>-6.3745781167226738</c:v>
                </c:pt>
                <c:pt idx="2">
                  <c:v>-6.3219057421889273</c:v>
                </c:pt>
                <c:pt idx="3">
                  <c:v>-6.0649626831945911</c:v>
                </c:pt>
                <c:pt idx="4">
                  <c:v>-5.681673954671612</c:v>
                </c:pt>
                <c:pt idx="5">
                  <c:v>-5.3589112820436533</c:v>
                </c:pt>
                <c:pt idx="6">
                  <c:v>-5.2888743491714614</c:v>
                </c:pt>
              </c:numCache>
            </c:numRef>
          </c:xVal>
          <c:yVal>
            <c:numRef>
              <c:f>'CS 1er sem datos'!$BT$172:$BT$178</c:f>
              <c:numCache>
                <c:formatCode>General</c:formatCode>
                <c:ptCount val="7"/>
                <c:pt idx="0">
                  <c:v>-4.4976926632318852</c:v>
                </c:pt>
                <c:pt idx="1">
                  <c:v>-3.8190747682328157</c:v>
                </c:pt>
                <c:pt idx="2">
                  <c:v>-2.7039695211361696</c:v>
                </c:pt>
                <c:pt idx="3">
                  <c:v>-1.2721013335297828</c:v>
                </c:pt>
                <c:pt idx="4">
                  <c:v>-6.8641989673888751E-2</c:v>
                </c:pt>
                <c:pt idx="5">
                  <c:v>0.68552167573681033</c:v>
                </c:pt>
                <c:pt idx="6">
                  <c:v>0.83101995755279434</c:v>
                </c:pt>
              </c:numCache>
            </c:numRef>
          </c:yVal>
          <c:smooth val="1"/>
        </c:ser>
        <c:ser>
          <c:idx val="167"/>
          <c:order val="57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datos'!$BU$172:$BU$178</c:f>
              <c:numCache>
                <c:formatCode>General</c:formatCode>
                <c:ptCount val="7"/>
                <c:pt idx="0">
                  <c:v>-7.91018162634417</c:v>
                </c:pt>
                <c:pt idx="1">
                  <c:v>-7.9427188060969556</c:v>
                </c:pt>
                <c:pt idx="2">
                  <c:v>-7.8505349227251564</c:v>
                </c:pt>
                <c:pt idx="3">
                  <c:v>-7.4782579609816162</c:v>
                </c:pt>
                <c:pt idx="4">
                  <c:v>-6.9482491884736284</c:v>
                </c:pt>
                <c:pt idx="5">
                  <c:v>-6.5128329273581409</c:v>
                </c:pt>
                <c:pt idx="6">
                  <c:v>-6.4193538234426137</c:v>
                </c:pt>
              </c:numCache>
            </c:numRef>
          </c:xVal>
          <c:yVal>
            <c:numRef>
              <c:f>'CS 1er sem datos'!$BV$172:$BV$178</c:f>
              <c:numCache>
                <c:formatCode>General</c:formatCode>
                <c:ptCount val="7"/>
                <c:pt idx="0">
                  <c:v>-4.0697958999738733</c:v>
                </c:pt>
                <c:pt idx="1">
                  <c:v>-3.3025120163095805</c:v>
                </c:pt>
                <c:pt idx="2">
                  <c:v>-2.0577961364005222</c:v>
                </c:pt>
                <c:pt idx="3">
                  <c:v>-0.49877504340215972</c:v>
                </c:pt>
                <c:pt idx="4">
                  <c:v>0.76795237286723794</c:v>
                </c:pt>
                <c:pt idx="5">
                  <c:v>1.5373408369743473</c:v>
                </c:pt>
                <c:pt idx="6">
                  <c:v>1.6833583727711807</c:v>
                </c:pt>
              </c:numCache>
            </c:numRef>
          </c:yVal>
          <c:smooth val="1"/>
        </c:ser>
        <c:ser>
          <c:idx val="168"/>
          <c:order val="58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datos'!$BW$172:$BW$178</c:f>
              <c:numCache>
                <c:formatCode>General</c:formatCode>
                <c:ptCount val="7"/>
                <c:pt idx="0">
                  <c:v>-8.9999999158860629</c:v>
                </c:pt>
                <c:pt idx="1">
                  <c:v>-8.9999999158860629</c:v>
                </c:pt>
                <c:pt idx="2">
                  <c:v>-8.9999999158860629</c:v>
                </c:pt>
                <c:pt idx="3">
                  <c:v>-8.7883582682606036</c:v>
                </c:pt>
                <c:pt idx="4">
                  <c:v>-8.0667743759958661</c:v>
                </c:pt>
                <c:pt idx="5">
                  <c:v>-7.4939503996922818</c:v>
                </c:pt>
                <c:pt idx="6">
                  <c:v>-7.3728011230173935</c:v>
                </c:pt>
              </c:numCache>
            </c:numRef>
          </c:xVal>
          <c:yVal>
            <c:numRef>
              <c:f>'CS 1er sem datos'!$BX$172:$BX$178</c:f>
              <c:numCache>
                <c:formatCode>General</c:formatCode>
                <c:ptCount val="7"/>
                <c:pt idx="0">
                  <c:v>-1.230467748946156E-3</c:v>
                </c:pt>
                <c:pt idx="1">
                  <c:v>-1.230467748946156E-3</c:v>
                </c:pt>
                <c:pt idx="2">
                  <c:v>-1.230467748946156E-3</c:v>
                </c:pt>
                <c:pt idx="3">
                  <c:v>0.53934028205281592</c:v>
                </c:pt>
                <c:pt idx="4">
                  <c:v>1.8759482527650715</c:v>
                </c:pt>
                <c:pt idx="5">
                  <c:v>2.6513500426204546</c:v>
                </c:pt>
                <c:pt idx="6">
                  <c:v>2.7949575952418435</c:v>
                </c:pt>
              </c:numCache>
            </c:numRef>
          </c:yVal>
          <c:smooth val="1"/>
        </c:ser>
        <c:ser>
          <c:idx val="169"/>
          <c:order val="59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datos'!$BY$172:$BY$178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xVal>
          <c:yVal>
            <c:numRef>
              <c:f>'CS 1er sem datos'!$BZ$172:$BZ$178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ser>
          <c:idx val="170"/>
          <c:order val="60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datos'!$CA$172:$CA$178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xVal>
          <c:yVal>
            <c:numRef>
              <c:f>'CS 1er sem datos'!$CB$172:$CB$178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ser>
          <c:idx val="171"/>
          <c:order val="61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datos'!$CC$172:$CC$178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xVal>
          <c:yVal>
            <c:numRef>
              <c:f>'CS 1er sem datos'!$CD$172:$CD$178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ser>
          <c:idx val="172"/>
          <c:order val="62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datos'!$CE$172:$CE$178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xVal>
          <c:yVal>
            <c:numRef>
              <c:f>'CS 1er sem datos'!$CF$172:$CF$178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ser>
          <c:idx val="173"/>
          <c:order val="63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datos'!$CG$172:$CG$178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xVal>
          <c:yVal>
            <c:numRef>
              <c:f>'CS 1er sem datos'!$CH$172:$CH$178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ser>
          <c:idx val="2"/>
          <c:order val="64"/>
          <c:tx>
            <c:v>Prot1ene7am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datos'!$BA$181:$BA$182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datos'!$BB$181:$BB$182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4"/>
          <c:order val="65"/>
          <c:tx>
            <c:v>Prot2ene7am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datos'!$BA$183:$BA$184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datos'!$BB$183:$BB$184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0"/>
          <c:order val="66"/>
          <c:tx>
            <c:v>Prot1ene8am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datos'!$BC$181:$BC$182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datos'!$BD$181:$BD$182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1"/>
          <c:order val="67"/>
          <c:tx>
            <c:v>Prot2ene8am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datos'!$BC$183:$BC$184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datos'!$BD$183:$BD$184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5"/>
          <c:order val="68"/>
          <c:tx>
            <c:v>Prot1ene9am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datos'!$BE$181:$BE$182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datos'!$BF$181:$BF$182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6"/>
          <c:order val="69"/>
          <c:tx>
            <c:v>Prot2ene9am</c:v>
          </c:tx>
          <c:marker>
            <c:symbol val="none"/>
          </c:marker>
          <c:dPt>
            <c:idx val="1"/>
            <c:bubble3D val="0"/>
            <c:spPr>
              <a:ln>
                <a:solidFill>
                  <a:srgbClr val="FF0000"/>
                </a:solidFill>
              </a:ln>
            </c:spPr>
          </c:dPt>
          <c:xVal>
            <c:numRef>
              <c:f>'CS 1er sem datos'!$BE$183:$BE$184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datos'!$BF$183:$BF$184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7"/>
          <c:order val="70"/>
          <c:tx>
            <c:v>Prot1ene10am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datos'!$BG$181:$BG$182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datos'!$BH$181:$BH$182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8"/>
          <c:order val="71"/>
          <c:tx>
            <c:v>Prot2ene10am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datos'!$BG$183:$BG$184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datos'!$BH$183:$BH$184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9"/>
          <c:order val="72"/>
          <c:tx>
            <c:v>Prot1ene11am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datos'!$BI$181:$BI$182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datos'!$BJ$181:$BJ$182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10"/>
          <c:order val="73"/>
          <c:tx>
            <c:v>Prot2ene11am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datos'!$BI$183:$BI$184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datos'!$BJ$183:$BJ$184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11"/>
          <c:order val="74"/>
          <c:tx>
            <c:v>Prot1ene12pm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datos'!$BK$181:$BK$182</c:f>
              <c:numCache>
                <c:formatCode>General</c:formatCode>
                <c:ptCount val="2"/>
                <c:pt idx="0">
                  <c:v>3.1909994125405056E-16</c:v>
                </c:pt>
                <c:pt idx="1">
                  <c:v>-1.6007777970337347</c:v>
                </c:pt>
              </c:numCache>
            </c:numRef>
          </c:xVal>
          <c:yVal>
            <c:numRef>
              <c:f>'CS 1er sem datos'!$BL$181:$BL$182</c:f>
              <c:numCache>
                <c:formatCode>General</c:formatCode>
                <c:ptCount val="2"/>
                <c:pt idx="0">
                  <c:v>-5.2091636727869233</c:v>
                </c:pt>
                <c:pt idx="1">
                  <c:v>-4.6096209042552738</c:v>
                </c:pt>
              </c:numCache>
            </c:numRef>
          </c:yVal>
          <c:smooth val="1"/>
        </c:ser>
        <c:ser>
          <c:idx val="12"/>
          <c:order val="75"/>
          <c:tx>
            <c:v>Prot2ene12pm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datos'!$BK$183:$BK$184</c:f>
              <c:numCache>
                <c:formatCode>General</c:formatCode>
                <c:ptCount val="2"/>
                <c:pt idx="0">
                  <c:v>2.8543812206334089E-16</c:v>
                </c:pt>
                <c:pt idx="1">
                  <c:v>-1.5906095938181644</c:v>
                </c:pt>
              </c:numCache>
            </c:numRef>
          </c:xVal>
          <c:yVal>
            <c:numRef>
              <c:f>'CS 1er sem datos'!$BL$183:$BL$184</c:f>
              <c:numCache>
                <c:formatCode>General</c:formatCode>
                <c:ptCount val="2"/>
                <c:pt idx="0">
                  <c:v>-4.6596495456484224</c:v>
                </c:pt>
                <c:pt idx="1">
                  <c:v>-5.1663051434165803</c:v>
                </c:pt>
              </c:numCache>
            </c:numRef>
          </c:yVal>
          <c:smooth val="1"/>
        </c:ser>
        <c:ser>
          <c:idx val="13"/>
          <c:order val="76"/>
          <c:tx>
            <c:v>Prot1ene1pm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datos'!$BM$181:$BM$182</c:f>
              <c:numCache>
                <c:formatCode>General</c:formatCode>
                <c:ptCount val="2"/>
                <c:pt idx="0">
                  <c:v>-1.5906095938181644</c:v>
                </c:pt>
                <c:pt idx="1">
                  <c:v>-3.1989291170115348</c:v>
                </c:pt>
              </c:numCache>
            </c:numRef>
          </c:xVal>
          <c:yVal>
            <c:numRef>
              <c:f>'CS 1er sem datos'!$BN$181:$BN$182</c:f>
              <c:numCache>
                <c:formatCode>General</c:formatCode>
                <c:ptCount val="2"/>
                <c:pt idx="0">
                  <c:v>-5.1663051434165803</c:v>
                </c:pt>
                <c:pt idx="1">
                  <c:v>-4.4576700187236371</c:v>
                </c:pt>
              </c:numCache>
            </c:numRef>
          </c:yVal>
          <c:smooth val="1"/>
        </c:ser>
        <c:ser>
          <c:idx val="14"/>
          <c:order val="77"/>
          <c:tx>
            <c:v>Prot2ene1pm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datos'!$BM$183:$BM$184</c:f>
              <c:numCache>
                <c:formatCode>General</c:formatCode>
                <c:ptCount val="2"/>
                <c:pt idx="0">
                  <c:v>-1.6007777970337347</c:v>
                </c:pt>
                <c:pt idx="1">
                  <c:v>-3.1792610376260351</c:v>
                </c:pt>
              </c:numCache>
            </c:numRef>
          </c:xVal>
          <c:yVal>
            <c:numRef>
              <c:f>'CS 1er sem datos'!$BN$183:$BN$184</c:f>
              <c:numCache>
                <c:formatCode>General</c:formatCode>
                <c:ptCount val="2"/>
                <c:pt idx="0">
                  <c:v>-4.6096209042552738</c:v>
                </c:pt>
                <c:pt idx="1">
                  <c:v>-5.0365247061164578</c:v>
                </c:pt>
              </c:numCache>
            </c:numRef>
          </c:yVal>
          <c:smooth val="1"/>
        </c:ser>
        <c:ser>
          <c:idx val="15"/>
          <c:order val="78"/>
          <c:tx>
            <c:v>Prot1ene2pm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datos'!$BO$181:$BO$182</c:f>
              <c:numCache>
                <c:formatCode>General</c:formatCode>
                <c:ptCount val="2"/>
                <c:pt idx="0">
                  <c:v>-3.1792610376260351</c:v>
                </c:pt>
                <c:pt idx="1">
                  <c:v>-4.7914718059899393</c:v>
                </c:pt>
              </c:numCache>
            </c:numRef>
          </c:xVal>
          <c:yVal>
            <c:numRef>
              <c:f>'CS 1er sem datos'!$BP$181:$BP$182</c:f>
              <c:numCache>
                <c:formatCode>General</c:formatCode>
                <c:ptCount val="2"/>
                <c:pt idx="0">
                  <c:v>-5.0365247061164578</c:v>
                </c:pt>
                <c:pt idx="1">
                  <c:v>-4.197866603942197</c:v>
                </c:pt>
              </c:numCache>
            </c:numRef>
          </c:yVal>
          <c:smooth val="1"/>
        </c:ser>
        <c:ser>
          <c:idx val="16"/>
          <c:order val="79"/>
          <c:tx>
            <c:v>Prot2ene2pm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datos'!$BO$183:$BO$184</c:f>
              <c:numCache>
                <c:formatCode>General</c:formatCode>
                <c:ptCount val="2"/>
                <c:pt idx="0">
                  <c:v>-3.1989291170115348</c:v>
                </c:pt>
                <c:pt idx="1">
                  <c:v>-4.7638381601198994</c:v>
                </c:pt>
              </c:numCache>
            </c:numRef>
          </c:xVal>
          <c:yVal>
            <c:numRef>
              <c:f>'CS 1er sem datos'!$BP$183:$BP$184</c:f>
              <c:numCache>
                <c:formatCode>General</c:formatCode>
                <c:ptCount val="2"/>
                <c:pt idx="0">
                  <c:v>-4.4576700187236371</c:v>
                </c:pt>
                <c:pt idx="1">
                  <c:v>-4.8160129075246578</c:v>
                </c:pt>
              </c:numCache>
            </c:numRef>
          </c:yVal>
          <c:smooth val="1"/>
        </c:ser>
        <c:ser>
          <c:idx val="17"/>
          <c:order val="80"/>
          <c:tx>
            <c:v>Prot1ene3pm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datos'!$BQ$181:$BQ$182</c:f>
              <c:numCache>
                <c:formatCode>General</c:formatCode>
                <c:ptCount val="2"/>
                <c:pt idx="0">
                  <c:v>-4.7638381601198994</c:v>
                </c:pt>
                <c:pt idx="1">
                  <c:v>-6.3745781167226738</c:v>
                </c:pt>
              </c:numCache>
            </c:numRef>
          </c:xVal>
          <c:yVal>
            <c:numRef>
              <c:f>'CS 1er sem datos'!$BR$181:$BR$182</c:f>
              <c:numCache>
                <c:formatCode>General</c:formatCode>
                <c:ptCount val="2"/>
                <c:pt idx="0">
                  <c:v>-4.8160129075246578</c:v>
                </c:pt>
                <c:pt idx="1">
                  <c:v>-3.8190747682328157</c:v>
                </c:pt>
              </c:numCache>
            </c:numRef>
          </c:yVal>
          <c:smooth val="1"/>
        </c:ser>
        <c:ser>
          <c:idx val="18"/>
          <c:order val="81"/>
          <c:tx>
            <c:v>Prot2ene3pm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datos'!$BQ$183:$BQ$184</c:f>
              <c:numCache>
                <c:formatCode>General</c:formatCode>
                <c:ptCount val="2"/>
                <c:pt idx="0">
                  <c:v>-4.7914718059899393</c:v>
                </c:pt>
                <c:pt idx="1">
                  <c:v>-6.3418643967501804</c:v>
                </c:pt>
              </c:numCache>
            </c:numRef>
          </c:xVal>
          <c:yVal>
            <c:numRef>
              <c:f>'CS 1er sem datos'!$BR$183:$BR$184</c:f>
              <c:numCache>
                <c:formatCode>General</c:formatCode>
                <c:ptCount val="2"/>
                <c:pt idx="0">
                  <c:v>-4.197866603942197</c:v>
                </c:pt>
                <c:pt idx="1">
                  <c:v>-4.4976926632318852</c:v>
                </c:pt>
              </c:numCache>
            </c:numRef>
          </c:yVal>
          <c:smooth val="1"/>
        </c:ser>
        <c:ser>
          <c:idx val="19"/>
          <c:order val="82"/>
          <c:tx>
            <c:v>Prot1ene4pm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datos'!$BS$181:$BS$182</c:f>
              <c:numCache>
                <c:formatCode>General</c:formatCode>
                <c:ptCount val="2"/>
                <c:pt idx="0">
                  <c:v>-6.3418643967501804</c:v>
                </c:pt>
                <c:pt idx="1">
                  <c:v>-7.9427188060969556</c:v>
                </c:pt>
              </c:numCache>
            </c:numRef>
          </c:xVal>
          <c:yVal>
            <c:numRef>
              <c:f>'CS 1er sem datos'!$BT$181:$BT$182</c:f>
              <c:numCache>
                <c:formatCode>General</c:formatCode>
                <c:ptCount val="2"/>
                <c:pt idx="0">
                  <c:v>-4.4976926632318852</c:v>
                </c:pt>
                <c:pt idx="1">
                  <c:v>-3.3025120163095805</c:v>
                </c:pt>
              </c:numCache>
            </c:numRef>
          </c:yVal>
          <c:smooth val="1"/>
        </c:ser>
        <c:ser>
          <c:idx val="20"/>
          <c:order val="83"/>
          <c:tx>
            <c:v>Prot2ene4pm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datos'!$BS$183:$BS$184</c:f>
              <c:numCache>
                <c:formatCode>General</c:formatCode>
                <c:ptCount val="2"/>
                <c:pt idx="0">
                  <c:v>-6.3745781167226738</c:v>
                </c:pt>
                <c:pt idx="1">
                  <c:v>-7.91018162634417</c:v>
                </c:pt>
              </c:numCache>
            </c:numRef>
          </c:xVal>
          <c:yVal>
            <c:numRef>
              <c:f>'CS 1er sem datos'!$BT$183:$BT$184</c:f>
              <c:numCache>
                <c:formatCode>General</c:formatCode>
                <c:ptCount val="2"/>
                <c:pt idx="0">
                  <c:v>-3.8190747682328157</c:v>
                </c:pt>
                <c:pt idx="1">
                  <c:v>-4.0697958999738733</c:v>
                </c:pt>
              </c:numCache>
            </c:numRef>
          </c:yVal>
          <c:smooth val="1"/>
        </c:ser>
        <c:ser>
          <c:idx val="21"/>
          <c:order val="84"/>
          <c:tx>
            <c:v>Prot1ene5pm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datos'!$BU$181:$BU$182</c:f>
              <c:numCache>
                <c:formatCode>General</c:formatCode>
                <c:ptCount val="2"/>
                <c:pt idx="0">
                  <c:v>-7.91018162634417</c:v>
                </c:pt>
                <c:pt idx="1">
                  <c:v>-8.4494268639521586</c:v>
                </c:pt>
              </c:numCache>
            </c:numRef>
          </c:xVal>
          <c:yVal>
            <c:numRef>
              <c:f>'CS 1er sem datos'!$BV$181:$BV$182</c:f>
              <c:numCache>
                <c:formatCode>General</c:formatCode>
                <c:ptCount val="2"/>
                <c:pt idx="0">
                  <c:v>-4.0697958999738733</c:v>
                </c:pt>
                <c:pt idx="1">
                  <c:v>-3.0995460426848935</c:v>
                </c:pt>
              </c:numCache>
            </c:numRef>
          </c:yVal>
          <c:smooth val="1"/>
        </c:ser>
        <c:ser>
          <c:idx val="22"/>
          <c:order val="85"/>
          <c:tx>
            <c:v>Prot2ene5pm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datos'!$BU$183:$BU$184</c:f>
              <c:numCache>
                <c:formatCode>General</c:formatCode>
                <c:ptCount val="2"/>
                <c:pt idx="0">
                  <c:v>-7.9427188060969556</c:v>
                </c:pt>
                <c:pt idx="1">
                  <c:v>-8.049436034917786</c:v>
                </c:pt>
              </c:numCache>
            </c:numRef>
          </c:xVal>
          <c:yVal>
            <c:numRef>
              <c:f>'CS 1er sem datos'!$BV$183:$BV$184</c:f>
              <c:numCache>
                <c:formatCode>General</c:formatCode>
                <c:ptCount val="2"/>
                <c:pt idx="0">
                  <c:v>-3.3025120163095805</c:v>
                </c:pt>
                <c:pt idx="1">
                  <c:v>-4.025739623940801</c:v>
                </c:pt>
              </c:numCache>
            </c:numRef>
          </c:yVal>
          <c:smooth val="1"/>
        </c:ser>
        <c:ser>
          <c:idx val="23"/>
          <c:order val="86"/>
          <c:tx>
            <c:v>Prot1ene6am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datos'!$AY$181:$AY$182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datos'!$AZ$181:$AZ$182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24"/>
          <c:order val="87"/>
          <c:tx>
            <c:v>Prot2ene6am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datos'!$AY$183:$AY$184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datos'!$AZ$183:$AZ$184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25"/>
          <c:order val="88"/>
          <c:tx>
            <c:v>Prot1feb6am</c:v>
          </c:tx>
          <c:marker>
            <c:symbol val="none"/>
          </c:marker>
          <c:xVal>
            <c:numRef>
              <c:f>'CS 1er sem datos'!$AY$186:$AY$187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datos'!$AZ$186:$AZ$187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26"/>
          <c:order val="89"/>
          <c:tx>
            <c:v>Prot2feb6am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datos'!$AY$188:$AY$189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datos'!$AZ$188:$AZ$189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27"/>
          <c:order val="90"/>
          <c:tx>
            <c:v>Prot1feb7am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datos'!$BA$186:$BA$187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datos'!$BB$186:$BB$187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28"/>
          <c:order val="91"/>
          <c:tx>
            <c:v>Prot2feb7am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datos'!$BA$188:$BA$189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datos'!$BB$188:$BB$189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29"/>
          <c:order val="92"/>
          <c:tx>
            <c:v>Prot1feb8am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datos'!$BC$186:$BC$187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datos'!$BD$186:$BD$187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30"/>
          <c:order val="93"/>
          <c:tx>
            <c:v>Prot2feb8am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datos'!$BC$188:$BC$189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datos'!$BD$188:$BD$189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31"/>
          <c:order val="94"/>
          <c:tx>
            <c:v>Prot1feb9am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datos'!$BE$186:$BE$187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datos'!$BF$186:$BF$187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32"/>
          <c:order val="95"/>
          <c:tx>
            <c:v>Prot2feb9am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datos'!$BE$188:$BE$189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datos'!$BF$188:$BF$189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33"/>
          <c:order val="96"/>
          <c:tx>
            <c:v>Prot1feb10am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datos'!$BG$186:$BG$187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datos'!$BH$186:$BH$187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34"/>
          <c:order val="97"/>
          <c:tx>
            <c:v>Prot2feb10am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datos'!$BG$188:$BG$189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datos'!$BH$188:$BH$189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35"/>
          <c:order val="98"/>
          <c:tx>
            <c:v>Prot1feb11am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datos'!$BI$186:$BI$187</c:f>
              <c:numCache>
                <c:formatCode>General</c:formatCode>
                <c:ptCount val="2"/>
                <c:pt idx="0">
                  <c:v>1.6007777970337362</c:v>
                </c:pt>
                <c:pt idx="1">
                  <c:v>2.2894168507319601E-16</c:v>
                </c:pt>
              </c:numCache>
            </c:numRef>
          </c:xVal>
          <c:yVal>
            <c:numRef>
              <c:f>'CS 1er sem datos'!$BJ$186:$BJ$187</c:f>
              <c:numCache>
                <c:formatCode>General</c:formatCode>
                <c:ptCount val="2"/>
                <c:pt idx="0">
                  <c:v>-4.6096209042552729</c:v>
                </c:pt>
                <c:pt idx="1">
                  <c:v>-3.7373705065035905</c:v>
                </c:pt>
              </c:numCache>
            </c:numRef>
          </c:yVal>
          <c:smooth val="1"/>
        </c:ser>
        <c:ser>
          <c:idx val="36"/>
          <c:order val="99"/>
          <c:tx>
            <c:v>Prot2feb11am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datos'!$BI$188:$BI$189</c:f>
              <c:numCache>
                <c:formatCode>General</c:formatCode>
                <c:ptCount val="2"/>
                <c:pt idx="0">
                  <c:v>1.5942481393866368</c:v>
                </c:pt>
                <c:pt idx="1">
                  <c:v>2.8543812206334089E-16</c:v>
                </c:pt>
              </c:numCache>
            </c:numRef>
          </c:xVal>
          <c:yVal>
            <c:numRef>
              <c:f>'CS 1er sem datos'!$BJ$188:$BJ$189</c:f>
              <c:numCache>
                <c:formatCode>General</c:formatCode>
                <c:ptCount val="2"/>
                <c:pt idx="0">
                  <c:v>-3.6765137729703996</c:v>
                </c:pt>
                <c:pt idx="1">
                  <c:v>-4.6596495456484224</c:v>
                </c:pt>
              </c:numCache>
            </c:numRef>
          </c:yVal>
          <c:smooth val="1"/>
        </c:ser>
        <c:ser>
          <c:idx val="37"/>
          <c:order val="100"/>
          <c:tx>
            <c:v>Prot1feb12pm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datos'!$BK$186:$BK$187</c:f>
              <c:numCache>
                <c:formatCode>General</c:formatCode>
                <c:ptCount val="2"/>
                <c:pt idx="0">
                  <c:v>2.8543812206334089E-16</c:v>
                </c:pt>
                <c:pt idx="1">
                  <c:v>-1.5942481393866366</c:v>
                </c:pt>
              </c:numCache>
            </c:numRef>
          </c:xVal>
          <c:yVal>
            <c:numRef>
              <c:f>'CS 1er sem datos'!$BL$186:$BL$187</c:f>
              <c:numCache>
                <c:formatCode>General</c:formatCode>
                <c:ptCount val="2"/>
                <c:pt idx="0">
                  <c:v>-4.6596495456484224</c:v>
                </c:pt>
                <c:pt idx="1">
                  <c:v>-3.6765137729703996</c:v>
                </c:pt>
              </c:numCache>
            </c:numRef>
          </c:yVal>
          <c:smooth val="1"/>
        </c:ser>
        <c:ser>
          <c:idx val="38"/>
          <c:order val="101"/>
          <c:tx>
            <c:v>Prot2feb12pm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datos'!$BK$188:$BK$189</c:f>
              <c:numCache>
                <c:formatCode>General</c:formatCode>
                <c:ptCount val="2"/>
                <c:pt idx="0">
                  <c:v>2.2894168507319601E-16</c:v>
                </c:pt>
                <c:pt idx="1">
                  <c:v>-1.6007777970337347</c:v>
                </c:pt>
              </c:numCache>
            </c:numRef>
          </c:xVal>
          <c:yVal>
            <c:numRef>
              <c:f>'CS 1er sem datos'!$BL$188:$BL$189</c:f>
              <c:numCache>
                <c:formatCode>General</c:formatCode>
                <c:ptCount val="2"/>
                <c:pt idx="0">
                  <c:v>-3.7373705065035905</c:v>
                </c:pt>
                <c:pt idx="1">
                  <c:v>-4.6096209042552738</c:v>
                </c:pt>
              </c:numCache>
            </c:numRef>
          </c:yVal>
          <c:smooth val="1"/>
        </c:ser>
        <c:ser>
          <c:idx val="39"/>
          <c:order val="102"/>
          <c:tx>
            <c:v>Prot1feb1pm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datos'!$BM$186:$BM$187</c:f>
              <c:numCache>
                <c:formatCode>General</c:formatCode>
                <c:ptCount val="2"/>
                <c:pt idx="0">
                  <c:v>-1.6007777970337347</c:v>
                </c:pt>
                <c:pt idx="1">
                  <c:v>-3.1835652798692937</c:v>
                </c:pt>
              </c:numCache>
            </c:numRef>
          </c:xVal>
          <c:yVal>
            <c:numRef>
              <c:f>'CS 1er sem datos'!$BN$186:$BN$187</c:f>
              <c:numCache>
                <c:formatCode>General</c:formatCode>
                <c:ptCount val="2"/>
                <c:pt idx="0">
                  <c:v>-4.6096209042552738</c:v>
                </c:pt>
                <c:pt idx="1">
                  <c:v>-3.4911671364102332</c:v>
                </c:pt>
              </c:numCache>
            </c:numRef>
          </c:yVal>
          <c:smooth val="1"/>
        </c:ser>
        <c:ser>
          <c:idx val="112"/>
          <c:order val="103"/>
          <c:tx>
            <c:v>Prot2feb1pm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datos'!$BM$188:$BM$189</c:f>
              <c:numCache>
                <c:formatCode>General</c:formatCode>
                <c:ptCount val="2"/>
                <c:pt idx="0">
                  <c:v>-1.5942481393866366</c:v>
                </c:pt>
                <c:pt idx="1">
                  <c:v>-3.1989291170115348</c:v>
                </c:pt>
              </c:numCache>
            </c:numRef>
          </c:xVal>
          <c:yVal>
            <c:numRef>
              <c:f>'CS 1er sem datos'!$BN$188:$BN$189</c:f>
              <c:numCache>
                <c:formatCode>General</c:formatCode>
                <c:ptCount val="2"/>
                <c:pt idx="0">
                  <c:v>-3.6765137729703996</c:v>
                </c:pt>
                <c:pt idx="1">
                  <c:v>-4.4576700187236371</c:v>
                </c:pt>
              </c:numCache>
            </c:numRef>
          </c:yVal>
          <c:smooth val="1"/>
        </c:ser>
        <c:ser>
          <c:idx val="113"/>
          <c:order val="104"/>
          <c:tx>
            <c:v>Prot1feb2pm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datos'!$BO$186:$BO$187</c:f>
              <c:numCache>
                <c:formatCode>General</c:formatCode>
                <c:ptCount val="2"/>
                <c:pt idx="0">
                  <c:v>-3.1989291170115348</c:v>
                </c:pt>
                <c:pt idx="1">
                  <c:v>-4.7621175617680658</c:v>
                </c:pt>
              </c:numCache>
            </c:numRef>
          </c:xVal>
          <c:yVal>
            <c:numRef>
              <c:f>'CS 1er sem datos'!$BP$186:$BP$187</c:f>
              <c:numCache>
                <c:formatCode>General</c:formatCode>
                <c:ptCount val="2"/>
                <c:pt idx="0">
                  <c:v>-4.4576700187236371</c:v>
                </c:pt>
                <c:pt idx="1">
                  <c:v>-3.1725031675284869</c:v>
                </c:pt>
              </c:numCache>
            </c:numRef>
          </c:yVal>
          <c:smooth val="1"/>
        </c:ser>
        <c:ser>
          <c:idx val="114"/>
          <c:order val="105"/>
          <c:tx>
            <c:v>Prot2feb2pm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datos'!$BO$188:$BO$189</c:f>
              <c:numCache>
                <c:formatCode>General</c:formatCode>
                <c:ptCount val="2"/>
                <c:pt idx="0">
                  <c:v>-3.1835652798692937</c:v>
                </c:pt>
                <c:pt idx="1">
                  <c:v>-4.7914718059899393</c:v>
                </c:pt>
              </c:numCache>
            </c:numRef>
          </c:xVal>
          <c:yVal>
            <c:numRef>
              <c:f>'CS 1er sem datos'!$BP$188:$BP$189</c:f>
              <c:numCache>
                <c:formatCode>General</c:formatCode>
                <c:ptCount val="2"/>
                <c:pt idx="0">
                  <c:v>-3.4911671364102332</c:v>
                </c:pt>
                <c:pt idx="1">
                  <c:v>-4.197866603942197</c:v>
                </c:pt>
              </c:numCache>
            </c:numRef>
          </c:yVal>
          <c:smooth val="1"/>
        </c:ser>
        <c:ser>
          <c:idx val="115"/>
          <c:order val="106"/>
          <c:tx>
            <c:v>Prot1feb3pm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datos'!$BQ$186:$BQ$187</c:f>
              <c:numCache>
                <c:formatCode>General</c:formatCode>
                <c:ptCount val="2"/>
                <c:pt idx="0">
                  <c:v>-4.7914718059899393</c:v>
                </c:pt>
                <c:pt idx="1">
                  <c:v>-6.3219057421889273</c:v>
                </c:pt>
              </c:numCache>
            </c:numRef>
          </c:xVal>
          <c:yVal>
            <c:numRef>
              <c:f>'CS 1er sem datos'!$BR$186:$BR$187</c:f>
              <c:numCache>
                <c:formatCode>General</c:formatCode>
                <c:ptCount val="2"/>
                <c:pt idx="0">
                  <c:v>-4.197866603942197</c:v>
                </c:pt>
                <c:pt idx="1">
                  <c:v>-2.7039695211361696</c:v>
                </c:pt>
              </c:numCache>
            </c:numRef>
          </c:yVal>
          <c:smooth val="1"/>
        </c:ser>
        <c:ser>
          <c:idx val="116"/>
          <c:order val="107"/>
          <c:tx>
            <c:v>Prot2feb3pm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datos'!$BQ$188:$BQ$189</c:f>
              <c:numCache>
                <c:formatCode>General</c:formatCode>
                <c:ptCount val="2"/>
                <c:pt idx="0">
                  <c:v>-4.7621175617680658</c:v>
                </c:pt>
                <c:pt idx="1">
                  <c:v>-6.3745781167226738</c:v>
                </c:pt>
              </c:numCache>
            </c:numRef>
          </c:xVal>
          <c:yVal>
            <c:numRef>
              <c:f>'CS 1er sem datos'!$BR$188:$BR$189</c:f>
              <c:numCache>
                <c:formatCode>General</c:formatCode>
                <c:ptCount val="2"/>
                <c:pt idx="0">
                  <c:v>-3.1725031675284869</c:v>
                </c:pt>
                <c:pt idx="1">
                  <c:v>-3.8190747682328157</c:v>
                </c:pt>
              </c:numCache>
            </c:numRef>
          </c:yVal>
          <c:smooth val="1"/>
        </c:ser>
        <c:ser>
          <c:idx val="117"/>
          <c:order val="108"/>
          <c:tx>
            <c:v>Prot1feb4pm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datos'!$BS$186:$BS$187</c:f>
              <c:numCache>
                <c:formatCode>General</c:formatCode>
                <c:ptCount val="2"/>
                <c:pt idx="0">
                  <c:v>-6.3745781167226738</c:v>
                </c:pt>
                <c:pt idx="1">
                  <c:v>-7.8505349227251564</c:v>
                </c:pt>
              </c:numCache>
            </c:numRef>
          </c:xVal>
          <c:yVal>
            <c:numRef>
              <c:f>'CS 1er sem datos'!$BT$186:$BT$187</c:f>
              <c:numCache>
                <c:formatCode>General</c:formatCode>
                <c:ptCount val="2"/>
                <c:pt idx="0">
                  <c:v>-3.8190747682328157</c:v>
                </c:pt>
                <c:pt idx="1">
                  <c:v>-2.0577961364005222</c:v>
                </c:pt>
              </c:numCache>
            </c:numRef>
          </c:yVal>
          <c:smooth val="1"/>
        </c:ser>
        <c:ser>
          <c:idx val="118"/>
          <c:order val="109"/>
          <c:tx>
            <c:v>Prot2feb4pm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datos'!$BS$188:$BS$189</c:f>
              <c:numCache>
                <c:formatCode>General</c:formatCode>
                <c:ptCount val="2"/>
                <c:pt idx="0">
                  <c:v>-6.3219057421889273</c:v>
                </c:pt>
                <c:pt idx="1">
                  <c:v>-7.9427188060969556</c:v>
                </c:pt>
              </c:numCache>
            </c:numRef>
          </c:xVal>
          <c:yVal>
            <c:numRef>
              <c:f>'CS 1er sem datos'!$BT$188:$BT$189</c:f>
              <c:numCache>
                <c:formatCode>General</c:formatCode>
                <c:ptCount val="2"/>
                <c:pt idx="0">
                  <c:v>-2.7039695211361696</c:v>
                </c:pt>
                <c:pt idx="1">
                  <c:v>-3.3025120163095805</c:v>
                </c:pt>
              </c:numCache>
            </c:numRef>
          </c:yVal>
          <c:smooth val="1"/>
        </c:ser>
        <c:ser>
          <c:idx val="119"/>
          <c:order val="110"/>
          <c:tx>
            <c:v>Prot1feb5pm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datos'!$BU$186:$BU$187</c:f>
              <c:numCache>
                <c:formatCode>General</c:formatCode>
                <c:ptCount val="2"/>
                <c:pt idx="0">
                  <c:v>-7.9427188060969556</c:v>
                </c:pt>
                <c:pt idx="1">
                  <c:v>-8.87656100451896</c:v>
                </c:pt>
              </c:numCache>
            </c:numRef>
          </c:xVal>
          <c:yVal>
            <c:numRef>
              <c:f>'CS 1er sem datos'!$BV$186:$BV$187</c:f>
              <c:numCache>
                <c:formatCode>General</c:formatCode>
                <c:ptCount val="2"/>
                <c:pt idx="0">
                  <c:v>-3.3025120163095805</c:v>
                </c:pt>
                <c:pt idx="1">
                  <c:v>-1.4854846795081202</c:v>
                </c:pt>
              </c:numCache>
            </c:numRef>
          </c:yVal>
          <c:smooth val="1"/>
        </c:ser>
        <c:ser>
          <c:idx val="120"/>
          <c:order val="111"/>
          <c:tx>
            <c:v>Prot2feb5pm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datos'!$BU$188:$BU$189</c:f>
              <c:numCache>
                <c:formatCode>General</c:formatCode>
                <c:ptCount val="2"/>
                <c:pt idx="0">
                  <c:v>-7.8505349227251564</c:v>
                </c:pt>
                <c:pt idx="1">
                  <c:v>-8.4494268639521586</c:v>
                </c:pt>
              </c:numCache>
            </c:numRef>
          </c:xVal>
          <c:yVal>
            <c:numRef>
              <c:f>'CS 1er sem datos'!$BV$188:$BV$189</c:f>
              <c:numCache>
                <c:formatCode>General</c:formatCode>
                <c:ptCount val="2"/>
                <c:pt idx="0">
                  <c:v>-2.0577961364005222</c:v>
                </c:pt>
                <c:pt idx="1">
                  <c:v>-3.0995460426848935</c:v>
                </c:pt>
              </c:numCache>
            </c:numRef>
          </c:yVal>
          <c:smooth val="1"/>
        </c:ser>
        <c:ser>
          <c:idx val="121"/>
          <c:order val="112"/>
          <c:tx>
            <c:v>Prot1mar6am</c:v>
          </c:tx>
          <c:marker>
            <c:symbol val="none"/>
          </c:marker>
          <c:xVal>
            <c:numRef>
              <c:f>'CS 1er sem datos'!$AY$191:$AY$192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datos'!$AZ$191:$AZ$192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122"/>
          <c:order val="113"/>
          <c:tx>
            <c:v>Prot2mar6am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datos'!$AY$193:$AY$194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datos'!$AZ$193:$AZ$194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123"/>
          <c:order val="114"/>
          <c:tx>
            <c:v>Prot1mar7am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datos'!$BA$191:$BA$192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datos'!$BB$191:$BB$192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124"/>
          <c:order val="115"/>
          <c:tx>
            <c:v>Prot2mar7am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datos'!$BA$193:$BA$194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datos'!$BB$193:$BB$194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125"/>
          <c:order val="116"/>
          <c:tx>
            <c:v>Prot1mar8am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datos'!$BC$191:$BC$192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datos'!$BD$191:$BD$192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126"/>
          <c:order val="117"/>
          <c:tx>
            <c:v>Prot2mar8am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datos'!$BC$193:$BC$194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datos'!$BD$193:$BD$194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127"/>
          <c:order val="118"/>
          <c:tx>
            <c:v>Prot1mar9am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datos'!$BE$191:$BE$192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datos'!$BF$191:$BF$192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128"/>
          <c:order val="119"/>
          <c:tx>
            <c:v>Prot2mar9am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datos'!$BE$193:$BE$194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datos'!$BF$193:$BF$194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129"/>
          <c:order val="120"/>
          <c:tx>
            <c:v>Prot1mar10am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datos'!$BG$191:$BG$192</c:f>
              <c:numCache>
                <c:formatCode>General</c:formatCode>
                <c:ptCount val="2"/>
                <c:pt idx="0">
                  <c:v>3.1835652798692924</c:v>
                </c:pt>
                <c:pt idx="1">
                  <c:v>1.5435540171470266</c:v>
                </c:pt>
              </c:numCache>
            </c:numRef>
          </c:xVal>
          <c:yVal>
            <c:numRef>
              <c:f>'CS 1er sem datos'!$BH$191:$BH$192</c:f>
              <c:numCache>
                <c:formatCode>General</c:formatCode>
                <c:ptCount val="2"/>
                <c:pt idx="0">
                  <c:v>-3.4911671364102346</c:v>
                </c:pt>
                <c:pt idx="1">
                  <c:v>-2.4338374353420646</c:v>
                </c:pt>
              </c:numCache>
            </c:numRef>
          </c:yVal>
          <c:smooth val="1"/>
        </c:ser>
        <c:ser>
          <c:idx val="130"/>
          <c:order val="121"/>
          <c:tx>
            <c:v>Prot2mar10am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datos'!$BG$193:$BG$194</c:f>
              <c:numCache>
                <c:formatCode>General</c:formatCode>
                <c:ptCount val="2"/>
                <c:pt idx="0">
                  <c:v>3.0773552908954085</c:v>
                </c:pt>
                <c:pt idx="1">
                  <c:v>1.5942481393866368</c:v>
                </c:pt>
              </c:numCache>
            </c:numRef>
          </c:xVal>
          <c:yVal>
            <c:numRef>
              <c:f>'CS 1er sem datos'!$BH$193:$BH$194</c:f>
              <c:numCache>
                <c:formatCode>General</c:formatCode>
                <c:ptCount val="2"/>
                <c:pt idx="0">
                  <c:v>-2.2128940080973147</c:v>
                </c:pt>
                <c:pt idx="1">
                  <c:v>-3.6765137729703996</c:v>
                </c:pt>
              </c:numCache>
            </c:numRef>
          </c:yVal>
          <c:smooth val="1"/>
        </c:ser>
        <c:ser>
          <c:idx val="131"/>
          <c:order val="122"/>
          <c:tx>
            <c:v>Prot1mar11am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datos'!$BI$191:$BI$192</c:f>
              <c:numCache>
                <c:formatCode>General</c:formatCode>
                <c:ptCount val="2"/>
                <c:pt idx="0">
                  <c:v>1.5942481393866368</c:v>
                </c:pt>
                <c:pt idx="1">
                  <c:v>1.5353055534212649E-16</c:v>
                </c:pt>
              </c:numCache>
            </c:numRef>
          </c:xVal>
          <c:yVal>
            <c:numRef>
              <c:f>'CS 1er sem datos'!$BJ$191:$BJ$192</c:f>
              <c:numCache>
                <c:formatCode>General</c:formatCode>
                <c:ptCount val="2"/>
                <c:pt idx="0">
                  <c:v>-3.6765137729703996</c:v>
                </c:pt>
                <c:pt idx="1">
                  <c:v>-2.5063175768944319</c:v>
                </c:pt>
              </c:numCache>
            </c:numRef>
          </c:yVal>
          <c:smooth val="1"/>
        </c:ser>
        <c:ser>
          <c:idx val="132"/>
          <c:order val="123"/>
          <c:tx>
            <c:v>Prot2mar11am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datos'!$BI$193:$BI$194</c:f>
              <c:numCache>
                <c:formatCode>General</c:formatCode>
                <c:ptCount val="2"/>
                <c:pt idx="0">
                  <c:v>1.5435540171470266</c:v>
                </c:pt>
                <c:pt idx="1">
                  <c:v>2.2894168507319601E-16</c:v>
                </c:pt>
              </c:numCache>
            </c:numRef>
          </c:xVal>
          <c:yVal>
            <c:numRef>
              <c:f>'CS 1er sem datos'!$BJ$193:$BJ$194</c:f>
              <c:numCache>
                <c:formatCode>General</c:formatCode>
                <c:ptCount val="2"/>
                <c:pt idx="0">
                  <c:v>-2.4338374353420646</c:v>
                </c:pt>
                <c:pt idx="1">
                  <c:v>-3.7373705065035905</c:v>
                </c:pt>
              </c:numCache>
            </c:numRef>
          </c:yVal>
          <c:smooth val="1"/>
        </c:ser>
        <c:ser>
          <c:idx val="133"/>
          <c:order val="124"/>
          <c:tx>
            <c:v>Prot1mar12pm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datos'!$BK$191:$BK$192</c:f>
              <c:numCache>
                <c:formatCode>General</c:formatCode>
                <c:ptCount val="2"/>
                <c:pt idx="0">
                  <c:v>2.2894168507319601E-16</c:v>
                </c:pt>
                <c:pt idx="1">
                  <c:v>-1.5435540171470263</c:v>
                </c:pt>
              </c:numCache>
            </c:numRef>
          </c:xVal>
          <c:yVal>
            <c:numRef>
              <c:f>'CS 1er sem datos'!$BL$191:$BL$192</c:f>
              <c:numCache>
                <c:formatCode>General</c:formatCode>
                <c:ptCount val="2"/>
                <c:pt idx="0">
                  <c:v>-3.7373705065035905</c:v>
                </c:pt>
                <c:pt idx="1">
                  <c:v>-2.4338374353420638</c:v>
                </c:pt>
              </c:numCache>
            </c:numRef>
          </c:yVal>
          <c:smooth val="1"/>
        </c:ser>
        <c:ser>
          <c:idx val="134"/>
          <c:order val="125"/>
          <c:tx>
            <c:v>Prot2mar12pm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datos'!$BK$193:$BK$194</c:f>
              <c:numCache>
                <c:formatCode>General</c:formatCode>
                <c:ptCount val="2"/>
                <c:pt idx="0">
                  <c:v>1.5353055534212649E-16</c:v>
                </c:pt>
                <c:pt idx="1">
                  <c:v>-1.5942481393866366</c:v>
                </c:pt>
              </c:numCache>
            </c:numRef>
          </c:xVal>
          <c:yVal>
            <c:numRef>
              <c:f>'CS 1er sem datos'!$BL$193:$BL$194</c:f>
              <c:numCache>
                <c:formatCode>General</c:formatCode>
                <c:ptCount val="2"/>
                <c:pt idx="0">
                  <c:v>-2.5063175768944319</c:v>
                </c:pt>
                <c:pt idx="1">
                  <c:v>-3.6765137729703996</c:v>
                </c:pt>
              </c:numCache>
            </c:numRef>
          </c:yVal>
          <c:smooth val="1"/>
        </c:ser>
        <c:ser>
          <c:idx val="135"/>
          <c:order val="126"/>
          <c:tx>
            <c:v>Prot1mar1pm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datos'!$BM$191:$BM$192</c:f>
              <c:numCache>
                <c:formatCode>General</c:formatCode>
                <c:ptCount val="2"/>
                <c:pt idx="0">
                  <c:v>-1.5942481393866366</c:v>
                </c:pt>
                <c:pt idx="1">
                  <c:v>-3.0773552908954072</c:v>
                </c:pt>
              </c:numCache>
            </c:numRef>
          </c:xVal>
          <c:yVal>
            <c:numRef>
              <c:f>'CS 1er sem datos'!$BN$191:$BN$192</c:f>
              <c:numCache>
                <c:formatCode>General</c:formatCode>
                <c:ptCount val="2"/>
                <c:pt idx="0">
                  <c:v>-3.6765137729703996</c:v>
                </c:pt>
                <c:pt idx="1">
                  <c:v>-2.2128940080973152</c:v>
                </c:pt>
              </c:numCache>
            </c:numRef>
          </c:yVal>
          <c:smooth val="1"/>
        </c:ser>
        <c:ser>
          <c:idx val="136"/>
          <c:order val="127"/>
          <c:tx>
            <c:v>Prot2mar1pm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datos'!$BM$193:$BM$194</c:f>
              <c:numCache>
                <c:formatCode>General</c:formatCode>
                <c:ptCount val="2"/>
                <c:pt idx="0">
                  <c:v>-1.5435540171470263</c:v>
                </c:pt>
                <c:pt idx="1">
                  <c:v>-3.1835652798692937</c:v>
                </c:pt>
              </c:numCache>
            </c:numRef>
          </c:xVal>
          <c:yVal>
            <c:numRef>
              <c:f>'CS 1er sem datos'!$BN$193:$BN$194</c:f>
              <c:numCache>
                <c:formatCode>General</c:formatCode>
                <c:ptCount val="2"/>
                <c:pt idx="0">
                  <c:v>-2.4338374353420638</c:v>
                </c:pt>
                <c:pt idx="1">
                  <c:v>-3.4911671364102332</c:v>
                </c:pt>
              </c:numCache>
            </c:numRef>
          </c:yVal>
          <c:smooth val="1"/>
        </c:ser>
        <c:ser>
          <c:idx val="137"/>
          <c:order val="128"/>
          <c:tx>
            <c:v>Prot1mar2pm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datos'!$BO$191:$BO$192</c:f>
              <c:numCache>
                <c:formatCode>General</c:formatCode>
                <c:ptCount val="2"/>
                <c:pt idx="0">
                  <c:v>-3.1835652798692937</c:v>
                </c:pt>
                <c:pt idx="1">
                  <c:v>-4.5898087062962007</c:v>
                </c:pt>
              </c:numCache>
            </c:numRef>
          </c:xVal>
          <c:yVal>
            <c:numRef>
              <c:f>'CS 1er sem datos'!$BP$191:$BP$192</c:f>
              <c:numCache>
                <c:formatCode>General</c:formatCode>
                <c:ptCount val="2"/>
                <c:pt idx="0">
                  <c:v>-3.4911671364102332</c:v>
                </c:pt>
                <c:pt idx="1">
                  <c:v>-1.8324364394971169</c:v>
                </c:pt>
              </c:numCache>
            </c:numRef>
          </c:yVal>
          <c:smooth val="1"/>
        </c:ser>
        <c:ser>
          <c:idx val="138"/>
          <c:order val="129"/>
          <c:tx>
            <c:v>Prot2mar2pm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datos'!$BO$193:$BO$194</c:f>
              <c:numCache>
                <c:formatCode>General</c:formatCode>
                <c:ptCount val="2"/>
                <c:pt idx="0">
                  <c:v>-3.0773552908954072</c:v>
                </c:pt>
                <c:pt idx="1">
                  <c:v>-4.7621175617680658</c:v>
                </c:pt>
              </c:numCache>
            </c:numRef>
          </c:xVal>
          <c:yVal>
            <c:numRef>
              <c:f>'CS 1er sem datos'!$BP$193:$BP$194</c:f>
              <c:numCache>
                <c:formatCode>General</c:formatCode>
                <c:ptCount val="2"/>
                <c:pt idx="0">
                  <c:v>-2.2128940080973152</c:v>
                </c:pt>
                <c:pt idx="1">
                  <c:v>-3.1725031675284869</c:v>
                </c:pt>
              </c:numCache>
            </c:numRef>
          </c:yVal>
          <c:smooth val="1"/>
        </c:ser>
        <c:ser>
          <c:idx val="139"/>
          <c:order val="130"/>
          <c:tx>
            <c:v>Prot1mar3pm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datos'!$BQ$191:$BQ$192</c:f>
              <c:numCache>
                <c:formatCode>General</c:formatCode>
                <c:ptCount val="2"/>
                <c:pt idx="0">
                  <c:v>-4.7621175617680658</c:v>
                </c:pt>
                <c:pt idx="1">
                  <c:v>-6.0649626831945911</c:v>
                </c:pt>
              </c:numCache>
            </c:numRef>
          </c:xVal>
          <c:yVal>
            <c:numRef>
              <c:f>'CS 1er sem datos'!$BR$191:$BR$192</c:f>
              <c:numCache>
                <c:formatCode>General</c:formatCode>
                <c:ptCount val="2"/>
                <c:pt idx="0">
                  <c:v>-3.1725031675284869</c:v>
                </c:pt>
                <c:pt idx="1">
                  <c:v>-1.2721013335297828</c:v>
                </c:pt>
              </c:numCache>
            </c:numRef>
          </c:yVal>
          <c:smooth val="1"/>
        </c:ser>
        <c:ser>
          <c:idx val="140"/>
          <c:order val="131"/>
          <c:tx>
            <c:v>Prot2mar3pm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datos'!$BQ$193:$BQ$194</c:f>
              <c:numCache>
                <c:formatCode>General</c:formatCode>
                <c:ptCount val="2"/>
                <c:pt idx="0">
                  <c:v>-4.5898087062962007</c:v>
                </c:pt>
                <c:pt idx="1">
                  <c:v>-6.3219057421889273</c:v>
                </c:pt>
              </c:numCache>
            </c:numRef>
          </c:xVal>
          <c:yVal>
            <c:numRef>
              <c:f>'CS 1er sem datos'!$BR$193:$BR$194</c:f>
              <c:numCache>
                <c:formatCode>General</c:formatCode>
                <c:ptCount val="2"/>
                <c:pt idx="0">
                  <c:v>-1.8324364394971169</c:v>
                </c:pt>
                <c:pt idx="1">
                  <c:v>-2.7039695211361696</c:v>
                </c:pt>
              </c:numCache>
            </c:numRef>
          </c:yVal>
          <c:smooth val="1"/>
        </c:ser>
        <c:ser>
          <c:idx val="141"/>
          <c:order val="132"/>
          <c:tx>
            <c:v>Prot1mar4pm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datos'!$BS$191:$BS$192</c:f>
              <c:numCache>
                <c:formatCode>General</c:formatCode>
                <c:ptCount val="2"/>
                <c:pt idx="0">
                  <c:v>-6.3219057421889273</c:v>
                </c:pt>
                <c:pt idx="1">
                  <c:v>-7.4782579609816162</c:v>
                </c:pt>
              </c:numCache>
            </c:numRef>
          </c:xVal>
          <c:yVal>
            <c:numRef>
              <c:f>'CS 1er sem datos'!$BT$191:$BT$192</c:f>
              <c:numCache>
                <c:formatCode>General</c:formatCode>
                <c:ptCount val="2"/>
                <c:pt idx="0">
                  <c:v>-2.7039695211361696</c:v>
                </c:pt>
                <c:pt idx="1">
                  <c:v>-0.49877504340215972</c:v>
                </c:pt>
              </c:numCache>
            </c:numRef>
          </c:yVal>
          <c:smooth val="1"/>
        </c:ser>
        <c:ser>
          <c:idx val="142"/>
          <c:order val="133"/>
          <c:tx>
            <c:v>Prot2mar4pm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datos'!$BS$193:$BS$194</c:f>
              <c:numCache>
                <c:formatCode>General</c:formatCode>
                <c:ptCount val="2"/>
                <c:pt idx="0">
                  <c:v>-6.0649626831945911</c:v>
                </c:pt>
                <c:pt idx="1">
                  <c:v>-7.8505349227251564</c:v>
                </c:pt>
              </c:numCache>
            </c:numRef>
          </c:xVal>
          <c:yVal>
            <c:numRef>
              <c:f>'CS 1er sem datos'!$BT$193:$BT$194</c:f>
              <c:numCache>
                <c:formatCode>General</c:formatCode>
                <c:ptCount val="2"/>
                <c:pt idx="0">
                  <c:v>-1.2721013335297828</c:v>
                </c:pt>
                <c:pt idx="1">
                  <c:v>-2.0577961364005222</c:v>
                </c:pt>
              </c:numCache>
            </c:numRef>
          </c:yVal>
          <c:smooth val="1"/>
        </c:ser>
        <c:ser>
          <c:idx val="143"/>
          <c:order val="134"/>
          <c:tx>
            <c:v>Prot1mar5pm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datos'!$BU$191:$BU$192</c:f>
              <c:numCache>
                <c:formatCode>General</c:formatCode>
                <c:ptCount val="2"/>
                <c:pt idx="0">
                  <c:v>-7.8505349227251564</c:v>
                </c:pt>
                <c:pt idx="1">
                  <c:v>-8.7883582682606036</c:v>
                </c:pt>
              </c:numCache>
            </c:numRef>
          </c:xVal>
          <c:yVal>
            <c:numRef>
              <c:f>'CS 1er sem datos'!$BV$191:$BV$192</c:f>
              <c:numCache>
                <c:formatCode>General</c:formatCode>
                <c:ptCount val="2"/>
                <c:pt idx="0">
                  <c:v>-2.0577961364005222</c:v>
                </c:pt>
                <c:pt idx="1">
                  <c:v>0.53934028205281592</c:v>
                </c:pt>
              </c:numCache>
            </c:numRef>
          </c:yVal>
          <c:smooth val="1"/>
        </c:ser>
        <c:ser>
          <c:idx val="144"/>
          <c:order val="135"/>
          <c:tx>
            <c:v>Prot2mar5pm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datos'!$BU$193:$BU$194</c:f>
              <c:numCache>
                <c:formatCode>General</c:formatCode>
                <c:ptCount val="2"/>
                <c:pt idx="0">
                  <c:v>-7.4782579609816162</c:v>
                </c:pt>
                <c:pt idx="1">
                  <c:v>-8.87656100451896</c:v>
                </c:pt>
              </c:numCache>
            </c:numRef>
          </c:xVal>
          <c:yVal>
            <c:numRef>
              <c:f>'CS 1er sem datos'!$BV$193:$BV$194</c:f>
              <c:numCache>
                <c:formatCode>General</c:formatCode>
                <c:ptCount val="2"/>
                <c:pt idx="0">
                  <c:v>-0.49877504340215972</c:v>
                </c:pt>
                <c:pt idx="1">
                  <c:v>-1.4854846795081202</c:v>
                </c:pt>
              </c:numCache>
            </c:numRef>
          </c:yVal>
          <c:smooth val="1"/>
        </c:ser>
        <c:ser>
          <c:idx val="174"/>
          <c:order val="136"/>
          <c:tx>
            <c:v>Prot1abr6am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datos'!$AY$196:$AY$197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datos'!$AZ$196:$AZ$197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175"/>
          <c:order val="137"/>
          <c:tx>
            <c:v>Prot2abr6am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datos'!$AY$198:$AY$199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datos'!$AZ$198:$AZ$199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176"/>
          <c:order val="138"/>
          <c:tx>
            <c:v>Prot1abr7am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datos'!$BA$196:$BA$197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datos'!$BB$196:$BB$197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177"/>
          <c:order val="139"/>
          <c:tx>
            <c:v>Prot2abr7am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datos'!$BA$198:$BA$199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datos'!$BB$198:$BB$199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178"/>
          <c:order val="140"/>
          <c:tx>
            <c:v>Prot1abr8am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datos'!$BC$196:$BC$197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datos'!$BD$196:$BD$197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179"/>
          <c:order val="141"/>
          <c:tx>
            <c:v>Prot2abr8am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datos'!$BC$198:$BC$199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datos'!$BD$198:$BD$199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180"/>
          <c:order val="142"/>
          <c:tx>
            <c:v>Prot1abr9am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datos'!$BE$196:$BE$197</c:f>
              <c:numCache>
                <c:formatCode>General</c:formatCode>
                <c:ptCount val="2"/>
                <c:pt idx="0">
                  <c:v>4.5898087062962007</c:v>
                </c:pt>
                <c:pt idx="1">
                  <c:v>2.9090953902894121</c:v>
                </c:pt>
              </c:numCache>
            </c:numRef>
          </c:xVal>
          <c:yVal>
            <c:numRef>
              <c:f>'CS 1er sem datos'!$BF$196:$BF$197</c:f>
              <c:numCache>
                <c:formatCode>General</c:formatCode>
                <c:ptCount val="2"/>
                <c:pt idx="0">
                  <c:v>-1.8324364394971169</c:v>
                </c:pt>
                <c:pt idx="1">
                  <c:v>-1.0959270054663139</c:v>
                </c:pt>
              </c:numCache>
            </c:numRef>
          </c:yVal>
          <c:smooth val="1"/>
        </c:ser>
        <c:ser>
          <c:idx val="181"/>
          <c:order val="143"/>
          <c:tx>
            <c:v>Prot2abr9am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datos'!$BE$198:$BE$199</c:f>
              <c:numCache>
                <c:formatCode>General</c:formatCode>
                <c:ptCount val="2"/>
                <c:pt idx="0">
                  <c:v>4.3235372056031043</c:v>
                </c:pt>
                <c:pt idx="1">
                  <c:v>3.0773552908954085</c:v>
                </c:pt>
              </c:numCache>
            </c:numRef>
          </c:xVal>
          <c:yVal>
            <c:numRef>
              <c:f>'CS 1er sem datos'!$BF$198:$BF$199</c:f>
              <c:numCache>
                <c:formatCode>General</c:formatCode>
                <c:ptCount val="2"/>
                <c:pt idx="0">
                  <c:v>-0.67945035312016167</c:v>
                </c:pt>
                <c:pt idx="1">
                  <c:v>-2.2128940080973147</c:v>
                </c:pt>
              </c:numCache>
            </c:numRef>
          </c:yVal>
          <c:smooth val="1"/>
        </c:ser>
        <c:ser>
          <c:idx val="182"/>
          <c:order val="144"/>
          <c:tx>
            <c:v>Prot1abr10am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datos'!$BG$196:$BG$197</c:f>
              <c:numCache>
                <c:formatCode>General</c:formatCode>
                <c:ptCount val="2"/>
                <c:pt idx="0">
                  <c:v>3.0773552908954085</c:v>
                </c:pt>
                <c:pt idx="1">
                  <c:v>1.462043764537692</c:v>
                </c:pt>
              </c:numCache>
            </c:numRef>
          </c:xVal>
          <c:yVal>
            <c:numRef>
              <c:f>'CS 1er sem datos'!$BH$196:$BH$197</c:f>
              <c:numCache>
                <c:formatCode>General</c:formatCode>
                <c:ptCount val="2"/>
                <c:pt idx="0">
                  <c:v>-2.2128940080973147</c:v>
                </c:pt>
                <c:pt idx="1">
                  <c:v>-1.3383201044311768</c:v>
                </c:pt>
              </c:numCache>
            </c:numRef>
          </c:yVal>
          <c:smooth val="1"/>
        </c:ser>
        <c:ser>
          <c:idx val="183"/>
          <c:order val="145"/>
          <c:tx>
            <c:v>Prot2abr10am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datos'!$BG$198:$BG$199</c:f>
              <c:numCache>
                <c:formatCode>General</c:formatCode>
                <c:ptCount val="2"/>
                <c:pt idx="0">
                  <c:v>2.9090953902894121</c:v>
                </c:pt>
                <c:pt idx="1">
                  <c:v>1.5435540171470266</c:v>
                </c:pt>
              </c:numCache>
            </c:numRef>
          </c:xVal>
          <c:yVal>
            <c:numRef>
              <c:f>'CS 1er sem datos'!$BH$198:$BH$199</c:f>
              <c:numCache>
                <c:formatCode>General</c:formatCode>
                <c:ptCount val="2"/>
                <c:pt idx="0">
                  <c:v>-1.0959270054663139</c:v>
                </c:pt>
                <c:pt idx="1">
                  <c:v>-2.4338374353420646</c:v>
                </c:pt>
              </c:numCache>
            </c:numRef>
          </c:yVal>
          <c:smooth val="1"/>
        </c:ser>
        <c:ser>
          <c:idx val="184"/>
          <c:order val="146"/>
          <c:tx>
            <c:v>Prot1abr11am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datos'!$BI$196:$BI$197</c:f>
              <c:numCache>
                <c:formatCode>General</c:formatCode>
                <c:ptCount val="2"/>
                <c:pt idx="0">
                  <c:v>1.5435540171470266</c:v>
                </c:pt>
                <c:pt idx="1">
                  <c:v>8.6857589127052893E-17</c:v>
                </c:pt>
              </c:numCache>
            </c:numRef>
          </c:xVal>
          <c:yVal>
            <c:numRef>
              <c:f>'CS 1er sem datos'!$BJ$196:$BJ$197</c:f>
              <c:numCache>
                <c:formatCode>General</c:formatCode>
                <c:ptCount val="2"/>
                <c:pt idx="0">
                  <c:v>-2.4338374353420646</c:v>
                </c:pt>
                <c:pt idx="1">
                  <c:v>-1.417911254412533</c:v>
                </c:pt>
              </c:numCache>
            </c:numRef>
          </c:yVal>
          <c:smooth val="1"/>
        </c:ser>
        <c:ser>
          <c:idx val="185"/>
          <c:order val="147"/>
          <c:tx>
            <c:v>Prot2abr11am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datos'!$BI$198:$BI$199</c:f>
              <c:numCache>
                <c:formatCode>General</c:formatCode>
                <c:ptCount val="2"/>
                <c:pt idx="0">
                  <c:v>1.462043764537692</c:v>
                </c:pt>
                <c:pt idx="1">
                  <c:v>1.5353055534212649E-16</c:v>
                </c:pt>
              </c:numCache>
            </c:numRef>
          </c:xVal>
          <c:yVal>
            <c:numRef>
              <c:f>'CS 1er sem datos'!$BJ$198:$BJ$199</c:f>
              <c:numCache>
                <c:formatCode>General</c:formatCode>
                <c:ptCount val="2"/>
                <c:pt idx="0">
                  <c:v>-1.3383201044311768</c:v>
                </c:pt>
                <c:pt idx="1">
                  <c:v>-2.5063175768944319</c:v>
                </c:pt>
              </c:numCache>
            </c:numRef>
          </c:yVal>
          <c:smooth val="1"/>
        </c:ser>
        <c:ser>
          <c:idx val="186"/>
          <c:order val="148"/>
          <c:tx>
            <c:v>Prot1abr12pm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datos'!$BK$196:$BK$197</c:f>
              <c:numCache>
                <c:formatCode>General</c:formatCode>
                <c:ptCount val="2"/>
                <c:pt idx="0">
                  <c:v>1.5353055534212649E-16</c:v>
                </c:pt>
                <c:pt idx="1">
                  <c:v>-1.4620437645376916</c:v>
                </c:pt>
              </c:numCache>
            </c:numRef>
          </c:xVal>
          <c:yVal>
            <c:numRef>
              <c:f>'CS 1er sem datos'!$BL$196:$BL$197</c:f>
              <c:numCache>
                <c:formatCode>General</c:formatCode>
                <c:ptCount val="2"/>
                <c:pt idx="0">
                  <c:v>-2.5063175768944319</c:v>
                </c:pt>
                <c:pt idx="1">
                  <c:v>-1.338320104431177</c:v>
                </c:pt>
              </c:numCache>
            </c:numRef>
          </c:yVal>
          <c:smooth val="1"/>
        </c:ser>
        <c:ser>
          <c:idx val="187"/>
          <c:order val="149"/>
          <c:tx>
            <c:v>Prot2abr12pm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datos'!$BK$198:$BK$199</c:f>
              <c:numCache>
                <c:formatCode>General</c:formatCode>
                <c:ptCount val="2"/>
                <c:pt idx="0">
                  <c:v>8.6857589127052893E-17</c:v>
                </c:pt>
                <c:pt idx="1">
                  <c:v>-1.5435540171470263</c:v>
                </c:pt>
              </c:numCache>
            </c:numRef>
          </c:xVal>
          <c:yVal>
            <c:numRef>
              <c:f>'CS 1er sem datos'!$BL$198:$BL$199</c:f>
              <c:numCache>
                <c:formatCode>General</c:formatCode>
                <c:ptCount val="2"/>
                <c:pt idx="0">
                  <c:v>-1.417911254412533</c:v>
                </c:pt>
                <c:pt idx="1">
                  <c:v>-2.4338374353420638</c:v>
                </c:pt>
              </c:numCache>
            </c:numRef>
          </c:yVal>
          <c:smooth val="1"/>
        </c:ser>
        <c:ser>
          <c:idx val="188"/>
          <c:order val="150"/>
          <c:tx>
            <c:v>Prot1abr1pm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datos'!$BM$196:$BM$197</c:f>
              <c:numCache>
                <c:formatCode>General</c:formatCode>
                <c:ptCount val="2"/>
                <c:pt idx="0">
                  <c:v>-1.5435540171470263</c:v>
                </c:pt>
                <c:pt idx="1">
                  <c:v>-2.9090953902894121</c:v>
                </c:pt>
              </c:numCache>
            </c:numRef>
          </c:xVal>
          <c:yVal>
            <c:numRef>
              <c:f>'CS 1er sem datos'!$BN$196:$BN$197</c:f>
              <c:numCache>
                <c:formatCode>General</c:formatCode>
                <c:ptCount val="2"/>
                <c:pt idx="0">
                  <c:v>-2.4338374353420638</c:v>
                </c:pt>
                <c:pt idx="1">
                  <c:v>-1.0959270054663137</c:v>
                </c:pt>
              </c:numCache>
            </c:numRef>
          </c:yVal>
          <c:smooth val="1"/>
        </c:ser>
        <c:ser>
          <c:idx val="189"/>
          <c:order val="151"/>
          <c:tx>
            <c:v>Prot2abr1pm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datos'!$BM$198:$BM$199</c:f>
              <c:numCache>
                <c:formatCode>General</c:formatCode>
                <c:ptCount val="2"/>
                <c:pt idx="0">
                  <c:v>-1.4620437645376916</c:v>
                </c:pt>
                <c:pt idx="1">
                  <c:v>-3.0773552908954072</c:v>
                </c:pt>
              </c:numCache>
            </c:numRef>
          </c:xVal>
          <c:yVal>
            <c:numRef>
              <c:f>'CS 1er sem datos'!$BN$198:$BN$199</c:f>
              <c:numCache>
                <c:formatCode>General</c:formatCode>
                <c:ptCount val="2"/>
                <c:pt idx="0">
                  <c:v>-1.338320104431177</c:v>
                </c:pt>
                <c:pt idx="1">
                  <c:v>-2.2128940080973152</c:v>
                </c:pt>
              </c:numCache>
            </c:numRef>
          </c:yVal>
          <c:smooth val="1"/>
        </c:ser>
        <c:ser>
          <c:idx val="190"/>
          <c:order val="152"/>
          <c:tx>
            <c:v>Prot1abr2pm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datos'!$BO$196:$BO$197</c:f>
              <c:numCache>
                <c:formatCode>General</c:formatCode>
                <c:ptCount val="2"/>
                <c:pt idx="0">
                  <c:v>-3.0773552908954072</c:v>
                </c:pt>
                <c:pt idx="1">
                  <c:v>-4.3235372056031043</c:v>
                </c:pt>
              </c:numCache>
            </c:numRef>
          </c:xVal>
          <c:yVal>
            <c:numRef>
              <c:f>'CS 1er sem datos'!$BP$196:$BP$197</c:f>
              <c:numCache>
                <c:formatCode>General</c:formatCode>
                <c:ptCount val="2"/>
                <c:pt idx="0">
                  <c:v>-2.2128940080973152</c:v>
                </c:pt>
                <c:pt idx="1">
                  <c:v>-0.67945035312016244</c:v>
                </c:pt>
              </c:numCache>
            </c:numRef>
          </c:yVal>
          <c:smooth val="1"/>
        </c:ser>
        <c:ser>
          <c:idx val="191"/>
          <c:order val="153"/>
          <c:tx>
            <c:v>Prot2abr2pm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datos'!$BO$198:$BO$199</c:f>
              <c:numCache>
                <c:formatCode>General</c:formatCode>
                <c:ptCount val="2"/>
                <c:pt idx="0">
                  <c:v>-2.9090953902894121</c:v>
                </c:pt>
                <c:pt idx="1">
                  <c:v>-4.5898087062962007</c:v>
                </c:pt>
              </c:numCache>
            </c:numRef>
          </c:xVal>
          <c:yVal>
            <c:numRef>
              <c:f>'CS 1er sem datos'!$BP$198:$BP$199</c:f>
              <c:numCache>
                <c:formatCode>General</c:formatCode>
                <c:ptCount val="2"/>
                <c:pt idx="0">
                  <c:v>-1.0959270054663137</c:v>
                </c:pt>
                <c:pt idx="1">
                  <c:v>-1.8324364394971169</c:v>
                </c:pt>
              </c:numCache>
            </c:numRef>
          </c:yVal>
          <c:smooth val="1"/>
        </c:ser>
        <c:ser>
          <c:idx val="192"/>
          <c:order val="154"/>
          <c:tx>
            <c:v>Prot1abr3pm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datos'!$BQ$196:$BQ$197</c:f>
              <c:numCache>
                <c:formatCode>General</c:formatCode>
                <c:ptCount val="2"/>
                <c:pt idx="0">
                  <c:v>-4.5898087062962007</c:v>
                </c:pt>
                <c:pt idx="1">
                  <c:v>-5.681673954671612</c:v>
                </c:pt>
              </c:numCache>
            </c:numRef>
          </c:xVal>
          <c:yVal>
            <c:numRef>
              <c:f>'CS 1er sem datos'!$BR$196:$BR$197</c:f>
              <c:numCache>
                <c:formatCode>General</c:formatCode>
                <c:ptCount val="2"/>
                <c:pt idx="0">
                  <c:v>-1.8324364394971169</c:v>
                </c:pt>
                <c:pt idx="1">
                  <c:v>-6.8641989673888751E-2</c:v>
                </c:pt>
              </c:numCache>
            </c:numRef>
          </c:yVal>
          <c:smooth val="1"/>
        </c:ser>
        <c:ser>
          <c:idx val="193"/>
          <c:order val="155"/>
          <c:tx>
            <c:v>Prot2abr3pm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datos'!$BQ$198:$BQ$199</c:f>
              <c:numCache>
                <c:formatCode>General</c:formatCode>
                <c:ptCount val="2"/>
                <c:pt idx="0">
                  <c:v>-4.3235372056031043</c:v>
                </c:pt>
                <c:pt idx="1">
                  <c:v>-6.0649626831945911</c:v>
                </c:pt>
              </c:numCache>
            </c:numRef>
          </c:xVal>
          <c:yVal>
            <c:numRef>
              <c:f>'CS 1er sem datos'!$BR$198:$BR$199</c:f>
              <c:numCache>
                <c:formatCode>General</c:formatCode>
                <c:ptCount val="2"/>
                <c:pt idx="0">
                  <c:v>-0.67945035312016244</c:v>
                </c:pt>
                <c:pt idx="1">
                  <c:v>-1.2721013335297828</c:v>
                </c:pt>
              </c:numCache>
            </c:numRef>
          </c:yVal>
          <c:smooth val="1"/>
        </c:ser>
        <c:ser>
          <c:idx val="194"/>
          <c:order val="156"/>
          <c:tx>
            <c:v>Prot1abr4pm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datos'!$BS$196:$BS$197</c:f>
              <c:numCache>
                <c:formatCode>General</c:formatCode>
                <c:ptCount val="2"/>
                <c:pt idx="0">
                  <c:v>-6.0649626831945911</c:v>
                </c:pt>
                <c:pt idx="1">
                  <c:v>-6.9482491884736284</c:v>
                </c:pt>
              </c:numCache>
            </c:numRef>
          </c:xVal>
          <c:yVal>
            <c:numRef>
              <c:f>'CS 1er sem datos'!$BT$196:$BT$197</c:f>
              <c:numCache>
                <c:formatCode>General</c:formatCode>
                <c:ptCount val="2"/>
                <c:pt idx="0">
                  <c:v>-1.2721013335297828</c:v>
                </c:pt>
                <c:pt idx="1">
                  <c:v>0.76795237286723794</c:v>
                </c:pt>
              </c:numCache>
            </c:numRef>
          </c:yVal>
          <c:smooth val="1"/>
        </c:ser>
        <c:ser>
          <c:idx val="195"/>
          <c:order val="157"/>
          <c:tx>
            <c:v>Prot2abr4pm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datos'!$BS$198:$BS$199</c:f>
              <c:numCache>
                <c:formatCode>General</c:formatCode>
                <c:ptCount val="2"/>
                <c:pt idx="0">
                  <c:v>-5.681673954671612</c:v>
                </c:pt>
                <c:pt idx="1">
                  <c:v>-7.4782579609816162</c:v>
                </c:pt>
              </c:numCache>
            </c:numRef>
          </c:xVal>
          <c:yVal>
            <c:numRef>
              <c:f>'CS 1er sem datos'!$BT$198:$BT$199</c:f>
              <c:numCache>
                <c:formatCode>General</c:formatCode>
                <c:ptCount val="2"/>
                <c:pt idx="0">
                  <c:v>-6.8641989673888751E-2</c:v>
                </c:pt>
                <c:pt idx="1">
                  <c:v>-0.49877504340215972</c:v>
                </c:pt>
              </c:numCache>
            </c:numRef>
          </c:yVal>
          <c:smooth val="1"/>
        </c:ser>
        <c:ser>
          <c:idx val="196"/>
          <c:order val="158"/>
          <c:tx>
            <c:v>Prot1abr5pm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datos'!$BU$196:$BU$197</c:f>
              <c:numCache>
                <c:formatCode>General</c:formatCode>
                <c:ptCount val="2"/>
                <c:pt idx="0">
                  <c:v>-7.4782579609816162</c:v>
                </c:pt>
                <c:pt idx="1">
                  <c:v>-8.0667743759958661</c:v>
                </c:pt>
              </c:numCache>
            </c:numRef>
          </c:xVal>
          <c:yVal>
            <c:numRef>
              <c:f>'CS 1er sem datos'!$BV$196:$BV$197</c:f>
              <c:numCache>
                <c:formatCode>General</c:formatCode>
                <c:ptCount val="2"/>
                <c:pt idx="0">
                  <c:v>-0.49877504340215972</c:v>
                </c:pt>
                <c:pt idx="1">
                  <c:v>1.8759482527650715</c:v>
                </c:pt>
              </c:numCache>
            </c:numRef>
          </c:yVal>
          <c:smooth val="1"/>
        </c:ser>
        <c:ser>
          <c:idx val="197"/>
          <c:order val="159"/>
          <c:tx>
            <c:v>Prot2abr5pm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datos'!$BU$198:$BU$199</c:f>
              <c:numCache>
                <c:formatCode>General</c:formatCode>
                <c:ptCount val="2"/>
                <c:pt idx="0">
                  <c:v>-6.9482491884736284</c:v>
                </c:pt>
                <c:pt idx="1">
                  <c:v>-8.7883582682606036</c:v>
                </c:pt>
              </c:numCache>
            </c:numRef>
          </c:xVal>
          <c:yVal>
            <c:numRef>
              <c:f>'CS 1er sem datos'!$BV$198:$BV$199</c:f>
              <c:numCache>
                <c:formatCode>General</c:formatCode>
                <c:ptCount val="2"/>
                <c:pt idx="0">
                  <c:v>0.76795237286723794</c:v>
                </c:pt>
                <c:pt idx="1">
                  <c:v>0.53934028205281592</c:v>
                </c:pt>
              </c:numCache>
            </c:numRef>
          </c:yVal>
          <c:smooth val="1"/>
        </c:ser>
        <c:ser>
          <c:idx val="198"/>
          <c:order val="160"/>
          <c:tx>
            <c:v>Prot1may6am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datos'!$AY$201:$AY$202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datos'!$AZ$201:$AZ$202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199"/>
          <c:order val="161"/>
          <c:tx>
            <c:v>Prot2may6am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datos'!$AY$203:$AY$204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datos'!$AZ$203:$AZ$204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200"/>
          <c:order val="162"/>
          <c:tx>
            <c:v>Prot1may7am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datos'!$BA$201:$BA$202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datos'!$BB$201:$BB$202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201"/>
          <c:order val="163"/>
          <c:tx>
            <c:v>Prot2may7am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datos'!$BA$203:$BA$204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datos'!$BB$203:$BB$204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202"/>
          <c:order val="164"/>
          <c:tx>
            <c:v>Prot1may8am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datos'!$BC$201:$BC$202</c:f>
              <c:numCache>
                <c:formatCode>General</c:formatCode>
                <c:ptCount val="2"/>
                <c:pt idx="0">
                  <c:v>5.681673954671612</c:v>
                </c:pt>
                <c:pt idx="1">
                  <c:v>4.0953514088422205</c:v>
                </c:pt>
              </c:numCache>
            </c:numRef>
          </c:xVal>
          <c:yVal>
            <c:numRef>
              <c:f>'CS 1er sem datos'!$BD$201:$BD$202</c:f>
              <c:numCache>
                <c:formatCode>General</c:formatCode>
                <c:ptCount val="2"/>
                <c:pt idx="0">
                  <c:v>-6.8641989673889181E-2</c:v>
                </c:pt>
                <c:pt idx="1">
                  <c:v>5.8631501008162723E-2</c:v>
                </c:pt>
              </c:numCache>
            </c:numRef>
          </c:yVal>
          <c:smooth val="1"/>
        </c:ser>
        <c:ser>
          <c:idx val="203"/>
          <c:order val="165"/>
          <c:tx>
            <c:v>Prot2may8am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datos'!$BC$203:$BC$204</c:f>
              <c:numCache>
                <c:formatCode>General</c:formatCode>
                <c:ptCount val="2"/>
                <c:pt idx="0">
                  <c:v>5.3589112820436533</c:v>
                </c:pt>
                <c:pt idx="1">
                  <c:v>4.3235372056031043</c:v>
                </c:pt>
              </c:numCache>
            </c:numRef>
          </c:xVal>
          <c:yVal>
            <c:numRef>
              <c:f>'CS 1er sem datos'!$BD$203:$BD$204</c:f>
              <c:numCache>
                <c:formatCode>General</c:formatCode>
                <c:ptCount val="2"/>
                <c:pt idx="0">
                  <c:v>0.68552167573681078</c:v>
                </c:pt>
                <c:pt idx="1">
                  <c:v>-0.67945035312016167</c:v>
                </c:pt>
              </c:numCache>
            </c:numRef>
          </c:yVal>
          <c:smooth val="1"/>
        </c:ser>
        <c:ser>
          <c:idx val="204"/>
          <c:order val="166"/>
          <c:tx>
            <c:v>Prot1may9am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datos'!$BE$201:$BE$202</c:f>
              <c:numCache>
                <c:formatCode>General</c:formatCode>
                <c:ptCount val="2"/>
                <c:pt idx="0">
                  <c:v>4.3235372056031043</c:v>
                </c:pt>
                <c:pt idx="1">
                  <c:v>2.7632024243694069</c:v>
                </c:pt>
              </c:numCache>
            </c:numRef>
          </c:xVal>
          <c:yVal>
            <c:numRef>
              <c:f>'CS 1er sem datos'!$BF$201:$BF$202</c:f>
              <c:numCache>
                <c:formatCode>General</c:formatCode>
                <c:ptCount val="2"/>
                <c:pt idx="0">
                  <c:v>-0.67945035312016167</c:v>
                </c:pt>
                <c:pt idx="1">
                  <c:v>-0.37090968772972588</c:v>
                </c:pt>
              </c:numCache>
            </c:numRef>
          </c:yVal>
          <c:smooth val="1"/>
        </c:ser>
        <c:ser>
          <c:idx val="205"/>
          <c:order val="167"/>
          <c:tx>
            <c:v>Prot2may9am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datos'!$BE$203:$BE$204</c:f>
              <c:numCache>
                <c:formatCode>General</c:formatCode>
                <c:ptCount val="2"/>
                <c:pt idx="0">
                  <c:v>4.0953514088422205</c:v>
                </c:pt>
                <c:pt idx="1">
                  <c:v>2.9090953902894121</c:v>
                </c:pt>
              </c:numCache>
            </c:numRef>
          </c:xVal>
          <c:yVal>
            <c:numRef>
              <c:f>'CS 1er sem datos'!$BF$203:$BF$204</c:f>
              <c:numCache>
                <c:formatCode>General</c:formatCode>
                <c:ptCount val="2"/>
                <c:pt idx="0">
                  <c:v>5.8631501008162723E-2</c:v>
                </c:pt>
                <c:pt idx="1">
                  <c:v>-1.0959270054663139</c:v>
                </c:pt>
              </c:numCache>
            </c:numRef>
          </c:yVal>
          <c:smooth val="1"/>
        </c:ser>
        <c:ser>
          <c:idx val="206"/>
          <c:order val="168"/>
          <c:tx>
            <c:v>Prot1may10am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datos'!$BG$201:$BG$202</c:f>
              <c:numCache>
                <c:formatCode>General</c:formatCode>
                <c:ptCount val="2"/>
                <c:pt idx="0">
                  <c:v>2.9090953902894121</c:v>
                </c:pt>
                <c:pt idx="1">
                  <c:v>1.390890301003268</c:v>
                </c:pt>
              </c:numCache>
            </c:numRef>
          </c:xVal>
          <c:yVal>
            <c:numRef>
              <c:f>'CS 1er sem datos'!$BH$201:$BH$202</c:f>
              <c:numCache>
                <c:formatCode>General</c:formatCode>
                <c:ptCount val="2"/>
                <c:pt idx="0">
                  <c:v>-1.0959270054663139</c:v>
                </c:pt>
                <c:pt idx="1">
                  <c:v>-0.62161206557584159</c:v>
                </c:pt>
              </c:numCache>
            </c:numRef>
          </c:yVal>
          <c:smooth val="1"/>
        </c:ser>
        <c:ser>
          <c:idx val="207"/>
          <c:order val="169"/>
          <c:tx>
            <c:v>Prot2may10am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datos'!$BG$203:$BG$204</c:f>
              <c:numCache>
                <c:formatCode>General</c:formatCode>
                <c:ptCount val="2"/>
                <c:pt idx="0">
                  <c:v>2.7632024243694069</c:v>
                </c:pt>
                <c:pt idx="1">
                  <c:v>1.462043764537692</c:v>
                </c:pt>
              </c:numCache>
            </c:numRef>
          </c:xVal>
          <c:yVal>
            <c:numRef>
              <c:f>'CS 1er sem datos'!$BH$203:$BH$204</c:f>
              <c:numCache>
                <c:formatCode>General</c:formatCode>
                <c:ptCount val="2"/>
                <c:pt idx="0">
                  <c:v>-0.37090968772972588</c:v>
                </c:pt>
                <c:pt idx="1">
                  <c:v>-1.3383201044311768</c:v>
                </c:pt>
              </c:numCache>
            </c:numRef>
          </c:yVal>
          <c:smooth val="1"/>
        </c:ser>
        <c:ser>
          <c:idx val="208"/>
          <c:order val="170"/>
          <c:tx>
            <c:v>Prot1may11am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datos'!$BI$201:$BI$202</c:f>
              <c:numCache>
                <c:formatCode>General</c:formatCode>
                <c:ptCount val="2"/>
                <c:pt idx="0">
                  <c:v>1.462043764537692</c:v>
                </c:pt>
                <c:pt idx="1">
                  <c:v>4.312752546919713E-17</c:v>
                </c:pt>
              </c:numCache>
            </c:numRef>
          </c:xVal>
          <c:yVal>
            <c:numRef>
              <c:f>'CS 1er sem datos'!$BJ$201:$BJ$202</c:f>
              <c:numCache>
                <c:formatCode>General</c:formatCode>
                <c:ptCount val="2"/>
                <c:pt idx="0">
                  <c:v>-1.3383201044311768</c:v>
                </c:pt>
                <c:pt idx="1">
                  <c:v>-0.70403754412625652</c:v>
                </c:pt>
              </c:numCache>
            </c:numRef>
          </c:yVal>
          <c:smooth val="1"/>
        </c:ser>
        <c:ser>
          <c:idx val="209"/>
          <c:order val="171"/>
          <c:tx>
            <c:v>Prot2may11am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datos'!$BI$203:$BI$204</c:f>
              <c:numCache>
                <c:formatCode>General</c:formatCode>
                <c:ptCount val="2"/>
                <c:pt idx="0">
                  <c:v>1.390890301003268</c:v>
                </c:pt>
                <c:pt idx="1">
                  <c:v>8.6857589127052893E-17</c:v>
                </c:pt>
              </c:numCache>
            </c:numRef>
          </c:xVal>
          <c:yVal>
            <c:numRef>
              <c:f>'CS 1er sem datos'!$BJ$203:$BJ$204</c:f>
              <c:numCache>
                <c:formatCode>General</c:formatCode>
                <c:ptCount val="2"/>
                <c:pt idx="0">
                  <c:v>-0.62161206557584159</c:v>
                </c:pt>
                <c:pt idx="1">
                  <c:v>-1.417911254412533</c:v>
                </c:pt>
              </c:numCache>
            </c:numRef>
          </c:yVal>
          <c:smooth val="1"/>
        </c:ser>
        <c:ser>
          <c:idx val="210"/>
          <c:order val="172"/>
          <c:tx>
            <c:v>Prot1may12pm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datos'!$BK$201:$BK$202</c:f>
              <c:numCache>
                <c:formatCode>General</c:formatCode>
                <c:ptCount val="2"/>
                <c:pt idx="0">
                  <c:v>8.6857589127052893E-17</c:v>
                </c:pt>
                <c:pt idx="1">
                  <c:v>-1.390890301003268</c:v>
                </c:pt>
              </c:numCache>
            </c:numRef>
          </c:xVal>
          <c:yVal>
            <c:numRef>
              <c:f>'CS 1er sem datos'!$BL$201:$BL$202</c:f>
              <c:numCache>
                <c:formatCode>General</c:formatCode>
                <c:ptCount val="2"/>
                <c:pt idx="0">
                  <c:v>-1.417911254412533</c:v>
                </c:pt>
                <c:pt idx="1">
                  <c:v>-0.62161206557584281</c:v>
                </c:pt>
              </c:numCache>
            </c:numRef>
          </c:yVal>
          <c:smooth val="1"/>
        </c:ser>
        <c:ser>
          <c:idx val="211"/>
          <c:order val="173"/>
          <c:tx>
            <c:v>Prot2may12pm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datos'!$BK$203:$BK$204</c:f>
              <c:numCache>
                <c:formatCode>General</c:formatCode>
                <c:ptCount val="2"/>
                <c:pt idx="0">
                  <c:v>4.312752546919713E-17</c:v>
                </c:pt>
                <c:pt idx="1">
                  <c:v>-1.4620437645376916</c:v>
                </c:pt>
              </c:numCache>
            </c:numRef>
          </c:xVal>
          <c:yVal>
            <c:numRef>
              <c:f>'CS 1er sem datos'!$BL$203:$BL$204</c:f>
              <c:numCache>
                <c:formatCode>General</c:formatCode>
                <c:ptCount val="2"/>
                <c:pt idx="0">
                  <c:v>-0.70403754412625652</c:v>
                </c:pt>
                <c:pt idx="1">
                  <c:v>-1.338320104431177</c:v>
                </c:pt>
              </c:numCache>
            </c:numRef>
          </c:yVal>
          <c:smooth val="1"/>
        </c:ser>
        <c:ser>
          <c:idx val="212"/>
          <c:order val="174"/>
          <c:tx>
            <c:v>Prot1may1pm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datos'!$BM$201:$BM$202</c:f>
              <c:numCache>
                <c:formatCode>General</c:formatCode>
                <c:ptCount val="2"/>
                <c:pt idx="0">
                  <c:v>-1.4620437645376916</c:v>
                </c:pt>
                <c:pt idx="1">
                  <c:v>-2.7632024243694078</c:v>
                </c:pt>
              </c:numCache>
            </c:numRef>
          </c:xVal>
          <c:yVal>
            <c:numRef>
              <c:f>'CS 1er sem datos'!$BN$201:$BN$202</c:f>
              <c:numCache>
                <c:formatCode>General</c:formatCode>
                <c:ptCount val="2"/>
                <c:pt idx="0">
                  <c:v>-1.338320104431177</c:v>
                </c:pt>
                <c:pt idx="1">
                  <c:v>-0.37090968772972532</c:v>
                </c:pt>
              </c:numCache>
            </c:numRef>
          </c:yVal>
          <c:smooth val="1"/>
        </c:ser>
        <c:ser>
          <c:idx val="213"/>
          <c:order val="175"/>
          <c:tx>
            <c:v>Prot2may1pm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datos'!$BM$203:$BM$204</c:f>
              <c:numCache>
                <c:formatCode>General</c:formatCode>
                <c:ptCount val="2"/>
                <c:pt idx="0">
                  <c:v>-1.390890301003268</c:v>
                </c:pt>
                <c:pt idx="1">
                  <c:v>-2.9090953902894121</c:v>
                </c:pt>
              </c:numCache>
            </c:numRef>
          </c:xVal>
          <c:yVal>
            <c:numRef>
              <c:f>'CS 1er sem datos'!$BN$203:$BN$204</c:f>
              <c:numCache>
                <c:formatCode>General</c:formatCode>
                <c:ptCount val="2"/>
                <c:pt idx="0">
                  <c:v>-0.62161206557584281</c:v>
                </c:pt>
                <c:pt idx="1">
                  <c:v>-1.0959270054663137</c:v>
                </c:pt>
              </c:numCache>
            </c:numRef>
          </c:yVal>
          <c:smooth val="1"/>
        </c:ser>
        <c:ser>
          <c:idx val="214"/>
          <c:order val="176"/>
          <c:tx>
            <c:v>Prot1may2pm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datos'!$BO$201:$BO$202</c:f>
              <c:numCache>
                <c:formatCode>General</c:formatCode>
                <c:ptCount val="2"/>
                <c:pt idx="0">
                  <c:v>-2.9090953902894121</c:v>
                </c:pt>
                <c:pt idx="1">
                  <c:v>-4.0953514088422205</c:v>
                </c:pt>
              </c:numCache>
            </c:numRef>
          </c:xVal>
          <c:yVal>
            <c:numRef>
              <c:f>'CS 1er sem datos'!$BP$201:$BP$202</c:f>
              <c:numCache>
                <c:formatCode>General</c:formatCode>
                <c:ptCount val="2"/>
                <c:pt idx="0">
                  <c:v>-1.0959270054663137</c:v>
                </c:pt>
                <c:pt idx="1">
                  <c:v>5.8631501008163472E-2</c:v>
                </c:pt>
              </c:numCache>
            </c:numRef>
          </c:yVal>
          <c:smooth val="1"/>
        </c:ser>
        <c:ser>
          <c:idx val="215"/>
          <c:order val="177"/>
          <c:tx>
            <c:v>Prot2may2pm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datos'!$BO$203:$BO$204</c:f>
              <c:numCache>
                <c:formatCode>General</c:formatCode>
                <c:ptCount val="2"/>
                <c:pt idx="0">
                  <c:v>-2.7632024243694078</c:v>
                </c:pt>
                <c:pt idx="1">
                  <c:v>-4.3235372056031043</c:v>
                </c:pt>
              </c:numCache>
            </c:numRef>
          </c:xVal>
          <c:yVal>
            <c:numRef>
              <c:f>'CS 1er sem datos'!$BP$203:$BP$204</c:f>
              <c:numCache>
                <c:formatCode>General</c:formatCode>
                <c:ptCount val="2"/>
                <c:pt idx="0">
                  <c:v>-0.37090968772972532</c:v>
                </c:pt>
                <c:pt idx="1">
                  <c:v>-0.67945035312016244</c:v>
                </c:pt>
              </c:numCache>
            </c:numRef>
          </c:yVal>
          <c:smooth val="1"/>
        </c:ser>
        <c:ser>
          <c:idx val="216"/>
          <c:order val="178"/>
          <c:tx>
            <c:v>Prot1may3pm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datos'!$BQ$201:$BQ$202</c:f>
              <c:numCache>
                <c:formatCode>General</c:formatCode>
                <c:ptCount val="2"/>
                <c:pt idx="0">
                  <c:v>-4.3235372056031043</c:v>
                </c:pt>
                <c:pt idx="1">
                  <c:v>-5.3589112820436533</c:v>
                </c:pt>
              </c:numCache>
            </c:numRef>
          </c:xVal>
          <c:yVal>
            <c:numRef>
              <c:f>'CS 1er sem datos'!$BR$201:$BR$202</c:f>
              <c:numCache>
                <c:formatCode>General</c:formatCode>
                <c:ptCount val="2"/>
                <c:pt idx="0">
                  <c:v>-0.67945035312016244</c:v>
                </c:pt>
                <c:pt idx="1">
                  <c:v>0.68552167573681033</c:v>
                </c:pt>
              </c:numCache>
            </c:numRef>
          </c:yVal>
          <c:smooth val="1"/>
        </c:ser>
        <c:ser>
          <c:idx val="217"/>
          <c:order val="179"/>
          <c:tx>
            <c:v>Prot2may3pm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datos'!$BQ$203:$BQ$204</c:f>
              <c:numCache>
                <c:formatCode>General</c:formatCode>
                <c:ptCount val="2"/>
                <c:pt idx="0">
                  <c:v>-4.0953514088422205</c:v>
                </c:pt>
                <c:pt idx="1">
                  <c:v>-5.681673954671612</c:v>
                </c:pt>
              </c:numCache>
            </c:numRef>
          </c:xVal>
          <c:yVal>
            <c:numRef>
              <c:f>'CS 1er sem datos'!$BR$203:$BR$204</c:f>
              <c:numCache>
                <c:formatCode>General</c:formatCode>
                <c:ptCount val="2"/>
                <c:pt idx="0">
                  <c:v>5.8631501008163472E-2</c:v>
                </c:pt>
                <c:pt idx="1">
                  <c:v>-6.8641989673888751E-2</c:v>
                </c:pt>
              </c:numCache>
            </c:numRef>
          </c:yVal>
          <c:smooth val="1"/>
        </c:ser>
        <c:ser>
          <c:idx val="218"/>
          <c:order val="180"/>
          <c:tx>
            <c:v>Prot1may4pm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datos'!$BS$201:$BS$202</c:f>
              <c:numCache>
                <c:formatCode>General</c:formatCode>
                <c:ptCount val="2"/>
                <c:pt idx="0">
                  <c:v>-5.681673954671612</c:v>
                </c:pt>
                <c:pt idx="1">
                  <c:v>-6.5128329273581409</c:v>
                </c:pt>
              </c:numCache>
            </c:numRef>
          </c:xVal>
          <c:yVal>
            <c:numRef>
              <c:f>'CS 1er sem datos'!$BT$201:$BT$202</c:f>
              <c:numCache>
                <c:formatCode>General</c:formatCode>
                <c:ptCount val="2"/>
                <c:pt idx="0">
                  <c:v>-6.8641989673888751E-2</c:v>
                </c:pt>
                <c:pt idx="1">
                  <c:v>1.5373408369743473</c:v>
                </c:pt>
              </c:numCache>
            </c:numRef>
          </c:yVal>
          <c:smooth val="1"/>
        </c:ser>
        <c:ser>
          <c:idx val="219"/>
          <c:order val="181"/>
          <c:tx>
            <c:v>Prot2may4pm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datos'!$BS$203:$BS$204</c:f>
              <c:numCache>
                <c:formatCode>General</c:formatCode>
                <c:ptCount val="2"/>
                <c:pt idx="0">
                  <c:v>-5.3589112820436533</c:v>
                </c:pt>
                <c:pt idx="1">
                  <c:v>-6.9482491884736284</c:v>
                </c:pt>
              </c:numCache>
            </c:numRef>
          </c:xVal>
          <c:yVal>
            <c:numRef>
              <c:f>'CS 1er sem datos'!$BT$203:$BT$204</c:f>
              <c:numCache>
                <c:formatCode>General</c:formatCode>
                <c:ptCount val="2"/>
                <c:pt idx="0">
                  <c:v>0.68552167573681033</c:v>
                </c:pt>
                <c:pt idx="1">
                  <c:v>0.76795237286723794</c:v>
                </c:pt>
              </c:numCache>
            </c:numRef>
          </c:yVal>
          <c:smooth val="1"/>
        </c:ser>
        <c:ser>
          <c:idx val="220"/>
          <c:order val="182"/>
          <c:tx>
            <c:v>Prot1may5pm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datos'!$BU$201:$BU$202</c:f>
              <c:numCache>
                <c:formatCode>General</c:formatCode>
                <c:ptCount val="2"/>
                <c:pt idx="0">
                  <c:v>-6.9482491884736284</c:v>
                </c:pt>
                <c:pt idx="1">
                  <c:v>-7.4939503996922818</c:v>
                </c:pt>
              </c:numCache>
            </c:numRef>
          </c:xVal>
          <c:yVal>
            <c:numRef>
              <c:f>'CS 1er sem datos'!$BV$201:$BV$202</c:f>
              <c:numCache>
                <c:formatCode>General</c:formatCode>
                <c:ptCount val="2"/>
                <c:pt idx="0">
                  <c:v>0.76795237286723794</c:v>
                </c:pt>
                <c:pt idx="1">
                  <c:v>2.6513500426204546</c:v>
                </c:pt>
              </c:numCache>
            </c:numRef>
          </c:yVal>
          <c:smooth val="1"/>
        </c:ser>
        <c:ser>
          <c:idx val="221"/>
          <c:order val="183"/>
          <c:tx>
            <c:v>Prot2may5pm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datos'!$BU$203:$BU$204</c:f>
              <c:numCache>
                <c:formatCode>General</c:formatCode>
                <c:ptCount val="2"/>
                <c:pt idx="0">
                  <c:v>-6.5128329273581409</c:v>
                </c:pt>
                <c:pt idx="1">
                  <c:v>-8.0667743759958661</c:v>
                </c:pt>
              </c:numCache>
            </c:numRef>
          </c:xVal>
          <c:yVal>
            <c:numRef>
              <c:f>'CS 1er sem datos'!$BV$203:$BV$204</c:f>
              <c:numCache>
                <c:formatCode>General</c:formatCode>
                <c:ptCount val="2"/>
                <c:pt idx="0">
                  <c:v>1.5373408369743473</c:v>
                </c:pt>
                <c:pt idx="1">
                  <c:v>1.8759482527650715</c:v>
                </c:pt>
              </c:numCache>
            </c:numRef>
          </c:yVal>
          <c:smooth val="1"/>
        </c:ser>
        <c:ser>
          <c:idx val="222"/>
          <c:order val="184"/>
          <c:tx>
            <c:v>Prot1jun6am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datos'!$AY$206:$AY$207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datos'!$AZ$206:$AZ$207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223"/>
          <c:order val="185"/>
          <c:tx>
            <c:v>Prot2jun6am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datos'!$AY$208:$AY$209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1er sem datos'!$AZ$208:$AZ$209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224"/>
          <c:order val="186"/>
          <c:tx>
            <c:v>Prot1jun7am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datos'!$BA$206:$BA$207</c:f>
              <c:numCache>
                <c:formatCode>General</c:formatCode>
                <c:ptCount val="2"/>
                <c:pt idx="0">
                  <c:v>6.5128329273581409</c:v>
                </c:pt>
                <c:pt idx="1">
                  <c:v>5.2888743491714614</c:v>
                </c:pt>
              </c:numCache>
            </c:numRef>
          </c:xVal>
          <c:yVal>
            <c:numRef>
              <c:f>'CS 1er sem datos'!$BB$206:$BB$207</c:f>
              <c:numCache>
                <c:formatCode>General</c:formatCode>
                <c:ptCount val="2"/>
                <c:pt idx="0">
                  <c:v>1.5373408369743471</c:v>
                </c:pt>
                <c:pt idx="1">
                  <c:v>0.8310199575527939</c:v>
                </c:pt>
              </c:numCache>
            </c:numRef>
          </c:yVal>
          <c:smooth val="1"/>
        </c:ser>
        <c:ser>
          <c:idx val="225"/>
          <c:order val="187"/>
          <c:tx>
            <c:v>Prot2jun7am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datos'!$BA$208:$BA$209</c:f>
              <c:numCache>
                <c:formatCode>General</c:formatCode>
                <c:ptCount val="2"/>
                <c:pt idx="0">
                  <c:v>6.4193538234426146</c:v>
                </c:pt>
                <c:pt idx="1">
                  <c:v>5.3589112820436533</c:v>
                </c:pt>
              </c:numCache>
            </c:numRef>
          </c:xVal>
          <c:yVal>
            <c:numRef>
              <c:f>'CS 1er sem datos'!$BB$208:$BB$209</c:f>
              <c:numCache>
                <c:formatCode>General</c:formatCode>
                <c:ptCount val="2"/>
                <c:pt idx="0">
                  <c:v>1.6833583727711794</c:v>
                </c:pt>
                <c:pt idx="1">
                  <c:v>0.68552167573681078</c:v>
                </c:pt>
              </c:numCache>
            </c:numRef>
          </c:yVal>
          <c:smooth val="1"/>
        </c:ser>
        <c:ser>
          <c:idx val="226"/>
          <c:order val="188"/>
          <c:tx>
            <c:v>Prot1jun8am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datos'!$BC$206:$BC$207</c:f>
              <c:numCache>
                <c:formatCode>General</c:formatCode>
                <c:ptCount val="2"/>
                <c:pt idx="0">
                  <c:v>5.3589112820436533</c:v>
                </c:pt>
                <c:pt idx="1">
                  <c:v>4.0454667905311457</c:v>
                </c:pt>
              </c:numCache>
            </c:numRef>
          </c:xVal>
          <c:yVal>
            <c:numRef>
              <c:f>'CS 1er sem datos'!$BD$206:$BD$207</c:f>
              <c:numCache>
                <c:formatCode>General</c:formatCode>
                <c:ptCount val="2"/>
                <c:pt idx="0">
                  <c:v>0.68552167573681078</c:v>
                </c:pt>
                <c:pt idx="1">
                  <c:v>0.20261451930685961</c:v>
                </c:pt>
              </c:numCache>
            </c:numRef>
          </c:yVal>
          <c:smooth val="1"/>
        </c:ser>
        <c:ser>
          <c:idx val="227"/>
          <c:order val="189"/>
          <c:tx>
            <c:v>Prot2jun8am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datos'!$BC$208:$BC$209</c:f>
              <c:numCache>
                <c:formatCode>General</c:formatCode>
                <c:ptCount val="2"/>
                <c:pt idx="0">
                  <c:v>5.2888743491714614</c:v>
                </c:pt>
                <c:pt idx="1">
                  <c:v>4.0953514088422205</c:v>
                </c:pt>
              </c:numCache>
            </c:numRef>
          </c:xVal>
          <c:yVal>
            <c:numRef>
              <c:f>'CS 1er sem datos'!$BD$208:$BD$209</c:f>
              <c:numCache>
                <c:formatCode>General</c:formatCode>
                <c:ptCount val="2"/>
                <c:pt idx="0">
                  <c:v>0.8310199575527939</c:v>
                </c:pt>
                <c:pt idx="1">
                  <c:v>5.8631501008162723E-2</c:v>
                </c:pt>
              </c:numCache>
            </c:numRef>
          </c:yVal>
          <c:smooth val="1"/>
        </c:ser>
        <c:ser>
          <c:idx val="228"/>
          <c:order val="190"/>
          <c:tx>
            <c:v>Prot1jun9am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datos'!$BE$206:$BE$207</c:f>
              <c:numCache>
                <c:formatCode>General</c:formatCode>
                <c:ptCount val="2"/>
                <c:pt idx="0">
                  <c:v>4.0953514088422205</c:v>
                </c:pt>
                <c:pt idx="1">
                  <c:v>2.731150994716121</c:v>
                </c:pt>
              </c:numCache>
            </c:numRef>
          </c:xVal>
          <c:yVal>
            <c:numRef>
              <c:f>'CS 1er sem datos'!$BF$206:$BF$207</c:f>
              <c:numCache>
                <c:formatCode>General</c:formatCode>
                <c:ptCount val="2"/>
                <c:pt idx="0">
                  <c:v>5.8631501008162723E-2</c:v>
                </c:pt>
                <c:pt idx="1">
                  <c:v>-0.22845695384356918</c:v>
                </c:pt>
              </c:numCache>
            </c:numRef>
          </c:yVal>
          <c:smooth val="1"/>
        </c:ser>
        <c:ser>
          <c:idx val="229"/>
          <c:order val="191"/>
          <c:tx>
            <c:v>Prot2jun9am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datos'!$BE$208:$BE$209</c:f>
              <c:numCache>
                <c:formatCode>General</c:formatCode>
                <c:ptCount val="2"/>
                <c:pt idx="0">
                  <c:v>4.0454667905311457</c:v>
                </c:pt>
                <c:pt idx="1">
                  <c:v>2.7632024243694069</c:v>
                </c:pt>
              </c:numCache>
            </c:numRef>
          </c:xVal>
          <c:yVal>
            <c:numRef>
              <c:f>'CS 1er sem datos'!$BF$208:$BF$209</c:f>
              <c:numCache>
                <c:formatCode>General</c:formatCode>
                <c:ptCount val="2"/>
                <c:pt idx="0">
                  <c:v>0.20261451930685961</c:v>
                </c:pt>
                <c:pt idx="1">
                  <c:v>-0.37090968772972588</c:v>
                </c:pt>
              </c:numCache>
            </c:numRef>
          </c:yVal>
          <c:smooth val="1"/>
        </c:ser>
        <c:ser>
          <c:idx val="230"/>
          <c:order val="192"/>
          <c:tx>
            <c:v>Prot1jun10am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datos'!$BG$206:$BG$207</c:f>
              <c:numCache>
                <c:formatCode>General</c:formatCode>
                <c:ptCount val="2"/>
                <c:pt idx="0">
                  <c:v>2.7632024243694069</c:v>
                </c:pt>
                <c:pt idx="1">
                  <c:v>1.3752146338471711</c:v>
                </c:pt>
              </c:numCache>
            </c:numRef>
          </c:xVal>
          <c:yVal>
            <c:numRef>
              <c:f>'CS 1er sem datos'!$BH$206:$BH$207</c:f>
              <c:numCache>
                <c:formatCode>General</c:formatCode>
                <c:ptCount val="2"/>
                <c:pt idx="0">
                  <c:v>-0.37090968772972588</c:v>
                </c:pt>
                <c:pt idx="1">
                  <c:v>-0.48022136807352639</c:v>
                </c:pt>
              </c:numCache>
            </c:numRef>
          </c:yVal>
          <c:smooth val="1"/>
        </c:ser>
        <c:ser>
          <c:idx val="231"/>
          <c:order val="193"/>
          <c:tx>
            <c:v>Prot2jun10am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datos'!$BG$208:$BG$209</c:f>
              <c:numCache>
                <c:formatCode>General</c:formatCode>
                <c:ptCount val="2"/>
                <c:pt idx="0">
                  <c:v>2.731150994716121</c:v>
                </c:pt>
                <c:pt idx="1">
                  <c:v>1.390890301003268</c:v>
                </c:pt>
              </c:numCache>
            </c:numRef>
          </c:xVal>
          <c:yVal>
            <c:numRef>
              <c:f>'CS 1er sem datos'!$BH$208:$BH$209</c:f>
              <c:numCache>
                <c:formatCode>General</c:formatCode>
                <c:ptCount val="2"/>
                <c:pt idx="0">
                  <c:v>-0.22845695384356918</c:v>
                </c:pt>
                <c:pt idx="1">
                  <c:v>-0.62161206557584159</c:v>
                </c:pt>
              </c:numCache>
            </c:numRef>
          </c:yVal>
          <c:smooth val="1"/>
        </c:ser>
        <c:ser>
          <c:idx val="232"/>
          <c:order val="194"/>
          <c:tx>
            <c:v>Prot1jun11am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datos'!$BI$206:$BI$207</c:f>
              <c:numCache>
                <c:formatCode>General</c:formatCode>
                <c:ptCount val="2"/>
                <c:pt idx="0">
                  <c:v>1.390890301003268</c:v>
                </c:pt>
                <c:pt idx="1">
                  <c:v>3.4489259230131462E-17</c:v>
                </c:pt>
              </c:numCache>
            </c:numRef>
          </c:xVal>
          <c:yVal>
            <c:numRef>
              <c:f>'CS 1er sem datos'!$BJ$206:$BJ$207</c:f>
              <c:numCache>
                <c:formatCode>General</c:formatCode>
                <c:ptCount val="2"/>
                <c:pt idx="0">
                  <c:v>-0.62161206557584159</c:v>
                </c:pt>
                <c:pt idx="1">
                  <c:v>-0.56302171531863721</c:v>
                </c:pt>
              </c:numCache>
            </c:numRef>
          </c:yVal>
          <c:smooth val="1"/>
        </c:ser>
        <c:ser>
          <c:idx val="233"/>
          <c:order val="195"/>
          <c:tx>
            <c:v>Prot2jun11am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datos'!$BI$208:$BI$209</c:f>
              <c:numCache>
                <c:formatCode>General</c:formatCode>
                <c:ptCount val="2"/>
                <c:pt idx="0">
                  <c:v>1.3752146338471711</c:v>
                </c:pt>
                <c:pt idx="1">
                  <c:v>4.312752546919713E-17</c:v>
                </c:pt>
              </c:numCache>
            </c:numRef>
          </c:xVal>
          <c:yVal>
            <c:numRef>
              <c:f>'CS 1er sem datos'!$BJ$208:$BJ$209</c:f>
              <c:numCache>
                <c:formatCode>General</c:formatCode>
                <c:ptCount val="2"/>
                <c:pt idx="0">
                  <c:v>-0.48022136807352639</c:v>
                </c:pt>
                <c:pt idx="1">
                  <c:v>-0.70403754412625652</c:v>
                </c:pt>
              </c:numCache>
            </c:numRef>
          </c:yVal>
          <c:smooth val="1"/>
        </c:ser>
        <c:ser>
          <c:idx val="234"/>
          <c:order val="196"/>
          <c:tx>
            <c:v>Prot1jun12pm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datos'!$BK$206:$BK$207</c:f>
              <c:numCache>
                <c:formatCode>General</c:formatCode>
                <c:ptCount val="2"/>
                <c:pt idx="0">
                  <c:v>4.312752546919713E-17</c:v>
                </c:pt>
                <c:pt idx="1">
                  <c:v>-1.3752146338471709</c:v>
                </c:pt>
              </c:numCache>
            </c:numRef>
          </c:xVal>
          <c:yVal>
            <c:numRef>
              <c:f>'CS 1er sem datos'!$BL$206:$BL$207</c:f>
              <c:numCache>
                <c:formatCode>General</c:formatCode>
                <c:ptCount val="2"/>
                <c:pt idx="0">
                  <c:v>-0.70403754412625652</c:v>
                </c:pt>
                <c:pt idx="1">
                  <c:v>-0.48022136807352689</c:v>
                </c:pt>
              </c:numCache>
            </c:numRef>
          </c:yVal>
          <c:smooth val="1"/>
        </c:ser>
        <c:ser>
          <c:idx val="235"/>
          <c:order val="197"/>
          <c:tx>
            <c:v>Prot2jun12pm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datos'!$BK$208:$BK$209</c:f>
              <c:numCache>
                <c:formatCode>General</c:formatCode>
                <c:ptCount val="2"/>
                <c:pt idx="0">
                  <c:v>3.4489259230131462E-17</c:v>
                </c:pt>
                <c:pt idx="1">
                  <c:v>-1.390890301003268</c:v>
                </c:pt>
              </c:numCache>
            </c:numRef>
          </c:xVal>
          <c:yVal>
            <c:numRef>
              <c:f>'CS 1er sem datos'!$BL$208:$BL$209</c:f>
              <c:numCache>
                <c:formatCode>General</c:formatCode>
                <c:ptCount val="2"/>
                <c:pt idx="0">
                  <c:v>-0.56302171531863721</c:v>
                </c:pt>
                <c:pt idx="1">
                  <c:v>-0.62161206557584281</c:v>
                </c:pt>
              </c:numCache>
            </c:numRef>
          </c:yVal>
          <c:smooth val="1"/>
        </c:ser>
        <c:ser>
          <c:idx val="236"/>
          <c:order val="198"/>
          <c:tx>
            <c:v>Prot1jun1pm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datos'!$BM$206:$BM$207</c:f>
              <c:numCache>
                <c:formatCode>General</c:formatCode>
                <c:ptCount val="2"/>
                <c:pt idx="0">
                  <c:v>-1.390890301003268</c:v>
                </c:pt>
                <c:pt idx="1">
                  <c:v>-2.7311509947161206</c:v>
                </c:pt>
              </c:numCache>
            </c:numRef>
          </c:xVal>
          <c:yVal>
            <c:numRef>
              <c:f>'CS 1er sem datos'!$BN$206:$BN$207</c:f>
              <c:numCache>
                <c:formatCode>General</c:formatCode>
                <c:ptCount val="2"/>
                <c:pt idx="0">
                  <c:v>-0.62161206557584281</c:v>
                </c:pt>
                <c:pt idx="1">
                  <c:v>-0.22845695384356782</c:v>
                </c:pt>
              </c:numCache>
            </c:numRef>
          </c:yVal>
          <c:smooth val="1"/>
        </c:ser>
        <c:ser>
          <c:idx val="237"/>
          <c:order val="199"/>
          <c:tx>
            <c:v>Prot2jun1pm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datos'!$BM$208:$BM$209</c:f>
              <c:numCache>
                <c:formatCode>General</c:formatCode>
                <c:ptCount val="2"/>
                <c:pt idx="0">
                  <c:v>-1.3752146338471709</c:v>
                </c:pt>
                <c:pt idx="1">
                  <c:v>-2.7632024243694078</c:v>
                </c:pt>
              </c:numCache>
            </c:numRef>
          </c:xVal>
          <c:yVal>
            <c:numRef>
              <c:f>'CS 1er sem datos'!$BN$208:$BN$209</c:f>
              <c:numCache>
                <c:formatCode>General</c:formatCode>
                <c:ptCount val="2"/>
                <c:pt idx="0">
                  <c:v>-0.48022136807352689</c:v>
                </c:pt>
                <c:pt idx="1">
                  <c:v>-0.37090968772972532</c:v>
                </c:pt>
              </c:numCache>
            </c:numRef>
          </c:yVal>
          <c:smooth val="1"/>
        </c:ser>
        <c:ser>
          <c:idx val="238"/>
          <c:order val="200"/>
          <c:tx>
            <c:v>Prot1jun2pm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datos'!$BO$206:$BO$207</c:f>
              <c:numCache>
                <c:formatCode>General</c:formatCode>
                <c:ptCount val="2"/>
                <c:pt idx="0">
                  <c:v>-2.7632024243694078</c:v>
                </c:pt>
                <c:pt idx="1">
                  <c:v>-4.0454667905311457</c:v>
                </c:pt>
              </c:numCache>
            </c:numRef>
          </c:xVal>
          <c:yVal>
            <c:numRef>
              <c:f>'CS 1er sem datos'!$BP$206:$BP$207</c:f>
              <c:numCache>
                <c:formatCode>General</c:formatCode>
                <c:ptCount val="2"/>
                <c:pt idx="0">
                  <c:v>-0.37090968772972532</c:v>
                </c:pt>
                <c:pt idx="1">
                  <c:v>0.20261451930686047</c:v>
                </c:pt>
              </c:numCache>
            </c:numRef>
          </c:yVal>
          <c:smooth val="1"/>
        </c:ser>
        <c:ser>
          <c:idx val="239"/>
          <c:order val="201"/>
          <c:tx>
            <c:v>Prot2jun2pm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datos'!$BO$208:$BO$209</c:f>
              <c:numCache>
                <c:formatCode>General</c:formatCode>
                <c:ptCount val="2"/>
                <c:pt idx="0">
                  <c:v>-2.7311509947161206</c:v>
                </c:pt>
                <c:pt idx="1">
                  <c:v>-4.0953514088422205</c:v>
                </c:pt>
              </c:numCache>
            </c:numRef>
          </c:xVal>
          <c:yVal>
            <c:numRef>
              <c:f>'CS 1er sem datos'!$BP$208:$BP$209</c:f>
              <c:numCache>
                <c:formatCode>General</c:formatCode>
                <c:ptCount val="2"/>
                <c:pt idx="0">
                  <c:v>-0.22845695384356782</c:v>
                </c:pt>
                <c:pt idx="1">
                  <c:v>5.8631501008163472E-2</c:v>
                </c:pt>
              </c:numCache>
            </c:numRef>
          </c:yVal>
          <c:smooth val="1"/>
        </c:ser>
        <c:ser>
          <c:idx val="240"/>
          <c:order val="202"/>
          <c:tx>
            <c:v>Prot1jun3pm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datos'!$BQ$206:$BQ$207</c:f>
              <c:numCache>
                <c:formatCode>General</c:formatCode>
                <c:ptCount val="2"/>
                <c:pt idx="0">
                  <c:v>-4.0953514088422205</c:v>
                </c:pt>
                <c:pt idx="1">
                  <c:v>-5.2888743491714614</c:v>
                </c:pt>
              </c:numCache>
            </c:numRef>
          </c:xVal>
          <c:yVal>
            <c:numRef>
              <c:f>'CS 1er sem datos'!$BR$206:$BR$207</c:f>
              <c:numCache>
                <c:formatCode>General</c:formatCode>
                <c:ptCount val="2"/>
                <c:pt idx="0">
                  <c:v>5.8631501008163472E-2</c:v>
                </c:pt>
                <c:pt idx="1">
                  <c:v>0.83101995755279434</c:v>
                </c:pt>
              </c:numCache>
            </c:numRef>
          </c:yVal>
          <c:smooth val="1"/>
        </c:ser>
        <c:ser>
          <c:idx val="241"/>
          <c:order val="203"/>
          <c:tx>
            <c:v>Prot2jun3pm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datos'!$BQ$208:$BQ$209</c:f>
              <c:numCache>
                <c:formatCode>General</c:formatCode>
                <c:ptCount val="2"/>
                <c:pt idx="0">
                  <c:v>-4.0454667905311457</c:v>
                </c:pt>
                <c:pt idx="1">
                  <c:v>-5.3589112820436533</c:v>
                </c:pt>
              </c:numCache>
            </c:numRef>
          </c:xVal>
          <c:yVal>
            <c:numRef>
              <c:f>'CS 1er sem datos'!$BR$208:$BR$209</c:f>
              <c:numCache>
                <c:formatCode>General</c:formatCode>
                <c:ptCount val="2"/>
                <c:pt idx="0">
                  <c:v>0.20261451930686047</c:v>
                </c:pt>
                <c:pt idx="1">
                  <c:v>0.68552167573681033</c:v>
                </c:pt>
              </c:numCache>
            </c:numRef>
          </c:yVal>
          <c:smooth val="1"/>
        </c:ser>
        <c:ser>
          <c:idx val="242"/>
          <c:order val="204"/>
          <c:tx>
            <c:v>Prot1jun4pm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datos'!$BS$206:$BS$207</c:f>
              <c:numCache>
                <c:formatCode>General</c:formatCode>
                <c:ptCount val="2"/>
                <c:pt idx="0">
                  <c:v>-5.3589112820436533</c:v>
                </c:pt>
                <c:pt idx="1">
                  <c:v>-6.4193538234426137</c:v>
                </c:pt>
              </c:numCache>
            </c:numRef>
          </c:xVal>
          <c:yVal>
            <c:numRef>
              <c:f>'CS 1er sem datos'!$BT$206:$BT$207</c:f>
              <c:numCache>
                <c:formatCode>General</c:formatCode>
                <c:ptCount val="2"/>
                <c:pt idx="0">
                  <c:v>0.68552167573681033</c:v>
                </c:pt>
                <c:pt idx="1">
                  <c:v>1.6833583727711807</c:v>
                </c:pt>
              </c:numCache>
            </c:numRef>
          </c:yVal>
          <c:smooth val="1"/>
        </c:ser>
        <c:ser>
          <c:idx val="243"/>
          <c:order val="205"/>
          <c:tx>
            <c:v>Prot2jun4pm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datos'!$BS$208:$BS$209</c:f>
              <c:numCache>
                <c:formatCode>General</c:formatCode>
                <c:ptCount val="2"/>
                <c:pt idx="0">
                  <c:v>-5.2888743491714614</c:v>
                </c:pt>
                <c:pt idx="1">
                  <c:v>-6.5128329273581409</c:v>
                </c:pt>
              </c:numCache>
            </c:numRef>
          </c:xVal>
          <c:yVal>
            <c:numRef>
              <c:f>'CS 1er sem datos'!$BT$208:$BT$209</c:f>
              <c:numCache>
                <c:formatCode>General</c:formatCode>
                <c:ptCount val="2"/>
                <c:pt idx="0">
                  <c:v>0.83101995755279434</c:v>
                </c:pt>
                <c:pt idx="1">
                  <c:v>1.5373408369743473</c:v>
                </c:pt>
              </c:numCache>
            </c:numRef>
          </c:yVal>
          <c:smooth val="1"/>
        </c:ser>
        <c:ser>
          <c:idx val="244"/>
          <c:order val="206"/>
          <c:tx>
            <c:v>Prot1jun5pm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datos'!$BU$206:$BU$207</c:f>
              <c:numCache>
                <c:formatCode>General</c:formatCode>
                <c:ptCount val="2"/>
                <c:pt idx="0">
                  <c:v>-6.5128329273581409</c:v>
                </c:pt>
                <c:pt idx="1">
                  <c:v>-7.3728011230173935</c:v>
                </c:pt>
              </c:numCache>
            </c:numRef>
          </c:xVal>
          <c:yVal>
            <c:numRef>
              <c:f>'CS 1er sem datos'!$BV$206:$BV$207</c:f>
              <c:numCache>
                <c:formatCode>General</c:formatCode>
                <c:ptCount val="2"/>
                <c:pt idx="0">
                  <c:v>1.5373408369743473</c:v>
                </c:pt>
                <c:pt idx="1">
                  <c:v>2.7949575952418435</c:v>
                </c:pt>
              </c:numCache>
            </c:numRef>
          </c:yVal>
          <c:smooth val="1"/>
        </c:ser>
        <c:ser>
          <c:idx val="245"/>
          <c:order val="207"/>
          <c:tx>
            <c:v>Prot2jun5pm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1er sem datos'!$BU$208:$BU$209</c:f>
              <c:numCache>
                <c:formatCode>General</c:formatCode>
                <c:ptCount val="2"/>
                <c:pt idx="0">
                  <c:v>-6.4193538234426137</c:v>
                </c:pt>
                <c:pt idx="1">
                  <c:v>-7.4939503996922818</c:v>
                </c:pt>
              </c:numCache>
            </c:numRef>
          </c:xVal>
          <c:yVal>
            <c:numRef>
              <c:f>'CS 1er sem datos'!$BV$208:$BV$209</c:f>
              <c:numCache>
                <c:formatCode>General</c:formatCode>
                <c:ptCount val="2"/>
                <c:pt idx="0">
                  <c:v>1.6833583727711807</c:v>
                </c:pt>
                <c:pt idx="1">
                  <c:v>2.6513500426204546</c:v>
                </c:pt>
              </c:numCache>
            </c:numRef>
          </c:yVal>
          <c:smooth val="1"/>
        </c:ser>
        <c:ser>
          <c:idx val="246"/>
          <c:order val="208"/>
          <c:spPr>
            <a:ln w="88900" cap="flat">
              <a:solidFill>
                <a:srgbClr val="F79646">
                  <a:lumMod val="75000"/>
                </a:srgbClr>
              </a:solidFill>
            </a:ln>
          </c:spPr>
          <c:marker>
            <c:symbol val="none"/>
          </c:marker>
          <c:xVal>
            <c:numRef>
              <c:f>'CS 1er sem datos'!$AI$183:$AI$231</c:f>
              <c:numCache>
                <c:formatCode>General</c:formatCode>
                <c:ptCount val="49"/>
                <c:pt idx="0">
                  <c:v>9.0200146465970548</c:v>
                </c:pt>
                <c:pt idx="1">
                  <c:v>8.6889526008258624</c:v>
                </c:pt>
                <c:pt idx="2">
                  <c:v>8.3496692635520056</c:v>
                </c:pt>
                <c:pt idx="3">
                  <c:v>8.0032344718920641</c:v>
                </c:pt>
                <c:pt idx="4">
                  <c:v>7.6505587833444721</c:v>
                </c:pt>
                <c:pt idx="5">
                  <c:v>7.2924211822651248</c:v>
                </c:pt>
                <c:pt idx="6">
                  <c:v>6.9294915061735685</c:v>
                </c:pt>
                <c:pt idx="7">
                  <c:v>6.5623486851340873</c:v>
                </c:pt>
                <c:pt idx="8">
                  <c:v>6.1914956482620465</c:v>
                </c:pt>
                <c:pt idx="9">
                  <c:v>5.8173715667204986</c:v>
                </c:pt>
                <c:pt idx="10">
                  <c:v>5.4403619597776451</c:v>
                </c:pt>
                <c:pt idx="11">
                  <c:v>5.0608070798523244</c:v>
                </c:pt>
                <c:pt idx="12">
                  <c:v>4.6790089065141443</c:v>
                </c:pt>
                <c:pt idx="13">
                  <c:v>4.2952370124222448</c:v>
                </c:pt>
                <c:pt idx="14">
                  <c:v>3.9097335118301353</c:v>
                </c:pt>
                <c:pt idx="15">
                  <c:v>3.5227172612348854</c:v>
                </c:pt>
                <c:pt idx="16">
                  <c:v>3.1343874494739405</c:v>
                </c:pt>
                <c:pt idx="17">
                  <c:v>2.744926689135641</c:v>
                </c:pt>
                <c:pt idx="18">
                  <c:v>2.3545037010682437</c:v>
                </c:pt>
                <c:pt idx="19">
                  <c:v>1.9632756679104444</c:v>
                </c:pt>
                <c:pt idx="20">
                  <c:v>1.5713903200522465</c:v>
                </c:pt>
                <c:pt idx="21">
                  <c:v>1.1789878076001212</c:v>
                </c:pt>
                <c:pt idx="22">
                  <c:v>0.78620240425297039</c:v>
                </c:pt>
                <c:pt idx="23">
                  <c:v>0.39316408310632844</c:v>
                </c:pt>
                <c:pt idx="24">
                  <c:v>1.8624494371914661E-16</c:v>
                </c:pt>
                <c:pt idx="25">
                  <c:v>-0.3931640831063275</c:v>
                </c:pt>
                <c:pt idx="26">
                  <c:v>-0.78620240425297216</c:v>
                </c:pt>
                <c:pt idx="27">
                  <c:v>-1.1789878076001203</c:v>
                </c:pt>
                <c:pt idx="28">
                  <c:v>-1.5713903200522463</c:v>
                </c:pt>
                <c:pt idx="29">
                  <c:v>-1.9632756679104457</c:v>
                </c:pt>
                <c:pt idx="30">
                  <c:v>-2.3545037010682446</c:v>
                </c:pt>
                <c:pt idx="31">
                  <c:v>-2.7449266891356405</c:v>
                </c:pt>
                <c:pt idx="32">
                  <c:v>-3.134387449473941</c:v>
                </c:pt>
                <c:pt idx="33">
                  <c:v>-3.5227172612348849</c:v>
                </c:pt>
                <c:pt idx="34">
                  <c:v>-3.9097335118301353</c:v>
                </c:pt>
                <c:pt idx="35">
                  <c:v>-4.2952370124222448</c:v>
                </c:pt>
                <c:pt idx="36">
                  <c:v>-4.6790089065141434</c:v>
                </c:pt>
                <c:pt idx="37">
                  <c:v>-5.0608070798523244</c:v>
                </c:pt>
                <c:pt idx="38">
                  <c:v>-5.4403619597776451</c:v>
                </c:pt>
                <c:pt idx="39">
                  <c:v>-5.8173715667204986</c:v>
                </c:pt>
                <c:pt idx="40">
                  <c:v>-6.1914956482620456</c:v>
                </c:pt>
                <c:pt idx="41">
                  <c:v>-6.5623486851340873</c:v>
                </c:pt>
                <c:pt idx="42">
                  <c:v>-6.9294915061735685</c:v>
                </c:pt>
                <c:pt idx="43">
                  <c:v>-7.2924211822651248</c:v>
                </c:pt>
                <c:pt idx="44">
                  <c:v>-7.6505587833444721</c:v>
                </c:pt>
                <c:pt idx="45">
                  <c:v>-8.0032344718920641</c:v>
                </c:pt>
                <c:pt idx="46">
                  <c:v>-8.3496692635520056</c:v>
                </c:pt>
                <c:pt idx="47">
                  <c:v>-8.6889526008258624</c:v>
                </c:pt>
                <c:pt idx="48">
                  <c:v>-9.0200146465970548</c:v>
                </c:pt>
              </c:numCache>
            </c:numRef>
          </c:xVal>
          <c:yVal>
            <c:numRef>
              <c:f>'CS 1er sem datos'!$AJ$183:$AJ$231</c:f>
              <c:numCache>
                <c:formatCode>General</c:formatCode>
                <c:ptCount val="49"/>
                <c:pt idx="0">
                  <c:v>-5.503396825473867E-2</c:v>
                </c:pt>
                <c:pt idx="1">
                  <c:v>-0.33787982533866967</c:v>
                </c:pt>
                <c:pt idx="2">
                  <c:v>-0.60101097847750606</c:v>
                </c:pt>
                <c:pt idx="3">
                  <c:v>-0.84575806943707621</c:v>
                </c:pt>
                <c:pt idx="4">
                  <c:v>-1.0733056464279307</c:v>
                </c:pt>
                <c:pt idx="5">
                  <c:v>-1.2847086789948219</c:v>
                </c:pt>
                <c:pt idx="6">
                  <c:v>-1.4809071668985123</c:v>
                </c:pt>
                <c:pt idx="7">
                  <c:v>-1.6627389846543152</c:v>
                </c:pt>
                <c:pt idx="8">
                  <c:v>-1.8309511273947583</c:v>
                </c:pt>
                <c:pt idx="9">
                  <c:v>-1.9862095279884302</c:v>
                </c:pt>
                <c:pt idx="10">
                  <c:v>-2.1291076085972591</c:v>
                </c:pt>
                <c:pt idx="11">
                  <c:v>-2.2601737174317549</c:v>
                </c:pt>
                <c:pt idx="12">
                  <c:v>-2.3798775865817943</c:v>
                </c:pt>
                <c:pt idx="13">
                  <c:v>-2.4886359313408777</c:v>
                </c:pt>
                <c:pt idx="14">
                  <c:v>-2.5868172964578853</c:v>
                </c:pt>
                <c:pt idx="15">
                  <c:v>-2.6747462407866038</c:v>
                </c:pt>
                <c:pt idx="16">
                  <c:v>-2.7527069390957655</c:v>
                </c:pt>
                <c:pt idx="17">
                  <c:v>-2.8209462684055397</c:v>
                </c:pt>
                <c:pt idx="18">
                  <c:v>-2.8796764360807559</c:v>
                </c:pt>
                <c:pt idx="19">
                  <c:v>-2.9290771979326018</c:v>
                </c:pt>
                <c:pt idx="20">
                  <c:v>-2.9692977066286788</c:v>
                </c:pt>
                <c:pt idx="21">
                  <c:v>-3.0004580236470666</c:v>
                </c:pt>
                <c:pt idx="22">
                  <c:v>-3.0226503216950054</c:v>
                </c:pt>
                <c:pt idx="23">
                  <c:v>-3.0359397988140482</c:v>
                </c:pt>
                <c:pt idx="24">
                  <c:v>-3.0403653201854306</c:v>
                </c:pt>
                <c:pt idx="25">
                  <c:v>-3.0359397988140482</c:v>
                </c:pt>
                <c:pt idx="26">
                  <c:v>-3.0226503216950045</c:v>
                </c:pt>
                <c:pt idx="27">
                  <c:v>-3.000458023647067</c:v>
                </c:pt>
                <c:pt idx="28">
                  <c:v>-2.9692977066286792</c:v>
                </c:pt>
                <c:pt idx="29">
                  <c:v>-2.9290771979326014</c:v>
                </c:pt>
                <c:pt idx="30">
                  <c:v>-2.8796764360807554</c:v>
                </c:pt>
                <c:pt idx="31">
                  <c:v>-2.8209462684055402</c:v>
                </c:pt>
                <c:pt idx="32">
                  <c:v>-2.752706939095765</c:v>
                </c:pt>
                <c:pt idx="33">
                  <c:v>-2.6747462407866047</c:v>
                </c:pt>
                <c:pt idx="34">
                  <c:v>-2.5868172964578857</c:v>
                </c:pt>
                <c:pt idx="35">
                  <c:v>-2.4886359313408777</c:v>
                </c:pt>
                <c:pt idx="36">
                  <c:v>-2.3798775865817947</c:v>
                </c:pt>
                <c:pt idx="37">
                  <c:v>-2.2601737174317549</c:v>
                </c:pt>
                <c:pt idx="38">
                  <c:v>-2.1291076085972582</c:v>
                </c:pt>
                <c:pt idx="39">
                  <c:v>-1.9862095279884302</c:v>
                </c:pt>
                <c:pt idx="40">
                  <c:v>-1.8309511273947605</c:v>
                </c:pt>
                <c:pt idx="41">
                  <c:v>-1.662738984654315</c:v>
                </c:pt>
                <c:pt idx="42">
                  <c:v>-1.4809071668985139</c:v>
                </c:pt>
                <c:pt idx="43">
                  <c:v>-1.2847086789948226</c:v>
                </c:pt>
                <c:pt idx="44">
                  <c:v>-1.0733056464279325</c:v>
                </c:pt>
                <c:pt idx="45">
                  <c:v>-0.84575806943707577</c:v>
                </c:pt>
                <c:pt idx="46">
                  <c:v>-0.60101097847750762</c:v>
                </c:pt>
                <c:pt idx="47">
                  <c:v>-0.33787982533866817</c:v>
                </c:pt>
                <c:pt idx="48">
                  <c:v>-5.5033968254738962E-2</c:v>
                </c:pt>
              </c:numCache>
            </c:numRef>
          </c:yVal>
          <c:smooth val="1"/>
        </c:ser>
        <c:ser>
          <c:idx val="247"/>
          <c:order val="209"/>
          <c:tx>
            <c:v>Linea base alero</c:v>
          </c:tx>
          <c:spPr>
            <a:ln w="88900" cap="rnd">
              <a:solidFill>
                <a:srgbClr val="F79646">
                  <a:lumMod val="75000"/>
                </a:srgbClr>
              </a:solidFill>
            </a:ln>
          </c:spPr>
          <c:marker>
            <c:symbol val="none"/>
          </c:marker>
          <c:xVal>
            <c:numRef>
              <c:f>('CS 1er sem datos'!$AI$183,'CS 1er sem datos'!$AI$231)</c:f>
              <c:numCache>
                <c:formatCode>General</c:formatCode>
                <c:ptCount val="2"/>
                <c:pt idx="0">
                  <c:v>9.0200146465970548</c:v>
                </c:pt>
                <c:pt idx="1">
                  <c:v>-9.0200146465970548</c:v>
                </c:pt>
              </c:numCache>
            </c:numRef>
          </c:xVal>
          <c:yVal>
            <c:numRef>
              <c:f>('CS 1er sem datos'!$AJ$183,'CS 1er sem datos'!$AJ$231)</c:f>
              <c:numCache>
                <c:formatCode>General</c:formatCode>
                <c:ptCount val="2"/>
                <c:pt idx="0">
                  <c:v>-5.503396825473867E-2</c:v>
                </c:pt>
                <c:pt idx="1">
                  <c:v>-5.5033968254738962E-2</c:v>
                </c:pt>
              </c:numCache>
            </c:numRef>
          </c:yVal>
          <c:smooth val="1"/>
        </c:ser>
        <c:ser>
          <c:idx val="45"/>
          <c:order val="210"/>
          <c:tx>
            <c:v>Linea base partesol</c:v>
          </c:tx>
          <c:spPr>
            <a:ln w="88900">
              <a:solidFill>
                <a:schemeClr val="accent6">
                  <a:lumMod val="75000"/>
                  <a:alpha val="90000"/>
                </a:schemeClr>
              </a:solidFill>
            </a:ln>
          </c:spPr>
          <c:marker>
            <c:symbol val="none"/>
          </c:marker>
          <c:xVal>
            <c:numRef>
              <c:f>'CS 1er sem datos'!$AH$48:$AH$49</c:f>
              <c:numCache>
                <c:formatCode>General</c:formatCode>
                <c:ptCount val="2"/>
                <c:pt idx="0">
                  <c:v>9</c:v>
                </c:pt>
                <c:pt idx="1">
                  <c:v>-9</c:v>
                </c:pt>
              </c:numCache>
            </c:numRef>
          </c:xVal>
          <c:yVal>
            <c:numRef>
              <c:f>'CS 1er sem datos'!$AI$48:$AI$49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1.102633609417758E-15</c:v>
                </c:pt>
              </c:numCache>
            </c:numRef>
          </c:yVal>
          <c:smooth val="1"/>
        </c:ser>
        <c:ser>
          <c:idx val="54"/>
          <c:order val="211"/>
          <c:tx>
            <c:v>Partesol a</c:v>
          </c:tx>
          <c:spPr>
            <a:ln w="8890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'CS 1er sem datos'!$AH$51:$AH$52</c:f>
              <c:numCache>
                <c:formatCode>General</c:formatCode>
                <c:ptCount val="2"/>
                <c:pt idx="0">
                  <c:v>0</c:v>
                </c:pt>
                <c:pt idx="1">
                  <c:v>7.794228634059948</c:v>
                </c:pt>
              </c:numCache>
            </c:numRef>
          </c:xVal>
          <c:yVal>
            <c:numRef>
              <c:f>'CS 1er sem datos'!$AI$51:$AI$52</c:f>
              <c:numCache>
                <c:formatCode>General</c:formatCode>
                <c:ptCount val="2"/>
                <c:pt idx="0">
                  <c:v>0</c:v>
                </c:pt>
                <c:pt idx="1">
                  <c:v>-4.4999999999999991</c:v>
                </c:pt>
              </c:numCache>
            </c:numRef>
          </c:yVal>
          <c:smooth val="1"/>
        </c:ser>
        <c:ser>
          <c:idx val="55"/>
          <c:order val="212"/>
          <c:tx>
            <c:v>Partesol b</c:v>
          </c:tx>
          <c:spPr>
            <a:ln w="8890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('CS 1er sem datos'!$AH$51,'CS 1er sem datos'!$AH$53)</c:f>
              <c:numCache>
                <c:formatCode>General</c:formatCode>
                <c:ptCount val="2"/>
                <c:pt idx="0">
                  <c:v>0</c:v>
                </c:pt>
                <c:pt idx="1">
                  <c:v>-7.7942286340599471</c:v>
                </c:pt>
              </c:numCache>
            </c:numRef>
          </c:xVal>
          <c:yVal>
            <c:numRef>
              <c:f>('CS 1er sem datos'!$AI$51,'CS 1er sem datos'!$AI$53)</c:f>
              <c:numCache>
                <c:formatCode>General</c:formatCode>
                <c:ptCount val="2"/>
                <c:pt idx="0">
                  <c:v>0</c:v>
                </c:pt>
                <c:pt idx="1">
                  <c:v>-4.5000000000000009</c:v>
                </c:pt>
              </c:numCache>
            </c:numRef>
          </c:yVal>
          <c:smooth val="1"/>
        </c:ser>
        <c:ser>
          <c:idx val="56"/>
          <c:order val="213"/>
          <c:tx>
            <c:v>Partesol c</c:v>
          </c:tx>
          <c:spPr>
            <a:ln w="88900">
              <a:solidFill>
                <a:srgbClr val="F79646">
                  <a:lumMod val="75000"/>
                </a:srgbClr>
              </a:solidFill>
            </a:ln>
          </c:spPr>
          <c:marker>
            <c:symbol val="none"/>
          </c:marker>
          <c:xVal>
            <c:numRef>
              <c:f>'CS 1er sem datos'!$AG$313:$AG$331</c:f>
              <c:numCache>
                <c:formatCode>General</c:formatCode>
                <c:ptCount val="19"/>
                <c:pt idx="0">
                  <c:v>9</c:v>
                </c:pt>
                <c:pt idx="1">
                  <c:v>8.9657522828257097</c:v>
                </c:pt>
                <c:pt idx="2">
                  <c:v>8.8632697771098723</c:v>
                </c:pt>
                <c:pt idx="3">
                  <c:v>8.6933324366016151</c:v>
                </c:pt>
                <c:pt idx="4">
                  <c:v>8.4572335870731763</c:v>
                </c:pt>
                <c:pt idx="5">
                  <c:v>8.1567700833298495</c:v>
                </c:pt>
                <c:pt idx="6">
                  <c:v>7.794228634059948</c:v>
                </c:pt>
                <c:pt idx="7">
                  <c:v>7.794228634059948</c:v>
                </c:pt>
                <c:pt idx="8">
                  <c:v>7.794228634059948</c:v>
                </c:pt>
                <c:pt idx="9">
                  <c:v>7.794228634059948</c:v>
                </c:pt>
                <c:pt idx="10">
                  <c:v>7.794228634059948</c:v>
                </c:pt>
                <c:pt idx="11">
                  <c:v>7.794228634059948</c:v>
                </c:pt>
                <c:pt idx="12">
                  <c:v>7.794228634059948</c:v>
                </c:pt>
                <c:pt idx="13">
                  <c:v>7.794228634059948</c:v>
                </c:pt>
                <c:pt idx="14">
                  <c:v>7.794228634059948</c:v>
                </c:pt>
                <c:pt idx="15">
                  <c:v>7.794228634059948</c:v>
                </c:pt>
                <c:pt idx="16">
                  <c:v>7.794228634059948</c:v>
                </c:pt>
                <c:pt idx="17">
                  <c:v>7.794228634059948</c:v>
                </c:pt>
                <c:pt idx="18">
                  <c:v>7.794228634059948</c:v>
                </c:pt>
              </c:numCache>
            </c:numRef>
          </c:xVal>
          <c:yVal>
            <c:numRef>
              <c:f>'CS 1er sem datos'!$AH$313:$AH$331</c:f>
              <c:numCache>
                <c:formatCode>General</c:formatCode>
                <c:ptCount val="19"/>
                <c:pt idx="0">
                  <c:v>0</c:v>
                </c:pt>
                <c:pt idx="1">
                  <c:v>-0.78440168472892347</c:v>
                </c:pt>
                <c:pt idx="2">
                  <c:v>-1.562833599002373</c:v>
                </c:pt>
                <c:pt idx="3">
                  <c:v>-2.3293714059226867</c:v>
                </c:pt>
                <c:pt idx="4">
                  <c:v>-3.0781812899310186</c:v>
                </c:pt>
                <c:pt idx="5">
                  <c:v>-3.8035643556662948</c:v>
                </c:pt>
                <c:pt idx="6">
                  <c:v>-4.4999999999999991</c:v>
                </c:pt>
                <c:pt idx="7">
                  <c:v>-4.4999999999999991</c:v>
                </c:pt>
                <c:pt idx="8">
                  <c:v>-4.4999999999999991</c:v>
                </c:pt>
                <c:pt idx="9">
                  <c:v>-4.4999999999999991</c:v>
                </c:pt>
                <c:pt idx="10">
                  <c:v>-4.4999999999999991</c:v>
                </c:pt>
                <c:pt idx="11">
                  <c:v>-4.4999999999999991</c:v>
                </c:pt>
                <c:pt idx="12">
                  <c:v>-4.4999999999999991</c:v>
                </c:pt>
                <c:pt idx="13">
                  <c:v>-4.4999999999999991</c:v>
                </c:pt>
                <c:pt idx="14">
                  <c:v>-4.4999999999999991</c:v>
                </c:pt>
                <c:pt idx="15">
                  <c:v>-4.4999999999999991</c:v>
                </c:pt>
                <c:pt idx="16">
                  <c:v>-4.4999999999999991</c:v>
                </c:pt>
                <c:pt idx="17">
                  <c:v>-4.4999999999999991</c:v>
                </c:pt>
                <c:pt idx="18">
                  <c:v>-4.4999999999999991</c:v>
                </c:pt>
              </c:numCache>
            </c:numRef>
          </c:yVal>
          <c:smooth val="1"/>
        </c:ser>
        <c:ser>
          <c:idx val="57"/>
          <c:order val="214"/>
          <c:tx>
            <c:v>Partesol d</c:v>
          </c:tx>
          <c:spPr>
            <a:ln w="88900">
              <a:solidFill>
                <a:srgbClr val="F79646">
                  <a:lumMod val="75000"/>
                </a:srgbClr>
              </a:solidFill>
            </a:ln>
          </c:spPr>
          <c:marker>
            <c:symbol val="none"/>
          </c:marker>
          <c:xVal>
            <c:numRef>
              <c:f>'CS 1er sem datos'!$AK$313:$AK$331</c:f>
              <c:numCache>
                <c:formatCode>General</c:formatCode>
                <c:ptCount val="19"/>
                <c:pt idx="0">
                  <c:v>-9</c:v>
                </c:pt>
                <c:pt idx="1">
                  <c:v>-8.9657522828257097</c:v>
                </c:pt>
                <c:pt idx="2">
                  <c:v>-8.8632697771098723</c:v>
                </c:pt>
                <c:pt idx="3">
                  <c:v>-8.6933324366016134</c:v>
                </c:pt>
                <c:pt idx="4">
                  <c:v>-8.4572335870731745</c:v>
                </c:pt>
                <c:pt idx="5">
                  <c:v>-8.1567700833298495</c:v>
                </c:pt>
                <c:pt idx="6">
                  <c:v>-7.7942286340599471</c:v>
                </c:pt>
                <c:pt idx="7">
                  <c:v>-7.7942286340599471</c:v>
                </c:pt>
                <c:pt idx="8">
                  <c:v>-7.7942286340599471</c:v>
                </c:pt>
                <c:pt idx="9">
                  <c:v>-7.7942286340599471</c:v>
                </c:pt>
                <c:pt idx="10">
                  <c:v>-7.7942286340599471</c:v>
                </c:pt>
                <c:pt idx="11">
                  <c:v>-7.7942286340599471</c:v>
                </c:pt>
                <c:pt idx="12">
                  <c:v>-7.7942286340599471</c:v>
                </c:pt>
                <c:pt idx="13">
                  <c:v>-7.7942286340599471</c:v>
                </c:pt>
                <c:pt idx="14">
                  <c:v>-7.7942286340599471</c:v>
                </c:pt>
                <c:pt idx="15">
                  <c:v>-7.7942286340599471</c:v>
                </c:pt>
                <c:pt idx="16">
                  <c:v>-7.7942286340599471</c:v>
                </c:pt>
                <c:pt idx="17">
                  <c:v>-7.7942286340599471</c:v>
                </c:pt>
                <c:pt idx="18">
                  <c:v>-7.7942286340599471</c:v>
                </c:pt>
              </c:numCache>
            </c:numRef>
          </c:xVal>
          <c:yVal>
            <c:numRef>
              <c:f>'CS 1er sem datos'!$AL$313:$AL$331</c:f>
              <c:numCache>
                <c:formatCode>General</c:formatCode>
                <c:ptCount val="19"/>
                <c:pt idx="0">
                  <c:v>-1.102633609417758E-15</c:v>
                </c:pt>
                <c:pt idx="1">
                  <c:v>-0.78440168472892369</c:v>
                </c:pt>
                <c:pt idx="2">
                  <c:v>-1.5628335990023725</c:v>
                </c:pt>
                <c:pt idx="3">
                  <c:v>-2.3293714059226893</c:v>
                </c:pt>
                <c:pt idx="4">
                  <c:v>-3.0781812899310199</c:v>
                </c:pt>
                <c:pt idx="5">
                  <c:v>-3.8035643556662952</c:v>
                </c:pt>
                <c:pt idx="6">
                  <c:v>-4.5000000000000009</c:v>
                </c:pt>
                <c:pt idx="7">
                  <c:v>-4.5000000000000009</c:v>
                </c:pt>
                <c:pt idx="8">
                  <c:v>-4.5000000000000009</c:v>
                </c:pt>
                <c:pt idx="9">
                  <c:v>-4.5000000000000009</c:v>
                </c:pt>
                <c:pt idx="10">
                  <c:v>-4.5000000000000009</c:v>
                </c:pt>
                <c:pt idx="11">
                  <c:v>-4.5000000000000009</c:v>
                </c:pt>
                <c:pt idx="12">
                  <c:v>-4.5000000000000009</c:v>
                </c:pt>
                <c:pt idx="13">
                  <c:v>-4.5000000000000009</c:v>
                </c:pt>
                <c:pt idx="14">
                  <c:v>-4.5000000000000009</c:v>
                </c:pt>
                <c:pt idx="15">
                  <c:v>-4.5000000000000009</c:v>
                </c:pt>
                <c:pt idx="16">
                  <c:v>-4.5000000000000009</c:v>
                </c:pt>
                <c:pt idx="17">
                  <c:v>-4.5000000000000009</c:v>
                </c:pt>
                <c:pt idx="18">
                  <c:v>-4.5000000000000009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759352"/>
        <c:axId val="472759744"/>
      </c:scatterChart>
      <c:valAx>
        <c:axId val="472759352"/>
        <c:scaling>
          <c:orientation val="minMax"/>
          <c:max val="10"/>
          <c:min val="-10"/>
        </c:scaling>
        <c:delete val="0"/>
        <c:axPos val="b"/>
        <c:numFmt formatCode="General" sourceLinked="1"/>
        <c:majorTickMark val="out"/>
        <c:minorTickMark val="none"/>
        <c:tickLblPos val="none"/>
        <c:crossAx val="472759744"/>
        <c:crosses val="autoZero"/>
        <c:crossBetween val="midCat"/>
        <c:majorUnit val="1"/>
        <c:minorUnit val="1"/>
      </c:valAx>
      <c:valAx>
        <c:axId val="472759744"/>
        <c:scaling>
          <c:orientation val="minMax"/>
          <c:max val="10"/>
          <c:min val="-10"/>
        </c:scaling>
        <c:delete val="0"/>
        <c:axPos val="l"/>
        <c:numFmt formatCode="General" sourceLinked="1"/>
        <c:majorTickMark val="out"/>
        <c:minorTickMark val="none"/>
        <c:tickLblPos val="none"/>
        <c:crossAx val="472759352"/>
        <c:crosses val="autoZero"/>
        <c:crossBetween val="midCat"/>
        <c:majorUnit val="1"/>
        <c:minorUnit val="1"/>
      </c:valAx>
    </c:plotArea>
    <c:plotVisOnly val="1"/>
    <c:dispBlanksAs val="gap"/>
    <c:showDLblsOverMax val="0"/>
  </c:chart>
  <c:printSettings>
    <c:headerFooter/>
    <c:pageMargins b="0.75000000000000999" l="0.70000000000000095" r="0.70000000000000095" t="0.75000000000000999" header="0.3" footer="0.3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Enero1</c:v>
          </c:tx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 (2)'!$E$480:$E$524</c:f>
              <c:numCache>
                <c:formatCode>General</c:formatCode>
                <c:ptCount val="45"/>
                <c:pt idx="0">
                  <c:v>110.14480796075449</c:v>
                </c:pt>
                <c:pt idx="1">
                  <c:v>110.14480796075449</c:v>
                </c:pt>
                <c:pt idx="2">
                  <c:v>110.14480796075449</c:v>
                </c:pt>
                <c:pt idx="3">
                  <c:v>110.14480796075449</c:v>
                </c:pt>
                <c:pt idx="4">
                  <c:v>110.14480796075449</c:v>
                </c:pt>
                <c:pt idx="5">
                  <c:v>110.14480796075449</c:v>
                </c:pt>
                <c:pt idx="6">
                  <c:v>110.14480796075449</c:v>
                </c:pt>
                <c:pt idx="7">
                  <c:v>110.14480796075449</c:v>
                </c:pt>
                <c:pt idx="8">
                  <c:v>110.14480796075449</c:v>
                </c:pt>
                <c:pt idx="9">
                  <c:v>110.14480796075449</c:v>
                </c:pt>
                <c:pt idx="10">
                  <c:v>110.14480796075449</c:v>
                </c:pt>
                <c:pt idx="11">
                  <c:v>110.14480796075449</c:v>
                </c:pt>
                <c:pt idx="12">
                  <c:v>110.14480796075449</c:v>
                </c:pt>
                <c:pt idx="13">
                  <c:v>110.14480796075449</c:v>
                </c:pt>
                <c:pt idx="14">
                  <c:v>110.14480796075449</c:v>
                </c:pt>
                <c:pt idx="15">
                  <c:v>110.14480796075449</c:v>
                </c:pt>
                <c:pt idx="16">
                  <c:v>110.14480796075449</c:v>
                </c:pt>
                <c:pt idx="17">
                  <c:v>110.14480796075449</c:v>
                </c:pt>
                <c:pt idx="18">
                  <c:v>110.14480796075449</c:v>
                </c:pt>
                <c:pt idx="19">
                  <c:v>110.14480796075449</c:v>
                </c:pt>
                <c:pt idx="20">
                  <c:v>110.14480796075449</c:v>
                </c:pt>
                <c:pt idx="21">
                  <c:v>110.14480796075449</c:v>
                </c:pt>
                <c:pt idx="22">
                  <c:v>110.14480796075449</c:v>
                </c:pt>
                <c:pt idx="23">
                  <c:v>110.70211741949838</c:v>
                </c:pt>
                <c:pt idx="24">
                  <c:v>112.5771078319798</c:v>
                </c:pt>
                <c:pt idx="25">
                  <c:v>114.52594178789599</c:v>
                </c:pt>
                <c:pt idx="26">
                  <c:v>116.55936890670264</c:v>
                </c:pt>
                <c:pt idx="27">
                  <c:v>118.68877858440862</c:v>
                </c:pt>
                <c:pt idx="28">
                  <c:v>120.92625519511847</c:v>
                </c:pt>
                <c:pt idx="29">
                  <c:v>123.28459419408361</c:v>
                </c:pt>
                <c:pt idx="30">
                  <c:v>125.7772625091784</c:v>
                </c:pt>
                <c:pt idx="31">
                  <c:v>128.41828038454514</c:v>
                </c:pt>
                <c:pt idx="32">
                  <c:v>131.22199491730089</c:v>
                </c:pt>
                <c:pt idx="33">
                  <c:v>134.20270878401178</c:v>
                </c:pt>
                <c:pt idx="34">
                  <c:v>137.37412293128529</c:v>
                </c:pt>
                <c:pt idx="35">
                  <c:v>140.74855254966261</c:v>
                </c:pt>
                <c:pt idx="36">
                  <c:v>144.33588641082156</c:v>
                </c:pt>
                <c:pt idx="37">
                  <c:v>148.14228700663386</c:v>
                </c:pt>
                <c:pt idx="38">
                  <c:v>152.1686791332223</c:v>
                </c:pt>
                <c:pt idx="39">
                  <c:v>156.40915005874612</c:v>
                </c:pt>
                <c:pt idx="40">
                  <c:v>160.84947792309023</c:v>
                </c:pt>
                <c:pt idx="41">
                  <c:v>165.46609328345443</c:v>
                </c:pt>
                <c:pt idx="42">
                  <c:v>170.22582109620205</c:v>
                </c:pt>
                <c:pt idx="43">
                  <c:v>175.08669956125479</c:v>
                </c:pt>
                <c:pt idx="44">
                  <c:v>180</c:v>
                </c:pt>
              </c:numCache>
            </c:numRef>
          </c:xVal>
          <c:yVal>
            <c:numRef>
              <c:f>'CS 1er sem datos (2)'!$D$480:$D$524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0.93431249689201767</c:v>
                </c:pt>
                <c:pt idx="24">
                  <c:v>3.9806023907424599</c:v>
                </c:pt>
                <c:pt idx="25">
                  <c:v>6.9848965382721495</c:v>
                </c:pt>
                <c:pt idx="26">
                  <c:v>9.9419021858772343</c:v>
                </c:pt>
                <c:pt idx="27">
                  <c:v>12.845661301158438</c:v>
                </c:pt>
                <c:pt idx="28">
                  <c:v>15.689450108647346</c:v>
                </c:pt>
                <c:pt idx="29">
                  <c:v>18.465669796710831</c:v>
                </c:pt>
                <c:pt idx="30">
                  <c:v>21.165730212534523</c:v>
                </c:pt>
                <c:pt idx="31">
                  <c:v>23.779930338375731</c:v>
                </c:pt>
                <c:pt idx="32">
                  <c:v>26.297342212361595</c:v>
                </c:pt>
                <c:pt idx="33">
                  <c:v>28.705708936178901</c:v>
                </c:pt>
                <c:pt idx="34">
                  <c:v>30.991372620610438</c:v>
                </c:pt>
                <c:pt idx="35">
                  <c:v>33.13925442520032</c:v>
                </c:pt>
                <c:pt idx="36">
                  <c:v>35.132915612826856</c:v>
                </c:pt>
                <c:pt idx="37">
                  <c:v>36.954734293761113</c:v>
                </c:pt>
                <c:pt idx="38">
                  <c:v>38.586234675889074</c:v>
                </c:pt>
                <c:pt idx="39">
                  <c:v>40.008600423503495</c:v>
                </c:pt>
                <c:pt idx="40">
                  <c:v>41.203386965463082</c:v>
                </c:pt>
                <c:pt idx="41">
                  <c:v>42.153416478788429</c:v>
                </c:pt>
                <c:pt idx="42">
                  <c:v>42.843795303430973</c:v>
                </c:pt>
                <c:pt idx="43">
                  <c:v>43.262945341914246</c:v>
                </c:pt>
                <c:pt idx="44">
                  <c:v>43.40350454351578</c:v>
                </c:pt>
              </c:numCache>
            </c:numRef>
          </c:yVal>
          <c:smooth val="1"/>
        </c:ser>
        <c:ser>
          <c:idx val="1"/>
          <c:order val="1"/>
          <c:tx>
            <c:v>Febrero1</c:v>
          </c:tx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 (2)'!$K$480:$K$524</c:f>
              <c:numCache>
                <c:formatCode>General</c:formatCode>
                <c:ptCount val="45"/>
                <c:pt idx="0">
                  <c:v>99.500362928216276</c:v>
                </c:pt>
                <c:pt idx="1">
                  <c:v>99.500362928216276</c:v>
                </c:pt>
                <c:pt idx="2">
                  <c:v>99.500362928216276</c:v>
                </c:pt>
                <c:pt idx="3">
                  <c:v>99.500362928216276</c:v>
                </c:pt>
                <c:pt idx="4">
                  <c:v>99.500362928216276</c:v>
                </c:pt>
                <c:pt idx="5">
                  <c:v>99.500362928216276</c:v>
                </c:pt>
                <c:pt idx="6">
                  <c:v>99.500362928216276</c:v>
                </c:pt>
                <c:pt idx="7">
                  <c:v>99.500362928216276</c:v>
                </c:pt>
                <c:pt idx="8">
                  <c:v>99.500362928216276</c:v>
                </c:pt>
                <c:pt idx="9">
                  <c:v>99.500362928216276</c:v>
                </c:pt>
                <c:pt idx="10">
                  <c:v>99.500362928216276</c:v>
                </c:pt>
                <c:pt idx="11">
                  <c:v>99.500362928216276</c:v>
                </c:pt>
                <c:pt idx="12">
                  <c:v>99.500362928216276</c:v>
                </c:pt>
                <c:pt idx="13">
                  <c:v>99.500362928216276</c:v>
                </c:pt>
                <c:pt idx="14">
                  <c:v>99.500362928216276</c:v>
                </c:pt>
                <c:pt idx="15">
                  <c:v>99.500362928216276</c:v>
                </c:pt>
                <c:pt idx="16">
                  <c:v>99.500362928216276</c:v>
                </c:pt>
                <c:pt idx="17">
                  <c:v>99.500362928216276</c:v>
                </c:pt>
                <c:pt idx="18">
                  <c:v>99.500362928216276</c:v>
                </c:pt>
                <c:pt idx="19">
                  <c:v>99.500362928216276</c:v>
                </c:pt>
                <c:pt idx="20">
                  <c:v>99.500362928216276</c:v>
                </c:pt>
                <c:pt idx="21">
                  <c:v>99.500362928216276</c:v>
                </c:pt>
                <c:pt idx="22">
                  <c:v>100.89519561539142</c:v>
                </c:pt>
                <c:pt idx="23">
                  <c:v>102.76595097130003</c:v>
                </c:pt>
                <c:pt idx="24">
                  <c:v>104.68802822282147</c:v>
                </c:pt>
                <c:pt idx="25">
                  <c:v>106.67407096407753</c:v>
                </c:pt>
                <c:pt idx="26">
                  <c:v>108.73760944398796</c:v>
                </c:pt>
                <c:pt idx="27">
                  <c:v>110.89328742751351</c:v>
                </c:pt>
                <c:pt idx="28">
                  <c:v>113.15708853016723</c:v>
                </c:pt>
                <c:pt idx="29">
                  <c:v>115.54655425603949</c:v>
                </c:pt>
                <c:pt idx="30">
                  <c:v>118.08097799360625</c:v>
                </c:pt>
                <c:pt idx="31">
                  <c:v>120.78154732364752</c:v>
                </c:pt>
                <c:pt idx="32">
                  <c:v>123.67138966374844</c:v>
                </c:pt>
                <c:pt idx="33">
                  <c:v>126.77545203792891</c:v>
                </c:pt>
                <c:pt idx="34">
                  <c:v>130.12011395158518</c:v>
                </c:pt>
                <c:pt idx="35">
                  <c:v>133.73239482747636</c:v>
                </c:pt>
                <c:pt idx="36">
                  <c:v>137.63858177436344</c:v>
                </c:pt>
                <c:pt idx="37">
                  <c:v>141.86208773002306</c:v>
                </c:pt>
                <c:pt idx="38">
                  <c:v>146.42038816407361</c:v>
                </c:pt>
                <c:pt idx="39">
                  <c:v>151.32102682859207</c:v>
                </c:pt>
                <c:pt idx="40">
                  <c:v>156.55697888534539</c:v>
                </c:pt>
                <c:pt idx="41">
                  <c:v>162.10212019074373</c:v>
                </c:pt>
                <c:pt idx="42">
                  <c:v>167.90806244970912</c:v>
                </c:pt>
                <c:pt idx="43">
                  <c:v>173.90389028355548</c:v>
                </c:pt>
                <c:pt idx="44">
                  <c:v>180</c:v>
                </c:pt>
              </c:numCache>
            </c:numRef>
          </c:xVal>
          <c:yVal>
            <c:numRef>
              <c:f>'CS 1er sem datos (2)'!$J$480:$J$524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2.4513254600836665</c:v>
                </c:pt>
                <c:pt idx="23">
                  <c:v>5.6588938422367825</c:v>
                </c:pt>
                <c:pt idx="24">
                  <c:v>8.8424843209748119</c:v>
                </c:pt>
                <c:pt idx="25">
                  <c:v>11.997722975509879</c:v>
                </c:pt>
                <c:pt idx="26">
                  <c:v>15.119715862375806</c:v>
                </c:pt>
                <c:pt idx="27">
                  <c:v>18.202927787402345</c:v>
                </c:pt>
                <c:pt idx="28">
                  <c:v>21.241041758651765</c:v>
                </c:pt>
                <c:pt idx="29">
                  <c:v>24.226795427541798</c:v>
                </c:pt>
                <c:pt idx="30">
                  <c:v>27.15179118044739</c:v>
                </c:pt>
                <c:pt idx="31">
                  <c:v>30.006277614225631</c:v>
                </c:pt>
                <c:pt idx="32">
                  <c:v>32.778902474630826</c:v>
                </c:pt>
                <c:pt idx="33">
                  <c:v>35.45644159934281</c:v>
                </c:pt>
                <c:pt idx="34">
                  <c:v>38.023516172043877</c:v>
                </c:pt>
                <c:pt idx="35">
                  <c:v>40.462323140338867</c:v>
                </c:pt>
                <c:pt idx="36">
                  <c:v>42.752422426604682</c:v>
                </c:pt>
                <c:pt idx="37">
                  <c:v>44.870650074713652</c:v>
                </c:pt>
                <c:pt idx="38">
                  <c:v>46.791256419696218</c:v>
                </c:pt>
                <c:pt idx="39">
                  <c:v>48.486394640260585</c:v>
                </c:pt>
                <c:pt idx="40">
                  <c:v>49.927090631227195</c:v>
                </c:pt>
                <c:pt idx="41">
                  <c:v>51.084784156101065</c:v>
                </c:pt>
                <c:pt idx="42">
                  <c:v>51.933418421751355</c:v>
                </c:pt>
                <c:pt idx="43">
                  <c:v>52.451869064489031</c:v>
                </c:pt>
                <c:pt idx="44">
                  <c:v>52.626294934964093</c:v>
                </c:pt>
              </c:numCache>
            </c:numRef>
          </c:yVal>
          <c:smooth val="1"/>
        </c:ser>
        <c:ser>
          <c:idx val="2"/>
          <c:order val="2"/>
          <c:tx>
            <c:v>Marzo1</c:v>
          </c:tx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 (2)'!$Q$480:$Q$524</c:f>
              <c:numCache>
                <c:formatCode>General</c:formatCode>
                <c:ptCount val="45"/>
                <c:pt idx="0">
                  <c:v>85.402618331677971</c:v>
                </c:pt>
                <c:pt idx="1">
                  <c:v>85.402618331677971</c:v>
                </c:pt>
                <c:pt idx="2">
                  <c:v>85.402618331677971</c:v>
                </c:pt>
                <c:pt idx="3">
                  <c:v>85.402618331677971</c:v>
                </c:pt>
                <c:pt idx="4">
                  <c:v>85.402618331677971</c:v>
                </c:pt>
                <c:pt idx="5">
                  <c:v>85.402618331677971</c:v>
                </c:pt>
                <c:pt idx="6">
                  <c:v>85.402618331677971</c:v>
                </c:pt>
                <c:pt idx="7">
                  <c:v>85.402618331677971</c:v>
                </c:pt>
                <c:pt idx="8">
                  <c:v>85.402618331677971</c:v>
                </c:pt>
                <c:pt idx="9">
                  <c:v>85.402618331677971</c:v>
                </c:pt>
                <c:pt idx="10">
                  <c:v>85.402618331677971</c:v>
                </c:pt>
                <c:pt idx="11">
                  <c:v>85.402618331677971</c:v>
                </c:pt>
                <c:pt idx="12">
                  <c:v>85.402618331677971</c:v>
                </c:pt>
                <c:pt idx="13">
                  <c:v>85.402618331677971</c:v>
                </c:pt>
                <c:pt idx="14">
                  <c:v>85.402618331677971</c:v>
                </c:pt>
                <c:pt idx="15">
                  <c:v>85.402618331677971</c:v>
                </c:pt>
                <c:pt idx="16">
                  <c:v>85.402618331677971</c:v>
                </c:pt>
                <c:pt idx="17">
                  <c:v>85.402618331677971</c:v>
                </c:pt>
                <c:pt idx="18">
                  <c:v>85.402618331677971</c:v>
                </c:pt>
                <c:pt idx="19">
                  <c:v>85.402618331677971</c:v>
                </c:pt>
                <c:pt idx="20">
                  <c:v>86.488170658290201</c:v>
                </c:pt>
                <c:pt idx="21">
                  <c:v>88.301939675400064</c:v>
                </c:pt>
                <c:pt idx="22">
                  <c:v>90.119615933503979</c:v>
                </c:pt>
                <c:pt idx="23">
                  <c:v>91.95333172927613</c:v>
                </c:pt>
                <c:pt idx="24">
                  <c:v>93.815787356682009</c:v>
                </c:pt>
                <c:pt idx="25">
                  <c:v>95.720565560101377</c:v>
                </c:pt>
                <c:pt idx="26">
                  <c:v>97.682489105457122</c:v>
                </c:pt>
                <c:pt idx="27">
                  <c:v>99.718036938710767</c:v>
                </c:pt>
                <c:pt idx="28">
                  <c:v>101.84583698554694</c:v>
                </c:pt>
                <c:pt idx="29">
                  <c:v>104.08725617335617</c:v>
                </c:pt>
                <c:pt idx="30">
                  <c:v>106.46710982681223</c:v>
                </c:pt>
                <c:pt idx="31">
                  <c:v>109.01451125006722</c:v>
                </c:pt>
                <c:pt idx="32">
                  <c:v>111.76387408261022</c:v>
                </c:pt>
                <c:pt idx="33">
                  <c:v>114.75605713389055</c:v>
                </c:pt>
                <c:pt idx="34">
                  <c:v>118.03958931708698</c:v>
                </c:pt>
                <c:pt idx="35">
                  <c:v>121.67180516597313</c:v>
                </c:pt>
                <c:pt idx="36">
                  <c:v>125.71951693085082</c:v>
                </c:pt>
                <c:pt idx="37">
                  <c:v>130.25848836531455</c:v>
                </c:pt>
                <c:pt idx="38">
                  <c:v>135.37040516162483</c:v>
                </c:pt>
                <c:pt idx="39">
                  <c:v>141.13530250393069</c:v>
                </c:pt>
                <c:pt idx="40">
                  <c:v>147.61688935411229</c:v>
                </c:pt>
                <c:pt idx="41">
                  <c:v>154.8389975113019</c:v>
                </c:pt>
                <c:pt idx="42">
                  <c:v>162.75537922197969</c:v>
                </c:pt>
                <c:pt idx="43">
                  <c:v>171.22334001059369</c:v>
                </c:pt>
                <c:pt idx="44">
                  <c:v>180</c:v>
                </c:pt>
              </c:numCache>
            </c:numRef>
          </c:xVal>
          <c:yVal>
            <c:numRef>
              <c:f>'CS 1er sem datos (2)'!$P$480:$P$524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1.9510766725967672</c:v>
                </c:pt>
                <c:pt idx="21">
                  <c:v>5.2248361178513711</c:v>
                </c:pt>
                <c:pt idx="22">
                  <c:v>8.5016694215855537</c:v>
                </c:pt>
                <c:pt idx="23">
                  <c:v>11.778277554284251</c:v>
                </c:pt>
                <c:pt idx="24">
                  <c:v>15.051271742006362</c:v>
                </c:pt>
                <c:pt idx="25">
                  <c:v>18.317081148338275</c:v>
                </c:pt>
                <c:pt idx="26">
                  <c:v>21.571848682913263</c:v>
                </c:pt>
                <c:pt idx="27">
                  <c:v>24.811309009703319</c:v>
                </c:pt>
                <c:pt idx="28">
                  <c:v>28.03064132064042</c:v>
                </c:pt>
                <c:pt idx="29">
                  <c:v>31.224287336900556</c:v>
                </c:pt>
                <c:pt idx="30">
                  <c:v>34.385722158930136</c:v>
                </c:pt>
                <c:pt idx="31">
                  <c:v>37.507161881970838</c:v>
                </c:pt>
                <c:pt idx="32">
                  <c:v>40.579187314260722</c:v>
                </c:pt>
                <c:pt idx="33">
                  <c:v>43.590258007807279</c:v>
                </c:pt>
                <c:pt idx="34">
                  <c:v>46.526086303943565</c:v>
                </c:pt>
                <c:pt idx="35">
                  <c:v>49.368840247490724</c:v>
                </c:pt>
                <c:pt idx="36">
                  <c:v>52.096153918797427</c:v>
                </c:pt>
                <c:pt idx="37">
                  <c:v>54.6799580245643</c:v>
                </c:pt>
                <c:pt idx="38">
                  <c:v>57.085227950933245</c:v>
                </c:pt>
                <c:pt idx="39">
                  <c:v>59.268918970625663</c:v>
                </c:pt>
                <c:pt idx="40">
                  <c:v>61.179653601104718</c:v>
                </c:pt>
                <c:pt idx="41">
                  <c:v>62.759112002659698</c:v>
                </c:pt>
                <c:pt idx="42">
                  <c:v>63.946316535914804</c:v>
                </c:pt>
                <c:pt idx="43">
                  <c:v>64.685539973324694</c:v>
                </c:pt>
                <c:pt idx="44">
                  <c:v>64.936824231055681</c:v>
                </c:pt>
              </c:numCache>
            </c:numRef>
          </c:yVal>
          <c:smooth val="1"/>
        </c:ser>
        <c:ser>
          <c:idx val="3"/>
          <c:order val="3"/>
          <c:tx>
            <c:v>Abril1</c:v>
          </c:tx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 (2)'!$W$480:$W$524</c:f>
              <c:numCache>
                <c:formatCode>General</c:formatCode>
                <c:ptCount val="45"/>
                <c:pt idx="0">
                  <c:v>72.888092578495346</c:v>
                </c:pt>
                <c:pt idx="1">
                  <c:v>72.888092578495346</c:v>
                </c:pt>
                <c:pt idx="2">
                  <c:v>72.888092578495346</c:v>
                </c:pt>
                <c:pt idx="3">
                  <c:v>72.888092578495346</c:v>
                </c:pt>
                <c:pt idx="4">
                  <c:v>72.888092578495346</c:v>
                </c:pt>
                <c:pt idx="5">
                  <c:v>72.888092578495346</c:v>
                </c:pt>
                <c:pt idx="6">
                  <c:v>72.888092578495346</c:v>
                </c:pt>
                <c:pt idx="7">
                  <c:v>72.888092578495346</c:v>
                </c:pt>
                <c:pt idx="8">
                  <c:v>72.888092578495346</c:v>
                </c:pt>
                <c:pt idx="9">
                  <c:v>72.888092578495346</c:v>
                </c:pt>
                <c:pt idx="10">
                  <c:v>72.888092578495346</c:v>
                </c:pt>
                <c:pt idx="11">
                  <c:v>72.888092578495346</c:v>
                </c:pt>
                <c:pt idx="12">
                  <c:v>72.888092578495346</c:v>
                </c:pt>
                <c:pt idx="13">
                  <c:v>72.888092578495346</c:v>
                </c:pt>
                <c:pt idx="14">
                  <c:v>72.888092578495346</c:v>
                </c:pt>
                <c:pt idx="15">
                  <c:v>72.888092578495346</c:v>
                </c:pt>
                <c:pt idx="16">
                  <c:v>72.888092578495346</c:v>
                </c:pt>
                <c:pt idx="17">
                  <c:v>72.888092578495346</c:v>
                </c:pt>
                <c:pt idx="18">
                  <c:v>73.377202136517397</c:v>
                </c:pt>
                <c:pt idx="19">
                  <c:v>75.162722135292299</c:v>
                </c:pt>
                <c:pt idx="20">
                  <c:v>76.908415468616056</c:v>
                </c:pt>
                <c:pt idx="21">
                  <c:v>78.624229318809967</c:v>
                </c:pt>
                <c:pt idx="22">
                  <c:v>80.320102804730865</c:v>
                </c:pt>
                <c:pt idx="23">
                  <c:v>82.006171907360311</c:v>
                </c:pt>
                <c:pt idx="24">
                  <c:v>83.69300591455243</c:v>
                </c:pt>
                <c:pt idx="25">
                  <c:v>85.391887846707746</c:v>
                </c:pt>
                <c:pt idx="26">
                  <c:v>87.115156347814008</c:v>
                </c:pt>
                <c:pt idx="27">
                  <c:v>88.87663356136872</c:v>
                </c:pt>
                <c:pt idx="28">
                  <c:v>90.692173646055892</c:v>
                </c:pt>
                <c:pt idx="29">
                  <c:v>92.580381462762588</c:v>
                </c:pt>
                <c:pt idx="30">
                  <c:v>94.563573092330401</c:v>
                </c:pt>
                <c:pt idx="31">
                  <c:v>96.669083066016839</c:v>
                </c:pt>
                <c:pt idx="32">
                  <c:v>98.931073312987834</c:v>
                </c:pt>
                <c:pt idx="33">
                  <c:v>101.39307426076078</c:v>
                </c:pt>
                <c:pt idx="34">
                  <c:v>104.11160019876351</c:v>
                </c:pt>
                <c:pt idx="35">
                  <c:v>107.16133887200536</c:v>
                </c:pt>
                <c:pt idx="36">
                  <c:v>110.64261236918068</c:v>
                </c:pt>
                <c:pt idx="37">
                  <c:v>114.69196284152088</c:v>
                </c:pt>
                <c:pt idx="38">
                  <c:v>119.49650182395177</c:v>
                </c:pt>
                <c:pt idx="39">
                  <c:v>125.31097935928398</c:v>
                </c:pt>
                <c:pt idx="40">
                  <c:v>132.47024428392857</c:v>
                </c:pt>
                <c:pt idx="41">
                  <c:v>141.37180736345297</c:v>
                </c:pt>
                <c:pt idx="42">
                  <c:v>152.36663247705818</c:v>
                </c:pt>
                <c:pt idx="43">
                  <c:v>165.47481083447175</c:v>
                </c:pt>
                <c:pt idx="44">
                  <c:v>180</c:v>
                </c:pt>
              </c:numCache>
            </c:numRef>
          </c:xVal>
          <c:yVal>
            <c:numRef>
              <c:f>'CS 1er sem datos (2)'!$V$480:$V$524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0.84487497082691032</c:v>
                </c:pt>
                <c:pt idx="19">
                  <c:v>3.9993524973288235</c:v>
                </c:pt>
                <c:pt idx="20">
                  <c:v>7.1796941081018506</c:v>
                </c:pt>
                <c:pt idx="21">
                  <c:v>10.382459749151513</c:v>
                </c:pt>
                <c:pt idx="22">
                  <c:v>13.604468496767481</c:v>
                </c:pt>
                <c:pt idx="23">
                  <c:v>16.842735146975919</c:v>
                </c:pt>
                <c:pt idx="24">
                  <c:v>20.094408212134532</c:v>
                </c:pt>
                <c:pt idx="25">
                  <c:v>23.356706677362645</c:v>
                </c:pt>
                <c:pt idx="26">
                  <c:v>26.626852300629036</c:v>
                </c:pt>
                <c:pt idx="27">
                  <c:v>29.901993339964587</c:v>
                </c:pt>
                <c:pt idx="28">
                  <c:v>33.179114183303909</c:v>
                </c:pt>
                <c:pt idx="29">
                  <c:v>36.454923161732175</c:v>
                </c:pt>
                <c:pt idx="30">
                  <c:v>39.725707391673502</c:v>
                </c:pt>
                <c:pt idx="31">
                  <c:v>42.987138064766839</c:v>
                </c:pt>
                <c:pt idx="32">
                  <c:v>46.234000924702507</c:v>
                </c:pt>
                <c:pt idx="33">
                  <c:v>49.459812598063799</c:v>
                </c:pt>
                <c:pt idx="34">
                  <c:v>52.656260335367804</c:v>
                </c:pt>
                <c:pt idx="35">
                  <c:v>55.812364414492947</c:v>
                </c:pt>
                <c:pt idx="36">
                  <c:v>58.913198956609463</c:v>
                </c:pt>
                <c:pt idx="37">
                  <c:v>61.937903656407016</c:v>
                </c:pt>
                <c:pt idx="38">
                  <c:v>64.85656185960751</c:v>
                </c:pt>
                <c:pt idx="39">
                  <c:v>67.625326772187762</c:v>
                </c:pt>
                <c:pt idx="40">
                  <c:v>70.179120424793908</c:v>
                </c:pt>
                <c:pt idx="41">
                  <c:v>72.422030979321647</c:v>
                </c:pt>
                <c:pt idx="42">
                  <c:v>74.219255442281607</c:v>
                </c:pt>
                <c:pt idx="43">
                  <c:v>75.403930559328714</c:v>
                </c:pt>
                <c:pt idx="44">
                  <c:v>75.820887455874669</c:v>
                </c:pt>
              </c:numCache>
            </c:numRef>
          </c:yVal>
          <c:smooth val="1"/>
        </c:ser>
        <c:ser>
          <c:idx val="4"/>
          <c:order val="4"/>
          <c:tx>
            <c:v>Mayo1</c:v>
          </c:tx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 (2)'!$AC$480:$AC$524</c:f>
              <c:numCache>
                <c:formatCode>General</c:formatCode>
                <c:ptCount val="45"/>
                <c:pt idx="0">
                  <c:v>64.572176712649494</c:v>
                </c:pt>
                <c:pt idx="1">
                  <c:v>64.572176712649494</c:v>
                </c:pt>
                <c:pt idx="2">
                  <c:v>64.572176712649494</c:v>
                </c:pt>
                <c:pt idx="3">
                  <c:v>64.572176712649494</c:v>
                </c:pt>
                <c:pt idx="4">
                  <c:v>64.572176712649494</c:v>
                </c:pt>
                <c:pt idx="5">
                  <c:v>64.572176712649494</c:v>
                </c:pt>
                <c:pt idx="6">
                  <c:v>64.572176712649494</c:v>
                </c:pt>
                <c:pt idx="7">
                  <c:v>64.572176712649494</c:v>
                </c:pt>
                <c:pt idx="8">
                  <c:v>64.572176712649494</c:v>
                </c:pt>
                <c:pt idx="9">
                  <c:v>64.572176712649494</c:v>
                </c:pt>
                <c:pt idx="10">
                  <c:v>64.572176712649494</c:v>
                </c:pt>
                <c:pt idx="11">
                  <c:v>64.572176712649494</c:v>
                </c:pt>
                <c:pt idx="12">
                  <c:v>64.572176712649494</c:v>
                </c:pt>
                <c:pt idx="13">
                  <c:v>64.572176712649494</c:v>
                </c:pt>
                <c:pt idx="14">
                  <c:v>64.572176712649494</c:v>
                </c:pt>
                <c:pt idx="15">
                  <c:v>64.572176712649494</c:v>
                </c:pt>
                <c:pt idx="16">
                  <c:v>64.572176712649494</c:v>
                </c:pt>
                <c:pt idx="17">
                  <c:v>65.420288430266694</c:v>
                </c:pt>
                <c:pt idx="18">
                  <c:v>67.176756132372105</c:v>
                </c:pt>
                <c:pt idx="19">
                  <c:v>68.872771807684487</c:v>
                </c:pt>
                <c:pt idx="20">
                  <c:v>70.516285917220941</c:v>
                </c:pt>
                <c:pt idx="21">
                  <c:v>72.115019262386028</c:v>
                </c:pt>
                <c:pt idx="22">
                  <c:v>73.676564272932183</c:v>
                </c:pt>
                <c:pt idx="23">
                  <c:v>75.208505156583556</c:v>
                </c:pt>
                <c:pt idx="24">
                  <c:v>76.718561537440678</c:v>
                </c:pt>
                <c:pt idx="25">
                  <c:v>78.214763234690579</c:v>
                </c:pt>
                <c:pt idx="26">
                  <c:v>79.705667903745379</c:v>
                </c:pt>
                <c:pt idx="27">
                  <c:v>81.200639092786062</c:v>
                </c:pt>
                <c:pt idx="28">
                  <c:v>82.710211003016923</c:v>
                </c:pt>
                <c:pt idx="29">
                  <c:v>84.246579785342263</c:v>
                </c:pt>
                <c:pt idx="30">
                  <c:v>85.824282836310999</c:v>
                </c:pt>
                <c:pt idx="31">
                  <c:v>87.461163088077541</c:v>
                </c:pt>
                <c:pt idx="32">
                  <c:v>89.179775376606813</c:v>
                </c:pt>
                <c:pt idx="33">
                  <c:v>91.009496805368997</c:v>
                </c:pt>
                <c:pt idx="34">
                  <c:v>92.989792229720422</c:v>
                </c:pt>
                <c:pt idx="35">
                  <c:v>95.17544040926218</c:v>
                </c:pt>
                <c:pt idx="36">
                  <c:v>97.645217635946267</c:v>
                </c:pt>
                <c:pt idx="37">
                  <c:v>100.51694281614662</c:v>
                </c:pt>
                <c:pt idx="38">
                  <c:v>103.97477635578694</c:v>
                </c:pt>
                <c:pt idx="39">
                  <c:v>108.32122597124561</c:v>
                </c:pt>
                <c:pt idx="40">
                  <c:v>114.0806639695666</c:v>
                </c:pt>
                <c:pt idx="41">
                  <c:v>122.20793991746395</c:v>
                </c:pt>
                <c:pt idx="42">
                  <c:v>134.45660980654239</c:v>
                </c:pt>
                <c:pt idx="43">
                  <c:v>153.50220048664417</c:v>
                </c:pt>
                <c:pt idx="44">
                  <c:v>180</c:v>
                </c:pt>
              </c:numCache>
            </c:numRef>
          </c:xVal>
          <c:yVal>
            <c:numRef>
              <c:f>'CS 1er sem datos (2)'!$AB$480:$AB$524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1.3949093661271876</c:v>
                </c:pt>
                <c:pt idx="18">
                  <c:v>4.3957662688924266</c:v>
                </c:pt>
                <c:pt idx="19">
                  <c:v>7.4349294898703304</c:v>
                </c:pt>
                <c:pt idx="20">
                  <c:v>10.508522694850116</c:v>
                </c:pt>
                <c:pt idx="21">
                  <c:v>13.613046915231564</c:v>
                </c:pt>
                <c:pt idx="22">
                  <c:v>16.74532951014211</c:v>
                </c:pt>
                <c:pt idx="23">
                  <c:v>19.902477425593524</c:v>
                </c:pt>
                <c:pt idx="24">
                  <c:v>23.081833865003894</c:v>
                </c:pt>
                <c:pt idx="25">
                  <c:v>26.280937316511903</c:v>
                </c:pt>
                <c:pt idx="26">
                  <c:v>29.497481663761743</c:v>
                </c:pt>
                <c:pt idx="27">
                  <c:v>32.729275782797934</c:v>
                </c:pt>
                <c:pt idx="28">
                  <c:v>35.974200517974971</c:v>
                </c:pt>
                <c:pt idx="29">
                  <c:v>39.230160105746087</c:v>
                </c:pt>
                <c:pt idx="30">
                  <c:v>42.495023757793398</c:v>
                </c:pt>
                <c:pt idx="31">
                  <c:v>45.766550833953623</c:v>
                </c:pt>
                <c:pt idx="32">
                  <c:v>49.04228910837859</c:v>
                </c:pt>
                <c:pt idx="33">
                  <c:v>52.319428670327412</c:v>
                </c:pt>
                <c:pt idx="34">
                  <c:v>55.594581223038837</c:v>
                </c:pt>
                <c:pt idx="35">
                  <c:v>58.863430130174407</c:v>
                </c:pt>
                <c:pt idx="36">
                  <c:v>62.120147714715685</c:v>
                </c:pt>
                <c:pt idx="37">
                  <c:v>65.356373345511315</c:v>
                </c:pt>
                <c:pt idx="38">
                  <c:v>68.559315678555663</c:v>
                </c:pt>
                <c:pt idx="39">
                  <c:v>71.707994207809435</c:v>
                </c:pt>
                <c:pt idx="40">
                  <c:v>74.765245687919915</c:v>
                </c:pt>
                <c:pt idx="41">
                  <c:v>77.659460168674883</c:v>
                </c:pt>
                <c:pt idx="42">
                  <c:v>80.241084021286682</c:v>
                </c:pt>
                <c:pt idx="43">
                  <c:v>82.190610360438285</c:v>
                </c:pt>
                <c:pt idx="44">
                  <c:v>82.959624558737431</c:v>
                </c:pt>
              </c:numCache>
            </c:numRef>
          </c:yVal>
          <c:smooth val="1"/>
        </c:ser>
        <c:ser>
          <c:idx val="5"/>
          <c:order val="5"/>
          <c:tx>
            <c:v>Junio1</c:v>
          </c:tx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 (2)'!$AI$480:$AI$524</c:f>
              <c:numCache>
                <c:formatCode>General</c:formatCode>
                <c:ptCount val="45"/>
                <c:pt idx="0">
                  <c:v>62.9128608915928</c:v>
                </c:pt>
                <c:pt idx="1">
                  <c:v>62.9128608915928</c:v>
                </c:pt>
                <c:pt idx="2">
                  <c:v>62.9128608915928</c:v>
                </c:pt>
                <c:pt idx="3">
                  <c:v>62.9128608915928</c:v>
                </c:pt>
                <c:pt idx="4">
                  <c:v>62.9128608915928</c:v>
                </c:pt>
                <c:pt idx="5">
                  <c:v>62.9128608915928</c:v>
                </c:pt>
                <c:pt idx="6">
                  <c:v>62.9128608915928</c:v>
                </c:pt>
                <c:pt idx="7">
                  <c:v>62.9128608915928</c:v>
                </c:pt>
                <c:pt idx="8">
                  <c:v>62.9128608915928</c:v>
                </c:pt>
                <c:pt idx="9">
                  <c:v>62.9128608915928</c:v>
                </c:pt>
                <c:pt idx="10">
                  <c:v>62.9128608915928</c:v>
                </c:pt>
                <c:pt idx="11">
                  <c:v>62.9128608915928</c:v>
                </c:pt>
                <c:pt idx="12">
                  <c:v>62.9128608915928</c:v>
                </c:pt>
                <c:pt idx="13">
                  <c:v>62.9128608915928</c:v>
                </c:pt>
                <c:pt idx="14">
                  <c:v>62.9128608915928</c:v>
                </c:pt>
                <c:pt idx="15">
                  <c:v>62.9128608915928</c:v>
                </c:pt>
                <c:pt idx="16">
                  <c:v>62.9128608915928</c:v>
                </c:pt>
                <c:pt idx="17">
                  <c:v>64.210417713039391</c:v>
                </c:pt>
                <c:pt idx="18">
                  <c:v>65.946471612619035</c:v>
                </c:pt>
                <c:pt idx="19">
                  <c:v>67.620103183634782</c:v>
                </c:pt>
                <c:pt idx="20">
                  <c:v>69.238766580276192</c:v>
                </c:pt>
                <c:pt idx="21">
                  <c:v>70.809669788281539</c:v>
                </c:pt>
                <c:pt idx="22">
                  <c:v>72.339857941509536</c:v>
                </c:pt>
                <c:pt idx="23">
                  <c:v>73.83631338575087</c:v>
                </c:pt>
                <c:pt idx="24">
                  <c:v>75.306075969479892</c:v>
                </c:pt>
                <c:pt idx="25">
                  <c:v>76.756389670247245</c:v>
                </c:pt>
                <c:pt idx="26">
                  <c:v>78.194885172264662</c:v>
                </c:pt>
                <c:pt idx="27">
                  <c:v>79.6298130154468</c:v>
                </c:pt>
                <c:pt idx="28">
                  <c:v>81.070349439875727</c:v>
                </c:pt>
                <c:pt idx="29">
                  <c:v>82.527008733511849</c:v>
                </c:pt>
                <c:pt idx="30">
                  <c:v>84.012214678363549</c:v>
                </c:pt>
                <c:pt idx="31">
                  <c:v>85.541114838437892</c:v>
                </c:pt>
                <c:pt idx="32">
                  <c:v>87.132774729162193</c:v>
                </c:pt>
                <c:pt idx="33">
                  <c:v>88.81198326588455</c:v>
                </c:pt>
                <c:pt idx="34">
                  <c:v>90.61207438362122</c:v>
                </c:pt>
                <c:pt idx="35">
                  <c:v>92.579502568460512</c:v>
                </c:pt>
                <c:pt idx="36">
                  <c:v>94.781580028246267</c:v>
                </c:pt>
                <c:pt idx="37">
                  <c:v>97.320207125180872</c:v>
                </c:pt>
                <c:pt idx="38">
                  <c:v>100.35764369223884</c:v>
                </c:pt>
                <c:pt idx="39">
                  <c:v>104.1681266407447</c:v>
                </c:pt>
                <c:pt idx="40">
                  <c:v>109.24906860936896</c:v>
                </c:pt>
                <c:pt idx="41">
                  <c:v>116.57818835866789</c:v>
                </c:pt>
                <c:pt idx="42">
                  <c:v>128.21842313636409</c:v>
                </c:pt>
                <c:pt idx="43">
                  <c:v>148.30065305276554</c:v>
                </c:pt>
                <c:pt idx="44">
                  <c:v>180</c:v>
                </c:pt>
              </c:numCache>
            </c:numRef>
          </c:xVal>
          <c:yVal>
            <c:numRef>
              <c:f>'CS 1er sem datos (2)'!$AH$480:$AH$524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2.1202753980372413</c:v>
                </c:pt>
                <c:pt idx="18">
                  <c:v>5.0924146750739654</c:v>
                </c:pt>
                <c:pt idx="19">
                  <c:v>8.1043070057537481</c:v>
                </c:pt>
                <c:pt idx="20">
                  <c:v>11.152054967319165</c:v>
                </c:pt>
                <c:pt idx="21">
                  <c:v>14.232141959296721</c:v>
                </c:pt>
                <c:pt idx="22">
                  <c:v>17.341384212199728</c:v>
                </c:pt>
                <c:pt idx="23">
                  <c:v>20.476887020474013</c:v>
                </c:pt>
                <c:pt idx="24">
                  <c:v>23.63600454935963</c:v>
                </c:pt>
                <c:pt idx="25">
                  <c:v>26.816302428045219</c:v>
                </c:pt>
                <c:pt idx="26">
                  <c:v>30.015522183197557</c:v>
                </c:pt>
                <c:pt idx="27">
                  <c:v>33.231546345941183</c:v>
                </c:pt>
                <c:pt idx="28">
                  <c:v>36.462362723804389</c:v>
                </c:pt>
                <c:pt idx="29">
                  <c:v>39.706025776532329</c:v>
                </c:pt>
                <c:pt idx="30">
                  <c:v>42.96061211769922</c:v>
                </c:pt>
                <c:pt idx="31">
                  <c:v>46.224165608624986</c:v>
                </c:pt>
                <c:pt idx="32">
                  <c:v>49.494624805188728</c:v>
                </c:pt>
                <c:pt idx="33">
                  <c:v>52.769720664377957</c:v>
                </c:pt>
                <c:pt idx="34">
                  <c:v>56.046823385268709</c:v>
                </c:pt>
                <c:pt idx="35">
                  <c:v>59.322699706541478</c:v>
                </c:pt>
                <c:pt idx="36">
                  <c:v>62.593106094089499</c:v>
                </c:pt>
                <c:pt idx="37">
                  <c:v>65.852065383625572</c:v>
                </c:pt>
                <c:pt idx="38">
                  <c:v>69.090493335033685</c:v>
                </c:pt>
                <c:pt idx="39">
                  <c:v>72.293384766068968</c:v>
                </c:pt>
                <c:pt idx="40">
                  <c:v>75.433504705998018</c:v>
                </c:pt>
                <c:pt idx="41">
                  <c:v>78.455669637047322</c:v>
                </c:pt>
                <c:pt idx="42">
                  <c:v>81.233104553844399</c:v>
                </c:pt>
                <c:pt idx="43">
                  <c:v>83.443209461256842</c:v>
                </c:pt>
                <c:pt idx="44">
                  <c:v>84.369782846813621</c:v>
                </c:pt>
              </c:numCache>
            </c:numRef>
          </c:yVal>
          <c:smooth val="1"/>
        </c:ser>
        <c:ser>
          <c:idx val="6"/>
          <c:order val="6"/>
          <c:tx>
            <c:v>Diciembre1</c:v>
          </c:tx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 (2)'!$AO$480:$AO$524</c:f>
              <c:numCache>
                <c:formatCode>General</c:formatCode>
                <c:ptCount val="45"/>
                <c:pt idx="0">
                  <c:v>116.57086830691144</c:v>
                </c:pt>
                <c:pt idx="1">
                  <c:v>116.57086830691144</c:v>
                </c:pt>
                <c:pt idx="2">
                  <c:v>116.57086830691144</c:v>
                </c:pt>
                <c:pt idx="3">
                  <c:v>116.57086830691144</c:v>
                </c:pt>
                <c:pt idx="4">
                  <c:v>116.57086830691144</c:v>
                </c:pt>
                <c:pt idx="5">
                  <c:v>116.57086830691144</c:v>
                </c:pt>
                <c:pt idx="6">
                  <c:v>116.57086830691144</c:v>
                </c:pt>
                <c:pt idx="7">
                  <c:v>116.57086830691144</c:v>
                </c:pt>
                <c:pt idx="8">
                  <c:v>116.57086830691144</c:v>
                </c:pt>
                <c:pt idx="9">
                  <c:v>116.57086830691144</c:v>
                </c:pt>
                <c:pt idx="10">
                  <c:v>116.57086830691144</c:v>
                </c:pt>
                <c:pt idx="11">
                  <c:v>116.57086830691144</c:v>
                </c:pt>
                <c:pt idx="12">
                  <c:v>116.57086830691144</c:v>
                </c:pt>
                <c:pt idx="13">
                  <c:v>116.57086830691144</c:v>
                </c:pt>
                <c:pt idx="14">
                  <c:v>116.57086830691144</c:v>
                </c:pt>
                <c:pt idx="15">
                  <c:v>116.57086830691144</c:v>
                </c:pt>
                <c:pt idx="16">
                  <c:v>116.57086830691144</c:v>
                </c:pt>
                <c:pt idx="17">
                  <c:v>116.57086830691144</c:v>
                </c:pt>
                <c:pt idx="18">
                  <c:v>116.57086830691144</c:v>
                </c:pt>
                <c:pt idx="19">
                  <c:v>116.57086830691144</c:v>
                </c:pt>
                <c:pt idx="20">
                  <c:v>116.57086830691144</c:v>
                </c:pt>
                <c:pt idx="21">
                  <c:v>116.57086830691144</c:v>
                </c:pt>
                <c:pt idx="22">
                  <c:v>116.57086830691144</c:v>
                </c:pt>
                <c:pt idx="23">
                  <c:v>116.57086830691144</c:v>
                </c:pt>
                <c:pt idx="24">
                  <c:v>117.22586297915178</c:v>
                </c:pt>
                <c:pt idx="25">
                  <c:v>119.11619473496825</c:v>
                </c:pt>
                <c:pt idx="26">
                  <c:v>121.09326239230391</c:v>
                </c:pt>
                <c:pt idx="27">
                  <c:v>123.16619289075763</c:v>
                </c:pt>
                <c:pt idx="28">
                  <c:v>125.34452095224731</c:v>
                </c:pt>
                <c:pt idx="29">
                  <c:v>127.63813328175564</c:v>
                </c:pt>
                <c:pt idx="30">
                  <c:v>130.05716000222259</c:v>
                </c:pt>
                <c:pt idx="31">
                  <c:v>132.61179780419786</c:v>
                </c:pt>
                <c:pt idx="32">
                  <c:v>135.31204694577815</c:v>
                </c:pt>
                <c:pt idx="33">
                  <c:v>138.16734330797073</c:v>
                </c:pt>
                <c:pt idx="34">
                  <c:v>141.18606855224019</c:v>
                </c:pt>
                <c:pt idx="35">
                  <c:v>144.37492789342167</c:v>
                </c:pt>
                <c:pt idx="36">
                  <c:v>147.73819825211658</c:v>
                </c:pt>
                <c:pt idx="37">
                  <c:v>151.27687148239153</c:v>
                </c:pt>
                <c:pt idx="38">
                  <c:v>154.98774850536256</c:v>
                </c:pt>
                <c:pt idx="39">
                  <c:v>158.86257803594248</c:v>
                </c:pt>
                <c:pt idx="40">
                  <c:v>162.88737099929463</c:v>
                </c:pt>
                <c:pt idx="41">
                  <c:v>167.04204621930259</c:v>
                </c:pt>
                <c:pt idx="42">
                  <c:v>171.30055878952365</c:v>
                </c:pt>
                <c:pt idx="43">
                  <c:v>175.63161653134421</c:v>
                </c:pt>
                <c:pt idx="44">
                  <c:v>180</c:v>
                </c:pt>
              </c:numCache>
            </c:numRef>
          </c:xVal>
          <c:yVal>
            <c:numRef>
              <c:f>'CS 1er sem datos (2)'!$AN$480:$AN$524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1.0425877010819102</c:v>
                </c:pt>
                <c:pt idx="25">
                  <c:v>3.9317047480627632</c:v>
                </c:pt>
                <c:pt idx="26">
                  <c:v>6.7669919116472963</c:v>
                </c:pt>
                <c:pt idx="27">
                  <c:v>9.5424491197324475</c:v>
                </c:pt>
                <c:pt idx="28">
                  <c:v>12.251377298592953</c:v>
                </c:pt>
                <c:pt idx="29">
                  <c:v>14.886303279823363</c:v>
                </c:pt>
                <c:pt idx="30">
                  <c:v>17.43890578214755</c:v>
                </c:pt>
                <c:pt idx="31">
                  <c:v>19.899947289311033</c:v>
                </c:pt>
                <c:pt idx="32">
                  <c:v>22.259218825541542</c:v>
                </c:pt>
                <c:pt idx="33">
                  <c:v>24.505507292084097</c:v>
                </c:pt>
                <c:pt idx="34">
                  <c:v>26.626598034991446</c:v>
                </c:pt>
                <c:pt idx="35">
                  <c:v>28.609328312721424</c:v>
                </c:pt>
                <c:pt idx="36">
                  <c:v>30.439709654260056</c:v>
                </c:pt>
                <c:pt idx="37">
                  <c:v>32.103137689028557</c:v>
                </c:pt>
                <c:pt idx="38">
                  <c:v>33.584705474254456</c:v>
                </c:pt>
                <c:pt idx="39">
                  <c:v>34.869629107521455</c:v>
                </c:pt>
                <c:pt idx="40">
                  <c:v>35.943781380086349</c:v>
                </c:pt>
                <c:pt idx="41">
                  <c:v>36.794310562600629</c:v>
                </c:pt>
                <c:pt idx="42">
                  <c:v>37.410299462056066</c:v>
                </c:pt>
                <c:pt idx="43">
                  <c:v>37.783399579107147</c:v>
                </c:pt>
                <c:pt idx="44">
                  <c:v>37.908363272130764</c:v>
                </c:pt>
              </c:numCache>
            </c:numRef>
          </c:yVal>
          <c:smooth val="1"/>
        </c:ser>
        <c:ser>
          <c:idx val="7"/>
          <c:order val="7"/>
          <c:tx>
            <c:v>ene-02</c:v>
          </c:tx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 (2)'!$E$525:$E$569</c:f>
              <c:numCache>
                <c:formatCode>General</c:formatCode>
                <c:ptCount val="45"/>
                <c:pt idx="0">
                  <c:v>180</c:v>
                </c:pt>
                <c:pt idx="1">
                  <c:v>184.91330043874521</c:v>
                </c:pt>
                <c:pt idx="2">
                  <c:v>189.77417890379795</c:v>
                </c:pt>
                <c:pt idx="3">
                  <c:v>194.53390671654557</c:v>
                </c:pt>
                <c:pt idx="4">
                  <c:v>199.15052207690977</c:v>
                </c:pt>
                <c:pt idx="5">
                  <c:v>203.59084994125388</c:v>
                </c:pt>
                <c:pt idx="6">
                  <c:v>207.8313208667777</c:v>
                </c:pt>
                <c:pt idx="7">
                  <c:v>211.85771299336614</c:v>
                </c:pt>
                <c:pt idx="8">
                  <c:v>215.66411358917844</c:v>
                </c:pt>
                <c:pt idx="9">
                  <c:v>219.25144745033739</c:v>
                </c:pt>
                <c:pt idx="10">
                  <c:v>222.62587706871471</c:v>
                </c:pt>
                <c:pt idx="11">
                  <c:v>225.79729121598822</c:v>
                </c:pt>
                <c:pt idx="12">
                  <c:v>228.77800508269911</c:v>
                </c:pt>
                <c:pt idx="13">
                  <c:v>231.58171961545486</c:v>
                </c:pt>
                <c:pt idx="14">
                  <c:v>234.2227374908216</c:v>
                </c:pt>
                <c:pt idx="15">
                  <c:v>236.71540580591639</c:v>
                </c:pt>
                <c:pt idx="16">
                  <c:v>239.07374480488153</c:v>
                </c:pt>
                <c:pt idx="17">
                  <c:v>241.31122141559138</c:v>
                </c:pt>
                <c:pt idx="18">
                  <c:v>243.44063109329736</c:v>
                </c:pt>
                <c:pt idx="19">
                  <c:v>245.47405821210401</c:v>
                </c:pt>
                <c:pt idx="20">
                  <c:v>247.42289216802021</c:v>
                </c:pt>
                <c:pt idx="21">
                  <c:v>249.29788258050161</c:v>
                </c:pt>
                <c:pt idx="22">
                  <c:v>249.85519203924551</c:v>
                </c:pt>
                <c:pt idx="23">
                  <c:v>249.85519203924551</c:v>
                </c:pt>
                <c:pt idx="24">
                  <c:v>249.85519203924551</c:v>
                </c:pt>
                <c:pt idx="25">
                  <c:v>249.85519203924551</c:v>
                </c:pt>
                <c:pt idx="26">
                  <c:v>249.85519203924551</c:v>
                </c:pt>
                <c:pt idx="27">
                  <c:v>249.85519203924551</c:v>
                </c:pt>
                <c:pt idx="28">
                  <c:v>249.85519203924551</c:v>
                </c:pt>
                <c:pt idx="29">
                  <c:v>249.85519203924551</c:v>
                </c:pt>
                <c:pt idx="30">
                  <c:v>249.85519203924551</c:v>
                </c:pt>
                <c:pt idx="31">
                  <c:v>249.85519203924551</c:v>
                </c:pt>
                <c:pt idx="32">
                  <c:v>249.85519203924551</c:v>
                </c:pt>
                <c:pt idx="33">
                  <c:v>249.85519203924551</c:v>
                </c:pt>
                <c:pt idx="34">
                  <c:v>249.85519203924551</c:v>
                </c:pt>
                <c:pt idx="35">
                  <c:v>249.85519203924551</c:v>
                </c:pt>
                <c:pt idx="36">
                  <c:v>249.85519203924551</c:v>
                </c:pt>
                <c:pt idx="37">
                  <c:v>249.85519203924551</c:v>
                </c:pt>
                <c:pt idx="38">
                  <c:v>249.85519203924551</c:v>
                </c:pt>
                <c:pt idx="39">
                  <c:v>249.85519203924551</c:v>
                </c:pt>
                <c:pt idx="40">
                  <c:v>249.85519203924551</c:v>
                </c:pt>
                <c:pt idx="41">
                  <c:v>249.85519203924551</c:v>
                </c:pt>
                <c:pt idx="42">
                  <c:v>249.85519203924551</c:v>
                </c:pt>
                <c:pt idx="43">
                  <c:v>249.85519203924551</c:v>
                </c:pt>
                <c:pt idx="44">
                  <c:v>249.85519203924551</c:v>
                </c:pt>
              </c:numCache>
            </c:numRef>
          </c:xVal>
          <c:yVal>
            <c:numRef>
              <c:f>'CS 1er sem datos (2)'!$D$525:$D$569</c:f>
              <c:numCache>
                <c:formatCode>General</c:formatCode>
                <c:ptCount val="45"/>
                <c:pt idx="0">
                  <c:v>43.40350454351578</c:v>
                </c:pt>
                <c:pt idx="1">
                  <c:v>43.262945341914246</c:v>
                </c:pt>
                <c:pt idx="2">
                  <c:v>42.843795303430973</c:v>
                </c:pt>
                <c:pt idx="3">
                  <c:v>42.153416478788429</c:v>
                </c:pt>
                <c:pt idx="4">
                  <c:v>41.203386965463082</c:v>
                </c:pt>
                <c:pt idx="5">
                  <c:v>40.008600423503495</c:v>
                </c:pt>
                <c:pt idx="6">
                  <c:v>38.586234675889074</c:v>
                </c:pt>
                <c:pt idx="7">
                  <c:v>36.954734293761113</c:v>
                </c:pt>
                <c:pt idx="8">
                  <c:v>35.132915612826856</c:v>
                </c:pt>
                <c:pt idx="9">
                  <c:v>33.13925442520032</c:v>
                </c:pt>
                <c:pt idx="10">
                  <c:v>30.991372620610438</c:v>
                </c:pt>
                <c:pt idx="11">
                  <c:v>28.705708936178901</c:v>
                </c:pt>
                <c:pt idx="12">
                  <c:v>26.297342212361595</c:v>
                </c:pt>
                <c:pt idx="13">
                  <c:v>23.779930338375731</c:v>
                </c:pt>
                <c:pt idx="14">
                  <c:v>21.165730212534523</c:v>
                </c:pt>
                <c:pt idx="15">
                  <c:v>18.465669796710831</c:v>
                </c:pt>
                <c:pt idx="16">
                  <c:v>15.689450108647346</c:v>
                </c:pt>
                <c:pt idx="17">
                  <c:v>12.845661301158438</c:v>
                </c:pt>
                <c:pt idx="18">
                  <c:v>9.9419021858772343</c:v>
                </c:pt>
                <c:pt idx="19">
                  <c:v>6.9848965382721495</c:v>
                </c:pt>
                <c:pt idx="20">
                  <c:v>3.9806023907424599</c:v>
                </c:pt>
                <c:pt idx="21">
                  <c:v>0.93431249689201767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1"/>
        </c:ser>
        <c:ser>
          <c:idx val="8"/>
          <c:order val="8"/>
          <c:tx>
            <c:v>feb-02</c:v>
          </c:tx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 (2)'!$K$525:$K$569</c:f>
              <c:numCache>
                <c:formatCode>General</c:formatCode>
                <c:ptCount val="45"/>
                <c:pt idx="0">
                  <c:v>180</c:v>
                </c:pt>
                <c:pt idx="1">
                  <c:v>186.09610971644452</c:v>
                </c:pt>
                <c:pt idx="2">
                  <c:v>192.09193755029088</c:v>
                </c:pt>
                <c:pt idx="3">
                  <c:v>197.89787980925627</c:v>
                </c:pt>
                <c:pt idx="4">
                  <c:v>203.44302111465461</c:v>
                </c:pt>
                <c:pt idx="5">
                  <c:v>208.67897317140793</c:v>
                </c:pt>
                <c:pt idx="6">
                  <c:v>213.57961183592639</c:v>
                </c:pt>
                <c:pt idx="7">
                  <c:v>218.13791226997694</c:v>
                </c:pt>
                <c:pt idx="8">
                  <c:v>222.36141822563656</c:v>
                </c:pt>
                <c:pt idx="9">
                  <c:v>226.26760517252364</c:v>
                </c:pt>
                <c:pt idx="10">
                  <c:v>229.87988604841482</c:v>
                </c:pt>
                <c:pt idx="11">
                  <c:v>233.22454796207109</c:v>
                </c:pt>
                <c:pt idx="12">
                  <c:v>236.32861033625156</c:v>
                </c:pt>
                <c:pt idx="13">
                  <c:v>239.21845267635248</c:v>
                </c:pt>
                <c:pt idx="14">
                  <c:v>241.91902200639373</c:v>
                </c:pt>
                <c:pt idx="15">
                  <c:v>244.45344574396051</c:v>
                </c:pt>
                <c:pt idx="16">
                  <c:v>246.84291146983276</c:v>
                </c:pt>
                <c:pt idx="17">
                  <c:v>249.10671257248649</c:v>
                </c:pt>
                <c:pt idx="18">
                  <c:v>251.26239055601204</c:v>
                </c:pt>
                <c:pt idx="19">
                  <c:v>253.32592903592246</c:v>
                </c:pt>
                <c:pt idx="20">
                  <c:v>255.31197177717854</c:v>
                </c:pt>
                <c:pt idx="21">
                  <c:v>257.23404902869999</c:v>
                </c:pt>
                <c:pt idx="22">
                  <c:v>259.1048043846086</c:v>
                </c:pt>
                <c:pt idx="23">
                  <c:v>260.4996370717837</c:v>
                </c:pt>
                <c:pt idx="24">
                  <c:v>260.4996370717837</c:v>
                </c:pt>
                <c:pt idx="25">
                  <c:v>260.4996370717837</c:v>
                </c:pt>
                <c:pt idx="26">
                  <c:v>260.4996370717837</c:v>
                </c:pt>
                <c:pt idx="27">
                  <c:v>260.4996370717837</c:v>
                </c:pt>
                <c:pt idx="28">
                  <c:v>260.4996370717837</c:v>
                </c:pt>
                <c:pt idx="29">
                  <c:v>260.4996370717837</c:v>
                </c:pt>
                <c:pt idx="30">
                  <c:v>260.4996370717837</c:v>
                </c:pt>
                <c:pt idx="31">
                  <c:v>260.4996370717837</c:v>
                </c:pt>
                <c:pt idx="32">
                  <c:v>260.4996370717837</c:v>
                </c:pt>
                <c:pt idx="33">
                  <c:v>260.4996370717837</c:v>
                </c:pt>
                <c:pt idx="34">
                  <c:v>260.4996370717837</c:v>
                </c:pt>
                <c:pt idx="35">
                  <c:v>260.4996370717837</c:v>
                </c:pt>
                <c:pt idx="36">
                  <c:v>260.4996370717837</c:v>
                </c:pt>
                <c:pt idx="37">
                  <c:v>260.4996370717837</c:v>
                </c:pt>
                <c:pt idx="38">
                  <c:v>260.4996370717837</c:v>
                </c:pt>
                <c:pt idx="39">
                  <c:v>260.4996370717837</c:v>
                </c:pt>
                <c:pt idx="40">
                  <c:v>260.4996370717837</c:v>
                </c:pt>
                <c:pt idx="41">
                  <c:v>260.4996370717837</c:v>
                </c:pt>
                <c:pt idx="42">
                  <c:v>260.4996370717837</c:v>
                </c:pt>
                <c:pt idx="43">
                  <c:v>260.4996370717837</c:v>
                </c:pt>
                <c:pt idx="44">
                  <c:v>260.4996370717837</c:v>
                </c:pt>
              </c:numCache>
            </c:numRef>
          </c:xVal>
          <c:yVal>
            <c:numRef>
              <c:f>'CS 1er sem datos (2)'!$J$525:$J$569</c:f>
              <c:numCache>
                <c:formatCode>General</c:formatCode>
                <c:ptCount val="45"/>
                <c:pt idx="0">
                  <c:v>52.626294934964093</c:v>
                </c:pt>
                <c:pt idx="1">
                  <c:v>52.451869064489031</c:v>
                </c:pt>
                <c:pt idx="2">
                  <c:v>51.933418421751355</c:v>
                </c:pt>
                <c:pt idx="3">
                  <c:v>51.084784156101065</c:v>
                </c:pt>
                <c:pt idx="4">
                  <c:v>49.927090631227195</c:v>
                </c:pt>
                <c:pt idx="5">
                  <c:v>48.486394640260585</c:v>
                </c:pt>
                <c:pt idx="6">
                  <c:v>46.791256419696218</c:v>
                </c:pt>
                <c:pt idx="7">
                  <c:v>44.870650074713652</c:v>
                </c:pt>
                <c:pt idx="8">
                  <c:v>42.752422426604682</c:v>
                </c:pt>
                <c:pt idx="9">
                  <c:v>40.462323140338867</c:v>
                </c:pt>
                <c:pt idx="10">
                  <c:v>38.023516172043877</c:v>
                </c:pt>
                <c:pt idx="11">
                  <c:v>35.45644159934281</c:v>
                </c:pt>
                <c:pt idx="12">
                  <c:v>32.778902474630826</c:v>
                </c:pt>
                <c:pt idx="13">
                  <c:v>30.006277614225631</c:v>
                </c:pt>
                <c:pt idx="14">
                  <c:v>27.15179118044739</c:v>
                </c:pt>
                <c:pt idx="15">
                  <c:v>24.226795427541798</c:v>
                </c:pt>
                <c:pt idx="16">
                  <c:v>21.241041758651765</c:v>
                </c:pt>
                <c:pt idx="17">
                  <c:v>18.202927787402345</c:v>
                </c:pt>
                <c:pt idx="18">
                  <c:v>15.119715862375806</c:v>
                </c:pt>
                <c:pt idx="19">
                  <c:v>11.997722975509879</c:v>
                </c:pt>
                <c:pt idx="20">
                  <c:v>8.8424843209748119</c:v>
                </c:pt>
                <c:pt idx="21">
                  <c:v>5.6588938422367825</c:v>
                </c:pt>
                <c:pt idx="22">
                  <c:v>2.4513254600836665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1"/>
        </c:ser>
        <c:ser>
          <c:idx val="9"/>
          <c:order val="9"/>
          <c:tx>
            <c:v>mar-02</c:v>
          </c:tx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 (2)'!$Q$525:$Q$569</c:f>
              <c:numCache>
                <c:formatCode>General</c:formatCode>
                <c:ptCount val="45"/>
                <c:pt idx="0">
                  <c:v>180</c:v>
                </c:pt>
                <c:pt idx="1">
                  <c:v>188.77665998940631</c:v>
                </c:pt>
                <c:pt idx="2">
                  <c:v>197.24462077802031</c:v>
                </c:pt>
                <c:pt idx="3">
                  <c:v>205.1610024886981</c:v>
                </c:pt>
                <c:pt idx="4">
                  <c:v>212.38311064588771</c:v>
                </c:pt>
                <c:pt idx="5">
                  <c:v>218.86469749606931</c:v>
                </c:pt>
                <c:pt idx="6">
                  <c:v>224.62959483837517</c:v>
                </c:pt>
                <c:pt idx="7">
                  <c:v>229.74151163468545</c:v>
                </c:pt>
                <c:pt idx="8">
                  <c:v>234.28048306914917</c:v>
                </c:pt>
                <c:pt idx="9">
                  <c:v>238.32819483402687</c:v>
                </c:pt>
                <c:pt idx="10">
                  <c:v>241.96041068291302</c:v>
                </c:pt>
                <c:pt idx="11">
                  <c:v>245.24394286610945</c:v>
                </c:pt>
                <c:pt idx="12">
                  <c:v>248.23612591738978</c:v>
                </c:pt>
                <c:pt idx="13">
                  <c:v>250.98548874993278</c:v>
                </c:pt>
                <c:pt idx="14">
                  <c:v>253.53289017318775</c:v>
                </c:pt>
                <c:pt idx="15">
                  <c:v>255.91274382664383</c:v>
                </c:pt>
                <c:pt idx="16">
                  <c:v>258.15416301445305</c:v>
                </c:pt>
                <c:pt idx="17">
                  <c:v>260.28196306128922</c:v>
                </c:pt>
                <c:pt idx="18">
                  <c:v>262.31751089454286</c:v>
                </c:pt>
                <c:pt idx="19">
                  <c:v>264.27943443989864</c:v>
                </c:pt>
                <c:pt idx="20">
                  <c:v>266.18421264331801</c:v>
                </c:pt>
                <c:pt idx="21">
                  <c:v>268.0466682707239</c:v>
                </c:pt>
                <c:pt idx="22">
                  <c:v>269.88038406649605</c:v>
                </c:pt>
                <c:pt idx="23">
                  <c:v>271.69806032459996</c:v>
                </c:pt>
                <c:pt idx="24">
                  <c:v>273.51182934170981</c:v>
                </c:pt>
                <c:pt idx="25">
                  <c:v>274.59738166832204</c:v>
                </c:pt>
                <c:pt idx="26">
                  <c:v>274.59738166832204</c:v>
                </c:pt>
                <c:pt idx="27">
                  <c:v>274.59738166832204</c:v>
                </c:pt>
                <c:pt idx="28">
                  <c:v>274.59738166832204</c:v>
                </c:pt>
                <c:pt idx="29">
                  <c:v>274.59738166832204</c:v>
                </c:pt>
                <c:pt idx="30">
                  <c:v>274.59738166832204</c:v>
                </c:pt>
                <c:pt idx="31">
                  <c:v>274.59738166832204</c:v>
                </c:pt>
                <c:pt idx="32">
                  <c:v>274.59738166832204</c:v>
                </c:pt>
                <c:pt idx="33">
                  <c:v>274.59738166832204</c:v>
                </c:pt>
                <c:pt idx="34">
                  <c:v>274.59738166832204</c:v>
                </c:pt>
                <c:pt idx="35">
                  <c:v>274.59738166832204</c:v>
                </c:pt>
                <c:pt idx="36">
                  <c:v>274.59738166832204</c:v>
                </c:pt>
                <c:pt idx="37">
                  <c:v>274.59738166832204</c:v>
                </c:pt>
                <c:pt idx="38">
                  <c:v>274.59738166832204</c:v>
                </c:pt>
                <c:pt idx="39">
                  <c:v>274.59738166832204</c:v>
                </c:pt>
                <c:pt idx="40">
                  <c:v>274.59738166832204</c:v>
                </c:pt>
                <c:pt idx="41">
                  <c:v>274.59738166832204</c:v>
                </c:pt>
                <c:pt idx="42">
                  <c:v>274.59738166832204</c:v>
                </c:pt>
                <c:pt idx="43">
                  <c:v>274.59738166832204</c:v>
                </c:pt>
                <c:pt idx="44">
                  <c:v>274.59738166832204</c:v>
                </c:pt>
              </c:numCache>
            </c:numRef>
          </c:xVal>
          <c:yVal>
            <c:numRef>
              <c:f>'CS 1er sem datos (2)'!$P$525:$P$569</c:f>
              <c:numCache>
                <c:formatCode>General</c:formatCode>
                <c:ptCount val="45"/>
                <c:pt idx="0">
                  <c:v>64.936824231055681</c:v>
                </c:pt>
                <c:pt idx="1">
                  <c:v>64.685539973324694</c:v>
                </c:pt>
                <c:pt idx="2">
                  <c:v>63.946316535914804</c:v>
                </c:pt>
                <c:pt idx="3">
                  <c:v>62.759112002659698</c:v>
                </c:pt>
                <c:pt idx="4">
                  <c:v>61.179653601104718</c:v>
                </c:pt>
                <c:pt idx="5">
                  <c:v>59.268918970625663</c:v>
                </c:pt>
                <c:pt idx="6">
                  <c:v>57.085227950933245</c:v>
                </c:pt>
                <c:pt idx="7">
                  <c:v>54.6799580245643</c:v>
                </c:pt>
                <c:pt idx="8">
                  <c:v>52.096153918797427</c:v>
                </c:pt>
                <c:pt idx="9">
                  <c:v>49.368840247490724</c:v>
                </c:pt>
                <c:pt idx="10">
                  <c:v>46.526086303943565</c:v>
                </c:pt>
                <c:pt idx="11">
                  <c:v>43.590258007807279</c:v>
                </c:pt>
                <c:pt idx="12">
                  <c:v>40.579187314260722</c:v>
                </c:pt>
                <c:pt idx="13">
                  <c:v>37.507161881970838</c:v>
                </c:pt>
                <c:pt idx="14">
                  <c:v>34.385722158930136</c:v>
                </c:pt>
                <c:pt idx="15">
                  <c:v>31.224287336900556</c:v>
                </c:pt>
                <c:pt idx="16">
                  <c:v>28.03064132064042</c:v>
                </c:pt>
                <c:pt idx="17">
                  <c:v>24.811309009703319</c:v>
                </c:pt>
                <c:pt idx="18">
                  <c:v>21.571848682913263</c:v>
                </c:pt>
                <c:pt idx="19">
                  <c:v>18.317081148338275</c:v>
                </c:pt>
                <c:pt idx="20">
                  <c:v>15.051271742006362</c:v>
                </c:pt>
                <c:pt idx="21">
                  <c:v>11.778277554284251</c:v>
                </c:pt>
                <c:pt idx="22">
                  <c:v>8.5016694215855537</c:v>
                </c:pt>
                <c:pt idx="23">
                  <c:v>5.2248361178513711</c:v>
                </c:pt>
                <c:pt idx="24">
                  <c:v>1.9510766725967672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1"/>
        </c:ser>
        <c:ser>
          <c:idx val="10"/>
          <c:order val="10"/>
          <c:tx>
            <c:v>abr-02</c:v>
          </c:tx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 (2)'!$W$525:$W$569</c:f>
              <c:numCache>
                <c:formatCode>General</c:formatCode>
                <c:ptCount val="45"/>
                <c:pt idx="0">
                  <c:v>180</c:v>
                </c:pt>
                <c:pt idx="1">
                  <c:v>194.52518916552825</c:v>
                </c:pt>
                <c:pt idx="2">
                  <c:v>207.63336752294182</c:v>
                </c:pt>
                <c:pt idx="3">
                  <c:v>218.62819263654703</c:v>
                </c:pt>
                <c:pt idx="4">
                  <c:v>227.52975571607143</c:v>
                </c:pt>
                <c:pt idx="5">
                  <c:v>234.68902064071602</c:v>
                </c:pt>
                <c:pt idx="6">
                  <c:v>240.50349817604823</c:v>
                </c:pt>
                <c:pt idx="7">
                  <c:v>245.30803715847912</c:v>
                </c:pt>
                <c:pt idx="8">
                  <c:v>249.35738763081932</c:v>
                </c:pt>
                <c:pt idx="9">
                  <c:v>252.83866112799464</c:v>
                </c:pt>
                <c:pt idx="10">
                  <c:v>255.88839980123649</c:v>
                </c:pt>
                <c:pt idx="11">
                  <c:v>258.60692573923922</c:v>
                </c:pt>
                <c:pt idx="12">
                  <c:v>261.06892668701215</c:v>
                </c:pt>
                <c:pt idx="13">
                  <c:v>263.33091693398319</c:v>
                </c:pt>
                <c:pt idx="14">
                  <c:v>265.43642690766961</c:v>
                </c:pt>
                <c:pt idx="15">
                  <c:v>267.4196185372374</c:v>
                </c:pt>
                <c:pt idx="16">
                  <c:v>269.30782635394411</c:v>
                </c:pt>
                <c:pt idx="17">
                  <c:v>271.12336643863125</c:v>
                </c:pt>
                <c:pt idx="18">
                  <c:v>272.88484365218596</c:v>
                </c:pt>
                <c:pt idx="19">
                  <c:v>274.60811215329227</c:v>
                </c:pt>
                <c:pt idx="20">
                  <c:v>276.30699408544757</c:v>
                </c:pt>
                <c:pt idx="21">
                  <c:v>277.99382809263966</c:v>
                </c:pt>
                <c:pt idx="22">
                  <c:v>279.67989719526912</c:v>
                </c:pt>
                <c:pt idx="23">
                  <c:v>281.37577068119003</c:v>
                </c:pt>
                <c:pt idx="24">
                  <c:v>283.09158453138394</c:v>
                </c:pt>
                <c:pt idx="25">
                  <c:v>284.83727786470769</c:v>
                </c:pt>
                <c:pt idx="26">
                  <c:v>286.62279786348262</c:v>
                </c:pt>
                <c:pt idx="27">
                  <c:v>287.11190742150467</c:v>
                </c:pt>
                <c:pt idx="28">
                  <c:v>287.11190742150467</c:v>
                </c:pt>
                <c:pt idx="29">
                  <c:v>287.11190742150467</c:v>
                </c:pt>
                <c:pt idx="30">
                  <c:v>287.11190742150467</c:v>
                </c:pt>
                <c:pt idx="31">
                  <c:v>287.11190742150467</c:v>
                </c:pt>
                <c:pt idx="32">
                  <c:v>287.11190742150467</c:v>
                </c:pt>
                <c:pt idx="33">
                  <c:v>287.11190742150467</c:v>
                </c:pt>
                <c:pt idx="34">
                  <c:v>287.11190742150467</c:v>
                </c:pt>
                <c:pt idx="35">
                  <c:v>287.11190742150467</c:v>
                </c:pt>
                <c:pt idx="36">
                  <c:v>287.11190742150467</c:v>
                </c:pt>
                <c:pt idx="37">
                  <c:v>287.11190742150467</c:v>
                </c:pt>
                <c:pt idx="38">
                  <c:v>287.11190742150467</c:v>
                </c:pt>
                <c:pt idx="39">
                  <c:v>287.11190742150467</c:v>
                </c:pt>
                <c:pt idx="40">
                  <c:v>287.11190742150467</c:v>
                </c:pt>
                <c:pt idx="41">
                  <c:v>287.11190742150467</c:v>
                </c:pt>
                <c:pt idx="42">
                  <c:v>287.11190742150467</c:v>
                </c:pt>
                <c:pt idx="43">
                  <c:v>287.11190742150467</c:v>
                </c:pt>
                <c:pt idx="44">
                  <c:v>287.11190742150467</c:v>
                </c:pt>
              </c:numCache>
            </c:numRef>
          </c:xVal>
          <c:yVal>
            <c:numRef>
              <c:f>'CS 1er sem datos (2)'!$V$525:$V$569</c:f>
              <c:numCache>
                <c:formatCode>General</c:formatCode>
                <c:ptCount val="45"/>
                <c:pt idx="0">
                  <c:v>75.820887455874669</c:v>
                </c:pt>
                <c:pt idx="1">
                  <c:v>75.403930559328714</c:v>
                </c:pt>
                <c:pt idx="2">
                  <c:v>74.219255442281607</c:v>
                </c:pt>
                <c:pt idx="3">
                  <c:v>72.422030979321647</c:v>
                </c:pt>
                <c:pt idx="4">
                  <c:v>70.179120424793908</c:v>
                </c:pt>
                <c:pt idx="5">
                  <c:v>67.625326772187762</c:v>
                </c:pt>
                <c:pt idx="6">
                  <c:v>64.85656185960751</c:v>
                </c:pt>
                <c:pt idx="7">
                  <c:v>61.937903656407016</c:v>
                </c:pt>
                <c:pt idx="8">
                  <c:v>58.913198956609463</c:v>
                </c:pt>
                <c:pt idx="9">
                  <c:v>55.812364414492947</c:v>
                </c:pt>
                <c:pt idx="10">
                  <c:v>52.656260335367804</c:v>
                </c:pt>
                <c:pt idx="11">
                  <c:v>49.459812598063799</c:v>
                </c:pt>
                <c:pt idx="12">
                  <c:v>46.234000924702507</c:v>
                </c:pt>
                <c:pt idx="13">
                  <c:v>42.987138064766839</c:v>
                </c:pt>
                <c:pt idx="14">
                  <c:v>39.725707391673502</c:v>
                </c:pt>
                <c:pt idx="15">
                  <c:v>36.454923161732175</c:v>
                </c:pt>
                <c:pt idx="16">
                  <c:v>33.179114183303909</c:v>
                </c:pt>
                <c:pt idx="17">
                  <c:v>29.901993339964587</c:v>
                </c:pt>
                <c:pt idx="18">
                  <c:v>26.626852300629036</c:v>
                </c:pt>
                <c:pt idx="19">
                  <c:v>23.356706677362645</c:v>
                </c:pt>
                <c:pt idx="20">
                  <c:v>20.094408212134532</c:v>
                </c:pt>
                <c:pt idx="21">
                  <c:v>16.842735146975919</c:v>
                </c:pt>
                <c:pt idx="22">
                  <c:v>13.604468496767481</c:v>
                </c:pt>
                <c:pt idx="23">
                  <c:v>10.382459749151513</c:v>
                </c:pt>
                <c:pt idx="24">
                  <c:v>7.1796941081018506</c:v>
                </c:pt>
                <c:pt idx="25">
                  <c:v>3.9993524973288235</c:v>
                </c:pt>
                <c:pt idx="26">
                  <c:v>0.84487497082691032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1"/>
        </c:ser>
        <c:ser>
          <c:idx val="11"/>
          <c:order val="11"/>
          <c:tx>
            <c:v>may-02</c:v>
          </c:tx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 (2)'!$AC$525:$AC$569</c:f>
              <c:numCache>
                <c:formatCode>General</c:formatCode>
                <c:ptCount val="45"/>
                <c:pt idx="0">
                  <c:v>180</c:v>
                </c:pt>
                <c:pt idx="1">
                  <c:v>206.49779951335583</c:v>
                </c:pt>
                <c:pt idx="2">
                  <c:v>225.54339019345761</c:v>
                </c:pt>
                <c:pt idx="3">
                  <c:v>237.79206008253607</c:v>
                </c:pt>
                <c:pt idx="4">
                  <c:v>245.91933603043339</c:v>
                </c:pt>
                <c:pt idx="5">
                  <c:v>251.67877402875439</c:v>
                </c:pt>
                <c:pt idx="6">
                  <c:v>256.02522364421304</c:v>
                </c:pt>
                <c:pt idx="7">
                  <c:v>259.48305718385336</c:v>
                </c:pt>
                <c:pt idx="8">
                  <c:v>262.35478236405373</c:v>
                </c:pt>
                <c:pt idx="9">
                  <c:v>264.82455959073781</c:v>
                </c:pt>
                <c:pt idx="10">
                  <c:v>267.01020777027958</c:v>
                </c:pt>
                <c:pt idx="11">
                  <c:v>268.990503194631</c:v>
                </c:pt>
                <c:pt idx="12">
                  <c:v>270.82022462339319</c:v>
                </c:pt>
                <c:pt idx="13">
                  <c:v>272.53883691192243</c:v>
                </c:pt>
                <c:pt idx="14">
                  <c:v>274.175717163689</c:v>
                </c:pt>
                <c:pt idx="15">
                  <c:v>275.75342021465775</c:v>
                </c:pt>
                <c:pt idx="16">
                  <c:v>277.28978899698308</c:v>
                </c:pt>
                <c:pt idx="17">
                  <c:v>278.79936090721395</c:v>
                </c:pt>
                <c:pt idx="18">
                  <c:v>280.29433209625461</c:v>
                </c:pt>
                <c:pt idx="19">
                  <c:v>281.78523676530943</c:v>
                </c:pt>
                <c:pt idx="20">
                  <c:v>283.28143846255932</c:v>
                </c:pt>
                <c:pt idx="21">
                  <c:v>284.79149484341644</c:v>
                </c:pt>
                <c:pt idx="22">
                  <c:v>286.32343572706782</c:v>
                </c:pt>
                <c:pt idx="23">
                  <c:v>287.884980737614</c:v>
                </c:pt>
                <c:pt idx="24">
                  <c:v>289.48371408277904</c:v>
                </c:pt>
                <c:pt idx="25">
                  <c:v>291.1272281923155</c:v>
                </c:pt>
                <c:pt idx="26">
                  <c:v>292.82324386762787</c:v>
                </c:pt>
                <c:pt idx="27">
                  <c:v>294.57971156973332</c:v>
                </c:pt>
                <c:pt idx="28">
                  <c:v>295.42782328735052</c:v>
                </c:pt>
                <c:pt idx="29">
                  <c:v>295.42782328735052</c:v>
                </c:pt>
                <c:pt idx="30">
                  <c:v>295.42782328735052</c:v>
                </c:pt>
                <c:pt idx="31">
                  <c:v>295.42782328735052</c:v>
                </c:pt>
                <c:pt idx="32">
                  <c:v>295.42782328735052</c:v>
                </c:pt>
                <c:pt idx="33">
                  <c:v>295.42782328735052</c:v>
                </c:pt>
                <c:pt idx="34">
                  <c:v>295.42782328735052</c:v>
                </c:pt>
                <c:pt idx="35">
                  <c:v>295.42782328735052</c:v>
                </c:pt>
                <c:pt idx="36">
                  <c:v>295.42782328735052</c:v>
                </c:pt>
                <c:pt idx="37">
                  <c:v>295.42782328735052</c:v>
                </c:pt>
                <c:pt idx="38">
                  <c:v>295.42782328735052</c:v>
                </c:pt>
                <c:pt idx="39">
                  <c:v>295.42782328735052</c:v>
                </c:pt>
                <c:pt idx="40">
                  <c:v>295.42782328735052</c:v>
                </c:pt>
                <c:pt idx="41">
                  <c:v>295.42782328735052</c:v>
                </c:pt>
                <c:pt idx="42">
                  <c:v>295.42782328735052</c:v>
                </c:pt>
                <c:pt idx="43">
                  <c:v>295.42782328735052</c:v>
                </c:pt>
                <c:pt idx="44">
                  <c:v>295.42782328735052</c:v>
                </c:pt>
              </c:numCache>
            </c:numRef>
          </c:xVal>
          <c:yVal>
            <c:numRef>
              <c:f>'CS 1er sem datos (2)'!$AB$525:$AB$569</c:f>
              <c:numCache>
                <c:formatCode>General</c:formatCode>
                <c:ptCount val="45"/>
                <c:pt idx="0">
                  <c:v>82.959624558737431</c:v>
                </c:pt>
                <c:pt idx="1">
                  <c:v>82.190610360438285</c:v>
                </c:pt>
                <c:pt idx="2">
                  <c:v>80.241084021286682</c:v>
                </c:pt>
                <c:pt idx="3">
                  <c:v>77.659460168674883</c:v>
                </c:pt>
                <c:pt idx="4">
                  <c:v>74.765245687919915</c:v>
                </c:pt>
                <c:pt idx="5">
                  <c:v>71.707994207809435</c:v>
                </c:pt>
                <c:pt idx="6">
                  <c:v>68.559315678555663</c:v>
                </c:pt>
                <c:pt idx="7">
                  <c:v>65.356373345511315</c:v>
                </c:pt>
                <c:pt idx="8">
                  <c:v>62.120147714715685</c:v>
                </c:pt>
                <c:pt idx="9">
                  <c:v>58.863430130174407</c:v>
                </c:pt>
                <c:pt idx="10">
                  <c:v>55.594581223038837</c:v>
                </c:pt>
                <c:pt idx="11">
                  <c:v>52.319428670327412</c:v>
                </c:pt>
                <c:pt idx="12">
                  <c:v>49.04228910837859</c:v>
                </c:pt>
                <c:pt idx="13">
                  <c:v>45.766550833953623</c:v>
                </c:pt>
                <c:pt idx="14">
                  <c:v>42.495023757793398</c:v>
                </c:pt>
                <c:pt idx="15">
                  <c:v>39.230160105746087</c:v>
                </c:pt>
                <c:pt idx="16">
                  <c:v>35.974200517974971</c:v>
                </c:pt>
                <c:pt idx="17">
                  <c:v>32.729275782797934</c:v>
                </c:pt>
                <c:pt idx="18">
                  <c:v>29.497481663761743</c:v>
                </c:pt>
                <c:pt idx="19">
                  <c:v>26.280937316511903</c:v>
                </c:pt>
                <c:pt idx="20">
                  <c:v>23.081833865003894</c:v>
                </c:pt>
                <c:pt idx="21">
                  <c:v>19.902477425593524</c:v>
                </c:pt>
                <c:pt idx="22">
                  <c:v>16.74532951014211</c:v>
                </c:pt>
                <c:pt idx="23">
                  <c:v>13.613046915231564</c:v>
                </c:pt>
                <c:pt idx="24">
                  <c:v>10.508522694850116</c:v>
                </c:pt>
                <c:pt idx="25">
                  <c:v>7.4349294898703304</c:v>
                </c:pt>
                <c:pt idx="26">
                  <c:v>4.3957662688924266</c:v>
                </c:pt>
                <c:pt idx="27">
                  <c:v>1.3949093661271876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1"/>
        </c:ser>
        <c:ser>
          <c:idx val="12"/>
          <c:order val="12"/>
          <c:tx>
            <c:v>jun-02</c:v>
          </c:tx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 (2)'!$AI$525:$AI$569</c:f>
              <c:numCache>
                <c:formatCode>General</c:formatCode>
                <c:ptCount val="45"/>
                <c:pt idx="0">
                  <c:v>180</c:v>
                </c:pt>
                <c:pt idx="1">
                  <c:v>211.69934694723446</c:v>
                </c:pt>
                <c:pt idx="2">
                  <c:v>231.78157686363591</c:v>
                </c:pt>
                <c:pt idx="3">
                  <c:v>243.42181164133211</c:v>
                </c:pt>
                <c:pt idx="4">
                  <c:v>250.75093139063102</c:v>
                </c:pt>
                <c:pt idx="5">
                  <c:v>255.8318733592553</c:v>
                </c:pt>
                <c:pt idx="6">
                  <c:v>259.64235630776113</c:v>
                </c:pt>
                <c:pt idx="7">
                  <c:v>262.6797928748191</c:v>
                </c:pt>
                <c:pt idx="8">
                  <c:v>265.21841997175375</c:v>
                </c:pt>
                <c:pt idx="9">
                  <c:v>267.4204974315395</c:v>
                </c:pt>
                <c:pt idx="10">
                  <c:v>269.38792561637877</c:v>
                </c:pt>
                <c:pt idx="11">
                  <c:v>271.18801673411542</c:v>
                </c:pt>
                <c:pt idx="12">
                  <c:v>272.86722527083782</c:v>
                </c:pt>
                <c:pt idx="13">
                  <c:v>274.45888516156208</c:v>
                </c:pt>
                <c:pt idx="14">
                  <c:v>275.98778532163647</c:v>
                </c:pt>
                <c:pt idx="15">
                  <c:v>277.47299126648818</c:v>
                </c:pt>
                <c:pt idx="16">
                  <c:v>278.92965056012429</c:v>
                </c:pt>
                <c:pt idx="17">
                  <c:v>280.37018698455319</c:v>
                </c:pt>
                <c:pt idx="18">
                  <c:v>281.80511482773534</c:v>
                </c:pt>
                <c:pt idx="19">
                  <c:v>283.24361032975276</c:v>
                </c:pt>
                <c:pt idx="20">
                  <c:v>284.69392403052012</c:v>
                </c:pt>
                <c:pt idx="21">
                  <c:v>286.16368661424912</c:v>
                </c:pt>
                <c:pt idx="22">
                  <c:v>287.66014205849046</c:v>
                </c:pt>
                <c:pt idx="23">
                  <c:v>289.19033021171845</c:v>
                </c:pt>
                <c:pt idx="24">
                  <c:v>290.76123341972379</c:v>
                </c:pt>
                <c:pt idx="25">
                  <c:v>292.3798968163652</c:v>
                </c:pt>
                <c:pt idx="26">
                  <c:v>294.05352838738099</c:v>
                </c:pt>
                <c:pt idx="27">
                  <c:v>295.78958228696058</c:v>
                </c:pt>
                <c:pt idx="28">
                  <c:v>297.0871391084072</c:v>
                </c:pt>
                <c:pt idx="29">
                  <c:v>297.0871391084072</c:v>
                </c:pt>
                <c:pt idx="30">
                  <c:v>297.0871391084072</c:v>
                </c:pt>
                <c:pt idx="31">
                  <c:v>297.0871391084072</c:v>
                </c:pt>
                <c:pt idx="32">
                  <c:v>297.0871391084072</c:v>
                </c:pt>
                <c:pt idx="33">
                  <c:v>297.0871391084072</c:v>
                </c:pt>
                <c:pt idx="34">
                  <c:v>297.0871391084072</c:v>
                </c:pt>
                <c:pt idx="35">
                  <c:v>297.0871391084072</c:v>
                </c:pt>
                <c:pt idx="36">
                  <c:v>297.0871391084072</c:v>
                </c:pt>
                <c:pt idx="37">
                  <c:v>297.0871391084072</c:v>
                </c:pt>
                <c:pt idx="38">
                  <c:v>297.0871391084072</c:v>
                </c:pt>
                <c:pt idx="39">
                  <c:v>297.0871391084072</c:v>
                </c:pt>
                <c:pt idx="40">
                  <c:v>297.0871391084072</c:v>
                </c:pt>
                <c:pt idx="41">
                  <c:v>297.0871391084072</c:v>
                </c:pt>
                <c:pt idx="42">
                  <c:v>297.0871391084072</c:v>
                </c:pt>
                <c:pt idx="43">
                  <c:v>297.0871391084072</c:v>
                </c:pt>
                <c:pt idx="44">
                  <c:v>297.0871391084072</c:v>
                </c:pt>
              </c:numCache>
            </c:numRef>
          </c:xVal>
          <c:yVal>
            <c:numRef>
              <c:f>'CS 1er sem datos (2)'!$AH$525:$AH$569</c:f>
              <c:numCache>
                <c:formatCode>General</c:formatCode>
                <c:ptCount val="45"/>
                <c:pt idx="0">
                  <c:v>84.369782846813621</c:v>
                </c:pt>
                <c:pt idx="1">
                  <c:v>83.443209461256842</c:v>
                </c:pt>
                <c:pt idx="2">
                  <c:v>81.233104553844399</c:v>
                </c:pt>
                <c:pt idx="3">
                  <c:v>78.455669637047322</c:v>
                </c:pt>
                <c:pt idx="4">
                  <c:v>75.433504705998018</c:v>
                </c:pt>
                <c:pt idx="5">
                  <c:v>72.293384766068968</c:v>
                </c:pt>
                <c:pt idx="6">
                  <c:v>69.090493335033685</c:v>
                </c:pt>
                <c:pt idx="7">
                  <c:v>65.852065383625572</c:v>
                </c:pt>
                <c:pt idx="8">
                  <c:v>62.593106094089499</c:v>
                </c:pt>
                <c:pt idx="9">
                  <c:v>59.322699706541478</c:v>
                </c:pt>
                <c:pt idx="10">
                  <c:v>56.046823385268709</c:v>
                </c:pt>
                <c:pt idx="11">
                  <c:v>52.769720664377957</c:v>
                </c:pt>
                <c:pt idx="12">
                  <c:v>49.494624805188728</c:v>
                </c:pt>
                <c:pt idx="13">
                  <c:v>46.224165608624986</c:v>
                </c:pt>
                <c:pt idx="14">
                  <c:v>42.96061211769922</c:v>
                </c:pt>
                <c:pt idx="15">
                  <c:v>39.706025776532329</c:v>
                </c:pt>
                <c:pt idx="16">
                  <c:v>36.462362723804389</c:v>
                </c:pt>
                <c:pt idx="17">
                  <c:v>33.231546345941183</c:v>
                </c:pt>
                <c:pt idx="18">
                  <c:v>30.015522183197557</c:v>
                </c:pt>
                <c:pt idx="19">
                  <c:v>26.816302428045219</c:v>
                </c:pt>
                <c:pt idx="20">
                  <c:v>23.63600454935963</c:v>
                </c:pt>
                <c:pt idx="21">
                  <c:v>20.476887020474013</c:v>
                </c:pt>
                <c:pt idx="22">
                  <c:v>17.341384212199728</c:v>
                </c:pt>
                <c:pt idx="23">
                  <c:v>14.232141959296721</c:v>
                </c:pt>
                <c:pt idx="24">
                  <c:v>11.152054967319165</c:v>
                </c:pt>
                <c:pt idx="25">
                  <c:v>8.1043070057537481</c:v>
                </c:pt>
                <c:pt idx="26">
                  <c:v>5.0924146750739654</c:v>
                </c:pt>
                <c:pt idx="27">
                  <c:v>2.1202753980372413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1"/>
        </c:ser>
        <c:ser>
          <c:idx val="13"/>
          <c:order val="13"/>
          <c:tx>
            <c:v>Diciembre2</c:v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12pm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1er sem datos (2)'!$AO$525:$AO$569</c:f>
              <c:numCache>
                <c:formatCode>General</c:formatCode>
                <c:ptCount val="45"/>
                <c:pt idx="0">
                  <c:v>180</c:v>
                </c:pt>
                <c:pt idx="1">
                  <c:v>184.36838346865579</c:v>
                </c:pt>
                <c:pt idx="2">
                  <c:v>188.69944121047635</c:v>
                </c:pt>
                <c:pt idx="3">
                  <c:v>192.95795378069741</c:v>
                </c:pt>
                <c:pt idx="4">
                  <c:v>197.11262900070537</c:v>
                </c:pt>
                <c:pt idx="5">
                  <c:v>201.13742196405752</c:v>
                </c:pt>
                <c:pt idx="6">
                  <c:v>205.01225149463744</c:v>
                </c:pt>
                <c:pt idx="7">
                  <c:v>208.72312851760847</c:v>
                </c:pt>
                <c:pt idx="8">
                  <c:v>212.26180174788342</c:v>
                </c:pt>
                <c:pt idx="9">
                  <c:v>215.62507210657833</c:v>
                </c:pt>
                <c:pt idx="10">
                  <c:v>218.81393144775981</c:v>
                </c:pt>
                <c:pt idx="11">
                  <c:v>221.83265669202927</c:v>
                </c:pt>
                <c:pt idx="12">
                  <c:v>224.68795305422185</c:v>
                </c:pt>
                <c:pt idx="13">
                  <c:v>227.38820219580214</c:v>
                </c:pt>
                <c:pt idx="14">
                  <c:v>229.94283999777741</c:v>
                </c:pt>
                <c:pt idx="15">
                  <c:v>232.36186671824436</c:v>
                </c:pt>
                <c:pt idx="16">
                  <c:v>234.65547904775269</c:v>
                </c:pt>
                <c:pt idx="17">
                  <c:v>236.83380710924237</c:v>
                </c:pt>
                <c:pt idx="18">
                  <c:v>238.90673760769607</c:v>
                </c:pt>
                <c:pt idx="19">
                  <c:v>240.88380526503175</c:v>
                </c:pt>
                <c:pt idx="20">
                  <c:v>242.77413702084823</c:v>
                </c:pt>
                <c:pt idx="21">
                  <c:v>243.42913169308855</c:v>
                </c:pt>
                <c:pt idx="22">
                  <c:v>243.42913169308855</c:v>
                </c:pt>
                <c:pt idx="23">
                  <c:v>243.42913169308855</c:v>
                </c:pt>
                <c:pt idx="24">
                  <c:v>243.42913169308855</c:v>
                </c:pt>
                <c:pt idx="25">
                  <c:v>243.42913169308855</c:v>
                </c:pt>
                <c:pt idx="26">
                  <c:v>243.42913169308855</c:v>
                </c:pt>
                <c:pt idx="27">
                  <c:v>243.42913169308855</c:v>
                </c:pt>
                <c:pt idx="28">
                  <c:v>243.42913169308855</c:v>
                </c:pt>
                <c:pt idx="29">
                  <c:v>243.42913169308855</c:v>
                </c:pt>
                <c:pt idx="30">
                  <c:v>243.42913169308855</c:v>
                </c:pt>
                <c:pt idx="31">
                  <c:v>243.42913169308855</c:v>
                </c:pt>
                <c:pt idx="32">
                  <c:v>243.42913169308855</c:v>
                </c:pt>
                <c:pt idx="33">
                  <c:v>243.42913169308855</c:v>
                </c:pt>
                <c:pt idx="34">
                  <c:v>243.42913169308855</c:v>
                </c:pt>
                <c:pt idx="35">
                  <c:v>243.42913169308855</c:v>
                </c:pt>
                <c:pt idx="36">
                  <c:v>243.42913169308855</c:v>
                </c:pt>
                <c:pt idx="37">
                  <c:v>243.42913169308855</c:v>
                </c:pt>
                <c:pt idx="38">
                  <c:v>243.42913169308855</c:v>
                </c:pt>
                <c:pt idx="39">
                  <c:v>243.42913169308855</c:v>
                </c:pt>
                <c:pt idx="40">
                  <c:v>243.42913169308855</c:v>
                </c:pt>
                <c:pt idx="41">
                  <c:v>243.42913169308855</c:v>
                </c:pt>
                <c:pt idx="42">
                  <c:v>243.42913169308855</c:v>
                </c:pt>
                <c:pt idx="43">
                  <c:v>243.42913169308855</c:v>
                </c:pt>
                <c:pt idx="44">
                  <c:v>243.42913169308855</c:v>
                </c:pt>
              </c:numCache>
            </c:numRef>
          </c:xVal>
          <c:yVal>
            <c:numRef>
              <c:f>'CS 1er sem datos (2)'!$AN$525:$AN$569</c:f>
              <c:numCache>
                <c:formatCode>General</c:formatCode>
                <c:ptCount val="45"/>
                <c:pt idx="0">
                  <c:v>37.908363272130764</c:v>
                </c:pt>
                <c:pt idx="1">
                  <c:v>37.783399579107147</c:v>
                </c:pt>
                <c:pt idx="2">
                  <c:v>37.410299462056066</c:v>
                </c:pt>
                <c:pt idx="3">
                  <c:v>36.794310562600629</c:v>
                </c:pt>
                <c:pt idx="4">
                  <c:v>35.943781380086349</c:v>
                </c:pt>
                <c:pt idx="5">
                  <c:v>34.869629107521455</c:v>
                </c:pt>
                <c:pt idx="6">
                  <c:v>33.584705474254456</c:v>
                </c:pt>
                <c:pt idx="7">
                  <c:v>32.103137689028557</c:v>
                </c:pt>
                <c:pt idx="8">
                  <c:v>30.439709654260056</c:v>
                </c:pt>
                <c:pt idx="9">
                  <c:v>28.609328312721424</c:v>
                </c:pt>
                <c:pt idx="10">
                  <c:v>26.626598034991446</c:v>
                </c:pt>
                <c:pt idx="11">
                  <c:v>24.505507292084097</c:v>
                </c:pt>
                <c:pt idx="12">
                  <c:v>22.259218825541542</c:v>
                </c:pt>
                <c:pt idx="13">
                  <c:v>19.899947289311033</c:v>
                </c:pt>
                <c:pt idx="14">
                  <c:v>17.43890578214755</c:v>
                </c:pt>
                <c:pt idx="15">
                  <c:v>14.886303279823363</c:v>
                </c:pt>
                <c:pt idx="16">
                  <c:v>12.251377298592953</c:v>
                </c:pt>
                <c:pt idx="17">
                  <c:v>9.5424491197324475</c:v>
                </c:pt>
                <c:pt idx="18">
                  <c:v>6.7669919116472963</c:v>
                </c:pt>
                <c:pt idx="19">
                  <c:v>3.9317047480627632</c:v>
                </c:pt>
                <c:pt idx="20">
                  <c:v>1.0425877010819102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1"/>
        </c:ser>
        <c:ser>
          <c:idx val="14"/>
          <c:order val="14"/>
          <c:tx>
            <c:v>1am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xVal>
            <c:numRef>
              <c:f>'CS 1er sem datos (2)'!$AR$242:$AR$248</c:f>
              <c:numCache>
                <c:formatCode>General</c:formatCode>
                <c:ptCount val="7"/>
                <c:pt idx="0">
                  <c:v>116.57086830691144</c:v>
                </c:pt>
                <c:pt idx="1">
                  <c:v>110.14480796075449</c:v>
                </c:pt>
                <c:pt idx="2">
                  <c:v>99.500362928216276</c:v>
                </c:pt>
                <c:pt idx="3">
                  <c:v>85.402618331677971</c:v>
                </c:pt>
                <c:pt idx="4">
                  <c:v>72.888092578495346</c:v>
                </c:pt>
                <c:pt idx="5">
                  <c:v>64.572176712649494</c:v>
                </c:pt>
                <c:pt idx="6">
                  <c:v>62.9128608915928</c:v>
                </c:pt>
              </c:numCache>
            </c:numRef>
          </c:xVal>
          <c:yVal>
            <c:numRef>
              <c:f>'CS 1er sem datos (2)'!$AQ$242:$AQ$248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ser>
          <c:idx val="15"/>
          <c:order val="15"/>
          <c:tx>
            <c:v>2am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xVal>
            <c:numRef>
              <c:f>'CS 1er sem datos (2)'!$AT$242:$AT$248</c:f>
              <c:numCache>
                <c:formatCode>General</c:formatCode>
                <c:ptCount val="7"/>
                <c:pt idx="0">
                  <c:v>116.57086830691144</c:v>
                </c:pt>
                <c:pt idx="1">
                  <c:v>110.14480796075449</c:v>
                </c:pt>
                <c:pt idx="2">
                  <c:v>99.500362928216276</c:v>
                </c:pt>
                <c:pt idx="3">
                  <c:v>85.402618331677971</c:v>
                </c:pt>
                <c:pt idx="4">
                  <c:v>72.888092578495346</c:v>
                </c:pt>
                <c:pt idx="5">
                  <c:v>64.572176712649494</c:v>
                </c:pt>
                <c:pt idx="6">
                  <c:v>62.9128608915928</c:v>
                </c:pt>
              </c:numCache>
            </c:numRef>
          </c:xVal>
          <c:yVal>
            <c:numRef>
              <c:f>'CS 1er sem datos (2)'!$AS$242:$AS$248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ser>
          <c:idx val="16"/>
          <c:order val="16"/>
          <c:tx>
            <c:v>3am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xVal>
            <c:numRef>
              <c:f>'CS 1er sem datos (2)'!$AV$242:$AV$248</c:f>
              <c:numCache>
                <c:formatCode>General</c:formatCode>
                <c:ptCount val="7"/>
                <c:pt idx="0">
                  <c:v>116.57086830691144</c:v>
                </c:pt>
                <c:pt idx="1">
                  <c:v>110.14480796075449</c:v>
                </c:pt>
                <c:pt idx="2">
                  <c:v>99.500362928216276</c:v>
                </c:pt>
                <c:pt idx="3">
                  <c:v>85.402618331677971</c:v>
                </c:pt>
                <c:pt idx="4">
                  <c:v>72.888092578495346</c:v>
                </c:pt>
                <c:pt idx="5">
                  <c:v>64.572176712649494</c:v>
                </c:pt>
                <c:pt idx="6">
                  <c:v>62.9128608915928</c:v>
                </c:pt>
              </c:numCache>
            </c:numRef>
          </c:xVal>
          <c:yVal>
            <c:numRef>
              <c:f>'CS 1er sem datos (2)'!$AU$242:$AU$248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ser>
          <c:idx val="17"/>
          <c:order val="17"/>
          <c:tx>
            <c:v>4am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xVal>
            <c:numRef>
              <c:f>'CS 1er sem datos (2)'!$AX$242:$AX$248</c:f>
              <c:numCache>
                <c:formatCode>General</c:formatCode>
                <c:ptCount val="7"/>
                <c:pt idx="0">
                  <c:v>116.57086830691144</c:v>
                </c:pt>
                <c:pt idx="1">
                  <c:v>110.14480796075449</c:v>
                </c:pt>
                <c:pt idx="2">
                  <c:v>99.500362928216276</c:v>
                </c:pt>
                <c:pt idx="3">
                  <c:v>85.402618331677971</c:v>
                </c:pt>
                <c:pt idx="4">
                  <c:v>72.888092578495346</c:v>
                </c:pt>
                <c:pt idx="5">
                  <c:v>64.572176712649494</c:v>
                </c:pt>
                <c:pt idx="6">
                  <c:v>62.9128608915928</c:v>
                </c:pt>
              </c:numCache>
            </c:numRef>
          </c:xVal>
          <c:yVal>
            <c:numRef>
              <c:f>'CS 1er sem datos (2)'!$AW$242:$AW$248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ser>
          <c:idx val="18"/>
          <c:order val="18"/>
          <c:tx>
            <c:v>5am</c:v>
          </c:tx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5</a:t>
                    </a:r>
                    <a:r>
                      <a:rPr lang="en-US" baseline="0"/>
                      <a:t> am</a:t>
                    </a:r>
                    <a:endParaRPr lang="en-US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1er sem datos (2)'!$AZ$242:$AZ$248</c:f>
              <c:numCache>
                <c:formatCode>General</c:formatCode>
                <c:ptCount val="7"/>
                <c:pt idx="0">
                  <c:v>116.57086830691144</c:v>
                </c:pt>
                <c:pt idx="1">
                  <c:v>110.14480796075449</c:v>
                </c:pt>
                <c:pt idx="2">
                  <c:v>99.500362928216276</c:v>
                </c:pt>
                <c:pt idx="3">
                  <c:v>85.402618331677971</c:v>
                </c:pt>
                <c:pt idx="4">
                  <c:v>72.888092578495346</c:v>
                </c:pt>
                <c:pt idx="5">
                  <c:v>64.572176712649494</c:v>
                </c:pt>
                <c:pt idx="6">
                  <c:v>62.9128608915928</c:v>
                </c:pt>
              </c:numCache>
            </c:numRef>
          </c:xVal>
          <c:yVal>
            <c:numRef>
              <c:f>'CS 1er sem datos (2)'!$AY$242:$AY$248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ser>
          <c:idx val="19"/>
          <c:order val="19"/>
          <c:tx>
            <c:v>6am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6</a:t>
                    </a:r>
                    <a:r>
                      <a:rPr lang="en-US" baseline="0"/>
                      <a:t> am</a:t>
                    </a:r>
                    <a:endParaRPr lang="en-US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1er sem datos (2)'!$BB$242:$BB$248</c:f>
              <c:numCache>
                <c:formatCode>General</c:formatCode>
                <c:ptCount val="7"/>
                <c:pt idx="0">
                  <c:v>116.57086830691144</c:v>
                </c:pt>
                <c:pt idx="1">
                  <c:v>110.14480796075449</c:v>
                </c:pt>
                <c:pt idx="2">
                  <c:v>99.500362928216276</c:v>
                </c:pt>
                <c:pt idx="3">
                  <c:v>86.488170658290201</c:v>
                </c:pt>
                <c:pt idx="4">
                  <c:v>76.908415468616056</c:v>
                </c:pt>
                <c:pt idx="5">
                  <c:v>70.516285917220941</c:v>
                </c:pt>
                <c:pt idx="6">
                  <c:v>69.238766580276192</c:v>
                </c:pt>
              </c:numCache>
            </c:numRef>
          </c:xVal>
          <c:yVal>
            <c:numRef>
              <c:f>'CS 1er sem datos (2)'!$BA$242:$BA$248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1.9510766725967672</c:v>
                </c:pt>
                <c:pt idx="4">
                  <c:v>7.1796941081018506</c:v>
                </c:pt>
                <c:pt idx="5">
                  <c:v>10.508522694850116</c:v>
                </c:pt>
                <c:pt idx="6">
                  <c:v>11.152054967319165</c:v>
                </c:pt>
              </c:numCache>
            </c:numRef>
          </c:yVal>
          <c:smooth val="1"/>
        </c:ser>
        <c:ser>
          <c:idx val="20"/>
          <c:order val="20"/>
          <c:tx>
            <c:v>7am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7</a:t>
                    </a:r>
                    <a:r>
                      <a:rPr lang="en-US" baseline="0"/>
                      <a:t> am</a:t>
                    </a:r>
                    <a:endParaRPr lang="en-US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1er sem datos (2)'!$BD$242:$BD$248</c:f>
              <c:numCache>
                <c:formatCode>General</c:formatCode>
                <c:ptCount val="7"/>
                <c:pt idx="0">
                  <c:v>117.22586297915178</c:v>
                </c:pt>
                <c:pt idx="1">
                  <c:v>112.5771078319798</c:v>
                </c:pt>
                <c:pt idx="2">
                  <c:v>104.68802822282147</c:v>
                </c:pt>
                <c:pt idx="3">
                  <c:v>93.815787356682009</c:v>
                </c:pt>
                <c:pt idx="4">
                  <c:v>83.69300591455243</c:v>
                </c:pt>
                <c:pt idx="5">
                  <c:v>76.718561537440678</c:v>
                </c:pt>
                <c:pt idx="6">
                  <c:v>75.306075969479892</c:v>
                </c:pt>
              </c:numCache>
            </c:numRef>
          </c:xVal>
          <c:yVal>
            <c:numRef>
              <c:f>'CS 1er sem datos (2)'!$BC$242:$BC$248</c:f>
              <c:numCache>
                <c:formatCode>General</c:formatCode>
                <c:ptCount val="7"/>
                <c:pt idx="0">
                  <c:v>1.0425877010819102</c:v>
                </c:pt>
                <c:pt idx="1">
                  <c:v>3.9806023907424599</c:v>
                </c:pt>
                <c:pt idx="2">
                  <c:v>8.8424843209748119</c:v>
                </c:pt>
                <c:pt idx="3">
                  <c:v>15.051271742006362</c:v>
                </c:pt>
                <c:pt idx="4">
                  <c:v>20.094408212134532</c:v>
                </c:pt>
                <c:pt idx="5">
                  <c:v>23.081833865003894</c:v>
                </c:pt>
                <c:pt idx="6">
                  <c:v>23.63600454935963</c:v>
                </c:pt>
              </c:numCache>
            </c:numRef>
          </c:yVal>
          <c:smooth val="1"/>
        </c:ser>
        <c:ser>
          <c:idx val="21"/>
          <c:order val="21"/>
          <c:tx>
            <c:v>8am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8</a:t>
                    </a:r>
                    <a:r>
                      <a:rPr lang="en-US" baseline="0"/>
                      <a:t> am</a:t>
                    </a:r>
                    <a:endParaRPr lang="en-US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1er sem datos (2)'!$BF$242:$BF$248</c:f>
              <c:numCache>
                <c:formatCode>General</c:formatCode>
                <c:ptCount val="7"/>
                <c:pt idx="0">
                  <c:v>125.34452095224731</c:v>
                </c:pt>
                <c:pt idx="1">
                  <c:v>120.92625519511847</c:v>
                </c:pt>
                <c:pt idx="2">
                  <c:v>113.15708853016723</c:v>
                </c:pt>
                <c:pt idx="3">
                  <c:v>101.84583698554694</c:v>
                </c:pt>
                <c:pt idx="4">
                  <c:v>90.692173646055892</c:v>
                </c:pt>
                <c:pt idx="5">
                  <c:v>82.710211003016923</c:v>
                </c:pt>
                <c:pt idx="6">
                  <c:v>81.070349439875727</c:v>
                </c:pt>
              </c:numCache>
            </c:numRef>
          </c:xVal>
          <c:yVal>
            <c:numRef>
              <c:f>'CS 1er sem datos (2)'!$BE$242:$BE$248</c:f>
              <c:numCache>
                <c:formatCode>General</c:formatCode>
                <c:ptCount val="7"/>
                <c:pt idx="0">
                  <c:v>12.251377298592953</c:v>
                </c:pt>
                <c:pt idx="1">
                  <c:v>15.689450108647346</c:v>
                </c:pt>
                <c:pt idx="2">
                  <c:v>21.241041758651765</c:v>
                </c:pt>
                <c:pt idx="3">
                  <c:v>28.03064132064042</c:v>
                </c:pt>
                <c:pt idx="4">
                  <c:v>33.179114183303909</c:v>
                </c:pt>
                <c:pt idx="5">
                  <c:v>35.974200517974971</c:v>
                </c:pt>
                <c:pt idx="6">
                  <c:v>36.462362723804389</c:v>
                </c:pt>
              </c:numCache>
            </c:numRef>
          </c:yVal>
          <c:smooth val="1"/>
        </c:ser>
        <c:ser>
          <c:idx val="22"/>
          <c:order val="22"/>
          <c:tx>
            <c:v>9am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9</a:t>
                    </a:r>
                    <a:r>
                      <a:rPr lang="en-US" baseline="0"/>
                      <a:t> am</a:t>
                    </a:r>
                    <a:endParaRPr lang="en-US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1er sem datos (2)'!$BH$242:$BH$248</c:f>
              <c:numCache>
                <c:formatCode>General</c:formatCode>
                <c:ptCount val="7"/>
                <c:pt idx="0">
                  <c:v>135.31204694577815</c:v>
                </c:pt>
                <c:pt idx="1">
                  <c:v>131.22199491730089</c:v>
                </c:pt>
                <c:pt idx="2">
                  <c:v>123.67138966374844</c:v>
                </c:pt>
                <c:pt idx="3">
                  <c:v>111.76387408261022</c:v>
                </c:pt>
                <c:pt idx="4">
                  <c:v>98.931073312987834</c:v>
                </c:pt>
                <c:pt idx="5">
                  <c:v>89.179775376606813</c:v>
                </c:pt>
                <c:pt idx="6">
                  <c:v>87.132774729162193</c:v>
                </c:pt>
              </c:numCache>
            </c:numRef>
          </c:xVal>
          <c:yVal>
            <c:numRef>
              <c:f>'CS 1er sem datos (2)'!$BG$242:$BG$248</c:f>
              <c:numCache>
                <c:formatCode>General</c:formatCode>
                <c:ptCount val="7"/>
                <c:pt idx="0">
                  <c:v>22.259218825541542</c:v>
                </c:pt>
                <c:pt idx="1">
                  <c:v>26.297342212361595</c:v>
                </c:pt>
                <c:pt idx="2">
                  <c:v>32.778902474630826</c:v>
                </c:pt>
                <c:pt idx="3">
                  <c:v>40.579187314260722</c:v>
                </c:pt>
                <c:pt idx="4">
                  <c:v>46.234000924702507</c:v>
                </c:pt>
                <c:pt idx="5">
                  <c:v>49.04228910837859</c:v>
                </c:pt>
                <c:pt idx="6">
                  <c:v>49.494624805188728</c:v>
                </c:pt>
              </c:numCache>
            </c:numRef>
          </c:yVal>
          <c:smooth val="1"/>
        </c:ser>
        <c:ser>
          <c:idx val="23"/>
          <c:order val="23"/>
          <c:tx>
            <c:v>10am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  <a:r>
                      <a:rPr lang="en-US" baseline="0"/>
                      <a:t> am</a:t>
                    </a:r>
                    <a:endParaRPr lang="en-US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1er sem datos (2)'!$BJ$242:$BJ$248</c:f>
              <c:numCache>
                <c:formatCode>General</c:formatCode>
                <c:ptCount val="7"/>
                <c:pt idx="0">
                  <c:v>147.73819825211658</c:v>
                </c:pt>
                <c:pt idx="1">
                  <c:v>144.33588641082156</c:v>
                </c:pt>
                <c:pt idx="2">
                  <c:v>137.63858177436344</c:v>
                </c:pt>
                <c:pt idx="3">
                  <c:v>125.71951693085082</c:v>
                </c:pt>
                <c:pt idx="4">
                  <c:v>110.64261236918068</c:v>
                </c:pt>
                <c:pt idx="5">
                  <c:v>97.645217635946267</c:v>
                </c:pt>
                <c:pt idx="6">
                  <c:v>94.781580028246267</c:v>
                </c:pt>
              </c:numCache>
            </c:numRef>
          </c:xVal>
          <c:yVal>
            <c:numRef>
              <c:f>'CS 1er sem datos (2)'!$BI$242:$BI$248</c:f>
              <c:numCache>
                <c:formatCode>General</c:formatCode>
                <c:ptCount val="7"/>
                <c:pt idx="0">
                  <c:v>30.439709654260056</c:v>
                </c:pt>
                <c:pt idx="1">
                  <c:v>35.132915612826856</c:v>
                </c:pt>
                <c:pt idx="2">
                  <c:v>42.752422426604682</c:v>
                </c:pt>
                <c:pt idx="3">
                  <c:v>52.096153918797427</c:v>
                </c:pt>
                <c:pt idx="4">
                  <c:v>58.913198956609463</c:v>
                </c:pt>
                <c:pt idx="5">
                  <c:v>62.120147714715685</c:v>
                </c:pt>
                <c:pt idx="6">
                  <c:v>62.593106094089499</c:v>
                </c:pt>
              </c:numCache>
            </c:numRef>
          </c:yVal>
          <c:smooth val="1"/>
        </c:ser>
        <c:ser>
          <c:idx val="24"/>
          <c:order val="24"/>
          <c:tx>
            <c:v>11am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11</a:t>
                    </a:r>
                    <a:r>
                      <a:rPr lang="en-US" baseline="0"/>
                      <a:t> am</a:t>
                    </a:r>
                    <a:endParaRPr lang="en-US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1er sem datos (2)'!$BL$242:$BL$248</c:f>
              <c:numCache>
                <c:formatCode>General</c:formatCode>
                <c:ptCount val="7"/>
                <c:pt idx="0">
                  <c:v>162.88737099929463</c:v>
                </c:pt>
                <c:pt idx="1">
                  <c:v>160.84947792309023</c:v>
                </c:pt>
                <c:pt idx="2">
                  <c:v>156.55697888534539</c:v>
                </c:pt>
                <c:pt idx="3">
                  <c:v>147.61688935411229</c:v>
                </c:pt>
                <c:pt idx="4">
                  <c:v>132.47024428392857</c:v>
                </c:pt>
                <c:pt idx="5">
                  <c:v>114.0806639695666</c:v>
                </c:pt>
                <c:pt idx="6">
                  <c:v>109.24906860936896</c:v>
                </c:pt>
              </c:numCache>
            </c:numRef>
          </c:xVal>
          <c:yVal>
            <c:numRef>
              <c:f>'CS 1er sem datos (2)'!$BK$242:$BK$248</c:f>
              <c:numCache>
                <c:formatCode>General</c:formatCode>
                <c:ptCount val="7"/>
                <c:pt idx="0">
                  <c:v>35.943781380086349</c:v>
                </c:pt>
                <c:pt idx="1">
                  <c:v>41.203386965463082</c:v>
                </c:pt>
                <c:pt idx="2">
                  <c:v>49.927090631227195</c:v>
                </c:pt>
                <c:pt idx="3">
                  <c:v>61.179653601104718</c:v>
                </c:pt>
                <c:pt idx="4">
                  <c:v>70.179120424793908</c:v>
                </c:pt>
                <c:pt idx="5">
                  <c:v>74.765245687919915</c:v>
                </c:pt>
                <c:pt idx="6">
                  <c:v>75.433504705998018</c:v>
                </c:pt>
              </c:numCache>
            </c:numRef>
          </c:yVal>
          <c:smooth val="1"/>
        </c:ser>
        <c:ser>
          <c:idx val="27"/>
          <c:order val="25"/>
          <c:tx>
            <c:v>1pm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  <a:r>
                      <a:rPr lang="en-US" baseline="0"/>
                      <a:t> pm</a:t>
                    </a:r>
                    <a:endParaRPr lang="en-US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1er sem datos (2)'!$BR$242:$BR$248</c:f>
              <c:numCache>
                <c:formatCode>General</c:formatCode>
                <c:ptCount val="7"/>
                <c:pt idx="0">
                  <c:v>197.11262900070537</c:v>
                </c:pt>
                <c:pt idx="1">
                  <c:v>199.15052207690977</c:v>
                </c:pt>
                <c:pt idx="2">
                  <c:v>203.44302111465461</c:v>
                </c:pt>
                <c:pt idx="3">
                  <c:v>212.38311064588771</c:v>
                </c:pt>
                <c:pt idx="4">
                  <c:v>227.52975571607143</c:v>
                </c:pt>
                <c:pt idx="5">
                  <c:v>245.91933603043339</c:v>
                </c:pt>
                <c:pt idx="6">
                  <c:v>250.75093139063102</c:v>
                </c:pt>
              </c:numCache>
            </c:numRef>
          </c:xVal>
          <c:yVal>
            <c:numRef>
              <c:f>'CS 1er sem datos (2)'!$BQ$242:$BQ$248</c:f>
              <c:numCache>
                <c:formatCode>General</c:formatCode>
                <c:ptCount val="7"/>
                <c:pt idx="0">
                  <c:v>35.943781380086349</c:v>
                </c:pt>
                <c:pt idx="1">
                  <c:v>41.203386965463082</c:v>
                </c:pt>
                <c:pt idx="2">
                  <c:v>49.927090631227195</c:v>
                </c:pt>
                <c:pt idx="3">
                  <c:v>61.179653601104718</c:v>
                </c:pt>
                <c:pt idx="4">
                  <c:v>70.179120424793908</c:v>
                </c:pt>
                <c:pt idx="5">
                  <c:v>74.765245687919915</c:v>
                </c:pt>
                <c:pt idx="6">
                  <c:v>75.433504705998018</c:v>
                </c:pt>
              </c:numCache>
            </c:numRef>
          </c:yVal>
          <c:smooth val="1"/>
        </c:ser>
        <c:ser>
          <c:idx val="28"/>
          <c:order val="26"/>
          <c:tx>
            <c:v>2pm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  <a:r>
                      <a:rPr lang="en-US" baseline="0"/>
                      <a:t> pm</a:t>
                    </a:r>
                    <a:endParaRPr lang="en-US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1er sem datos (2)'!$BT$242:$BT$248</c:f>
              <c:numCache>
                <c:formatCode>General</c:formatCode>
                <c:ptCount val="7"/>
                <c:pt idx="0">
                  <c:v>212.26180174788342</c:v>
                </c:pt>
                <c:pt idx="1">
                  <c:v>215.66411358917844</c:v>
                </c:pt>
                <c:pt idx="2">
                  <c:v>222.36141822563656</c:v>
                </c:pt>
                <c:pt idx="3">
                  <c:v>234.28048306914917</c:v>
                </c:pt>
                <c:pt idx="4">
                  <c:v>249.35738763081932</c:v>
                </c:pt>
                <c:pt idx="5">
                  <c:v>262.35478236405373</c:v>
                </c:pt>
                <c:pt idx="6">
                  <c:v>265.21841997175375</c:v>
                </c:pt>
              </c:numCache>
            </c:numRef>
          </c:xVal>
          <c:yVal>
            <c:numRef>
              <c:f>'CS 1er sem datos (2)'!$BS$242:$BS$248</c:f>
              <c:numCache>
                <c:formatCode>General</c:formatCode>
                <c:ptCount val="7"/>
                <c:pt idx="0">
                  <c:v>30.439709654260056</c:v>
                </c:pt>
                <c:pt idx="1">
                  <c:v>35.132915612826856</c:v>
                </c:pt>
                <c:pt idx="2">
                  <c:v>42.752422426604682</c:v>
                </c:pt>
                <c:pt idx="3">
                  <c:v>52.096153918797427</c:v>
                </c:pt>
                <c:pt idx="4">
                  <c:v>58.913198956609463</c:v>
                </c:pt>
                <c:pt idx="5">
                  <c:v>62.120147714715685</c:v>
                </c:pt>
                <c:pt idx="6">
                  <c:v>62.593106094089499</c:v>
                </c:pt>
              </c:numCache>
            </c:numRef>
          </c:yVal>
          <c:smooth val="1"/>
        </c:ser>
        <c:ser>
          <c:idx val="29"/>
          <c:order val="27"/>
          <c:tx>
            <c:v>3pm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  <a:r>
                      <a:rPr lang="en-US" baseline="0"/>
                      <a:t> pm</a:t>
                    </a:r>
                    <a:endParaRPr lang="en-US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1er sem datos (2)'!$BV$242:$BV$248</c:f>
              <c:numCache>
                <c:formatCode>General</c:formatCode>
                <c:ptCount val="7"/>
                <c:pt idx="0">
                  <c:v>224.68795305422185</c:v>
                </c:pt>
                <c:pt idx="1">
                  <c:v>228.77800508269911</c:v>
                </c:pt>
                <c:pt idx="2">
                  <c:v>236.32861033625156</c:v>
                </c:pt>
                <c:pt idx="3">
                  <c:v>248.23612591738978</c:v>
                </c:pt>
                <c:pt idx="4">
                  <c:v>261.06892668701215</c:v>
                </c:pt>
                <c:pt idx="5">
                  <c:v>270.82022462339319</c:v>
                </c:pt>
                <c:pt idx="6">
                  <c:v>272.86722527083782</c:v>
                </c:pt>
              </c:numCache>
            </c:numRef>
          </c:xVal>
          <c:yVal>
            <c:numRef>
              <c:f>'CS 1er sem datos (2)'!$BU$242:$BU$248</c:f>
              <c:numCache>
                <c:formatCode>General</c:formatCode>
                <c:ptCount val="7"/>
                <c:pt idx="0">
                  <c:v>22.259218825541542</c:v>
                </c:pt>
                <c:pt idx="1">
                  <c:v>26.297342212361595</c:v>
                </c:pt>
                <c:pt idx="2">
                  <c:v>32.778902474630826</c:v>
                </c:pt>
                <c:pt idx="3">
                  <c:v>40.579187314260722</c:v>
                </c:pt>
                <c:pt idx="4">
                  <c:v>46.234000924702507</c:v>
                </c:pt>
                <c:pt idx="5">
                  <c:v>49.04228910837859</c:v>
                </c:pt>
                <c:pt idx="6">
                  <c:v>49.494624805188728</c:v>
                </c:pt>
              </c:numCache>
            </c:numRef>
          </c:yVal>
          <c:smooth val="1"/>
        </c:ser>
        <c:ser>
          <c:idx val="30"/>
          <c:order val="28"/>
          <c:tx>
            <c:v>4pm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  <a:r>
                      <a:rPr lang="en-US" baseline="0"/>
                      <a:t> pm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1er sem datos (2)'!$BX$242:$BX$248</c:f>
              <c:numCache>
                <c:formatCode>General</c:formatCode>
                <c:ptCount val="7"/>
                <c:pt idx="0">
                  <c:v>234.65547904775269</c:v>
                </c:pt>
                <c:pt idx="1">
                  <c:v>239.07374480488153</c:v>
                </c:pt>
                <c:pt idx="2">
                  <c:v>246.84291146983276</c:v>
                </c:pt>
                <c:pt idx="3">
                  <c:v>258.15416301445305</c:v>
                </c:pt>
                <c:pt idx="4">
                  <c:v>269.30782635394411</c:v>
                </c:pt>
                <c:pt idx="5">
                  <c:v>277.28978899698308</c:v>
                </c:pt>
                <c:pt idx="6">
                  <c:v>278.92965056012429</c:v>
                </c:pt>
              </c:numCache>
            </c:numRef>
          </c:xVal>
          <c:yVal>
            <c:numRef>
              <c:f>'CS 1er sem datos (2)'!$BW$242:$BW$248</c:f>
              <c:numCache>
                <c:formatCode>General</c:formatCode>
                <c:ptCount val="7"/>
                <c:pt idx="0">
                  <c:v>12.251377298592953</c:v>
                </c:pt>
                <c:pt idx="1">
                  <c:v>15.689450108647346</c:v>
                </c:pt>
                <c:pt idx="2">
                  <c:v>21.241041758651765</c:v>
                </c:pt>
                <c:pt idx="3">
                  <c:v>28.03064132064042</c:v>
                </c:pt>
                <c:pt idx="4">
                  <c:v>33.179114183303909</c:v>
                </c:pt>
                <c:pt idx="5">
                  <c:v>35.974200517974971</c:v>
                </c:pt>
                <c:pt idx="6">
                  <c:v>36.462362723804389</c:v>
                </c:pt>
              </c:numCache>
            </c:numRef>
          </c:yVal>
          <c:smooth val="1"/>
        </c:ser>
        <c:ser>
          <c:idx val="31"/>
          <c:order val="29"/>
          <c:tx>
            <c:v>5pm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5</a:t>
                    </a:r>
                    <a:r>
                      <a:rPr lang="en-US" baseline="0"/>
                      <a:t> pm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1er sem datos (2)'!$BZ$242:$BZ$248</c:f>
              <c:numCache>
                <c:formatCode>General</c:formatCode>
                <c:ptCount val="7"/>
                <c:pt idx="0">
                  <c:v>242.77413702084823</c:v>
                </c:pt>
                <c:pt idx="1">
                  <c:v>247.42289216802021</c:v>
                </c:pt>
                <c:pt idx="2">
                  <c:v>255.31197177717854</c:v>
                </c:pt>
                <c:pt idx="3">
                  <c:v>266.18421264331801</c:v>
                </c:pt>
                <c:pt idx="4">
                  <c:v>276.30699408544757</c:v>
                </c:pt>
                <c:pt idx="5">
                  <c:v>283.28143846255932</c:v>
                </c:pt>
                <c:pt idx="6">
                  <c:v>284.69392403052012</c:v>
                </c:pt>
              </c:numCache>
            </c:numRef>
          </c:xVal>
          <c:yVal>
            <c:numRef>
              <c:f>'CS 1er sem datos (2)'!$BY$242:$BY$248</c:f>
              <c:numCache>
                <c:formatCode>General</c:formatCode>
                <c:ptCount val="7"/>
                <c:pt idx="0">
                  <c:v>1.0425877010819102</c:v>
                </c:pt>
                <c:pt idx="1">
                  <c:v>3.9806023907424599</c:v>
                </c:pt>
                <c:pt idx="2">
                  <c:v>8.8424843209748119</c:v>
                </c:pt>
                <c:pt idx="3">
                  <c:v>15.051271742006362</c:v>
                </c:pt>
                <c:pt idx="4">
                  <c:v>20.094408212134532</c:v>
                </c:pt>
                <c:pt idx="5">
                  <c:v>23.081833865003894</c:v>
                </c:pt>
                <c:pt idx="6">
                  <c:v>23.63600454935963</c:v>
                </c:pt>
              </c:numCache>
            </c:numRef>
          </c:yVal>
          <c:smooth val="1"/>
        </c:ser>
        <c:ser>
          <c:idx val="32"/>
          <c:order val="30"/>
          <c:tx>
            <c:v>6pm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6</a:t>
                    </a:r>
                    <a:r>
                      <a:rPr lang="en-US" baseline="0"/>
                      <a:t> pm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1er sem datos (2)'!$CB$242:$CB$248</c:f>
              <c:numCache>
                <c:formatCode>General</c:formatCode>
                <c:ptCount val="7"/>
                <c:pt idx="0">
                  <c:v>243.42913169308855</c:v>
                </c:pt>
                <c:pt idx="1">
                  <c:v>249.85519203924551</c:v>
                </c:pt>
                <c:pt idx="2">
                  <c:v>260.4996370717837</c:v>
                </c:pt>
                <c:pt idx="3">
                  <c:v>273.51182934170981</c:v>
                </c:pt>
                <c:pt idx="4">
                  <c:v>283.09158453138394</c:v>
                </c:pt>
                <c:pt idx="5">
                  <c:v>289.48371408277904</c:v>
                </c:pt>
                <c:pt idx="6">
                  <c:v>290.76123341972379</c:v>
                </c:pt>
              </c:numCache>
            </c:numRef>
          </c:xVal>
          <c:yVal>
            <c:numRef>
              <c:f>'CS 1er sem datos (2)'!$CA$242:$CA$248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1.9510766725967672</c:v>
                </c:pt>
                <c:pt idx="4">
                  <c:v>7.1796941081018506</c:v>
                </c:pt>
                <c:pt idx="5">
                  <c:v>10.508522694850116</c:v>
                </c:pt>
                <c:pt idx="6">
                  <c:v>11.152054967319165</c:v>
                </c:pt>
              </c:numCache>
            </c:numRef>
          </c:yVal>
          <c:smooth val="1"/>
        </c:ser>
        <c:ser>
          <c:idx val="33"/>
          <c:order val="31"/>
          <c:tx>
            <c:v>7pm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xVal>
            <c:numRef>
              <c:f>'CS 1er sem datos (2)'!$CD$242:$CD$248</c:f>
              <c:numCache>
                <c:formatCode>General</c:formatCode>
                <c:ptCount val="7"/>
                <c:pt idx="0">
                  <c:v>243.42913169308855</c:v>
                </c:pt>
                <c:pt idx="1">
                  <c:v>249.85519203924551</c:v>
                </c:pt>
                <c:pt idx="2">
                  <c:v>260.4996370717837</c:v>
                </c:pt>
                <c:pt idx="3">
                  <c:v>274.59738166832204</c:v>
                </c:pt>
                <c:pt idx="4">
                  <c:v>287.11190742150467</c:v>
                </c:pt>
                <c:pt idx="5">
                  <c:v>295.42782328735052</c:v>
                </c:pt>
                <c:pt idx="6">
                  <c:v>297.0871391084072</c:v>
                </c:pt>
              </c:numCache>
            </c:numRef>
          </c:xVal>
          <c:yVal>
            <c:numRef>
              <c:f>'CS 1er sem datos (2)'!$CC$242:$CC$248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ser>
          <c:idx val="34"/>
          <c:order val="32"/>
          <c:tx>
            <c:v>8pm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xVal>
            <c:numRef>
              <c:f>'CS 1er sem datos (2)'!$CF$242:$CF$248</c:f>
              <c:numCache>
                <c:formatCode>General</c:formatCode>
                <c:ptCount val="7"/>
                <c:pt idx="0">
                  <c:v>243.42913169308855</c:v>
                </c:pt>
                <c:pt idx="1">
                  <c:v>249.85519203924551</c:v>
                </c:pt>
                <c:pt idx="2">
                  <c:v>260.4996370717837</c:v>
                </c:pt>
                <c:pt idx="3">
                  <c:v>274.59738166832204</c:v>
                </c:pt>
                <c:pt idx="4">
                  <c:v>287.11190742150467</c:v>
                </c:pt>
                <c:pt idx="5">
                  <c:v>295.42782328735052</c:v>
                </c:pt>
                <c:pt idx="6">
                  <c:v>297.0871391084072</c:v>
                </c:pt>
              </c:numCache>
            </c:numRef>
          </c:xVal>
          <c:yVal>
            <c:numRef>
              <c:f>'CS 1er sem datos (2)'!$CE$242:$CE$248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ser>
          <c:idx val="35"/>
          <c:order val="33"/>
          <c:tx>
            <c:v>9pm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xVal>
            <c:numRef>
              <c:f>'CS 1er sem datos (2)'!$CH$242:$CH$248</c:f>
              <c:numCache>
                <c:formatCode>General</c:formatCode>
                <c:ptCount val="7"/>
                <c:pt idx="0">
                  <c:v>243.42913169308855</c:v>
                </c:pt>
                <c:pt idx="1">
                  <c:v>249.85519203924551</c:v>
                </c:pt>
                <c:pt idx="2">
                  <c:v>260.4996370717837</c:v>
                </c:pt>
                <c:pt idx="3">
                  <c:v>274.59738166832204</c:v>
                </c:pt>
                <c:pt idx="4">
                  <c:v>287.11190742150467</c:v>
                </c:pt>
                <c:pt idx="5">
                  <c:v>295.42782328735052</c:v>
                </c:pt>
                <c:pt idx="6">
                  <c:v>297.0871391084072</c:v>
                </c:pt>
              </c:numCache>
            </c:numRef>
          </c:xVal>
          <c:yVal>
            <c:numRef>
              <c:f>'CS 1er sem datos (2)'!$CG$242:$CG$248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ser>
          <c:idx val="36"/>
          <c:order val="34"/>
          <c:tx>
            <c:v>10pm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xVal>
            <c:numRef>
              <c:f>'CS 1er sem datos (2)'!$CJ$242:$CJ$248</c:f>
              <c:numCache>
                <c:formatCode>General</c:formatCode>
                <c:ptCount val="7"/>
                <c:pt idx="0">
                  <c:v>243.42913169308855</c:v>
                </c:pt>
                <c:pt idx="1">
                  <c:v>249.85519203924551</c:v>
                </c:pt>
                <c:pt idx="2">
                  <c:v>260.4996370717837</c:v>
                </c:pt>
                <c:pt idx="3">
                  <c:v>274.59738166832204</c:v>
                </c:pt>
                <c:pt idx="4">
                  <c:v>287.11190742150467</c:v>
                </c:pt>
                <c:pt idx="5">
                  <c:v>295.42782328735052</c:v>
                </c:pt>
                <c:pt idx="6">
                  <c:v>297.0871391084072</c:v>
                </c:pt>
              </c:numCache>
            </c:numRef>
          </c:xVal>
          <c:yVal>
            <c:numRef>
              <c:f>'CS 1er sem datos (2)'!$CI$242:$CI$248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ser>
          <c:idx val="37"/>
          <c:order val="35"/>
          <c:tx>
            <c:v>11pm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xVal>
            <c:numRef>
              <c:f>'CS 1er sem datos (2)'!$CL$242:$CL$248</c:f>
              <c:numCache>
                <c:formatCode>General</c:formatCode>
                <c:ptCount val="7"/>
                <c:pt idx="0">
                  <c:v>243.42913169308855</c:v>
                </c:pt>
                <c:pt idx="1">
                  <c:v>249.85519203924551</c:v>
                </c:pt>
                <c:pt idx="2">
                  <c:v>260.4996370717837</c:v>
                </c:pt>
                <c:pt idx="3">
                  <c:v>274.59738166832204</c:v>
                </c:pt>
                <c:pt idx="4">
                  <c:v>287.11190742150467</c:v>
                </c:pt>
                <c:pt idx="5">
                  <c:v>295.42782328735052</c:v>
                </c:pt>
                <c:pt idx="6">
                  <c:v>297.0871391084072</c:v>
                </c:pt>
              </c:numCache>
            </c:numRef>
          </c:xVal>
          <c:yVal>
            <c:numRef>
              <c:f>'CS 1er sem datos (2)'!$CK$242:$CK$248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758568"/>
        <c:axId val="472760136"/>
      </c:scatterChart>
      <c:valAx>
        <c:axId val="472758568"/>
        <c:scaling>
          <c:orientation val="minMax"/>
          <c:max val="360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472760136"/>
        <c:crosses val="autoZero"/>
        <c:crossBetween val="midCat"/>
        <c:majorUnit val="15"/>
      </c:valAx>
      <c:valAx>
        <c:axId val="472760136"/>
        <c:scaling>
          <c:orientation val="minMax"/>
          <c:max val="9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72758568"/>
        <c:crosses val="autoZero"/>
        <c:crossBetween val="midCat"/>
        <c:majorUnit val="5"/>
      </c:valAx>
    </c:plotArea>
    <c:plotVisOnly val="1"/>
    <c:dispBlanksAs val="gap"/>
    <c:showDLblsOverMax val="0"/>
  </c:chart>
  <c:printSettings>
    <c:headerFooter/>
    <c:pageMargins b="0.75000000000000699" l="0.70000000000000095" r="0.70000000000000095" t="0.75000000000000699" header="0.3" footer="0.3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3988005997001498E-2"/>
          <c:y val="2.2809742258077199E-2"/>
          <c:w val="0.95602198900549795"/>
          <c:h val="0.95438051548384795"/>
        </c:manualLayout>
      </c:layout>
      <c:scatterChart>
        <c:scatterStyle val="smoothMarker"/>
        <c:varyColors val="0"/>
        <c:ser>
          <c:idx val="3"/>
          <c:order val="0"/>
          <c:tx>
            <c:v>30°</c:v>
          </c:tx>
          <c:spPr>
            <a:ln w="19050">
              <a:solidFill>
                <a:prstClr val="black"/>
              </a:solidFill>
              <a:prstDash val="dash"/>
            </a:ln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9.9950024987507692E-3"/>
                  <c:y val="-1.036806466276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60°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('CS 2do sem datos'!$AA$89,'CS 2do sem datos'!$W$89)</c:f>
              <c:numCache>
                <c:formatCode>General</c:formatCode>
                <c:ptCount val="2"/>
                <c:pt idx="0">
                  <c:v>-7.7942286340599471</c:v>
                </c:pt>
                <c:pt idx="1">
                  <c:v>7.794228634059948</c:v>
                </c:pt>
              </c:numCache>
            </c:numRef>
          </c:xVal>
          <c:yVal>
            <c:numRef>
              <c:f>('CS 2do sem datos'!$AB$89,'CS 2do sem datos'!$X$89)</c:f>
              <c:numCache>
                <c:formatCode>General</c:formatCode>
                <c:ptCount val="2"/>
                <c:pt idx="0">
                  <c:v>-4.5000000000000009</c:v>
                </c:pt>
                <c:pt idx="1">
                  <c:v>4.4999999999999991</c:v>
                </c:pt>
              </c:numCache>
            </c:numRef>
          </c:yVal>
          <c:smooth val="1"/>
        </c:ser>
        <c:ser>
          <c:idx val="40"/>
          <c:order val="1"/>
          <c:tx>
            <c:v>40°</c:v>
          </c:tx>
          <c:spPr>
            <a:ln w="19050">
              <a:solidFill>
                <a:prstClr val="black"/>
              </a:solidFill>
              <a:prstDash val="dash"/>
            </a:ln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9.9950024987507692E-3"/>
                  <c:y val="-8.2944517302095695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50°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('CS 2do sem datos'!$AA$90,'CS 2do sem datos'!$W$90)</c:f>
              <c:numCache>
                <c:formatCode>General</c:formatCode>
                <c:ptCount val="2"/>
                <c:pt idx="0">
                  <c:v>-6.894399988070802</c:v>
                </c:pt>
                <c:pt idx="1">
                  <c:v>6.894399988070802</c:v>
                </c:pt>
              </c:numCache>
            </c:numRef>
          </c:xVal>
          <c:yVal>
            <c:numRef>
              <c:f>('CS 2do sem datos'!$AB$90,'CS 2do sem datos'!$X$90)</c:f>
              <c:numCache>
                <c:formatCode>General</c:formatCode>
                <c:ptCount val="2"/>
                <c:pt idx="0">
                  <c:v>-5.7850884871788537</c:v>
                </c:pt>
                <c:pt idx="1">
                  <c:v>5.7850884871788537</c:v>
                </c:pt>
              </c:numCache>
            </c:numRef>
          </c:yVal>
          <c:smooth val="1"/>
        </c:ser>
        <c:ser>
          <c:idx val="41"/>
          <c:order val="2"/>
          <c:tx>
            <c:v>50°</c:v>
          </c:tx>
          <c:spPr>
            <a:ln w="19050">
              <a:solidFill>
                <a:prstClr val="black"/>
              </a:solidFill>
              <a:prstDash val="dash"/>
            </a:ln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9.9950024987507692E-3"/>
                  <c:y val="-1.24416775953144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40°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('CS 2do sem datos'!$AA$91,'CS 2do sem datos'!$W$91)</c:f>
              <c:numCache>
                <c:formatCode>General</c:formatCode>
                <c:ptCount val="2"/>
                <c:pt idx="0">
                  <c:v>-5.7850884871788555</c:v>
                </c:pt>
                <c:pt idx="1">
                  <c:v>5.7850884871788546</c:v>
                </c:pt>
              </c:numCache>
            </c:numRef>
          </c:xVal>
          <c:yVal>
            <c:numRef>
              <c:f>('CS 2do sem datos'!$AB$91,'CS 2do sem datos'!$X$91)</c:f>
              <c:numCache>
                <c:formatCode>General</c:formatCode>
                <c:ptCount val="2"/>
                <c:pt idx="0">
                  <c:v>-6.8943999880708011</c:v>
                </c:pt>
                <c:pt idx="1">
                  <c:v>6.894399988070802</c:v>
                </c:pt>
              </c:numCache>
            </c:numRef>
          </c:yVal>
          <c:smooth val="1"/>
        </c:ser>
        <c:ser>
          <c:idx val="42"/>
          <c:order val="3"/>
          <c:tx>
            <c:v>60°</c:v>
          </c:tx>
          <c:spPr>
            <a:ln w="19050">
              <a:solidFill>
                <a:prstClr val="black"/>
              </a:solidFill>
              <a:prstDash val="dash"/>
            </a:ln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1.1994002998500701E-2"/>
                  <c:y val="-1.658890346041910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30°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('CS 2do sem datos'!$AA$92,'CS 2do sem datos'!$W$92)</c:f>
              <c:numCache>
                <c:formatCode>General</c:formatCode>
                <c:ptCount val="2"/>
                <c:pt idx="0">
                  <c:v>-4.5000000000000036</c:v>
                </c:pt>
                <c:pt idx="1">
                  <c:v>4.5000000000000009</c:v>
                </c:pt>
              </c:numCache>
            </c:numRef>
          </c:xVal>
          <c:yVal>
            <c:numRef>
              <c:f>('CS 2do sem datos'!$AB$92,'CS 2do sem datos'!$X$92)</c:f>
              <c:numCache>
                <c:formatCode>General</c:formatCode>
                <c:ptCount val="2"/>
                <c:pt idx="0">
                  <c:v>-7.7942286340599454</c:v>
                </c:pt>
                <c:pt idx="1">
                  <c:v>7.7942286340599471</c:v>
                </c:pt>
              </c:numCache>
            </c:numRef>
          </c:yVal>
          <c:smooth val="1"/>
        </c:ser>
        <c:ser>
          <c:idx val="43"/>
          <c:order val="4"/>
          <c:tx>
            <c:v>70°</c:v>
          </c:tx>
          <c:spPr>
            <a:ln w="19050">
              <a:solidFill>
                <a:prstClr val="black"/>
              </a:solidFill>
              <a:prstDash val="dash"/>
            </a:ln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1.5992003998000999E-2"/>
                  <c:y val="-1.244167759531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20°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('CS 2do sem datos'!$AA$93,'CS 2do sem datos'!$W$93)</c:f>
              <c:numCache>
                <c:formatCode>General</c:formatCode>
                <c:ptCount val="2"/>
                <c:pt idx="0">
                  <c:v>-3.0781812899310168</c:v>
                </c:pt>
                <c:pt idx="1">
                  <c:v>3.0781812899310195</c:v>
                </c:pt>
              </c:numCache>
            </c:numRef>
          </c:xVal>
          <c:yVal>
            <c:numRef>
              <c:f>('CS 2do sem datos'!$AB$93,'CS 2do sem datos'!$X$93)</c:f>
              <c:numCache>
                <c:formatCode>General</c:formatCode>
                <c:ptCount val="2"/>
                <c:pt idx="0">
                  <c:v>-8.4572335870731763</c:v>
                </c:pt>
                <c:pt idx="1">
                  <c:v>8.4572335870731745</c:v>
                </c:pt>
              </c:numCache>
            </c:numRef>
          </c:yVal>
          <c:smooth val="1"/>
        </c:ser>
        <c:ser>
          <c:idx val="44"/>
          <c:order val="5"/>
          <c:tx>
            <c:v>80°</c:v>
          </c:tx>
          <c:spPr>
            <a:ln w="19050">
              <a:solidFill>
                <a:prstClr val="black"/>
              </a:solidFill>
              <a:prstDash val="dash"/>
            </a:ln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1.5992003998000999E-2"/>
                  <c:y val="-1.24416775953144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10°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('CS 2do sem datos'!$AA$94,'CS 2do sem datos'!$W$94)</c:f>
              <c:numCache>
                <c:formatCode>General</c:formatCode>
                <c:ptCount val="2"/>
                <c:pt idx="0">
                  <c:v>-1.562833599002373</c:v>
                </c:pt>
                <c:pt idx="1">
                  <c:v>1.5628335990023738</c:v>
                </c:pt>
              </c:numCache>
            </c:numRef>
          </c:xVal>
          <c:yVal>
            <c:numRef>
              <c:f>('CS 2do sem datos'!$AB$94,'CS 2do sem datos'!$X$94)</c:f>
              <c:numCache>
                <c:formatCode>General</c:formatCode>
                <c:ptCount val="2"/>
                <c:pt idx="0">
                  <c:v>-8.8632697771098723</c:v>
                </c:pt>
                <c:pt idx="1">
                  <c:v>8.8632697771098723</c:v>
                </c:pt>
              </c:numCache>
            </c:numRef>
          </c:yVal>
          <c:smooth val="1"/>
        </c:ser>
        <c:ser>
          <c:idx val="46"/>
          <c:order val="6"/>
          <c:tx>
            <c:v>100°</c:v>
          </c:tx>
          <c:spPr>
            <a:ln w="19050">
              <a:solidFill>
                <a:prstClr val="black"/>
              </a:solidFill>
              <a:prstDash val="dash"/>
            </a:ln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5.59720139930035E-2"/>
                  <c:y val="-1.8662516392971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10°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('CS 2do sem datos'!$AA$96,'CS 2do sem datos'!$W$96)</c:f>
              <c:numCache>
                <c:formatCode>General</c:formatCode>
                <c:ptCount val="2"/>
                <c:pt idx="0">
                  <c:v>1.5628335990023698</c:v>
                </c:pt>
                <c:pt idx="1">
                  <c:v>-1.5628335990023727</c:v>
                </c:pt>
              </c:numCache>
            </c:numRef>
          </c:xVal>
          <c:yVal>
            <c:numRef>
              <c:f>('CS 2do sem datos'!$AB$96,'CS 2do sem datos'!$X$96)</c:f>
              <c:numCache>
                <c:formatCode>General</c:formatCode>
                <c:ptCount val="2"/>
                <c:pt idx="0">
                  <c:v>-8.8632697771098741</c:v>
                </c:pt>
                <c:pt idx="1">
                  <c:v>8.8632697771098723</c:v>
                </c:pt>
              </c:numCache>
            </c:numRef>
          </c:yVal>
          <c:smooth val="1"/>
        </c:ser>
        <c:ser>
          <c:idx val="47"/>
          <c:order val="7"/>
          <c:tx>
            <c:v>110°</c:v>
          </c:tx>
          <c:spPr>
            <a:ln w="19050">
              <a:solidFill>
                <a:prstClr val="black"/>
              </a:solidFill>
              <a:prstDash val="dash"/>
            </a:ln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5.59720139930035E-2"/>
                  <c:y val="-1.244167759531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20°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('CS 2do sem datos'!$AA$97,'CS 2do sem datos'!$W$97)</c:f>
              <c:numCache>
                <c:formatCode>General</c:formatCode>
                <c:ptCount val="2"/>
                <c:pt idx="0">
                  <c:v>3.0781812899310208</c:v>
                </c:pt>
                <c:pt idx="1">
                  <c:v>-3.0781812899310186</c:v>
                </c:pt>
              </c:numCache>
            </c:numRef>
          </c:xVal>
          <c:yVal>
            <c:numRef>
              <c:f>('CS 2do sem datos'!$AB$97,'CS 2do sem datos'!$X$97)</c:f>
              <c:numCache>
                <c:formatCode>General</c:formatCode>
                <c:ptCount val="2"/>
                <c:pt idx="0">
                  <c:v>-8.4572335870731745</c:v>
                </c:pt>
                <c:pt idx="1">
                  <c:v>8.4572335870731763</c:v>
                </c:pt>
              </c:numCache>
            </c:numRef>
          </c:yVal>
          <c:smooth val="1"/>
        </c:ser>
        <c:ser>
          <c:idx val="48"/>
          <c:order val="8"/>
          <c:tx>
            <c:v>120°</c:v>
          </c:tx>
          <c:spPr>
            <a:ln w="19050">
              <a:solidFill>
                <a:prstClr val="black"/>
              </a:solidFill>
              <a:prstDash val="dash"/>
            </a:ln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5.59720139930035E-2"/>
                  <c:y val="-1.45152905278667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30°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('CS 2do sem datos'!$AA$98,'CS 2do sem datos'!$W$98)</c:f>
              <c:numCache>
                <c:formatCode>General</c:formatCode>
                <c:ptCount val="2"/>
                <c:pt idx="0">
                  <c:v>4.5000000000000009</c:v>
                </c:pt>
                <c:pt idx="1">
                  <c:v>-4.4999999999999982</c:v>
                </c:pt>
              </c:numCache>
            </c:numRef>
          </c:xVal>
          <c:yVal>
            <c:numRef>
              <c:f>('CS 2do sem datos'!$AB$98,'CS 2do sem datos'!$X$98)</c:f>
              <c:numCache>
                <c:formatCode>General</c:formatCode>
                <c:ptCount val="2"/>
                <c:pt idx="0">
                  <c:v>-7.7942286340599471</c:v>
                </c:pt>
                <c:pt idx="1">
                  <c:v>7.794228634059948</c:v>
                </c:pt>
              </c:numCache>
            </c:numRef>
          </c:yVal>
          <c:smooth val="1"/>
        </c:ser>
        <c:ser>
          <c:idx val="49"/>
          <c:order val="9"/>
          <c:tx>
            <c:v>130°</c:v>
          </c:tx>
          <c:spPr>
            <a:ln w="19050">
              <a:solidFill>
                <a:prstClr val="black"/>
              </a:solidFill>
              <a:prstDash val="dash"/>
            </a:ln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6.3968015992003996E-2"/>
                  <c:y val="-1.24416775953144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40°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('CS 2do sem datos'!$AA$99,'CS 2do sem datos'!$W$99)</c:f>
              <c:numCache>
                <c:formatCode>General</c:formatCode>
                <c:ptCount val="2"/>
                <c:pt idx="0">
                  <c:v>5.7850884871788537</c:v>
                </c:pt>
                <c:pt idx="1">
                  <c:v>-5.7850884871788546</c:v>
                </c:pt>
              </c:numCache>
            </c:numRef>
          </c:xVal>
          <c:yVal>
            <c:numRef>
              <c:f>('CS 2do sem datos'!$AB$99,'CS 2do sem datos'!$X$99)</c:f>
              <c:numCache>
                <c:formatCode>General</c:formatCode>
                <c:ptCount val="2"/>
                <c:pt idx="0">
                  <c:v>-6.8943999880708029</c:v>
                </c:pt>
                <c:pt idx="1">
                  <c:v>6.894399988070802</c:v>
                </c:pt>
              </c:numCache>
            </c:numRef>
          </c:yVal>
          <c:smooth val="1"/>
        </c:ser>
        <c:ser>
          <c:idx val="50"/>
          <c:order val="10"/>
          <c:tx>
            <c:v>140°</c:v>
          </c:tx>
          <c:spPr>
            <a:ln w="19050">
              <a:solidFill>
                <a:prstClr val="black"/>
              </a:solidFill>
              <a:prstDash val="dash"/>
            </a:ln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5.7971014492753603E-2"/>
                  <c:y val="-8.2944517302095695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50°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('CS 2do sem datos'!$AA$100,'CS 2do sem datos'!$W$100)</c:f>
              <c:numCache>
                <c:formatCode>General</c:formatCode>
                <c:ptCount val="2"/>
                <c:pt idx="0">
                  <c:v>6.8943999880708002</c:v>
                </c:pt>
                <c:pt idx="1">
                  <c:v>-6.8943999880708011</c:v>
                </c:pt>
              </c:numCache>
            </c:numRef>
          </c:xVal>
          <c:yVal>
            <c:numRef>
              <c:f>('CS 2do sem datos'!$AB$100,'CS 2do sem datos'!$X$100)</c:f>
              <c:numCache>
                <c:formatCode>General</c:formatCode>
                <c:ptCount val="2"/>
                <c:pt idx="0">
                  <c:v>-5.7850884871788564</c:v>
                </c:pt>
                <c:pt idx="1">
                  <c:v>5.7850884871788555</c:v>
                </c:pt>
              </c:numCache>
            </c:numRef>
          </c:yVal>
          <c:smooth val="1"/>
        </c:ser>
        <c:ser>
          <c:idx val="51"/>
          <c:order val="11"/>
          <c:tx>
            <c:v>150°</c:v>
          </c:tx>
          <c:spPr>
            <a:ln w="19050">
              <a:solidFill>
                <a:prstClr val="black"/>
              </a:solidFill>
              <a:prstDash val="dash"/>
            </a:ln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5.9970014992503998E-2"/>
                  <c:y val="-1.658890346041910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60°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('CS 2do sem datos'!$AA$101,'CS 2do sem datos'!$W$101)</c:f>
              <c:numCache>
                <c:formatCode>General</c:formatCode>
                <c:ptCount val="2"/>
                <c:pt idx="0">
                  <c:v>7.7942286340599454</c:v>
                </c:pt>
                <c:pt idx="1">
                  <c:v>-7.794228634059948</c:v>
                </c:pt>
              </c:numCache>
            </c:numRef>
          </c:xVal>
          <c:yVal>
            <c:numRef>
              <c:f>('CS 2do sem datos'!$AB$101,'CS 2do sem datos'!$X$101)</c:f>
              <c:numCache>
                <c:formatCode>General</c:formatCode>
                <c:ptCount val="2"/>
                <c:pt idx="0">
                  <c:v>-4.5000000000000036</c:v>
                </c:pt>
                <c:pt idx="1">
                  <c:v>4.4999999999999991</c:v>
                </c:pt>
              </c:numCache>
            </c:numRef>
          </c:yVal>
          <c:smooth val="1"/>
        </c:ser>
        <c:ser>
          <c:idx val="52"/>
          <c:order val="12"/>
          <c:tx>
            <c:v>160°</c:v>
          </c:tx>
          <c:spPr>
            <a:ln w="19050">
              <a:solidFill>
                <a:prstClr val="black"/>
              </a:solidFill>
              <a:prstDash val="dash"/>
            </a:ln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6.19690154922539E-2"/>
                  <c:y val="-1.036806466276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70°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('CS 2do sem datos'!$AA$102,'CS 2do sem datos'!$W$102)</c:f>
              <c:numCache>
                <c:formatCode>General</c:formatCode>
                <c:ptCount val="2"/>
                <c:pt idx="0">
                  <c:v>8.4572335870731763</c:v>
                </c:pt>
                <c:pt idx="1">
                  <c:v>-8.4572335870731745</c:v>
                </c:pt>
              </c:numCache>
            </c:numRef>
          </c:xVal>
          <c:yVal>
            <c:numRef>
              <c:f>('CS 2do sem datos'!$AB$102,'CS 2do sem datos'!$X$102)</c:f>
              <c:numCache>
                <c:formatCode>General</c:formatCode>
                <c:ptCount val="2"/>
                <c:pt idx="0">
                  <c:v>-3.0781812899310173</c:v>
                </c:pt>
                <c:pt idx="1">
                  <c:v>3.0781812899310199</c:v>
                </c:pt>
              </c:numCache>
            </c:numRef>
          </c:yVal>
          <c:smooth val="1"/>
        </c:ser>
        <c:ser>
          <c:idx val="53"/>
          <c:order val="13"/>
          <c:tx>
            <c:v>170°</c:v>
          </c:tx>
          <c:spPr>
            <a:ln w="19050">
              <a:solidFill>
                <a:prstClr val="black"/>
              </a:solidFill>
              <a:prstDash val="dash"/>
            </a:ln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5.7971014492753603E-2"/>
                  <c:y val="-1.24416775953144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80°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('CS 2do sem datos'!$AA$103,'CS 2do sem datos'!$W$103)</c:f>
              <c:numCache>
                <c:formatCode>General</c:formatCode>
                <c:ptCount val="2"/>
                <c:pt idx="0">
                  <c:v>8.8632697771098723</c:v>
                </c:pt>
                <c:pt idx="1">
                  <c:v>-8.8632697771098723</c:v>
                </c:pt>
              </c:numCache>
            </c:numRef>
          </c:xVal>
          <c:yVal>
            <c:numRef>
              <c:f>('CS 2do sem datos'!$AB$103,'CS 2do sem datos'!$X$103)</c:f>
              <c:numCache>
                <c:formatCode>General</c:formatCode>
                <c:ptCount val="2"/>
                <c:pt idx="0">
                  <c:v>-1.5628335990023734</c:v>
                </c:pt>
                <c:pt idx="1">
                  <c:v>1.5628335990023725</c:v>
                </c:pt>
              </c:numCache>
            </c:numRef>
          </c:yVal>
          <c:smooth val="1"/>
        </c:ser>
        <c:ser>
          <c:idx val="73"/>
          <c:order val="14"/>
          <c:spPr>
            <a:ln w="1905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'CS 2do sem datos'!$A$2:$A$182</c:f>
              <c:numCache>
                <c:formatCode>General</c:formatCode>
                <c:ptCount val="181"/>
                <c:pt idx="0">
                  <c:v>9</c:v>
                </c:pt>
                <c:pt idx="1">
                  <c:v>8.9</c:v>
                </c:pt>
                <c:pt idx="2">
                  <c:v>8.8000000000000007</c:v>
                </c:pt>
                <c:pt idx="3">
                  <c:v>8.6999999999999993</c:v>
                </c:pt>
                <c:pt idx="4">
                  <c:v>8.6</c:v>
                </c:pt>
                <c:pt idx="5">
                  <c:v>8.5</c:v>
                </c:pt>
                <c:pt idx="6">
                  <c:v>8.4</c:v>
                </c:pt>
                <c:pt idx="7">
                  <c:v>8.3000000000000007</c:v>
                </c:pt>
                <c:pt idx="8">
                  <c:v>8.1999999999999993</c:v>
                </c:pt>
                <c:pt idx="9">
                  <c:v>8.1</c:v>
                </c:pt>
                <c:pt idx="10">
                  <c:v>8</c:v>
                </c:pt>
                <c:pt idx="11">
                  <c:v>7.9</c:v>
                </c:pt>
                <c:pt idx="12">
                  <c:v>7.8</c:v>
                </c:pt>
                <c:pt idx="13">
                  <c:v>7.7</c:v>
                </c:pt>
                <c:pt idx="14">
                  <c:v>7.6</c:v>
                </c:pt>
                <c:pt idx="15">
                  <c:v>7.5</c:v>
                </c:pt>
                <c:pt idx="16">
                  <c:v>7.4</c:v>
                </c:pt>
                <c:pt idx="17">
                  <c:v>7.3</c:v>
                </c:pt>
                <c:pt idx="18">
                  <c:v>7.2</c:v>
                </c:pt>
                <c:pt idx="19">
                  <c:v>7.1</c:v>
                </c:pt>
                <c:pt idx="20">
                  <c:v>7</c:v>
                </c:pt>
                <c:pt idx="21">
                  <c:v>6.9</c:v>
                </c:pt>
                <c:pt idx="22">
                  <c:v>6.8</c:v>
                </c:pt>
                <c:pt idx="23">
                  <c:v>6.7</c:v>
                </c:pt>
                <c:pt idx="24">
                  <c:v>6.6</c:v>
                </c:pt>
                <c:pt idx="25">
                  <c:v>6.5</c:v>
                </c:pt>
                <c:pt idx="26">
                  <c:v>6.4</c:v>
                </c:pt>
                <c:pt idx="27">
                  <c:v>6.3</c:v>
                </c:pt>
                <c:pt idx="28">
                  <c:v>6.2</c:v>
                </c:pt>
                <c:pt idx="29">
                  <c:v>6.1</c:v>
                </c:pt>
                <c:pt idx="30">
                  <c:v>6</c:v>
                </c:pt>
                <c:pt idx="31">
                  <c:v>5.9</c:v>
                </c:pt>
                <c:pt idx="32">
                  <c:v>5.8</c:v>
                </c:pt>
                <c:pt idx="33">
                  <c:v>5.7</c:v>
                </c:pt>
                <c:pt idx="34">
                  <c:v>5.6</c:v>
                </c:pt>
                <c:pt idx="35">
                  <c:v>5.5</c:v>
                </c:pt>
                <c:pt idx="36">
                  <c:v>5.4</c:v>
                </c:pt>
                <c:pt idx="37">
                  <c:v>5.3</c:v>
                </c:pt>
                <c:pt idx="38">
                  <c:v>5.2</c:v>
                </c:pt>
                <c:pt idx="39">
                  <c:v>5.0999999999999996</c:v>
                </c:pt>
                <c:pt idx="40">
                  <c:v>5</c:v>
                </c:pt>
                <c:pt idx="41">
                  <c:v>4.9000000000000004</c:v>
                </c:pt>
                <c:pt idx="42">
                  <c:v>4.8</c:v>
                </c:pt>
                <c:pt idx="43">
                  <c:v>4.7</c:v>
                </c:pt>
                <c:pt idx="44">
                  <c:v>4.5999999999999996</c:v>
                </c:pt>
                <c:pt idx="45">
                  <c:v>4.5</c:v>
                </c:pt>
                <c:pt idx="46">
                  <c:v>4.4000000000000004</c:v>
                </c:pt>
                <c:pt idx="47">
                  <c:v>4.3</c:v>
                </c:pt>
                <c:pt idx="48">
                  <c:v>4.2</c:v>
                </c:pt>
                <c:pt idx="49">
                  <c:v>4.0999999999999996</c:v>
                </c:pt>
                <c:pt idx="50">
                  <c:v>4</c:v>
                </c:pt>
                <c:pt idx="51">
                  <c:v>3.9</c:v>
                </c:pt>
                <c:pt idx="52">
                  <c:v>3.8</c:v>
                </c:pt>
                <c:pt idx="53">
                  <c:v>3.7</c:v>
                </c:pt>
                <c:pt idx="54">
                  <c:v>3.6</c:v>
                </c:pt>
                <c:pt idx="55">
                  <c:v>3.5</c:v>
                </c:pt>
                <c:pt idx="56">
                  <c:v>3.4</c:v>
                </c:pt>
                <c:pt idx="57">
                  <c:v>3.3</c:v>
                </c:pt>
                <c:pt idx="58">
                  <c:v>3.2</c:v>
                </c:pt>
                <c:pt idx="59">
                  <c:v>3.1</c:v>
                </c:pt>
                <c:pt idx="60">
                  <c:v>3</c:v>
                </c:pt>
                <c:pt idx="61">
                  <c:v>2.9</c:v>
                </c:pt>
                <c:pt idx="62">
                  <c:v>2.8</c:v>
                </c:pt>
                <c:pt idx="63">
                  <c:v>2.7</c:v>
                </c:pt>
                <c:pt idx="64">
                  <c:v>2.6</c:v>
                </c:pt>
                <c:pt idx="65">
                  <c:v>2.5</c:v>
                </c:pt>
                <c:pt idx="66">
                  <c:v>2.4</c:v>
                </c:pt>
                <c:pt idx="67">
                  <c:v>2.2999999999999998</c:v>
                </c:pt>
                <c:pt idx="68">
                  <c:v>2.2000000000000002</c:v>
                </c:pt>
                <c:pt idx="69">
                  <c:v>2.1</c:v>
                </c:pt>
                <c:pt idx="70">
                  <c:v>2</c:v>
                </c:pt>
                <c:pt idx="71">
                  <c:v>1.9</c:v>
                </c:pt>
                <c:pt idx="72">
                  <c:v>1.8</c:v>
                </c:pt>
                <c:pt idx="73">
                  <c:v>1.7</c:v>
                </c:pt>
                <c:pt idx="74">
                  <c:v>1.6</c:v>
                </c:pt>
                <c:pt idx="75">
                  <c:v>1.5</c:v>
                </c:pt>
                <c:pt idx="76">
                  <c:v>1.4</c:v>
                </c:pt>
                <c:pt idx="77">
                  <c:v>1.3</c:v>
                </c:pt>
                <c:pt idx="78">
                  <c:v>1.2</c:v>
                </c:pt>
                <c:pt idx="79">
                  <c:v>1.1000000000000001</c:v>
                </c:pt>
                <c:pt idx="80">
                  <c:v>1</c:v>
                </c:pt>
                <c:pt idx="81">
                  <c:v>0.9</c:v>
                </c:pt>
                <c:pt idx="82">
                  <c:v>0.8</c:v>
                </c:pt>
                <c:pt idx="83">
                  <c:v>0.7</c:v>
                </c:pt>
                <c:pt idx="84">
                  <c:v>0.6</c:v>
                </c:pt>
                <c:pt idx="85">
                  <c:v>0.5</c:v>
                </c:pt>
                <c:pt idx="86">
                  <c:v>0.4</c:v>
                </c:pt>
                <c:pt idx="87">
                  <c:v>0.3</c:v>
                </c:pt>
                <c:pt idx="88">
                  <c:v>0.2</c:v>
                </c:pt>
                <c:pt idx="89">
                  <c:v>0.1</c:v>
                </c:pt>
                <c:pt idx="90">
                  <c:v>0</c:v>
                </c:pt>
                <c:pt idx="91">
                  <c:v>-0.1</c:v>
                </c:pt>
                <c:pt idx="92">
                  <c:v>-0.2</c:v>
                </c:pt>
                <c:pt idx="93">
                  <c:v>-0.3</c:v>
                </c:pt>
                <c:pt idx="94">
                  <c:v>-0.4</c:v>
                </c:pt>
                <c:pt idx="95">
                  <c:v>-0.5</c:v>
                </c:pt>
                <c:pt idx="96">
                  <c:v>-0.6</c:v>
                </c:pt>
                <c:pt idx="97">
                  <c:v>-0.7</c:v>
                </c:pt>
                <c:pt idx="98">
                  <c:v>-0.8</c:v>
                </c:pt>
                <c:pt idx="99">
                  <c:v>-0.9</c:v>
                </c:pt>
                <c:pt idx="100">
                  <c:v>-1</c:v>
                </c:pt>
                <c:pt idx="101">
                  <c:v>-1.1000000000000001</c:v>
                </c:pt>
                <c:pt idx="102">
                  <c:v>-1.2</c:v>
                </c:pt>
                <c:pt idx="103">
                  <c:v>-1.3</c:v>
                </c:pt>
                <c:pt idx="104">
                  <c:v>-1.4</c:v>
                </c:pt>
                <c:pt idx="105">
                  <c:v>-1.5</c:v>
                </c:pt>
                <c:pt idx="106">
                  <c:v>-1.6</c:v>
                </c:pt>
                <c:pt idx="107">
                  <c:v>-1.7</c:v>
                </c:pt>
                <c:pt idx="108">
                  <c:v>-1.8</c:v>
                </c:pt>
                <c:pt idx="109">
                  <c:v>-1.9</c:v>
                </c:pt>
                <c:pt idx="110">
                  <c:v>-2</c:v>
                </c:pt>
                <c:pt idx="111">
                  <c:v>-2.1</c:v>
                </c:pt>
                <c:pt idx="112">
                  <c:v>-2.2000000000000002</c:v>
                </c:pt>
                <c:pt idx="113">
                  <c:v>-2.2999999999999998</c:v>
                </c:pt>
                <c:pt idx="114">
                  <c:v>-2.4</c:v>
                </c:pt>
                <c:pt idx="115">
                  <c:v>-2.5</c:v>
                </c:pt>
                <c:pt idx="116">
                  <c:v>-2.6</c:v>
                </c:pt>
                <c:pt idx="117">
                  <c:v>-2.7</c:v>
                </c:pt>
                <c:pt idx="118">
                  <c:v>-2.8</c:v>
                </c:pt>
                <c:pt idx="119">
                  <c:v>-2.9</c:v>
                </c:pt>
                <c:pt idx="120">
                  <c:v>-3</c:v>
                </c:pt>
                <c:pt idx="121">
                  <c:v>-3.1</c:v>
                </c:pt>
                <c:pt idx="122">
                  <c:v>-3.2</c:v>
                </c:pt>
                <c:pt idx="123">
                  <c:v>-3.3</c:v>
                </c:pt>
                <c:pt idx="124">
                  <c:v>-3.4</c:v>
                </c:pt>
                <c:pt idx="125">
                  <c:v>-3.5</c:v>
                </c:pt>
                <c:pt idx="126">
                  <c:v>-3.6</c:v>
                </c:pt>
                <c:pt idx="127">
                  <c:v>-3.7</c:v>
                </c:pt>
                <c:pt idx="128">
                  <c:v>-3.8</c:v>
                </c:pt>
                <c:pt idx="129">
                  <c:v>-3.9</c:v>
                </c:pt>
                <c:pt idx="130">
                  <c:v>-4</c:v>
                </c:pt>
                <c:pt idx="131">
                  <c:v>-4.0999999999999996</c:v>
                </c:pt>
                <c:pt idx="132">
                  <c:v>-4.2</c:v>
                </c:pt>
                <c:pt idx="133">
                  <c:v>-4.3</c:v>
                </c:pt>
                <c:pt idx="134">
                  <c:v>-4.4000000000000004</c:v>
                </c:pt>
                <c:pt idx="135">
                  <c:v>-4.5</c:v>
                </c:pt>
                <c:pt idx="136">
                  <c:v>-4.5999999999999996</c:v>
                </c:pt>
                <c:pt idx="137">
                  <c:v>-4.7</c:v>
                </c:pt>
                <c:pt idx="138">
                  <c:v>-4.8</c:v>
                </c:pt>
                <c:pt idx="139">
                  <c:v>-4.9000000000000004</c:v>
                </c:pt>
                <c:pt idx="140">
                  <c:v>-5</c:v>
                </c:pt>
                <c:pt idx="141">
                  <c:v>-5.0999999999999996</c:v>
                </c:pt>
                <c:pt idx="142">
                  <c:v>-5.2</c:v>
                </c:pt>
                <c:pt idx="143">
                  <c:v>-5.3</c:v>
                </c:pt>
                <c:pt idx="144">
                  <c:v>-5.4</c:v>
                </c:pt>
                <c:pt idx="145">
                  <c:v>-5.5</c:v>
                </c:pt>
                <c:pt idx="146">
                  <c:v>-5.6</c:v>
                </c:pt>
                <c:pt idx="147">
                  <c:v>-5.7</c:v>
                </c:pt>
                <c:pt idx="148">
                  <c:v>-5.8</c:v>
                </c:pt>
                <c:pt idx="149">
                  <c:v>-5.9</c:v>
                </c:pt>
                <c:pt idx="150">
                  <c:v>-6</c:v>
                </c:pt>
                <c:pt idx="151">
                  <c:v>-6.1</c:v>
                </c:pt>
                <c:pt idx="152">
                  <c:v>-6.2</c:v>
                </c:pt>
                <c:pt idx="153">
                  <c:v>-6.3</c:v>
                </c:pt>
                <c:pt idx="154">
                  <c:v>-6.4</c:v>
                </c:pt>
                <c:pt idx="155">
                  <c:v>-6.5</c:v>
                </c:pt>
                <c:pt idx="156">
                  <c:v>-6.6</c:v>
                </c:pt>
                <c:pt idx="157">
                  <c:v>-6.7</c:v>
                </c:pt>
                <c:pt idx="158">
                  <c:v>-6.8</c:v>
                </c:pt>
                <c:pt idx="159">
                  <c:v>-6.9</c:v>
                </c:pt>
                <c:pt idx="160">
                  <c:v>-7</c:v>
                </c:pt>
                <c:pt idx="161">
                  <c:v>-7.1</c:v>
                </c:pt>
                <c:pt idx="162">
                  <c:v>-7.2</c:v>
                </c:pt>
                <c:pt idx="163">
                  <c:v>-7.3</c:v>
                </c:pt>
                <c:pt idx="164">
                  <c:v>-7.4</c:v>
                </c:pt>
                <c:pt idx="165">
                  <c:v>-7.5</c:v>
                </c:pt>
                <c:pt idx="166">
                  <c:v>-7.6</c:v>
                </c:pt>
                <c:pt idx="167">
                  <c:v>-7.7</c:v>
                </c:pt>
                <c:pt idx="168">
                  <c:v>-7.8</c:v>
                </c:pt>
                <c:pt idx="169">
                  <c:v>-7.9</c:v>
                </c:pt>
                <c:pt idx="170">
                  <c:v>-8</c:v>
                </c:pt>
                <c:pt idx="171">
                  <c:v>-8.1</c:v>
                </c:pt>
                <c:pt idx="172">
                  <c:v>-8.1999999999999993</c:v>
                </c:pt>
                <c:pt idx="173">
                  <c:v>-8.3000000000000007</c:v>
                </c:pt>
                <c:pt idx="174">
                  <c:v>-8.4</c:v>
                </c:pt>
                <c:pt idx="175">
                  <c:v>-8.5</c:v>
                </c:pt>
                <c:pt idx="176">
                  <c:v>-8.6</c:v>
                </c:pt>
                <c:pt idx="177">
                  <c:v>-8.6999999999999993</c:v>
                </c:pt>
                <c:pt idx="178">
                  <c:v>-8.8000000000000007</c:v>
                </c:pt>
                <c:pt idx="179">
                  <c:v>-8.9</c:v>
                </c:pt>
                <c:pt idx="180">
                  <c:v>-9</c:v>
                </c:pt>
              </c:numCache>
            </c:numRef>
          </c:xVal>
          <c:yVal>
            <c:numRef>
              <c:f>'CS 2do sem datos'!$B$2:$B$182</c:f>
              <c:numCache>
                <c:formatCode>General</c:formatCode>
                <c:ptCount val="181"/>
                <c:pt idx="0">
                  <c:v>0</c:v>
                </c:pt>
                <c:pt idx="1">
                  <c:v>1.3379088160259622</c:v>
                </c:pt>
                <c:pt idx="2">
                  <c:v>1.8867962264113176</c:v>
                </c:pt>
                <c:pt idx="3">
                  <c:v>2.304343724360586</c:v>
                </c:pt>
                <c:pt idx="4">
                  <c:v>2.6532998322843211</c:v>
                </c:pt>
                <c:pt idx="5">
                  <c:v>2.9580398915498081</c:v>
                </c:pt>
                <c:pt idx="6">
                  <c:v>3.2310988842807022</c:v>
                </c:pt>
                <c:pt idx="7">
                  <c:v>3.479942528261061</c:v>
                </c:pt>
                <c:pt idx="8">
                  <c:v>3.7094473981982823</c:v>
                </c:pt>
                <c:pt idx="9">
                  <c:v>3.9230090491866063</c:v>
                </c:pt>
                <c:pt idx="10">
                  <c:v>4.1231056256176606</c:v>
                </c:pt>
                <c:pt idx="11">
                  <c:v>4.3116122274620192</c:v>
                </c:pt>
                <c:pt idx="12">
                  <c:v>4.4899888641287298</c:v>
                </c:pt>
                <c:pt idx="13">
                  <c:v>4.6593991028886972</c:v>
                </c:pt>
                <c:pt idx="14">
                  <c:v>4.8207883172775805</c:v>
                </c:pt>
                <c:pt idx="15">
                  <c:v>4.9749371855330997</c:v>
                </c:pt>
                <c:pt idx="16">
                  <c:v>5.1224993899462783</c:v>
                </c:pt>
                <c:pt idx="17">
                  <c:v>5.2640288753007427</c:v>
                </c:pt>
                <c:pt idx="18">
                  <c:v>5.3999999999999995</c:v>
                </c:pt>
                <c:pt idx="19">
                  <c:v>5.5308227236099334</c:v>
                </c:pt>
                <c:pt idx="20">
                  <c:v>5.6568542494923806</c:v>
                </c:pt>
                <c:pt idx="21">
                  <c:v>5.7784080852774666</c:v>
                </c:pt>
                <c:pt idx="22">
                  <c:v>5.89576118919347</c:v>
                </c:pt>
                <c:pt idx="23">
                  <c:v>6.009159675029446</c:v>
                </c:pt>
                <c:pt idx="24">
                  <c:v>6.1188234163113426</c:v>
                </c:pt>
                <c:pt idx="25">
                  <c:v>6.2249497989943663</c:v>
                </c:pt>
                <c:pt idx="26">
                  <c:v>6.327716807822549</c:v>
                </c:pt>
                <c:pt idx="27">
                  <c:v>6.4272855856885656</c:v>
                </c:pt>
                <c:pt idx="28">
                  <c:v>6.5238025721200357</c:v>
                </c:pt>
                <c:pt idx="29">
                  <c:v>6.6174013026262815</c:v>
                </c:pt>
                <c:pt idx="30">
                  <c:v>6.7082039324993694</c:v>
                </c:pt>
                <c:pt idx="31">
                  <c:v>6.7963225350184784</c:v>
                </c:pt>
                <c:pt idx="32">
                  <c:v>6.8818602136341012</c:v>
                </c:pt>
                <c:pt idx="33">
                  <c:v>6.9649120597463394</c:v>
                </c:pt>
                <c:pt idx="34">
                  <c:v>7.0455659815234153</c:v>
                </c:pt>
                <c:pt idx="35">
                  <c:v>7.1239034243875032</c:v>
                </c:pt>
                <c:pt idx="36">
                  <c:v>7.2</c:v>
                </c:pt>
                <c:pt idx="37">
                  <c:v>7.2739260375673327</c:v>
                </c:pt>
                <c:pt idx="38">
                  <c:v>7.3457470688827824</c:v>
                </c:pt>
                <c:pt idx="39">
                  <c:v>7.4155242565849653</c:v>
                </c:pt>
                <c:pt idx="40">
                  <c:v>7.4833147735478827</c:v>
                </c:pt>
                <c:pt idx="41">
                  <c:v>7.5491721400429066</c:v>
                </c:pt>
                <c:pt idx="42">
                  <c:v>7.6131465242697125</c:v>
                </c:pt>
                <c:pt idx="43">
                  <c:v>7.6752850109947053</c:v>
                </c:pt>
                <c:pt idx="44">
                  <c:v>7.7356318423254864</c:v>
                </c:pt>
                <c:pt idx="45">
                  <c:v>7.794228634059948</c:v>
                </c:pt>
                <c:pt idx="46">
                  <c:v>7.8511145705562084</c:v>
                </c:pt>
                <c:pt idx="47">
                  <c:v>7.9063265806567848</c:v>
                </c:pt>
                <c:pt idx="48">
                  <c:v>7.9598994968529597</c:v>
                </c:pt>
                <c:pt idx="49">
                  <c:v>8.0118661995817178</c:v>
                </c:pt>
                <c:pt idx="50">
                  <c:v>8.0622577482985491</c:v>
                </c:pt>
                <c:pt idx="51">
                  <c:v>8.1111035007574657</c:v>
                </c:pt>
                <c:pt idx="52">
                  <c:v>8.1584312217484563</c:v>
                </c:pt>
                <c:pt idx="53">
                  <c:v>8.2042671823874684</c:v>
                </c:pt>
                <c:pt idx="54">
                  <c:v>8.2486362509205122</c:v>
                </c:pt>
                <c:pt idx="55">
                  <c:v>8.2915619758885004</c:v>
                </c:pt>
                <c:pt idx="56">
                  <c:v>8.3330666623998635</c:v>
                </c:pt>
                <c:pt idx="57">
                  <c:v>8.3731714421717172</c:v>
                </c:pt>
                <c:pt idx="58">
                  <c:v>8.4118963379252349</c:v>
                </c:pt>
                <c:pt idx="59">
                  <c:v>8.4492603226554692</c:v>
                </c:pt>
                <c:pt idx="60">
                  <c:v>8.4852813742385695</c:v>
                </c:pt>
                <c:pt idx="61">
                  <c:v>8.519976525789259</c:v>
                </c:pt>
                <c:pt idx="62">
                  <c:v>8.5533619121372393</c:v>
                </c:pt>
                <c:pt idx="63">
                  <c:v>8.5854528127525107</c:v>
                </c:pt>
                <c:pt idx="64">
                  <c:v>8.616263691415206</c:v>
                </c:pt>
                <c:pt idx="65">
                  <c:v>8.6458082328952912</c:v>
                </c:pt>
                <c:pt idx="66">
                  <c:v>8.6740993768805765</c:v>
                </c:pt>
                <c:pt idx="67">
                  <c:v>8.7011493493675882</c:v>
                </c:pt>
                <c:pt idx="68">
                  <c:v>8.7269696917085717</c:v>
                </c:pt>
                <c:pt idx="69">
                  <c:v>8.7515712874888933</c:v>
                </c:pt>
                <c:pt idx="70">
                  <c:v>8.7749643873921226</c:v>
                </c:pt>
                <c:pt idx="71">
                  <c:v>8.7971586321948294</c:v>
                </c:pt>
                <c:pt idx="72">
                  <c:v>8.8181630740194414</c:v>
                </c:pt>
                <c:pt idx="73">
                  <c:v>8.8379861959611592</c:v>
                </c:pt>
                <c:pt idx="74">
                  <c:v>8.8566359301938107</c:v>
                </c:pt>
                <c:pt idx="75">
                  <c:v>8.8741196746494246</c:v>
                </c:pt>
                <c:pt idx="76">
                  <c:v>8.8904443083571483</c:v>
                </c:pt>
                <c:pt idx="77">
                  <c:v>8.9056162055188519</c:v>
                </c:pt>
                <c:pt idx="78">
                  <c:v>8.9196412483911036</c:v>
                </c:pt>
                <c:pt idx="79">
                  <c:v>8.9325248390362741</c:v>
                </c:pt>
                <c:pt idx="80">
                  <c:v>8.9442719099991592</c:v>
                </c:pt>
                <c:pt idx="81">
                  <c:v>8.95488693395958</c:v>
                </c:pt>
                <c:pt idx="82">
                  <c:v>8.964373932405989</c:v>
                </c:pt>
                <c:pt idx="83">
                  <c:v>8.9727364833700545</c:v>
                </c:pt>
                <c:pt idx="84">
                  <c:v>8.9799777282574595</c:v>
                </c:pt>
                <c:pt idx="85">
                  <c:v>8.9861003778057142</c:v>
                </c:pt>
                <c:pt idx="86">
                  <c:v>8.9911067171956098</c:v>
                </c:pt>
                <c:pt idx="87">
                  <c:v>8.9949986103389694</c:v>
                </c:pt>
                <c:pt idx="88">
                  <c:v>8.9977775033615934</c:v>
                </c:pt>
                <c:pt idx="89">
                  <c:v>8.9994444272966092</c:v>
                </c:pt>
                <c:pt idx="90">
                  <c:v>9</c:v>
                </c:pt>
                <c:pt idx="91">
                  <c:v>8.9994444272966092</c:v>
                </c:pt>
                <c:pt idx="92">
                  <c:v>8.9977775033615934</c:v>
                </c:pt>
                <c:pt idx="93">
                  <c:v>8.9949986103389694</c:v>
                </c:pt>
                <c:pt idx="94">
                  <c:v>8.9911067171956098</c:v>
                </c:pt>
                <c:pt idx="95">
                  <c:v>8.9861003778057142</c:v>
                </c:pt>
                <c:pt idx="96">
                  <c:v>8.9799777282574595</c:v>
                </c:pt>
                <c:pt idx="97">
                  <c:v>8.9727364833700545</c:v>
                </c:pt>
                <c:pt idx="98">
                  <c:v>8.964373932405989</c:v>
                </c:pt>
                <c:pt idx="99">
                  <c:v>8.95488693395958</c:v>
                </c:pt>
                <c:pt idx="100">
                  <c:v>8.9442719099991592</c:v>
                </c:pt>
                <c:pt idx="101">
                  <c:v>8.9325248390362741</c:v>
                </c:pt>
                <c:pt idx="102">
                  <c:v>8.9196412483911036</c:v>
                </c:pt>
                <c:pt idx="103">
                  <c:v>8.9056162055188519</c:v>
                </c:pt>
                <c:pt idx="104">
                  <c:v>8.8904443083571483</c:v>
                </c:pt>
                <c:pt idx="105">
                  <c:v>8.8741196746494246</c:v>
                </c:pt>
                <c:pt idx="106">
                  <c:v>8.8566359301938107</c:v>
                </c:pt>
                <c:pt idx="107">
                  <c:v>8.8379861959611592</c:v>
                </c:pt>
                <c:pt idx="108">
                  <c:v>8.8181630740194414</c:v>
                </c:pt>
                <c:pt idx="109">
                  <c:v>8.7971586321948294</c:v>
                </c:pt>
                <c:pt idx="110">
                  <c:v>8.7749643873921226</c:v>
                </c:pt>
                <c:pt idx="111">
                  <c:v>8.7515712874888933</c:v>
                </c:pt>
                <c:pt idx="112">
                  <c:v>8.7269696917085717</c:v>
                </c:pt>
                <c:pt idx="113">
                  <c:v>8.7011493493675882</c:v>
                </c:pt>
                <c:pt idx="114">
                  <c:v>8.6740993768805765</c:v>
                </c:pt>
                <c:pt idx="115">
                  <c:v>8.6458082328952912</c:v>
                </c:pt>
                <c:pt idx="116">
                  <c:v>8.616263691415206</c:v>
                </c:pt>
                <c:pt idx="117">
                  <c:v>8.5854528127525107</c:v>
                </c:pt>
                <c:pt idx="118">
                  <c:v>8.5533619121372393</c:v>
                </c:pt>
                <c:pt idx="119">
                  <c:v>8.519976525789259</c:v>
                </c:pt>
                <c:pt idx="120">
                  <c:v>8.4852813742385695</c:v>
                </c:pt>
                <c:pt idx="121">
                  <c:v>8.4492603226554692</c:v>
                </c:pt>
                <c:pt idx="122">
                  <c:v>8.4118963379252349</c:v>
                </c:pt>
                <c:pt idx="123">
                  <c:v>8.3731714421717172</c:v>
                </c:pt>
                <c:pt idx="124">
                  <c:v>8.3330666623998635</c:v>
                </c:pt>
                <c:pt idx="125">
                  <c:v>8.2915619758885004</c:v>
                </c:pt>
                <c:pt idx="126">
                  <c:v>8.2486362509205122</c:v>
                </c:pt>
                <c:pt idx="127">
                  <c:v>8.2042671823874684</c:v>
                </c:pt>
                <c:pt idx="128">
                  <c:v>8.1584312217484563</c:v>
                </c:pt>
                <c:pt idx="129">
                  <c:v>8.1111035007574657</c:v>
                </c:pt>
                <c:pt idx="130">
                  <c:v>8.0622577482985491</c:v>
                </c:pt>
                <c:pt idx="131">
                  <c:v>8.0118661995817178</c:v>
                </c:pt>
                <c:pt idx="132">
                  <c:v>7.9598994968529597</c:v>
                </c:pt>
                <c:pt idx="133">
                  <c:v>7.9063265806567848</c:v>
                </c:pt>
                <c:pt idx="134">
                  <c:v>7.8511145705562084</c:v>
                </c:pt>
                <c:pt idx="135">
                  <c:v>7.794228634059948</c:v>
                </c:pt>
                <c:pt idx="136">
                  <c:v>7.7356318423254864</c:v>
                </c:pt>
                <c:pt idx="137">
                  <c:v>7.6752850109947053</c:v>
                </c:pt>
                <c:pt idx="138">
                  <c:v>7.6131465242697125</c:v>
                </c:pt>
                <c:pt idx="139">
                  <c:v>7.5491721400429066</c:v>
                </c:pt>
                <c:pt idx="140">
                  <c:v>7.4833147735478827</c:v>
                </c:pt>
                <c:pt idx="141">
                  <c:v>7.4155242565849653</c:v>
                </c:pt>
                <c:pt idx="142">
                  <c:v>7.3457470688827824</c:v>
                </c:pt>
                <c:pt idx="143">
                  <c:v>7.2739260375673327</c:v>
                </c:pt>
                <c:pt idx="144">
                  <c:v>7.2</c:v>
                </c:pt>
                <c:pt idx="145">
                  <c:v>7.1239034243875032</c:v>
                </c:pt>
                <c:pt idx="146">
                  <c:v>7.0455659815234153</c:v>
                </c:pt>
                <c:pt idx="147">
                  <c:v>6.9649120597463394</c:v>
                </c:pt>
                <c:pt idx="148">
                  <c:v>6.8818602136341012</c:v>
                </c:pt>
                <c:pt idx="149">
                  <c:v>6.7963225350184784</c:v>
                </c:pt>
                <c:pt idx="150">
                  <c:v>6.7082039324993694</c:v>
                </c:pt>
                <c:pt idx="151">
                  <c:v>6.6174013026262815</c:v>
                </c:pt>
                <c:pt idx="152">
                  <c:v>6.5238025721200357</c:v>
                </c:pt>
                <c:pt idx="153">
                  <c:v>6.4272855856885656</c:v>
                </c:pt>
                <c:pt idx="154">
                  <c:v>6.327716807822549</c:v>
                </c:pt>
                <c:pt idx="155">
                  <c:v>6.2249497989943663</c:v>
                </c:pt>
                <c:pt idx="156">
                  <c:v>6.1188234163113426</c:v>
                </c:pt>
                <c:pt idx="157">
                  <c:v>6.009159675029446</c:v>
                </c:pt>
                <c:pt idx="158">
                  <c:v>5.89576118919347</c:v>
                </c:pt>
                <c:pt idx="159">
                  <c:v>5.7784080852774666</c:v>
                </c:pt>
                <c:pt idx="160">
                  <c:v>5.6568542494923806</c:v>
                </c:pt>
                <c:pt idx="161">
                  <c:v>5.5308227236099334</c:v>
                </c:pt>
                <c:pt idx="162">
                  <c:v>5.3999999999999995</c:v>
                </c:pt>
                <c:pt idx="163">
                  <c:v>5.2640288753007427</c:v>
                </c:pt>
                <c:pt idx="164">
                  <c:v>5.1224993899462783</c:v>
                </c:pt>
                <c:pt idx="165">
                  <c:v>4.9749371855330997</c:v>
                </c:pt>
                <c:pt idx="166">
                  <c:v>4.8207883172775805</c:v>
                </c:pt>
                <c:pt idx="167">
                  <c:v>4.6593991028886972</c:v>
                </c:pt>
                <c:pt idx="168">
                  <c:v>4.4899888641287298</c:v>
                </c:pt>
                <c:pt idx="169">
                  <c:v>4.3116122274620192</c:v>
                </c:pt>
                <c:pt idx="170">
                  <c:v>4.1231056256176606</c:v>
                </c:pt>
                <c:pt idx="171">
                  <c:v>3.9230090491866063</c:v>
                </c:pt>
                <c:pt idx="172">
                  <c:v>3.7094473981982823</c:v>
                </c:pt>
                <c:pt idx="173">
                  <c:v>3.479942528261061</c:v>
                </c:pt>
                <c:pt idx="174">
                  <c:v>3.2310988842807022</c:v>
                </c:pt>
                <c:pt idx="175">
                  <c:v>2.9580398915498081</c:v>
                </c:pt>
                <c:pt idx="176">
                  <c:v>2.6532998322843211</c:v>
                </c:pt>
                <c:pt idx="177">
                  <c:v>2.304343724360586</c:v>
                </c:pt>
                <c:pt idx="178">
                  <c:v>1.8867962264113176</c:v>
                </c:pt>
                <c:pt idx="179">
                  <c:v>1.3379088160259622</c:v>
                </c:pt>
                <c:pt idx="180">
                  <c:v>0</c:v>
                </c:pt>
              </c:numCache>
            </c:numRef>
          </c:yVal>
          <c:smooth val="1"/>
        </c:ser>
        <c:ser>
          <c:idx val="74"/>
          <c:order val="15"/>
          <c:spPr>
            <a:ln w="1905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'CS 2do sem datos'!$A$2:$A$182</c:f>
              <c:numCache>
                <c:formatCode>General</c:formatCode>
                <c:ptCount val="181"/>
                <c:pt idx="0">
                  <c:v>9</c:v>
                </c:pt>
                <c:pt idx="1">
                  <c:v>8.9</c:v>
                </c:pt>
                <c:pt idx="2">
                  <c:v>8.8000000000000007</c:v>
                </c:pt>
                <c:pt idx="3">
                  <c:v>8.6999999999999993</c:v>
                </c:pt>
                <c:pt idx="4">
                  <c:v>8.6</c:v>
                </c:pt>
                <c:pt idx="5">
                  <c:v>8.5</c:v>
                </c:pt>
                <c:pt idx="6">
                  <c:v>8.4</c:v>
                </c:pt>
                <c:pt idx="7">
                  <c:v>8.3000000000000007</c:v>
                </c:pt>
                <c:pt idx="8">
                  <c:v>8.1999999999999993</c:v>
                </c:pt>
                <c:pt idx="9">
                  <c:v>8.1</c:v>
                </c:pt>
                <c:pt idx="10">
                  <c:v>8</c:v>
                </c:pt>
                <c:pt idx="11">
                  <c:v>7.9</c:v>
                </c:pt>
                <c:pt idx="12">
                  <c:v>7.8</c:v>
                </c:pt>
                <c:pt idx="13">
                  <c:v>7.7</c:v>
                </c:pt>
                <c:pt idx="14">
                  <c:v>7.6</c:v>
                </c:pt>
                <c:pt idx="15">
                  <c:v>7.5</c:v>
                </c:pt>
                <c:pt idx="16">
                  <c:v>7.4</c:v>
                </c:pt>
                <c:pt idx="17">
                  <c:v>7.3</c:v>
                </c:pt>
                <c:pt idx="18">
                  <c:v>7.2</c:v>
                </c:pt>
                <c:pt idx="19">
                  <c:v>7.1</c:v>
                </c:pt>
                <c:pt idx="20">
                  <c:v>7</c:v>
                </c:pt>
                <c:pt idx="21">
                  <c:v>6.9</c:v>
                </c:pt>
                <c:pt idx="22">
                  <c:v>6.8</c:v>
                </c:pt>
                <c:pt idx="23">
                  <c:v>6.7</c:v>
                </c:pt>
                <c:pt idx="24">
                  <c:v>6.6</c:v>
                </c:pt>
                <c:pt idx="25">
                  <c:v>6.5</c:v>
                </c:pt>
                <c:pt idx="26">
                  <c:v>6.4</c:v>
                </c:pt>
                <c:pt idx="27">
                  <c:v>6.3</c:v>
                </c:pt>
                <c:pt idx="28">
                  <c:v>6.2</c:v>
                </c:pt>
                <c:pt idx="29">
                  <c:v>6.1</c:v>
                </c:pt>
                <c:pt idx="30">
                  <c:v>6</c:v>
                </c:pt>
                <c:pt idx="31">
                  <c:v>5.9</c:v>
                </c:pt>
                <c:pt idx="32">
                  <c:v>5.8</c:v>
                </c:pt>
                <c:pt idx="33">
                  <c:v>5.7</c:v>
                </c:pt>
                <c:pt idx="34">
                  <c:v>5.6</c:v>
                </c:pt>
                <c:pt idx="35">
                  <c:v>5.5</c:v>
                </c:pt>
                <c:pt idx="36">
                  <c:v>5.4</c:v>
                </c:pt>
                <c:pt idx="37">
                  <c:v>5.3</c:v>
                </c:pt>
                <c:pt idx="38">
                  <c:v>5.2</c:v>
                </c:pt>
                <c:pt idx="39">
                  <c:v>5.0999999999999996</c:v>
                </c:pt>
                <c:pt idx="40">
                  <c:v>5</c:v>
                </c:pt>
                <c:pt idx="41">
                  <c:v>4.9000000000000004</c:v>
                </c:pt>
                <c:pt idx="42">
                  <c:v>4.8</c:v>
                </c:pt>
                <c:pt idx="43">
                  <c:v>4.7</c:v>
                </c:pt>
                <c:pt idx="44">
                  <c:v>4.5999999999999996</c:v>
                </c:pt>
                <c:pt idx="45">
                  <c:v>4.5</c:v>
                </c:pt>
                <c:pt idx="46">
                  <c:v>4.4000000000000004</c:v>
                </c:pt>
                <c:pt idx="47">
                  <c:v>4.3</c:v>
                </c:pt>
                <c:pt idx="48">
                  <c:v>4.2</c:v>
                </c:pt>
                <c:pt idx="49">
                  <c:v>4.0999999999999996</c:v>
                </c:pt>
                <c:pt idx="50">
                  <c:v>4</c:v>
                </c:pt>
                <c:pt idx="51">
                  <c:v>3.9</c:v>
                </c:pt>
                <c:pt idx="52">
                  <c:v>3.8</c:v>
                </c:pt>
                <c:pt idx="53">
                  <c:v>3.7</c:v>
                </c:pt>
                <c:pt idx="54">
                  <c:v>3.6</c:v>
                </c:pt>
                <c:pt idx="55">
                  <c:v>3.5</c:v>
                </c:pt>
                <c:pt idx="56">
                  <c:v>3.4</c:v>
                </c:pt>
                <c:pt idx="57">
                  <c:v>3.3</c:v>
                </c:pt>
                <c:pt idx="58">
                  <c:v>3.2</c:v>
                </c:pt>
                <c:pt idx="59">
                  <c:v>3.1</c:v>
                </c:pt>
                <c:pt idx="60">
                  <c:v>3</c:v>
                </c:pt>
                <c:pt idx="61">
                  <c:v>2.9</c:v>
                </c:pt>
                <c:pt idx="62">
                  <c:v>2.8</c:v>
                </c:pt>
                <c:pt idx="63">
                  <c:v>2.7</c:v>
                </c:pt>
                <c:pt idx="64">
                  <c:v>2.6</c:v>
                </c:pt>
                <c:pt idx="65">
                  <c:v>2.5</c:v>
                </c:pt>
                <c:pt idx="66">
                  <c:v>2.4</c:v>
                </c:pt>
                <c:pt idx="67">
                  <c:v>2.2999999999999998</c:v>
                </c:pt>
                <c:pt idx="68">
                  <c:v>2.2000000000000002</c:v>
                </c:pt>
                <c:pt idx="69">
                  <c:v>2.1</c:v>
                </c:pt>
                <c:pt idx="70">
                  <c:v>2</c:v>
                </c:pt>
                <c:pt idx="71">
                  <c:v>1.9</c:v>
                </c:pt>
                <c:pt idx="72">
                  <c:v>1.8</c:v>
                </c:pt>
                <c:pt idx="73">
                  <c:v>1.7</c:v>
                </c:pt>
                <c:pt idx="74">
                  <c:v>1.6</c:v>
                </c:pt>
                <c:pt idx="75">
                  <c:v>1.5</c:v>
                </c:pt>
                <c:pt idx="76">
                  <c:v>1.4</c:v>
                </c:pt>
                <c:pt idx="77">
                  <c:v>1.3</c:v>
                </c:pt>
                <c:pt idx="78">
                  <c:v>1.2</c:v>
                </c:pt>
                <c:pt idx="79">
                  <c:v>1.1000000000000001</c:v>
                </c:pt>
                <c:pt idx="80">
                  <c:v>1</c:v>
                </c:pt>
                <c:pt idx="81">
                  <c:v>0.9</c:v>
                </c:pt>
                <c:pt idx="82">
                  <c:v>0.8</c:v>
                </c:pt>
                <c:pt idx="83">
                  <c:v>0.7</c:v>
                </c:pt>
                <c:pt idx="84">
                  <c:v>0.6</c:v>
                </c:pt>
                <c:pt idx="85">
                  <c:v>0.5</c:v>
                </c:pt>
                <c:pt idx="86">
                  <c:v>0.4</c:v>
                </c:pt>
                <c:pt idx="87">
                  <c:v>0.3</c:v>
                </c:pt>
                <c:pt idx="88">
                  <c:v>0.2</c:v>
                </c:pt>
                <c:pt idx="89">
                  <c:v>0.1</c:v>
                </c:pt>
                <c:pt idx="90">
                  <c:v>0</c:v>
                </c:pt>
                <c:pt idx="91">
                  <c:v>-0.1</c:v>
                </c:pt>
                <c:pt idx="92">
                  <c:v>-0.2</c:v>
                </c:pt>
                <c:pt idx="93">
                  <c:v>-0.3</c:v>
                </c:pt>
                <c:pt idx="94">
                  <c:v>-0.4</c:v>
                </c:pt>
                <c:pt idx="95">
                  <c:v>-0.5</c:v>
                </c:pt>
                <c:pt idx="96">
                  <c:v>-0.6</c:v>
                </c:pt>
                <c:pt idx="97">
                  <c:v>-0.7</c:v>
                </c:pt>
                <c:pt idx="98">
                  <c:v>-0.8</c:v>
                </c:pt>
                <c:pt idx="99">
                  <c:v>-0.9</c:v>
                </c:pt>
                <c:pt idx="100">
                  <c:v>-1</c:v>
                </c:pt>
                <c:pt idx="101">
                  <c:v>-1.1000000000000001</c:v>
                </c:pt>
                <c:pt idx="102">
                  <c:v>-1.2</c:v>
                </c:pt>
                <c:pt idx="103">
                  <c:v>-1.3</c:v>
                </c:pt>
                <c:pt idx="104">
                  <c:v>-1.4</c:v>
                </c:pt>
                <c:pt idx="105">
                  <c:v>-1.5</c:v>
                </c:pt>
                <c:pt idx="106">
                  <c:v>-1.6</c:v>
                </c:pt>
                <c:pt idx="107">
                  <c:v>-1.7</c:v>
                </c:pt>
                <c:pt idx="108">
                  <c:v>-1.8</c:v>
                </c:pt>
                <c:pt idx="109">
                  <c:v>-1.9</c:v>
                </c:pt>
                <c:pt idx="110">
                  <c:v>-2</c:v>
                </c:pt>
                <c:pt idx="111">
                  <c:v>-2.1</c:v>
                </c:pt>
                <c:pt idx="112">
                  <c:v>-2.2000000000000002</c:v>
                </c:pt>
                <c:pt idx="113">
                  <c:v>-2.2999999999999998</c:v>
                </c:pt>
                <c:pt idx="114">
                  <c:v>-2.4</c:v>
                </c:pt>
                <c:pt idx="115">
                  <c:v>-2.5</c:v>
                </c:pt>
                <c:pt idx="116">
                  <c:v>-2.6</c:v>
                </c:pt>
                <c:pt idx="117">
                  <c:v>-2.7</c:v>
                </c:pt>
                <c:pt idx="118">
                  <c:v>-2.8</c:v>
                </c:pt>
                <c:pt idx="119">
                  <c:v>-2.9</c:v>
                </c:pt>
                <c:pt idx="120">
                  <c:v>-3</c:v>
                </c:pt>
                <c:pt idx="121">
                  <c:v>-3.1</c:v>
                </c:pt>
                <c:pt idx="122">
                  <c:v>-3.2</c:v>
                </c:pt>
                <c:pt idx="123">
                  <c:v>-3.3</c:v>
                </c:pt>
                <c:pt idx="124">
                  <c:v>-3.4</c:v>
                </c:pt>
                <c:pt idx="125">
                  <c:v>-3.5</c:v>
                </c:pt>
                <c:pt idx="126">
                  <c:v>-3.6</c:v>
                </c:pt>
                <c:pt idx="127">
                  <c:v>-3.7</c:v>
                </c:pt>
                <c:pt idx="128">
                  <c:v>-3.8</c:v>
                </c:pt>
                <c:pt idx="129">
                  <c:v>-3.9</c:v>
                </c:pt>
                <c:pt idx="130">
                  <c:v>-4</c:v>
                </c:pt>
                <c:pt idx="131">
                  <c:v>-4.0999999999999996</c:v>
                </c:pt>
                <c:pt idx="132">
                  <c:v>-4.2</c:v>
                </c:pt>
                <c:pt idx="133">
                  <c:v>-4.3</c:v>
                </c:pt>
                <c:pt idx="134">
                  <c:v>-4.4000000000000004</c:v>
                </c:pt>
                <c:pt idx="135">
                  <c:v>-4.5</c:v>
                </c:pt>
                <c:pt idx="136">
                  <c:v>-4.5999999999999996</c:v>
                </c:pt>
                <c:pt idx="137">
                  <c:v>-4.7</c:v>
                </c:pt>
                <c:pt idx="138">
                  <c:v>-4.8</c:v>
                </c:pt>
                <c:pt idx="139">
                  <c:v>-4.9000000000000004</c:v>
                </c:pt>
                <c:pt idx="140">
                  <c:v>-5</c:v>
                </c:pt>
                <c:pt idx="141">
                  <c:v>-5.0999999999999996</c:v>
                </c:pt>
                <c:pt idx="142">
                  <c:v>-5.2</c:v>
                </c:pt>
                <c:pt idx="143">
                  <c:v>-5.3</c:v>
                </c:pt>
                <c:pt idx="144">
                  <c:v>-5.4</c:v>
                </c:pt>
                <c:pt idx="145">
                  <c:v>-5.5</c:v>
                </c:pt>
                <c:pt idx="146">
                  <c:v>-5.6</c:v>
                </c:pt>
                <c:pt idx="147">
                  <c:v>-5.7</c:v>
                </c:pt>
                <c:pt idx="148">
                  <c:v>-5.8</c:v>
                </c:pt>
                <c:pt idx="149">
                  <c:v>-5.9</c:v>
                </c:pt>
                <c:pt idx="150">
                  <c:v>-6</c:v>
                </c:pt>
                <c:pt idx="151">
                  <c:v>-6.1</c:v>
                </c:pt>
                <c:pt idx="152">
                  <c:v>-6.2</c:v>
                </c:pt>
                <c:pt idx="153">
                  <c:v>-6.3</c:v>
                </c:pt>
                <c:pt idx="154">
                  <c:v>-6.4</c:v>
                </c:pt>
                <c:pt idx="155">
                  <c:v>-6.5</c:v>
                </c:pt>
                <c:pt idx="156">
                  <c:v>-6.6</c:v>
                </c:pt>
                <c:pt idx="157">
                  <c:v>-6.7</c:v>
                </c:pt>
                <c:pt idx="158">
                  <c:v>-6.8</c:v>
                </c:pt>
                <c:pt idx="159">
                  <c:v>-6.9</c:v>
                </c:pt>
                <c:pt idx="160">
                  <c:v>-7</c:v>
                </c:pt>
                <c:pt idx="161">
                  <c:v>-7.1</c:v>
                </c:pt>
                <c:pt idx="162">
                  <c:v>-7.2</c:v>
                </c:pt>
                <c:pt idx="163">
                  <c:v>-7.3</c:v>
                </c:pt>
                <c:pt idx="164">
                  <c:v>-7.4</c:v>
                </c:pt>
                <c:pt idx="165">
                  <c:v>-7.5</c:v>
                </c:pt>
                <c:pt idx="166">
                  <c:v>-7.6</c:v>
                </c:pt>
                <c:pt idx="167">
                  <c:v>-7.7</c:v>
                </c:pt>
                <c:pt idx="168">
                  <c:v>-7.8</c:v>
                </c:pt>
                <c:pt idx="169">
                  <c:v>-7.9</c:v>
                </c:pt>
                <c:pt idx="170">
                  <c:v>-8</c:v>
                </c:pt>
                <c:pt idx="171">
                  <c:v>-8.1</c:v>
                </c:pt>
                <c:pt idx="172">
                  <c:v>-8.1999999999999993</c:v>
                </c:pt>
                <c:pt idx="173">
                  <c:v>-8.3000000000000007</c:v>
                </c:pt>
                <c:pt idx="174">
                  <c:v>-8.4</c:v>
                </c:pt>
                <c:pt idx="175">
                  <c:v>-8.5</c:v>
                </c:pt>
                <c:pt idx="176">
                  <c:v>-8.6</c:v>
                </c:pt>
                <c:pt idx="177">
                  <c:v>-8.6999999999999993</c:v>
                </c:pt>
                <c:pt idx="178">
                  <c:v>-8.8000000000000007</c:v>
                </c:pt>
                <c:pt idx="179">
                  <c:v>-8.9</c:v>
                </c:pt>
                <c:pt idx="180">
                  <c:v>-9</c:v>
                </c:pt>
              </c:numCache>
            </c:numRef>
          </c:xVal>
          <c:yVal>
            <c:numRef>
              <c:f>'CS 2do sem datos'!$C$2:$C$182</c:f>
              <c:numCache>
                <c:formatCode>General</c:formatCode>
                <c:ptCount val="181"/>
                <c:pt idx="0">
                  <c:v>0</c:v>
                </c:pt>
                <c:pt idx="1">
                  <c:v>-1.3379088160259622</c:v>
                </c:pt>
                <c:pt idx="2">
                  <c:v>-1.8867962264113176</c:v>
                </c:pt>
                <c:pt idx="3">
                  <c:v>-2.304343724360586</c:v>
                </c:pt>
                <c:pt idx="4">
                  <c:v>-2.6532998322843211</c:v>
                </c:pt>
                <c:pt idx="5">
                  <c:v>-2.9580398915498081</c:v>
                </c:pt>
                <c:pt idx="6">
                  <c:v>-3.2310988842807022</c:v>
                </c:pt>
                <c:pt idx="7">
                  <c:v>-3.479942528261061</c:v>
                </c:pt>
                <c:pt idx="8">
                  <c:v>-3.7094473981982823</c:v>
                </c:pt>
                <c:pt idx="9">
                  <c:v>-3.9230090491866063</c:v>
                </c:pt>
                <c:pt idx="10">
                  <c:v>-4.1231056256176606</c:v>
                </c:pt>
                <c:pt idx="11">
                  <c:v>-4.3116122274620192</c:v>
                </c:pt>
                <c:pt idx="12">
                  <c:v>-4.4899888641287298</c:v>
                </c:pt>
                <c:pt idx="13">
                  <c:v>-4.6593991028886972</c:v>
                </c:pt>
                <c:pt idx="14">
                  <c:v>-4.8207883172775805</c:v>
                </c:pt>
                <c:pt idx="15">
                  <c:v>-4.9749371855330997</c:v>
                </c:pt>
                <c:pt idx="16">
                  <c:v>-5.1224993899462783</c:v>
                </c:pt>
                <c:pt idx="17">
                  <c:v>-5.2640288753007427</c:v>
                </c:pt>
                <c:pt idx="18">
                  <c:v>-5.3999999999999995</c:v>
                </c:pt>
                <c:pt idx="19">
                  <c:v>-5.5308227236099334</c:v>
                </c:pt>
                <c:pt idx="20">
                  <c:v>-5.6568542494923806</c:v>
                </c:pt>
                <c:pt idx="21">
                  <c:v>-5.7784080852774666</c:v>
                </c:pt>
                <c:pt idx="22">
                  <c:v>-5.89576118919347</c:v>
                </c:pt>
                <c:pt idx="23">
                  <c:v>-6.009159675029446</c:v>
                </c:pt>
                <c:pt idx="24">
                  <c:v>-6.1188234163113426</c:v>
                </c:pt>
                <c:pt idx="25">
                  <c:v>-6.2249497989943663</c:v>
                </c:pt>
                <c:pt idx="26">
                  <c:v>-6.327716807822549</c:v>
                </c:pt>
                <c:pt idx="27">
                  <c:v>-6.4272855856885656</c:v>
                </c:pt>
                <c:pt idx="28">
                  <c:v>-6.5238025721200357</c:v>
                </c:pt>
                <c:pt idx="29">
                  <c:v>-6.6174013026262815</c:v>
                </c:pt>
                <c:pt idx="30">
                  <c:v>-6.7082039324993694</c:v>
                </c:pt>
                <c:pt idx="31">
                  <c:v>-6.7963225350184784</c:v>
                </c:pt>
                <c:pt idx="32">
                  <c:v>-6.8818602136341012</c:v>
                </c:pt>
                <c:pt idx="33">
                  <c:v>-6.9649120597463394</c:v>
                </c:pt>
                <c:pt idx="34">
                  <c:v>-7.0455659815234153</c:v>
                </c:pt>
                <c:pt idx="35">
                  <c:v>-7.1239034243875032</c:v>
                </c:pt>
                <c:pt idx="36">
                  <c:v>-7.2</c:v>
                </c:pt>
                <c:pt idx="37">
                  <c:v>-7.2739260375673327</c:v>
                </c:pt>
                <c:pt idx="38">
                  <c:v>-7.3457470688827824</c:v>
                </c:pt>
                <c:pt idx="39">
                  <c:v>-7.4155242565849653</c:v>
                </c:pt>
                <c:pt idx="40">
                  <c:v>-7.4833147735478827</c:v>
                </c:pt>
                <c:pt idx="41">
                  <c:v>-7.5491721400429066</c:v>
                </c:pt>
                <c:pt idx="42">
                  <c:v>-7.6131465242697125</c:v>
                </c:pt>
                <c:pt idx="43">
                  <c:v>-7.6752850109947053</c:v>
                </c:pt>
                <c:pt idx="44">
                  <c:v>-7.7356318423254864</c:v>
                </c:pt>
                <c:pt idx="45">
                  <c:v>-7.794228634059948</c:v>
                </c:pt>
                <c:pt idx="46">
                  <c:v>-7.8511145705562084</c:v>
                </c:pt>
                <c:pt idx="47">
                  <c:v>-7.9063265806567848</c:v>
                </c:pt>
                <c:pt idx="48">
                  <c:v>-7.9598994968529597</c:v>
                </c:pt>
                <c:pt idx="49">
                  <c:v>-8.0118661995817178</c:v>
                </c:pt>
                <c:pt idx="50">
                  <c:v>-8.0622577482985491</c:v>
                </c:pt>
                <c:pt idx="51">
                  <c:v>-8.1111035007574657</c:v>
                </c:pt>
                <c:pt idx="52">
                  <c:v>-8.1584312217484563</c:v>
                </c:pt>
                <c:pt idx="53">
                  <c:v>-8.2042671823874684</c:v>
                </c:pt>
                <c:pt idx="54">
                  <c:v>-8.2486362509205122</c:v>
                </c:pt>
                <c:pt idx="55">
                  <c:v>-8.2915619758885004</c:v>
                </c:pt>
                <c:pt idx="56">
                  <c:v>-8.3330666623998635</c:v>
                </c:pt>
                <c:pt idx="57">
                  <c:v>-8.3731714421717172</c:v>
                </c:pt>
                <c:pt idx="58">
                  <c:v>-8.4118963379252349</c:v>
                </c:pt>
                <c:pt idx="59">
                  <c:v>-8.4492603226554692</c:v>
                </c:pt>
                <c:pt idx="60">
                  <c:v>-8.4852813742385695</c:v>
                </c:pt>
                <c:pt idx="61">
                  <c:v>-8.519976525789259</c:v>
                </c:pt>
                <c:pt idx="62">
                  <c:v>-8.5533619121372393</c:v>
                </c:pt>
                <c:pt idx="63">
                  <c:v>-8.5854528127525107</c:v>
                </c:pt>
                <c:pt idx="64">
                  <c:v>-8.616263691415206</c:v>
                </c:pt>
                <c:pt idx="65">
                  <c:v>-8.6458082328952912</c:v>
                </c:pt>
                <c:pt idx="66">
                  <c:v>-8.6740993768805765</c:v>
                </c:pt>
                <c:pt idx="67">
                  <c:v>-8.7011493493675882</c:v>
                </c:pt>
                <c:pt idx="68">
                  <c:v>-8.7269696917085717</c:v>
                </c:pt>
                <c:pt idx="69">
                  <c:v>-8.7515712874888933</c:v>
                </c:pt>
                <c:pt idx="70">
                  <c:v>-8.7749643873921226</c:v>
                </c:pt>
                <c:pt idx="71">
                  <c:v>-8.7971586321948294</c:v>
                </c:pt>
                <c:pt idx="72">
                  <c:v>-8.8181630740194414</c:v>
                </c:pt>
                <c:pt idx="73">
                  <c:v>-8.8379861959611592</c:v>
                </c:pt>
                <c:pt idx="74">
                  <c:v>-8.8566359301938107</c:v>
                </c:pt>
                <c:pt idx="75">
                  <c:v>-8.8741196746494246</c:v>
                </c:pt>
                <c:pt idx="76">
                  <c:v>-8.8904443083571483</c:v>
                </c:pt>
                <c:pt idx="77">
                  <c:v>-8.9056162055188519</c:v>
                </c:pt>
                <c:pt idx="78">
                  <c:v>-8.9196412483911036</c:v>
                </c:pt>
                <c:pt idx="79">
                  <c:v>-8.9325248390362741</c:v>
                </c:pt>
                <c:pt idx="80">
                  <c:v>-8.9442719099991592</c:v>
                </c:pt>
                <c:pt idx="81">
                  <c:v>-8.95488693395958</c:v>
                </c:pt>
                <c:pt idx="82">
                  <c:v>-8.964373932405989</c:v>
                </c:pt>
                <c:pt idx="83">
                  <c:v>-8.9727364833700545</c:v>
                </c:pt>
                <c:pt idx="84">
                  <c:v>-8.9799777282574595</c:v>
                </c:pt>
                <c:pt idx="85">
                  <c:v>-8.9861003778057142</c:v>
                </c:pt>
                <c:pt idx="86">
                  <c:v>-8.9911067171956098</c:v>
                </c:pt>
                <c:pt idx="87">
                  <c:v>-8.9949986103389694</c:v>
                </c:pt>
                <c:pt idx="88">
                  <c:v>-8.9977775033615934</c:v>
                </c:pt>
                <c:pt idx="89">
                  <c:v>-8.9994444272966092</c:v>
                </c:pt>
                <c:pt idx="90">
                  <c:v>-9</c:v>
                </c:pt>
                <c:pt idx="91">
                  <c:v>-8.9994444272966092</c:v>
                </c:pt>
                <c:pt idx="92">
                  <c:v>-8.9977775033615934</c:v>
                </c:pt>
                <c:pt idx="93">
                  <c:v>-8.9949986103389694</c:v>
                </c:pt>
                <c:pt idx="94">
                  <c:v>-8.9911067171956098</c:v>
                </c:pt>
                <c:pt idx="95">
                  <c:v>-8.9861003778057142</c:v>
                </c:pt>
                <c:pt idx="96">
                  <c:v>-8.9799777282574595</c:v>
                </c:pt>
                <c:pt idx="97">
                  <c:v>-8.9727364833700545</c:v>
                </c:pt>
                <c:pt idx="98">
                  <c:v>-8.964373932405989</c:v>
                </c:pt>
                <c:pt idx="99">
                  <c:v>-8.95488693395958</c:v>
                </c:pt>
                <c:pt idx="100">
                  <c:v>-8.9442719099991592</c:v>
                </c:pt>
                <c:pt idx="101">
                  <c:v>-8.9325248390362741</c:v>
                </c:pt>
                <c:pt idx="102">
                  <c:v>-8.9196412483911036</c:v>
                </c:pt>
                <c:pt idx="103">
                  <c:v>-8.9056162055188519</c:v>
                </c:pt>
                <c:pt idx="104">
                  <c:v>-8.8904443083571483</c:v>
                </c:pt>
                <c:pt idx="105">
                  <c:v>-8.8741196746494246</c:v>
                </c:pt>
                <c:pt idx="106">
                  <c:v>-8.8566359301938107</c:v>
                </c:pt>
                <c:pt idx="107">
                  <c:v>-8.8379861959611592</c:v>
                </c:pt>
                <c:pt idx="108">
                  <c:v>-8.8181630740194414</c:v>
                </c:pt>
                <c:pt idx="109">
                  <c:v>-8.7971586321948294</c:v>
                </c:pt>
                <c:pt idx="110">
                  <c:v>-8.7749643873921226</c:v>
                </c:pt>
                <c:pt idx="111">
                  <c:v>-8.7515712874888933</c:v>
                </c:pt>
                <c:pt idx="112">
                  <c:v>-8.7269696917085717</c:v>
                </c:pt>
                <c:pt idx="113">
                  <c:v>-8.7011493493675882</c:v>
                </c:pt>
                <c:pt idx="114">
                  <c:v>-8.6740993768805765</c:v>
                </c:pt>
                <c:pt idx="115">
                  <c:v>-8.6458082328952912</c:v>
                </c:pt>
                <c:pt idx="116">
                  <c:v>-8.616263691415206</c:v>
                </c:pt>
                <c:pt idx="117">
                  <c:v>-8.5854528127525107</c:v>
                </c:pt>
                <c:pt idx="118">
                  <c:v>-8.5533619121372393</c:v>
                </c:pt>
                <c:pt idx="119">
                  <c:v>-8.519976525789259</c:v>
                </c:pt>
                <c:pt idx="120">
                  <c:v>-8.4852813742385695</c:v>
                </c:pt>
                <c:pt idx="121">
                  <c:v>-8.4492603226554692</c:v>
                </c:pt>
                <c:pt idx="122">
                  <c:v>-8.4118963379252349</c:v>
                </c:pt>
                <c:pt idx="123">
                  <c:v>-8.3731714421717172</c:v>
                </c:pt>
                <c:pt idx="124">
                  <c:v>-8.3330666623998635</c:v>
                </c:pt>
                <c:pt idx="125">
                  <c:v>-8.2915619758885004</c:v>
                </c:pt>
                <c:pt idx="126">
                  <c:v>-8.2486362509205122</c:v>
                </c:pt>
                <c:pt idx="127">
                  <c:v>-8.2042671823874684</c:v>
                </c:pt>
                <c:pt idx="128">
                  <c:v>-8.1584312217484563</c:v>
                </c:pt>
                <c:pt idx="129">
                  <c:v>-8.1111035007574657</c:v>
                </c:pt>
                <c:pt idx="130">
                  <c:v>-8.0622577482985491</c:v>
                </c:pt>
                <c:pt idx="131">
                  <c:v>-8.0118661995817178</c:v>
                </c:pt>
                <c:pt idx="132">
                  <c:v>-7.9598994968529597</c:v>
                </c:pt>
                <c:pt idx="133">
                  <c:v>-7.9063265806567848</c:v>
                </c:pt>
                <c:pt idx="134">
                  <c:v>-7.8511145705562084</c:v>
                </c:pt>
                <c:pt idx="135">
                  <c:v>-7.794228634059948</c:v>
                </c:pt>
                <c:pt idx="136">
                  <c:v>-7.7356318423254864</c:v>
                </c:pt>
                <c:pt idx="137">
                  <c:v>-7.6752850109947053</c:v>
                </c:pt>
                <c:pt idx="138">
                  <c:v>-7.6131465242697125</c:v>
                </c:pt>
                <c:pt idx="139">
                  <c:v>-7.5491721400429066</c:v>
                </c:pt>
                <c:pt idx="140">
                  <c:v>-7.4833147735478827</c:v>
                </c:pt>
                <c:pt idx="141">
                  <c:v>-7.4155242565849653</c:v>
                </c:pt>
                <c:pt idx="142">
                  <c:v>-7.3457470688827824</c:v>
                </c:pt>
                <c:pt idx="143">
                  <c:v>-7.2739260375673327</c:v>
                </c:pt>
                <c:pt idx="144">
                  <c:v>-7.2</c:v>
                </c:pt>
                <c:pt idx="145">
                  <c:v>-7.1239034243875032</c:v>
                </c:pt>
                <c:pt idx="146">
                  <c:v>-7.0455659815234153</c:v>
                </c:pt>
                <c:pt idx="147">
                  <c:v>-6.9649120597463394</c:v>
                </c:pt>
                <c:pt idx="148">
                  <c:v>-6.8818602136341012</c:v>
                </c:pt>
                <c:pt idx="149">
                  <c:v>-6.7963225350184784</c:v>
                </c:pt>
                <c:pt idx="150">
                  <c:v>-6.7082039324993694</c:v>
                </c:pt>
                <c:pt idx="151">
                  <c:v>-6.6174013026262815</c:v>
                </c:pt>
                <c:pt idx="152">
                  <c:v>-6.5238025721200357</c:v>
                </c:pt>
                <c:pt idx="153">
                  <c:v>-6.4272855856885656</c:v>
                </c:pt>
                <c:pt idx="154">
                  <c:v>-6.327716807822549</c:v>
                </c:pt>
                <c:pt idx="155">
                  <c:v>-6.2249497989943663</c:v>
                </c:pt>
                <c:pt idx="156">
                  <c:v>-6.1188234163113426</c:v>
                </c:pt>
                <c:pt idx="157">
                  <c:v>-6.009159675029446</c:v>
                </c:pt>
                <c:pt idx="158">
                  <c:v>-5.89576118919347</c:v>
                </c:pt>
                <c:pt idx="159">
                  <c:v>-5.7784080852774666</c:v>
                </c:pt>
                <c:pt idx="160">
                  <c:v>-5.6568542494923806</c:v>
                </c:pt>
                <c:pt idx="161">
                  <c:v>-5.5308227236099334</c:v>
                </c:pt>
                <c:pt idx="162">
                  <c:v>-5.3999999999999995</c:v>
                </c:pt>
                <c:pt idx="163">
                  <c:v>-5.2640288753007427</c:v>
                </c:pt>
                <c:pt idx="164">
                  <c:v>-5.1224993899462783</c:v>
                </c:pt>
                <c:pt idx="165">
                  <c:v>-4.9749371855330997</c:v>
                </c:pt>
                <c:pt idx="166">
                  <c:v>-4.8207883172775805</c:v>
                </c:pt>
                <c:pt idx="167">
                  <c:v>-4.6593991028886972</c:v>
                </c:pt>
                <c:pt idx="168">
                  <c:v>-4.4899888641287298</c:v>
                </c:pt>
                <c:pt idx="169">
                  <c:v>-4.3116122274620192</c:v>
                </c:pt>
                <c:pt idx="170">
                  <c:v>-4.1231056256176606</c:v>
                </c:pt>
                <c:pt idx="171">
                  <c:v>-3.9230090491866063</c:v>
                </c:pt>
                <c:pt idx="172">
                  <c:v>-3.7094473981982823</c:v>
                </c:pt>
                <c:pt idx="173">
                  <c:v>-3.479942528261061</c:v>
                </c:pt>
                <c:pt idx="174">
                  <c:v>-3.2310988842807022</c:v>
                </c:pt>
                <c:pt idx="175">
                  <c:v>-2.9580398915498081</c:v>
                </c:pt>
                <c:pt idx="176">
                  <c:v>-2.6532998322843211</c:v>
                </c:pt>
                <c:pt idx="177">
                  <c:v>-2.304343724360586</c:v>
                </c:pt>
                <c:pt idx="178">
                  <c:v>-1.8867962264113176</c:v>
                </c:pt>
                <c:pt idx="179">
                  <c:v>-1.3379088160259622</c:v>
                </c:pt>
                <c:pt idx="180">
                  <c:v>0</c:v>
                </c:pt>
              </c:numCache>
            </c:numRef>
          </c:yVal>
          <c:smooth val="1"/>
        </c:ser>
        <c:ser>
          <c:idx val="77"/>
          <c:order val="16"/>
          <c:spPr>
            <a:ln w="1905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'CS 2do sem datos'!$A$12:$A$172</c:f>
              <c:numCache>
                <c:formatCode>General</c:formatCode>
                <c:ptCount val="161"/>
                <c:pt idx="0">
                  <c:v>8</c:v>
                </c:pt>
                <c:pt idx="1">
                  <c:v>7.9</c:v>
                </c:pt>
                <c:pt idx="2">
                  <c:v>7.8</c:v>
                </c:pt>
                <c:pt idx="3">
                  <c:v>7.7</c:v>
                </c:pt>
                <c:pt idx="4">
                  <c:v>7.6</c:v>
                </c:pt>
                <c:pt idx="5">
                  <c:v>7.5</c:v>
                </c:pt>
                <c:pt idx="6">
                  <c:v>7.4</c:v>
                </c:pt>
                <c:pt idx="7">
                  <c:v>7.3</c:v>
                </c:pt>
                <c:pt idx="8">
                  <c:v>7.2</c:v>
                </c:pt>
                <c:pt idx="9">
                  <c:v>7.1</c:v>
                </c:pt>
                <c:pt idx="10">
                  <c:v>7</c:v>
                </c:pt>
                <c:pt idx="11">
                  <c:v>6.9</c:v>
                </c:pt>
                <c:pt idx="12">
                  <c:v>6.8</c:v>
                </c:pt>
                <c:pt idx="13">
                  <c:v>6.7</c:v>
                </c:pt>
                <c:pt idx="14">
                  <c:v>6.6</c:v>
                </c:pt>
                <c:pt idx="15">
                  <c:v>6.5</c:v>
                </c:pt>
                <c:pt idx="16">
                  <c:v>6.4</c:v>
                </c:pt>
                <c:pt idx="17">
                  <c:v>6.3</c:v>
                </c:pt>
                <c:pt idx="18">
                  <c:v>6.2</c:v>
                </c:pt>
                <c:pt idx="19">
                  <c:v>6.1</c:v>
                </c:pt>
                <c:pt idx="20">
                  <c:v>6</c:v>
                </c:pt>
                <c:pt idx="21">
                  <c:v>5.9</c:v>
                </c:pt>
                <c:pt idx="22">
                  <c:v>5.8</c:v>
                </c:pt>
                <c:pt idx="23">
                  <c:v>5.7</c:v>
                </c:pt>
                <c:pt idx="24">
                  <c:v>5.6</c:v>
                </c:pt>
                <c:pt idx="25">
                  <c:v>5.5</c:v>
                </c:pt>
                <c:pt idx="26">
                  <c:v>5.4</c:v>
                </c:pt>
                <c:pt idx="27">
                  <c:v>5.3</c:v>
                </c:pt>
                <c:pt idx="28">
                  <c:v>5.2</c:v>
                </c:pt>
                <c:pt idx="29">
                  <c:v>5.0999999999999996</c:v>
                </c:pt>
                <c:pt idx="30">
                  <c:v>5</c:v>
                </c:pt>
                <c:pt idx="31">
                  <c:v>4.9000000000000004</c:v>
                </c:pt>
                <c:pt idx="32">
                  <c:v>4.8</c:v>
                </c:pt>
                <c:pt idx="33">
                  <c:v>4.7</c:v>
                </c:pt>
                <c:pt idx="34">
                  <c:v>4.5999999999999996</c:v>
                </c:pt>
                <c:pt idx="35">
                  <c:v>4.5</c:v>
                </c:pt>
                <c:pt idx="36">
                  <c:v>4.4000000000000004</c:v>
                </c:pt>
                <c:pt idx="37">
                  <c:v>4.3</c:v>
                </c:pt>
                <c:pt idx="38">
                  <c:v>4.2</c:v>
                </c:pt>
                <c:pt idx="39">
                  <c:v>4.0999999999999996</c:v>
                </c:pt>
                <c:pt idx="40">
                  <c:v>4</c:v>
                </c:pt>
                <c:pt idx="41">
                  <c:v>3.9</c:v>
                </c:pt>
                <c:pt idx="42">
                  <c:v>3.8</c:v>
                </c:pt>
                <c:pt idx="43">
                  <c:v>3.7</c:v>
                </c:pt>
                <c:pt idx="44">
                  <c:v>3.6</c:v>
                </c:pt>
                <c:pt idx="45">
                  <c:v>3.5</c:v>
                </c:pt>
                <c:pt idx="46">
                  <c:v>3.4</c:v>
                </c:pt>
                <c:pt idx="47">
                  <c:v>3.3</c:v>
                </c:pt>
                <c:pt idx="48">
                  <c:v>3.2</c:v>
                </c:pt>
                <c:pt idx="49">
                  <c:v>3.1</c:v>
                </c:pt>
                <c:pt idx="50">
                  <c:v>3</c:v>
                </c:pt>
                <c:pt idx="51">
                  <c:v>2.9</c:v>
                </c:pt>
                <c:pt idx="52">
                  <c:v>2.8</c:v>
                </c:pt>
                <c:pt idx="53">
                  <c:v>2.7</c:v>
                </c:pt>
                <c:pt idx="54">
                  <c:v>2.6</c:v>
                </c:pt>
                <c:pt idx="55">
                  <c:v>2.5</c:v>
                </c:pt>
                <c:pt idx="56">
                  <c:v>2.4</c:v>
                </c:pt>
                <c:pt idx="57">
                  <c:v>2.2999999999999998</c:v>
                </c:pt>
                <c:pt idx="58">
                  <c:v>2.2000000000000002</c:v>
                </c:pt>
                <c:pt idx="59">
                  <c:v>2.1</c:v>
                </c:pt>
                <c:pt idx="60">
                  <c:v>2</c:v>
                </c:pt>
                <c:pt idx="61">
                  <c:v>1.9</c:v>
                </c:pt>
                <c:pt idx="62">
                  <c:v>1.8</c:v>
                </c:pt>
                <c:pt idx="63">
                  <c:v>1.7</c:v>
                </c:pt>
                <c:pt idx="64">
                  <c:v>1.6</c:v>
                </c:pt>
                <c:pt idx="65">
                  <c:v>1.5</c:v>
                </c:pt>
                <c:pt idx="66">
                  <c:v>1.4</c:v>
                </c:pt>
                <c:pt idx="67">
                  <c:v>1.3</c:v>
                </c:pt>
                <c:pt idx="68">
                  <c:v>1.2</c:v>
                </c:pt>
                <c:pt idx="69">
                  <c:v>1.1000000000000001</c:v>
                </c:pt>
                <c:pt idx="70">
                  <c:v>1</c:v>
                </c:pt>
                <c:pt idx="71">
                  <c:v>0.9</c:v>
                </c:pt>
                <c:pt idx="72">
                  <c:v>0.8</c:v>
                </c:pt>
                <c:pt idx="73">
                  <c:v>0.7</c:v>
                </c:pt>
                <c:pt idx="74">
                  <c:v>0.6</c:v>
                </c:pt>
                <c:pt idx="75">
                  <c:v>0.5</c:v>
                </c:pt>
                <c:pt idx="76">
                  <c:v>0.4</c:v>
                </c:pt>
                <c:pt idx="77">
                  <c:v>0.3</c:v>
                </c:pt>
                <c:pt idx="78">
                  <c:v>0.2</c:v>
                </c:pt>
                <c:pt idx="79">
                  <c:v>0.1</c:v>
                </c:pt>
                <c:pt idx="80">
                  <c:v>0</c:v>
                </c:pt>
                <c:pt idx="81">
                  <c:v>-0.1</c:v>
                </c:pt>
                <c:pt idx="82">
                  <c:v>-0.2</c:v>
                </c:pt>
                <c:pt idx="83">
                  <c:v>-0.3</c:v>
                </c:pt>
                <c:pt idx="84">
                  <c:v>-0.4</c:v>
                </c:pt>
                <c:pt idx="85">
                  <c:v>-0.5</c:v>
                </c:pt>
                <c:pt idx="86">
                  <c:v>-0.6</c:v>
                </c:pt>
                <c:pt idx="87">
                  <c:v>-0.7</c:v>
                </c:pt>
                <c:pt idx="88">
                  <c:v>-0.8</c:v>
                </c:pt>
                <c:pt idx="89">
                  <c:v>-0.9</c:v>
                </c:pt>
                <c:pt idx="90">
                  <c:v>-1</c:v>
                </c:pt>
                <c:pt idx="91">
                  <c:v>-1.1000000000000001</c:v>
                </c:pt>
                <c:pt idx="92">
                  <c:v>-1.2</c:v>
                </c:pt>
                <c:pt idx="93">
                  <c:v>-1.3</c:v>
                </c:pt>
                <c:pt idx="94">
                  <c:v>-1.4</c:v>
                </c:pt>
                <c:pt idx="95">
                  <c:v>-1.5</c:v>
                </c:pt>
                <c:pt idx="96">
                  <c:v>-1.6</c:v>
                </c:pt>
                <c:pt idx="97">
                  <c:v>-1.7</c:v>
                </c:pt>
                <c:pt idx="98">
                  <c:v>-1.8</c:v>
                </c:pt>
                <c:pt idx="99">
                  <c:v>-1.9</c:v>
                </c:pt>
                <c:pt idx="100">
                  <c:v>-2</c:v>
                </c:pt>
                <c:pt idx="101">
                  <c:v>-2.1</c:v>
                </c:pt>
                <c:pt idx="102">
                  <c:v>-2.2000000000000002</c:v>
                </c:pt>
                <c:pt idx="103">
                  <c:v>-2.2999999999999998</c:v>
                </c:pt>
                <c:pt idx="104">
                  <c:v>-2.4</c:v>
                </c:pt>
                <c:pt idx="105">
                  <c:v>-2.5</c:v>
                </c:pt>
                <c:pt idx="106">
                  <c:v>-2.6</c:v>
                </c:pt>
                <c:pt idx="107">
                  <c:v>-2.7</c:v>
                </c:pt>
                <c:pt idx="108">
                  <c:v>-2.8</c:v>
                </c:pt>
                <c:pt idx="109">
                  <c:v>-2.9</c:v>
                </c:pt>
                <c:pt idx="110">
                  <c:v>-3</c:v>
                </c:pt>
                <c:pt idx="111">
                  <c:v>-3.1</c:v>
                </c:pt>
                <c:pt idx="112">
                  <c:v>-3.2</c:v>
                </c:pt>
                <c:pt idx="113">
                  <c:v>-3.3</c:v>
                </c:pt>
                <c:pt idx="114">
                  <c:v>-3.4</c:v>
                </c:pt>
                <c:pt idx="115">
                  <c:v>-3.5</c:v>
                </c:pt>
                <c:pt idx="116">
                  <c:v>-3.6</c:v>
                </c:pt>
                <c:pt idx="117">
                  <c:v>-3.7</c:v>
                </c:pt>
                <c:pt idx="118">
                  <c:v>-3.8</c:v>
                </c:pt>
                <c:pt idx="119">
                  <c:v>-3.9</c:v>
                </c:pt>
                <c:pt idx="120">
                  <c:v>-4</c:v>
                </c:pt>
                <c:pt idx="121">
                  <c:v>-4.0999999999999996</c:v>
                </c:pt>
                <c:pt idx="122">
                  <c:v>-4.2</c:v>
                </c:pt>
                <c:pt idx="123">
                  <c:v>-4.3</c:v>
                </c:pt>
                <c:pt idx="124">
                  <c:v>-4.4000000000000004</c:v>
                </c:pt>
                <c:pt idx="125">
                  <c:v>-4.5</c:v>
                </c:pt>
                <c:pt idx="126">
                  <c:v>-4.5999999999999996</c:v>
                </c:pt>
                <c:pt idx="127">
                  <c:v>-4.7</c:v>
                </c:pt>
                <c:pt idx="128">
                  <c:v>-4.8</c:v>
                </c:pt>
                <c:pt idx="129">
                  <c:v>-4.9000000000000004</c:v>
                </c:pt>
                <c:pt idx="130">
                  <c:v>-5</c:v>
                </c:pt>
                <c:pt idx="131">
                  <c:v>-5.0999999999999996</c:v>
                </c:pt>
                <c:pt idx="132">
                  <c:v>-5.2</c:v>
                </c:pt>
                <c:pt idx="133">
                  <c:v>-5.3</c:v>
                </c:pt>
                <c:pt idx="134">
                  <c:v>-5.4</c:v>
                </c:pt>
                <c:pt idx="135">
                  <c:v>-5.5</c:v>
                </c:pt>
                <c:pt idx="136">
                  <c:v>-5.6</c:v>
                </c:pt>
                <c:pt idx="137">
                  <c:v>-5.7</c:v>
                </c:pt>
                <c:pt idx="138">
                  <c:v>-5.8</c:v>
                </c:pt>
                <c:pt idx="139">
                  <c:v>-5.9</c:v>
                </c:pt>
                <c:pt idx="140">
                  <c:v>-6</c:v>
                </c:pt>
                <c:pt idx="141">
                  <c:v>-6.1</c:v>
                </c:pt>
                <c:pt idx="142">
                  <c:v>-6.2</c:v>
                </c:pt>
                <c:pt idx="143">
                  <c:v>-6.3</c:v>
                </c:pt>
                <c:pt idx="144">
                  <c:v>-6.4</c:v>
                </c:pt>
                <c:pt idx="145">
                  <c:v>-6.5</c:v>
                </c:pt>
                <c:pt idx="146">
                  <c:v>-6.6</c:v>
                </c:pt>
                <c:pt idx="147">
                  <c:v>-6.7</c:v>
                </c:pt>
                <c:pt idx="148">
                  <c:v>-6.8</c:v>
                </c:pt>
                <c:pt idx="149">
                  <c:v>-6.9</c:v>
                </c:pt>
                <c:pt idx="150">
                  <c:v>-7</c:v>
                </c:pt>
                <c:pt idx="151">
                  <c:v>-7.1</c:v>
                </c:pt>
                <c:pt idx="152">
                  <c:v>-7.2</c:v>
                </c:pt>
                <c:pt idx="153">
                  <c:v>-7.3</c:v>
                </c:pt>
                <c:pt idx="154">
                  <c:v>-7.4</c:v>
                </c:pt>
                <c:pt idx="155">
                  <c:v>-7.5</c:v>
                </c:pt>
                <c:pt idx="156">
                  <c:v>-7.6</c:v>
                </c:pt>
                <c:pt idx="157">
                  <c:v>-7.7</c:v>
                </c:pt>
                <c:pt idx="158">
                  <c:v>-7.8</c:v>
                </c:pt>
                <c:pt idx="159">
                  <c:v>-7.9</c:v>
                </c:pt>
                <c:pt idx="160">
                  <c:v>-8</c:v>
                </c:pt>
              </c:numCache>
            </c:numRef>
          </c:xVal>
          <c:yVal>
            <c:numRef>
              <c:f>'CS 2do sem datos'!$D$12:$D$172</c:f>
              <c:numCache>
                <c:formatCode>General</c:formatCode>
                <c:ptCount val="161"/>
                <c:pt idx="0">
                  <c:v>0</c:v>
                </c:pt>
                <c:pt idx="1">
                  <c:v>1.2609520212918477</c:v>
                </c:pt>
                <c:pt idx="2">
                  <c:v>1.7776388834631187</c:v>
                </c:pt>
                <c:pt idx="3">
                  <c:v>2.1702534414210692</c:v>
                </c:pt>
                <c:pt idx="4">
                  <c:v>2.4979991993593598</c:v>
                </c:pt>
                <c:pt idx="5">
                  <c:v>2.7838821814150108</c:v>
                </c:pt>
                <c:pt idx="6">
                  <c:v>3.0397368307141317</c:v>
                </c:pt>
                <c:pt idx="7">
                  <c:v>3.2726136343907144</c:v>
                </c:pt>
                <c:pt idx="8">
                  <c:v>3.4871191548325382</c:v>
                </c:pt>
                <c:pt idx="9">
                  <c:v>3.6864617182333528</c:v>
                </c:pt>
                <c:pt idx="10">
                  <c:v>3.872983346207417</c:v>
                </c:pt>
                <c:pt idx="11">
                  <c:v>4.0484564959994316</c:v>
                </c:pt>
                <c:pt idx="12">
                  <c:v>4.2142615011410962</c:v>
                </c:pt>
                <c:pt idx="13">
                  <c:v>4.3714985988788788</c:v>
                </c:pt>
                <c:pt idx="14">
                  <c:v>4.5210618221829266</c:v>
                </c:pt>
                <c:pt idx="15">
                  <c:v>4.6636895265444078</c:v>
                </c:pt>
                <c:pt idx="16">
                  <c:v>4.7999999999999989</c:v>
                </c:pt>
                <c:pt idx="17">
                  <c:v>4.9305172142484199</c:v>
                </c:pt>
                <c:pt idx="18">
                  <c:v>5.0556898639058145</c:v>
                </c:pt>
                <c:pt idx="19">
                  <c:v>5.1759057178430137</c:v>
                </c:pt>
                <c:pt idx="20">
                  <c:v>5.2915026221291814</c:v>
                </c:pt>
                <c:pt idx="21">
                  <c:v>5.4027770636960391</c:v>
                </c:pt>
                <c:pt idx="22">
                  <c:v>5.5099909255823647</c:v>
                </c:pt>
                <c:pt idx="23">
                  <c:v>5.6133768802744752</c:v>
                </c:pt>
                <c:pt idx="24">
                  <c:v>5.7131427428342798</c:v>
                </c:pt>
                <c:pt idx="25">
                  <c:v>5.8094750193111251</c:v>
                </c:pt>
                <c:pt idx="26">
                  <c:v>5.9025418253494824</c:v>
                </c:pt>
                <c:pt idx="27">
                  <c:v>5.9924953066314535</c:v>
                </c:pt>
                <c:pt idx="28">
                  <c:v>6.0794736614282652</c:v>
                </c:pt>
                <c:pt idx="29">
                  <c:v>6.163602842493991</c:v>
                </c:pt>
                <c:pt idx="30">
                  <c:v>6.2449979983983983</c:v>
                </c:pt>
                <c:pt idx="31">
                  <c:v>6.3237647015049507</c:v>
                </c:pt>
                <c:pt idx="32">
                  <c:v>6.4</c:v>
                </c:pt>
                <c:pt idx="33">
                  <c:v>6.473793323855805</c:v>
                </c:pt>
                <c:pt idx="34">
                  <c:v>6.5452272687814288</c:v>
                </c:pt>
                <c:pt idx="35">
                  <c:v>6.6143782776614763</c:v>
                </c:pt>
                <c:pt idx="36">
                  <c:v>6.6813172353960262</c:v>
                </c:pt>
                <c:pt idx="37">
                  <c:v>6.746109990209173</c:v>
                </c:pt>
                <c:pt idx="38">
                  <c:v>6.8088178122196803</c:v>
                </c:pt>
                <c:pt idx="39">
                  <c:v>6.8694977982382381</c:v>
                </c:pt>
                <c:pt idx="40">
                  <c:v>6.9282032302755088</c:v>
                </c:pt>
                <c:pt idx="41">
                  <c:v>6.9849838940401288</c:v>
                </c:pt>
                <c:pt idx="42">
                  <c:v>7.0398863627192165</c:v>
                </c:pt>
                <c:pt idx="43">
                  <c:v>7.0929542505221335</c:v>
                </c:pt>
                <c:pt idx="44">
                  <c:v>7.1442284397967004</c:v>
                </c:pt>
                <c:pt idx="45">
                  <c:v>7.1937472849690796</c:v>
                </c:pt>
                <c:pt idx="46">
                  <c:v>7.2415467960926687</c:v>
                </c:pt>
                <c:pt idx="47">
                  <c:v>7.2876608044008195</c:v>
                </c:pt>
                <c:pt idx="48">
                  <c:v>7.3321211119293439</c:v>
                </c:pt>
                <c:pt idx="49">
                  <c:v>7.3749576269969168</c:v>
                </c:pt>
                <c:pt idx="50">
                  <c:v>7.416198487095663</c:v>
                </c:pt>
                <c:pt idx="51">
                  <c:v>7.4558701705434762</c:v>
                </c:pt>
                <c:pt idx="52">
                  <c:v>7.493997598078078</c:v>
                </c:pt>
                <c:pt idx="53">
                  <c:v>7.5306042254257397</c:v>
                </c:pt>
                <c:pt idx="54">
                  <c:v>7.5657121277510955</c:v>
                </c:pt>
                <c:pt idx="55">
                  <c:v>7.5993420767853319</c:v>
                </c:pt>
                <c:pt idx="56">
                  <c:v>7.6315136113355653</c:v>
                </c:pt>
                <c:pt idx="57">
                  <c:v>7.6622451017962092</c:v>
                </c:pt>
                <c:pt idx="58">
                  <c:v>7.6915538092117641</c:v>
                </c:pt>
                <c:pt idx="59">
                  <c:v>7.7194559393781113</c:v>
                </c:pt>
                <c:pt idx="60">
                  <c:v>7.745966692414834</c:v>
                </c:pt>
                <c:pt idx="61">
                  <c:v>7.7711003081931711</c:v>
                </c:pt>
                <c:pt idx="62">
                  <c:v>7.7948701079620308</c:v>
                </c:pt>
                <c:pt idx="63">
                  <c:v>7.8172885324772299</c:v>
                </c:pt>
                <c:pt idx="64">
                  <c:v>7.8383671769061696</c:v>
                </c:pt>
                <c:pt idx="65">
                  <c:v>7.8581168227508558</c:v>
                </c:pt>
                <c:pt idx="66">
                  <c:v>7.8765474670060867</c:v>
                </c:pt>
                <c:pt idx="67">
                  <c:v>7.8936683487463544</c:v>
                </c:pt>
                <c:pt idx="68">
                  <c:v>7.9094879733140759</c:v>
                </c:pt>
                <c:pt idx="69">
                  <c:v>7.9240141342630128</c:v>
                </c:pt>
                <c:pt idx="70">
                  <c:v>7.9372539331937721</c:v>
                </c:pt>
                <c:pt idx="71">
                  <c:v>7.94921379760288</c:v>
                </c:pt>
                <c:pt idx="72">
                  <c:v>7.9598994968529597</c:v>
                </c:pt>
                <c:pt idx="73">
                  <c:v>7.9693161563587118</c:v>
                </c:pt>
                <c:pt idx="74">
                  <c:v>7.9774682700716522</c:v>
                </c:pt>
                <c:pt idx="75">
                  <c:v>7.9843597113356557</c:v>
                </c:pt>
                <c:pt idx="76">
                  <c:v>7.9899937421752716</c:v>
                </c:pt>
                <c:pt idx="77">
                  <c:v>7.994373021069257</c:v>
                </c:pt>
                <c:pt idx="78">
                  <c:v>7.9974996092528823</c:v>
                </c:pt>
                <c:pt idx="79">
                  <c:v>7.99937497558403</c:v>
                </c:pt>
                <c:pt idx="80">
                  <c:v>8</c:v>
                </c:pt>
                <c:pt idx="81">
                  <c:v>7.99937497558403</c:v>
                </c:pt>
                <c:pt idx="82">
                  <c:v>7.9974996092528823</c:v>
                </c:pt>
                <c:pt idx="83">
                  <c:v>7.994373021069257</c:v>
                </c:pt>
                <c:pt idx="84">
                  <c:v>7.9899937421752716</c:v>
                </c:pt>
                <c:pt idx="85">
                  <c:v>7.9843597113356557</c:v>
                </c:pt>
                <c:pt idx="86">
                  <c:v>7.9774682700716522</c:v>
                </c:pt>
                <c:pt idx="87">
                  <c:v>7.9693161563587118</c:v>
                </c:pt>
                <c:pt idx="88">
                  <c:v>7.9598994968529597</c:v>
                </c:pt>
                <c:pt idx="89">
                  <c:v>7.94921379760288</c:v>
                </c:pt>
                <c:pt idx="90">
                  <c:v>7.9372539331937721</c:v>
                </c:pt>
                <c:pt idx="91">
                  <c:v>7.9240141342630128</c:v>
                </c:pt>
                <c:pt idx="92">
                  <c:v>7.9094879733140759</c:v>
                </c:pt>
                <c:pt idx="93">
                  <c:v>7.8936683487463544</c:v>
                </c:pt>
                <c:pt idx="94">
                  <c:v>7.8765474670060867</c:v>
                </c:pt>
                <c:pt idx="95">
                  <c:v>7.8581168227508558</c:v>
                </c:pt>
                <c:pt idx="96">
                  <c:v>7.8383671769061696</c:v>
                </c:pt>
                <c:pt idx="97">
                  <c:v>7.8172885324772299</c:v>
                </c:pt>
                <c:pt idx="98">
                  <c:v>7.7948701079620308</c:v>
                </c:pt>
                <c:pt idx="99">
                  <c:v>7.7711003081931711</c:v>
                </c:pt>
                <c:pt idx="100">
                  <c:v>7.745966692414834</c:v>
                </c:pt>
                <c:pt idx="101">
                  <c:v>7.7194559393781113</c:v>
                </c:pt>
                <c:pt idx="102">
                  <c:v>7.6915538092117641</c:v>
                </c:pt>
                <c:pt idx="103">
                  <c:v>7.6622451017962092</c:v>
                </c:pt>
                <c:pt idx="104">
                  <c:v>7.6315136113355653</c:v>
                </c:pt>
                <c:pt idx="105">
                  <c:v>7.5993420767853319</c:v>
                </c:pt>
                <c:pt idx="106">
                  <c:v>7.5657121277510955</c:v>
                </c:pt>
                <c:pt idx="107">
                  <c:v>7.5306042254257397</c:v>
                </c:pt>
                <c:pt idx="108">
                  <c:v>7.493997598078078</c:v>
                </c:pt>
                <c:pt idx="109">
                  <c:v>7.4558701705434762</c:v>
                </c:pt>
                <c:pt idx="110">
                  <c:v>7.416198487095663</c:v>
                </c:pt>
                <c:pt idx="111">
                  <c:v>7.3749576269969168</c:v>
                </c:pt>
                <c:pt idx="112">
                  <c:v>7.3321211119293439</c:v>
                </c:pt>
                <c:pt idx="113">
                  <c:v>7.2876608044008195</c:v>
                </c:pt>
                <c:pt idx="114">
                  <c:v>7.2415467960926687</c:v>
                </c:pt>
                <c:pt idx="115">
                  <c:v>7.1937472849690796</c:v>
                </c:pt>
                <c:pt idx="116">
                  <c:v>7.1442284397967004</c:v>
                </c:pt>
                <c:pt idx="117">
                  <c:v>7.0929542505221335</c:v>
                </c:pt>
                <c:pt idx="118">
                  <c:v>7.0398863627192165</c:v>
                </c:pt>
                <c:pt idx="119">
                  <c:v>6.9849838940401288</c:v>
                </c:pt>
                <c:pt idx="120">
                  <c:v>6.9282032302755088</c:v>
                </c:pt>
                <c:pt idx="121">
                  <c:v>6.8694977982382381</c:v>
                </c:pt>
                <c:pt idx="122">
                  <c:v>6.8088178122196803</c:v>
                </c:pt>
                <c:pt idx="123">
                  <c:v>6.746109990209173</c:v>
                </c:pt>
                <c:pt idx="124">
                  <c:v>6.6813172353960262</c:v>
                </c:pt>
                <c:pt idx="125">
                  <c:v>6.6143782776614763</c:v>
                </c:pt>
                <c:pt idx="126">
                  <c:v>6.5452272687814288</c:v>
                </c:pt>
                <c:pt idx="127">
                  <c:v>6.473793323855805</c:v>
                </c:pt>
                <c:pt idx="128">
                  <c:v>6.4</c:v>
                </c:pt>
                <c:pt idx="129">
                  <c:v>6.3237647015049507</c:v>
                </c:pt>
                <c:pt idx="130">
                  <c:v>6.2449979983983983</c:v>
                </c:pt>
                <c:pt idx="131">
                  <c:v>6.163602842493991</c:v>
                </c:pt>
                <c:pt idx="132">
                  <c:v>6.0794736614282652</c:v>
                </c:pt>
                <c:pt idx="133">
                  <c:v>5.9924953066314535</c:v>
                </c:pt>
                <c:pt idx="134">
                  <c:v>5.9025418253494824</c:v>
                </c:pt>
                <c:pt idx="135">
                  <c:v>5.8094750193111251</c:v>
                </c:pt>
                <c:pt idx="136">
                  <c:v>5.7131427428342798</c:v>
                </c:pt>
                <c:pt idx="137">
                  <c:v>5.6133768802744752</c:v>
                </c:pt>
                <c:pt idx="138">
                  <c:v>5.5099909255823647</c:v>
                </c:pt>
                <c:pt idx="139">
                  <c:v>5.4027770636960391</c:v>
                </c:pt>
                <c:pt idx="140">
                  <c:v>5.2915026221291814</c:v>
                </c:pt>
                <c:pt idx="141">
                  <c:v>5.1759057178430137</c:v>
                </c:pt>
                <c:pt idx="142">
                  <c:v>5.0556898639058145</c:v>
                </c:pt>
                <c:pt idx="143">
                  <c:v>4.9305172142484199</c:v>
                </c:pt>
                <c:pt idx="144">
                  <c:v>4.7999999999999989</c:v>
                </c:pt>
                <c:pt idx="145">
                  <c:v>4.6636895265444078</c:v>
                </c:pt>
                <c:pt idx="146">
                  <c:v>4.5210618221829266</c:v>
                </c:pt>
                <c:pt idx="147">
                  <c:v>4.3714985988788788</c:v>
                </c:pt>
                <c:pt idx="148">
                  <c:v>4.2142615011410962</c:v>
                </c:pt>
                <c:pt idx="149">
                  <c:v>4.0484564959994316</c:v>
                </c:pt>
                <c:pt idx="150">
                  <c:v>3.872983346207417</c:v>
                </c:pt>
                <c:pt idx="151">
                  <c:v>3.6864617182333528</c:v>
                </c:pt>
                <c:pt idx="152">
                  <c:v>3.4871191548325382</c:v>
                </c:pt>
                <c:pt idx="153">
                  <c:v>3.2726136343907144</c:v>
                </c:pt>
                <c:pt idx="154">
                  <c:v>3.0397368307141317</c:v>
                </c:pt>
                <c:pt idx="155">
                  <c:v>2.7838821814150108</c:v>
                </c:pt>
                <c:pt idx="156">
                  <c:v>2.4979991993593598</c:v>
                </c:pt>
                <c:pt idx="157">
                  <c:v>2.1702534414210692</c:v>
                </c:pt>
                <c:pt idx="158">
                  <c:v>1.7776388834631187</c:v>
                </c:pt>
                <c:pt idx="159">
                  <c:v>1.2609520212918477</c:v>
                </c:pt>
                <c:pt idx="160">
                  <c:v>0</c:v>
                </c:pt>
              </c:numCache>
            </c:numRef>
          </c:yVal>
          <c:smooth val="1"/>
        </c:ser>
        <c:ser>
          <c:idx val="78"/>
          <c:order val="17"/>
          <c:spPr>
            <a:ln w="1905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'CS 2do sem datos'!$A$12:$A$172</c:f>
              <c:numCache>
                <c:formatCode>General</c:formatCode>
                <c:ptCount val="161"/>
                <c:pt idx="0">
                  <c:v>8</c:v>
                </c:pt>
                <c:pt idx="1">
                  <c:v>7.9</c:v>
                </c:pt>
                <c:pt idx="2">
                  <c:v>7.8</c:v>
                </c:pt>
                <c:pt idx="3">
                  <c:v>7.7</c:v>
                </c:pt>
                <c:pt idx="4">
                  <c:v>7.6</c:v>
                </c:pt>
                <c:pt idx="5">
                  <c:v>7.5</c:v>
                </c:pt>
                <c:pt idx="6">
                  <c:v>7.4</c:v>
                </c:pt>
                <c:pt idx="7">
                  <c:v>7.3</c:v>
                </c:pt>
                <c:pt idx="8">
                  <c:v>7.2</c:v>
                </c:pt>
                <c:pt idx="9">
                  <c:v>7.1</c:v>
                </c:pt>
                <c:pt idx="10">
                  <c:v>7</c:v>
                </c:pt>
                <c:pt idx="11">
                  <c:v>6.9</c:v>
                </c:pt>
                <c:pt idx="12">
                  <c:v>6.8</c:v>
                </c:pt>
                <c:pt idx="13">
                  <c:v>6.7</c:v>
                </c:pt>
                <c:pt idx="14">
                  <c:v>6.6</c:v>
                </c:pt>
                <c:pt idx="15">
                  <c:v>6.5</c:v>
                </c:pt>
                <c:pt idx="16">
                  <c:v>6.4</c:v>
                </c:pt>
                <c:pt idx="17">
                  <c:v>6.3</c:v>
                </c:pt>
                <c:pt idx="18">
                  <c:v>6.2</c:v>
                </c:pt>
                <c:pt idx="19">
                  <c:v>6.1</c:v>
                </c:pt>
                <c:pt idx="20">
                  <c:v>6</c:v>
                </c:pt>
                <c:pt idx="21">
                  <c:v>5.9</c:v>
                </c:pt>
                <c:pt idx="22">
                  <c:v>5.8</c:v>
                </c:pt>
                <c:pt idx="23">
                  <c:v>5.7</c:v>
                </c:pt>
                <c:pt idx="24">
                  <c:v>5.6</c:v>
                </c:pt>
                <c:pt idx="25">
                  <c:v>5.5</c:v>
                </c:pt>
                <c:pt idx="26">
                  <c:v>5.4</c:v>
                </c:pt>
                <c:pt idx="27">
                  <c:v>5.3</c:v>
                </c:pt>
                <c:pt idx="28">
                  <c:v>5.2</c:v>
                </c:pt>
                <c:pt idx="29">
                  <c:v>5.0999999999999996</c:v>
                </c:pt>
                <c:pt idx="30">
                  <c:v>5</c:v>
                </c:pt>
                <c:pt idx="31">
                  <c:v>4.9000000000000004</c:v>
                </c:pt>
                <c:pt idx="32">
                  <c:v>4.8</c:v>
                </c:pt>
                <c:pt idx="33">
                  <c:v>4.7</c:v>
                </c:pt>
                <c:pt idx="34">
                  <c:v>4.5999999999999996</c:v>
                </c:pt>
                <c:pt idx="35">
                  <c:v>4.5</c:v>
                </c:pt>
                <c:pt idx="36">
                  <c:v>4.4000000000000004</c:v>
                </c:pt>
                <c:pt idx="37">
                  <c:v>4.3</c:v>
                </c:pt>
                <c:pt idx="38">
                  <c:v>4.2</c:v>
                </c:pt>
                <c:pt idx="39">
                  <c:v>4.0999999999999996</c:v>
                </c:pt>
                <c:pt idx="40">
                  <c:v>4</c:v>
                </c:pt>
                <c:pt idx="41">
                  <c:v>3.9</c:v>
                </c:pt>
                <c:pt idx="42">
                  <c:v>3.8</c:v>
                </c:pt>
                <c:pt idx="43">
                  <c:v>3.7</c:v>
                </c:pt>
                <c:pt idx="44">
                  <c:v>3.6</c:v>
                </c:pt>
                <c:pt idx="45">
                  <c:v>3.5</c:v>
                </c:pt>
                <c:pt idx="46">
                  <c:v>3.4</c:v>
                </c:pt>
                <c:pt idx="47">
                  <c:v>3.3</c:v>
                </c:pt>
                <c:pt idx="48">
                  <c:v>3.2</c:v>
                </c:pt>
                <c:pt idx="49">
                  <c:v>3.1</c:v>
                </c:pt>
                <c:pt idx="50">
                  <c:v>3</c:v>
                </c:pt>
                <c:pt idx="51">
                  <c:v>2.9</c:v>
                </c:pt>
                <c:pt idx="52">
                  <c:v>2.8</c:v>
                </c:pt>
                <c:pt idx="53">
                  <c:v>2.7</c:v>
                </c:pt>
                <c:pt idx="54">
                  <c:v>2.6</c:v>
                </c:pt>
                <c:pt idx="55">
                  <c:v>2.5</c:v>
                </c:pt>
                <c:pt idx="56">
                  <c:v>2.4</c:v>
                </c:pt>
                <c:pt idx="57">
                  <c:v>2.2999999999999998</c:v>
                </c:pt>
                <c:pt idx="58">
                  <c:v>2.2000000000000002</c:v>
                </c:pt>
                <c:pt idx="59">
                  <c:v>2.1</c:v>
                </c:pt>
                <c:pt idx="60">
                  <c:v>2</c:v>
                </c:pt>
                <c:pt idx="61">
                  <c:v>1.9</c:v>
                </c:pt>
                <c:pt idx="62">
                  <c:v>1.8</c:v>
                </c:pt>
                <c:pt idx="63">
                  <c:v>1.7</c:v>
                </c:pt>
                <c:pt idx="64">
                  <c:v>1.6</c:v>
                </c:pt>
                <c:pt idx="65">
                  <c:v>1.5</c:v>
                </c:pt>
                <c:pt idx="66">
                  <c:v>1.4</c:v>
                </c:pt>
                <c:pt idx="67">
                  <c:v>1.3</c:v>
                </c:pt>
                <c:pt idx="68">
                  <c:v>1.2</c:v>
                </c:pt>
                <c:pt idx="69">
                  <c:v>1.1000000000000001</c:v>
                </c:pt>
                <c:pt idx="70">
                  <c:v>1</c:v>
                </c:pt>
                <c:pt idx="71">
                  <c:v>0.9</c:v>
                </c:pt>
                <c:pt idx="72">
                  <c:v>0.8</c:v>
                </c:pt>
                <c:pt idx="73">
                  <c:v>0.7</c:v>
                </c:pt>
                <c:pt idx="74">
                  <c:v>0.6</c:v>
                </c:pt>
                <c:pt idx="75">
                  <c:v>0.5</c:v>
                </c:pt>
                <c:pt idx="76">
                  <c:v>0.4</c:v>
                </c:pt>
                <c:pt idx="77">
                  <c:v>0.3</c:v>
                </c:pt>
                <c:pt idx="78">
                  <c:v>0.2</c:v>
                </c:pt>
                <c:pt idx="79">
                  <c:v>0.1</c:v>
                </c:pt>
                <c:pt idx="80">
                  <c:v>0</c:v>
                </c:pt>
                <c:pt idx="81">
                  <c:v>-0.1</c:v>
                </c:pt>
                <c:pt idx="82">
                  <c:v>-0.2</c:v>
                </c:pt>
                <c:pt idx="83">
                  <c:v>-0.3</c:v>
                </c:pt>
                <c:pt idx="84">
                  <c:v>-0.4</c:v>
                </c:pt>
                <c:pt idx="85">
                  <c:v>-0.5</c:v>
                </c:pt>
                <c:pt idx="86">
                  <c:v>-0.6</c:v>
                </c:pt>
                <c:pt idx="87">
                  <c:v>-0.7</c:v>
                </c:pt>
                <c:pt idx="88">
                  <c:v>-0.8</c:v>
                </c:pt>
                <c:pt idx="89">
                  <c:v>-0.9</c:v>
                </c:pt>
                <c:pt idx="90">
                  <c:v>-1</c:v>
                </c:pt>
                <c:pt idx="91">
                  <c:v>-1.1000000000000001</c:v>
                </c:pt>
                <c:pt idx="92">
                  <c:v>-1.2</c:v>
                </c:pt>
                <c:pt idx="93">
                  <c:v>-1.3</c:v>
                </c:pt>
                <c:pt idx="94">
                  <c:v>-1.4</c:v>
                </c:pt>
                <c:pt idx="95">
                  <c:v>-1.5</c:v>
                </c:pt>
                <c:pt idx="96">
                  <c:v>-1.6</c:v>
                </c:pt>
                <c:pt idx="97">
                  <c:v>-1.7</c:v>
                </c:pt>
                <c:pt idx="98">
                  <c:v>-1.8</c:v>
                </c:pt>
                <c:pt idx="99">
                  <c:v>-1.9</c:v>
                </c:pt>
                <c:pt idx="100">
                  <c:v>-2</c:v>
                </c:pt>
                <c:pt idx="101">
                  <c:v>-2.1</c:v>
                </c:pt>
                <c:pt idx="102">
                  <c:v>-2.2000000000000002</c:v>
                </c:pt>
                <c:pt idx="103">
                  <c:v>-2.2999999999999998</c:v>
                </c:pt>
                <c:pt idx="104">
                  <c:v>-2.4</c:v>
                </c:pt>
                <c:pt idx="105">
                  <c:v>-2.5</c:v>
                </c:pt>
                <c:pt idx="106">
                  <c:v>-2.6</c:v>
                </c:pt>
                <c:pt idx="107">
                  <c:v>-2.7</c:v>
                </c:pt>
                <c:pt idx="108">
                  <c:v>-2.8</c:v>
                </c:pt>
                <c:pt idx="109">
                  <c:v>-2.9</c:v>
                </c:pt>
                <c:pt idx="110">
                  <c:v>-3</c:v>
                </c:pt>
                <c:pt idx="111">
                  <c:v>-3.1</c:v>
                </c:pt>
                <c:pt idx="112">
                  <c:v>-3.2</c:v>
                </c:pt>
                <c:pt idx="113">
                  <c:v>-3.3</c:v>
                </c:pt>
                <c:pt idx="114">
                  <c:v>-3.4</c:v>
                </c:pt>
                <c:pt idx="115">
                  <c:v>-3.5</c:v>
                </c:pt>
                <c:pt idx="116">
                  <c:v>-3.6</c:v>
                </c:pt>
                <c:pt idx="117">
                  <c:v>-3.7</c:v>
                </c:pt>
                <c:pt idx="118">
                  <c:v>-3.8</c:v>
                </c:pt>
                <c:pt idx="119">
                  <c:v>-3.9</c:v>
                </c:pt>
                <c:pt idx="120">
                  <c:v>-4</c:v>
                </c:pt>
                <c:pt idx="121">
                  <c:v>-4.0999999999999996</c:v>
                </c:pt>
                <c:pt idx="122">
                  <c:v>-4.2</c:v>
                </c:pt>
                <c:pt idx="123">
                  <c:v>-4.3</c:v>
                </c:pt>
                <c:pt idx="124">
                  <c:v>-4.4000000000000004</c:v>
                </c:pt>
                <c:pt idx="125">
                  <c:v>-4.5</c:v>
                </c:pt>
                <c:pt idx="126">
                  <c:v>-4.5999999999999996</c:v>
                </c:pt>
                <c:pt idx="127">
                  <c:v>-4.7</c:v>
                </c:pt>
                <c:pt idx="128">
                  <c:v>-4.8</c:v>
                </c:pt>
                <c:pt idx="129">
                  <c:v>-4.9000000000000004</c:v>
                </c:pt>
                <c:pt idx="130">
                  <c:v>-5</c:v>
                </c:pt>
                <c:pt idx="131">
                  <c:v>-5.0999999999999996</c:v>
                </c:pt>
                <c:pt idx="132">
                  <c:v>-5.2</c:v>
                </c:pt>
                <c:pt idx="133">
                  <c:v>-5.3</c:v>
                </c:pt>
                <c:pt idx="134">
                  <c:v>-5.4</c:v>
                </c:pt>
                <c:pt idx="135">
                  <c:v>-5.5</c:v>
                </c:pt>
                <c:pt idx="136">
                  <c:v>-5.6</c:v>
                </c:pt>
                <c:pt idx="137">
                  <c:v>-5.7</c:v>
                </c:pt>
                <c:pt idx="138">
                  <c:v>-5.8</c:v>
                </c:pt>
                <c:pt idx="139">
                  <c:v>-5.9</c:v>
                </c:pt>
                <c:pt idx="140">
                  <c:v>-6</c:v>
                </c:pt>
                <c:pt idx="141">
                  <c:v>-6.1</c:v>
                </c:pt>
                <c:pt idx="142">
                  <c:v>-6.2</c:v>
                </c:pt>
                <c:pt idx="143">
                  <c:v>-6.3</c:v>
                </c:pt>
                <c:pt idx="144">
                  <c:v>-6.4</c:v>
                </c:pt>
                <c:pt idx="145">
                  <c:v>-6.5</c:v>
                </c:pt>
                <c:pt idx="146">
                  <c:v>-6.6</c:v>
                </c:pt>
                <c:pt idx="147">
                  <c:v>-6.7</c:v>
                </c:pt>
                <c:pt idx="148">
                  <c:v>-6.8</c:v>
                </c:pt>
                <c:pt idx="149">
                  <c:v>-6.9</c:v>
                </c:pt>
                <c:pt idx="150">
                  <c:v>-7</c:v>
                </c:pt>
                <c:pt idx="151">
                  <c:v>-7.1</c:v>
                </c:pt>
                <c:pt idx="152">
                  <c:v>-7.2</c:v>
                </c:pt>
                <c:pt idx="153">
                  <c:v>-7.3</c:v>
                </c:pt>
                <c:pt idx="154">
                  <c:v>-7.4</c:v>
                </c:pt>
                <c:pt idx="155">
                  <c:v>-7.5</c:v>
                </c:pt>
                <c:pt idx="156">
                  <c:v>-7.6</c:v>
                </c:pt>
                <c:pt idx="157">
                  <c:v>-7.7</c:v>
                </c:pt>
                <c:pt idx="158">
                  <c:v>-7.8</c:v>
                </c:pt>
                <c:pt idx="159">
                  <c:v>-7.9</c:v>
                </c:pt>
                <c:pt idx="160">
                  <c:v>-8</c:v>
                </c:pt>
              </c:numCache>
            </c:numRef>
          </c:xVal>
          <c:yVal>
            <c:numRef>
              <c:f>'CS 2do sem datos'!$E$12:$E$172</c:f>
              <c:numCache>
                <c:formatCode>General</c:formatCode>
                <c:ptCount val="161"/>
                <c:pt idx="0">
                  <c:v>0</c:v>
                </c:pt>
                <c:pt idx="1">
                  <c:v>-1.2609520212918477</c:v>
                </c:pt>
                <c:pt idx="2">
                  <c:v>-1.7776388834631187</c:v>
                </c:pt>
                <c:pt idx="3">
                  <c:v>-2.1702534414210692</c:v>
                </c:pt>
                <c:pt idx="4">
                  <c:v>-2.4979991993593598</c:v>
                </c:pt>
                <c:pt idx="5">
                  <c:v>-2.7838821814150108</c:v>
                </c:pt>
                <c:pt idx="6">
                  <c:v>-3.0397368307141317</c:v>
                </c:pt>
                <c:pt idx="7">
                  <c:v>-3.2726136343907144</c:v>
                </c:pt>
                <c:pt idx="8">
                  <c:v>-3.4871191548325382</c:v>
                </c:pt>
                <c:pt idx="9">
                  <c:v>-3.6864617182333528</c:v>
                </c:pt>
                <c:pt idx="10">
                  <c:v>-3.872983346207417</c:v>
                </c:pt>
                <c:pt idx="11">
                  <c:v>-4.0484564959994316</c:v>
                </c:pt>
                <c:pt idx="12">
                  <c:v>-4.2142615011410962</c:v>
                </c:pt>
                <c:pt idx="13">
                  <c:v>-4.3714985988788788</c:v>
                </c:pt>
                <c:pt idx="14">
                  <c:v>-4.5210618221829266</c:v>
                </c:pt>
                <c:pt idx="15">
                  <c:v>-4.6636895265444078</c:v>
                </c:pt>
                <c:pt idx="16">
                  <c:v>-4.7999999999999989</c:v>
                </c:pt>
                <c:pt idx="17">
                  <c:v>-4.9305172142484199</c:v>
                </c:pt>
                <c:pt idx="18">
                  <c:v>-5.0556898639058145</c:v>
                </c:pt>
                <c:pt idx="19">
                  <c:v>-5.1759057178430137</c:v>
                </c:pt>
                <c:pt idx="20">
                  <c:v>-5.2915026221291814</c:v>
                </c:pt>
                <c:pt idx="21">
                  <c:v>-5.4027770636960391</c:v>
                </c:pt>
                <c:pt idx="22">
                  <c:v>-5.5099909255823647</c:v>
                </c:pt>
                <c:pt idx="23">
                  <c:v>-5.6133768802744752</c:v>
                </c:pt>
                <c:pt idx="24">
                  <c:v>-5.7131427428342798</c:v>
                </c:pt>
                <c:pt idx="25">
                  <c:v>-5.8094750193111251</c:v>
                </c:pt>
                <c:pt idx="26">
                  <c:v>-5.9025418253494824</c:v>
                </c:pt>
                <c:pt idx="27">
                  <c:v>-5.9924953066314535</c:v>
                </c:pt>
                <c:pt idx="28">
                  <c:v>-6.0794736614282652</c:v>
                </c:pt>
                <c:pt idx="29">
                  <c:v>-6.163602842493991</c:v>
                </c:pt>
                <c:pt idx="30">
                  <c:v>-6.2449979983983983</c:v>
                </c:pt>
                <c:pt idx="31">
                  <c:v>-6.3237647015049507</c:v>
                </c:pt>
                <c:pt idx="32">
                  <c:v>-6.4</c:v>
                </c:pt>
                <c:pt idx="33">
                  <c:v>-6.473793323855805</c:v>
                </c:pt>
                <c:pt idx="34">
                  <c:v>-6.5452272687814288</c:v>
                </c:pt>
                <c:pt idx="35">
                  <c:v>-6.6143782776614763</c:v>
                </c:pt>
                <c:pt idx="36">
                  <c:v>-6.6813172353960262</c:v>
                </c:pt>
                <c:pt idx="37">
                  <c:v>-6.746109990209173</c:v>
                </c:pt>
                <c:pt idx="38">
                  <c:v>-6.8088178122196803</c:v>
                </c:pt>
                <c:pt idx="39">
                  <c:v>-6.8694977982382381</c:v>
                </c:pt>
                <c:pt idx="40">
                  <c:v>-6.9282032302755088</c:v>
                </c:pt>
                <c:pt idx="41">
                  <c:v>-6.9849838940401288</c:v>
                </c:pt>
                <c:pt idx="42">
                  <c:v>-7.0398863627192165</c:v>
                </c:pt>
                <c:pt idx="43">
                  <c:v>-7.0929542505221335</c:v>
                </c:pt>
                <c:pt idx="44">
                  <c:v>-7.1442284397967004</c:v>
                </c:pt>
                <c:pt idx="45">
                  <c:v>-7.1937472849690796</c:v>
                </c:pt>
                <c:pt idx="46">
                  <c:v>-7.2415467960926687</c:v>
                </c:pt>
                <c:pt idx="47">
                  <c:v>-7.2876608044008195</c:v>
                </c:pt>
                <c:pt idx="48">
                  <c:v>-7.3321211119293439</c:v>
                </c:pt>
                <c:pt idx="49">
                  <c:v>-7.3749576269969168</c:v>
                </c:pt>
                <c:pt idx="50">
                  <c:v>-7.416198487095663</c:v>
                </c:pt>
                <c:pt idx="51">
                  <c:v>-7.4558701705434762</c:v>
                </c:pt>
                <c:pt idx="52">
                  <c:v>-7.493997598078078</c:v>
                </c:pt>
                <c:pt idx="53">
                  <c:v>-7.5306042254257397</c:v>
                </c:pt>
                <c:pt idx="54">
                  <c:v>-7.5657121277510955</c:v>
                </c:pt>
                <c:pt idx="55">
                  <c:v>-7.5993420767853319</c:v>
                </c:pt>
                <c:pt idx="56">
                  <c:v>-7.6315136113355653</c:v>
                </c:pt>
                <c:pt idx="57">
                  <c:v>-7.6622451017962092</c:v>
                </c:pt>
                <c:pt idx="58">
                  <c:v>-7.6915538092117641</c:v>
                </c:pt>
                <c:pt idx="59">
                  <c:v>-7.7194559393781113</c:v>
                </c:pt>
                <c:pt idx="60">
                  <c:v>-7.745966692414834</c:v>
                </c:pt>
                <c:pt idx="61">
                  <c:v>-7.7711003081931711</c:v>
                </c:pt>
                <c:pt idx="62">
                  <c:v>-7.7948701079620308</c:v>
                </c:pt>
                <c:pt idx="63">
                  <c:v>-7.8172885324772299</c:v>
                </c:pt>
                <c:pt idx="64">
                  <c:v>-7.8383671769061696</c:v>
                </c:pt>
                <c:pt idx="65">
                  <c:v>-7.8581168227508558</c:v>
                </c:pt>
                <c:pt idx="66">
                  <c:v>-7.8765474670060867</c:v>
                </c:pt>
                <c:pt idx="67">
                  <c:v>-7.8936683487463544</c:v>
                </c:pt>
                <c:pt idx="68">
                  <c:v>-7.9094879733140759</c:v>
                </c:pt>
                <c:pt idx="69">
                  <c:v>-7.9240141342630128</c:v>
                </c:pt>
                <c:pt idx="70">
                  <c:v>-7.9372539331937721</c:v>
                </c:pt>
                <c:pt idx="71">
                  <c:v>-7.94921379760288</c:v>
                </c:pt>
                <c:pt idx="72">
                  <c:v>-7.9598994968529597</c:v>
                </c:pt>
                <c:pt idx="73">
                  <c:v>-7.9693161563587118</c:v>
                </c:pt>
                <c:pt idx="74">
                  <c:v>-7.9774682700716522</c:v>
                </c:pt>
                <c:pt idx="75">
                  <c:v>-7.9843597113356557</c:v>
                </c:pt>
                <c:pt idx="76">
                  <c:v>-7.9899937421752716</c:v>
                </c:pt>
                <c:pt idx="77">
                  <c:v>-7.994373021069257</c:v>
                </c:pt>
                <c:pt idx="78">
                  <c:v>-7.9974996092528823</c:v>
                </c:pt>
                <c:pt idx="79">
                  <c:v>-7.99937497558403</c:v>
                </c:pt>
                <c:pt idx="80">
                  <c:v>-8</c:v>
                </c:pt>
                <c:pt idx="81">
                  <c:v>-7.99937497558403</c:v>
                </c:pt>
                <c:pt idx="82">
                  <c:v>-7.9974996092528823</c:v>
                </c:pt>
                <c:pt idx="83">
                  <c:v>-7.994373021069257</c:v>
                </c:pt>
                <c:pt idx="84">
                  <c:v>-7.9899937421752716</c:v>
                </c:pt>
                <c:pt idx="85">
                  <c:v>-7.9843597113356557</c:v>
                </c:pt>
                <c:pt idx="86">
                  <c:v>-7.9774682700716522</c:v>
                </c:pt>
                <c:pt idx="87">
                  <c:v>-7.9693161563587118</c:v>
                </c:pt>
                <c:pt idx="88">
                  <c:v>-7.9598994968529597</c:v>
                </c:pt>
                <c:pt idx="89">
                  <c:v>-7.94921379760288</c:v>
                </c:pt>
                <c:pt idx="90">
                  <c:v>-7.9372539331937721</c:v>
                </c:pt>
                <c:pt idx="91">
                  <c:v>-7.9240141342630128</c:v>
                </c:pt>
                <c:pt idx="92">
                  <c:v>-7.9094879733140759</c:v>
                </c:pt>
                <c:pt idx="93">
                  <c:v>-7.8936683487463544</c:v>
                </c:pt>
                <c:pt idx="94">
                  <c:v>-7.8765474670060867</c:v>
                </c:pt>
                <c:pt idx="95">
                  <c:v>-7.8581168227508558</c:v>
                </c:pt>
                <c:pt idx="96">
                  <c:v>-7.8383671769061696</c:v>
                </c:pt>
                <c:pt idx="97">
                  <c:v>-7.8172885324772299</c:v>
                </c:pt>
                <c:pt idx="98">
                  <c:v>-7.7948701079620308</c:v>
                </c:pt>
                <c:pt idx="99">
                  <c:v>-7.7711003081931711</c:v>
                </c:pt>
                <c:pt idx="100">
                  <c:v>-7.745966692414834</c:v>
                </c:pt>
                <c:pt idx="101">
                  <c:v>-7.7194559393781113</c:v>
                </c:pt>
                <c:pt idx="102">
                  <c:v>-7.6915538092117641</c:v>
                </c:pt>
                <c:pt idx="103">
                  <c:v>-7.6622451017962092</c:v>
                </c:pt>
                <c:pt idx="104">
                  <c:v>-7.6315136113355653</c:v>
                </c:pt>
                <c:pt idx="105">
                  <c:v>-7.5993420767853319</c:v>
                </c:pt>
                <c:pt idx="106">
                  <c:v>-7.5657121277510955</c:v>
                </c:pt>
                <c:pt idx="107">
                  <c:v>-7.5306042254257397</c:v>
                </c:pt>
                <c:pt idx="108">
                  <c:v>-7.493997598078078</c:v>
                </c:pt>
                <c:pt idx="109">
                  <c:v>-7.4558701705434762</c:v>
                </c:pt>
                <c:pt idx="110">
                  <c:v>-7.416198487095663</c:v>
                </c:pt>
                <c:pt idx="111">
                  <c:v>-7.3749576269969168</c:v>
                </c:pt>
                <c:pt idx="112">
                  <c:v>-7.3321211119293439</c:v>
                </c:pt>
                <c:pt idx="113">
                  <c:v>-7.2876608044008195</c:v>
                </c:pt>
                <c:pt idx="114">
                  <c:v>-7.2415467960926687</c:v>
                </c:pt>
                <c:pt idx="115">
                  <c:v>-7.1937472849690796</c:v>
                </c:pt>
                <c:pt idx="116">
                  <c:v>-7.1442284397967004</c:v>
                </c:pt>
                <c:pt idx="117">
                  <c:v>-7.0929542505221335</c:v>
                </c:pt>
                <c:pt idx="118">
                  <c:v>-7.0398863627192165</c:v>
                </c:pt>
                <c:pt idx="119">
                  <c:v>-6.9849838940401288</c:v>
                </c:pt>
                <c:pt idx="120">
                  <c:v>-6.9282032302755088</c:v>
                </c:pt>
                <c:pt idx="121">
                  <c:v>-6.8694977982382381</c:v>
                </c:pt>
                <c:pt idx="122">
                  <c:v>-6.8088178122196803</c:v>
                </c:pt>
                <c:pt idx="123">
                  <c:v>-6.746109990209173</c:v>
                </c:pt>
                <c:pt idx="124">
                  <c:v>-6.6813172353960262</c:v>
                </c:pt>
                <c:pt idx="125">
                  <c:v>-6.6143782776614763</c:v>
                </c:pt>
                <c:pt idx="126">
                  <c:v>-6.5452272687814288</c:v>
                </c:pt>
                <c:pt idx="127">
                  <c:v>-6.473793323855805</c:v>
                </c:pt>
                <c:pt idx="128">
                  <c:v>-6.4</c:v>
                </c:pt>
                <c:pt idx="129">
                  <c:v>-6.3237647015049507</c:v>
                </c:pt>
                <c:pt idx="130">
                  <c:v>-6.2449979983983983</c:v>
                </c:pt>
                <c:pt idx="131">
                  <c:v>-6.163602842493991</c:v>
                </c:pt>
                <c:pt idx="132">
                  <c:v>-6.0794736614282652</c:v>
                </c:pt>
                <c:pt idx="133">
                  <c:v>-5.9924953066314535</c:v>
                </c:pt>
                <c:pt idx="134">
                  <c:v>-5.9025418253494824</c:v>
                </c:pt>
                <c:pt idx="135">
                  <c:v>-5.8094750193111251</c:v>
                </c:pt>
                <c:pt idx="136">
                  <c:v>-5.7131427428342798</c:v>
                </c:pt>
                <c:pt idx="137">
                  <c:v>-5.6133768802744752</c:v>
                </c:pt>
                <c:pt idx="138">
                  <c:v>-5.5099909255823647</c:v>
                </c:pt>
                <c:pt idx="139">
                  <c:v>-5.4027770636960391</c:v>
                </c:pt>
                <c:pt idx="140">
                  <c:v>-5.2915026221291814</c:v>
                </c:pt>
                <c:pt idx="141">
                  <c:v>-5.1759057178430137</c:v>
                </c:pt>
                <c:pt idx="142">
                  <c:v>-5.0556898639058145</c:v>
                </c:pt>
                <c:pt idx="143">
                  <c:v>-4.9305172142484199</c:v>
                </c:pt>
                <c:pt idx="144">
                  <c:v>-4.7999999999999989</c:v>
                </c:pt>
                <c:pt idx="145">
                  <c:v>-4.6636895265444078</c:v>
                </c:pt>
                <c:pt idx="146">
                  <c:v>-4.5210618221829266</c:v>
                </c:pt>
                <c:pt idx="147">
                  <c:v>-4.3714985988788788</c:v>
                </c:pt>
                <c:pt idx="148">
                  <c:v>-4.2142615011410962</c:v>
                </c:pt>
                <c:pt idx="149">
                  <c:v>-4.0484564959994316</c:v>
                </c:pt>
                <c:pt idx="150">
                  <c:v>-3.872983346207417</c:v>
                </c:pt>
                <c:pt idx="151">
                  <c:v>-3.6864617182333528</c:v>
                </c:pt>
                <c:pt idx="152">
                  <c:v>-3.4871191548325382</c:v>
                </c:pt>
                <c:pt idx="153">
                  <c:v>-3.2726136343907144</c:v>
                </c:pt>
                <c:pt idx="154">
                  <c:v>-3.0397368307141317</c:v>
                </c:pt>
                <c:pt idx="155">
                  <c:v>-2.7838821814150108</c:v>
                </c:pt>
                <c:pt idx="156">
                  <c:v>-2.4979991993593598</c:v>
                </c:pt>
                <c:pt idx="157">
                  <c:v>-2.1702534414210692</c:v>
                </c:pt>
                <c:pt idx="158">
                  <c:v>-1.7776388834631187</c:v>
                </c:pt>
                <c:pt idx="159">
                  <c:v>-1.2609520212918477</c:v>
                </c:pt>
                <c:pt idx="160">
                  <c:v>0</c:v>
                </c:pt>
              </c:numCache>
            </c:numRef>
          </c:yVal>
          <c:smooth val="1"/>
        </c:ser>
        <c:ser>
          <c:idx val="81"/>
          <c:order val="18"/>
          <c:spPr>
            <a:ln w="1905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'CS 2do sem datos'!$A$22:$A$162</c:f>
              <c:numCache>
                <c:formatCode>General</c:formatCode>
                <c:ptCount val="141"/>
                <c:pt idx="0">
                  <c:v>7</c:v>
                </c:pt>
                <c:pt idx="1">
                  <c:v>6.9</c:v>
                </c:pt>
                <c:pt idx="2">
                  <c:v>6.8</c:v>
                </c:pt>
                <c:pt idx="3">
                  <c:v>6.7</c:v>
                </c:pt>
                <c:pt idx="4">
                  <c:v>6.6</c:v>
                </c:pt>
                <c:pt idx="5">
                  <c:v>6.5</c:v>
                </c:pt>
                <c:pt idx="6">
                  <c:v>6.4</c:v>
                </c:pt>
                <c:pt idx="7">
                  <c:v>6.3</c:v>
                </c:pt>
                <c:pt idx="8">
                  <c:v>6.2</c:v>
                </c:pt>
                <c:pt idx="9">
                  <c:v>6.1</c:v>
                </c:pt>
                <c:pt idx="10">
                  <c:v>6</c:v>
                </c:pt>
                <c:pt idx="11">
                  <c:v>5.9</c:v>
                </c:pt>
                <c:pt idx="12">
                  <c:v>5.8</c:v>
                </c:pt>
                <c:pt idx="13">
                  <c:v>5.7</c:v>
                </c:pt>
                <c:pt idx="14">
                  <c:v>5.6</c:v>
                </c:pt>
                <c:pt idx="15">
                  <c:v>5.5</c:v>
                </c:pt>
                <c:pt idx="16">
                  <c:v>5.4</c:v>
                </c:pt>
                <c:pt idx="17">
                  <c:v>5.3</c:v>
                </c:pt>
                <c:pt idx="18">
                  <c:v>5.2</c:v>
                </c:pt>
                <c:pt idx="19">
                  <c:v>5.0999999999999996</c:v>
                </c:pt>
                <c:pt idx="20">
                  <c:v>5</c:v>
                </c:pt>
                <c:pt idx="21">
                  <c:v>4.9000000000000004</c:v>
                </c:pt>
                <c:pt idx="22">
                  <c:v>4.8</c:v>
                </c:pt>
                <c:pt idx="23">
                  <c:v>4.7</c:v>
                </c:pt>
                <c:pt idx="24">
                  <c:v>4.5999999999999996</c:v>
                </c:pt>
                <c:pt idx="25">
                  <c:v>4.5</c:v>
                </c:pt>
                <c:pt idx="26">
                  <c:v>4.4000000000000004</c:v>
                </c:pt>
                <c:pt idx="27">
                  <c:v>4.3</c:v>
                </c:pt>
                <c:pt idx="28">
                  <c:v>4.2</c:v>
                </c:pt>
                <c:pt idx="29">
                  <c:v>4.0999999999999996</c:v>
                </c:pt>
                <c:pt idx="30">
                  <c:v>4</c:v>
                </c:pt>
                <c:pt idx="31">
                  <c:v>3.9</c:v>
                </c:pt>
                <c:pt idx="32">
                  <c:v>3.8</c:v>
                </c:pt>
                <c:pt idx="33">
                  <c:v>3.7</c:v>
                </c:pt>
                <c:pt idx="34">
                  <c:v>3.6</c:v>
                </c:pt>
                <c:pt idx="35">
                  <c:v>3.5</c:v>
                </c:pt>
                <c:pt idx="36">
                  <c:v>3.4</c:v>
                </c:pt>
                <c:pt idx="37">
                  <c:v>3.3</c:v>
                </c:pt>
                <c:pt idx="38">
                  <c:v>3.2</c:v>
                </c:pt>
                <c:pt idx="39">
                  <c:v>3.1</c:v>
                </c:pt>
                <c:pt idx="40">
                  <c:v>3</c:v>
                </c:pt>
                <c:pt idx="41">
                  <c:v>2.9</c:v>
                </c:pt>
                <c:pt idx="42">
                  <c:v>2.8</c:v>
                </c:pt>
                <c:pt idx="43">
                  <c:v>2.7</c:v>
                </c:pt>
                <c:pt idx="44">
                  <c:v>2.6</c:v>
                </c:pt>
                <c:pt idx="45">
                  <c:v>2.5</c:v>
                </c:pt>
                <c:pt idx="46">
                  <c:v>2.4</c:v>
                </c:pt>
                <c:pt idx="47">
                  <c:v>2.2999999999999998</c:v>
                </c:pt>
                <c:pt idx="48">
                  <c:v>2.2000000000000002</c:v>
                </c:pt>
                <c:pt idx="49">
                  <c:v>2.1</c:v>
                </c:pt>
                <c:pt idx="50">
                  <c:v>2</c:v>
                </c:pt>
                <c:pt idx="51">
                  <c:v>1.9</c:v>
                </c:pt>
                <c:pt idx="52">
                  <c:v>1.8</c:v>
                </c:pt>
                <c:pt idx="53">
                  <c:v>1.7</c:v>
                </c:pt>
                <c:pt idx="54">
                  <c:v>1.6</c:v>
                </c:pt>
                <c:pt idx="55">
                  <c:v>1.5</c:v>
                </c:pt>
                <c:pt idx="56">
                  <c:v>1.4</c:v>
                </c:pt>
                <c:pt idx="57">
                  <c:v>1.3</c:v>
                </c:pt>
                <c:pt idx="58">
                  <c:v>1.2</c:v>
                </c:pt>
                <c:pt idx="59">
                  <c:v>1.1000000000000001</c:v>
                </c:pt>
                <c:pt idx="60">
                  <c:v>1</c:v>
                </c:pt>
                <c:pt idx="61">
                  <c:v>0.9</c:v>
                </c:pt>
                <c:pt idx="62">
                  <c:v>0.8</c:v>
                </c:pt>
                <c:pt idx="63">
                  <c:v>0.7</c:v>
                </c:pt>
                <c:pt idx="64">
                  <c:v>0.6</c:v>
                </c:pt>
                <c:pt idx="65">
                  <c:v>0.5</c:v>
                </c:pt>
                <c:pt idx="66">
                  <c:v>0.4</c:v>
                </c:pt>
                <c:pt idx="67">
                  <c:v>0.3</c:v>
                </c:pt>
                <c:pt idx="68">
                  <c:v>0.2</c:v>
                </c:pt>
                <c:pt idx="69">
                  <c:v>0.1</c:v>
                </c:pt>
                <c:pt idx="70">
                  <c:v>0</c:v>
                </c:pt>
                <c:pt idx="71">
                  <c:v>-0.1</c:v>
                </c:pt>
                <c:pt idx="72">
                  <c:v>-0.2</c:v>
                </c:pt>
                <c:pt idx="73">
                  <c:v>-0.3</c:v>
                </c:pt>
                <c:pt idx="74">
                  <c:v>-0.4</c:v>
                </c:pt>
                <c:pt idx="75">
                  <c:v>-0.5</c:v>
                </c:pt>
                <c:pt idx="76">
                  <c:v>-0.6</c:v>
                </c:pt>
                <c:pt idx="77">
                  <c:v>-0.7</c:v>
                </c:pt>
                <c:pt idx="78">
                  <c:v>-0.8</c:v>
                </c:pt>
                <c:pt idx="79">
                  <c:v>-0.9</c:v>
                </c:pt>
                <c:pt idx="80">
                  <c:v>-1</c:v>
                </c:pt>
                <c:pt idx="81">
                  <c:v>-1.1000000000000001</c:v>
                </c:pt>
                <c:pt idx="82">
                  <c:v>-1.2</c:v>
                </c:pt>
                <c:pt idx="83">
                  <c:v>-1.3</c:v>
                </c:pt>
                <c:pt idx="84">
                  <c:v>-1.4</c:v>
                </c:pt>
                <c:pt idx="85">
                  <c:v>-1.5</c:v>
                </c:pt>
                <c:pt idx="86">
                  <c:v>-1.6</c:v>
                </c:pt>
                <c:pt idx="87">
                  <c:v>-1.7</c:v>
                </c:pt>
                <c:pt idx="88">
                  <c:v>-1.8</c:v>
                </c:pt>
                <c:pt idx="89">
                  <c:v>-1.9</c:v>
                </c:pt>
                <c:pt idx="90">
                  <c:v>-2</c:v>
                </c:pt>
                <c:pt idx="91">
                  <c:v>-2.1</c:v>
                </c:pt>
                <c:pt idx="92">
                  <c:v>-2.2000000000000002</c:v>
                </c:pt>
                <c:pt idx="93">
                  <c:v>-2.2999999999999998</c:v>
                </c:pt>
                <c:pt idx="94">
                  <c:v>-2.4</c:v>
                </c:pt>
                <c:pt idx="95">
                  <c:v>-2.5</c:v>
                </c:pt>
                <c:pt idx="96">
                  <c:v>-2.6</c:v>
                </c:pt>
                <c:pt idx="97">
                  <c:v>-2.7</c:v>
                </c:pt>
                <c:pt idx="98">
                  <c:v>-2.8</c:v>
                </c:pt>
                <c:pt idx="99">
                  <c:v>-2.9</c:v>
                </c:pt>
                <c:pt idx="100">
                  <c:v>-3</c:v>
                </c:pt>
                <c:pt idx="101">
                  <c:v>-3.1</c:v>
                </c:pt>
                <c:pt idx="102">
                  <c:v>-3.2</c:v>
                </c:pt>
                <c:pt idx="103">
                  <c:v>-3.3</c:v>
                </c:pt>
                <c:pt idx="104">
                  <c:v>-3.4</c:v>
                </c:pt>
                <c:pt idx="105">
                  <c:v>-3.5</c:v>
                </c:pt>
                <c:pt idx="106">
                  <c:v>-3.6</c:v>
                </c:pt>
                <c:pt idx="107">
                  <c:v>-3.7</c:v>
                </c:pt>
                <c:pt idx="108">
                  <c:v>-3.8</c:v>
                </c:pt>
                <c:pt idx="109">
                  <c:v>-3.9</c:v>
                </c:pt>
                <c:pt idx="110">
                  <c:v>-4</c:v>
                </c:pt>
                <c:pt idx="111">
                  <c:v>-4.0999999999999996</c:v>
                </c:pt>
                <c:pt idx="112">
                  <c:v>-4.2</c:v>
                </c:pt>
                <c:pt idx="113">
                  <c:v>-4.3</c:v>
                </c:pt>
                <c:pt idx="114">
                  <c:v>-4.4000000000000004</c:v>
                </c:pt>
                <c:pt idx="115">
                  <c:v>-4.5</c:v>
                </c:pt>
                <c:pt idx="116">
                  <c:v>-4.5999999999999996</c:v>
                </c:pt>
                <c:pt idx="117">
                  <c:v>-4.7</c:v>
                </c:pt>
                <c:pt idx="118">
                  <c:v>-4.8</c:v>
                </c:pt>
                <c:pt idx="119">
                  <c:v>-4.9000000000000004</c:v>
                </c:pt>
                <c:pt idx="120">
                  <c:v>-5</c:v>
                </c:pt>
                <c:pt idx="121">
                  <c:v>-5.0999999999999996</c:v>
                </c:pt>
                <c:pt idx="122">
                  <c:v>-5.2</c:v>
                </c:pt>
                <c:pt idx="123">
                  <c:v>-5.3</c:v>
                </c:pt>
                <c:pt idx="124">
                  <c:v>-5.4</c:v>
                </c:pt>
                <c:pt idx="125">
                  <c:v>-5.5</c:v>
                </c:pt>
                <c:pt idx="126">
                  <c:v>-5.6</c:v>
                </c:pt>
                <c:pt idx="127">
                  <c:v>-5.7</c:v>
                </c:pt>
                <c:pt idx="128">
                  <c:v>-5.8</c:v>
                </c:pt>
                <c:pt idx="129">
                  <c:v>-5.9</c:v>
                </c:pt>
                <c:pt idx="130">
                  <c:v>-6</c:v>
                </c:pt>
                <c:pt idx="131">
                  <c:v>-6.1</c:v>
                </c:pt>
                <c:pt idx="132">
                  <c:v>-6.2</c:v>
                </c:pt>
                <c:pt idx="133">
                  <c:v>-6.3</c:v>
                </c:pt>
                <c:pt idx="134">
                  <c:v>-6.4</c:v>
                </c:pt>
                <c:pt idx="135">
                  <c:v>-6.5</c:v>
                </c:pt>
                <c:pt idx="136">
                  <c:v>-6.6</c:v>
                </c:pt>
                <c:pt idx="137">
                  <c:v>-6.7</c:v>
                </c:pt>
                <c:pt idx="138">
                  <c:v>-6.8</c:v>
                </c:pt>
                <c:pt idx="139">
                  <c:v>-6.9</c:v>
                </c:pt>
                <c:pt idx="140">
                  <c:v>-7</c:v>
                </c:pt>
              </c:numCache>
            </c:numRef>
          </c:xVal>
          <c:yVal>
            <c:numRef>
              <c:f>'CS 2do sem datos'!$F$22:$F$162</c:f>
              <c:numCache>
                <c:formatCode>General</c:formatCode>
                <c:ptCount val="141"/>
                <c:pt idx="0">
                  <c:v>0</c:v>
                </c:pt>
                <c:pt idx="1">
                  <c:v>1.1789826122551568</c:v>
                </c:pt>
                <c:pt idx="2">
                  <c:v>1.6613247725836164</c:v>
                </c:pt>
                <c:pt idx="3">
                  <c:v>2.027313493271329</c:v>
                </c:pt>
                <c:pt idx="4">
                  <c:v>2.3323807579381213</c:v>
                </c:pt>
                <c:pt idx="5">
                  <c:v>2.598076211353316</c:v>
                </c:pt>
                <c:pt idx="6">
                  <c:v>2.8354893757515636</c:v>
                </c:pt>
                <c:pt idx="7">
                  <c:v>3.0512292604784719</c:v>
                </c:pt>
                <c:pt idx="8">
                  <c:v>3.2496153618543833</c:v>
                </c:pt>
                <c:pt idx="9">
                  <c:v>3.4336569426778802</c:v>
                </c:pt>
                <c:pt idx="10">
                  <c:v>3.6055512754639891</c:v>
                </c:pt>
                <c:pt idx="11">
                  <c:v>3.7669616403674722</c:v>
                </c:pt>
                <c:pt idx="12">
                  <c:v>3.9191835884530848</c:v>
                </c:pt>
                <c:pt idx="13">
                  <c:v>4.0632499307820087</c:v>
                </c:pt>
                <c:pt idx="14">
                  <c:v>4.2</c:v>
                </c:pt>
                <c:pt idx="15">
                  <c:v>4.3301270189221936</c:v>
                </c:pt>
                <c:pt idx="16">
                  <c:v>4.4542114902640169</c:v>
                </c:pt>
                <c:pt idx="17">
                  <c:v>4.5727453460694703</c:v>
                </c:pt>
                <c:pt idx="18">
                  <c:v>4.6861498055439927</c:v>
                </c:pt>
                <c:pt idx="19">
                  <c:v>4.7947888378947408</c:v>
                </c:pt>
                <c:pt idx="20">
                  <c:v>4.8989794855663558</c:v>
                </c:pt>
                <c:pt idx="21">
                  <c:v>4.9989998999799941</c:v>
                </c:pt>
                <c:pt idx="22">
                  <c:v>5.0950956811427988</c:v>
                </c:pt>
                <c:pt idx="23">
                  <c:v>5.1874849397371747</c:v>
                </c:pt>
                <c:pt idx="24">
                  <c:v>5.2763623833091682</c:v>
                </c:pt>
                <c:pt idx="25">
                  <c:v>5.3619026473818039</c:v>
                </c:pt>
                <c:pt idx="26">
                  <c:v>5.4442630355264798</c:v>
                </c:pt>
                <c:pt idx="27">
                  <c:v>5.5235857918565907</c:v>
                </c:pt>
                <c:pt idx="28">
                  <c:v>5.6</c:v>
                </c:pt>
                <c:pt idx="29">
                  <c:v>5.6736231810017133</c:v>
                </c:pt>
                <c:pt idx="30">
                  <c:v>5.7445626465380286</c:v>
                </c:pt>
                <c:pt idx="31">
                  <c:v>5.8129166517334481</c:v>
                </c:pt>
                <c:pt idx="32">
                  <c:v>5.8787753826796276</c:v>
                </c:pt>
                <c:pt idx="33">
                  <c:v>5.9422218066982317</c:v>
                </c:pt>
                <c:pt idx="34">
                  <c:v>6.0033324079214534</c:v>
                </c:pt>
                <c:pt idx="35">
                  <c:v>6.0621778264910704</c:v>
                </c:pt>
                <c:pt idx="36">
                  <c:v>6.1188234163113417</c:v>
                </c:pt>
                <c:pt idx="37">
                  <c:v>6.1733297336202604</c:v>
                </c:pt>
                <c:pt idx="38">
                  <c:v>6.2257529665093525</c:v>
                </c:pt>
                <c:pt idx="39">
                  <c:v>6.2761453138052818</c:v>
                </c:pt>
                <c:pt idx="40">
                  <c:v>6.324555320336759</c:v>
                </c:pt>
                <c:pt idx="41">
                  <c:v>6.3710281744785906</c:v>
                </c:pt>
                <c:pt idx="42">
                  <c:v>6.4156059729381765</c:v>
                </c:pt>
                <c:pt idx="43">
                  <c:v>6.4583279569870093</c:v>
                </c:pt>
                <c:pt idx="44">
                  <c:v>6.4992307237087683</c:v>
                </c:pt>
                <c:pt idx="45">
                  <c:v>6.5383484153110105</c:v>
                </c:pt>
                <c:pt idx="46">
                  <c:v>6.5757128891094387</c:v>
                </c:pt>
                <c:pt idx="47">
                  <c:v>6.611353870426238</c:v>
                </c:pt>
                <c:pt idx="48">
                  <c:v>6.6452990903344595</c:v>
                </c:pt>
                <c:pt idx="49">
                  <c:v>6.6775744099186198</c:v>
                </c:pt>
                <c:pt idx="50">
                  <c:v>6.7082039324993694</c:v>
                </c:pt>
                <c:pt idx="51">
                  <c:v>6.7372101050805888</c:v>
                </c:pt>
                <c:pt idx="52">
                  <c:v>6.7646138101151054</c:v>
                </c:pt>
                <c:pt idx="53">
                  <c:v>6.7904344485459838</c:v>
                </c:pt>
                <c:pt idx="54">
                  <c:v>6.8146900149603278</c:v>
                </c:pt>
                <c:pt idx="55">
                  <c:v>6.8373971655886718</c:v>
                </c:pt>
                <c:pt idx="56">
                  <c:v>6.8585712797928986</c:v>
                </c:pt>
                <c:pt idx="57">
                  <c:v>6.8782265156070572</c:v>
                </c:pt>
                <c:pt idx="58">
                  <c:v>6.8963758598266676</c:v>
                </c:pt>
                <c:pt idx="59">
                  <c:v>6.9130311730817473</c:v>
                </c:pt>
                <c:pt idx="60">
                  <c:v>6.9282032302755088</c:v>
                </c:pt>
                <c:pt idx="61">
                  <c:v>6.9419017567234409</c:v>
                </c:pt>
                <c:pt idx="62">
                  <c:v>6.9541354602854843</c:v>
                </c:pt>
                <c:pt idx="63">
                  <c:v>6.9649120597463394</c:v>
                </c:pt>
                <c:pt idx="64">
                  <c:v>6.9742383096650773</c:v>
                </c:pt>
                <c:pt idx="65">
                  <c:v>6.9821200218844703</c:v>
                </c:pt>
                <c:pt idx="66">
                  <c:v>6.9885620838624591</c:v>
                </c:pt>
                <c:pt idx="67">
                  <c:v>6.9935684739623447</c:v>
                </c:pt>
                <c:pt idx="68">
                  <c:v>6.9971422738143607</c:v>
                </c:pt>
                <c:pt idx="69">
                  <c:v>6.9992856778388468</c:v>
                </c:pt>
                <c:pt idx="70">
                  <c:v>7</c:v>
                </c:pt>
                <c:pt idx="71">
                  <c:v>6.9992856778388468</c:v>
                </c:pt>
                <c:pt idx="72">
                  <c:v>6.9971422738143607</c:v>
                </c:pt>
                <c:pt idx="73">
                  <c:v>6.9935684739623447</c:v>
                </c:pt>
                <c:pt idx="74">
                  <c:v>6.9885620838624591</c:v>
                </c:pt>
                <c:pt idx="75">
                  <c:v>6.9821200218844703</c:v>
                </c:pt>
                <c:pt idx="76">
                  <c:v>6.9742383096650773</c:v>
                </c:pt>
                <c:pt idx="77">
                  <c:v>6.9649120597463394</c:v>
                </c:pt>
                <c:pt idx="78">
                  <c:v>6.9541354602854843</c:v>
                </c:pt>
                <c:pt idx="79">
                  <c:v>6.9419017567234409</c:v>
                </c:pt>
                <c:pt idx="80">
                  <c:v>6.9282032302755088</c:v>
                </c:pt>
                <c:pt idx="81">
                  <c:v>6.9130311730817473</c:v>
                </c:pt>
                <c:pt idx="82">
                  <c:v>6.8963758598266676</c:v>
                </c:pt>
                <c:pt idx="83">
                  <c:v>6.8782265156070572</c:v>
                </c:pt>
                <c:pt idx="84">
                  <c:v>6.8585712797928986</c:v>
                </c:pt>
                <c:pt idx="85">
                  <c:v>6.8373971655886718</c:v>
                </c:pt>
                <c:pt idx="86">
                  <c:v>6.8146900149603278</c:v>
                </c:pt>
                <c:pt idx="87">
                  <c:v>6.7904344485459838</c:v>
                </c:pt>
                <c:pt idx="88">
                  <c:v>6.7646138101151054</c:v>
                </c:pt>
                <c:pt idx="89">
                  <c:v>6.7372101050805888</c:v>
                </c:pt>
                <c:pt idx="90">
                  <c:v>6.7082039324993694</c:v>
                </c:pt>
                <c:pt idx="91">
                  <c:v>6.6775744099186198</c:v>
                </c:pt>
                <c:pt idx="92">
                  <c:v>6.6452990903344595</c:v>
                </c:pt>
                <c:pt idx="93">
                  <c:v>6.611353870426238</c:v>
                </c:pt>
                <c:pt idx="94">
                  <c:v>6.5757128891094387</c:v>
                </c:pt>
                <c:pt idx="95">
                  <c:v>6.5383484153110105</c:v>
                </c:pt>
                <c:pt idx="96">
                  <c:v>6.4992307237087683</c:v>
                </c:pt>
                <c:pt idx="97">
                  <c:v>6.4583279569870093</c:v>
                </c:pt>
                <c:pt idx="98">
                  <c:v>6.4156059729381765</c:v>
                </c:pt>
                <c:pt idx="99">
                  <c:v>6.3710281744785906</c:v>
                </c:pt>
                <c:pt idx="100">
                  <c:v>6.324555320336759</c:v>
                </c:pt>
                <c:pt idx="101">
                  <c:v>6.2761453138052818</c:v>
                </c:pt>
                <c:pt idx="102">
                  <c:v>6.2257529665093525</c:v>
                </c:pt>
                <c:pt idx="103">
                  <c:v>6.1733297336202604</c:v>
                </c:pt>
                <c:pt idx="104">
                  <c:v>6.1188234163113417</c:v>
                </c:pt>
                <c:pt idx="105">
                  <c:v>6.0621778264910704</c:v>
                </c:pt>
                <c:pt idx="106">
                  <c:v>6.0033324079214534</c:v>
                </c:pt>
                <c:pt idx="107">
                  <c:v>5.9422218066982317</c:v>
                </c:pt>
                <c:pt idx="108">
                  <c:v>5.8787753826796276</c:v>
                </c:pt>
                <c:pt idx="109">
                  <c:v>5.8129166517334481</c:v>
                </c:pt>
                <c:pt idx="110">
                  <c:v>5.7445626465380286</c:v>
                </c:pt>
                <c:pt idx="111">
                  <c:v>5.6736231810017133</c:v>
                </c:pt>
                <c:pt idx="112">
                  <c:v>5.6</c:v>
                </c:pt>
                <c:pt idx="113">
                  <c:v>5.5235857918565907</c:v>
                </c:pt>
                <c:pt idx="114">
                  <c:v>5.4442630355264798</c:v>
                </c:pt>
                <c:pt idx="115">
                  <c:v>5.3619026473818039</c:v>
                </c:pt>
                <c:pt idx="116">
                  <c:v>5.2763623833091682</c:v>
                </c:pt>
                <c:pt idx="117">
                  <c:v>5.1874849397371747</c:v>
                </c:pt>
                <c:pt idx="118">
                  <c:v>5.0950956811427988</c:v>
                </c:pt>
                <c:pt idx="119">
                  <c:v>4.9989998999799941</c:v>
                </c:pt>
                <c:pt idx="120">
                  <c:v>4.8989794855663558</c:v>
                </c:pt>
                <c:pt idx="121">
                  <c:v>4.7947888378947408</c:v>
                </c:pt>
                <c:pt idx="122">
                  <c:v>4.6861498055439927</c:v>
                </c:pt>
                <c:pt idx="123">
                  <c:v>4.5727453460694703</c:v>
                </c:pt>
                <c:pt idx="124">
                  <c:v>4.4542114902640169</c:v>
                </c:pt>
                <c:pt idx="125">
                  <c:v>4.3301270189221936</c:v>
                </c:pt>
                <c:pt idx="126">
                  <c:v>4.2</c:v>
                </c:pt>
                <c:pt idx="127">
                  <c:v>4.0632499307820087</c:v>
                </c:pt>
                <c:pt idx="128">
                  <c:v>3.9191835884530848</c:v>
                </c:pt>
                <c:pt idx="129">
                  <c:v>3.7669616403674722</c:v>
                </c:pt>
                <c:pt idx="130">
                  <c:v>3.6055512754639891</c:v>
                </c:pt>
                <c:pt idx="131">
                  <c:v>3.4336569426778802</c:v>
                </c:pt>
                <c:pt idx="132">
                  <c:v>3.2496153618543833</c:v>
                </c:pt>
                <c:pt idx="133">
                  <c:v>3.0512292604784719</c:v>
                </c:pt>
                <c:pt idx="134">
                  <c:v>2.8354893757515636</c:v>
                </c:pt>
                <c:pt idx="135">
                  <c:v>2.598076211353316</c:v>
                </c:pt>
                <c:pt idx="136">
                  <c:v>2.3323807579381213</c:v>
                </c:pt>
                <c:pt idx="137">
                  <c:v>2.027313493271329</c:v>
                </c:pt>
                <c:pt idx="138">
                  <c:v>1.6613247725836164</c:v>
                </c:pt>
                <c:pt idx="139">
                  <c:v>1.1789826122551568</c:v>
                </c:pt>
                <c:pt idx="140">
                  <c:v>0</c:v>
                </c:pt>
              </c:numCache>
            </c:numRef>
          </c:yVal>
          <c:smooth val="1"/>
        </c:ser>
        <c:ser>
          <c:idx val="82"/>
          <c:order val="19"/>
          <c:spPr>
            <a:ln w="1905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'CS 2do sem datos'!$A$22:$A$162</c:f>
              <c:numCache>
                <c:formatCode>General</c:formatCode>
                <c:ptCount val="141"/>
                <c:pt idx="0">
                  <c:v>7</c:v>
                </c:pt>
                <c:pt idx="1">
                  <c:v>6.9</c:v>
                </c:pt>
                <c:pt idx="2">
                  <c:v>6.8</c:v>
                </c:pt>
                <c:pt idx="3">
                  <c:v>6.7</c:v>
                </c:pt>
                <c:pt idx="4">
                  <c:v>6.6</c:v>
                </c:pt>
                <c:pt idx="5">
                  <c:v>6.5</c:v>
                </c:pt>
                <c:pt idx="6">
                  <c:v>6.4</c:v>
                </c:pt>
                <c:pt idx="7">
                  <c:v>6.3</c:v>
                </c:pt>
                <c:pt idx="8">
                  <c:v>6.2</c:v>
                </c:pt>
                <c:pt idx="9">
                  <c:v>6.1</c:v>
                </c:pt>
                <c:pt idx="10">
                  <c:v>6</c:v>
                </c:pt>
                <c:pt idx="11">
                  <c:v>5.9</c:v>
                </c:pt>
                <c:pt idx="12">
                  <c:v>5.8</c:v>
                </c:pt>
                <c:pt idx="13">
                  <c:v>5.7</c:v>
                </c:pt>
                <c:pt idx="14">
                  <c:v>5.6</c:v>
                </c:pt>
                <c:pt idx="15">
                  <c:v>5.5</c:v>
                </c:pt>
                <c:pt idx="16">
                  <c:v>5.4</c:v>
                </c:pt>
                <c:pt idx="17">
                  <c:v>5.3</c:v>
                </c:pt>
                <c:pt idx="18">
                  <c:v>5.2</c:v>
                </c:pt>
                <c:pt idx="19">
                  <c:v>5.0999999999999996</c:v>
                </c:pt>
                <c:pt idx="20">
                  <c:v>5</c:v>
                </c:pt>
                <c:pt idx="21">
                  <c:v>4.9000000000000004</c:v>
                </c:pt>
                <c:pt idx="22">
                  <c:v>4.8</c:v>
                </c:pt>
                <c:pt idx="23">
                  <c:v>4.7</c:v>
                </c:pt>
                <c:pt idx="24">
                  <c:v>4.5999999999999996</c:v>
                </c:pt>
                <c:pt idx="25">
                  <c:v>4.5</c:v>
                </c:pt>
                <c:pt idx="26">
                  <c:v>4.4000000000000004</c:v>
                </c:pt>
                <c:pt idx="27">
                  <c:v>4.3</c:v>
                </c:pt>
                <c:pt idx="28">
                  <c:v>4.2</c:v>
                </c:pt>
                <c:pt idx="29">
                  <c:v>4.0999999999999996</c:v>
                </c:pt>
                <c:pt idx="30">
                  <c:v>4</c:v>
                </c:pt>
                <c:pt idx="31">
                  <c:v>3.9</c:v>
                </c:pt>
                <c:pt idx="32">
                  <c:v>3.8</c:v>
                </c:pt>
                <c:pt idx="33">
                  <c:v>3.7</c:v>
                </c:pt>
                <c:pt idx="34">
                  <c:v>3.6</c:v>
                </c:pt>
                <c:pt idx="35">
                  <c:v>3.5</c:v>
                </c:pt>
                <c:pt idx="36">
                  <c:v>3.4</c:v>
                </c:pt>
                <c:pt idx="37">
                  <c:v>3.3</c:v>
                </c:pt>
                <c:pt idx="38">
                  <c:v>3.2</c:v>
                </c:pt>
                <c:pt idx="39">
                  <c:v>3.1</c:v>
                </c:pt>
                <c:pt idx="40">
                  <c:v>3</c:v>
                </c:pt>
                <c:pt idx="41">
                  <c:v>2.9</c:v>
                </c:pt>
                <c:pt idx="42">
                  <c:v>2.8</c:v>
                </c:pt>
                <c:pt idx="43">
                  <c:v>2.7</c:v>
                </c:pt>
                <c:pt idx="44">
                  <c:v>2.6</c:v>
                </c:pt>
                <c:pt idx="45">
                  <c:v>2.5</c:v>
                </c:pt>
                <c:pt idx="46">
                  <c:v>2.4</c:v>
                </c:pt>
                <c:pt idx="47">
                  <c:v>2.2999999999999998</c:v>
                </c:pt>
                <c:pt idx="48">
                  <c:v>2.2000000000000002</c:v>
                </c:pt>
                <c:pt idx="49">
                  <c:v>2.1</c:v>
                </c:pt>
                <c:pt idx="50">
                  <c:v>2</c:v>
                </c:pt>
                <c:pt idx="51">
                  <c:v>1.9</c:v>
                </c:pt>
                <c:pt idx="52">
                  <c:v>1.8</c:v>
                </c:pt>
                <c:pt idx="53">
                  <c:v>1.7</c:v>
                </c:pt>
                <c:pt idx="54">
                  <c:v>1.6</c:v>
                </c:pt>
                <c:pt idx="55">
                  <c:v>1.5</c:v>
                </c:pt>
                <c:pt idx="56">
                  <c:v>1.4</c:v>
                </c:pt>
                <c:pt idx="57">
                  <c:v>1.3</c:v>
                </c:pt>
                <c:pt idx="58">
                  <c:v>1.2</c:v>
                </c:pt>
                <c:pt idx="59">
                  <c:v>1.1000000000000001</c:v>
                </c:pt>
                <c:pt idx="60">
                  <c:v>1</c:v>
                </c:pt>
                <c:pt idx="61">
                  <c:v>0.9</c:v>
                </c:pt>
                <c:pt idx="62">
                  <c:v>0.8</c:v>
                </c:pt>
                <c:pt idx="63">
                  <c:v>0.7</c:v>
                </c:pt>
                <c:pt idx="64">
                  <c:v>0.6</c:v>
                </c:pt>
                <c:pt idx="65">
                  <c:v>0.5</c:v>
                </c:pt>
                <c:pt idx="66">
                  <c:v>0.4</c:v>
                </c:pt>
                <c:pt idx="67">
                  <c:v>0.3</c:v>
                </c:pt>
                <c:pt idx="68">
                  <c:v>0.2</c:v>
                </c:pt>
                <c:pt idx="69">
                  <c:v>0.1</c:v>
                </c:pt>
                <c:pt idx="70">
                  <c:v>0</c:v>
                </c:pt>
                <c:pt idx="71">
                  <c:v>-0.1</c:v>
                </c:pt>
                <c:pt idx="72">
                  <c:v>-0.2</c:v>
                </c:pt>
                <c:pt idx="73">
                  <c:v>-0.3</c:v>
                </c:pt>
                <c:pt idx="74">
                  <c:v>-0.4</c:v>
                </c:pt>
                <c:pt idx="75">
                  <c:v>-0.5</c:v>
                </c:pt>
                <c:pt idx="76">
                  <c:v>-0.6</c:v>
                </c:pt>
                <c:pt idx="77">
                  <c:v>-0.7</c:v>
                </c:pt>
                <c:pt idx="78">
                  <c:v>-0.8</c:v>
                </c:pt>
                <c:pt idx="79">
                  <c:v>-0.9</c:v>
                </c:pt>
                <c:pt idx="80">
                  <c:v>-1</c:v>
                </c:pt>
                <c:pt idx="81">
                  <c:v>-1.1000000000000001</c:v>
                </c:pt>
                <c:pt idx="82">
                  <c:v>-1.2</c:v>
                </c:pt>
                <c:pt idx="83">
                  <c:v>-1.3</c:v>
                </c:pt>
                <c:pt idx="84">
                  <c:v>-1.4</c:v>
                </c:pt>
                <c:pt idx="85">
                  <c:v>-1.5</c:v>
                </c:pt>
                <c:pt idx="86">
                  <c:v>-1.6</c:v>
                </c:pt>
                <c:pt idx="87">
                  <c:v>-1.7</c:v>
                </c:pt>
                <c:pt idx="88">
                  <c:v>-1.8</c:v>
                </c:pt>
                <c:pt idx="89">
                  <c:v>-1.9</c:v>
                </c:pt>
                <c:pt idx="90">
                  <c:v>-2</c:v>
                </c:pt>
                <c:pt idx="91">
                  <c:v>-2.1</c:v>
                </c:pt>
                <c:pt idx="92">
                  <c:v>-2.2000000000000002</c:v>
                </c:pt>
                <c:pt idx="93">
                  <c:v>-2.2999999999999998</c:v>
                </c:pt>
                <c:pt idx="94">
                  <c:v>-2.4</c:v>
                </c:pt>
                <c:pt idx="95">
                  <c:v>-2.5</c:v>
                </c:pt>
                <c:pt idx="96">
                  <c:v>-2.6</c:v>
                </c:pt>
                <c:pt idx="97">
                  <c:v>-2.7</c:v>
                </c:pt>
                <c:pt idx="98">
                  <c:v>-2.8</c:v>
                </c:pt>
                <c:pt idx="99">
                  <c:v>-2.9</c:v>
                </c:pt>
                <c:pt idx="100">
                  <c:v>-3</c:v>
                </c:pt>
                <c:pt idx="101">
                  <c:v>-3.1</c:v>
                </c:pt>
                <c:pt idx="102">
                  <c:v>-3.2</c:v>
                </c:pt>
                <c:pt idx="103">
                  <c:v>-3.3</c:v>
                </c:pt>
                <c:pt idx="104">
                  <c:v>-3.4</c:v>
                </c:pt>
                <c:pt idx="105">
                  <c:v>-3.5</c:v>
                </c:pt>
                <c:pt idx="106">
                  <c:v>-3.6</c:v>
                </c:pt>
                <c:pt idx="107">
                  <c:v>-3.7</c:v>
                </c:pt>
                <c:pt idx="108">
                  <c:v>-3.8</c:v>
                </c:pt>
                <c:pt idx="109">
                  <c:v>-3.9</c:v>
                </c:pt>
                <c:pt idx="110">
                  <c:v>-4</c:v>
                </c:pt>
                <c:pt idx="111">
                  <c:v>-4.0999999999999996</c:v>
                </c:pt>
                <c:pt idx="112">
                  <c:v>-4.2</c:v>
                </c:pt>
                <c:pt idx="113">
                  <c:v>-4.3</c:v>
                </c:pt>
                <c:pt idx="114">
                  <c:v>-4.4000000000000004</c:v>
                </c:pt>
                <c:pt idx="115">
                  <c:v>-4.5</c:v>
                </c:pt>
                <c:pt idx="116">
                  <c:v>-4.5999999999999996</c:v>
                </c:pt>
                <c:pt idx="117">
                  <c:v>-4.7</c:v>
                </c:pt>
                <c:pt idx="118">
                  <c:v>-4.8</c:v>
                </c:pt>
                <c:pt idx="119">
                  <c:v>-4.9000000000000004</c:v>
                </c:pt>
                <c:pt idx="120">
                  <c:v>-5</c:v>
                </c:pt>
                <c:pt idx="121">
                  <c:v>-5.0999999999999996</c:v>
                </c:pt>
                <c:pt idx="122">
                  <c:v>-5.2</c:v>
                </c:pt>
                <c:pt idx="123">
                  <c:v>-5.3</c:v>
                </c:pt>
                <c:pt idx="124">
                  <c:v>-5.4</c:v>
                </c:pt>
                <c:pt idx="125">
                  <c:v>-5.5</c:v>
                </c:pt>
                <c:pt idx="126">
                  <c:v>-5.6</c:v>
                </c:pt>
                <c:pt idx="127">
                  <c:v>-5.7</c:v>
                </c:pt>
                <c:pt idx="128">
                  <c:v>-5.8</c:v>
                </c:pt>
                <c:pt idx="129">
                  <c:v>-5.9</c:v>
                </c:pt>
                <c:pt idx="130">
                  <c:v>-6</c:v>
                </c:pt>
                <c:pt idx="131">
                  <c:v>-6.1</c:v>
                </c:pt>
                <c:pt idx="132">
                  <c:v>-6.2</c:v>
                </c:pt>
                <c:pt idx="133">
                  <c:v>-6.3</c:v>
                </c:pt>
                <c:pt idx="134">
                  <c:v>-6.4</c:v>
                </c:pt>
                <c:pt idx="135">
                  <c:v>-6.5</c:v>
                </c:pt>
                <c:pt idx="136">
                  <c:v>-6.6</c:v>
                </c:pt>
                <c:pt idx="137">
                  <c:v>-6.7</c:v>
                </c:pt>
                <c:pt idx="138">
                  <c:v>-6.8</c:v>
                </c:pt>
                <c:pt idx="139">
                  <c:v>-6.9</c:v>
                </c:pt>
                <c:pt idx="140">
                  <c:v>-7</c:v>
                </c:pt>
              </c:numCache>
            </c:numRef>
          </c:xVal>
          <c:yVal>
            <c:numRef>
              <c:f>'CS 2do sem datos'!$G$22:$G$162</c:f>
              <c:numCache>
                <c:formatCode>General</c:formatCode>
                <c:ptCount val="141"/>
                <c:pt idx="0">
                  <c:v>0</c:v>
                </c:pt>
                <c:pt idx="1">
                  <c:v>-1.1789826122551568</c:v>
                </c:pt>
                <c:pt idx="2">
                  <c:v>-1.6613247725836164</c:v>
                </c:pt>
                <c:pt idx="3">
                  <c:v>-2.027313493271329</c:v>
                </c:pt>
                <c:pt idx="4">
                  <c:v>-2.3323807579381213</c:v>
                </c:pt>
                <c:pt idx="5">
                  <c:v>-2.598076211353316</c:v>
                </c:pt>
                <c:pt idx="6">
                  <c:v>-2.8354893757515636</c:v>
                </c:pt>
                <c:pt idx="7">
                  <c:v>-3.0512292604784719</c:v>
                </c:pt>
                <c:pt idx="8">
                  <c:v>-3.2496153618543833</c:v>
                </c:pt>
                <c:pt idx="9">
                  <c:v>-3.4336569426778802</c:v>
                </c:pt>
                <c:pt idx="10">
                  <c:v>-3.6055512754639891</c:v>
                </c:pt>
                <c:pt idx="11">
                  <c:v>-3.7669616403674722</c:v>
                </c:pt>
                <c:pt idx="12">
                  <c:v>-3.9191835884530848</c:v>
                </c:pt>
                <c:pt idx="13">
                  <c:v>-4.0632499307820087</c:v>
                </c:pt>
                <c:pt idx="14">
                  <c:v>-4.2</c:v>
                </c:pt>
                <c:pt idx="15">
                  <c:v>-4.3301270189221936</c:v>
                </c:pt>
                <c:pt idx="16">
                  <c:v>-4.4542114902640169</c:v>
                </c:pt>
                <c:pt idx="17">
                  <c:v>-4.5727453460694703</c:v>
                </c:pt>
                <c:pt idx="18">
                  <c:v>-4.6861498055439927</c:v>
                </c:pt>
                <c:pt idx="19">
                  <c:v>-4.7947888378947408</c:v>
                </c:pt>
                <c:pt idx="20">
                  <c:v>-4.8989794855663558</c:v>
                </c:pt>
                <c:pt idx="21">
                  <c:v>-4.9989998999799941</c:v>
                </c:pt>
                <c:pt idx="22">
                  <c:v>-5.0950956811427988</c:v>
                </c:pt>
                <c:pt idx="23">
                  <c:v>-5.1874849397371747</c:v>
                </c:pt>
                <c:pt idx="24">
                  <c:v>-5.2763623833091682</c:v>
                </c:pt>
                <c:pt idx="25">
                  <c:v>-5.3619026473818039</c:v>
                </c:pt>
                <c:pt idx="26">
                  <c:v>-5.4442630355264798</c:v>
                </c:pt>
                <c:pt idx="27">
                  <c:v>-5.5235857918565907</c:v>
                </c:pt>
                <c:pt idx="28">
                  <c:v>-5.6</c:v>
                </c:pt>
                <c:pt idx="29">
                  <c:v>-5.6736231810017133</c:v>
                </c:pt>
                <c:pt idx="30">
                  <c:v>-5.7445626465380286</c:v>
                </c:pt>
                <c:pt idx="31">
                  <c:v>-5.8129166517334481</c:v>
                </c:pt>
                <c:pt idx="32">
                  <c:v>-5.8787753826796276</c:v>
                </c:pt>
                <c:pt idx="33">
                  <c:v>-5.9422218066982317</c:v>
                </c:pt>
                <c:pt idx="34">
                  <c:v>-6.0033324079214534</c:v>
                </c:pt>
                <c:pt idx="35">
                  <c:v>-6.0621778264910704</c:v>
                </c:pt>
                <c:pt idx="36">
                  <c:v>-6.1188234163113417</c:v>
                </c:pt>
                <c:pt idx="37">
                  <c:v>-6.1733297336202604</c:v>
                </c:pt>
                <c:pt idx="38">
                  <c:v>-6.2257529665093525</c:v>
                </c:pt>
                <c:pt idx="39">
                  <c:v>-6.2761453138052818</c:v>
                </c:pt>
                <c:pt idx="40">
                  <c:v>-6.324555320336759</c:v>
                </c:pt>
                <c:pt idx="41">
                  <c:v>-6.3710281744785906</c:v>
                </c:pt>
                <c:pt idx="42">
                  <c:v>-6.4156059729381765</c:v>
                </c:pt>
                <c:pt idx="43">
                  <c:v>-6.4583279569870093</c:v>
                </c:pt>
                <c:pt idx="44">
                  <c:v>-6.4992307237087683</c:v>
                </c:pt>
                <c:pt idx="45">
                  <c:v>-6.5383484153110105</c:v>
                </c:pt>
                <c:pt idx="46">
                  <c:v>-6.5757128891094387</c:v>
                </c:pt>
                <c:pt idx="47">
                  <c:v>-6.611353870426238</c:v>
                </c:pt>
                <c:pt idx="48">
                  <c:v>-6.6452990903344595</c:v>
                </c:pt>
                <c:pt idx="49">
                  <c:v>-6.6775744099186198</c:v>
                </c:pt>
                <c:pt idx="50">
                  <c:v>-6.7082039324993694</c:v>
                </c:pt>
                <c:pt idx="51">
                  <c:v>-6.7372101050805888</c:v>
                </c:pt>
                <c:pt idx="52">
                  <c:v>-6.7646138101151054</c:v>
                </c:pt>
                <c:pt idx="53">
                  <c:v>-6.7904344485459838</c:v>
                </c:pt>
                <c:pt idx="54">
                  <c:v>-6.8146900149603278</c:v>
                </c:pt>
                <c:pt idx="55">
                  <c:v>-6.8373971655886718</c:v>
                </c:pt>
                <c:pt idx="56">
                  <c:v>-6.8585712797928986</c:v>
                </c:pt>
                <c:pt idx="57">
                  <c:v>-6.8782265156070572</c:v>
                </c:pt>
                <c:pt idx="58">
                  <c:v>-6.8963758598266676</c:v>
                </c:pt>
                <c:pt idx="59">
                  <c:v>-6.9130311730817473</c:v>
                </c:pt>
                <c:pt idx="60">
                  <c:v>-6.9282032302755088</c:v>
                </c:pt>
                <c:pt idx="61">
                  <c:v>-6.9419017567234409</c:v>
                </c:pt>
                <c:pt idx="62">
                  <c:v>-6.9541354602854843</c:v>
                </c:pt>
                <c:pt idx="63">
                  <c:v>-6.9649120597463394</c:v>
                </c:pt>
                <c:pt idx="64">
                  <c:v>-6.9742383096650773</c:v>
                </c:pt>
                <c:pt idx="65">
                  <c:v>-6.9821200218844703</c:v>
                </c:pt>
                <c:pt idx="66">
                  <c:v>-6.9885620838624591</c:v>
                </c:pt>
                <c:pt idx="67">
                  <c:v>-6.9935684739623447</c:v>
                </c:pt>
                <c:pt idx="68">
                  <c:v>-6.9971422738143607</c:v>
                </c:pt>
                <c:pt idx="69">
                  <c:v>-6.9992856778388468</c:v>
                </c:pt>
                <c:pt idx="70">
                  <c:v>-7</c:v>
                </c:pt>
                <c:pt idx="71">
                  <c:v>-6.9992856778388468</c:v>
                </c:pt>
                <c:pt idx="72">
                  <c:v>-6.9971422738143607</c:v>
                </c:pt>
                <c:pt idx="73">
                  <c:v>-6.9935684739623447</c:v>
                </c:pt>
                <c:pt idx="74">
                  <c:v>-6.9885620838624591</c:v>
                </c:pt>
                <c:pt idx="75">
                  <c:v>-6.9821200218844703</c:v>
                </c:pt>
                <c:pt idx="76">
                  <c:v>-6.9742383096650773</c:v>
                </c:pt>
                <c:pt idx="77">
                  <c:v>-6.9649120597463394</c:v>
                </c:pt>
                <c:pt idx="78">
                  <c:v>-6.9541354602854843</c:v>
                </c:pt>
                <c:pt idx="79">
                  <c:v>-6.9419017567234409</c:v>
                </c:pt>
                <c:pt idx="80">
                  <c:v>-6.9282032302755088</c:v>
                </c:pt>
                <c:pt idx="81">
                  <c:v>-6.9130311730817473</c:v>
                </c:pt>
                <c:pt idx="82">
                  <c:v>-6.8963758598266676</c:v>
                </c:pt>
                <c:pt idx="83">
                  <c:v>-6.8782265156070572</c:v>
                </c:pt>
                <c:pt idx="84">
                  <c:v>-6.8585712797928986</c:v>
                </c:pt>
                <c:pt idx="85">
                  <c:v>-6.8373971655886718</c:v>
                </c:pt>
                <c:pt idx="86">
                  <c:v>-6.8146900149603278</c:v>
                </c:pt>
                <c:pt idx="87">
                  <c:v>-6.7904344485459838</c:v>
                </c:pt>
                <c:pt idx="88">
                  <c:v>-6.7646138101151054</c:v>
                </c:pt>
                <c:pt idx="89">
                  <c:v>-6.7372101050805888</c:v>
                </c:pt>
                <c:pt idx="90">
                  <c:v>-6.7082039324993694</c:v>
                </c:pt>
                <c:pt idx="91">
                  <c:v>-6.6775744099186198</c:v>
                </c:pt>
                <c:pt idx="92">
                  <c:v>-6.6452990903344595</c:v>
                </c:pt>
                <c:pt idx="93">
                  <c:v>-6.611353870426238</c:v>
                </c:pt>
                <c:pt idx="94">
                  <c:v>-6.5757128891094387</c:v>
                </c:pt>
                <c:pt idx="95">
                  <c:v>-6.5383484153110105</c:v>
                </c:pt>
                <c:pt idx="96">
                  <c:v>-6.4992307237087683</c:v>
                </c:pt>
                <c:pt idx="97">
                  <c:v>-6.4583279569870093</c:v>
                </c:pt>
                <c:pt idx="98">
                  <c:v>-6.4156059729381765</c:v>
                </c:pt>
                <c:pt idx="99">
                  <c:v>-6.3710281744785906</c:v>
                </c:pt>
                <c:pt idx="100">
                  <c:v>-6.324555320336759</c:v>
                </c:pt>
                <c:pt idx="101">
                  <c:v>-6.2761453138052818</c:v>
                </c:pt>
                <c:pt idx="102">
                  <c:v>-6.2257529665093525</c:v>
                </c:pt>
                <c:pt idx="103">
                  <c:v>-6.1733297336202604</c:v>
                </c:pt>
                <c:pt idx="104">
                  <c:v>-6.1188234163113417</c:v>
                </c:pt>
                <c:pt idx="105">
                  <c:v>-6.0621778264910704</c:v>
                </c:pt>
                <c:pt idx="106">
                  <c:v>-6.0033324079214534</c:v>
                </c:pt>
                <c:pt idx="107">
                  <c:v>-5.9422218066982317</c:v>
                </c:pt>
                <c:pt idx="108">
                  <c:v>-5.8787753826796276</c:v>
                </c:pt>
                <c:pt idx="109">
                  <c:v>-5.8129166517334481</c:v>
                </c:pt>
                <c:pt idx="110">
                  <c:v>-5.7445626465380286</c:v>
                </c:pt>
                <c:pt idx="111">
                  <c:v>-5.6736231810017133</c:v>
                </c:pt>
                <c:pt idx="112">
                  <c:v>-5.6</c:v>
                </c:pt>
                <c:pt idx="113">
                  <c:v>-5.5235857918565907</c:v>
                </c:pt>
                <c:pt idx="114">
                  <c:v>-5.4442630355264798</c:v>
                </c:pt>
                <c:pt idx="115">
                  <c:v>-5.3619026473818039</c:v>
                </c:pt>
                <c:pt idx="116">
                  <c:v>-5.2763623833091682</c:v>
                </c:pt>
                <c:pt idx="117">
                  <c:v>-5.1874849397371747</c:v>
                </c:pt>
                <c:pt idx="118">
                  <c:v>-5.0950956811427988</c:v>
                </c:pt>
                <c:pt idx="119">
                  <c:v>-4.9989998999799941</c:v>
                </c:pt>
                <c:pt idx="120">
                  <c:v>-4.8989794855663558</c:v>
                </c:pt>
                <c:pt idx="121">
                  <c:v>-4.7947888378947408</c:v>
                </c:pt>
                <c:pt idx="122">
                  <c:v>-4.6861498055439927</c:v>
                </c:pt>
                <c:pt idx="123">
                  <c:v>-4.5727453460694703</c:v>
                </c:pt>
                <c:pt idx="124">
                  <c:v>-4.4542114902640169</c:v>
                </c:pt>
                <c:pt idx="125">
                  <c:v>-4.3301270189221936</c:v>
                </c:pt>
                <c:pt idx="126">
                  <c:v>-4.2</c:v>
                </c:pt>
                <c:pt idx="127">
                  <c:v>-4.0632499307820087</c:v>
                </c:pt>
                <c:pt idx="128">
                  <c:v>-3.9191835884530848</c:v>
                </c:pt>
                <c:pt idx="129">
                  <c:v>-3.7669616403674722</c:v>
                </c:pt>
                <c:pt idx="130">
                  <c:v>-3.6055512754639891</c:v>
                </c:pt>
                <c:pt idx="131">
                  <c:v>-3.4336569426778802</c:v>
                </c:pt>
                <c:pt idx="132">
                  <c:v>-3.2496153618543833</c:v>
                </c:pt>
                <c:pt idx="133">
                  <c:v>-3.0512292604784719</c:v>
                </c:pt>
                <c:pt idx="134">
                  <c:v>-2.8354893757515636</c:v>
                </c:pt>
                <c:pt idx="135">
                  <c:v>-2.598076211353316</c:v>
                </c:pt>
                <c:pt idx="136">
                  <c:v>-2.3323807579381213</c:v>
                </c:pt>
                <c:pt idx="137">
                  <c:v>-2.027313493271329</c:v>
                </c:pt>
                <c:pt idx="138">
                  <c:v>-1.6613247725836164</c:v>
                </c:pt>
                <c:pt idx="139">
                  <c:v>-1.1789826122551568</c:v>
                </c:pt>
                <c:pt idx="140">
                  <c:v>0</c:v>
                </c:pt>
              </c:numCache>
            </c:numRef>
          </c:yVal>
          <c:smooth val="1"/>
        </c:ser>
        <c:ser>
          <c:idx val="85"/>
          <c:order val="20"/>
          <c:spPr>
            <a:ln w="1905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'CS 2do sem datos'!$A$32:$A$152</c:f>
              <c:numCache>
                <c:formatCode>General</c:formatCode>
                <c:ptCount val="121"/>
                <c:pt idx="0">
                  <c:v>6</c:v>
                </c:pt>
                <c:pt idx="1">
                  <c:v>5.9</c:v>
                </c:pt>
                <c:pt idx="2">
                  <c:v>5.8</c:v>
                </c:pt>
                <c:pt idx="3">
                  <c:v>5.7</c:v>
                </c:pt>
                <c:pt idx="4">
                  <c:v>5.6</c:v>
                </c:pt>
                <c:pt idx="5">
                  <c:v>5.5</c:v>
                </c:pt>
                <c:pt idx="6">
                  <c:v>5.4</c:v>
                </c:pt>
                <c:pt idx="7">
                  <c:v>5.3</c:v>
                </c:pt>
                <c:pt idx="8">
                  <c:v>5.2</c:v>
                </c:pt>
                <c:pt idx="9">
                  <c:v>5.0999999999999996</c:v>
                </c:pt>
                <c:pt idx="10">
                  <c:v>5</c:v>
                </c:pt>
                <c:pt idx="11">
                  <c:v>4.9000000000000004</c:v>
                </c:pt>
                <c:pt idx="12">
                  <c:v>4.8</c:v>
                </c:pt>
                <c:pt idx="13">
                  <c:v>4.7</c:v>
                </c:pt>
                <c:pt idx="14">
                  <c:v>4.5999999999999996</c:v>
                </c:pt>
                <c:pt idx="15">
                  <c:v>4.5</c:v>
                </c:pt>
                <c:pt idx="16">
                  <c:v>4.4000000000000004</c:v>
                </c:pt>
                <c:pt idx="17">
                  <c:v>4.3</c:v>
                </c:pt>
                <c:pt idx="18">
                  <c:v>4.2</c:v>
                </c:pt>
                <c:pt idx="19">
                  <c:v>4.0999999999999996</c:v>
                </c:pt>
                <c:pt idx="20">
                  <c:v>4</c:v>
                </c:pt>
                <c:pt idx="21">
                  <c:v>3.9</c:v>
                </c:pt>
                <c:pt idx="22">
                  <c:v>3.8</c:v>
                </c:pt>
                <c:pt idx="23">
                  <c:v>3.7</c:v>
                </c:pt>
                <c:pt idx="24">
                  <c:v>3.6</c:v>
                </c:pt>
                <c:pt idx="25">
                  <c:v>3.5</c:v>
                </c:pt>
                <c:pt idx="26">
                  <c:v>3.4</c:v>
                </c:pt>
                <c:pt idx="27">
                  <c:v>3.3</c:v>
                </c:pt>
                <c:pt idx="28">
                  <c:v>3.2</c:v>
                </c:pt>
                <c:pt idx="29">
                  <c:v>3.1</c:v>
                </c:pt>
                <c:pt idx="30">
                  <c:v>3</c:v>
                </c:pt>
                <c:pt idx="31">
                  <c:v>2.9</c:v>
                </c:pt>
                <c:pt idx="32">
                  <c:v>2.8</c:v>
                </c:pt>
                <c:pt idx="33">
                  <c:v>2.7</c:v>
                </c:pt>
                <c:pt idx="34">
                  <c:v>2.6</c:v>
                </c:pt>
                <c:pt idx="35">
                  <c:v>2.5</c:v>
                </c:pt>
                <c:pt idx="36">
                  <c:v>2.4</c:v>
                </c:pt>
                <c:pt idx="37">
                  <c:v>2.2999999999999998</c:v>
                </c:pt>
                <c:pt idx="38">
                  <c:v>2.2000000000000002</c:v>
                </c:pt>
                <c:pt idx="39">
                  <c:v>2.1</c:v>
                </c:pt>
                <c:pt idx="40">
                  <c:v>2</c:v>
                </c:pt>
                <c:pt idx="41">
                  <c:v>1.9</c:v>
                </c:pt>
                <c:pt idx="42">
                  <c:v>1.8</c:v>
                </c:pt>
                <c:pt idx="43">
                  <c:v>1.7</c:v>
                </c:pt>
                <c:pt idx="44">
                  <c:v>1.6</c:v>
                </c:pt>
                <c:pt idx="45">
                  <c:v>1.5</c:v>
                </c:pt>
                <c:pt idx="46">
                  <c:v>1.4</c:v>
                </c:pt>
                <c:pt idx="47">
                  <c:v>1.3</c:v>
                </c:pt>
                <c:pt idx="48">
                  <c:v>1.2</c:v>
                </c:pt>
                <c:pt idx="49">
                  <c:v>1.1000000000000001</c:v>
                </c:pt>
                <c:pt idx="50">
                  <c:v>1</c:v>
                </c:pt>
                <c:pt idx="51">
                  <c:v>0.9</c:v>
                </c:pt>
                <c:pt idx="52">
                  <c:v>0.8</c:v>
                </c:pt>
                <c:pt idx="53">
                  <c:v>0.7</c:v>
                </c:pt>
                <c:pt idx="54">
                  <c:v>0.6</c:v>
                </c:pt>
                <c:pt idx="55">
                  <c:v>0.5</c:v>
                </c:pt>
                <c:pt idx="56">
                  <c:v>0.4</c:v>
                </c:pt>
                <c:pt idx="57">
                  <c:v>0.3</c:v>
                </c:pt>
                <c:pt idx="58">
                  <c:v>0.2</c:v>
                </c:pt>
                <c:pt idx="59">
                  <c:v>0.1</c:v>
                </c:pt>
                <c:pt idx="60">
                  <c:v>0</c:v>
                </c:pt>
                <c:pt idx="61">
                  <c:v>-0.1</c:v>
                </c:pt>
                <c:pt idx="62">
                  <c:v>-0.2</c:v>
                </c:pt>
                <c:pt idx="63">
                  <c:v>-0.3</c:v>
                </c:pt>
                <c:pt idx="64">
                  <c:v>-0.4</c:v>
                </c:pt>
                <c:pt idx="65">
                  <c:v>-0.5</c:v>
                </c:pt>
                <c:pt idx="66">
                  <c:v>-0.6</c:v>
                </c:pt>
                <c:pt idx="67">
                  <c:v>-0.7</c:v>
                </c:pt>
                <c:pt idx="68">
                  <c:v>-0.8</c:v>
                </c:pt>
                <c:pt idx="69">
                  <c:v>-0.9</c:v>
                </c:pt>
                <c:pt idx="70">
                  <c:v>-1</c:v>
                </c:pt>
                <c:pt idx="71">
                  <c:v>-1.1000000000000001</c:v>
                </c:pt>
                <c:pt idx="72">
                  <c:v>-1.2</c:v>
                </c:pt>
                <c:pt idx="73">
                  <c:v>-1.3</c:v>
                </c:pt>
                <c:pt idx="74">
                  <c:v>-1.4</c:v>
                </c:pt>
                <c:pt idx="75">
                  <c:v>-1.5</c:v>
                </c:pt>
                <c:pt idx="76">
                  <c:v>-1.6</c:v>
                </c:pt>
                <c:pt idx="77">
                  <c:v>-1.7</c:v>
                </c:pt>
                <c:pt idx="78">
                  <c:v>-1.8</c:v>
                </c:pt>
                <c:pt idx="79">
                  <c:v>-1.9</c:v>
                </c:pt>
                <c:pt idx="80">
                  <c:v>-2</c:v>
                </c:pt>
                <c:pt idx="81">
                  <c:v>-2.1</c:v>
                </c:pt>
                <c:pt idx="82">
                  <c:v>-2.2000000000000002</c:v>
                </c:pt>
                <c:pt idx="83">
                  <c:v>-2.2999999999999998</c:v>
                </c:pt>
                <c:pt idx="84">
                  <c:v>-2.4</c:v>
                </c:pt>
                <c:pt idx="85">
                  <c:v>-2.5</c:v>
                </c:pt>
                <c:pt idx="86">
                  <c:v>-2.6</c:v>
                </c:pt>
                <c:pt idx="87">
                  <c:v>-2.7</c:v>
                </c:pt>
                <c:pt idx="88">
                  <c:v>-2.8</c:v>
                </c:pt>
                <c:pt idx="89">
                  <c:v>-2.9</c:v>
                </c:pt>
                <c:pt idx="90">
                  <c:v>-3</c:v>
                </c:pt>
                <c:pt idx="91">
                  <c:v>-3.1</c:v>
                </c:pt>
                <c:pt idx="92">
                  <c:v>-3.2</c:v>
                </c:pt>
                <c:pt idx="93">
                  <c:v>-3.3</c:v>
                </c:pt>
                <c:pt idx="94">
                  <c:v>-3.4</c:v>
                </c:pt>
                <c:pt idx="95">
                  <c:v>-3.5</c:v>
                </c:pt>
                <c:pt idx="96">
                  <c:v>-3.6</c:v>
                </c:pt>
                <c:pt idx="97">
                  <c:v>-3.7</c:v>
                </c:pt>
                <c:pt idx="98">
                  <c:v>-3.8</c:v>
                </c:pt>
                <c:pt idx="99">
                  <c:v>-3.9</c:v>
                </c:pt>
                <c:pt idx="100">
                  <c:v>-4</c:v>
                </c:pt>
                <c:pt idx="101">
                  <c:v>-4.0999999999999996</c:v>
                </c:pt>
                <c:pt idx="102">
                  <c:v>-4.2</c:v>
                </c:pt>
                <c:pt idx="103">
                  <c:v>-4.3</c:v>
                </c:pt>
                <c:pt idx="104">
                  <c:v>-4.4000000000000004</c:v>
                </c:pt>
                <c:pt idx="105">
                  <c:v>-4.5</c:v>
                </c:pt>
                <c:pt idx="106">
                  <c:v>-4.5999999999999996</c:v>
                </c:pt>
                <c:pt idx="107">
                  <c:v>-4.7</c:v>
                </c:pt>
                <c:pt idx="108">
                  <c:v>-4.8</c:v>
                </c:pt>
                <c:pt idx="109">
                  <c:v>-4.9000000000000004</c:v>
                </c:pt>
                <c:pt idx="110">
                  <c:v>-5</c:v>
                </c:pt>
                <c:pt idx="111">
                  <c:v>-5.0999999999999996</c:v>
                </c:pt>
                <c:pt idx="112">
                  <c:v>-5.2</c:v>
                </c:pt>
                <c:pt idx="113">
                  <c:v>-5.3</c:v>
                </c:pt>
                <c:pt idx="114">
                  <c:v>-5.4</c:v>
                </c:pt>
                <c:pt idx="115">
                  <c:v>-5.5</c:v>
                </c:pt>
                <c:pt idx="116">
                  <c:v>-5.6</c:v>
                </c:pt>
                <c:pt idx="117">
                  <c:v>-5.7</c:v>
                </c:pt>
                <c:pt idx="118">
                  <c:v>-5.8</c:v>
                </c:pt>
                <c:pt idx="119">
                  <c:v>-5.9</c:v>
                </c:pt>
                <c:pt idx="120">
                  <c:v>-6</c:v>
                </c:pt>
              </c:numCache>
            </c:numRef>
          </c:xVal>
          <c:yVal>
            <c:numRef>
              <c:f>'CS 2do sem datos'!$H$32:$H$152</c:f>
              <c:numCache>
                <c:formatCode>General</c:formatCode>
                <c:ptCount val="121"/>
                <c:pt idx="0">
                  <c:v>0</c:v>
                </c:pt>
                <c:pt idx="1">
                  <c:v>1.0908712114635704</c:v>
                </c:pt>
                <c:pt idx="2">
                  <c:v>1.5362291495737215</c:v>
                </c:pt>
                <c:pt idx="3">
                  <c:v>1.8734993995195188</c:v>
                </c:pt>
                <c:pt idx="4">
                  <c:v>2.1540659228538024</c:v>
                </c:pt>
                <c:pt idx="5">
                  <c:v>2.3979157616563596</c:v>
                </c:pt>
                <c:pt idx="6">
                  <c:v>2.6153393661244033</c:v>
                </c:pt>
                <c:pt idx="7">
                  <c:v>2.8124722220850469</c:v>
                </c:pt>
                <c:pt idx="8">
                  <c:v>2.9933259094191524</c:v>
                </c:pt>
                <c:pt idx="9">
                  <c:v>3.1606961258558219</c:v>
                </c:pt>
                <c:pt idx="10">
                  <c:v>3.3166247903553998</c:v>
                </c:pt>
                <c:pt idx="11">
                  <c:v>3.4626579386361565</c:v>
                </c:pt>
                <c:pt idx="12">
                  <c:v>3.6</c:v>
                </c:pt>
                <c:pt idx="13">
                  <c:v>3.7296112397943029</c:v>
                </c:pt>
                <c:pt idx="14">
                  <c:v>3.8522720568516449</c:v>
                </c:pt>
                <c:pt idx="15">
                  <c:v>3.9686269665968861</c:v>
                </c:pt>
                <c:pt idx="16">
                  <c:v>4.0792156108742272</c:v>
                </c:pt>
                <c:pt idx="17">
                  <c:v>4.1844951905815355</c:v>
                </c:pt>
                <c:pt idx="18">
                  <c:v>4.2848570571257101</c:v>
                </c:pt>
                <c:pt idx="19">
                  <c:v>4.3806392227619018</c:v>
                </c:pt>
                <c:pt idx="20">
                  <c:v>4.4721359549995796</c:v>
                </c:pt>
                <c:pt idx="21">
                  <c:v>4.5596052460711993</c:v>
                </c:pt>
                <c:pt idx="22">
                  <c:v>4.6432747064975599</c:v>
                </c:pt>
                <c:pt idx="23">
                  <c:v>4.7233462714478174</c:v>
                </c:pt>
                <c:pt idx="24">
                  <c:v>4.8</c:v>
                </c:pt>
                <c:pt idx="25">
                  <c:v>4.8733971724044816</c:v>
                </c:pt>
                <c:pt idx="26">
                  <c:v>4.9436828377233102</c:v>
                </c:pt>
                <c:pt idx="27">
                  <c:v>5.0109879265470196</c:v>
                </c:pt>
                <c:pt idx="28">
                  <c:v>5.0754310161798077</c:v>
                </c:pt>
                <c:pt idx="29">
                  <c:v>5.1371198156165292</c:v>
                </c:pt>
                <c:pt idx="30">
                  <c:v>5.196152422706632</c:v>
                </c:pt>
                <c:pt idx="31">
                  <c:v>5.2526183946675582</c:v>
                </c:pt>
                <c:pt idx="32">
                  <c:v>5.3065996645686395</c:v>
                </c:pt>
                <c:pt idx="33">
                  <c:v>5.3581713298475258</c:v>
                </c:pt>
                <c:pt idx="34">
                  <c:v>5.4074023338383093</c:v>
                </c:pt>
                <c:pt idx="35">
                  <c:v>5.4543560573178569</c:v>
                </c:pt>
                <c:pt idx="36">
                  <c:v>5.4990908339470082</c:v>
                </c:pt>
                <c:pt idx="37">
                  <c:v>5.5416604009989641</c:v>
                </c:pt>
                <c:pt idx="38">
                  <c:v>5.5821142947811451</c:v>
                </c:pt>
                <c:pt idx="39">
                  <c:v>5.6204981985585585</c:v>
                </c:pt>
                <c:pt idx="40">
                  <c:v>5.6568542494923806</c:v>
                </c:pt>
                <c:pt idx="41">
                  <c:v>5.6912213100528781</c:v>
                </c:pt>
                <c:pt idx="42">
                  <c:v>5.7236352085016735</c:v>
                </c:pt>
                <c:pt idx="43">
                  <c:v>5.7541289523263206</c:v>
                </c:pt>
                <c:pt idx="44">
                  <c:v>5.7827329179203844</c:v>
                </c:pt>
                <c:pt idx="45">
                  <c:v>5.8094750193111251</c:v>
                </c:pt>
                <c:pt idx="46">
                  <c:v>5.8343808583259289</c:v>
                </c:pt>
                <c:pt idx="47">
                  <c:v>5.8574738582429884</c:v>
                </c:pt>
                <c:pt idx="48">
                  <c:v>5.8787753826796276</c:v>
                </c:pt>
                <c:pt idx="49">
                  <c:v>5.8983048412234513</c:v>
                </c:pt>
                <c:pt idx="50">
                  <c:v>5.9160797830996161</c:v>
                </c:pt>
                <c:pt idx="51">
                  <c:v>5.9321159799855563</c:v>
                </c:pt>
                <c:pt idx="52">
                  <c:v>5.9464274989274024</c:v>
                </c:pt>
                <c:pt idx="53">
                  <c:v>5.9590267661758327</c:v>
                </c:pt>
                <c:pt idx="54">
                  <c:v>5.96992462263972</c:v>
                </c:pt>
                <c:pt idx="55">
                  <c:v>5.9791303715506992</c:v>
                </c:pt>
                <c:pt idx="56">
                  <c:v>5.9866518188383067</c:v>
                </c:pt>
                <c:pt idx="57">
                  <c:v>5.9924953066314535</c:v>
                </c:pt>
                <c:pt idx="58">
                  <c:v>5.9966657402259802</c:v>
                </c:pt>
                <c:pt idx="59">
                  <c:v>5.9991666087882578</c:v>
                </c:pt>
                <c:pt idx="60">
                  <c:v>6</c:v>
                </c:pt>
                <c:pt idx="61">
                  <c:v>5.9991666087882578</c:v>
                </c:pt>
                <c:pt idx="62">
                  <c:v>5.9966657402259802</c:v>
                </c:pt>
                <c:pt idx="63">
                  <c:v>5.9924953066314535</c:v>
                </c:pt>
                <c:pt idx="64">
                  <c:v>5.9866518188383067</c:v>
                </c:pt>
                <c:pt idx="65">
                  <c:v>5.9791303715506992</c:v>
                </c:pt>
                <c:pt idx="66">
                  <c:v>5.96992462263972</c:v>
                </c:pt>
                <c:pt idx="67">
                  <c:v>5.9590267661758327</c:v>
                </c:pt>
                <c:pt idx="68">
                  <c:v>5.9464274989274024</c:v>
                </c:pt>
                <c:pt idx="69">
                  <c:v>5.9321159799855563</c:v>
                </c:pt>
                <c:pt idx="70">
                  <c:v>5.9160797830996161</c:v>
                </c:pt>
                <c:pt idx="71">
                  <c:v>5.8983048412234513</c:v>
                </c:pt>
                <c:pt idx="72">
                  <c:v>5.8787753826796276</c:v>
                </c:pt>
                <c:pt idx="73">
                  <c:v>5.8574738582429884</c:v>
                </c:pt>
                <c:pt idx="74">
                  <c:v>5.8343808583259289</c:v>
                </c:pt>
                <c:pt idx="75">
                  <c:v>5.8094750193111251</c:v>
                </c:pt>
                <c:pt idx="76">
                  <c:v>5.7827329179203844</c:v>
                </c:pt>
                <c:pt idx="77">
                  <c:v>5.7541289523263206</c:v>
                </c:pt>
                <c:pt idx="78">
                  <c:v>5.7236352085016735</c:v>
                </c:pt>
                <c:pt idx="79">
                  <c:v>5.6912213100528781</c:v>
                </c:pt>
                <c:pt idx="80">
                  <c:v>5.6568542494923806</c:v>
                </c:pt>
                <c:pt idx="81">
                  <c:v>5.6204981985585585</c:v>
                </c:pt>
                <c:pt idx="82">
                  <c:v>5.5821142947811451</c:v>
                </c:pt>
                <c:pt idx="83">
                  <c:v>5.5416604009989641</c:v>
                </c:pt>
                <c:pt idx="84">
                  <c:v>5.4990908339470082</c:v>
                </c:pt>
                <c:pt idx="85">
                  <c:v>5.4543560573178569</c:v>
                </c:pt>
                <c:pt idx="86">
                  <c:v>5.4074023338383093</c:v>
                </c:pt>
                <c:pt idx="87">
                  <c:v>5.3581713298475258</c:v>
                </c:pt>
                <c:pt idx="88">
                  <c:v>5.3065996645686395</c:v>
                </c:pt>
                <c:pt idx="89">
                  <c:v>5.2526183946675582</c:v>
                </c:pt>
                <c:pt idx="90">
                  <c:v>5.196152422706632</c:v>
                </c:pt>
                <c:pt idx="91">
                  <c:v>5.1371198156165292</c:v>
                </c:pt>
                <c:pt idx="92">
                  <c:v>5.0754310161798077</c:v>
                </c:pt>
                <c:pt idx="93">
                  <c:v>5.0109879265470196</c:v>
                </c:pt>
                <c:pt idx="94">
                  <c:v>4.9436828377233102</c:v>
                </c:pt>
                <c:pt idx="95">
                  <c:v>4.8733971724044816</c:v>
                </c:pt>
                <c:pt idx="96">
                  <c:v>4.8</c:v>
                </c:pt>
                <c:pt idx="97">
                  <c:v>4.7233462714478174</c:v>
                </c:pt>
                <c:pt idx="98">
                  <c:v>4.6432747064975599</c:v>
                </c:pt>
                <c:pt idx="99">
                  <c:v>4.5596052460711993</c:v>
                </c:pt>
                <c:pt idx="100">
                  <c:v>4.4721359549995796</c:v>
                </c:pt>
                <c:pt idx="101">
                  <c:v>4.3806392227619018</c:v>
                </c:pt>
                <c:pt idx="102">
                  <c:v>4.2848570571257101</c:v>
                </c:pt>
                <c:pt idx="103">
                  <c:v>4.1844951905815355</c:v>
                </c:pt>
                <c:pt idx="104">
                  <c:v>4.0792156108742272</c:v>
                </c:pt>
                <c:pt idx="105">
                  <c:v>3.9686269665968861</c:v>
                </c:pt>
                <c:pt idx="106">
                  <c:v>3.8522720568516449</c:v>
                </c:pt>
                <c:pt idx="107">
                  <c:v>3.7296112397943029</c:v>
                </c:pt>
                <c:pt idx="108">
                  <c:v>3.6</c:v>
                </c:pt>
                <c:pt idx="109">
                  <c:v>3.4626579386361565</c:v>
                </c:pt>
                <c:pt idx="110">
                  <c:v>3.3166247903553998</c:v>
                </c:pt>
                <c:pt idx="111">
                  <c:v>3.1606961258558219</c:v>
                </c:pt>
                <c:pt idx="112">
                  <c:v>2.9933259094191524</c:v>
                </c:pt>
                <c:pt idx="113">
                  <c:v>2.8124722220850469</c:v>
                </c:pt>
                <c:pt idx="114">
                  <c:v>2.6153393661244033</c:v>
                </c:pt>
                <c:pt idx="115">
                  <c:v>2.3979157616563596</c:v>
                </c:pt>
                <c:pt idx="116">
                  <c:v>2.1540659228538024</c:v>
                </c:pt>
                <c:pt idx="117">
                  <c:v>1.8734993995195188</c:v>
                </c:pt>
                <c:pt idx="118">
                  <c:v>1.5362291495737215</c:v>
                </c:pt>
                <c:pt idx="119">
                  <c:v>1.0908712114635704</c:v>
                </c:pt>
                <c:pt idx="120">
                  <c:v>0</c:v>
                </c:pt>
              </c:numCache>
            </c:numRef>
          </c:yVal>
          <c:smooth val="1"/>
        </c:ser>
        <c:ser>
          <c:idx val="86"/>
          <c:order val="21"/>
          <c:spPr>
            <a:ln w="1905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'CS 2do sem datos'!$A$32:$A$152</c:f>
              <c:numCache>
                <c:formatCode>General</c:formatCode>
                <c:ptCount val="121"/>
                <c:pt idx="0">
                  <c:v>6</c:v>
                </c:pt>
                <c:pt idx="1">
                  <c:v>5.9</c:v>
                </c:pt>
                <c:pt idx="2">
                  <c:v>5.8</c:v>
                </c:pt>
                <c:pt idx="3">
                  <c:v>5.7</c:v>
                </c:pt>
                <c:pt idx="4">
                  <c:v>5.6</c:v>
                </c:pt>
                <c:pt idx="5">
                  <c:v>5.5</c:v>
                </c:pt>
                <c:pt idx="6">
                  <c:v>5.4</c:v>
                </c:pt>
                <c:pt idx="7">
                  <c:v>5.3</c:v>
                </c:pt>
                <c:pt idx="8">
                  <c:v>5.2</c:v>
                </c:pt>
                <c:pt idx="9">
                  <c:v>5.0999999999999996</c:v>
                </c:pt>
                <c:pt idx="10">
                  <c:v>5</c:v>
                </c:pt>
                <c:pt idx="11">
                  <c:v>4.9000000000000004</c:v>
                </c:pt>
                <c:pt idx="12">
                  <c:v>4.8</c:v>
                </c:pt>
                <c:pt idx="13">
                  <c:v>4.7</c:v>
                </c:pt>
                <c:pt idx="14">
                  <c:v>4.5999999999999996</c:v>
                </c:pt>
                <c:pt idx="15">
                  <c:v>4.5</c:v>
                </c:pt>
                <c:pt idx="16">
                  <c:v>4.4000000000000004</c:v>
                </c:pt>
                <c:pt idx="17">
                  <c:v>4.3</c:v>
                </c:pt>
                <c:pt idx="18">
                  <c:v>4.2</c:v>
                </c:pt>
                <c:pt idx="19">
                  <c:v>4.0999999999999996</c:v>
                </c:pt>
                <c:pt idx="20">
                  <c:v>4</c:v>
                </c:pt>
                <c:pt idx="21">
                  <c:v>3.9</c:v>
                </c:pt>
                <c:pt idx="22">
                  <c:v>3.8</c:v>
                </c:pt>
                <c:pt idx="23">
                  <c:v>3.7</c:v>
                </c:pt>
                <c:pt idx="24">
                  <c:v>3.6</c:v>
                </c:pt>
                <c:pt idx="25">
                  <c:v>3.5</c:v>
                </c:pt>
                <c:pt idx="26">
                  <c:v>3.4</c:v>
                </c:pt>
                <c:pt idx="27">
                  <c:v>3.3</c:v>
                </c:pt>
                <c:pt idx="28">
                  <c:v>3.2</c:v>
                </c:pt>
                <c:pt idx="29">
                  <c:v>3.1</c:v>
                </c:pt>
                <c:pt idx="30">
                  <c:v>3</c:v>
                </c:pt>
                <c:pt idx="31">
                  <c:v>2.9</c:v>
                </c:pt>
                <c:pt idx="32">
                  <c:v>2.8</c:v>
                </c:pt>
                <c:pt idx="33">
                  <c:v>2.7</c:v>
                </c:pt>
                <c:pt idx="34">
                  <c:v>2.6</c:v>
                </c:pt>
                <c:pt idx="35">
                  <c:v>2.5</c:v>
                </c:pt>
                <c:pt idx="36">
                  <c:v>2.4</c:v>
                </c:pt>
                <c:pt idx="37">
                  <c:v>2.2999999999999998</c:v>
                </c:pt>
                <c:pt idx="38">
                  <c:v>2.2000000000000002</c:v>
                </c:pt>
                <c:pt idx="39">
                  <c:v>2.1</c:v>
                </c:pt>
                <c:pt idx="40">
                  <c:v>2</c:v>
                </c:pt>
                <c:pt idx="41">
                  <c:v>1.9</c:v>
                </c:pt>
                <c:pt idx="42">
                  <c:v>1.8</c:v>
                </c:pt>
                <c:pt idx="43">
                  <c:v>1.7</c:v>
                </c:pt>
                <c:pt idx="44">
                  <c:v>1.6</c:v>
                </c:pt>
                <c:pt idx="45">
                  <c:v>1.5</c:v>
                </c:pt>
                <c:pt idx="46">
                  <c:v>1.4</c:v>
                </c:pt>
                <c:pt idx="47">
                  <c:v>1.3</c:v>
                </c:pt>
                <c:pt idx="48">
                  <c:v>1.2</c:v>
                </c:pt>
                <c:pt idx="49">
                  <c:v>1.1000000000000001</c:v>
                </c:pt>
                <c:pt idx="50">
                  <c:v>1</c:v>
                </c:pt>
                <c:pt idx="51">
                  <c:v>0.9</c:v>
                </c:pt>
                <c:pt idx="52">
                  <c:v>0.8</c:v>
                </c:pt>
                <c:pt idx="53">
                  <c:v>0.7</c:v>
                </c:pt>
                <c:pt idx="54">
                  <c:v>0.6</c:v>
                </c:pt>
                <c:pt idx="55">
                  <c:v>0.5</c:v>
                </c:pt>
                <c:pt idx="56">
                  <c:v>0.4</c:v>
                </c:pt>
                <c:pt idx="57">
                  <c:v>0.3</c:v>
                </c:pt>
                <c:pt idx="58">
                  <c:v>0.2</c:v>
                </c:pt>
                <c:pt idx="59">
                  <c:v>0.1</c:v>
                </c:pt>
                <c:pt idx="60">
                  <c:v>0</c:v>
                </c:pt>
                <c:pt idx="61">
                  <c:v>-0.1</c:v>
                </c:pt>
                <c:pt idx="62">
                  <c:v>-0.2</c:v>
                </c:pt>
                <c:pt idx="63">
                  <c:v>-0.3</c:v>
                </c:pt>
                <c:pt idx="64">
                  <c:v>-0.4</c:v>
                </c:pt>
                <c:pt idx="65">
                  <c:v>-0.5</c:v>
                </c:pt>
                <c:pt idx="66">
                  <c:v>-0.6</c:v>
                </c:pt>
                <c:pt idx="67">
                  <c:v>-0.7</c:v>
                </c:pt>
                <c:pt idx="68">
                  <c:v>-0.8</c:v>
                </c:pt>
                <c:pt idx="69">
                  <c:v>-0.9</c:v>
                </c:pt>
                <c:pt idx="70">
                  <c:v>-1</c:v>
                </c:pt>
                <c:pt idx="71">
                  <c:v>-1.1000000000000001</c:v>
                </c:pt>
                <c:pt idx="72">
                  <c:v>-1.2</c:v>
                </c:pt>
                <c:pt idx="73">
                  <c:v>-1.3</c:v>
                </c:pt>
                <c:pt idx="74">
                  <c:v>-1.4</c:v>
                </c:pt>
                <c:pt idx="75">
                  <c:v>-1.5</c:v>
                </c:pt>
                <c:pt idx="76">
                  <c:v>-1.6</c:v>
                </c:pt>
                <c:pt idx="77">
                  <c:v>-1.7</c:v>
                </c:pt>
                <c:pt idx="78">
                  <c:v>-1.8</c:v>
                </c:pt>
                <c:pt idx="79">
                  <c:v>-1.9</c:v>
                </c:pt>
                <c:pt idx="80">
                  <c:v>-2</c:v>
                </c:pt>
                <c:pt idx="81">
                  <c:v>-2.1</c:v>
                </c:pt>
                <c:pt idx="82">
                  <c:v>-2.2000000000000002</c:v>
                </c:pt>
                <c:pt idx="83">
                  <c:v>-2.2999999999999998</c:v>
                </c:pt>
                <c:pt idx="84">
                  <c:v>-2.4</c:v>
                </c:pt>
                <c:pt idx="85">
                  <c:v>-2.5</c:v>
                </c:pt>
                <c:pt idx="86">
                  <c:v>-2.6</c:v>
                </c:pt>
                <c:pt idx="87">
                  <c:v>-2.7</c:v>
                </c:pt>
                <c:pt idx="88">
                  <c:v>-2.8</c:v>
                </c:pt>
                <c:pt idx="89">
                  <c:v>-2.9</c:v>
                </c:pt>
                <c:pt idx="90">
                  <c:v>-3</c:v>
                </c:pt>
                <c:pt idx="91">
                  <c:v>-3.1</c:v>
                </c:pt>
                <c:pt idx="92">
                  <c:v>-3.2</c:v>
                </c:pt>
                <c:pt idx="93">
                  <c:v>-3.3</c:v>
                </c:pt>
                <c:pt idx="94">
                  <c:v>-3.4</c:v>
                </c:pt>
                <c:pt idx="95">
                  <c:v>-3.5</c:v>
                </c:pt>
                <c:pt idx="96">
                  <c:v>-3.6</c:v>
                </c:pt>
                <c:pt idx="97">
                  <c:v>-3.7</c:v>
                </c:pt>
                <c:pt idx="98">
                  <c:v>-3.8</c:v>
                </c:pt>
                <c:pt idx="99">
                  <c:v>-3.9</c:v>
                </c:pt>
                <c:pt idx="100">
                  <c:v>-4</c:v>
                </c:pt>
                <c:pt idx="101">
                  <c:v>-4.0999999999999996</c:v>
                </c:pt>
                <c:pt idx="102">
                  <c:v>-4.2</c:v>
                </c:pt>
                <c:pt idx="103">
                  <c:v>-4.3</c:v>
                </c:pt>
                <c:pt idx="104">
                  <c:v>-4.4000000000000004</c:v>
                </c:pt>
                <c:pt idx="105">
                  <c:v>-4.5</c:v>
                </c:pt>
                <c:pt idx="106">
                  <c:v>-4.5999999999999996</c:v>
                </c:pt>
                <c:pt idx="107">
                  <c:v>-4.7</c:v>
                </c:pt>
                <c:pt idx="108">
                  <c:v>-4.8</c:v>
                </c:pt>
                <c:pt idx="109">
                  <c:v>-4.9000000000000004</c:v>
                </c:pt>
                <c:pt idx="110">
                  <c:v>-5</c:v>
                </c:pt>
                <c:pt idx="111">
                  <c:v>-5.0999999999999996</c:v>
                </c:pt>
                <c:pt idx="112">
                  <c:v>-5.2</c:v>
                </c:pt>
                <c:pt idx="113">
                  <c:v>-5.3</c:v>
                </c:pt>
                <c:pt idx="114">
                  <c:v>-5.4</c:v>
                </c:pt>
                <c:pt idx="115">
                  <c:v>-5.5</c:v>
                </c:pt>
                <c:pt idx="116">
                  <c:v>-5.6</c:v>
                </c:pt>
                <c:pt idx="117">
                  <c:v>-5.7</c:v>
                </c:pt>
                <c:pt idx="118">
                  <c:v>-5.8</c:v>
                </c:pt>
                <c:pt idx="119">
                  <c:v>-5.9</c:v>
                </c:pt>
                <c:pt idx="120">
                  <c:v>-6</c:v>
                </c:pt>
              </c:numCache>
            </c:numRef>
          </c:xVal>
          <c:yVal>
            <c:numRef>
              <c:f>'CS 2do sem datos'!$I$32:$I$152</c:f>
              <c:numCache>
                <c:formatCode>General</c:formatCode>
                <c:ptCount val="121"/>
                <c:pt idx="0">
                  <c:v>0</c:v>
                </c:pt>
                <c:pt idx="1">
                  <c:v>-1.0908712114635704</c:v>
                </c:pt>
                <c:pt idx="2">
                  <c:v>-1.5362291495737215</c:v>
                </c:pt>
                <c:pt idx="3">
                  <c:v>-1.8734993995195188</c:v>
                </c:pt>
                <c:pt idx="4">
                  <c:v>-2.1540659228538024</c:v>
                </c:pt>
                <c:pt idx="5">
                  <c:v>-2.3979157616563596</c:v>
                </c:pt>
                <c:pt idx="6">
                  <c:v>-2.6153393661244033</c:v>
                </c:pt>
                <c:pt idx="7">
                  <c:v>-2.8124722220850469</c:v>
                </c:pt>
                <c:pt idx="8">
                  <c:v>-2.9933259094191524</c:v>
                </c:pt>
                <c:pt idx="9">
                  <c:v>-3.1606961258558219</c:v>
                </c:pt>
                <c:pt idx="10">
                  <c:v>-3.3166247903553998</c:v>
                </c:pt>
                <c:pt idx="11">
                  <c:v>-3.4626579386361565</c:v>
                </c:pt>
                <c:pt idx="12">
                  <c:v>-3.6</c:v>
                </c:pt>
                <c:pt idx="13">
                  <c:v>-3.7296112397943029</c:v>
                </c:pt>
                <c:pt idx="14">
                  <c:v>-3.8522720568516449</c:v>
                </c:pt>
                <c:pt idx="15">
                  <c:v>-3.9686269665968861</c:v>
                </c:pt>
                <c:pt idx="16">
                  <c:v>-4.0792156108742272</c:v>
                </c:pt>
                <c:pt idx="17">
                  <c:v>-4.1844951905815355</c:v>
                </c:pt>
                <c:pt idx="18">
                  <c:v>-4.2848570571257101</c:v>
                </c:pt>
                <c:pt idx="19">
                  <c:v>-4.3806392227619018</c:v>
                </c:pt>
                <c:pt idx="20">
                  <c:v>-4.4721359549995796</c:v>
                </c:pt>
                <c:pt idx="21">
                  <c:v>-4.5596052460711993</c:v>
                </c:pt>
                <c:pt idx="22">
                  <c:v>-4.6432747064975599</c:v>
                </c:pt>
                <c:pt idx="23">
                  <c:v>-4.7233462714478174</c:v>
                </c:pt>
                <c:pt idx="24">
                  <c:v>-4.8</c:v>
                </c:pt>
                <c:pt idx="25">
                  <c:v>-4.8733971724044816</c:v>
                </c:pt>
                <c:pt idx="26">
                  <c:v>-4.9436828377233102</c:v>
                </c:pt>
                <c:pt idx="27">
                  <c:v>-5.0109879265470196</c:v>
                </c:pt>
                <c:pt idx="28">
                  <c:v>-5.0754310161798077</c:v>
                </c:pt>
                <c:pt idx="29">
                  <c:v>-5.1371198156165292</c:v>
                </c:pt>
                <c:pt idx="30">
                  <c:v>-5.196152422706632</c:v>
                </c:pt>
                <c:pt idx="31">
                  <c:v>-5.2526183946675582</c:v>
                </c:pt>
                <c:pt idx="32">
                  <c:v>-5.3065996645686395</c:v>
                </c:pt>
                <c:pt idx="33">
                  <c:v>-5.3581713298475258</c:v>
                </c:pt>
                <c:pt idx="34">
                  <c:v>-5.4074023338383093</c:v>
                </c:pt>
                <c:pt idx="35">
                  <c:v>-5.4543560573178569</c:v>
                </c:pt>
                <c:pt idx="36">
                  <c:v>-5.4990908339470082</c:v>
                </c:pt>
                <c:pt idx="37">
                  <c:v>-5.5416604009989641</c:v>
                </c:pt>
                <c:pt idx="38">
                  <c:v>-5.5821142947811451</c:v>
                </c:pt>
                <c:pt idx="39">
                  <c:v>-5.6204981985585585</c:v>
                </c:pt>
                <c:pt idx="40">
                  <c:v>-5.6568542494923806</c:v>
                </c:pt>
                <c:pt idx="41">
                  <c:v>-5.6912213100528781</c:v>
                </c:pt>
                <c:pt idx="42">
                  <c:v>-5.7236352085016735</c:v>
                </c:pt>
                <c:pt idx="43">
                  <c:v>-5.7541289523263206</c:v>
                </c:pt>
                <c:pt idx="44">
                  <c:v>-5.7827329179203844</c:v>
                </c:pt>
                <c:pt idx="45">
                  <c:v>-5.8094750193111251</c:v>
                </c:pt>
                <c:pt idx="46">
                  <c:v>-5.8343808583259289</c:v>
                </c:pt>
                <c:pt idx="47">
                  <c:v>-5.8574738582429884</c:v>
                </c:pt>
                <c:pt idx="48">
                  <c:v>-5.8787753826796276</c:v>
                </c:pt>
                <c:pt idx="49">
                  <c:v>-5.8983048412234513</c:v>
                </c:pt>
                <c:pt idx="50">
                  <c:v>-5.9160797830996161</c:v>
                </c:pt>
                <c:pt idx="51">
                  <c:v>-5.9321159799855563</c:v>
                </c:pt>
                <c:pt idx="52">
                  <c:v>-5.9464274989274024</c:v>
                </c:pt>
                <c:pt idx="53">
                  <c:v>-5.9590267661758327</c:v>
                </c:pt>
                <c:pt idx="54">
                  <c:v>-5.96992462263972</c:v>
                </c:pt>
                <c:pt idx="55">
                  <c:v>-5.9791303715506992</c:v>
                </c:pt>
                <c:pt idx="56">
                  <c:v>-5.9866518188383067</c:v>
                </c:pt>
                <c:pt idx="57">
                  <c:v>-5.9924953066314535</c:v>
                </c:pt>
                <c:pt idx="58">
                  <c:v>-5.9966657402259802</c:v>
                </c:pt>
                <c:pt idx="59">
                  <c:v>-5.9991666087882578</c:v>
                </c:pt>
                <c:pt idx="60">
                  <c:v>-6</c:v>
                </c:pt>
                <c:pt idx="61">
                  <c:v>-5.9991666087882578</c:v>
                </c:pt>
                <c:pt idx="62">
                  <c:v>-5.9966657402259802</c:v>
                </c:pt>
                <c:pt idx="63">
                  <c:v>-5.9924953066314535</c:v>
                </c:pt>
                <c:pt idx="64">
                  <c:v>-5.9866518188383067</c:v>
                </c:pt>
                <c:pt idx="65">
                  <c:v>-5.9791303715506992</c:v>
                </c:pt>
                <c:pt idx="66">
                  <c:v>-5.96992462263972</c:v>
                </c:pt>
                <c:pt idx="67">
                  <c:v>-5.9590267661758327</c:v>
                </c:pt>
                <c:pt idx="68">
                  <c:v>-5.9464274989274024</c:v>
                </c:pt>
                <c:pt idx="69">
                  <c:v>-5.9321159799855563</c:v>
                </c:pt>
                <c:pt idx="70">
                  <c:v>-5.9160797830996161</c:v>
                </c:pt>
                <c:pt idx="71">
                  <c:v>-5.8983048412234513</c:v>
                </c:pt>
                <c:pt idx="72">
                  <c:v>-5.8787753826796276</c:v>
                </c:pt>
                <c:pt idx="73">
                  <c:v>-5.8574738582429884</c:v>
                </c:pt>
                <c:pt idx="74">
                  <c:v>-5.8343808583259289</c:v>
                </c:pt>
                <c:pt idx="75">
                  <c:v>-5.8094750193111251</c:v>
                </c:pt>
                <c:pt idx="76">
                  <c:v>-5.7827329179203844</c:v>
                </c:pt>
                <c:pt idx="77">
                  <c:v>-5.7541289523263206</c:v>
                </c:pt>
                <c:pt idx="78">
                  <c:v>-5.7236352085016735</c:v>
                </c:pt>
                <c:pt idx="79">
                  <c:v>-5.6912213100528781</c:v>
                </c:pt>
                <c:pt idx="80">
                  <c:v>-5.6568542494923806</c:v>
                </c:pt>
                <c:pt idx="81">
                  <c:v>-5.6204981985585585</c:v>
                </c:pt>
                <c:pt idx="82">
                  <c:v>-5.5821142947811451</c:v>
                </c:pt>
                <c:pt idx="83">
                  <c:v>-5.5416604009989641</c:v>
                </c:pt>
                <c:pt idx="84">
                  <c:v>-5.4990908339470082</c:v>
                </c:pt>
                <c:pt idx="85">
                  <c:v>-5.4543560573178569</c:v>
                </c:pt>
                <c:pt idx="86">
                  <c:v>-5.4074023338383093</c:v>
                </c:pt>
                <c:pt idx="87">
                  <c:v>-5.3581713298475258</c:v>
                </c:pt>
                <c:pt idx="88">
                  <c:v>-5.3065996645686395</c:v>
                </c:pt>
                <c:pt idx="89">
                  <c:v>-5.2526183946675582</c:v>
                </c:pt>
                <c:pt idx="90">
                  <c:v>-5.196152422706632</c:v>
                </c:pt>
                <c:pt idx="91">
                  <c:v>-5.1371198156165292</c:v>
                </c:pt>
                <c:pt idx="92">
                  <c:v>-5.0754310161798077</c:v>
                </c:pt>
                <c:pt idx="93">
                  <c:v>-5.0109879265470196</c:v>
                </c:pt>
                <c:pt idx="94">
                  <c:v>-4.9436828377233102</c:v>
                </c:pt>
                <c:pt idx="95">
                  <c:v>-4.8733971724044816</c:v>
                </c:pt>
                <c:pt idx="96">
                  <c:v>-4.8</c:v>
                </c:pt>
                <c:pt idx="97">
                  <c:v>-4.7233462714478174</c:v>
                </c:pt>
                <c:pt idx="98">
                  <c:v>-4.6432747064975599</c:v>
                </c:pt>
                <c:pt idx="99">
                  <c:v>-4.5596052460711993</c:v>
                </c:pt>
                <c:pt idx="100">
                  <c:v>-4.4721359549995796</c:v>
                </c:pt>
                <c:pt idx="101">
                  <c:v>-4.3806392227619018</c:v>
                </c:pt>
                <c:pt idx="102">
                  <c:v>-4.2848570571257101</c:v>
                </c:pt>
                <c:pt idx="103">
                  <c:v>-4.1844951905815355</c:v>
                </c:pt>
                <c:pt idx="104">
                  <c:v>-4.0792156108742272</c:v>
                </c:pt>
                <c:pt idx="105">
                  <c:v>-3.9686269665968861</c:v>
                </c:pt>
                <c:pt idx="106">
                  <c:v>-3.8522720568516449</c:v>
                </c:pt>
                <c:pt idx="107">
                  <c:v>-3.7296112397943029</c:v>
                </c:pt>
                <c:pt idx="108">
                  <c:v>-3.6</c:v>
                </c:pt>
                <c:pt idx="109">
                  <c:v>-3.4626579386361565</c:v>
                </c:pt>
                <c:pt idx="110">
                  <c:v>-3.3166247903553998</c:v>
                </c:pt>
                <c:pt idx="111">
                  <c:v>-3.1606961258558219</c:v>
                </c:pt>
                <c:pt idx="112">
                  <c:v>-2.9933259094191524</c:v>
                </c:pt>
                <c:pt idx="113">
                  <c:v>-2.8124722220850469</c:v>
                </c:pt>
                <c:pt idx="114">
                  <c:v>-2.6153393661244033</c:v>
                </c:pt>
                <c:pt idx="115">
                  <c:v>-2.3979157616563596</c:v>
                </c:pt>
                <c:pt idx="116">
                  <c:v>-2.1540659228538024</c:v>
                </c:pt>
                <c:pt idx="117">
                  <c:v>-1.8734993995195188</c:v>
                </c:pt>
                <c:pt idx="118">
                  <c:v>-1.5362291495737215</c:v>
                </c:pt>
                <c:pt idx="119">
                  <c:v>-1.0908712114635704</c:v>
                </c:pt>
                <c:pt idx="120">
                  <c:v>0</c:v>
                </c:pt>
              </c:numCache>
            </c:numRef>
          </c:yVal>
          <c:smooth val="1"/>
        </c:ser>
        <c:ser>
          <c:idx val="89"/>
          <c:order val="22"/>
          <c:spPr>
            <a:ln w="1905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'CS 2do sem datos'!$A$42:$A$142</c:f>
              <c:numCache>
                <c:formatCode>General</c:formatCode>
                <c:ptCount val="101"/>
                <c:pt idx="0">
                  <c:v>5</c:v>
                </c:pt>
                <c:pt idx="1">
                  <c:v>4.9000000000000004</c:v>
                </c:pt>
                <c:pt idx="2">
                  <c:v>4.8</c:v>
                </c:pt>
                <c:pt idx="3">
                  <c:v>4.7</c:v>
                </c:pt>
                <c:pt idx="4">
                  <c:v>4.5999999999999996</c:v>
                </c:pt>
                <c:pt idx="5">
                  <c:v>4.5</c:v>
                </c:pt>
                <c:pt idx="6">
                  <c:v>4.4000000000000004</c:v>
                </c:pt>
                <c:pt idx="7">
                  <c:v>4.3</c:v>
                </c:pt>
                <c:pt idx="8">
                  <c:v>4.2</c:v>
                </c:pt>
                <c:pt idx="9">
                  <c:v>4.0999999999999996</c:v>
                </c:pt>
                <c:pt idx="10">
                  <c:v>4</c:v>
                </c:pt>
                <c:pt idx="11">
                  <c:v>3.9</c:v>
                </c:pt>
                <c:pt idx="12">
                  <c:v>3.8</c:v>
                </c:pt>
                <c:pt idx="13">
                  <c:v>3.7</c:v>
                </c:pt>
                <c:pt idx="14">
                  <c:v>3.6</c:v>
                </c:pt>
                <c:pt idx="15">
                  <c:v>3.5</c:v>
                </c:pt>
                <c:pt idx="16">
                  <c:v>3.4</c:v>
                </c:pt>
                <c:pt idx="17">
                  <c:v>3.3</c:v>
                </c:pt>
                <c:pt idx="18">
                  <c:v>3.2</c:v>
                </c:pt>
                <c:pt idx="19">
                  <c:v>3.1</c:v>
                </c:pt>
                <c:pt idx="20">
                  <c:v>3</c:v>
                </c:pt>
                <c:pt idx="21">
                  <c:v>2.9</c:v>
                </c:pt>
                <c:pt idx="22">
                  <c:v>2.8</c:v>
                </c:pt>
                <c:pt idx="23">
                  <c:v>2.7</c:v>
                </c:pt>
                <c:pt idx="24">
                  <c:v>2.6</c:v>
                </c:pt>
                <c:pt idx="25">
                  <c:v>2.5</c:v>
                </c:pt>
                <c:pt idx="26">
                  <c:v>2.4</c:v>
                </c:pt>
                <c:pt idx="27">
                  <c:v>2.2999999999999998</c:v>
                </c:pt>
                <c:pt idx="28">
                  <c:v>2.2000000000000002</c:v>
                </c:pt>
                <c:pt idx="29">
                  <c:v>2.1</c:v>
                </c:pt>
                <c:pt idx="30">
                  <c:v>2</c:v>
                </c:pt>
                <c:pt idx="31">
                  <c:v>1.9</c:v>
                </c:pt>
                <c:pt idx="32">
                  <c:v>1.8</c:v>
                </c:pt>
                <c:pt idx="33">
                  <c:v>1.7</c:v>
                </c:pt>
                <c:pt idx="34">
                  <c:v>1.6</c:v>
                </c:pt>
                <c:pt idx="35">
                  <c:v>1.5</c:v>
                </c:pt>
                <c:pt idx="36">
                  <c:v>1.4</c:v>
                </c:pt>
                <c:pt idx="37">
                  <c:v>1.3</c:v>
                </c:pt>
                <c:pt idx="38">
                  <c:v>1.2</c:v>
                </c:pt>
                <c:pt idx="39">
                  <c:v>1.1000000000000001</c:v>
                </c:pt>
                <c:pt idx="40">
                  <c:v>1</c:v>
                </c:pt>
                <c:pt idx="41">
                  <c:v>0.9</c:v>
                </c:pt>
                <c:pt idx="42">
                  <c:v>0.8</c:v>
                </c:pt>
                <c:pt idx="43">
                  <c:v>0.7</c:v>
                </c:pt>
                <c:pt idx="44">
                  <c:v>0.6</c:v>
                </c:pt>
                <c:pt idx="45">
                  <c:v>0.5</c:v>
                </c:pt>
                <c:pt idx="46">
                  <c:v>0.4</c:v>
                </c:pt>
                <c:pt idx="47">
                  <c:v>0.3</c:v>
                </c:pt>
                <c:pt idx="48">
                  <c:v>0.2</c:v>
                </c:pt>
                <c:pt idx="49">
                  <c:v>0.1</c:v>
                </c:pt>
                <c:pt idx="50">
                  <c:v>0</c:v>
                </c:pt>
                <c:pt idx="51">
                  <c:v>-0.1</c:v>
                </c:pt>
                <c:pt idx="52">
                  <c:v>-0.2</c:v>
                </c:pt>
                <c:pt idx="53">
                  <c:v>-0.3</c:v>
                </c:pt>
                <c:pt idx="54">
                  <c:v>-0.4</c:v>
                </c:pt>
                <c:pt idx="55">
                  <c:v>-0.5</c:v>
                </c:pt>
                <c:pt idx="56">
                  <c:v>-0.6</c:v>
                </c:pt>
                <c:pt idx="57">
                  <c:v>-0.7</c:v>
                </c:pt>
                <c:pt idx="58">
                  <c:v>-0.8</c:v>
                </c:pt>
                <c:pt idx="59">
                  <c:v>-0.9</c:v>
                </c:pt>
                <c:pt idx="60">
                  <c:v>-1</c:v>
                </c:pt>
                <c:pt idx="61">
                  <c:v>-1.1000000000000001</c:v>
                </c:pt>
                <c:pt idx="62">
                  <c:v>-1.2</c:v>
                </c:pt>
                <c:pt idx="63">
                  <c:v>-1.3</c:v>
                </c:pt>
                <c:pt idx="64">
                  <c:v>-1.4</c:v>
                </c:pt>
                <c:pt idx="65">
                  <c:v>-1.5</c:v>
                </c:pt>
                <c:pt idx="66">
                  <c:v>-1.6</c:v>
                </c:pt>
                <c:pt idx="67">
                  <c:v>-1.7</c:v>
                </c:pt>
                <c:pt idx="68">
                  <c:v>-1.8</c:v>
                </c:pt>
                <c:pt idx="69">
                  <c:v>-1.9</c:v>
                </c:pt>
                <c:pt idx="70">
                  <c:v>-2</c:v>
                </c:pt>
                <c:pt idx="71">
                  <c:v>-2.1</c:v>
                </c:pt>
                <c:pt idx="72">
                  <c:v>-2.2000000000000002</c:v>
                </c:pt>
                <c:pt idx="73">
                  <c:v>-2.2999999999999998</c:v>
                </c:pt>
                <c:pt idx="74">
                  <c:v>-2.4</c:v>
                </c:pt>
                <c:pt idx="75">
                  <c:v>-2.5</c:v>
                </c:pt>
                <c:pt idx="76">
                  <c:v>-2.6</c:v>
                </c:pt>
                <c:pt idx="77">
                  <c:v>-2.7</c:v>
                </c:pt>
                <c:pt idx="78">
                  <c:v>-2.8</c:v>
                </c:pt>
                <c:pt idx="79">
                  <c:v>-2.9</c:v>
                </c:pt>
                <c:pt idx="80">
                  <c:v>-3</c:v>
                </c:pt>
                <c:pt idx="81">
                  <c:v>-3.1</c:v>
                </c:pt>
                <c:pt idx="82">
                  <c:v>-3.2</c:v>
                </c:pt>
                <c:pt idx="83">
                  <c:v>-3.3</c:v>
                </c:pt>
                <c:pt idx="84">
                  <c:v>-3.4</c:v>
                </c:pt>
                <c:pt idx="85">
                  <c:v>-3.5</c:v>
                </c:pt>
                <c:pt idx="86">
                  <c:v>-3.6</c:v>
                </c:pt>
                <c:pt idx="87">
                  <c:v>-3.7</c:v>
                </c:pt>
                <c:pt idx="88">
                  <c:v>-3.8</c:v>
                </c:pt>
                <c:pt idx="89">
                  <c:v>-3.9</c:v>
                </c:pt>
                <c:pt idx="90">
                  <c:v>-4</c:v>
                </c:pt>
                <c:pt idx="91">
                  <c:v>-4.0999999999999996</c:v>
                </c:pt>
                <c:pt idx="92">
                  <c:v>-4.2</c:v>
                </c:pt>
                <c:pt idx="93">
                  <c:v>-4.3</c:v>
                </c:pt>
                <c:pt idx="94">
                  <c:v>-4.4000000000000004</c:v>
                </c:pt>
                <c:pt idx="95">
                  <c:v>-4.5</c:v>
                </c:pt>
                <c:pt idx="96">
                  <c:v>-4.5999999999999996</c:v>
                </c:pt>
                <c:pt idx="97">
                  <c:v>-4.7</c:v>
                </c:pt>
                <c:pt idx="98">
                  <c:v>-4.8</c:v>
                </c:pt>
                <c:pt idx="99">
                  <c:v>-4.9000000000000004</c:v>
                </c:pt>
                <c:pt idx="100">
                  <c:v>-5</c:v>
                </c:pt>
              </c:numCache>
            </c:numRef>
          </c:xVal>
          <c:yVal>
            <c:numRef>
              <c:f>'CS 2do sem datos'!$J$42:$J$142</c:f>
              <c:numCache>
                <c:formatCode>General</c:formatCode>
                <c:ptCount val="101"/>
                <c:pt idx="0">
                  <c:v>0</c:v>
                </c:pt>
                <c:pt idx="1">
                  <c:v>0.99498743710661741</c:v>
                </c:pt>
                <c:pt idx="2">
                  <c:v>1.4000000000000004</c:v>
                </c:pt>
                <c:pt idx="3">
                  <c:v>1.7058722109231972</c:v>
                </c:pt>
                <c:pt idx="4">
                  <c:v>1.9595917942265433</c:v>
                </c:pt>
                <c:pt idx="5">
                  <c:v>2.179449471770337</c:v>
                </c:pt>
                <c:pt idx="6">
                  <c:v>2.3748684174075829</c:v>
                </c:pt>
                <c:pt idx="7">
                  <c:v>2.5514701644346149</c:v>
                </c:pt>
                <c:pt idx="8">
                  <c:v>2.7129319932501073</c:v>
                </c:pt>
                <c:pt idx="9">
                  <c:v>2.8618176042508372</c:v>
                </c:pt>
                <c:pt idx="10">
                  <c:v>3</c:v>
                </c:pt>
                <c:pt idx="11">
                  <c:v>3.1288975694324033</c:v>
                </c:pt>
                <c:pt idx="12">
                  <c:v>3.2496153618543842</c:v>
                </c:pt>
                <c:pt idx="13">
                  <c:v>3.363034344160047</c:v>
                </c:pt>
                <c:pt idx="14">
                  <c:v>3.4698703145794942</c:v>
                </c:pt>
                <c:pt idx="15">
                  <c:v>3.5707142142714252</c:v>
                </c:pt>
                <c:pt idx="16">
                  <c:v>3.6660605559646724</c:v>
                </c:pt>
                <c:pt idx="17">
                  <c:v>3.7563279941985899</c:v>
                </c:pt>
                <c:pt idx="18">
                  <c:v>3.8418745424597089</c:v>
                </c:pt>
                <c:pt idx="19">
                  <c:v>3.9230090491866059</c:v>
                </c:pt>
                <c:pt idx="20">
                  <c:v>4</c:v>
                </c:pt>
                <c:pt idx="21">
                  <c:v>4.0730823708832604</c:v>
                </c:pt>
                <c:pt idx="22">
                  <c:v>4.1424630354415957</c:v>
                </c:pt>
                <c:pt idx="23">
                  <c:v>4.2083250825001626</c:v>
                </c:pt>
                <c:pt idx="24">
                  <c:v>4.2708313008125245</c:v>
                </c:pt>
                <c:pt idx="25">
                  <c:v>4.3301270189221936</c:v>
                </c:pt>
                <c:pt idx="26">
                  <c:v>4.3863424398922621</c:v>
                </c:pt>
                <c:pt idx="27">
                  <c:v>4.4395945760846232</c:v>
                </c:pt>
                <c:pt idx="28">
                  <c:v>4.4899888641287298</c:v>
                </c:pt>
                <c:pt idx="29">
                  <c:v>4.5376205218153709</c:v>
                </c:pt>
                <c:pt idx="30">
                  <c:v>4.5825756949558398</c:v>
                </c:pt>
                <c:pt idx="31">
                  <c:v>4.6249324319388707</c:v>
                </c:pt>
                <c:pt idx="32">
                  <c:v>4.6647615158762399</c:v>
                </c:pt>
                <c:pt idx="33">
                  <c:v>4.702127178203499</c:v>
                </c:pt>
                <c:pt idx="34">
                  <c:v>4.737087712930804</c:v>
                </c:pt>
                <c:pt idx="35">
                  <c:v>4.7696960070847281</c:v>
                </c:pt>
                <c:pt idx="36">
                  <c:v>4.8</c:v>
                </c:pt>
                <c:pt idx="37">
                  <c:v>4.8280430818293238</c:v>
                </c:pt>
                <c:pt idx="38">
                  <c:v>4.8538644398046387</c:v>
                </c:pt>
                <c:pt idx="39">
                  <c:v>4.8774993593028793</c:v>
                </c:pt>
                <c:pt idx="40">
                  <c:v>4.8989794855663558</c:v>
                </c:pt>
                <c:pt idx="41">
                  <c:v>4.9183330509431755</c:v>
                </c:pt>
                <c:pt idx="42">
                  <c:v>4.935585071701226</c:v>
                </c:pt>
                <c:pt idx="43">
                  <c:v>4.9507575177946253</c:v>
                </c:pt>
                <c:pt idx="44">
                  <c:v>4.963869458396343</c:v>
                </c:pt>
                <c:pt idx="45">
                  <c:v>4.9749371855330997</c:v>
                </c:pt>
                <c:pt idx="46">
                  <c:v>4.9839743177508451</c:v>
                </c:pt>
                <c:pt idx="47">
                  <c:v>4.9909918853871122</c:v>
                </c:pt>
                <c:pt idx="48">
                  <c:v>4.9959983987187186</c:v>
                </c:pt>
                <c:pt idx="49">
                  <c:v>4.9989998999799949</c:v>
                </c:pt>
                <c:pt idx="50">
                  <c:v>5</c:v>
                </c:pt>
                <c:pt idx="51">
                  <c:v>4.9989998999799949</c:v>
                </c:pt>
                <c:pt idx="52">
                  <c:v>4.9959983987187186</c:v>
                </c:pt>
                <c:pt idx="53">
                  <c:v>4.9909918853871122</c:v>
                </c:pt>
                <c:pt idx="54">
                  <c:v>4.9839743177508451</c:v>
                </c:pt>
                <c:pt idx="55">
                  <c:v>4.9749371855330997</c:v>
                </c:pt>
                <c:pt idx="56">
                  <c:v>4.963869458396343</c:v>
                </c:pt>
                <c:pt idx="57">
                  <c:v>4.9507575177946253</c:v>
                </c:pt>
                <c:pt idx="58">
                  <c:v>4.935585071701226</c:v>
                </c:pt>
                <c:pt idx="59">
                  <c:v>4.9183330509431755</c:v>
                </c:pt>
                <c:pt idx="60">
                  <c:v>4.8989794855663558</c:v>
                </c:pt>
                <c:pt idx="61">
                  <c:v>4.8774993593028793</c:v>
                </c:pt>
                <c:pt idx="62">
                  <c:v>4.8538644398046387</c:v>
                </c:pt>
                <c:pt idx="63">
                  <c:v>4.8280430818293238</c:v>
                </c:pt>
                <c:pt idx="64">
                  <c:v>4.8</c:v>
                </c:pt>
                <c:pt idx="65">
                  <c:v>4.7696960070847281</c:v>
                </c:pt>
                <c:pt idx="66">
                  <c:v>4.737087712930804</c:v>
                </c:pt>
                <c:pt idx="67">
                  <c:v>4.702127178203499</c:v>
                </c:pt>
                <c:pt idx="68">
                  <c:v>4.6647615158762399</c:v>
                </c:pt>
                <c:pt idx="69">
                  <c:v>4.6249324319388707</c:v>
                </c:pt>
                <c:pt idx="70">
                  <c:v>4.5825756949558398</c:v>
                </c:pt>
                <c:pt idx="71">
                  <c:v>4.5376205218153709</c:v>
                </c:pt>
                <c:pt idx="72">
                  <c:v>4.4899888641287298</c:v>
                </c:pt>
                <c:pt idx="73">
                  <c:v>4.4395945760846232</c:v>
                </c:pt>
                <c:pt idx="74">
                  <c:v>4.3863424398922621</c:v>
                </c:pt>
                <c:pt idx="75">
                  <c:v>4.3301270189221936</c:v>
                </c:pt>
                <c:pt idx="76">
                  <c:v>4.2708313008125245</c:v>
                </c:pt>
                <c:pt idx="77">
                  <c:v>4.2083250825001626</c:v>
                </c:pt>
                <c:pt idx="78">
                  <c:v>4.1424630354415957</c:v>
                </c:pt>
                <c:pt idx="79">
                  <c:v>4.0730823708832604</c:v>
                </c:pt>
                <c:pt idx="80">
                  <c:v>4</c:v>
                </c:pt>
                <c:pt idx="81">
                  <c:v>3.9230090491866059</c:v>
                </c:pt>
                <c:pt idx="82">
                  <c:v>3.8418745424597089</c:v>
                </c:pt>
                <c:pt idx="83">
                  <c:v>3.7563279941985899</c:v>
                </c:pt>
                <c:pt idx="84">
                  <c:v>3.6660605559646724</c:v>
                </c:pt>
                <c:pt idx="85">
                  <c:v>3.5707142142714252</c:v>
                </c:pt>
                <c:pt idx="86">
                  <c:v>3.4698703145794942</c:v>
                </c:pt>
                <c:pt idx="87">
                  <c:v>3.363034344160047</c:v>
                </c:pt>
                <c:pt idx="88">
                  <c:v>3.2496153618543842</c:v>
                </c:pt>
                <c:pt idx="89">
                  <c:v>3.1288975694324033</c:v>
                </c:pt>
                <c:pt idx="90">
                  <c:v>3</c:v>
                </c:pt>
                <c:pt idx="91">
                  <c:v>2.8618176042508372</c:v>
                </c:pt>
                <c:pt idx="92">
                  <c:v>2.7129319932501073</c:v>
                </c:pt>
                <c:pt idx="93">
                  <c:v>2.5514701644346149</c:v>
                </c:pt>
                <c:pt idx="94">
                  <c:v>2.3748684174075829</c:v>
                </c:pt>
                <c:pt idx="95">
                  <c:v>2.179449471770337</c:v>
                </c:pt>
                <c:pt idx="96">
                  <c:v>1.9595917942265433</c:v>
                </c:pt>
                <c:pt idx="97">
                  <c:v>1.7058722109231972</c:v>
                </c:pt>
                <c:pt idx="98">
                  <c:v>1.4000000000000004</c:v>
                </c:pt>
                <c:pt idx="99">
                  <c:v>0.99498743710661741</c:v>
                </c:pt>
                <c:pt idx="100">
                  <c:v>0</c:v>
                </c:pt>
              </c:numCache>
            </c:numRef>
          </c:yVal>
          <c:smooth val="1"/>
        </c:ser>
        <c:ser>
          <c:idx val="90"/>
          <c:order val="23"/>
          <c:spPr>
            <a:ln w="1905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'CS 2do sem datos'!$A$42:$A$142</c:f>
              <c:numCache>
                <c:formatCode>General</c:formatCode>
                <c:ptCount val="101"/>
                <c:pt idx="0">
                  <c:v>5</c:v>
                </c:pt>
                <c:pt idx="1">
                  <c:v>4.9000000000000004</c:v>
                </c:pt>
                <c:pt idx="2">
                  <c:v>4.8</c:v>
                </c:pt>
                <c:pt idx="3">
                  <c:v>4.7</c:v>
                </c:pt>
                <c:pt idx="4">
                  <c:v>4.5999999999999996</c:v>
                </c:pt>
                <c:pt idx="5">
                  <c:v>4.5</c:v>
                </c:pt>
                <c:pt idx="6">
                  <c:v>4.4000000000000004</c:v>
                </c:pt>
                <c:pt idx="7">
                  <c:v>4.3</c:v>
                </c:pt>
                <c:pt idx="8">
                  <c:v>4.2</c:v>
                </c:pt>
                <c:pt idx="9">
                  <c:v>4.0999999999999996</c:v>
                </c:pt>
                <c:pt idx="10">
                  <c:v>4</c:v>
                </c:pt>
                <c:pt idx="11">
                  <c:v>3.9</c:v>
                </c:pt>
                <c:pt idx="12">
                  <c:v>3.8</c:v>
                </c:pt>
                <c:pt idx="13">
                  <c:v>3.7</c:v>
                </c:pt>
                <c:pt idx="14">
                  <c:v>3.6</c:v>
                </c:pt>
                <c:pt idx="15">
                  <c:v>3.5</c:v>
                </c:pt>
                <c:pt idx="16">
                  <c:v>3.4</c:v>
                </c:pt>
                <c:pt idx="17">
                  <c:v>3.3</c:v>
                </c:pt>
                <c:pt idx="18">
                  <c:v>3.2</c:v>
                </c:pt>
                <c:pt idx="19">
                  <c:v>3.1</c:v>
                </c:pt>
                <c:pt idx="20">
                  <c:v>3</c:v>
                </c:pt>
                <c:pt idx="21">
                  <c:v>2.9</c:v>
                </c:pt>
                <c:pt idx="22">
                  <c:v>2.8</c:v>
                </c:pt>
                <c:pt idx="23">
                  <c:v>2.7</c:v>
                </c:pt>
                <c:pt idx="24">
                  <c:v>2.6</c:v>
                </c:pt>
                <c:pt idx="25">
                  <c:v>2.5</c:v>
                </c:pt>
                <c:pt idx="26">
                  <c:v>2.4</c:v>
                </c:pt>
                <c:pt idx="27">
                  <c:v>2.2999999999999998</c:v>
                </c:pt>
                <c:pt idx="28">
                  <c:v>2.2000000000000002</c:v>
                </c:pt>
                <c:pt idx="29">
                  <c:v>2.1</c:v>
                </c:pt>
                <c:pt idx="30">
                  <c:v>2</c:v>
                </c:pt>
                <c:pt idx="31">
                  <c:v>1.9</c:v>
                </c:pt>
                <c:pt idx="32">
                  <c:v>1.8</c:v>
                </c:pt>
                <c:pt idx="33">
                  <c:v>1.7</c:v>
                </c:pt>
                <c:pt idx="34">
                  <c:v>1.6</c:v>
                </c:pt>
                <c:pt idx="35">
                  <c:v>1.5</c:v>
                </c:pt>
                <c:pt idx="36">
                  <c:v>1.4</c:v>
                </c:pt>
                <c:pt idx="37">
                  <c:v>1.3</c:v>
                </c:pt>
                <c:pt idx="38">
                  <c:v>1.2</c:v>
                </c:pt>
                <c:pt idx="39">
                  <c:v>1.1000000000000001</c:v>
                </c:pt>
                <c:pt idx="40">
                  <c:v>1</c:v>
                </c:pt>
                <c:pt idx="41">
                  <c:v>0.9</c:v>
                </c:pt>
                <c:pt idx="42">
                  <c:v>0.8</c:v>
                </c:pt>
                <c:pt idx="43">
                  <c:v>0.7</c:v>
                </c:pt>
                <c:pt idx="44">
                  <c:v>0.6</c:v>
                </c:pt>
                <c:pt idx="45">
                  <c:v>0.5</c:v>
                </c:pt>
                <c:pt idx="46">
                  <c:v>0.4</c:v>
                </c:pt>
                <c:pt idx="47">
                  <c:v>0.3</c:v>
                </c:pt>
                <c:pt idx="48">
                  <c:v>0.2</c:v>
                </c:pt>
                <c:pt idx="49">
                  <c:v>0.1</c:v>
                </c:pt>
                <c:pt idx="50">
                  <c:v>0</c:v>
                </c:pt>
                <c:pt idx="51">
                  <c:v>-0.1</c:v>
                </c:pt>
                <c:pt idx="52">
                  <c:v>-0.2</c:v>
                </c:pt>
                <c:pt idx="53">
                  <c:v>-0.3</c:v>
                </c:pt>
                <c:pt idx="54">
                  <c:v>-0.4</c:v>
                </c:pt>
                <c:pt idx="55">
                  <c:v>-0.5</c:v>
                </c:pt>
                <c:pt idx="56">
                  <c:v>-0.6</c:v>
                </c:pt>
                <c:pt idx="57">
                  <c:v>-0.7</c:v>
                </c:pt>
                <c:pt idx="58">
                  <c:v>-0.8</c:v>
                </c:pt>
                <c:pt idx="59">
                  <c:v>-0.9</c:v>
                </c:pt>
                <c:pt idx="60">
                  <c:v>-1</c:v>
                </c:pt>
                <c:pt idx="61">
                  <c:v>-1.1000000000000001</c:v>
                </c:pt>
                <c:pt idx="62">
                  <c:v>-1.2</c:v>
                </c:pt>
                <c:pt idx="63">
                  <c:v>-1.3</c:v>
                </c:pt>
                <c:pt idx="64">
                  <c:v>-1.4</c:v>
                </c:pt>
                <c:pt idx="65">
                  <c:v>-1.5</c:v>
                </c:pt>
                <c:pt idx="66">
                  <c:v>-1.6</c:v>
                </c:pt>
                <c:pt idx="67">
                  <c:v>-1.7</c:v>
                </c:pt>
                <c:pt idx="68">
                  <c:v>-1.8</c:v>
                </c:pt>
                <c:pt idx="69">
                  <c:v>-1.9</c:v>
                </c:pt>
                <c:pt idx="70">
                  <c:v>-2</c:v>
                </c:pt>
                <c:pt idx="71">
                  <c:v>-2.1</c:v>
                </c:pt>
                <c:pt idx="72">
                  <c:v>-2.2000000000000002</c:v>
                </c:pt>
                <c:pt idx="73">
                  <c:v>-2.2999999999999998</c:v>
                </c:pt>
                <c:pt idx="74">
                  <c:v>-2.4</c:v>
                </c:pt>
                <c:pt idx="75">
                  <c:v>-2.5</c:v>
                </c:pt>
                <c:pt idx="76">
                  <c:v>-2.6</c:v>
                </c:pt>
                <c:pt idx="77">
                  <c:v>-2.7</c:v>
                </c:pt>
                <c:pt idx="78">
                  <c:v>-2.8</c:v>
                </c:pt>
                <c:pt idx="79">
                  <c:v>-2.9</c:v>
                </c:pt>
                <c:pt idx="80">
                  <c:v>-3</c:v>
                </c:pt>
                <c:pt idx="81">
                  <c:v>-3.1</c:v>
                </c:pt>
                <c:pt idx="82">
                  <c:v>-3.2</c:v>
                </c:pt>
                <c:pt idx="83">
                  <c:v>-3.3</c:v>
                </c:pt>
                <c:pt idx="84">
                  <c:v>-3.4</c:v>
                </c:pt>
                <c:pt idx="85">
                  <c:v>-3.5</c:v>
                </c:pt>
                <c:pt idx="86">
                  <c:v>-3.6</c:v>
                </c:pt>
                <c:pt idx="87">
                  <c:v>-3.7</c:v>
                </c:pt>
                <c:pt idx="88">
                  <c:v>-3.8</c:v>
                </c:pt>
                <c:pt idx="89">
                  <c:v>-3.9</c:v>
                </c:pt>
                <c:pt idx="90">
                  <c:v>-4</c:v>
                </c:pt>
                <c:pt idx="91">
                  <c:v>-4.0999999999999996</c:v>
                </c:pt>
                <c:pt idx="92">
                  <c:v>-4.2</c:v>
                </c:pt>
                <c:pt idx="93">
                  <c:v>-4.3</c:v>
                </c:pt>
                <c:pt idx="94">
                  <c:v>-4.4000000000000004</c:v>
                </c:pt>
                <c:pt idx="95">
                  <c:v>-4.5</c:v>
                </c:pt>
                <c:pt idx="96">
                  <c:v>-4.5999999999999996</c:v>
                </c:pt>
                <c:pt idx="97">
                  <c:v>-4.7</c:v>
                </c:pt>
                <c:pt idx="98">
                  <c:v>-4.8</c:v>
                </c:pt>
                <c:pt idx="99">
                  <c:v>-4.9000000000000004</c:v>
                </c:pt>
                <c:pt idx="100">
                  <c:v>-5</c:v>
                </c:pt>
              </c:numCache>
            </c:numRef>
          </c:xVal>
          <c:yVal>
            <c:numRef>
              <c:f>'CS 2do sem datos'!$K$42:$K$142</c:f>
              <c:numCache>
                <c:formatCode>General</c:formatCode>
                <c:ptCount val="101"/>
                <c:pt idx="0">
                  <c:v>0</c:v>
                </c:pt>
                <c:pt idx="1">
                  <c:v>-0.99498743710661741</c:v>
                </c:pt>
                <c:pt idx="2">
                  <c:v>-1.4000000000000004</c:v>
                </c:pt>
                <c:pt idx="3">
                  <c:v>-1.7058722109231972</c:v>
                </c:pt>
                <c:pt idx="4">
                  <c:v>-1.9595917942265433</c:v>
                </c:pt>
                <c:pt idx="5">
                  <c:v>-2.179449471770337</c:v>
                </c:pt>
                <c:pt idx="6">
                  <c:v>-2.3748684174075829</c:v>
                </c:pt>
                <c:pt idx="7">
                  <c:v>-2.5514701644346149</c:v>
                </c:pt>
                <c:pt idx="8">
                  <c:v>-2.7129319932501073</c:v>
                </c:pt>
                <c:pt idx="9">
                  <c:v>-2.8618176042508372</c:v>
                </c:pt>
                <c:pt idx="10">
                  <c:v>-3</c:v>
                </c:pt>
                <c:pt idx="11">
                  <c:v>-3.1288975694324033</c:v>
                </c:pt>
                <c:pt idx="12">
                  <c:v>-3.2496153618543842</c:v>
                </c:pt>
                <c:pt idx="13">
                  <c:v>-3.363034344160047</c:v>
                </c:pt>
                <c:pt idx="14">
                  <c:v>-3.4698703145794942</c:v>
                </c:pt>
                <c:pt idx="15">
                  <c:v>-3.5707142142714252</c:v>
                </c:pt>
                <c:pt idx="16">
                  <c:v>-3.6660605559646724</c:v>
                </c:pt>
                <c:pt idx="17">
                  <c:v>-3.7563279941985899</c:v>
                </c:pt>
                <c:pt idx="18">
                  <c:v>-3.8418745424597089</c:v>
                </c:pt>
                <c:pt idx="19">
                  <c:v>-3.9230090491866059</c:v>
                </c:pt>
                <c:pt idx="20">
                  <c:v>-4</c:v>
                </c:pt>
                <c:pt idx="21">
                  <c:v>-4.0730823708832604</c:v>
                </c:pt>
                <c:pt idx="22">
                  <c:v>-4.1424630354415957</c:v>
                </c:pt>
                <c:pt idx="23">
                  <c:v>-4.2083250825001626</c:v>
                </c:pt>
                <c:pt idx="24">
                  <c:v>-4.2708313008125245</c:v>
                </c:pt>
                <c:pt idx="25">
                  <c:v>-4.3301270189221936</c:v>
                </c:pt>
                <c:pt idx="26">
                  <c:v>-4.3863424398922621</c:v>
                </c:pt>
                <c:pt idx="27">
                  <c:v>-4.4395945760846232</c:v>
                </c:pt>
                <c:pt idx="28">
                  <c:v>-4.4899888641287298</c:v>
                </c:pt>
                <c:pt idx="29">
                  <c:v>-4.5376205218153709</c:v>
                </c:pt>
                <c:pt idx="30">
                  <c:v>-4.5825756949558398</c:v>
                </c:pt>
                <c:pt idx="31">
                  <c:v>-4.6249324319388707</c:v>
                </c:pt>
                <c:pt idx="32">
                  <c:v>-4.6647615158762399</c:v>
                </c:pt>
                <c:pt idx="33">
                  <c:v>-4.702127178203499</c:v>
                </c:pt>
                <c:pt idx="34">
                  <c:v>-4.737087712930804</c:v>
                </c:pt>
                <c:pt idx="35">
                  <c:v>-4.7696960070847281</c:v>
                </c:pt>
                <c:pt idx="36">
                  <c:v>-4.8</c:v>
                </c:pt>
                <c:pt idx="37">
                  <c:v>-4.8280430818293238</c:v>
                </c:pt>
                <c:pt idx="38">
                  <c:v>-4.8538644398046387</c:v>
                </c:pt>
                <c:pt idx="39">
                  <c:v>-4.8774993593028793</c:v>
                </c:pt>
                <c:pt idx="40">
                  <c:v>-4.8989794855663558</c:v>
                </c:pt>
                <c:pt idx="41">
                  <c:v>-4.9183330509431755</c:v>
                </c:pt>
                <c:pt idx="42">
                  <c:v>-4.935585071701226</c:v>
                </c:pt>
                <c:pt idx="43">
                  <c:v>-4.9507575177946253</c:v>
                </c:pt>
                <c:pt idx="44">
                  <c:v>-4.963869458396343</c:v>
                </c:pt>
                <c:pt idx="45">
                  <c:v>-4.9749371855330997</c:v>
                </c:pt>
                <c:pt idx="46">
                  <c:v>-4.9839743177508451</c:v>
                </c:pt>
                <c:pt idx="47">
                  <c:v>-4.9909918853871122</c:v>
                </c:pt>
                <c:pt idx="48">
                  <c:v>-4.9959983987187186</c:v>
                </c:pt>
                <c:pt idx="49">
                  <c:v>-4.9989998999799949</c:v>
                </c:pt>
                <c:pt idx="50">
                  <c:v>-5</c:v>
                </c:pt>
                <c:pt idx="51">
                  <c:v>-4.9989998999799949</c:v>
                </c:pt>
                <c:pt idx="52">
                  <c:v>-4.9959983987187186</c:v>
                </c:pt>
                <c:pt idx="53">
                  <c:v>-4.9909918853871122</c:v>
                </c:pt>
                <c:pt idx="54">
                  <c:v>-4.9839743177508451</c:v>
                </c:pt>
                <c:pt idx="55">
                  <c:v>-4.9749371855330997</c:v>
                </c:pt>
                <c:pt idx="56">
                  <c:v>-4.963869458396343</c:v>
                </c:pt>
                <c:pt idx="57">
                  <c:v>-4.9507575177946253</c:v>
                </c:pt>
                <c:pt idx="58">
                  <c:v>-4.935585071701226</c:v>
                </c:pt>
                <c:pt idx="59">
                  <c:v>-4.9183330509431755</c:v>
                </c:pt>
                <c:pt idx="60">
                  <c:v>-4.8989794855663558</c:v>
                </c:pt>
                <c:pt idx="61">
                  <c:v>-4.8774993593028793</c:v>
                </c:pt>
                <c:pt idx="62">
                  <c:v>-4.8538644398046387</c:v>
                </c:pt>
                <c:pt idx="63">
                  <c:v>-4.8280430818293238</c:v>
                </c:pt>
                <c:pt idx="64">
                  <c:v>-4.8</c:v>
                </c:pt>
                <c:pt idx="65">
                  <c:v>-4.7696960070847281</c:v>
                </c:pt>
                <c:pt idx="66">
                  <c:v>-4.737087712930804</c:v>
                </c:pt>
                <c:pt idx="67">
                  <c:v>-4.702127178203499</c:v>
                </c:pt>
                <c:pt idx="68">
                  <c:v>-4.6647615158762399</c:v>
                </c:pt>
                <c:pt idx="69">
                  <c:v>-4.6249324319388707</c:v>
                </c:pt>
                <c:pt idx="70">
                  <c:v>-4.5825756949558398</c:v>
                </c:pt>
                <c:pt idx="71">
                  <c:v>-4.5376205218153709</c:v>
                </c:pt>
                <c:pt idx="72">
                  <c:v>-4.4899888641287298</c:v>
                </c:pt>
                <c:pt idx="73">
                  <c:v>-4.4395945760846232</c:v>
                </c:pt>
                <c:pt idx="74">
                  <c:v>-4.3863424398922621</c:v>
                </c:pt>
                <c:pt idx="75">
                  <c:v>-4.3301270189221936</c:v>
                </c:pt>
                <c:pt idx="76">
                  <c:v>-4.2708313008125245</c:v>
                </c:pt>
                <c:pt idx="77">
                  <c:v>-4.2083250825001626</c:v>
                </c:pt>
                <c:pt idx="78">
                  <c:v>-4.1424630354415957</c:v>
                </c:pt>
                <c:pt idx="79">
                  <c:v>-4.0730823708832604</c:v>
                </c:pt>
                <c:pt idx="80">
                  <c:v>-4</c:v>
                </c:pt>
                <c:pt idx="81">
                  <c:v>-3.9230090491866059</c:v>
                </c:pt>
                <c:pt idx="82">
                  <c:v>-3.8418745424597089</c:v>
                </c:pt>
                <c:pt idx="83">
                  <c:v>-3.7563279941985899</c:v>
                </c:pt>
                <c:pt idx="84">
                  <c:v>-3.6660605559646724</c:v>
                </c:pt>
                <c:pt idx="85">
                  <c:v>-3.5707142142714252</c:v>
                </c:pt>
                <c:pt idx="86">
                  <c:v>-3.4698703145794942</c:v>
                </c:pt>
                <c:pt idx="87">
                  <c:v>-3.363034344160047</c:v>
                </c:pt>
                <c:pt idx="88">
                  <c:v>-3.2496153618543842</c:v>
                </c:pt>
                <c:pt idx="89">
                  <c:v>-3.1288975694324033</c:v>
                </c:pt>
                <c:pt idx="90">
                  <c:v>-3</c:v>
                </c:pt>
                <c:pt idx="91">
                  <c:v>-2.8618176042508372</c:v>
                </c:pt>
                <c:pt idx="92">
                  <c:v>-2.7129319932501073</c:v>
                </c:pt>
                <c:pt idx="93">
                  <c:v>-2.5514701644346149</c:v>
                </c:pt>
                <c:pt idx="94">
                  <c:v>-2.3748684174075829</c:v>
                </c:pt>
                <c:pt idx="95">
                  <c:v>-2.179449471770337</c:v>
                </c:pt>
                <c:pt idx="96">
                  <c:v>-1.9595917942265433</c:v>
                </c:pt>
                <c:pt idx="97">
                  <c:v>-1.7058722109231972</c:v>
                </c:pt>
                <c:pt idx="98">
                  <c:v>-1.4000000000000004</c:v>
                </c:pt>
                <c:pt idx="99">
                  <c:v>-0.99498743710661741</c:v>
                </c:pt>
                <c:pt idx="100">
                  <c:v>0</c:v>
                </c:pt>
              </c:numCache>
            </c:numRef>
          </c:yVal>
          <c:smooth val="1"/>
        </c:ser>
        <c:ser>
          <c:idx val="93"/>
          <c:order val="24"/>
          <c:spPr>
            <a:ln w="1905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'CS 2do sem datos'!$A$52:$A$132</c:f>
              <c:numCache>
                <c:formatCode>General</c:formatCode>
                <c:ptCount val="81"/>
                <c:pt idx="0">
                  <c:v>4</c:v>
                </c:pt>
                <c:pt idx="1">
                  <c:v>3.9</c:v>
                </c:pt>
                <c:pt idx="2">
                  <c:v>3.8</c:v>
                </c:pt>
                <c:pt idx="3">
                  <c:v>3.7</c:v>
                </c:pt>
                <c:pt idx="4">
                  <c:v>3.6</c:v>
                </c:pt>
                <c:pt idx="5">
                  <c:v>3.5</c:v>
                </c:pt>
                <c:pt idx="6">
                  <c:v>3.4</c:v>
                </c:pt>
                <c:pt idx="7">
                  <c:v>3.3</c:v>
                </c:pt>
                <c:pt idx="8">
                  <c:v>3.2</c:v>
                </c:pt>
                <c:pt idx="9">
                  <c:v>3.1</c:v>
                </c:pt>
                <c:pt idx="10">
                  <c:v>3</c:v>
                </c:pt>
                <c:pt idx="11">
                  <c:v>2.9</c:v>
                </c:pt>
                <c:pt idx="12">
                  <c:v>2.8</c:v>
                </c:pt>
                <c:pt idx="13">
                  <c:v>2.7</c:v>
                </c:pt>
                <c:pt idx="14">
                  <c:v>2.6</c:v>
                </c:pt>
                <c:pt idx="15">
                  <c:v>2.5</c:v>
                </c:pt>
                <c:pt idx="16">
                  <c:v>2.4</c:v>
                </c:pt>
                <c:pt idx="17">
                  <c:v>2.2999999999999998</c:v>
                </c:pt>
                <c:pt idx="18">
                  <c:v>2.2000000000000002</c:v>
                </c:pt>
                <c:pt idx="19">
                  <c:v>2.1</c:v>
                </c:pt>
                <c:pt idx="20">
                  <c:v>2</c:v>
                </c:pt>
                <c:pt idx="21">
                  <c:v>1.9</c:v>
                </c:pt>
                <c:pt idx="22">
                  <c:v>1.8</c:v>
                </c:pt>
                <c:pt idx="23">
                  <c:v>1.7</c:v>
                </c:pt>
                <c:pt idx="24">
                  <c:v>1.6</c:v>
                </c:pt>
                <c:pt idx="25">
                  <c:v>1.5</c:v>
                </c:pt>
                <c:pt idx="26">
                  <c:v>1.4</c:v>
                </c:pt>
                <c:pt idx="27">
                  <c:v>1.3</c:v>
                </c:pt>
                <c:pt idx="28">
                  <c:v>1.2</c:v>
                </c:pt>
                <c:pt idx="29">
                  <c:v>1.1000000000000001</c:v>
                </c:pt>
                <c:pt idx="30">
                  <c:v>1</c:v>
                </c:pt>
                <c:pt idx="31">
                  <c:v>0.9</c:v>
                </c:pt>
                <c:pt idx="32">
                  <c:v>0.8</c:v>
                </c:pt>
                <c:pt idx="33">
                  <c:v>0.7</c:v>
                </c:pt>
                <c:pt idx="34">
                  <c:v>0.6</c:v>
                </c:pt>
                <c:pt idx="35">
                  <c:v>0.5</c:v>
                </c:pt>
                <c:pt idx="36">
                  <c:v>0.4</c:v>
                </c:pt>
                <c:pt idx="37">
                  <c:v>0.3</c:v>
                </c:pt>
                <c:pt idx="38">
                  <c:v>0.2</c:v>
                </c:pt>
                <c:pt idx="39">
                  <c:v>0.1</c:v>
                </c:pt>
                <c:pt idx="40">
                  <c:v>0</c:v>
                </c:pt>
                <c:pt idx="41">
                  <c:v>-0.1</c:v>
                </c:pt>
                <c:pt idx="42">
                  <c:v>-0.2</c:v>
                </c:pt>
                <c:pt idx="43">
                  <c:v>-0.3</c:v>
                </c:pt>
                <c:pt idx="44">
                  <c:v>-0.4</c:v>
                </c:pt>
                <c:pt idx="45">
                  <c:v>-0.5</c:v>
                </c:pt>
                <c:pt idx="46">
                  <c:v>-0.6</c:v>
                </c:pt>
                <c:pt idx="47">
                  <c:v>-0.7</c:v>
                </c:pt>
                <c:pt idx="48">
                  <c:v>-0.8</c:v>
                </c:pt>
                <c:pt idx="49">
                  <c:v>-0.9</c:v>
                </c:pt>
                <c:pt idx="50">
                  <c:v>-1</c:v>
                </c:pt>
                <c:pt idx="51">
                  <c:v>-1.1000000000000001</c:v>
                </c:pt>
                <c:pt idx="52">
                  <c:v>-1.2</c:v>
                </c:pt>
                <c:pt idx="53">
                  <c:v>-1.3</c:v>
                </c:pt>
                <c:pt idx="54">
                  <c:v>-1.4</c:v>
                </c:pt>
                <c:pt idx="55">
                  <c:v>-1.5</c:v>
                </c:pt>
                <c:pt idx="56">
                  <c:v>-1.6</c:v>
                </c:pt>
                <c:pt idx="57">
                  <c:v>-1.7</c:v>
                </c:pt>
                <c:pt idx="58">
                  <c:v>-1.8</c:v>
                </c:pt>
                <c:pt idx="59">
                  <c:v>-1.9</c:v>
                </c:pt>
                <c:pt idx="60">
                  <c:v>-2</c:v>
                </c:pt>
                <c:pt idx="61">
                  <c:v>-2.1</c:v>
                </c:pt>
                <c:pt idx="62">
                  <c:v>-2.2000000000000002</c:v>
                </c:pt>
                <c:pt idx="63">
                  <c:v>-2.2999999999999998</c:v>
                </c:pt>
                <c:pt idx="64">
                  <c:v>-2.4</c:v>
                </c:pt>
                <c:pt idx="65">
                  <c:v>-2.5</c:v>
                </c:pt>
                <c:pt idx="66">
                  <c:v>-2.6</c:v>
                </c:pt>
                <c:pt idx="67">
                  <c:v>-2.7</c:v>
                </c:pt>
                <c:pt idx="68">
                  <c:v>-2.8</c:v>
                </c:pt>
                <c:pt idx="69">
                  <c:v>-2.9</c:v>
                </c:pt>
                <c:pt idx="70">
                  <c:v>-3</c:v>
                </c:pt>
                <c:pt idx="71">
                  <c:v>-3.1</c:v>
                </c:pt>
                <c:pt idx="72">
                  <c:v>-3.2</c:v>
                </c:pt>
                <c:pt idx="73">
                  <c:v>-3.3</c:v>
                </c:pt>
                <c:pt idx="74">
                  <c:v>-3.4</c:v>
                </c:pt>
                <c:pt idx="75">
                  <c:v>-3.5</c:v>
                </c:pt>
                <c:pt idx="76">
                  <c:v>-3.6</c:v>
                </c:pt>
                <c:pt idx="77">
                  <c:v>-3.7</c:v>
                </c:pt>
                <c:pt idx="78">
                  <c:v>-3.8</c:v>
                </c:pt>
                <c:pt idx="79">
                  <c:v>-3.9</c:v>
                </c:pt>
                <c:pt idx="80">
                  <c:v>-4</c:v>
                </c:pt>
              </c:numCache>
            </c:numRef>
          </c:xVal>
          <c:yVal>
            <c:numRef>
              <c:f>'CS 2do sem datos'!$L$52:$L$132</c:f>
              <c:numCache>
                <c:formatCode>General</c:formatCode>
                <c:ptCount val="81"/>
                <c:pt idx="0">
                  <c:v>0</c:v>
                </c:pt>
                <c:pt idx="1">
                  <c:v>0.88881944173155936</c:v>
                </c:pt>
                <c:pt idx="2">
                  <c:v>1.2489995996796799</c:v>
                </c:pt>
                <c:pt idx="3">
                  <c:v>1.5198684153570658</c:v>
                </c:pt>
                <c:pt idx="4">
                  <c:v>1.7435595774162691</c:v>
                </c:pt>
                <c:pt idx="5">
                  <c:v>1.9364916731037085</c:v>
                </c:pt>
                <c:pt idx="6">
                  <c:v>2.1071307505705481</c:v>
                </c:pt>
                <c:pt idx="7">
                  <c:v>2.2605309110914633</c:v>
                </c:pt>
                <c:pt idx="8">
                  <c:v>2.3999999999999995</c:v>
                </c:pt>
                <c:pt idx="9">
                  <c:v>2.5278449319529073</c:v>
                </c:pt>
                <c:pt idx="10">
                  <c:v>2.6457513110645907</c:v>
                </c:pt>
                <c:pt idx="11">
                  <c:v>2.7549954627911823</c:v>
                </c:pt>
                <c:pt idx="12">
                  <c:v>2.8565713714171399</c:v>
                </c:pt>
                <c:pt idx="13">
                  <c:v>2.9512709126747412</c:v>
                </c:pt>
                <c:pt idx="14">
                  <c:v>3.0397368307141326</c:v>
                </c:pt>
                <c:pt idx="15">
                  <c:v>3.1224989991991992</c:v>
                </c:pt>
                <c:pt idx="16">
                  <c:v>3.2</c:v>
                </c:pt>
                <c:pt idx="17">
                  <c:v>3.2726136343907144</c:v>
                </c:pt>
                <c:pt idx="18">
                  <c:v>3.3406586176980131</c:v>
                </c:pt>
                <c:pt idx="19">
                  <c:v>3.4044089061098401</c:v>
                </c:pt>
                <c:pt idx="20">
                  <c:v>3.4641016151377544</c:v>
                </c:pt>
                <c:pt idx="21">
                  <c:v>3.5199431813596083</c:v>
                </c:pt>
                <c:pt idx="22">
                  <c:v>3.5721142198983502</c:v>
                </c:pt>
                <c:pt idx="23">
                  <c:v>3.6207733980463344</c:v>
                </c:pt>
                <c:pt idx="24">
                  <c:v>3.666060555964672</c:v>
                </c:pt>
                <c:pt idx="25">
                  <c:v>3.7080992435478315</c:v>
                </c:pt>
                <c:pt idx="26">
                  <c:v>3.746998799039039</c:v>
                </c:pt>
                <c:pt idx="27">
                  <c:v>3.7828560638755477</c:v>
                </c:pt>
                <c:pt idx="28">
                  <c:v>3.8157568056677826</c:v>
                </c:pt>
                <c:pt idx="29">
                  <c:v>3.8457769046058821</c:v>
                </c:pt>
                <c:pt idx="30">
                  <c:v>3.872983346207417</c:v>
                </c:pt>
                <c:pt idx="31">
                  <c:v>3.8974350539810154</c:v>
                </c:pt>
                <c:pt idx="32">
                  <c:v>3.9191835884530848</c:v>
                </c:pt>
                <c:pt idx="33">
                  <c:v>3.9382737335030433</c:v>
                </c:pt>
                <c:pt idx="34">
                  <c:v>3.954743986657038</c:v>
                </c:pt>
                <c:pt idx="35">
                  <c:v>3.9686269665968861</c:v>
                </c:pt>
                <c:pt idx="36">
                  <c:v>3.9799497484264799</c:v>
                </c:pt>
                <c:pt idx="37">
                  <c:v>3.9887341350358261</c:v>
                </c:pt>
                <c:pt idx="38">
                  <c:v>3.9949968710876358</c:v>
                </c:pt>
                <c:pt idx="39">
                  <c:v>3.9987498046264411</c:v>
                </c:pt>
                <c:pt idx="40">
                  <c:v>4</c:v>
                </c:pt>
                <c:pt idx="41">
                  <c:v>3.9987498046264411</c:v>
                </c:pt>
                <c:pt idx="42">
                  <c:v>3.9949968710876358</c:v>
                </c:pt>
                <c:pt idx="43">
                  <c:v>3.9887341350358261</c:v>
                </c:pt>
                <c:pt idx="44">
                  <c:v>3.9799497484264799</c:v>
                </c:pt>
                <c:pt idx="45">
                  <c:v>3.9686269665968861</c:v>
                </c:pt>
                <c:pt idx="46">
                  <c:v>3.954743986657038</c:v>
                </c:pt>
                <c:pt idx="47">
                  <c:v>3.9382737335030433</c:v>
                </c:pt>
                <c:pt idx="48">
                  <c:v>3.9191835884530848</c:v>
                </c:pt>
                <c:pt idx="49">
                  <c:v>3.8974350539810154</c:v>
                </c:pt>
                <c:pt idx="50">
                  <c:v>3.872983346207417</c:v>
                </c:pt>
                <c:pt idx="51">
                  <c:v>3.8457769046058821</c:v>
                </c:pt>
                <c:pt idx="52">
                  <c:v>3.8157568056677826</c:v>
                </c:pt>
                <c:pt idx="53">
                  <c:v>3.7828560638755477</c:v>
                </c:pt>
                <c:pt idx="54">
                  <c:v>3.746998799039039</c:v>
                </c:pt>
                <c:pt idx="55">
                  <c:v>3.7080992435478315</c:v>
                </c:pt>
                <c:pt idx="56">
                  <c:v>3.666060555964672</c:v>
                </c:pt>
                <c:pt idx="57">
                  <c:v>3.6207733980463344</c:v>
                </c:pt>
                <c:pt idx="58">
                  <c:v>3.5721142198983502</c:v>
                </c:pt>
                <c:pt idx="59">
                  <c:v>3.5199431813596083</c:v>
                </c:pt>
                <c:pt idx="60">
                  <c:v>3.4641016151377544</c:v>
                </c:pt>
                <c:pt idx="61">
                  <c:v>3.4044089061098401</c:v>
                </c:pt>
                <c:pt idx="62">
                  <c:v>3.3406586176980131</c:v>
                </c:pt>
                <c:pt idx="63">
                  <c:v>3.2726136343907144</c:v>
                </c:pt>
                <c:pt idx="64">
                  <c:v>3.2</c:v>
                </c:pt>
                <c:pt idx="65">
                  <c:v>3.1224989991991992</c:v>
                </c:pt>
                <c:pt idx="66">
                  <c:v>3.0397368307141326</c:v>
                </c:pt>
                <c:pt idx="67">
                  <c:v>2.9512709126747412</c:v>
                </c:pt>
                <c:pt idx="68">
                  <c:v>2.8565713714171399</c:v>
                </c:pt>
                <c:pt idx="69">
                  <c:v>2.7549954627911823</c:v>
                </c:pt>
                <c:pt idx="70">
                  <c:v>2.6457513110645907</c:v>
                </c:pt>
                <c:pt idx="71">
                  <c:v>2.5278449319529073</c:v>
                </c:pt>
                <c:pt idx="72">
                  <c:v>2.3999999999999995</c:v>
                </c:pt>
                <c:pt idx="73">
                  <c:v>2.2605309110914633</c:v>
                </c:pt>
                <c:pt idx="74">
                  <c:v>2.1071307505705481</c:v>
                </c:pt>
                <c:pt idx="75">
                  <c:v>1.9364916731037085</c:v>
                </c:pt>
                <c:pt idx="76">
                  <c:v>1.7435595774162691</c:v>
                </c:pt>
                <c:pt idx="77">
                  <c:v>1.5198684153570658</c:v>
                </c:pt>
                <c:pt idx="78">
                  <c:v>1.2489995996796799</c:v>
                </c:pt>
                <c:pt idx="79">
                  <c:v>0.88881944173155936</c:v>
                </c:pt>
                <c:pt idx="80">
                  <c:v>0</c:v>
                </c:pt>
              </c:numCache>
            </c:numRef>
          </c:yVal>
          <c:smooth val="1"/>
        </c:ser>
        <c:ser>
          <c:idx val="94"/>
          <c:order val="25"/>
          <c:spPr>
            <a:ln w="1905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'CS 2do sem datos'!$A$52:$A$132</c:f>
              <c:numCache>
                <c:formatCode>General</c:formatCode>
                <c:ptCount val="81"/>
                <c:pt idx="0">
                  <c:v>4</c:v>
                </c:pt>
                <c:pt idx="1">
                  <c:v>3.9</c:v>
                </c:pt>
                <c:pt idx="2">
                  <c:v>3.8</c:v>
                </c:pt>
                <c:pt idx="3">
                  <c:v>3.7</c:v>
                </c:pt>
                <c:pt idx="4">
                  <c:v>3.6</c:v>
                </c:pt>
                <c:pt idx="5">
                  <c:v>3.5</c:v>
                </c:pt>
                <c:pt idx="6">
                  <c:v>3.4</c:v>
                </c:pt>
                <c:pt idx="7">
                  <c:v>3.3</c:v>
                </c:pt>
                <c:pt idx="8">
                  <c:v>3.2</c:v>
                </c:pt>
                <c:pt idx="9">
                  <c:v>3.1</c:v>
                </c:pt>
                <c:pt idx="10">
                  <c:v>3</c:v>
                </c:pt>
                <c:pt idx="11">
                  <c:v>2.9</c:v>
                </c:pt>
                <c:pt idx="12">
                  <c:v>2.8</c:v>
                </c:pt>
                <c:pt idx="13">
                  <c:v>2.7</c:v>
                </c:pt>
                <c:pt idx="14">
                  <c:v>2.6</c:v>
                </c:pt>
                <c:pt idx="15">
                  <c:v>2.5</c:v>
                </c:pt>
                <c:pt idx="16">
                  <c:v>2.4</c:v>
                </c:pt>
                <c:pt idx="17">
                  <c:v>2.2999999999999998</c:v>
                </c:pt>
                <c:pt idx="18">
                  <c:v>2.2000000000000002</c:v>
                </c:pt>
                <c:pt idx="19">
                  <c:v>2.1</c:v>
                </c:pt>
                <c:pt idx="20">
                  <c:v>2</c:v>
                </c:pt>
                <c:pt idx="21">
                  <c:v>1.9</c:v>
                </c:pt>
                <c:pt idx="22">
                  <c:v>1.8</c:v>
                </c:pt>
                <c:pt idx="23">
                  <c:v>1.7</c:v>
                </c:pt>
                <c:pt idx="24">
                  <c:v>1.6</c:v>
                </c:pt>
                <c:pt idx="25">
                  <c:v>1.5</c:v>
                </c:pt>
                <c:pt idx="26">
                  <c:v>1.4</c:v>
                </c:pt>
                <c:pt idx="27">
                  <c:v>1.3</c:v>
                </c:pt>
                <c:pt idx="28">
                  <c:v>1.2</c:v>
                </c:pt>
                <c:pt idx="29">
                  <c:v>1.1000000000000001</c:v>
                </c:pt>
                <c:pt idx="30">
                  <c:v>1</c:v>
                </c:pt>
                <c:pt idx="31">
                  <c:v>0.9</c:v>
                </c:pt>
                <c:pt idx="32">
                  <c:v>0.8</c:v>
                </c:pt>
                <c:pt idx="33">
                  <c:v>0.7</c:v>
                </c:pt>
                <c:pt idx="34">
                  <c:v>0.6</c:v>
                </c:pt>
                <c:pt idx="35">
                  <c:v>0.5</c:v>
                </c:pt>
                <c:pt idx="36">
                  <c:v>0.4</c:v>
                </c:pt>
                <c:pt idx="37">
                  <c:v>0.3</c:v>
                </c:pt>
                <c:pt idx="38">
                  <c:v>0.2</c:v>
                </c:pt>
                <c:pt idx="39">
                  <c:v>0.1</c:v>
                </c:pt>
                <c:pt idx="40">
                  <c:v>0</c:v>
                </c:pt>
                <c:pt idx="41">
                  <c:v>-0.1</c:v>
                </c:pt>
                <c:pt idx="42">
                  <c:v>-0.2</c:v>
                </c:pt>
                <c:pt idx="43">
                  <c:v>-0.3</c:v>
                </c:pt>
                <c:pt idx="44">
                  <c:v>-0.4</c:v>
                </c:pt>
                <c:pt idx="45">
                  <c:v>-0.5</c:v>
                </c:pt>
                <c:pt idx="46">
                  <c:v>-0.6</c:v>
                </c:pt>
                <c:pt idx="47">
                  <c:v>-0.7</c:v>
                </c:pt>
                <c:pt idx="48">
                  <c:v>-0.8</c:v>
                </c:pt>
                <c:pt idx="49">
                  <c:v>-0.9</c:v>
                </c:pt>
                <c:pt idx="50">
                  <c:v>-1</c:v>
                </c:pt>
                <c:pt idx="51">
                  <c:v>-1.1000000000000001</c:v>
                </c:pt>
                <c:pt idx="52">
                  <c:v>-1.2</c:v>
                </c:pt>
                <c:pt idx="53">
                  <c:v>-1.3</c:v>
                </c:pt>
                <c:pt idx="54">
                  <c:v>-1.4</c:v>
                </c:pt>
                <c:pt idx="55">
                  <c:v>-1.5</c:v>
                </c:pt>
                <c:pt idx="56">
                  <c:v>-1.6</c:v>
                </c:pt>
                <c:pt idx="57">
                  <c:v>-1.7</c:v>
                </c:pt>
                <c:pt idx="58">
                  <c:v>-1.8</c:v>
                </c:pt>
                <c:pt idx="59">
                  <c:v>-1.9</c:v>
                </c:pt>
                <c:pt idx="60">
                  <c:v>-2</c:v>
                </c:pt>
                <c:pt idx="61">
                  <c:v>-2.1</c:v>
                </c:pt>
                <c:pt idx="62">
                  <c:v>-2.2000000000000002</c:v>
                </c:pt>
                <c:pt idx="63">
                  <c:v>-2.2999999999999998</c:v>
                </c:pt>
                <c:pt idx="64">
                  <c:v>-2.4</c:v>
                </c:pt>
                <c:pt idx="65">
                  <c:v>-2.5</c:v>
                </c:pt>
                <c:pt idx="66">
                  <c:v>-2.6</c:v>
                </c:pt>
                <c:pt idx="67">
                  <c:v>-2.7</c:v>
                </c:pt>
                <c:pt idx="68">
                  <c:v>-2.8</c:v>
                </c:pt>
                <c:pt idx="69">
                  <c:v>-2.9</c:v>
                </c:pt>
                <c:pt idx="70">
                  <c:v>-3</c:v>
                </c:pt>
                <c:pt idx="71">
                  <c:v>-3.1</c:v>
                </c:pt>
                <c:pt idx="72">
                  <c:v>-3.2</c:v>
                </c:pt>
                <c:pt idx="73">
                  <c:v>-3.3</c:v>
                </c:pt>
                <c:pt idx="74">
                  <c:v>-3.4</c:v>
                </c:pt>
                <c:pt idx="75">
                  <c:v>-3.5</c:v>
                </c:pt>
                <c:pt idx="76">
                  <c:v>-3.6</c:v>
                </c:pt>
                <c:pt idx="77">
                  <c:v>-3.7</c:v>
                </c:pt>
                <c:pt idx="78">
                  <c:v>-3.8</c:v>
                </c:pt>
                <c:pt idx="79">
                  <c:v>-3.9</c:v>
                </c:pt>
                <c:pt idx="80">
                  <c:v>-4</c:v>
                </c:pt>
              </c:numCache>
            </c:numRef>
          </c:xVal>
          <c:yVal>
            <c:numRef>
              <c:f>'CS 2do sem datos'!$M$52:$M$132</c:f>
              <c:numCache>
                <c:formatCode>General</c:formatCode>
                <c:ptCount val="81"/>
                <c:pt idx="0">
                  <c:v>0</c:v>
                </c:pt>
                <c:pt idx="1">
                  <c:v>-0.88881944173155936</c:v>
                </c:pt>
                <c:pt idx="2">
                  <c:v>-1.2489995996796799</c:v>
                </c:pt>
                <c:pt idx="3">
                  <c:v>-1.5198684153570658</c:v>
                </c:pt>
                <c:pt idx="4">
                  <c:v>-1.7435595774162691</c:v>
                </c:pt>
                <c:pt idx="5">
                  <c:v>-1.9364916731037085</c:v>
                </c:pt>
                <c:pt idx="6">
                  <c:v>-2.1071307505705481</c:v>
                </c:pt>
                <c:pt idx="7">
                  <c:v>-2.2605309110914633</c:v>
                </c:pt>
                <c:pt idx="8">
                  <c:v>-2.3999999999999995</c:v>
                </c:pt>
                <c:pt idx="9">
                  <c:v>-2.5278449319529073</c:v>
                </c:pt>
                <c:pt idx="10">
                  <c:v>-2.6457513110645907</c:v>
                </c:pt>
                <c:pt idx="11">
                  <c:v>-2.7549954627911823</c:v>
                </c:pt>
                <c:pt idx="12">
                  <c:v>-2.8565713714171399</c:v>
                </c:pt>
                <c:pt idx="13">
                  <c:v>-2.9512709126747412</c:v>
                </c:pt>
                <c:pt idx="14">
                  <c:v>-3.0397368307141326</c:v>
                </c:pt>
                <c:pt idx="15">
                  <c:v>-3.1224989991991992</c:v>
                </c:pt>
                <c:pt idx="16">
                  <c:v>-3.2</c:v>
                </c:pt>
                <c:pt idx="17">
                  <c:v>-3.2726136343907144</c:v>
                </c:pt>
                <c:pt idx="18">
                  <c:v>-3.3406586176980131</c:v>
                </c:pt>
                <c:pt idx="19">
                  <c:v>-3.4044089061098401</c:v>
                </c:pt>
                <c:pt idx="20">
                  <c:v>-3.4641016151377544</c:v>
                </c:pt>
                <c:pt idx="21">
                  <c:v>-3.5199431813596083</c:v>
                </c:pt>
                <c:pt idx="22">
                  <c:v>-3.5721142198983502</c:v>
                </c:pt>
                <c:pt idx="23">
                  <c:v>-3.6207733980463344</c:v>
                </c:pt>
                <c:pt idx="24">
                  <c:v>-3.666060555964672</c:v>
                </c:pt>
                <c:pt idx="25">
                  <c:v>-3.7080992435478315</c:v>
                </c:pt>
                <c:pt idx="26">
                  <c:v>-3.746998799039039</c:v>
                </c:pt>
                <c:pt idx="27">
                  <c:v>-3.7828560638755477</c:v>
                </c:pt>
                <c:pt idx="28">
                  <c:v>-3.8157568056677826</c:v>
                </c:pt>
                <c:pt idx="29">
                  <c:v>-3.8457769046058821</c:v>
                </c:pt>
                <c:pt idx="30">
                  <c:v>-3.872983346207417</c:v>
                </c:pt>
                <c:pt idx="31">
                  <c:v>-3.8974350539810154</c:v>
                </c:pt>
                <c:pt idx="32">
                  <c:v>-3.9191835884530848</c:v>
                </c:pt>
                <c:pt idx="33">
                  <c:v>-3.9382737335030433</c:v>
                </c:pt>
                <c:pt idx="34">
                  <c:v>-3.954743986657038</c:v>
                </c:pt>
                <c:pt idx="35">
                  <c:v>-3.9686269665968861</c:v>
                </c:pt>
                <c:pt idx="36">
                  <c:v>-3.9799497484264799</c:v>
                </c:pt>
                <c:pt idx="37">
                  <c:v>-3.9887341350358261</c:v>
                </c:pt>
                <c:pt idx="38">
                  <c:v>-3.9949968710876358</c:v>
                </c:pt>
                <c:pt idx="39">
                  <c:v>-3.9987498046264411</c:v>
                </c:pt>
                <c:pt idx="40">
                  <c:v>-4</c:v>
                </c:pt>
                <c:pt idx="41">
                  <c:v>-3.9987498046264411</c:v>
                </c:pt>
                <c:pt idx="42">
                  <c:v>-3.9949968710876358</c:v>
                </c:pt>
                <c:pt idx="43">
                  <c:v>-3.9887341350358261</c:v>
                </c:pt>
                <c:pt idx="44">
                  <c:v>-3.9799497484264799</c:v>
                </c:pt>
                <c:pt idx="45">
                  <c:v>-3.9686269665968861</c:v>
                </c:pt>
                <c:pt idx="46">
                  <c:v>-3.954743986657038</c:v>
                </c:pt>
                <c:pt idx="47">
                  <c:v>-3.9382737335030433</c:v>
                </c:pt>
                <c:pt idx="48">
                  <c:v>-3.9191835884530848</c:v>
                </c:pt>
                <c:pt idx="49">
                  <c:v>-3.8974350539810154</c:v>
                </c:pt>
                <c:pt idx="50">
                  <c:v>-3.872983346207417</c:v>
                </c:pt>
                <c:pt idx="51">
                  <c:v>-3.8457769046058821</c:v>
                </c:pt>
                <c:pt idx="52">
                  <c:v>-3.8157568056677826</c:v>
                </c:pt>
                <c:pt idx="53">
                  <c:v>-3.7828560638755477</c:v>
                </c:pt>
                <c:pt idx="54">
                  <c:v>-3.746998799039039</c:v>
                </c:pt>
                <c:pt idx="55">
                  <c:v>-3.7080992435478315</c:v>
                </c:pt>
                <c:pt idx="56">
                  <c:v>-3.666060555964672</c:v>
                </c:pt>
                <c:pt idx="57">
                  <c:v>-3.6207733980463344</c:v>
                </c:pt>
                <c:pt idx="58">
                  <c:v>-3.5721142198983502</c:v>
                </c:pt>
                <c:pt idx="59">
                  <c:v>-3.5199431813596083</c:v>
                </c:pt>
                <c:pt idx="60">
                  <c:v>-3.4641016151377544</c:v>
                </c:pt>
                <c:pt idx="61">
                  <c:v>-3.4044089061098401</c:v>
                </c:pt>
                <c:pt idx="62">
                  <c:v>-3.3406586176980131</c:v>
                </c:pt>
                <c:pt idx="63">
                  <c:v>-3.2726136343907144</c:v>
                </c:pt>
                <c:pt idx="64">
                  <c:v>-3.2</c:v>
                </c:pt>
                <c:pt idx="65">
                  <c:v>-3.1224989991991992</c:v>
                </c:pt>
                <c:pt idx="66">
                  <c:v>-3.0397368307141326</c:v>
                </c:pt>
                <c:pt idx="67">
                  <c:v>-2.9512709126747412</c:v>
                </c:pt>
                <c:pt idx="68">
                  <c:v>-2.8565713714171399</c:v>
                </c:pt>
                <c:pt idx="69">
                  <c:v>-2.7549954627911823</c:v>
                </c:pt>
                <c:pt idx="70">
                  <c:v>-2.6457513110645907</c:v>
                </c:pt>
                <c:pt idx="71">
                  <c:v>-2.5278449319529073</c:v>
                </c:pt>
                <c:pt idx="72">
                  <c:v>-2.3999999999999995</c:v>
                </c:pt>
                <c:pt idx="73">
                  <c:v>-2.2605309110914633</c:v>
                </c:pt>
                <c:pt idx="74">
                  <c:v>-2.1071307505705481</c:v>
                </c:pt>
                <c:pt idx="75">
                  <c:v>-1.9364916731037085</c:v>
                </c:pt>
                <c:pt idx="76">
                  <c:v>-1.7435595774162691</c:v>
                </c:pt>
                <c:pt idx="77">
                  <c:v>-1.5198684153570658</c:v>
                </c:pt>
                <c:pt idx="78">
                  <c:v>-1.2489995996796799</c:v>
                </c:pt>
                <c:pt idx="79">
                  <c:v>-0.88881944173155936</c:v>
                </c:pt>
                <c:pt idx="80">
                  <c:v>0</c:v>
                </c:pt>
              </c:numCache>
            </c:numRef>
          </c:yVal>
          <c:smooth val="1"/>
        </c:ser>
        <c:ser>
          <c:idx val="97"/>
          <c:order val="26"/>
          <c:spPr>
            <a:ln w="1905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'CS 2do sem datos'!$A$62:$A$122</c:f>
              <c:numCache>
                <c:formatCode>General</c:formatCode>
                <c:ptCount val="61"/>
                <c:pt idx="0">
                  <c:v>3</c:v>
                </c:pt>
                <c:pt idx="1">
                  <c:v>2.9</c:v>
                </c:pt>
                <c:pt idx="2">
                  <c:v>2.8</c:v>
                </c:pt>
                <c:pt idx="3">
                  <c:v>2.7</c:v>
                </c:pt>
                <c:pt idx="4">
                  <c:v>2.6</c:v>
                </c:pt>
                <c:pt idx="5">
                  <c:v>2.5</c:v>
                </c:pt>
                <c:pt idx="6">
                  <c:v>2.4</c:v>
                </c:pt>
                <c:pt idx="7">
                  <c:v>2.2999999999999998</c:v>
                </c:pt>
                <c:pt idx="8">
                  <c:v>2.2000000000000002</c:v>
                </c:pt>
                <c:pt idx="9">
                  <c:v>2.1</c:v>
                </c:pt>
                <c:pt idx="10">
                  <c:v>2</c:v>
                </c:pt>
                <c:pt idx="11">
                  <c:v>1.9</c:v>
                </c:pt>
                <c:pt idx="12">
                  <c:v>1.8</c:v>
                </c:pt>
                <c:pt idx="13">
                  <c:v>1.7</c:v>
                </c:pt>
                <c:pt idx="14">
                  <c:v>1.6</c:v>
                </c:pt>
                <c:pt idx="15">
                  <c:v>1.5</c:v>
                </c:pt>
                <c:pt idx="16">
                  <c:v>1.4</c:v>
                </c:pt>
                <c:pt idx="17">
                  <c:v>1.3</c:v>
                </c:pt>
                <c:pt idx="18">
                  <c:v>1.2</c:v>
                </c:pt>
                <c:pt idx="19">
                  <c:v>1.1000000000000001</c:v>
                </c:pt>
                <c:pt idx="20">
                  <c:v>1</c:v>
                </c:pt>
                <c:pt idx="21">
                  <c:v>0.9</c:v>
                </c:pt>
                <c:pt idx="22">
                  <c:v>0.8</c:v>
                </c:pt>
                <c:pt idx="23">
                  <c:v>0.7</c:v>
                </c:pt>
                <c:pt idx="24">
                  <c:v>0.6</c:v>
                </c:pt>
                <c:pt idx="25">
                  <c:v>0.5</c:v>
                </c:pt>
                <c:pt idx="26">
                  <c:v>0.4</c:v>
                </c:pt>
                <c:pt idx="27">
                  <c:v>0.3</c:v>
                </c:pt>
                <c:pt idx="28">
                  <c:v>0.2</c:v>
                </c:pt>
                <c:pt idx="29">
                  <c:v>0.1</c:v>
                </c:pt>
                <c:pt idx="30">
                  <c:v>0</c:v>
                </c:pt>
                <c:pt idx="31">
                  <c:v>-0.1</c:v>
                </c:pt>
                <c:pt idx="32">
                  <c:v>-0.2</c:v>
                </c:pt>
                <c:pt idx="33">
                  <c:v>-0.3</c:v>
                </c:pt>
                <c:pt idx="34">
                  <c:v>-0.4</c:v>
                </c:pt>
                <c:pt idx="35">
                  <c:v>-0.5</c:v>
                </c:pt>
                <c:pt idx="36">
                  <c:v>-0.6</c:v>
                </c:pt>
                <c:pt idx="37">
                  <c:v>-0.7</c:v>
                </c:pt>
                <c:pt idx="38">
                  <c:v>-0.8</c:v>
                </c:pt>
                <c:pt idx="39">
                  <c:v>-0.9</c:v>
                </c:pt>
                <c:pt idx="40">
                  <c:v>-1</c:v>
                </c:pt>
                <c:pt idx="41">
                  <c:v>-1.1000000000000001</c:v>
                </c:pt>
                <c:pt idx="42">
                  <c:v>-1.2</c:v>
                </c:pt>
                <c:pt idx="43">
                  <c:v>-1.3</c:v>
                </c:pt>
                <c:pt idx="44">
                  <c:v>-1.4</c:v>
                </c:pt>
                <c:pt idx="45">
                  <c:v>-1.5</c:v>
                </c:pt>
                <c:pt idx="46">
                  <c:v>-1.6</c:v>
                </c:pt>
                <c:pt idx="47">
                  <c:v>-1.7</c:v>
                </c:pt>
                <c:pt idx="48">
                  <c:v>-1.8</c:v>
                </c:pt>
                <c:pt idx="49">
                  <c:v>-1.9</c:v>
                </c:pt>
                <c:pt idx="50">
                  <c:v>-2</c:v>
                </c:pt>
                <c:pt idx="51">
                  <c:v>-2.1</c:v>
                </c:pt>
                <c:pt idx="52">
                  <c:v>-2.2000000000000002</c:v>
                </c:pt>
                <c:pt idx="53">
                  <c:v>-2.2999999999999998</c:v>
                </c:pt>
                <c:pt idx="54">
                  <c:v>-2.4</c:v>
                </c:pt>
                <c:pt idx="55">
                  <c:v>-2.5</c:v>
                </c:pt>
                <c:pt idx="56">
                  <c:v>-2.6</c:v>
                </c:pt>
                <c:pt idx="57">
                  <c:v>-2.7</c:v>
                </c:pt>
                <c:pt idx="58">
                  <c:v>-2.8</c:v>
                </c:pt>
                <c:pt idx="59">
                  <c:v>-2.9</c:v>
                </c:pt>
                <c:pt idx="60">
                  <c:v>-3</c:v>
                </c:pt>
              </c:numCache>
            </c:numRef>
          </c:xVal>
          <c:yVal>
            <c:numRef>
              <c:f>'CS 2do sem datos'!$N$62:$N$122</c:f>
              <c:numCache>
                <c:formatCode>General</c:formatCode>
                <c:ptCount val="61"/>
                <c:pt idx="0">
                  <c:v>0</c:v>
                </c:pt>
                <c:pt idx="1">
                  <c:v>0.76811457478686074</c:v>
                </c:pt>
                <c:pt idx="2">
                  <c:v>1.0770329614269012</c:v>
                </c:pt>
                <c:pt idx="3">
                  <c:v>1.3076696830622017</c:v>
                </c:pt>
                <c:pt idx="4">
                  <c:v>1.4966629547095762</c:v>
                </c:pt>
                <c:pt idx="5">
                  <c:v>1.6583123951776999</c:v>
                </c:pt>
                <c:pt idx="6">
                  <c:v>1.8</c:v>
                </c:pt>
                <c:pt idx="7">
                  <c:v>1.9261360284258224</c:v>
                </c:pt>
                <c:pt idx="8">
                  <c:v>2.0396078054371136</c:v>
                </c:pt>
                <c:pt idx="9">
                  <c:v>2.142428528562855</c:v>
                </c:pt>
                <c:pt idx="10">
                  <c:v>2.2360679774997898</c:v>
                </c:pt>
                <c:pt idx="11">
                  <c:v>2.32163735324878</c:v>
                </c:pt>
                <c:pt idx="12">
                  <c:v>2.4</c:v>
                </c:pt>
                <c:pt idx="13">
                  <c:v>2.4718414188616551</c:v>
                </c:pt>
                <c:pt idx="14">
                  <c:v>2.5377155080899039</c:v>
                </c:pt>
                <c:pt idx="15">
                  <c:v>2.598076211353316</c:v>
                </c:pt>
                <c:pt idx="16">
                  <c:v>2.6532998322843198</c:v>
                </c:pt>
                <c:pt idx="17">
                  <c:v>2.7037011669191546</c:v>
                </c:pt>
                <c:pt idx="18">
                  <c:v>2.7495454169735041</c:v>
                </c:pt>
                <c:pt idx="19">
                  <c:v>2.7910571473905725</c:v>
                </c:pt>
                <c:pt idx="20">
                  <c:v>2.8284271247461903</c:v>
                </c:pt>
                <c:pt idx="21">
                  <c:v>2.8618176042508368</c:v>
                </c:pt>
                <c:pt idx="22">
                  <c:v>2.8913664589601922</c:v>
                </c:pt>
                <c:pt idx="23">
                  <c:v>2.9171904291629644</c:v>
                </c:pt>
                <c:pt idx="24">
                  <c:v>2.9393876913398138</c:v>
                </c:pt>
                <c:pt idx="25">
                  <c:v>2.9580398915498081</c:v>
                </c:pt>
                <c:pt idx="26">
                  <c:v>2.9732137494637012</c:v>
                </c:pt>
                <c:pt idx="27">
                  <c:v>2.98496231131986</c:v>
                </c:pt>
                <c:pt idx="28">
                  <c:v>2.9933259094191533</c:v>
                </c:pt>
                <c:pt idx="29">
                  <c:v>2.9983328701129901</c:v>
                </c:pt>
                <c:pt idx="30">
                  <c:v>3</c:v>
                </c:pt>
                <c:pt idx="31">
                  <c:v>2.9983328701129901</c:v>
                </c:pt>
                <c:pt idx="32">
                  <c:v>2.9933259094191533</c:v>
                </c:pt>
                <c:pt idx="33">
                  <c:v>2.98496231131986</c:v>
                </c:pt>
                <c:pt idx="34">
                  <c:v>2.9732137494637012</c:v>
                </c:pt>
                <c:pt idx="35">
                  <c:v>2.9580398915498081</c:v>
                </c:pt>
                <c:pt idx="36">
                  <c:v>2.9393876913398138</c:v>
                </c:pt>
                <c:pt idx="37">
                  <c:v>2.9171904291629644</c:v>
                </c:pt>
                <c:pt idx="38">
                  <c:v>2.8913664589601922</c:v>
                </c:pt>
                <c:pt idx="39">
                  <c:v>2.8618176042508368</c:v>
                </c:pt>
                <c:pt idx="40">
                  <c:v>2.8284271247461903</c:v>
                </c:pt>
                <c:pt idx="41">
                  <c:v>2.7910571473905725</c:v>
                </c:pt>
                <c:pt idx="42">
                  <c:v>2.7495454169735041</c:v>
                </c:pt>
                <c:pt idx="43">
                  <c:v>2.7037011669191546</c:v>
                </c:pt>
                <c:pt idx="44">
                  <c:v>2.6532998322843198</c:v>
                </c:pt>
                <c:pt idx="45">
                  <c:v>2.598076211353316</c:v>
                </c:pt>
                <c:pt idx="46">
                  <c:v>2.5377155080899039</c:v>
                </c:pt>
                <c:pt idx="47">
                  <c:v>2.4718414188616551</c:v>
                </c:pt>
                <c:pt idx="48">
                  <c:v>2.4</c:v>
                </c:pt>
                <c:pt idx="49">
                  <c:v>2.32163735324878</c:v>
                </c:pt>
                <c:pt idx="50">
                  <c:v>2.2360679774997898</c:v>
                </c:pt>
                <c:pt idx="51">
                  <c:v>2.142428528562855</c:v>
                </c:pt>
                <c:pt idx="52">
                  <c:v>2.0396078054371136</c:v>
                </c:pt>
                <c:pt idx="53">
                  <c:v>1.9261360284258224</c:v>
                </c:pt>
                <c:pt idx="54">
                  <c:v>1.8</c:v>
                </c:pt>
                <c:pt idx="55">
                  <c:v>1.6583123951776999</c:v>
                </c:pt>
                <c:pt idx="56">
                  <c:v>1.4966629547095762</c:v>
                </c:pt>
                <c:pt idx="57">
                  <c:v>1.3076696830622017</c:v>
                </c:pt>
                <c:pt idx="58">
                  <c:v>1.0770329614269012</c:v>
                </c:pt>
                <c:pt idx="59">
                  <c:v>0.76811457478686074</c:v>
                </c:pt>
                <c:pt idx="60">
                  <c:v>0</c:v>
                </c:pt>
              </c:numCache>
            </c:numRef>
          </c:yVal>
          <c:smooth val="1"/>
        </c:ser>
        <c:ser>
          <c:idx val="98"/>
          <c:order val="27"/>
          <c:spPr>
            <a:ln w="1905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'CS 2do sem datos'!$A$62:$A$122</c:f>
              <c:numCache>
                <c:formatCode>General</c:formatCode>
                <c:ptCount val="61"/>
                <c:pt idx="0">
                  <c:v>3</c:v>
                </c:pt>
                <c:pt idx="1">
                  <c:v>2.9</c:v>
                </c:pt>
                <c:pt idx="2">
                  <c:v>2.8</c:v>
                </c:pt>
                <c:pt idx="3">
                  <c:v>2.7</c:v>
                </c:pt>
                <c:pt idx="4">
                  <c:v>2.6</c:v>
                </c:pt>
                <c:pt idx="5">
                  <c:v>2.5</c:v>
                </c:pt>
                <c:pt idx="6">
                  <c:v>2.4</c:v>
                </c:pt>
                <c:pt idx="7">
                  <c:v>2.2999999999999998</c:v>
                </c:pt>
                <c:pt idx="8">
                  <c:v>2.2000000000000002</c:v>
                </c:pt>
                <c:pt idx="9">
                  <c:v>2.1</c:v>
                </c:pt>
                <c:pt idx="10">
                  <c:v>2</c:v>
                </c:pt>
                <c:pt idx="11">
                  <c:v>1.9</c:v>
                </c:pt>
                <c:pt idx="12">
                  <c:v>1.8</c:v>
                </c:pt>
                <c:pt idx="13">
                  <c:v>1.7</c:v>
                </c:pt>
                <c:pt idx="14">
                  <c:v>1.6</c:v>
                </c:pt>
                <c:pt idx="15">
                  <c:v>1.5</c:v>
                </c:pt>
                <c:pt idx="16">
                  <c:v>1.4</c:v>
                </c:pt>
                <c:pt idx="17">
                  <c:v>1.3</c:v>
                </c:pt>
                <c:pt idx="18">
                  <c:v>1.2</c:v>
                </c:pt>
                <c:pt idx="19">
                  <c:v>1.1000000000000001</c:v>
                </c:pt>
                <c:pt idx="20">
                  <c:v>1</c:v>
                </c:pt>
                <c:pt idx="21">
                  <c:v>0.9</c:v>
                </c:pt>
                <c:pt idx="22">
                  <c:v>0.8</c:v>
                </c:pt>
                <c:pt idx="23">
                  <c:v>0.7</c:v>
                </c:pt>
                <c:pt idx="24">
                  <c:v>0.6</c:v>
                </c:pt>
                <c:pt idx="25">
                  <c:v>0.5</c:v>
                </c:pt>
                <c:pt idx="26">
                  <c:v>0.4</c:v>
                </c:pt>
                <c:pt idx="27">
                  <c:v>0.3</c:v>
                </c:pt>
                <c:pt idx="28">
                  <c:v>0.2</c:v>
                </c:pt>
                <c:pt idx="29">
                  <c:v>0.1</c:v>
                </c:pt>
                <c:pt idx="30">
                  <c:v>0</c:v>
                </c:pt>
                <c:pt idx="31">
                  <c:v>-0.1</c:v>
                </c:pt>
                <c:pt idx="32">
                  <c:v>-0.2</c:v>
                </c:pt>
                <c:pt idx="33">
                  <c:v>-0.3</c:v>
                </c:pt>
                <c:pt idx="34">
                  <c:v>-0.4</c:v>
                </c:pt>
                <c:pt idx="35">
                  <c:v>-0.5</c:v>
                </c:pt>
                <c:pt idx="36">
                  <c:v>-0.6</c:v>
                </c:pt>
                <c:pt idx="37">
                  <c:v>-0.7</c:v>
                </c:pt>
                <c:pt idx="38">
                  <c:v>-0.8</c:v>
                </c:pt>
                <c:pt idx="39">
                  <c:v>-0.9</c:v>
                </c:pt>
                <c:pt idx="40">
                  <c:v>-1</c:v>
                </c:pt>
                <c:pt idx="41">
                  <c:v>-1.1000000000000001</c:v>
                </c:pt>
                <c:pt idx="42">
                  <c:v>-1.2</c:v>
                </c:pt>
                <c:pt idx="43">
                  <c:v>-1.3</c:v>
                </c:pt>
                <c:pt idx="44">
                  <c:v>-1.4</c:v>
                </c:pt>
                <c:pt idx="45">
                  <c:v>-1.5</c:v>
                </c:pt>
                <c:pt idx="46">
                  <c:v>-1.6</c:v>
                </c:pt>
                <c:pt idx="47">
                  <c:v>-1.7</c:v>
                </c:pt>
                <c:pt idx="48">
                  <c:v>-1.8</c:v>
                </c:pt>
                <c:pt idx="49">
                  <c:v>-1.9</c:v>
                </c:pt>
                <c:pt idx="50">
                  <c:v>-2</c:v>
                </c:pt>
                <c:pt idx="51">
                  <c:v>-2.1</c:v>
                </c:pt>
                <c:pt idx="52">
                  <c:v>-2.2000000000000002</c:v>
                </c:pt>
                <c:pt idx="53">
                  <c:v>-2.2999999999999998</c:v>
                </c:pt>
                <c:pt idx="54">
                  <c:v>-2.4</c:v>
                </c:pt>
                <c:pt idx="55">
                  <c:v>-2.5</c:v>
                </c:pt>
                <c:pt idx="56">
                  <c:v>-2.6</c:v>
                </c:pt>
                <c:pt idx="57">
                  <c:v>-2.7</c:v>
                </c:pt>
                <c:pt idx="58">
                  <c:v>-2.8</c:v>
                </c:pt>
                <c:pt idx="59">
                  <c:v>-2.9</c:v>
                </c:pt>
                <c:pt idx="60">
                  <c:v>-3</c:v>
                </c:pt>
              </c:numCache>
            </c:numRef>
          </c:xVal>
          <c:yVal>
            <c:numRef>
              <c:f>'CS 2do sem datos'!$O$62:$O$122</c:f>
              <c:numCache>
                <c:formatCode>General</c:formatCode>
                <c:ptCount val="61"/>
                <c:pt idx="0">
                  <c:v>0</c:v>
                </c:pt>
                <c:pt idx="1">
                  <c:v>-0.76811457478686074</c:v>
                </c:pt>
                <c:pt idx="2">
                  <c:v>-1.0770329614269012</c:v>
                </c:pt>
                <c:pt idx="3">
                  <c:v>-1.3076696830622017</c:v>
                </c:pt>
                <c:pt idx="4">
                  <c:v>-1.4966629547095762</c:v>
                </c:pt>
                <c:pt idx="5">
                  <c:v>-1.6583123951776999</c:v>
                </c:pt>
                <c:pt idx="6">
                  <c:v>-1.8</c:v>
                </c:pt>
                <c:pt idx="7">
                  <c:v>-1.9261360284258224</c:v>
                </c:pt>
                <c:pt idx="8">
                  <c:v>-2.0396078054371136</c:v>
                </c:pt>
                <c:pt idx="9">
                  <c:v>-2.142428528562855</c:v>
                </c:pt>
                <c:pt idx="10">
                  <c:v>-2.2360679774997898</c:v>
                </c:pt>
                <c:pt idx="11">
                  <c:v>-2.32163735324878</c:v>
                </c:pt>
                <c:pt idx="12">
                  <c:v>-2.4</c:v>
                </c:pt>
                <c:pt idx="13">
                  <c:v>-2.4718414188616551</c:v>
                </c:pt>
                <c:pt idx="14">
                  <c:v>-2.5377155080899039</c:v>
                </c:pt>
                <c:pt idx="15">
                  <c:v>-2.598076211353316</c:v>
                </c:pt>
                <c:pt idx="16">
                  <c:v>-2.6532998322843198</c:v>
                </c:pt>
                <c:pt idx="17">
                  <c:v>-2.7037011669191546</c:v>
                </c:pt>
                <c:pt idx="18">
                  <c:v>-2.7495454169735041</c:v>
                </c:pt>
                <c:pt idx="19">
                  <c:v>-2.7910571473905725</c:v>
                </c:pt>
                <c:pt idx="20">
                  <c:v>-2.8284271247461903</c:v>
                </c:pt>
                <c:pt idx="21">
                  <c:v>-2.8618176042508368</c:v>
                </c:pt>
                <c:pt idx="22">
                  <c:v>-2.8913664589601922</c:v>
                </c:pt>
                <c:pt idx="23">
                  <c:v>-2.9171904291629644</c:v>
                </c:pt>
                <c:pt idx="24">
                  <c:v>-2.9393876913398138</c:v>
                </c:pt>
                <c:pt idx="25">
                  <c:v>-2.9580398915498081</c:v>
                </c:pt>
                <c:pt idx="26">
                  <c:v>-2.9732137494637012</c:v>
                </c:pt>
                <c:pt idx="27">
                  <c:v>-2.98496231131986</c:v>
                </c:pt>
                <c:pt idx="28">
                  <c:v>-2.9933259094191533</c:v>
                </c:pt>
                <c:pt idx="29">
                  <c:v>-2.9983328701129901</c:v>
                </c:pt>
                <c:pt idx="30">
                  <c:v>-3</c:v>
                </c:pt>
                <c:pt idx="31">
                  <c:v>-2.9983328701129901</c:v>
                </c:pt>
                <c:pt idx="32">
                  <c:v>-2.9933259094191533</c:v>
                </c:pt>
                <c:pt idx="33">
                  <c:v>-2.98496231131986</c:v>
                </c:pt>
                <c:pt idx="34">
                  <c:v>-2.9732137494637012</c:v>
                </c:pt>
                <c:pt idx="35">
                  <c:v>-2.9580398915498081</c:v>
                </c:pt>
                <c:pt idx="36">
                  <c:v>-2.9393876913398138</c:v>
                </c:pt>
                <c:pt idx="37">
                  <c:v>-2.9171904291629644</c:v>
                </c:pt>
                <c:pt idx="38">
                  <c:v>-2.8913664589601922</c:v>
                </c:pt>
                <c:pt idx="39">
                  <c:v>-2.8618176042508368</c:v>
                </c:pt>
                <c:pt idx="40">
                  <c:v>-2.8284271247461903</c:v>
                </c:pt>
                <c:pt idx="41">
                  <c:v>-2.7910571473905725</c:v>
                </c:pt>
                <c:pt idx="42">
                  <c:v>-2.7495454169735041</c:v>
                </c:pt>
                <c:pt idx="43">
                  <c:v>-2.7037011669191546</c:v>
                </c:pt>
                <c:pt idx="44">
                  <c:v>-2.6532998322843198</c:v>
                </c:pt>
                <c:pt idx="45">
                  <c:v>-2.598076211353316</c:v>
                </c:pt>
                <c:pt idx="46">
                  <c:v>-2.5377155080899039</c:v>
                </c:pt>
                <c:pt idx="47">
                  <c:v>-2.4718414188616551</c:v>
                </c:pt>
                <c:pt idx="48">
                  <c:v>-2.4</c:v>
                </c:pt>
                <c:pt idx="49">
                  <c:v>-2.32163735324878</c:v>
                </c:pt>
                <c:pt idx="50">
                  <c:v>-2.2360679774997898</c:v>
                </c:pt>
                <c:pt idx="51">
                  <c:v>-2.142428528562855</c:v>
                </c:pt>
                <c:pt idx="52">
                  <c:v>-2.0396078054371136</c:v>
                </c:pt>
                <c:pt idx="53">
                  <c:v>-1.9261360284258224</c:v>
                </c:pt>
                <c:pt idx="54">
                  <c:v>-1.8</c:v>
                </c:pt>
                <c:pt idx="55">
                  <c:v>-1.6583123951776999</c:v>
                </c:pt>
                <c:pt idx="56">
                  <c:v>-1.4966629547095762</c:v>
                </c:pt>
                <c:pt idx="57">
                  <c:v>-1.3076696830622017</c:v>
                </c:pt>
                <c:pt idx="58">
                  <c:v>-1.0770329614269012</c:v>
                </c:pt>
                <c:pt idx="59">
                  <c:v>-0.76811457478686074</c:v>
                </c:pt>
                <c:pt idx="60">
                  <c:v>0</c:v>
                </c:pt>
              </c:numCache>
            </c:numRef>
          </c:yVal>
          <c:smooth val="1"/>
        </c:ser>
        <c:ser>
          <c:idx val="101"/>
          <c:order val="28"/>
          <c:spPr>
            <a:ln w="1905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'CS 2do sem datos'!$A$72:$A$112</c:f>
              <c:numCache>
                <c:formatCode>General</c:formatCode>
                <c:ptCount val="41"/>
                <c:pt idx="0">
                  <c:v>2</c:v>
                </c:pt>
                <c:pt idx="1">
                  <c:v>1.9</c:v>
                </c:pt>
                <c:pt idx="2">
                  <c:v>1.8</c:v>
                </c:pt>
                <c:pt idx="3">
                  <c:v>1.7</c:v>
                </c:pt>
                <c:pt idx="4">
                  <c:v>1.6</c:v>
                </c:pt>
                <c:pt idx="5">
                  <c:v>1.5</c:v>
                </c:pt>
                <c:pt idx="6">
                  <c:v>1.4</c:v>
                </c:pt>
                <c:pt idx="7">
                  <c:v>1.3</c:v>
                </c:pt>
                <c:pt idx="8">
                  <c:v>1.2</c:v>
                </c:pt>
                <c:pt idx="9">
                  <c:v>1.1000000000000001</c:v>
                </c:pt>
                <c:pt idx="10">
                  <c:v>1</c:v>
                </c:pt>
                <c:pt idx="11">
                  <c:v>0.9</c:v>
                </c:pt>
                <c:pt idx="12">
                  <c:v>0.8</c:v>
                </c:pt>
                <c:pt idx="13">
                  <c:v>0.7</c:v>
                </c:pt>
                <c:pt idx="14">
                  <c:v>0.6</c:v>
                </c:pt>
                <c:pt idx="15">
                  <c:v>0.5</c:v>
                </c:pt>
                <c:pt idx="16">
                  <c:v>0.4</c:v>
                </c:pt>
                <c:pt idx="17">
                  <c:v>0.3</c:v>
                </c:pt>
                <c:pt idx="18">
                  <c:v>0.2</c:v>
                </c:pt>
                <c:pt idx="19">
                  <c:v>0.1</c:v>
                </c:pt>
                <c:pt idx="20">
                  <c:v>0</c:v>
                </c:pt>
                <c:pt idx="21">
                  <c:v>-0.1</c:v>
                </c:pt>
                <c:pt idx="22">
                  <c:v>-0.2</c:v>
                </c:pt>
                <c:pt idx="23">
                  <c:v>-0.3</c:v>
                </c:pt>
                <c:pt idx="24">
                  <c:v>-0.4</c:v>
                </c:pt>
                <c:pt idx="25">
                  <c:v>-0.5</c:v>
                </c:pt>
                <c:pt idx="26">
                  <c:v>-0.6</c:v>
                </c:pt>
                <c:pt idx="27">
                  <c:v>-0.7</c:v>
                </c:pt>
                <c:pt idx="28">
                  <c:v>-0.8</c:v>
                </c:pt>
                <c:pt idx="29">
                  <c:v>-0.9</c:v>
                </c:pt>
                <c:pt idx="30">
                  <c:v>-1</c:v>
                </c:pt>
                <c:pt idx="31">
                  <c:v>-1.1000000000000001</c:v>
                </c:pt>
                <c:pt idx="32">
                  <c:v>-1.2</c:v>
                </c:pt>
                <c:pt idx="33">
                  <c:v>-1.3</c:v>
                </c:pt>
                <c:pt idx="34">
                  <c:v>-1.4</c:v>
                </c:pt>
                <c:pt idx="35">
                  <c:v>-1.5</c:v>
                </c:pt>
                <c:pt idx="36">
                  <c:v>-1.6</c:v>
                </c:pt>
                <c:pt idx="37">
                  <c:v>-1.7</c:v>
                </c:pt>
                <c:pt idx="38">
                  <c:v>-1.8</c:v>
                </c:pt>
                <c:pt idx="39">
                  <c:v>-1.9</c:v>
                </c:pt>
                <c:pt idx="40">
                  <c:v>-2</c:v>
                </c:pt>
              </c:numCache>
            </c:numRef>
          </c:xVal>
          <c:yVal>
            <c:numRef>
              <c:f>'CS 2do sem datos'!$P$72:$P$112</c:f>
              <c:numCache>
                <c:formatCode>General</c:formatCode>
                <c:ptCount val="41"/>
                <c:pt idx="0">
                  <c:v>0</c:v>
                </c:pt>
                <c:pt idx="1">
                  <c:v>0.62449979983983994</c:v>
                </c:pt>
                <c:pt idx="2">
                  <c:v>0.87177978870813455</c:v>
                </c:pt>
                <c:pt idx="3">
                  <c:v>1.0535653752852741</c:v>
                </c:pt>
                <c:pt idx="4">
                  <c:v>1.1999999999999997</c:v>
                </c:pt>
                <c:pt idx="5">
                  <c:v>1.3228756555322954</c:v>
                </c:pt>
                <c:pt idx="6">
                  <c:v>1.42828568570857</c:v>
                </c:pt>
                <c:pt idx="7">
                  <c:v>1.5198684153570663</c:v>
                </c:pt>
                <c:pt idx="8">
                  <c:v>1.6</c:v>
                </c:pt>
                <c:pt idx="9">
                  <c:v>1.6703293088490065</c:v>
                </c:pt>
                <c:pt idx="10">
                  <c:v>1.7320508075688772</c:v>
                </c:pt>
                <c:pt idx="11">
                  <c:v>1.7860571099491751</c:v>
                </c:pt>
                <c:pt idx="12">
                  <c:v>1.833030277982336</c:v>
                </c:pt>
                <c:pt idx="13">
                  <c:v>1.8734993995195195</c:v>
                </c:pt>
                <c:pt idx="14">
                  <c:v>1.9078784028338913</c:v>
                </c:pt>
                <c:pt idx="15">
                  <c:v>1.9364916731037085</c:v>
                </c:pt>
                <c:pt idx="16">
                  <c:v>1.9595917942265424</c:v>
                </c:pt>
                <c:pt idx="17">
                  <c:v>1.977371993328519</c:v>
                </c:pt>
                <c:pt idx="18">
                  <c:v>1.9899748742132399</c:v>
                </c:pt>
                <c:pt idx="19">
                  <c:v>1.9974984355438179</c:v>
                </c:pt>
                <c:pt idx="20">
                  <c:v>2</c:v>
                </c:pt>
                <c:pt idx="21">
                  <c:v>1.9974984355438179</c:v>
                </c:pt>
                <c:pt idx="22">
                  <c:v>1.9899748742132399</c:v>
                </c:pt>
                <c:pt idx="23">
                  <c:v>1.977371993328519</c:v>
                </c:pt>
                <c:pt idx="24">
                  <c:v>1.9595917942265424</c:v>
                </c:pt>
                <c:pt idx="25">
                  <c:v>1.9364916731037085</c:v>
                </c:pt>
                <c:pt idx="26">
                  <c:v>1.9078784028338913</c:v>
                </c:pt>
                <c:pt idx="27">
                  <c:v>1.8734993995195195</c:v>
                </c:pt>
                <c:pt idx="28">
                  <c:v>1.833030277982336</c:v>
                </c:pt>
                <c:pt idx="29">
                  <c:v>1.7860571099491751</c:v>
                </c:pt>
                <c:pt idx="30">
                  <c:v>1.7320508075688772</c:v>
                </c:pt>
                <c:pt idx="31">
                  <c:v>1.6703293088490065</c:v>
                </c:pt>
                <c:pt idx="32">
                  <c:v>1.6</c:v>
                </c:pt>
                <c:pt idx="33">
                  <c:v>1.5198684153570663</c:v>
                </c:pt>
                <c:pt idx="34">
                  <c:v>1.42828568570857</c:v>
                </c:pt>
                <c:pt idx="35">
                  <c:v>1.3228756555322954</c:v>
                </c:pt>
                <c:pt idx="36">
                  <c:v>1.1999999999999997</c:v>
                </c:pt>
                <c:pt idx="37">
                  <c:v>1.0535653752852741</c:v>
                </c:pt>
                <c:pt idx="38">
                  <c:v>0.87177978870813455</c:v>
                </c:pt>
                <c:pt idx="39">
                  <c:v>0.62449979983983994</c:v>
                </c:pt>
                <c:pt idx="40">
                  <c:v>0</c:v>
                </c:pt>
              </c:numCache>
            </c:numRef>
          </c:yVal>
          <c:smooth val="1"/>
        </c:ser>
        <c:ser>
          <c:idx val="102"/>
          <c:order val="29"/>
          <c:spPr>
            <a:ln w="1905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'CS 2do sem datos'!$A$72:$A$112</c:f>
              <c:numCache>
                <c:formatCode>General</c:formatCode>
                <c:ptCount val="41"/>
                <c:pt idx="0">
                  <c:v>2</c:v>
                </c:pt>
                <c:pt idx="1">
                  <c:v>1.9</c:v>
                </c:pt>
                <c:pt idx="2">
                  <c:v>1.8</c:v>
                </c:pt>
                <c:pt idx="3">
                  <c:v>1.7</c:v>
                </c:pt>
                <c:pt idx="4">
                  <c:v>1.6</c:v>
                </c:pt>
                <c:pt idx="5">
                  <c:v>1.5</c:v>
                </c:pt>
                <c:pt idx="6">
                  <c:v>1.4</c:v>
                </c:pt>
                <c:pt idx="7">
                  <c:v>1.3</c:v>
                </c:pt>
                <c:pt idx="8">
                  <c:v>1.2</c:v>
                </c:pt>
                <c:pt idx="9">
                  <c:v>1.1000000000000001</c:v>
                </c:pt>
                <c:pt idx="10">
                  <c:v>1</c:v>
                </c:pt>
                <c:pt idx="11">
                  <c:v>0.9</c:v>
                </c:pt>
                <c:pt idx="12">
                  <c:v>0.8</c:v>
                </c:pt>
                <c:pt idx="13">
                  <c:v>0.7</c:v>
                </c:pt>
                <c:pt idx="14">
                  <c:v>0.6</c:v>
                </c:pt>
                <c:pt idx="15">
                  <c:v>0.5</c:v>
                </c:pt>
                <c:pt idx="16">
                  <c:v>0.4</c:v>
                </c:pt>
                <c:pt idx="17">
                  <c:v>0.3</c:v>
                </c:pt>
                <c:pt idx="18">
                  <c:v>0.2</c:v>
                </c:pt>
                <c:pt idx="19">
                  <c:v>0.1</c:v>
                </c:pt>
                <c:pt idx="20">
                  <c:v>0</c:v>
                </c:pt>
                <c:pt idx="21">
                  <c:v>-0.1</c:v>
                </c:pt>
                <c:pt idx="22">
                  <c:v>-0.2</c:v>
                </c:pt>
                <c:pt idx="23">
                  <c:v>-0.3</c:v>
                </c:pt>
                <c:pt idx="24">
                  <c:v>-0.4</c:v>
                </c:pt>
                <c:pt idx="25">
                  <c:v>-0.5</c:v>
                </c:pt>
                <c:pt idx="26">
                  <c:v>-0.6</c:v>
                </c:pt>
                <c:pt idx="27">
                  <c:v>-0.7</c:v>
                </c:pt>
                <c:pt idx="28">
                  <c:v>-0.8</c:v>
                </c:pt>
                <c:pt idx="29">
                  <c:v>-0.9</c:v>
                </c:pt>
                <c:pt idx="30">
                  <c:v>-1</c:v>
                </c:pt>
                <c:pt idx="31">
                  <c:v>-1.1000000000000001</c:v>
                </c:pt>
                <c:pt idx="32">
                  <c:v>-1.2</c:v>
                </c:pt>
                <c:pt idx="33">
                  <c:v>-1.3</c:v>
                </c:pt>
                <c:pt idx="34">
                  <c:v>-1.4</c:v>
                </c:pt>
                <c:pt idx="35">
                  <c:v>-1.5</c:v>
                </c:pt>
                <c:pt idx="36">
                  <c:v>-1.6</c:v>
                </c:pt>
                <c:pt idx="37">
                  <c:v>-1.7</c:v>
                </c:pt>
                <c:pt idx="38">
                  <c:v>-1.8</c:v>
                </c:pt>
                <c:pt idx="39">
                  <c:v>-1.9</c:v>
                </c:pt>
                <c:pt idx="40">
                  <c:v>-2</c:v>
                </c:pt>
              </c:numCache>
            </c:numRef>
          </c:xVal>
          <c:yVal>
            <c:numRef>
              <c:f>'CS 2do sem datos'!$Q$72:$Q$112</c:f>
              <c:numCache>
                <c:formatCode>General</c:formatCode>
                <c:ptCount val="41"/>
                <c:pt idx="0">
                  <c:v>0</c:v>
                </c:pt>
                <c:pt idx="1">
                  <c:v>-0.62449979983983994</c:v>
                </c:pt>
                <c:pt idx="2">
                  <c:v>-0.87177978870813455</c:v>
                </c:pt>
                <c:pt idx="3">
                  <c:v>-1.0535653752852741</c:v>
                </c:pt>
                <c:pt idx="4">
                  <c:v>-1.1999999999999997</c:v>
                </c:pt>
                <c:pt idx="5">
                  <c:v>-1.3228756555322954</c:v>
                </c:pt>
                <c:pt idx="6">
                  <c:v>-1.42828568570857</c:v>
                </c:pt>
                <c:pt idx="7">
                  <c:v>-1.5198684153570663</c:v>
                </c:pt>
                <c:pt idx="8">
                  <c:v>-1.6</c:v>
                </c:pt>
                <c:pt idx="9">
                  <c:v>-1.6703293088490065</c:v>
                </c:pt>
                <c:pt idx="10">
                  <c:v>-1.7320508075688772</c:v>
                </c:pt>
                <c:pt idx="11">
                  <c:v>-1.7860571099491751</c:v>
                </c:pt>
                <c:pt idx="12">
                  <c:v>-1.833030277982336</c:v>
                </c:pt>
                <c:pt idx="13">
                  <c:v>-1.8734993995195195</c:v>
                </c:pt>
                <c:pt idx="14">
                  <c:v>-1.9078784028338913</c:v>
                </c:pt>
                <c:pt idx="15">
                  <c:v>-1.9364916731037085</c:v>
                </c:pt>
                <c:pt idx="16">
                  <c:v>-1.9595917942265424</c:v>
                </c:pt>
                <c:pt idx="17">
                  <c:v>-1.977371993328519</c:v>
                </c:pt>
                <c:pt idx="18">
                  <c:v>-1.9899748742132399</c:v>
                </c:pt>
                <c:pt idx="19">
                  <c:v>-1.9974984355438179</c:v>
                </c:pt>
                <c:pt idx="20">
                  <c:v>-2</c:v>
                </c:pt>
                <c:pt idx="21">
                  <c:v>-1.9974984355438179</c:v>
                </c:pt>
                <c:pt idx="22">
                  <c:v>-1.9899748742132399</c:v>
                </c:pt>
                <c:pt idx="23">
                  <c:v>-1.977371993328519</c:v>
                </c:pt>
                <c:pt idx="24">
                  <c:v>-1.9595917942265424</c:v>
                </c:pt>
                <c:pt idx="25">
                  <c:v>-1.9364916731037085</c:v>
                </c:pt>
                <c:pt idx="26">
                  <c:v>-1.9078784028338913</c:v>
                </c:pt>
                <c:pt idx="27">
                  <c:v>-1.8734993995195195</c:v>
                </c:pt>
                <c:pt idx="28">
                  <c:v>-1.833030277982336</c:v>
                </c:pt>
                <c:pt idx="29">
                  <c:v>-1.7860571099491751</c:v>
                </c:pt>
                <c:pt idx="30">
                  <c:v>-1.7320508075688772</c:v>
                </c:pt>
                <c:pt idx="31">
                  <c:v>-1.6703293088490065</c:v>
                </c:pt>
                <c:pt idx="32">
                  <c:v>-1.6</c:v>
                </c:pt>
                <c:pt idx="33">
                  <c:v>-1.5198684153570663</c:v>
                </c:pt>
                <c:pt idx="34">
                  <c:v>-1.42828568570857</c:v>
                </c:pt>
                <c:pt idx="35">
                  <c:v>-1.3228756555322954</c:v>
                </c:pt>
                <c:pt idx="36">
                  <c:v>-1.1999999999999997</c:v>
                </c:pt>
                <c:pt idx="37">
                  <c:v>-1.0535653752852741</c:v>
                </c:pt>
                <c:pt idx="38">
                  <c:v>-0.87177978870813455</c:v>
                </c:pt>
                <c:pt idx="39">
                  <c:v>-0.62449979983983994</c:v>
                </c:pt>
                <c:pt idx="40">
                  <c:v>0</c:v>
                </c:pt>
              </c:numCache>
            </c:numRef>
          </c:yVal>
          <c:smooth val="1"/>
        </c:ser>
        <c:ser>
          <c:idx val="105"/>
          <c:order val="30"/>
          <c:spPr>
            <a:ln w="1905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'CS 2do sem datos'!$A$82:$A$102</c:f>
              <c:numCache>
                <c:formatCode>General</c:formatCode>
                <c:ptCount val="21"/>
                <c:pt idx="0">
                  <c:v>1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  <c:pt idx="10">
                  <c:v>0</c:v>
                </c:pt>
                <c:pt idx="11">
                  <c:v>-0.1</c:v>
                </c:pt>
                <c:pt idx="12">
                  <c:v>-0.2</c:v>
                </c:pt>
                <c:pt idx="13">
                  <c:v>-0.3</c:v>
                </c:pt>
                <c:pt idx="14">
                  <c:v>-0.4</c:v>
                </c:pt>
                <c:pt idx="15">
                  <c:v>-0.5</c:v>
                </c:pt>
                <c:pt idx="16">
                  <c:v>-0.6</c:v>
                </c:pt>
                <c:pt idx="17">
                  <c:v>-0.7</c:v>
                </c:pt>
                <c:pt idx="18">
                  <c:v>-0.8</c:v>
                </c:pt>
                <c:pt idx="19">
                  <c:v>-0.9</c:v>
                </c:pt>
                <c:pt idx="20">
                  <c:v>-1</c:v>
                </c:pt>
              </c:numCache>
            </c:numRef>
          </c:xVal>
          <c:yVal>
            <c:numRef>
              <c:f>'CS 2do sem datos'!$R$82:$R$102</c:f>
              <c:numCache>
                <c:formatCode>General</c:formatCode>
                <c:ptCount val="21"/>
                <c:pt idx="0">
                  <c:v>0</c:v>
                </c:pt>
                <c:pt idx="1">
                  <c:v>0.43588989435406728</c:v>
                </c:pt>
                <c:pt idx="2">
                  <c:v>0.59999999999999987</c:v>
                </c:pt>
                <c:pt idx="3">
                  <c:v>0.71414284285428498</c:v>
                </c:pt>
                <c:pt idx="4">
                  <c:v>0.8</c:v>
                </c:pt>
                <c:pt idx="5">
                  <c:v>0.8660254037844386</c:v>
                </c:pt>
                <c:pt idx="6">
                  <c:v>0.91651513899116799</c:v>
                </c:pt>
                <c:pt idx="7">
                  <c:v>0.95393920141694566</c:v>
                </c:pt>
                <c:pt idx="8">
                  <c:v>0.9797958971132712</c:v>
                </c:pt>
                <c:pt idx="9">
                  <c:v>0.99498743710661997</c:v>
                </c:pt>
                <c:pt idx="10">
                  <c:v>1</c:v>
                </c:pt>
                <c:pt idx="11">
                  <c:v>0.99498743710661997</c:v>
                </c:pt>
                <c:pt idx="12">
                  <c:v>0.9797958971132712</c:v>
                </c:pt>
                <c:pt idx="13">
                  <c:v>0.95393920141694566</c:v>
                </c:pt>
                <c:pt idx="14">
                  <c:v>0.91651513899116799</c:v>
                </c:pt>
                <c:pt idx="15">
                  <c:v>0.8660254037844386</c:v>
                </c:pt>
                <c:pt idx="16">
                  <c:v>0.8</c:v>
                </c:pt>
                <c:pt idx="17">
                  <c:v>0.71414284285428498</c:v>
                </c:pt>
                <c:pt idx="18">
                  <c:v>0.59999999999999987</c:v>
                </c:pt>
                <c:pt idx="19">
                  <c:v>0.43588989435406728</c:v>
                </c:pt>
                <c:pt idx="20">
                  <c:v>0</c:v>
                </c:pt>
              </c:numCache>
            </c:numRef>
          </c:yVal>
          <c:smooth val="1"/>
        </c:ser>
        <c:ser>
          <c:idx val="106"/>
          <c:order val="31"/>
          <c:spPr>
            <a:ln w="1905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'CS 2do sem datos'!$A$82:$A$102</c:f>
              <c:numCache>
                <c:formatCode>General</c:formatCode>
                <c:ptCount val="21"/>
                <c:pt idx="0">
                  <c:v>1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  <c:pt idx="10">
                  <c:v>0</c:v>
                </c:pt>
                <c:pt idx="11">
                  <c:v>-0.1</c:v>
                </c:pt>
                <c:pt idx="12">
                  <c:v>-0.2</c:v>
                </c:pt>
                <c:pt idx="13">
                  <c:v>-0.3</c:v>
                </c:pt>
                <c:pt idx="14">
                  <c:v>-0.4</c:v>
                </c:pt>
                <c:pt idx="15">
                  <c:v>-0.5</c:v>
                </c:pt>
                <c:pt idx="16">
                  <c:v>-0.6</c:v>
                </c:pt>
                <c:pt idx="17">
                  <c:v>-0.7</c:v>
                </c:pt>
                <c:pt idx="18">
                  <c:v>-0.8</c:v>
                </c:pt>
                <c:pt idx="19">
                  <c:v>-0.9</c:v>
                </c:pt>
                <c:pt idx="20">
                  <c:v>-1</c:v>
                </c:pt>
              </c:numCache>
            </c:numRef>
          </c:xVal>
          <c:yVal>
            <c:numRef>
              <c:f>'CS 2do sem datos'!$S$82:$S$102</c:f>
              <c:numCache>
                <c:formatCode>General</c:formatCode>
                <c:ptCount val="21"/>
                <c:pt idx="0">
                  <c:v>0</c:v>
                </c:pt>
                <c:pt idx="1">
                  <c:v>-0.43588989435406728</c:v>
                </c:pt>
                <c:pt idx="2">
                  <c:v>-0.59999999999999987</c:v>
                </c:pt>
                <c:pt idx="3">
                  <c:v>-0.71414284285428498</c:v>
                </c:pt>
                <c:pt idx="4">
                  <c:v>-0.8</c:v>
                </c:pt>
                <c:pt idx="5">
                  <c:v>-0.8660254037844386</c:v>
                </c:pt>
                <c:pt idx="6">
                  <c:v>-0.91651513899116799</c:v>
                </c:pt>
                <c:pt idx="7">
                  <c:v>-0.95393920141694566</c:v>
                </c:pt>
                <c:pt idx="8">
                  <c:v>-0.9797958971132712</c:v>
                </c:pt>
                <c:pt idx="9">
                  <c:v>-0.99498743710661997</c:v>
                </c:pt>
                <c:pt idx="10">
                  <c:v>-1</c:v>
                </c:pt>
                <c:pt idx="11">
                  <c:v>-0.99498743710661997</c:v>
                </c:pt>
                <c:pt idx="12">
                  <c:v>-0.9797958971132712</c:v>
                </c:pt>
                <c:pt idx="13">
                  <c:v>-0.95393920141694566</c:v>
                </c:pt>
                <c:pt idx="14">
                  <c:v>-0.91651513899116799</c:v>
                </c:pt>
                <c:pt idx="15">
                  <c:v>-0.8660254037844386</c:v>
                </c:pt>
                <c:pt idx="16">
                  <c:v>-0.8</c:v>
                </c:pt>
                <c:pt idx="17">
                  <c:v>-0.71414284285428498</c:v>
                </c:pt>
                <c:pt idx="18">
                  <c:v>-0.59999999999999987</c:v>
                </c:pt>
                <c:pt idx="19">
                  <c:v>-0.43588989435406728</c:v>
                </c:pt>
                <c:pt idx="20">
                  <c:v>0</c:v>
                </c:pt>
              </c:numCache>
            </c:numRef>
          </c:yVal>
          <c:smooth val="1"/>
        </c:ser>
        <c:ser>
          <c:idx val="110"/>
          <c:order val="32"/>
          <c:tx>
            <c:v>10°</c:v>
          </c:tx>
          <c:spPr>
            <a:ln w="19050">
              <a:solidFill>
                <a:prstClr val="black"/>
              </a:solidFill>
              <a:prstDash val="dash"/>
            </a:ln>
          </c:spPr>
          <c:marker>
            <c:symbol val="none"/>
          </c:marker>
          <c:dLbls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80°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('CS 2do sem datos'!$AA$87,'CS 2do sem datos'!$W$87)</c:f>
              <c:numCache>
                <c:formatCode>General</c:formatCode>
                <c:ptCount val="2"/>
                <c:pt idx="0">
                  <c:v>-8.8632697771098723</c:v>
                </c:pt>
                <c:pt idx="1">
                  <c:v>8.8632697771098723</c:v>
                </c:pt>
              </c:numCache>
            </c:numRef>
          </c:xVal>
          <c:yVal>
            <c:numRef>
              <c:f>('CS 2do sem datos'!$AB$87,'CS 2do sem datos'!$X$87)</c:f>
              <c:numCache>
                <c:formatCode>General</c:formatCode>
                <c:ptCount val="2"/>
                <c:pt idx="0">
                  <c:v>-1.5628335990023743</c:v>
                </c:pt>
                <c:pt idx="1">
                  <c:v>1.562833599002373</c:v>
                </c:pt>
              </c:numCache>
            </c:numRef>
          </c:yVal>
          <c:smooth val="1"/>
        </c:ser>
        <c:ser>
          <c:idx val="111"/>
          <c:order val="33"/>
          <c:tx>
            <c:v>20°</c:v>
          </c:tx>
          <c:spPr>
            <a:ln w="19050">
              <a:solidFill>
                <a:prstClr val="black"/>
              </a:solidFill>
              <a:prstDash val="dash"/>
            </a:ln>
          </c:spPr>
          <c:marker>
            <c:symbol val="none"/>
          </c:marker>
          <c:dLbls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70°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('CS 2do sem datos'!$AA$88,'CS 2do sem datos'!$W$88)</c:f>
              <c:numCache>
                <c:formatCode>General</c:formatCode>
                <c:ptCount val="2"/>
                <c:pt idx="0">
                  <c:v>-8.4572335870731763</c:v>
                </c:pt>
                <c:pt idx="1">
                  <c:v>8.4572335870731763</c:v>
                </c:pt>
              </c:numCache>
            </c:numRef>
          </c:xVal>
          <c:yVal>
            <c:numRef>
              <c:f>('CS 2do sem datos'!$AB$88,'CS 2do sem datos'!$X$88)</c:f>
              <c:numCache>
                <c:formatCode>General</c:formatCode>
                <c:ptCount val="2"/>
                <c:pt idx="0">
                  <c:v>-3.0781812899310177</c:v>
                </c:pt>
                <c:pt idx="1">
                  <c:v>3.0781812899310186</c:v>
                </c:pt>
              </c:numCache>
            </c:numRef>
          </c:yVal>
          <c:smooth val="1"/>
        </c:ser>
        <c:ser>
          <c:idx val="145"/>
          <c:order val="34"/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rgbClr val="4F81BD"/>
                </a:solidFill>
              </a:ln>
            </c:spPr>
          </c:marker>
          <c:xVal>
            <c:numRef>
              <c:f>'CS 2do sem datos'!$AV$88:$AV$111</c:f>
              <c:numCache>
                <c:formatCode>General</c:formatCode>
                <c:ptCount val="24"/>
                <c:pt idx="0">
                  <c:v>8.1227376334839256</c:v>
                </c:pt>
                <c:pt idx="1">
                  <c:v>8.1227376334839256</c:v>
                </c:pt>
                <c:pt idx="2">
                  <c:v>8.1227376334839256</c:v>
                </c:pt>
                <c:pt idx="3">
                  <c:v>8.1227376334839256</c:v>
                </c:pt>
                <c:pt idx="4">
                  <c:v>8.1227376334839256</c:v>
                </c:pt>
                <c:pt idx="5">
                  <c:v>8.1227376334839256</c:v>
                </c:pt>
                <c:pt idx="6">
                  <c:v>7.9203525072857328</c:v>
                </c:pt>
                <c:pt idx="7">
                  <c:v>6.3507510164986245</c:v>
                </c:pt>
                <c:pt idx="8">
                  <c:v>4.770840561015433</c:v>
                </c:pt>
                <c:pt idx="9">
                  <c:v>3.1840614875621545</c:v>
                </c:pt>
                <c:pt idx="10">
                  <c:v>1.5930445940412605</c:v>
                </c:pt>
                <c:pt idx="11">
                  <c:v>3.135629568394575E-16</c:v>
                </c:pt>
                <c:pt idx="12">
                  <c:v>-1.5930445940412599</c:v>
                </c:pt>
                <c:pt idx="13">
                  <c:v>-3.1840614875621553</c:v>
                </c:pt>
                <c:pt idx="14">
                  <c:v>-4.7708405610154339</c:v>
                </c:pt>
                <c:pt idx="15">
                  <c:v>-6.3507510164986254</c:v>
                </c:pt>
                <c:pt idx="16">
                  <c:v>-7.9203525072857337</c:v>
                </c:pt>
                <c:pt idx="17">
                  <c:v>-8.1227376334839274</c:v>
                </c:pt>
                <c:pt idx="18">
                  <c:v>-8.1227376334839274</c:v>
                </c:pt>
                <c:pt idx="19">
                  <c:v>-8.1227376334839274</c:v>
                </c:pt>
                <c:pt idx="20">
                  <c:v>-8.1227376334839274</c:v>
                </c:pt>
                <c:pt idx="21">
                  <c:v>-8.1227376334839274</c:v>
                </c:pt>
                <c:pt idx="22">
                  <c:v>-8.1227376334839274</c:v>
                </c:pt>
                <c:pt idx="23">
                  <c:v>-8.1227376334839274</c:v>
                </c:pt>
              </c:numCache>
            </c:numRef>
          </c:xVal>
          <c:yVal>
            <c:numRef>
              <c:f>'CS 2do sem datos'!$AW$88:$AW$111</c:f>
              <c:numCache>
                <c:formatCode>General</c:formatCode>
                <c:ptCount val="24"/>
                <c:pt idx="0">
                  <c:v>-3.875710688065344</c:v>
                </c:pt>
                <c:pt idx="1">
                  <c:v>-3.875710688065344</c:v>
                </c:pt>
                <c:pt idx="2">
                  <c:v>-3.875710688065344</c:v>
                </c:pt>
                <c:pt idx="3">
                  <c:v>-3.875710688065344</c:v>
                </c:pt>
                <c:pt idx="4">
                  <c:v>-3.875710688065344</c:v>
                </c:pt>
                <c:pt idx="5">
                  <c:v>-3.875710688065344</c:v>
                </c:pt>
                <c:pt idx="6">
                  <c:v>-3.9424623788877113</c:v>
                </c:pt>
                <c:pt idx="7">
                  <c:v>-4.3854380742469941</c:v>
                </c:pt>
                <c:pt idx="8">
                  <c:v>-4.7140125878124115</c:v>
                </c:pt>
                <c:pt idx="9">
                  <c:v>-4.9411752249525929</c:v>
                </c:pt>
                <c:pt idx="10">
                  <c:v>-5.0747045209462618</c:v>
                </c:pt>
                <c:pt idx="11">
                  <c:v>-5.1187748812505367</c:v>
                </c:pt>
                <c:pt idx="12">
                  <c:v>-5.0747045209462627</c:v>
                </c:pt>
                <c:pt idx="13">
                  <c:v>-4.941175224952592</c:v>
                </c:pt>
                <c:pt idx="14">
                  <c:v>-4.7140125878124106</c:v>
                </c:pt>
                <c:pt idx="15">
                  <c:v>-4.3854380742469932</c:v>
                </c:pt>
                <c:pt idx="16">
                  <c:v>-3.94246237888771</c:v>
                </c:pt>
                <c:pt idx="17">
                  <c:v>-3.8757106880653427</c:v>
                </c:pt>
                <c:pt idx="18">
                  <c:v>-3.8757106880653427</c:v>
                </c:pt>
                <c:pt idx="19">
                  <c:v>-3.8757106880653427</c:v>
                </c:pt>
                <c:pt idx="20">
                  <c:v>-3.8757106880653427</c:v>
                </c:pt>
                <c:pt idx="21">
                  <c:v>-3.8757106880653427</c:v>
                </c:pt>
                <c:pt idx="22">
                  <c:v>-3.8757106880653427</c:v>
                </c:pt>
                <c:pt idx="23">
                  <c:v>-3.8757106880653427</c:v>
                </c:pt>
              </c:numCache>
            </c:numRef>
          </c:yVal>
          <c:smooth val="1"/>
        </c:ser>
        <c:ser>
          <c:idx val="146"/>
          <c:order val="35"/>
          <c:spPr>
            <a:ln>
              <a:solidFill>
                <a:srgbClr val="4F81BD"/>
              </a:solidFill>
            </a:ln>
          </c:spPr>
          <c:marker>
            <c:symbol val="circle"/>
            <c:size val="5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dLbls>
            <c:dLbl>
              <c:idx val="0"/>
              <c:layout>
                <c:manualLayout>
                  <c:x val="-3.0480822580836002E-3"/>
                  <c:y val="2.7169554267919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Noviembre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2do sem datos'!$BG$88:$BG$111</c:f>
              <c:numCache>
                <c:formatCode>General</c:formatCode>
                <c:ptCount val="24"/>
                <c:pt idx="0">
                  <c:v>8.5764693111567532</c:v>
                </c:pt>
                <c:pt idx="1">
                  <c:v>8.5764693111567532</c:v>
                </c:pt>
                <c:pt idx="2">
                  <c:v>8.5764693111567532</c:v>
                </c:pt>
                <c:pt idx="3">
                  <c:v>8.5764693111567532</c:v>
                </c:pt>
                <c:pt idx="4">
                  <c:v>8.5764693111567532</c:v>
                </c:pt>
                <c:pt idx="5">
                  <c:v>8.5764693111567532</c:v>
                </c:pt>
                <c:pt idx="6">
                  <c:v>7.9370035218323389</c:v>
                </c:pt>
                <c:pt idx="7">
                  <c:v>6.3739216297498276</c:v>
                </c:pt>
                <c:pt idx="8">
                  <c:v>4.792837582647314</c:v>
                </c:pt>
                <c:pt idx="9">
                  <c:v>3.2006010638105553</c:v>
                </c:pt>
                <c:pt idx="10">
                  <c:v>1.6018208347188778</c:v>
                </c:pt>
                <c:pt idx="11">
                  <c:v>2.7224891574812041E-16</c:v>
                </c:pt>
                <c:pt idx="12">
                  <c:v>-1.6018208347188794</c:v>
                </c:pt>
                <c:pt idx="13">
                  <c:v>-3.2006010638105553</c:v>
                </c:pt>
                <c:pt idx="14">
                  <c:v>-4.792837582647314</c:v>
                </c:pt>
                <c:pt idx="15">
                  <c:v>-6.3739216297498285</c:v>
                </c:pt>
                <c:pt idx="16">
                  <c:v>-7.9370035218323398</c:v>
                </c:pt>
                <c:pt idx="17">
                  <c:v>-8.5764693111567532</c:v>
                </c:pt>
                <c:pt idx="18">
                  <c:v>-8.5764693111567532</c:v>
                </c:pt>
                <c:pt idx="19">
                  <c:v>-8.5764693111567532</c:v>
                </c:pt>
                <c:pt idx="20">
                  <c:v>-8.5764693111567532</c:v>
                </c:pt>
                <c:pt idx="21">
                  <c:v>-8.5764693111567532</c:v>
                </c:pt>
                <c:pt idx="22">
                  <c:v>-8.5764693111567532</c:v>
                </c:pt>
                <c:pt idx="23">
                  <c:v>-8.5764693111567532</c:v>
                </c:pt>
              </c:numCache>
            </c:numRef>
          </c:xVal>
          <c:yVal>
            <c:numRef>
              <c:f>'CS 2do sem datos'!$BH$88:$BH$111</c:f>
              <c:numCache>
                <c:formatCode>General</c:formatCode>
                <c:ptCount val="24"/>
                <c:pt idx="0">
                  <c:v>-2.7284013918018717</c:v>
                </c:pt>
                <c:pt idx="1">
                  <c:v>-2.7284013918018717</c:v>
                </c:pt>
                <c:pt idx="2">
                  <c:v>-2.7284013918018717</c:v>
                </c:pt>
                <c:pt idx="3">
                  <c:v>-2.7284013918018717</c:v>
                </c:pt>
                <c:pt idx="4">
                  <c:v>-2.7284013918018717</c:v>
                </c:pt>
                <c:pt idx="5">
                  <c:v>-2.7284013918018717</c:v>
                </c:pt>
                <c:pt idx="6">
                  <c:v>-3.0067397074242299</c:v>
                </c:pt>
                <c:pt idx="7">
                  <c:v>-3.5558862780284519</c:v>
                </c:pt>
                <c:pt idx="8">
                  <c:v>-3.9570444231142194</c:v>
                </c:pt>
                <c:pt idx="9">
                  <c:v>-4.2314384754301173</c:v>
                </c:pt>
                <c:pt idx="10">
                  <c:v>-4.3916413710632929</c:v>
                </c:pt>
                <c:pt idx="11">
                  <c:v>-4.4443416576553023</c:v>
                </c:pt>
                <c:pt idx="12">
                  <c:v>-4.391641371063292</c:v>
                </c:pt>
                <c:pt idx="13">
                  <c:v>-4.2314384754301173</c:v>
                </c:pt>
                <c:pt idx="14">
                  <c:v>-3.957044423114219</c:v>
                </c:pt>
                <c:pt idx="15">
                  <c:v>-3.5558862780284506</c:v>
                </c:pt>
                <c:pt idx="16">
                  <c:v>-3.0067397074242268</c:v>
                </c:pt>
                <c:pt idx="17">
                  <c:v>-2.7284013918018726</c:v>
                </c:pt>
                <c:pt idx="18">
                  <c:v>-2.7284013918018726</c:v>
                </c:pt>
                <c:pt idx="19">
                  <c:v>-2.7284013918018726</c:v>
                </c:pt>
                <c:pt idx="20">
                  <c:v>-2.7284013918018726</c:v>
                </c:pt>
                <c:pt idx="21">
                  <c:v>-2.7284013918018726</c:v>
                </c:pt>
                <c:pt idx="22">
                  <c:v>-2.7284013918018726</c:v>
                </c:pt>
                <c:pt idx="23">
                  <c:v>-2.7284013918018726</c:v>
                </c:pt>
              </c:numCache>
            </c:numRef>
          </c:yVal>
          <c:smooth val="1"/>
        </c:ser>
        <c:ser>
          <c:idx val="147"/>
          <c:order val="36"/>
          <c:spPr>
            <a:ln>
              <a:solidFill>
                <a:srgbClr val="4F81BD"/>
              </a:solidFill>
            </a:ln>
          </c:spPr>
          <c:marker>
            <c:symbol val="circle"/>
            <c:size val="5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dLbls>
            <c:dLbl>
              <c:idx val="0"/>
              <c:layout>
                <c:manualLayout>
                  <c:x val="-5.7492513585727604E-3"/>
                  <c:y val="4.375845772833909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Octubre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2do sem datos'!$BR$88:$BR$111</c:f>
              <c:numCache>
                <c:formatCode>General</c:formatCode>
                <c:ptCount val="24"/>
                <c:pt idx="0">
                  <c:v>8.9681072395106511</c:v>
                </c:pt>
                <c:pt idx="1">
                  <c:v>8.9681072395106511</c:v>
                </c:pt>
                <c:pt idx="2">
                  <c:v>8.9681072395106511</c:v>
                </c:pt>
                <c:pt idx="3">
                  <c:v>8.9681072395106511</c:v>
                </c:pt>
                <c:pt idx="4">
                  <c:v>8.9681072395106511</c:v>
                </c:pt>
                <c:pt idx="5">
                  <c:v>8.9681072395106511</c:v>
                </c:pt>
                <c:pt idx="6">
                  <c:v>7.7566153566303626</c:v>
                </c:pt>
                <c:pt idx="7">
                  <c:v>6.2591135034701519</c:v>
                </c:pt>
                <c:pt idx="8">
                  <c:v>4.7210947655407791</c:v>
                </c:pt>
                <c:pt idx="9">
                  <c:v>3.1587701351887114</c:v>
                </c:pt>
                <c:pt idx="10">
                  <c:v>1.5825569006738294</c:v>
                </c:pt>
                <c:pt idx="11">
                  <c:v>2.0395981383766651E-16</c:v>
                </c:pt>
                <c:pt idx="12">
                  <c:v>-1.5825569006738291</c:v>
                </c:pt>
                <c:pt idx="13">
                  <c:v>-3.1587701351887123</c:v>
                </c:pt>
                <c:pt idx="14">
                  <c:v>-4.7210947655407791</c:v>
                </c:pt>
                <c:pt idx="15">
                  <c:v>-6.2591135034701519</c:v>
                </c:pt>
                <c:pt idx="16">
                  <c:v>-7.7566153566303617</c:v>
                </c:pt>
                <c:pt idx="17">
                  <c:v>-8.9681072395106511</c:v>
                </c:pt>
                <c:pt idx="18">
                  <c:v>-8.9681072395106511</c:v>
                </c:pt>
                <c:pt idx="19">
                  <c:v>-8.9681072395106511</c:v>
                </c:pt>
                <c:pt idx="20">
                  <c:v>-8.9681072395106511</c:v>
                </c:pt>
                <c:pt idx="21">
                  <c:v>-8.9681072395106511</c:v>
                </c:pt>
                <c:pt idx="22">
                  <c:v>-8.9681072395106511</c:v>
                </c:pt>
                <c:pt idx="23">
                  <c:v>-8.9681072395106511</c:v>
                </c:pt>
              </c:numCache>
            </c:numRef>
          </c:xVal>
          <c:yVal>
            <c:numRef>
              <c:f>'CS 2do sem datos'!$BS$88:$BS$111</c:f>
              <c:numCache>
                <c:formatCode>General</c:formatCode>
                <c:ptCount val="24"/>
                <c:pt idx="0">
                  <c:v>-0.75700233859390886</c:v>
                </c:pt>
                <c:pt idx="1">
                  <c:v>-0.75700233859390886</c:v>
                </c:pt>
                <c:pt idx="2">
                  <c:v>-0.75700233859390886</c:v>
                </c:pt>
                <c:pt idx="3">
                  <c:v>-0.75700233859390886</c:v>
                </c:pt>
                <c:pt idx="4">
                  <c:v>-0.75700233859390886</c:v>
                </c:pt>
                <c:pt idx="5">
                  <c:v>-0.75700233859390886</c:v>
                </c:pt>
                <c:pt idx="6">
                  <c:v>-1.5274342176721136</c:v>
                </c:pt>
                <c:pt idx="7">
                  <c:v>-2.2219314351235444</c:v>
                </c:pt>
                <c:pt idx="8">
                  <c:v>-2.7246801501078113</c:v>
                </c:pt>
                <c:pt idx="9">
                  <c:v>-3.0660982649874109</c:v>
                </c:pt>
                <c:pt idx="10">
                  <c:v>-3.2644600428327033</c:v>
                </c:pt>
                <c:pt idx="11">
                  <c:v>-3.3295526435264406</c:v>
                </c:pt>
                <c:pt idx="12">
                  <c:v>-3.2644600428327033</c:v>
                </c:pt>
                <c:pt idx="13">
                  <c:v>-3.0660982649874096</c:v>
                </c:pt>
                <c:pt idx="14">
                  <c:v>-2.7246801501078117</c:v>
                </c:pt>
                <c:pt idx="15">
                  <c:v>-2.2219314351235457</c:v>
                </c:pt>
                <c:pt idx="16">
                  <c:v>-1.5274342176721158</c:v>
                </c:pt>
                <c:pt idx="17">
                  <c:v>-0.75700233859390975</c:v>
                </c:pt>
                <c:pt idx="18">
                  <c:v>-0.75700233859390975</c:v>
                </c:pt>
                <c:pt idx="19">
                  <c:v>-0.75700233859390975</c:v>
                </c:pt>
                <c:pt idx="20">
                  <c:v>-0.75700233859390975</c:v>
                </c:pt>
                <c:pt idx="21">
                  <c:v>-0.75700233859390975</c:v>
                </c:pt>
                <c:pt idx="22">
                  <c:v>-0.75700233859390975</c:v>
                </c:pt>
                <c:pt idx="23">
                  <c:v>-0.75700233859390975</c:v>
                </c:pt>
              </c:numCache>
            </c:numRef>
          </c:yVal>
          <c:smooth val="1"/>
        </c:ser>
        <c:ser>
          <c:idx val="148"/>
          <c:order val="37"/>
          <c:spPr>
            <a:ln>
              <a:solidFill>
                <a:srgbClr val="4F81BD"/>
              </a:solidFill>
            </a:ln>
          </c:spPr>
          <c:marker>
            <c:symbol val="circle"/>
            <c:size val="5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dLbls>
            <c:dLbl>
              <c:idx val="0"/>
              <c:layout>
                <c:manualLayout>
                  <c:x val="-5.3628303958257097E-3"/>
                  <c:y val="4.790568359344390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Septiembre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2do sem datos'!$CC$88:$CC$111</c:f>
              <c:numCache>
                <c:formatCode>General</c:formatCode>
                <c:ptCount val="24"/>
                <c:pt idx="0">
                  <c:v>8.8929181760047449</c:v>
                </c:pt>
                <c:pt idx="1">
                  <c:v>8.8929181760047449</c:v>
                </c:pt>
                <c:pt idx="2">
                  <c:v>8.8929181760047449</c:v>
                </c:pt>
                <c:pt idx="3">
                  <c:v>8.8929181760047449</c:v>
                </c:pt>
                <c:pt idx="4">
                  <c:v>8.8929181760047449</c:v>
                </c:pt>
                <c:pt idx="5">
                  <c:v>8.5654551879976513</c:v>
                </c:pt>
                <c:pt idx="6">
                  <c:v>7.3171793408454278</c:v>
                </c:pt>
                <c:pt idx="7">
                  <c:v>5.9498753428282356</c:v>
                </c:pt>
                <c:pt idx="8">
                  <c:v>4.5105575419044515</c:v>
                </c:pt>
                <c:pt idx="9">
                  <c:v>3.027575645251392</c:v>
                </c:pt>
                <c:pt idx="10">
                  <c:v>1.519523695277962</c:v>
                </c:pt>
                <c:pt idx="11">
                  <c:v>1.3081749948580787E-16</c:v>
                </c:pt>
                <c:pt idx="12">
                  <c:v>-1.5195236952779616</c:v>
                </c:pt>
                <c:pt idx="13">
                  <c:v>-3.0275756452513924</c:v>
                </c:pt>
                <c:pt idx="14">
                  <c:v>-4.5105575419044515</c:v>
                </c:pt>
                <c:pt idx="15">
                  <c:v>-5.9498753428282356</c:v>
                </c:pt>
                <c:pt idx="16">
                  <c:v>-7.3171793408454278</c:v>
                </c:pt>
                <c:pt idx="17">
                  <c:v>-8.5654551879976513</c:v>
                </c:pt>
                <c:pt idx="18">
                  <c:v>-8.8929181760047449</c:v>
                </c:pt>
                <c:pt idx="19">
                  <c:v>-8.8929181760047449</c:v>
                </c:pt>
                <c:pt idx="20">
                  <c:v>-8.8929181760047449</c:v>
                </c:pt>
                <c:pt idx="21">
                  <c:v>-8.8929181760047449</c:v>
                </c:pt>
                <c:pt idx="22">
                  <c:v>-8.8929181760047449</c:v>
                </c:pt>
                <c:pt idx="23">
                  <c:v>-8.8929181760047449</c:v>
                </c:pt>
              </c:numCache>
            </c:numRef>
          </c:xVal>
          <c:yVal>
            <c:numRef>
              <c:f>'CS 2do sem datos'!$CD$88:$CD$111</c:f>
              <c:numCache>
                <c:formatCode>General</c:formatCode>
                <c:ptCount val="24"/>
                <c:pt idx="0">
                  <c:v>1.3841987989029791</c:v>
                </c:pt>
                <c:pt idx="1">
                  <c:v>1.3841987989029791</c:v>
                </c:pt>
                <c:pt idx="2">
                  <c:v>1.3841987989029791</c:v>
                </c:pt>
                <c:pt idx="3">
                  <c:v>1.3841987989029791</c:v>
                </c:pt>
                <c:pt idx="4">
                  <c:v>1.3841987989029791</c:v>
                </c:pt>
                <c:pt idx="5">
                  <c:v>1.0153845508301496</c:v>
                </c:pt>
                <c:pt idx="6">
                  <c:v>-5.491916703403818E-2</c:v>
                </c:pt>
                <c:pt idx="7">
                  <c:v>-0.85515633493597176</c:v>
                </c:pt>
                <c:pt idx="8">
                  <c:v>-1.4360875976710545</c:v>
                </c:pt>
                <c:pt idx="9">
                  <c:v>-1.8308990238685714</c:v>
                </c:pt>
                <c:pt idx="10">
                  <c:v>-2.0602774257475551</c:v>
                </c:pt>
                <c:pt idx="11">
                  <c:v>-2.1355371091834767</c:v>
                </c:pt>
                <c:pt idx="12">
                  <c:v>-2.0602774257475556</c:v>
                </c:pt>
                <c:pt idx="13">
                  <c:v>-1.830899023868571</c:v>
                </c:pt>
                <c:pt idx="14">
                  <c:v>-1.4360875976710543</c:v>
                </c:pt>
                <c:pt idx="15">
                  <c:v>-0.85515633493597099</c:v>
                </c:pt>
                <c:pt idx="16">
                  <c:v>-5.4919167034038395E-2</c:v>
                </c:pt>
                <c:pt idx="17">
                  <c:v>1.0153845508301516</c:v>
                </c:pt>
                <c:pt idx="18">
                  <c:v>1.3841987989029836</c:v>
                </c:pt>
                <c:pt idx="19">
                  <c:v>1.3841987989029836</c:v>
                </c:pt>
                <c:pt idx="20">
                  <c:v>1.3841987989029836</c:v>
                </c:pt>
                <c:pt idx="21">
                  <c:v>1.3841987989029836</c:v>
                </c:pt>
                <c:pt idx="22">
                  <c:v>1.3841987989029836</c:v>
                </c:pt>
                <c:pt idx="23">
                  <c:v>1.3841987989029836</c:v>
                </c:pt>
              </c:numCache>
            </c:numRef>
          </c:yVal>
          <c:smooth val="1"/>
        </c:ser>
        <c:ser>
          <c:idx val="149"/>
          <c:order val="38"/>
          <c:spPr>
            <a:ln>
              <a:solidFill>
                <a:srgbClr val="4F81BD"/>
              </a:solidFill>
            </a:ln>
          </c:spPr>
          <c:marker>
            <c:symbol val="circle"/>
            <c:size val="5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dLbls>
            <c:dLbl>
              <c:idx val="0"/>
              <c:layout>
                <c:manualLayout>
                  <c:x val="-3.68823462284612E-3"/>
                  <c:y val="3.131678013302469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Agosto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2do sem datos'!$CN$88:$CN$111</c:f>
              <c:numCache>
                <c:formatCode>General</c:formatCode>
                <c:ptCount val="24"/>
                <c:pt idx="0">
                  <c:v>8.4242010529375015</c:v>
                </c:pt>
                <c:pt idx="1">
                  <c:v>8.4242010529375015</c:v>
                </c:pt>
                <c:pt idx="2">
                  <c:v>8.4242010529375015</c:v>
                </c:pt>
                <c:pt idx="3">
                  <c:v>8.4242010529375015</c:v>
                </c:pt>
                <c:pt idx="4">
                  <c:v>8.4242010529375015</c:v>
                </c:pt>
                <c:pt idx="5">
                  <c:v>7.8336727666422483</c:v>
                </c:pt>
                <c:pt idx="6">
                  <c:v>6.7724281322824265</c:v>
                </c:pt>
                <c:pt idx="7">
                  <c:v>5.5520641812898193</c:v>
                </c:pt>
                <c:pt idx="8">
                  <c:v>4.2322633019278983</c:v>
                </c:pt>
                <c:pt idx="9">
                  <c:v>2.8508896713723404</c:v>
                </c:pt>
                <c:pt idx="10">
                  <c:v>1.4336983739441382</c:v>
                </c:pt>
                <c:pt idx="11">
                  <c:v>6.8405012524425953E-17</c:v>
                </c:pt>
                <c:pt idx="12">
                  <c:v>-1.4336983739441382</c:v>
                </c:pt>
                <c:pt idx="13">
                  <c:v>-2.8508896713723404</c:v>
                </c:pt>
                <c:pt idx="14">
                  <c:v>-4.2322633019278983</c:v>
                </c:pt>
                <c:pt idx="15">
                  <c:v>-5.5520641812898193</c:v>
                </c:pt>
                <c:pt idx="16">
                  <c:v>-6.7724281322824265</c:v>
                </c:pt>
                <c:pt idx="17">
                  <c:v>-7.8336727666422483</c:v>
                </c:pt>
                <c:pt idx="18">
                  <c:v>-8.4242010529375033</c:v>
                </c:pt>
                <c:pt idx="19">
                  <c:v>-8.4242010529375033</c:v>
                </c:pt>
                <c:pt idx="20">
                  <c:v>-8.4242010529375033</c:v>
                </c:pt>
                <c:pt idx="21">
                  <c:v>-8.4242010529375033</c:v>
                </c:pt>
                <c:pt idx="22">
                  <c:v>-8.4242010529375033</c:v>
                </c:pt>
                <c:pt idx="23">
                  <c:v>-8.4242010529375033</c:v>
                </c:pt>
              </c:numCache>
            </c:numRef>
          </c:xVal>
          <c:yVal>
            <c:numRef>
              <c:f>'CS 2do sem datos'!$CO$88:$CO$111</c:f>
              <c:numCache>
                <c:formatCode>General</c:formatCode>
                <c:ptCount val="24"/>
                <c:pt idx="0">
                  <c:v>3.1674653304632527</c:v>
                </c:pt>
                <c:pt idx="1">
                  <c:v>3.1674653304632527</c:v>
                </c:pt>
                <c:pt idx="2">
                  <c:v>3.1674653304632527</c:v>
                </c:pt>
                <c:pt idx="3">
                  <c:v>3.1674653304632527</c:v>
                </c:pt>
                <c:pt idx="4">
                  <c:v>3.1674653304632527</c:v>
                </c:pt>
                <c:pt idx="5">
                  <c:v>2.2129946436748824</c:v>
                </c:pt>
                <c:pt idx="6">
                  <c:v>1.0987026288314572</c:v>
                </c:pt>
                <c:pt idx="7">
                  <c:v>0.25312143844983037</c:v>
                </c:pt>
                <c:pt idx="8">
                  <c:v>-0.36616801105094599</c:v>
                </c:pt>
                <c:pt idx="9">
                  <c:v>-0.78922270067773015</c:v>
                </c:pt>
                <c:pt idx="10">
                  <c:v>-1.0357074320385538</c:v>
                </c:pt>
                <c:pt idx="11">
                  <c:v>-1.1166812030061788</c:v>
                </c:pt>
                <c:pt idx="12">
                  <c:v>-1.035707432038554</c:v>
                </c:pt>
                <c:pt idx="13">
                  <c:v>-0.78922270067773104</c:v>
                </c:pt>
                <c:pt idx="14">
                  <c:v>-0.3661680110509456</c:v>
                </c:pt>
                <c:pt idx="15">
                  <c:v>0.25312143844983048</c:v>
                </c:pt>
                <c:pt idx="16">
                  <c:v>1.0987026288314568</c:v>
                </c:pt>
                <c:pt idx="17">
                  <c:v>2.2129946436748833</c:v>
                </c:pt>
                <c:pt idx="18">
                  <c:v>3.1674653304632505</c:v>
                </c:pt>
                <c:pt idx="19">
                  <c:v>3.1674653304632505</c:v>
                </c:pt>
                <c:pt idx="20">
                  <c:v>3.1674653304632505</c:v>
                </c:pt>
                <c:pt idx="21">
                  <c:v>3.1674653304632505</c:v>
                </c:pt>
                <c:pt idx="22">
                  <c:v>3.1674653304632505</c:v>
                </c:pt>
                <c:pt idx="23">
                  <c:v>3.1674653304632505</c:v>
                </c:pt>
              </c:numCache>
            </c:numRef>
          </c:yVal>
          <c:smooth val="1"/>
        </c:ser>
        <c:ser>
          <c:idx val="150"/>
          <c:order val="39"/>
          <c:spPr>
            <a:ln>
              <a:solidFill>
                <a:srgbClr val="4F81BD"/>
              </a:solidFill>
            </a:ln>
          </c:spPr>
          <c:marker>
            <c:symbol val="circle"/>
            <c:size val="5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dLbls>
            <c:dLbl>
              <c:idx val="0"/>
              <c:layout>
                <c:manualLayout>
                  <c:x val="-4.4977511244377799E-3"/>
                  <c:y val="8.5070378749485705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Julio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6am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7am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8am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9am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10am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11am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12pm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1pm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2pm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3pm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en-US"/>
                      <a:t>4pm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tx>
                <c:rich>
                  <a:bodyPr/>
                  <a:lstStyle/>
                  <a:p>
                    <a:r>
                      <a:rPr lang="en-US"/>
                      <a:t>5pm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tx>
                <c:rich>
                  <a:bodyPr/>
                  <a:lstStyle/>
                  <a:p>
                    <a:r>
                      <a:rPr lang="en-US"/>
                      <a:t>6pm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2do sem datos'!$CY$88:$CY$111</c:f>
              <c:numCache>
                <c:formatCode>General</c:formatCode>
                <c:ptCount val="24"/>
                <c:pt idx="0">
                  <c:v>8.0404086472728373</c:v>
                </c:pt>
                <c:pt idx="1">
                  <c:v>8.0404086472728373</c:v>
                </c:pt>
                <c:pt idx="2">
                  <c:v>8.0404086472728373</c:v>
                </c:pt>
                <c:pt idx="3">
                  <c:v>8.0404086472728373</c:v>
                </c:pt>
                <c:pt idx="4">
                  <c:v>8.0404086472728373</c:v>
                </c:pt>
                <c:pt idx="5">
                  <c:v>7.4013126754456309</c:v>
                </c:pt>
                <c:pt idx="6">
                  <c:v>6.4413948054342534</c:v>
                </c:pt>
                <c:pt idx="7">
                  <c:v>5.3054101678542844</c:v>
                </c:pt>
                <c:pt idx="8">
                  <c:v>4.0572556384225589</c:v>
                </c:pt>
                <c:pt idx="9">
                  <c:v>2.7387301330387381</c:v>
                </c:pt>
                <c:pt idx="10">
                  <c:v>1.3789227287883619</c:v>
                </c:pt>
                <c:pt idx="11">
                  <c:v>3.6506458382437044E-17</c:v>
                </c:pt>
                <c:pt idx="12">
                  <c:v>-1.3789227287883621</c:v>
                </c:pt>
                <c:pt idx="13">
                  <c:v>-2.7387301330387381</c:v>
                </c:pt>
                <c:pt idx="14">
                  <c:v>-4.0572556384225589</c:v>
                </c:pt>
                <c:pt idx="15">
                  <c:v>-5.3054101678542844</c:v>
                </c:pt>
                <c:pt idx="16">
                  <c:v>-6.4413948054342534</c:v>
                </c:pt>
                <c:pt idx="17">
                  <c:v>-7.40131267544563</c:v>
                </c:pt>
                <c:pt idx="18">
                  <c:v>-8.0404086472728373</c:v>
                </c:pt>
                <c:pt idx="19">
                  <c:v>-8.0404086472728373</c:v>
                </c:pt>
                <c:pt idx="20">
                  <c:v>-8.0404086472728373</c:v>
                </c:pt>
                <c:pt idx="21">
                  <c:v>-8.0404086472728373</c:v>
                </c:pt>
                <c:pt idx="22">
                  <c:v>-8.0404086472728373</c:v>
                </c:pt>
                <c:pt idx="23">
                  <c:v>-8.0404086472728373</c:v>
                </c:pt>
              </c:numCache>
            </c:numRef>
          </c:xVal>
          <c:yVal>
            <c:numRef>
              <c:f>'CS 2do sem datos'!$CZ$88:$CZ$111</c:f>
              <c:numCache>
                <c:formatCode>General</c:formatCode>
                <c:ptCount val="24"/>
                <c:pt idx="0">
                  <c:v>4.0437394556103836</c:v>
                </c:pt>
                <c:pt idx="1">
                  <c:v>4.0437394556103836</c:v>
                </c:pt>
                <c:pt idx="2">
                  <c:v>4.0437394556103836</c:v>
                </c:pt>
                <c:pt idx="3">
                  <c:v>4.0437394556103836</c:v>
                </c:pt>
                <c:pt idx="4">
                  <c:v>4.0437394556103836</c:v>
                </c:pt>
                <c:pt idx="5">
                  <c:v>2.7617048843911882</c:v>
                </c:pt>
                <c:pt idx="6">
                  <c:v>1.6494388712165591</c:v>
                </c:pt>
                <c:pt idx="7">
                  <c:v>0.79714818307256552</c:v>
                </c:pt>
                <c:pt idx="8">
                  <c:v>0.16904678632304351</c:v>
                </c:pt>
                <c:pt idx="9">
                  <c:v>-0.2616991103712919</c:v>
                </c:pt>
                <c:pt idx="10">
                  <c:v>-0.51323313882258714</c:v>
                </c:pt>
                <c:pt idx="11">
                  <c:v>-0.59595158833481854</c:v>
                </c:pt>
                <c:pt idx="12">
                  <c:v>-0.51323313882258681</c:v>
                </c:pt>
                <c:pt idx="13">
                  <c:v>-0.26169911037129179</c:v>
                </c:pt>
                <c:pt idx="14">
                  <c:v>0.16904678632304337</c:v>
                </c:pt>
                <c:pt idx="15">
                  <c:v>0.79714818307256685</c:v>
                </c:pt>
                <c:pt idx="16">
                  <c:v>1.6494388712165602</c:v>
                </c:pt>
                <c:pt idx="17">
                  <c:v>2.76170488439119</c:v>
                </c:pt>
                <c:pt idx="18">
                  <c:v>4.0437394556103845</c:v>
                </c:pt>
                <c:pt idx="19">
                  <c:v>4.0437394556103845</c:v>
                </c:pt>
                <c:pt idx="20">
                  <c:v>4.0437394556103845</c:v>
                </c:pt>
                <c:pt idx="21">
                  <c:v>4.0437394556103845</c:v>
                </c:pt>
                <c:pt idx="22">
                  <c:v>4.0437394556103845</c:v>
                </c:pt>
                <c:pt idx="23">
                  <c:v>4.0437394556103845</c:v>
                </c:pt>
              </c:numCache>
            </c:numRef>
          </c:yVal>
          <c:smooth val="1"/>
        </c:ser>
        <c:ser>
          <c:idx val="156"/>
          <c:order val="40"/>
          <c:spPr>
            <a:ln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rgbClr val="4F81BD"/>
                </a:solidFill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4.14784733617443E-3"/>
                  <c:y val="-1.4302704383127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Diciembre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1.28436569117016E-2"/>
                  <c:y val="1.887510253771039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6am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7am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8am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9am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10am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11am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12pm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1pm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2pm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3pm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en-US"/>
                      <a:t>4pm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tx>
                <c:rich>
                  <a:bodyPr/>
                  <a:lstStyle/>
                  <a:p>
                    <a:r>
                      <a:rPr lang="en-US"/>
                      <a:t>5pm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4.9290315472185202E-2"/>
                  <c:y val="2.7169554267919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6pm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</c:extLst>
            </c:dLbl>
            <c:numFmt formatCode="@" sourceLinked="0"/>
            <c:spPr>
              <a:noFill/>
              <a:ln>
                <a:noFill/>
              </a:ln>
              <a:effectLst/>
            </c:sp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2do sem datos'!$DJ$88:$DJ$111</c:f>
              <c:numCache>
                <c:formatCode>General</c:formatCode>
                <c:ptCount val="24"/>
                <c:pt idx="0">
                  <c:v>8.0128353242451471</c:v>
                </c:pt>
                <c:pt idx="1">
                  <c:v>8.0128353242451471</c:v>
                </c:pt>
                <c:pt idx="2">
                  <c:v>8.0128353242451471</c:v>
                </c:pt>
                <c:pt idx="3">
                  <c:v>8.0128353242451471</c:v>
                </c:pt>
                <c:pt idx="4">
                  <c:v>8.0128353242451471</c:v>
                </c:pt>
                <c:pt idx="5">
                  <c:v>8.0128353242451471</c:v>
                </c:pt>
                <c:pt idx="6">
                  <c:v>7.9045474322355096</c:v>
                </c:pt>
                <c:pt idx="7">
                  <c:v>6.3370457173808656</c:v>
                </c:pt>
                <c:pt idx="8">
                  <c:v>4.7600861515158286</c:v>
                </c:pt>
                <c:pt idx="9">
                  <c:v>3.1767063828743427</c:v>
                </c:pt>
                <c:pt idx="10">
                  <c:v>1.5893183907474926</c:v>
                </c:pt>
                <c:pt idx="11">
                  <c:v>3.2178391145729545E-16</c:v>
                </c:pt>
                <c:pt idx="12">
                  <c:v>-1.5893183907474944</c:v>
                </c:pt>
                <c:pt idx="13">
                  <c:v>-3.176706382874344</c:v>
                </c:pt>
                <c:pt idx="14">
                  <c:v>-4.7600861515158286</c:v>
                </c:pt>
                <c:pt idx="15">
                  <c:v>-6.3370457173808665</c:v>
                </c:pt>
                <c:pt idx="16">
                  <c:v>-7.9045474322355096</c:v>
                </c:pt>
                <c:pt idx="17">
                  <c:v>-8.0128353242451471</c:v>
                </c:pt>
                <c:pt idx="18">
                  <c:v>-8.0128353242451471</c:v>
                </c:pt>
                <c:pt idx="19">
                  <c:v>-8.0128353242451471</c:v>
                </c:pt>
                <c:pt idx="20">
                  <c:v>-8.0128353242451471</c:v>
                </c:pt>
                <c:pt idx="21">
                  <c:v>-8.0128353242451471</c:v>
                </c:pt>
                <c:pt idx="22">
                  <c:v>-8.0128353242451471</c:v>
                </c:pt>
                <c:pt idx="23">
                  <c:v>-8.0128353242451471</c:v>
                </c:pt>
              </c:numCache>
            </c:numRef>
          </c:xVal>
          <c:yVal>
            <c:numRef>
              <c:f>'CS 2do sem datos'!$DK$88:$DK$111</c:f>
              <c:numCache>
                <c:formatCode>General</c:formatCode>
                <c:ptCount val="24"/>
                <c:pt idx="0">
                  <c:v>-4.0981056680531269</c:v>
                </c:pt>
                <c:pt idx="1">
                  <c:v>-4.0981056680531269</c:v>
                </c:pt>
                <c:pt idx="2">
                  <c:v>-4.0981056680531269</c:v>
                </c:pt>
                <c:pt idx="3">
                  <c:v>-4.0981056680531269</c:v>
                </c:pt>
                <c:pt idx="4">
                  <c:v>-4.0981056680531269</c:v>
                </c:pt>
                <c:pt idx="5">
                  <c:v>-4.0981056680531269</c:v>
                </c:pt>
                <c:pt idx="6">
                  <c:v>-4.1316644606747346</c:v>
                </c:pt>
                <c:pt idx="7">
                  <c:v>-4.5521886371757292</c:v>
                </c:pt>
                <c:pt idx="8">
                  <c:v>-4.8654984013456133</c:v>
                </c:pt>
                <c:pt idx="9">
                  <c:v>-5.0827616950162993</c:v>
                </c:pt>
                <c:pt idx="10">
                  <c:v>-5.2107114643622561</c:v>
                </c:pt>
                <c:pt idx="11">
                  <c:v>-5.2529782846813662</c:v>
                </c:pt>
                <c:pt idx="12">
                  <c:v>-5.2107114643622552</c:v>
                </c:pt>
                <c:pt idx="13">
                  <c:v>-5.0827616950162984</c:v>
                </c:pt>
                <c:pt idx="14">
                  <c:v>-4.8654984013456133</c:v>
                </c:pt>
                <c:pt idx="15">
                  <c:v>-4.5521886371757274</c:v>
                </c:pt>
                <c:pt idx="16">
                  <c:v>-4.1316644606747346</c:v>
                </c:pt>
                <c:pt idx="17">
                  <c:v>-4.098105668053126</c:v>
                </c:pt>
                <c:pt idx="18">
                  <c:v>-4.098105668053126</c:v>
                </c:pt>
                <c:pt idx="19">
                  <c:v>-4.098105668053126</c:v>
                </c:pt>
                <c:pt idx="20">
                  <c:v>-4.098105668053126</c:v>
                </c:pt>
                <c:pt idx="21">
                  <c:v>-4.098105668053126</c:v>
                </c:pt>
                <c:pt idx="22">
                  <c:v>-4.098105668053126</c:v>
                </c:pt>
                <c:pt idx="23">
                  <c:v>-4.098105668053126</c:v>
                </c:pt>
              </c:numCache>
            </c:numRef>
          </c:yVal>
          <c:smooth val="1"/>
        </c:ser>
        <c:ser>
          <c:idx val="72"/>
          <c:order val="41"/>
          <c:marker>
            <c:symbol val="none"/>
          </c:marker>
          <c:xVal>
            <c:numRef>
              <c:f>'CS 2do sem datos'!$AY$172:$AY$178</c:f>
              <c:numCache>
                <c:formatCode>General</c:formatCode>
                <c:ptCount val="7"/>
                <c:pt idx="0">
                  <c:v>8.9999999459306821</c:v>
                </c:pt>
                <c:pt idx="1">
                  <c:v>8.9999999459306821</c:v>
                </c:pt>
                <c:pt idx="2">
                  <c:v>8.9999999459306821</c:v>
                </c:pt>
                <c:pt idx="3">
                  <c:v>8.9999999459306821</c:v>
                </c:pt>
                <c:pt idx="4">
                  <c:v>8.5654551879976495</c:v>
                </c:pt>
                <c:pt idx="5">
                  <c:v>7.8336727666422483</c:v>
                </c:pt>
                <c:pt idx="6">
                  <c:v>7.4013126754456309</c:v>
                </c:pt>
              </c:numCache>
            </c:numRef>
          </c:xVal>
          <c:yVal>
            <c:numRef>
              <c:f>'CS 2do sem datos'!$AZ$172:$AZ$178</c:f>
              <c:numCache>
                <c:formatCode>General</c:formatCode>
                <c:ptCount val="7"/>
                <c:pt idx="0">
                  <c:v>9.8653318720904812E-4</c:v>
                </c:pt>
                <c:pt idx="1">
                  <c:v>9.8653318720904812E-4</c:v>
                </c:pt>
                <c:pt idx="2">
                  <c:v>9.8653318720904812E-4</c:v>
                </c:pt>
                <c:pt idx="3">
                  <c:v>9.8653318720904812E-4</c:v>
                </c:pt>
                <c:pt idx="4">
                  <c:v>1.0153845508301493</c:v>
                </c:pt>
                <c:pt idx="5">
                  <c:v>2.2129946436748829</c:v>
                </c:pt>
                <c:pt idx="6">
                  <c:v>2.7617048843911882</c:v>
                </c:pt>
              </c:numCache>
            </c:numRef>
          </c:yVal>
          <c:smooth val="1"/>
        </c:ser>
        <c:ser>
          <c:idx val="151"/>
          <c:order val="42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2do sem datos'!$AO$172:$AO$178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xVal>
          <c:yVal>
            <c:numRef>
              <c:f>'CS 2do sem datos'!$AP$172:$AP$178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ser>
          <c:idx val="152"/>
          <c:order val="43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2do sem datos'!$AQ$172:$AQ$178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xVal>
          <c:yVal>
            <c:numRef>
              <c:f>'CS 2do sem datos'!$AR$172:$AR$178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ser>
          <c:idx val="153"/>
          <c:order val="44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2do sem datos'!$AS$172:$AS$178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xVal>
          <c:yVal>
            <c:numRef>
              <c:f>'CS 2do sem datos'!$AT$172:$AT$178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ser>
          <c:idx val="154"/>
          <c:order val="45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2do sem datos'!$AU$172:$AU$178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xVal>
          <c:yVal>
            <c:numRef>
              <c:f>'CS 2do sem datos'!$AV$172:$AV$178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ser>
          <c:idx val="155"/>
          <c:order val="46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2do sem datos'!$AW$172:$AW$178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xVal>
          <c:yVal>
            <c:numRef>
              <c:f>'CS 2do sem datos'!$AX$172:$AX$178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ser>
          <c:idx val="157"/>
          <c:order val="47"/>
          <c:spPr>
            <a:ln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'CS 2do sem datos'!$BA$172:$BA$178</c:f>
              <c:numCache>
                <c:formatCode>General</c:formatCode>
                <c:ptCount val="7"/>
                <c:pt idx="0">
                  <c:v>7.9045474322355096</c:v>
                </c:pt>
                <c:pt idx="1">
                  <c:v>7.9203525072857328</c:v>
                </c:pt>
                <c:pt idx="2">
                  <c:v>7.9370035218323389</c:v>
                </c:pt>
                <c:pt idx="3">
                  <c:v>7.7566153566303626</c:v>
                </c:pt>
                <c:pt idx="4">
                  <c:v>7.3171793408454278</c:v>
                </c:pt>
                <c:pt idx="5">
                  <c:v>6.7724281322824265</c:v>
                </c:pt>
                <c:pt idx="6">
                  <c:v>6.4413948054342534</c:v>
                </c:pt>
              </c:numCache>
            </c:numRef>
          </c:xVal>
          <c:yVal>
            <c:numRef>
              <c:f>'CS 2do sem datos'!$BB$172:$BB$178</c:f>
              <c:numCache>
                <c:formatCode>General</c:formatCode>
                <c:ptCount val="7"/>
                <c:pt idx="0">
                  <c:v>-4.1316644606747346</c:v>
                </c:pt>
                <c:pt idx="1">
                  <c:v>-3.9424623788877118</c:v>
                </c:pt>
                <c:pt idx="2">
                  <c:v>-3.0067397074242299</c:v>
                </c:pt>
                <c:pt idx="3">
                  <c:v>-1.5274342176721141</c:v>
                </c:pt>
                <c:pt idx="4">
                  <c:v>-5.491916703403818E-2</c:v>
                </c:pt>
                <c:pt idx="5">
                  <c:v>1.0987026288314572</c:v>
                </c:pt>
                <c:pt idx="6">
                  <c:v>1.6494388712165591</c:v>
                </c:pt>
              </c:numCache>
            </c:numRef>
          </c:yVal>
          <c:smooth val="1"/>
        </c:ser>
        <c:ser>
          <c:idx val="158"/>
          <c:order val="48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2do sem datos'!$BC$172:$BC$178</c:f>
              <c:numCache>
                <c:formatCode>General</c:formatCode>
                <c:ptCount val="7"/>
                <c:pt idx="0">
                  <c:v>6.3370457173808656</c:v>
                </c:pt>
                <c:pt idx="1">
                  <c:v>6.3507510164986245</c:v>
                </c:pt>
                <c:pt idx="2">
                  <c:v>6.3739216297498276</c:v>
                </c:pt>
                <c:pt idx="3">
                  <c:v>6.2591135034701519</c:v>
                </c:pt>
                <c:pt idx="4">
                  <c:v>5.9498753428282356</c:v>
                </c:pt>
                <c:pt idx="5">
                  <c:v>5.5520641812898193</c:v>
                </c:pt>
                <c:pt idx="6">
                  <c:v>5.3054101678542844</c:v>
                </c:pt>
              </c:numCache>
            </c:numRef>
          </c:xVal>
          <c:yVal>
            <c:numRef>
              <c:f>'CS 2do sem datos'!$BD$172:$BD$178</c:f>
              <c:numCache>
                <c:formatCode>General</c:formatCode>
                <c:ptCount val="7"/>
                <c:pt idx="0">
                  <c:v>-4.5521886371757292</c:v>
                </c:pt>
                <c:pt idx="1">
                  <c:v>-4.3854380742469941</c:v>
                </c:pt>
                <c:pt idx="2">
                  <c:v>-3.5558862780284515</c:v>
                </c:pt>
                <c:pt idx="3">
                  <c:v>-2.2219314351235444</c:v>
                </c:pt>
                <c:pt idx="4">
                  <c:v>-0.85515633493597176</c:v>
                </c:pt>
                <c:pt idx="5">
                  <c:v>0.25312143844983037</c:v>
                </c:pt>
                <c:pt idx="6">
                  <c:v>0.79714818307256574</c:v>
                </c:pt>
              </c:numCache>
            </c:numRef>
          </c:yVal>
          <c:smooth val="1"/>
        </c:ser>
        <c:ser>
          <c:idx val="159"/>
          <c:order val="49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2do sem datos'!$BE$172:$BE$178</c:f>
              <c:numCache>
                <c:formatCode>General</c:formatCode>
                <c:ptCount val="7"/>
                <c:pt idx="0">
                  <c:v>4.7600861515158286</c:v>
                </c:pt>
                <c:pt idx="1">
                  <c:v>4.770840561015433</c:v>
                </c:pt>
                <c:pt idx="2">
                  <c:v>4.792837582647314</c:v>
                </c:pt>
                <c:pt idx="3">
                  <c:v>4.7210947655407791</c:v>
                </c:pt>
                <c:pt idx="4">
                  <c:v>4.5105575419044515</c:v>
                </c:pt>
                <c:pt idx="5">
                  <c:v>4.2322633019278983</c:v>
                </c:pt>
                <c:pt idx="6">
                  <c:v>4.0572556384225589</c:v>
                </c:pt>
              </c:numCache>
            </c:numRef>
          </c:xVal>
          <c:yVal>
            <c:numRef>
              <c:f>'CS 2do sem datos'!$BF$172:$BF$178</c:f>
              <c:numCache>
                <c:formatCode>General</c:formatCode>
                <c:ptCount val="7"/>
                <c:pt idx="0">
                  <c:v>-4.8654984013456133</c:v>
                </c:pt>
                <c:pt idx="1">
                  <c:v>-4.7140125878124115</c:v>
                </c:pt>
                <c:pt idx="2">
                  <c:v>-3.9570444231142194</c:v>
                </c:pt>
                <c:pt idx="3">
                  <c:v>-2.7246801501078117</c:v>
                </c:pt>
                <c:pt idx="4">
                  <c:v>-1.436087597671055</c:v>
                </c:pt>
                <c:pt idx="5">
                  <c:v>-0.36616801105094604</c:v>
                </c:pt>
                <c:pt idx="6">
                  <c:v>0.16904678632304351</c:v>
                </c:pt>
              </c:numCache>
            </c:numRef>
          </c:yVal>
          <c:smooth val="1"/>
        </c:ser>
        <c:ser>
          <c:idx val="160"/>
          <c:order val="50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2do sem datos'!$BG$172:$BG$178</c:f>
              <c:numCache>
                <c:formatCode>General</c:formatCode>
                <c:ptCount val="7"/>
                <c:pt idx="0">
                  <c:v>3.1767063828743427</c:v>
                </c:pt>
                <c:pt idx="1">
                  <c:v>3.1840614875621545</c:v>
                </c:pt>
                <c:pt idx="2">
                  <c:v>3.2006010638105553</c:v>
                </c:pt>
                <c:pt idx="3">
                  <c:v>3.1587701351887114</c:v>
                </c:pt>
                <c:pt idx="4">
                  <c:v>3.027575645251392</c:v>
                </c:pt>
                <c:pt idx="5">
                  <c:v>2.8508896713723404</c:v>
                </c:pt>
                <c:pt idx="6">
                  <c:v>2.7387301330387381</c:v>
                </c:pt>
              </c:numCache>
            </c:numRef>
          </c:xVal>
          <c:yVal>
            <c:numRef>
              <c:f>'CS 2do sem datos'!$BH$172:$BH$178</c:f>
              <c:numCache>
                <c:formatCode>General</c:formatCode>
                <c:ptCount val="7"/>
                <c:pt idx="0">
                  <c:v>-5.0827616950162993</c:v>
                </c:pt>
                <c:pt idx="1">
                  <c:v>-4.9411752249525929</c:v>
                </c:pt>
                <c:pt idx="2">
                  <c:v>-4.2314384754301173</c:v>
                </c:pt>
                <c:pt idx="3">
                  <c:v>-3.0660982649874113</c:v>
                </c:pt>
                <c:pt idx="4">
                  <c:v>-1.8308990238685714</c:v>
                </c:pt>
                <c:pt idx="5">
                  <c:v>-0.78922270067773015</c:v>
                </c:pt>
                <c:pt idx="6">
                  <c:v>-0.26169911037129195</c:v>
                </c:pt>
              </c:numCache>
            </c:numRef>
          </c:yVal>
          <c:smooth val="1"/>
        </c:ser>
        <c:ser>
          <c:idx val="161"/>
          <c:order val="51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2do sem datos'!$BI$172:$BI$178</c:f>
              <c:numCache>
                <c:formatCode>General</c:formatCode>
                <c:ptCount val="7"/>
                <c:pt idx="0">
                  <c:v>1.5893183907474926</c:v>
                </c:pt>
                <c:pt idx="1">
                  <c:v>1.5930445940412605</c:v>
                </c:pt>
                <c:pt idx="2">
                  <c:v>1.6018208347188778</c:v>
                </c:pt>
                <c:pt idx="3">
                  <c:v>1.5825569006738294</c:v>
                </c:pt>
                <c:pt idx="4">
                  <c:v>1.5195236952779618</c:v>
                </c:pt>
                <c:pt idx="5">
                  <c:v>1.4336983739441382</c:v>
                </c:pt>
                <c:pt idx="6">
                  <c:v>1.3789227287883621</c:v>
                </c:pt>
              </c:numCache>
            </c:numRef>
          </c:xVal>
          <c:yVal>
            <c:numRef>
              <c:f>'CS 2do sem datos'!$BJ$172:$BJ$178</c:f>
              <c:numCache>
                <c:formatCode>General</c:formatCode>
                <c:ptCount val="7"/>
                <c:pt idx="0">
                  <c:v>-5.2107114643622561</c:v>
                </c:pt>
                <c:pt idx="1">
                  <c:v>-5.0747045209462618</c:v>
                </c:pt>
                <c:pt idx="2">
                  <c:v>-4.3916413710632929</c:v>
                </c:pt>
                <c:pt idx="3">
                  <c:v>-3.2644600428327033</c:v>
                </c:pt>
                <c:pt idx="4">
                  <c:v>-2.0602774257475551</c:v>
                </c:pt>
                <c:pt idx="5">
                  <c:v>-1.0357074320385538</c:v>
                </c:pt>
                <c:pt idx="6">
                  <c:v>-0.51323313882258703</c:v>
                </c:pt>
              </c:numCache>
            </c:numRef>
          </c:yVal>
          <c:smooth val="1"/>
        </c:ser>
        <c:ser>
          <c:idx val="162"/>
          <c:order val="52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2do sem datos'!$BK$172:$BK$178</c:f>
              <c:numCache>
                <c:formatCode>General</c:formatCode>
                <c:ptCount val="7"/>
                <c:pt idx="0">
                  <c:v>3.2178391145729545E-16</c:v>
                </c:pt>
                <c:pt idx="1">
                  <c:v>3.135629568394575E-16</c:v>
                </c:pt>
                <c:pt idx="2">
                  <c:v>2.7224891574812041E-16</c:v>
                </c:pt>
                <c:pt idx="3">
                  <c:v>2.0395981383766651E-16</c:v>
                </c:pt>
                <c:pt idx="4">
                  <c:v>1.3081749948580787E-16</c:v>
                </c:pt>
                <c:pt idx="5">
                  <c:v>6.8405012524425953E-17</c:v>
                </c:pt>
                <c:pt idx="6">
                  <c:v>3.6506458382437044E-17</c:v>
                </c:pt>
              </c:numCache>
            </c:numRef>
          </c:xVal>
          <c:yVal>
            <c:numRef>
              <c:f>'CS 2do sem datos'!$BL$172:$BL$178</c:f>
              <c:numCache>
                <c:formatCode>General</c:formatCode>
                <c:ptCount val="7"/>
                <c:pt idx="0">
                  <c:v>-5.2529782846813662</c:v>
                </c:pt>
                <c:pt idx="1">
                  <c:v>-5.1187748812505367</c:v>
                </c:pt>
                <c:pt idx="2">
                  <c:v>-4.4443416576553023</c:v>
                </c:pt>
                <c:pt idx="3">
                  <c:v>-3.3295526435264406</c:v>
                </c:pt>
                <c:pt idx="4">
                  <c:v>-2.1355371091834767</c:v>
                </c:pt>
                <c:pt idx="5">
                  <c:v>-1.1166812030061788</c:v>
                </c:pt>
                <c:pt idx="6">
                  <c:v>-0.59595158833481854</c:v>
                </c:pt>
              </c:numCache>
            </c:numRef>
          </c:yVal>
          <c:smooth val="1"/>
        </c:ser>
        <c:ser>
          <c:idx val="163"/>
          <c:order val="53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2do sem datos'!$BM$172:$BM$178</c:f>
              <c:numCache>
                <c:formatCode>General</c:formatCode>
                <c:ptCount val="7"/>
                <c:pt idx="0">
                  <c:v>-1.5893183907474944</c:v>
                </c:pt>
                <c:pt idx="1">
                  <c:v>-1.5930445940412599</c:v>
                </c:pt>
                <c:pt idx="2">
                  <c:v>-1.6018208347188794</c:v>
                </c:pt>
                <c:pt idx="3">
                  <c:v>-1.5825569006738291</c:v>
                </c:pt>
                <c:pt idx="4">
                  <c:v>-1.5195236952779616</c:v>
                </c:pt>
                <c:pt idx="5">
                  <c:v>-1.4336983739441382</c:v>
                </c:pt>
                <c:pt idx="6">
                  <c:v>-1.3789227287883621</c:v>
                </c:pt>
              </c:numCache>
            </c:numRef>
          </c:xVal>
          <c:yVal>
            <c:numRef>
              <c:f>'CS 2do sem datos'!$BN$172:$BN$178</c:f>
              <c:numCache>
                <c:formatCode>General</c:formatCode>
                <c:ptCount val="7"/>
                <c:pt idx="0">
                  <c:v>-5.2107114643622552</c:v>
                </c:pt>
                <c:pt idx="1">
                  <c:v>-5.0747045209462627</c:v>
                </c:pt>
                <c:pt idx="2">
                  <c:v>-4.391641371063292</c:v>
                </c:pt>
                <c:pt idx="3">
                  <c:v>-3.2644600428327033</c:v>
                </c:pt>
                <c:pt idx="4">
                  <c:v>-2.0602774257475556</c:v>
                </c:pt>
                <c:pt idx="5">
                  <c:v>-1.035707432038554</c:v>
                </c:pt>
                <c:pt idx="6">
                  <c:v>-0.51323313882258681</c:v>
                </c:pt>
              </c:numCache>
            </c:numRef>
          </c:yVal>
          <c:smooth val="1"/>
        </c:ser>
        <c:ser>
          <c:idx val="164"/>
          <c:order val="54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2do sem datos'!$BO$172:$BO$178</c:f>
              <c:numCache>
                <c:formatCode>General</c:formatCode>
                <c:ptCount val="7"/>
                <c:pt idx="0">
                  <c:v>-3.176706382874344</c:v>
                </c:pt>
                <c:pt idx="1">
                  <c:v>-3.1840614875621549</c:v>
                </c:pt>
                <c:pt idx="2">
                  <c:v>-3.2006010638105553</c:v>
                </c:pt>
                <c:pt idx="3">
                  <c:v>-3.1587701351887141</c:v>
                </c:pt>
                <c:pt idx="4">
                  <c:v>-3.0275756452513929</c:v>
                </c:pt>
                <c:pt idx="5">
                  <c:v>-2.8508896713723404</c:v>
                </c:pt>
                <c:pt idx="6">
                  <c:v>-2.7387301330387381</c:v>
                </c:pt>
              </c:numCache>
            </c:numRef>
          </c:xVal>
          <c:yVal>
            <c:numRef>
              <c:f>'CS 2do sem datos'!$BP$172:$BP$178</c:f>
              <c:numCache>
                <c:formatCode>General</c:formatCode>
                <c:ptCount val="7"/>
                <c:pt idx="0">
                  <c:v>-5.0827616950162984</c:v>
                </c:pt>
                <c:pt idx="1">
                  <c:v>-4.941175224952592</c:v>
                </c:pt>
                <c:pt idx="2">
                  <c:v>-4.2314384754301173</c:v>
                </c:pt>
                <c:pt idx="3">
                  <c:v>-3.0660982649874082</c:v>
                </c:pt>
                <c:pt idx="4">
                  <c:v>-1.8308990238685712</c:v>
                </c:pt>
                <c:pt idx="5">
                  <c:v>-0.78922270067773104</c:v>
                </c:pt>
                <c:pt idx="6">
                  <c:v>-0.26169911037129179</c:v>
                </c:pt>
              </c:numCache>
            </c:numRef>
          </c:yVal>
          <c:smooth val="1"/>
        </c:ser>
        <c:ser>
          <c:idx val="165"/>
          <c:order val="55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2do sem datos'!$BQ$172:$BQ$178</c:f>
              <c:numCache>
                <c:formatCode>General</c:formatCode>
                <c:ptCount val="7"/>
                <c:pt idx="0">
                  <c:v>-4.7600861515158259</c:v>
                </c:pt>
                <c:pt idx="1">
                  <c:v>-4.7708405610154339</c:v>
                </c:pt>
                <c:pt idx="2">
                  <c:v>-4.792837582647314</c:v>
                </c:pt>
                <c:pt idx="3">
                  <c:v>-4.7210947655407791</c:v>
                </c:pt>
                <c:pt idx="4">
                  <c:v>-4.5105575419044515</c:v>
                </c:pt>
                <c:pt idx="5">
                  <c:v>-4.2322633019278983</c:v>
                </c:pt>
                <c:pt idx="6">
                  <c:v>-4.0572556384225589</c:v>
                </c:pt>
              </c:numCache>
            </c:numRef>
          </c:xVal>
          <c:yVal>
            <c:numRef>
              <c:f>'CS 2do sem datos'!$BR$172:$BR$178</c:f>
              <c:numCache>
                <c:formatCode>General</c:formatCode>
                <c:ptCount val="7"/>
                <c:pt idx="0">
                  <c:v>-4.865498401345616</c:v>
                </c:pt>
                <c:pt idx="1">
                  <c:v>-4.7140125878124106</c:v>
                </c:pt>
                <c:pt idx="2">
                  <c:v>-3.957044423114219</c:v>
                </c:pt>
                <c:pt idx="3">
                  <c:v>-2.7246801501078117</c:v>
                </c:pt>
                <c:pt idx="4">
                  <c:v>-1.4360875976710543</c:v>
                </c:pt>
                <c:pt idx="5">
                  <c:v>-0.36616801105094748</c:v>
                </c:pt>
                <c:pt idx="6">
                  <c:v>0.16904678632304337</c:v>
                </c:pt>
              </c:numCache>
            </c:numRef>
          </c:yVal>
          <c:smooth val="1"/>
        </c:ser>
        <c:ser>
          <c:idx val="166"/>
          <c:order val="56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2do sem datos'!$BS$172:$BS$178</c:f>
              <c:numCache>
                <c:formatCode>General</c:formatCode>
                <c:ptCount val="7"/>
                <c:pt idx="0">
                  <c:v>-6.3370457173808692</c:v>
                </c:pt>
                <c:pt idx="1">
                  <c:v>-6.3507510164986254</c:v>
                </c:pt>
                <c:pt idx="2">
                  <c:v>-6.3739216297498285</c:v>
                </c:pt>
                <c:pt idx="3">
                  <c:v>-6.2591135034701519</c:v>
                </c:pt>
                <c:pt idx="4">
                  <c:v>-5.9498753428282356</c:v>
                </c:pt>
                <c:pt idx="5">
                  <c:v>-5.5520641812898193</c:v>
                </c:pt>
                <c:pt idx="6">
                  <c:v>-5.3054101678542844</c:v>
                </c:pt>
              </c:numCache>
            </c:numRef>
          </c:xVal>
          <c:yVal>
            <c:numRef>
              <c:f>'CS 2do sem datos'!$BT$172:$BT$178</c:f>
              <c:numCache>
                <c:formatCode>General</c:formatCode>
                <c:ptCount val="7"/>
                <c:pt idx="0">
                  <c:v>-4.5521886371757248</c:v>
                </c:pt>
                <c:pt idx="1">
                  <c:v>-4.3854380742469932</c:v>
                </c:pt>
                <c:pt idx="2">
                  <c:v>-3.5558862780284506</c:v>
                </c:pt>
                <c:pt idx="3">
                  <c:v>-2.2219314351235457</c:v>
                </c:pt>
                <c:pt idx="4">
                  <c:v>-0.85515633493597099</c:v>
                </c:pt>
                <c:pt idx="5">
                  <c:v>0.25312143844983048</c:v>
                </c:pt>
                <c:pt idx="6">
                  <c:v>0.79714818307256685</c:v>
                </c:pt>
              </c:numCache>
            </c:numRef>
          </c:yVal>
          <c:smooth val="1"/>
        </c:ser>
        <c:ser>
          <c:idx val="167"/>
          <c:order val="57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2do sem datos'!$BU$172:$BU$178</c:f>
              <c:numCache>
                <c:formatCode>General</c:formatCode>
                <c:ptCount val="7"/>
                <c:pt idx="0">
                  <c:v>-7.9045474322355096</c:v>
                </c:pt>
                <c:pt idx="1">
                  <c:v>-7.9203525072857337</c:v>
                </c:pt>
                <c:pt idx="2">
                  <c:v>-7.9370035218323398</c:v>
                </c:pt>
                <c:pt idx="3">
                  <c:v>-7.7566153566303617</c:v>
                </c:pt>
                <c:pt idx="4">
                  <c:v>-7.3171793408454278</c:v>
                </c:pt>
                <c:pt idx="5">
                  <c:v>-6.7724281322824265</c:v>
                </c:pt>
                <c:pt idx="6">
                  <c:v>-6.4413948054342534</c:v>
                </c:pt>
              </c:numCache>
            </c:numRef>
          </c:xVal>
          <c:yVal>
            <c:numRef>
              <c:f>'CS 2do sem datos'!$BV$172:$BV$178</c:f>
              <c:numCache>
                <c:formatCode>General</c:formatCode>
                <c:ptCount val="7"/>
                <c:pt idx="0">
                  <c:v>-4.1316644606747346</c:v>
                </c:pt>
                <c:pt idx="1">
                  <c:v>-3.94246237888771</c:v>
                </c:pt>
                <c:pt idx="2">
                  <c:v>-3.0067397074242268</c:v>
                </c:pt>
                <c:pt idx="3">
                  <c:v>-1.5274342176721158</c:v>
                </c:pt>
                <c:pt idx="4">
                  <c:v>-5.4919167034038395E-2</c:v>
                </c:pt>
                <c:pt idx="5">
                  <c:v>1.0987026288314568</c:v>
                </c:pt>
                <c:pt idx="6">
                  <c:v>1.6494388712165602</c:v>
                </c:pt>
              </c:numCache>
            </c:numRef>
          </c:yVal>
          <c:smooth val="1"/>
        </c:ser>
        <c:ser>
          <c:idx val="168"/>
          <c:order val="58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2do sem datos'!$BW$172:$BW$178</c:f>
              <c:numCache>
                <c:formatCode>General</c:formatCode>
                <c:ptCount val="7"/>
                <c:pt idx="0">
                  <c:v>-8.9999999459306821</c:v>
                </c:pt>
                <c:pt idx="1">
                  <c:v>-8.9999999459306821</c:v>
                </c:pt>
                <c:pt idx="2">
                  <c:v>-8.9999999459306821</c:v>
                </c:pt>
                <c:pt idx="3">
                  <c:v>-8.9999999459306821</c:v>
                </c:pt>
                <c:pt idx="4">
                  <c:v>-8.5654551879976513</c:v>
                </c:pt>
                <c:pt idx="5">
                  <c:v>-7.8336727666422483</c:v>
                </c:pt>
                <c:pt idx="6">
                  <c:v>-7.40131267544563</c:v>
                </c:pt>
              </c:numCache>
            </c:numRef>
          </c:xVal>
          <c:yVal>
            <c:numRef>
              <c:f>'CS 2do sem datos'!$BX$172:$BX$178</c:f>
              <c:numCache>
                <c:formatCode>General</c:formatCode>
                <c:ptCount val="7"/>
                <c:pt idx="0">
                  <c:v>9.8653318721356924E-4</c:v>
                </c:pt>
                <c:pt idx="1">
                  <c:v>9.8653318721356924E-4</c:v>
                </c:pt>
                <c:pt idx="2">
                  <c:v>9.8653318721356924E-4</c:v>
                </c:pt>
                <c:pt idx="3">
                  <c:v>9.8653318721356924E-4</c:v>
                </c:pt>
                <c:pt idx="4">
                  <c:v>1.0153845508301516</c:v>
                </c:pt>
                <c:pt idx="5">
                  <c:v>2.2129946436748833</c:v>
                </c:pt>
                <c:pt idx="6">
                  <c:v>2.76170488439119</c:v>
                </c:pt>
              </c:numCache>
            </c:numRef>
          </c:yVal>
          <c:smooth val="1"/>
        </c:ser>
        <c:ser>
          <c:idx val="169"/>
          <c:order val="59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2do sem datos'!$BY$172:$BY$178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xVal>
          <c:yVal>
            <c:numRef>
              <c:f>'CS 2do sem datos'!$BZ$172:$BZ$178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ser>
          <c:idx val="170"/>
          <c:order val="60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2do sem datos'!$CA$172:$CA$178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xVal>
          <c:yVal>
            <c:numRef>
              <c:f>'CS 2do sem datos'!$CB$172:$CB$178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ser>
          <c:idx val="171"/>
          <c:order val="61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2do sem datos'!$CC$172:$CC$178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xVal>
          <c:yVal>
            <c:numRef>
              <c:f>'CS 2do sem datos'!$CD$172:$CD$178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ser>
          <c:idx val="172"/>
          <c:order val="62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2do sem datos'!$CE$172:$CE$178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xVal>
          <c:yVal>
            <c:numRef>
              <c:f>'CS 2do sem datos'!$CF$172:$CF$178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ser>
          <c:idx val="173"/>
          <c:order val="63"/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2do sem datos'!$CG$172:$CG$178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xVal>
          <c:yVal>
            <c:numRef>
              <c:f>'CS 2do sem datos'!$CH$172:$CH$178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ser>
          <c:idx val="2"/>
          <c:order val="64"/>
          <c:tx>
            <c:v>Prot1ene7am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datos'!$BA$181:$BA$182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2do sem datos'!$BB$181:$BB$182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4"/>
          <c:order val="65"/>
          <c:tx>
            <c:v>Prot2ene7am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datos'!$BA$183:$BA$184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2do sem datos'!$BB$183:$BB$184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0"/>
          <c:order val="66"/>
          <c:tx>
            <c:v>Prot1ene8am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datos'!$BC$181:$BC$182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2do sem datos'!$BD$181:$BD$182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1"/>
          <c:order val="67"/>
          <c:tx>
            <c:v>Prot2ene8am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datos'!$BC$183:$BC$184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2do sem datos'!$BD$183:$BD$184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5"/>
          <c:order val="68"/>
          <c:tx>
            <c:v>Prot1ene9am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datos'!$BE$181:$BE$182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2do sem datos'!$BF$181:$BF$182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6"/>
          <c:order val="69"/>
          <c:tx>
            <c:v>Prot2ene9am</c:v>
          </c:tx>
          <c:marker>
            <c:symbol val="none"/>
          </c:marker>
          <c:dPt>
            <c:idx val="1"/>
            <c:bubble3D val="0"/>
            <c:spPr>
              <a:ln>
                <a:solidFill>
                  <a:srgbClr val="FF0000"/>
                </a:solidFill>
              </a:ln>
            </c:spPr>
          </c:dPt>
          <c:xVal>
            <c:numRef>
              <c:f>'CS 2do sem datos'!$BE$183:$BE$184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2do sem datos'!$BF$183:$BF$184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7"/>
          <c:order val="70"/>
          <c:tx>
            <c:v>Prot1ene10am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datos'!$BG$181:$BG$182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2do sem datos'!$BH$181:$BH$182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8"/>
          <c:order val="71"/>
          <c:tx>
            <c:v>Prot2ene10am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datos'!$BG$183:$BG$184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2do sem datos'!$BH$183:$BH$184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9"/>
          <c:order val="72"/>
          <c:tx>
            <c:v>Prot1ene11am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datos'!$BI$181:$BI$182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2do sem datos'!$BJ$181:$BJ$182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10"/>
          <c:order val="73"/>
          <c:tx>
            <c:v>Prot2ene11am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datos'!$BI$183:$BI$184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2do sem datos'!$BJ$183:$BJ$184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11"/>
          <c:order val="74"/>
          <c:tx>
            <c:v>Prot1ene12pm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datos'!$BK$181:$BK$182</c:f>
              <c:numCache>
                <c:formatCode>General</c:formatCode>
                <c:ptCount val="2"/>
                <c:pt idx="0">
                  <c:v>3.2178391145729545E-16</c:v>
                </c:pt>
                <c:pt idx="1">
                  <c:v>-1.5930445940412599</c:v>
                </c:pt>
              </c:numCache>
            </c:numRef>
          </c:xVal>
          <c:yVal>
            <c:numRef>
              <c:f>'CS 2do sem datos'!$BL$181:$BL$182</c:f>
              <c:numCache>
                <c:formatCode>General</c:formatCode>
                <c:ptCount val="2"/>
                <c:pt idx="0">
                  <c:v>-5.2529782846813662</c:v>
                </c:pt>
                <c:pt idx="1">
                  <c:v>-5.0747045209462627</c:v>
                </c:pt>
              </c:numCache>
            </c:numRef>
          </c:yVal>
          <c:smooth val="1"/>
        </c:ser>
        <c:ser>
          <c:idx val="12"/>
          <c:order val="75"/>
          <c:tx>
            <c:v>Prot2ene12pm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datos'!$BK$183:$BK$184</c:f>
              <c:numCache>
                <c:formatCode>General</c:formatCode>
                <c:ptCount val="2"/>
                <c:pt idx="0">
                  <c:v>3.135629568394575E-16</c:v>
                </c:pt>
                <c:pt idx="1">
                  <c:v>-1.5893183907474944</c:v>
                </c:pt>
              </c:numCache>
            </c:numRef>
          </c:xVal>
          <c:yVal>
            <c:numRef>
              <c:f>'CS 2do sem datos'!$BL$183:$BL$184</c:f>
              <c:numCache>
                <c:formatCode>General</c:formatCode>
                <c:ptCount val="2"/>
                <c:pt idx="0">
                  <c:v>-5.1187748812505367</c:v>
                </c:pt>
                <c:pt idx="1">
                  <c:v>-5.2107114643622552</c:v>
                </c:pt>
              </c:numCache>
            </c:numRef>
          </c:yVal>
          <c:smooth val="1"/>
        </c:ser>
        <c:ser>
          <c:idx val="13"/>
          <c:order val="76"/>
          <c:tx>
            <c:v>Prot1ene1pm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datos'!$BM$181:$BM$182</c:f>
              <c:numCache>
                <c:formatCode>General</c:formatCode>
                <c:ptCount val="2"/>
                <c:pt idx="0">
                  <c:v>-1.5893183907474944</c:v>
                </c:pt>
                <c:pt idx="1">
                  <c:v>-3.1840614875621549</c:v>
                </c:pt>
              </c:numCache>
            </c:numRef>
          </c:xVal>
          <c:yVal>
            <c:numRef>
              <c:f>'CS 2do sem datos'!$BN$181:$BN$182</c:f>
              <c:numCache>
                <c:formatCode>General</c:formatCode>
                <c:ptCount val="2"/>
                <c:pt idx="0">
                  <c:v>-5.2107114643622552</c:v>
                </c:pt>
                <c:pt idx="1">
                  <c:v>-4.941175224952592</c:v>
                </c:pt>
              </c:numCache>
            </c:numRef>
          </c:yVal>
          <c:smooth val="1"/>
        </c:ser>
        <c:ser>
          <c:idx val="14"/>
          <c:order val="77"/>
          <c:tx>
            <c:v>Prot2ene1pm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datos'!$BM$183:$BM$184</c:f>
              <c:numCache>
                <c:formatCode>General</c:formatCode>
                <c:ptCount val="2"/>
                <c:pt idx="0">
                  <c:v>-1.5930445940412599</c:v>
                </c:pt>
                <c:pt idx="1">
                  <c:v>-3.176706382874344</c:v>
                </c:pt>
              </c:numCache>
            </c:numRef>
          </c:xVal>
          <c:yVal>
            <c:numRef>
              <c:f>'CS 2do sem datos'!$BN$183:$BN$184</c:f>
              <c:numCache>
                <c:formatCode>General</c:formatCode>
                <c:ptCount val="2"/>
                <c:pt idx="0">
                  <c:v>-5.0747045209462627</c:v>
                </c:pt>
                <c:pt idx="1">
                  <c:v>-5.0827616950162984</c:v>
                </c:pt>
              </c:numCache>
            </c:numRef>
          </c:yVal>
          <c:smooth val="1"/>
        </c:ser>
        <c:ser>
          <c:idx val="15"/>
          <c:order val="78"/>
          <c:tx>
            <c:v>Prot1ene2pm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datos'!$BO$181:$BO$182</c:f>
              <c:numCache>
                <c:formatCode>General</c:formatCode>
                <c:ptCount val="2"/>
                <c:pt idx="0">
                  <c:v>-3.176706382874344</c:v>
                </c:pt>
                <c:pt idx="1">
                  <c:v>-4.7708405610154339</c:v>
                </c:pt>
              </c:numCache>
            </c:numRef>
          </c:xVal>
          <c:yVal>
            <c:numRef>
              <c:f>'CS 2do sem datos'!$BP$181:$BP$182</c:f>
              <c:numCache>
                <c:formatCode>General</c:formatCode>
                <c:ptCount val="2"/>
                <c:pt idx="0">
                  <c:v>-5.0827616950162984</c:v>
                </c:pt>
                <c:pt idx="1">
                  <c:v>-4.7140125878124106</c:v>
                </c:pt>
              </c:numCache>
            </c:numRef>
          </c:yVal>
          <c:smooth val="1"/>
        </c:ser>
        <c:ser>
          <c:idx val="16"/>
          <c:order val="79"/>
          <c:tx>
            <c:v>Prot2ene2pm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datos'!$BO$183:$BO$184</c:f>
              <c:numCache>
                <c:formatCode>General</c:formatCode>
                <c:ptCount val="2"/>
                <c:pt idx="0">
                  <c:v>-3.1840614875621549</c:v>
                </c:pt>
                <c:pt idx="1">
                  <c:v>-4.7600861515158259</c:v>
                </c:pt>
              </c:numCache>
            </c:numRef>
          </c:xVal>
          <c:yVal>
            <c:numRef>
              <c:f>'CS 2do sem datos'!$BP$183:$BP$184</c:f>
              <c:numCache>
                <c:formatCode>General</c:formatCode>
                <c:ptCount val="2"/>
                <c:pt idx="0">
                  <c:v>-4.941175224952592</c:v>
                </c:pt>
                <c:pt idx="1">
                  <c:v>-4.865498401345616</c:v>
                </c:pt>
              </c:numCache>
            </c:numRef>
          </c:yVal>
          <c:smooth val="1"/>
        </c:ser>
        <c:ser>
          <c:idx val="17"/>
          <c:order val="80"/>
          <c:tx>
            <c:v>Prot1ene3pm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datos'!$BQ$181:$BQ$182</c:f>
              <c:numCache>
                <c:formatCode>General</c:formatCode>
                <c:ptCount val="2"/>
                <c:pt idx="0">
                  <c:v>-4.7600861515158259</c:v>
                </c:pt>
                <c:pt idx="1">
                  <c:v>-6.3507510164986254</c:v>
                </c:pt>
              </c:numCache>
            </c:numRef>
          </c:xVal>
          <c:yVal>
            <c:numRef>
              <c:f>'CS 2do sem datos'!$BR$181:$BR$182</c:f>
              <c:numCache>
                <c:formatCode>General</c:formatCode>
                <c:ptCount val="2"/>
                <c:pt idx="0">
                  <c:v>-4.865498401345616</c:v>
                </c:pt>
                <c:pt idx="1">
                  <c:v>-4.3854380742469932</c:v>
                </c:pt>
              </c:numCache>
            </c:numRef>
          </c:yVal>
          <c:smooth val="1"/>
        </c:ser>
        <c:ser>
          <c:idx val="18"/>
          <c:order val="81"/>
          <c:tx>
            <c:v>Prot2ene3pm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datos'!$BQ$183:$BQ$184</c:f>
              <c:numCache>
                <c:formatCode>General</c:formatCode>
                <c:ptCount val="2"/>
                <c:pt idx="0">
                  <c:v>-4.7708405610154339</c:v>
                </c:pt>
                <c:pt idx="1">
                  <c:v>-6.3370457173808692</c:v>
                </c:pt>
              </c:numCache>
            </c:numRef>
          </c:xVal>
          <c:yVal>
            <c:numRef>
              <c:f>'CS 2do sem datos'!$BR$183:$BR$184</c:f>
              <c:numCache>
                <c:formatCode>General</c:formatCode>
                <c:ptCount val="2"/>
                <c:pt idx="0">
                  <c:v>-4.7140125878124106</c:v>
                </c:pt>
                <c:pt idx="1">
                  <c:v>-4.5521886371757248</c:v>
                </c:pt>
              </c:numCache>
            </c:numRef>
          </c:yVal>
          <c:smooth val="1"/>
        </c:ser>
        <c:ser>
          <c:idx val="19"/>
          <c:order val="82"/>
          <c:tx>
            <c:v>Prot1ene4pm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datos'!$BS$181:$BS$182</c:f>
              <c:numCache>
                <c:formatCode>General</c:formatCode>
                <c:ptCount val="2"/>
                <c:pt idx="0">
                  <c:v>-6.3370457173808692</c:v>
                </c:pt>
                <c:pt idx="1">
                  <c:v>-7.9203525072857337</c:v>
                </c:pt>
              </c:numCache>
            </c:numRef>
          </c:xVal>
          <c:yVal>
            <c:numRef>
              <c:f>'CS 2do sem datos'!$BT$181:$BT$182</c:f>
              <c:numCache>
                <c:formatCode>General</c:formatCode>
                <c:ptCount val="2"/>
                <c:pt idx="0">
                  <c:v>-4.5521886371757248</c:v>
                </c:pt>
                <c:pt idx="1">
                  <c:v>-3.94246237888771</c:v>
                </c:pt>
              </c:numCache>
            </c:numRef>
          </c:yVal>
          <c:smooth val="1"/>
        </c:ser>
        <c:ser>
          <c:idx val="20"/>
          <c:order val="83"/>
          <c:tx>
            <c:v>Prot2ene4pm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datos'!$BS$183:$BS$184</c:f>
              <c:numCache>
                <c:formatCode>General</c:formatCode>
                <c:ptCount val="2"/>
                <c:pt idx="0">
                  <c:v>-6.3507510164986254</c:v>
                </c:pt>
                <c:pt idx="1">
                  <c:v>-7.9045474322355096</c:v>
                </c:pt>
              </c:numCache>
            </c:numRef>
          </c:xVal>
          <c:yVal>
            <c:numRef>
              <c:f>'CS 2do sem datos'!$BT$183:$BT$184</c:f>
              <c:numCache>
                <c:formatCode>General</c:formatCode>
                <c:ptCount val="2"/>
                <c:pt idx="0">
                  <c:v>-4.3854380742469932</c:v>
                </c:pt>
                <c:pt idx="1">
                  <c:v>-4.1316644606747346</c:v>
                </c:pt>
              </c:numCache>
            </c:numRef>
          </c:yVal>
          <c:smooth val="1"/>
        </c:ser>
        <c:ser>
          <c:idx val="21"/>
          <c:order val="84"/>
          <c:tx>
            <c:v>Prot1ene5pm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datos'!$BU$181:$BU$182</c:f>
              <c:numCache>
                <c:formatCode>General</c:formatCode>
                <c:ptCount val="2"/>
                <c:pt idx="0">
                  <c:v>-7.9045474322355096</c:v>
                </c:pt>
                <c:pt idx="1">
                  <c:v>-8.1227376334839274</c:v>
                </c:pt>
              </c:numCache>
            </c:numRef>
          </c:xVal>
          <c:yVal>
            <c:numRef>
              <c:f>'CS 2do sem datos'!$BV$181:$BV$182</c:f>
              <c:numCache>
                <c:formatCode>General</c:formatCode>
                <c:ptCount val="2"/>
                <c:pt idx="0">
                  <c:v>-4.1316644606747346</c:v>
                </c:pt>
                <c:pt idx="1">
                  <c:v>-3.8757106880653427</c:v>
                </c:pt>
              </c:numCache>
            </c:numRef>
          </c:yVal>
          <c:smooth val="1"/>
        </c:ser>
        <c:ser>
          <c:idx val="22"/>
          <c:order val="85"/>
          <c:tx>
            <c:v>Prot2ene5pm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datos'!$BU$183:$BU$184</c:f>
              <c:numCache>
                <c:formatCode>General</c:formatCode>
                <c:ptCount val="2"/>
                <c:pt idx="0">
                  <c:v>-7.9203525072857337</c:v>
                </c:pt>
                <c:pt idx="1">
                  <c:v>-8.0128353242451471</c:v>
                </c:pt>
              </c:numCache>
            </c:numRef>
          </c:xVal>
          <c:yVal>
            <c:numRef>
              <c:f>'CS 2do sem datos'!$BV$183:$BV$184</c:f>
              <c:numCache>
                <c:formatCode>General</c:formatCode>
                <c:ptCount val="2"/>
                <c:pt idx="0">
                  <c:v>-3.94246237888771</c:v>
                </c:pt>
                <c:pt idx="1">
                  <c:v>-4.098105668053126</c:v>
                </c:pt>
              </c:numCache>
            </c:numRef>
          </c:yVal>
          <c:smooth val="1"/>
        </c:ser>
        <c:ser>
          <c:idx val="23"/>
          <c:order val="86"/>
          <c:tx>
            <c:v>Prot1ene6am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datos'!$AY$181:$AY$182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2do sem datos'!$AZ$181:$AZ$182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24"/>
          <c:order val="87"/>
          <c:tx>
            <c:v>Prot2ene6am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datos'!$AY$183:$AY$184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2do sem datos'!$AZ$183:$AZ$184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25"/>
          <c:order val="88"/>
          <c:tx>
            <c:v>Prot1feb6am</c:v>
          </c:tx>
          <c:marker>
            <c:symbol val="none"/>
          </c:marker>
          <c:xVal>
            <c:numRef>
              <c:f>'CS 2do sem datos'!$AY$186:$AY$187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2do sem datos'!$AZ$186:$AZ$187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26"/>
          <c:order val="89"/>
          <c:tx>
            <c:v>Prot2feb6am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datos'!$AY$188:$AY$189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2do sem datos'!$AZ$188:$AZ$189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27"/>
          <c:order val="90"/>
          <c:tx>
            <c:v>Prot1feb7am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datos'!$BA$186:$BA$187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2do sem datos'!$BB$186:$BB$187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28"/>
          <c:order val="91"/>
          <c:tx>
            <c:v>Prot2feb7am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datos'!$BA$188:$BA$189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2do sem datos'!$BB$188:$BB$189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29"/>
          <c:order val="92"/>
          <c:tx>
            <c:v>Prot1feb8am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datos'!$BC$186:$BC$187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2do sem datos'!$BD$186:$BD$187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30"/>
          <c:order val="93"/>
          <c:tx>
            <c:v>Prot2feb8am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datos'!$BC$188:$BC$189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2do sem datos'!$BD$188:$BD$189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31"/>
          <c:order val="94"/>
          <c:tx>
            <c:v>Prot1feb9am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datos'!$BE$186:$BE$187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2do sem datos'!$BF$186:$BF$187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32"/>
          <c:order val="95"/>
          <c:tx>
            <c:v>Prot2feb9am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datos'!$BE$188:$BE$189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2do sem datos'!$BF$188:$BF$189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33"/>
          <c:order val="96"/>
          <c:tx>
            <c:v>Prot1feb10am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datos'!$BG$186:$BG$187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2do sem datos'!$BH$186:$BH$187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34"/>
          <c:order val="97"/>
          <c:tx>
            <c:v>Prot2feb10am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datos'!$BG$188:$BG$189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2do sem datos'!$BH$188:$BH$189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35"/>
          <c:order val="98"/>
          <c:tx>
            <c:v>Prot1feb11am</c:v>
          </c:tx>
          <c:marker>
            <c:symbol val="none"/>
          </c:marker>
          <c:xVal>
            <c:numRef>
              <c:f>'CS 2do sem datos'!$BI$186:$BI$187</c:f>
              <c:numCache>
                <c:formatCode>General</c:formatCode>
                <c:ptCount val="2"/>
                <c:pt idx="0">
                  <c:v>1.5930445940412605</c:v>
                </c:pt>
                <c:pt idx="1">
                  <c:v>2.7224891574812041E-16</c:v>
                </c:pt>
              </c:numCache>
            </c:numRef>
          </c:xVal>
          <c:yVal>
            <c:numRef>
              <c:f>'CS 2do sem datos'!$BJ$186:$BJ$187</c:f>
              <c:numCache>
                <c:formatCode>General</c:formatCode>
                <c:ptCount val="2"/>
                <c:pt idx="0">
                  <c:v>-5.0747045209462618</c:v>
                </c:pt>
                <c:pt idx="1">
                  <c:v>-4.4443416576553023</c:v>
                </c:pt>
              </c:numCache>
            </c:numRef>
          </c:yVal>
          <c:smooth val="1"/>
        </c:ser>
        <c:ser>
          <c:idx val="36"/>
          <c:order val="99"/>
          <c:tx>
            <c:v>Prot2feb11am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datos'!$BI$188:$BI$189</c:f>
              <c:numCache>
                <c:formatCode>General</c:formatCode>
                <c:ptCount val="2"/>
                <c:pt idx="0">
                  <c:v>1.6018208347188778</c:v>
                </c:pt>
                <c:pt idx="1">
                  <c:v>3.135629568394575E-16</c:v>
                </c:pt>
              </c:numCache>
            </c:numRef>
          </c:xVal>
          <c:yVal>
            <c:numRef>
              <c:f>'CS 2do sem datos'!$BJ$188:$BJ$189</c:f>
              <c:numCache>
                <c:formatCode>General</c:formatCode>
                <c:ptCount val="2"/>
                <c:pt idx="0">
                  <c:v>-4.3916413710632929</c:v>
                </c:pt>
                <c:pt idx="1">
                  <c:v>-5.1187748812505367</c:v>
                </c:pt>
              </c:numCache>
            </c:numRef>
          </c:yVal>
          <c:smooth val="1"/>
        </c:ser>
        <c:ser>
          <c:idx val="37"/>
          <c:order val="100"/>
          <c:tx>
            <c:v>Prot1feb12pm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datos'!$BK$186:$BK$187</c:f>
              <c:numCache>
                <c:formatCode>General</c:formatCode>
                <c:ptCount val="2"/>
                <c:pt idx="0">
                  <c:v>3.135629568394575E-16</c:v>
                </c:pt>
                <c:pt idx="1">
                  <c:v>-1.6018208347188794</c:v>
                </c:pt>
              </c:numCache>
            </c:numRef>
          </c:xVal>
          <c:yVal>
            <c:numRef>
              <c:f>'CS 2do sem datos'!$BL$186:$BL$187</c:f>
              <c:numCache>
                <c:formatCode>General</c:formatCode>
                <c:ptCount val="2"/>
                <c:pt idx="0">
                  <c:v>-5.1187748812505367</c:v>
                </c:pt>
                <c:pt idx="1">
                  <c:v>-4.391641371063292</c:v>
                </c:pt>
              </c:numCache>
            </c:numRef>
          </c:yVal>
          <c:smooth val="1"/>
        </c:ser>
        <c:ser>
          <c:idx val="38"/>
          <c:order val="101"/>
          <c:tx>
            <c:v>Prot2feb12pm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datos'!$BK$188:$BK$189</c:f>
              <c:numCache>
                <c:formatCode>General</c:formatCode>
                <c:ptCount val="2"/>
                <c:pt idx="0">
                  <c:v>2.7224891574812041E-16</c:v>
                </c:pt>
                <c:pt idx="1">
                  <c:v>-1.5930445940412599</c:v>
                </c:pt>
              </c:numCache>
            </c:numRef>
          </c:xVal>
          <c:yVal>
            <c:numRef>
              <c:f>'CS 2do sem datos'!$BL$188:$BL$189</c:f>
              <c:numCache>
                <c:formatCode>General</c:formatCode>
                <c:ptCount val="2"/>
                <c:pt idx="0">
                  <c:v>-4.4443416576553023</c:v>
                </c:pt>
                <c:pt idx="1">
                  <c:v>-5.0747045209462627</c:v>
                </c:pt>
              </c:numCache>
            </c:numRef>
          </c:yVal>
          <c:smooth val="1"/>
        </c:ser>
        <c:ser>
          <c:idx val="39"/>
          <c:order val="102"/>
          <c:tx>
            <c:v>Prot1feb1pm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datos'!$BM$186:$BM$187</c:f>
              <c:numCache>
                <c:formatCode>General</c:formatCode>
                <c:ptCount val="2"/>
                <c:pt idx="0">
                  <c:v>-1.5930445940412599</c:v>
                </c:pt>
                <c:pt idx="1">
                  <c:v>-3.2006010638105553</c:v>
                </c:pt>
              </c:numCache>
            </c:numRef>
          </c:xVal>
          <c:yVal>
            <c:numRef>
              <c:f>'CS 2do sem datos'!$BN$186:$BN$187</c:f>
              <c:numCache>
                <c:formatCode>General</c:formatCode>
                <c:ptCount val="2"/>
                <c:pt idx="0">
                  <c:v>-5.0747045209462627</c:v>
                </c:pt>
                <c:pt idx="1">
                  <c:v>-4.2314384754301173</c:v>
                </c:pt>
              </c:numCache>
            </c:numRef>
          </c:yVal>
          <c:smooth val="1"/>
        </c:ser>
        <c:ser>
          <c:idx val="112"/>
          <c:order val="103"/>
          <c:tx>
            <c:v>Prot2feb1pm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datos'!$BM$188:$BM$189</c:f>
              <c:numCache>
                <c:formatCode>General</c:formatCode>
                <c:ptCount val="2"/>
                <c:pt idx="0">
                  <c:v>-1.6018208347188794</c:v>
                </c:pt>
                <c:pt idx="1">
                  <c:v>-3.1840614875621549</c:v>
                </c:pt>
              </c:numCache>
            </c:numRef>
          </c:xVal>
          <c:yVal>
            <c:numRef>
              <c:f>'CS 2do sem datos'!$BN$188:$BN$189</c:f>
              <c:numCache>
                <c:formatCode>General</c:formatCode>
                <c:ptCount val="2"/>
                <c:pt idx="0">
                  <c:v>-4.391641371063292</c:v>
                </c:pt>
                <c:pt idx="1">
                  <c:v>-4.941175224952592</c:v>
                </c:pt>
              </c:numCache>
            </c:numRef>
          </c:yVal>
          <c:smooth val="1"/>
        </c:ser>
        <c:ser>
          <c:idx val="113"/>
          <c:order val="104"/>
          <c:tx>
            <c:v>Prot1feb2pm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datos'!$BO$186:$BO$187</c:f>
              <c:numCache>
                <c:formatCode>General</c:formatCode>
                <c:ptCount val="2"/>
                <c:pt idx="0">
                  <c:v>-3.1840614875621549</c:v>
                </c:pt>
                <c:pt idx="1">
                  <c:v>-4.792837582647314</c:v>
                </c:pt>
              </c:numCache>
            </c:numRef>
          </c:xVal>
          <c:yVal>
            <c:numRef>
              <c:f>'CS 2do sem datos'!$BP$186:$BP$187</c:f>
              <c:numCache>
                <c:formatCode>General</c:formatCode>
                <c:ptCount val="2"/>
                <c:pt idx="0">
                  <c:v>-4.941175224952592</c:v>
                </c:pt>
                <c:pt idx="1">
                  <c:v>-3.957044423114219</c:v>
                </c:pt>
              </c:numCache>
            </c:numRef>
          </c:yVal>
          <c:smooth val="1"/>
        </c:ser>
        <c:ser>
          <c:idx val="114"/>
          <c:order val="105"/>
          <c:tx>
            <c:v>Prot2feb2pm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datos'!$BO$188:$BO$189</c:f>
              <c:numCache>
                <c:formatCode>General</c:formatCode>
                <c:ptCount val="2"/>
                <c:pt idx="0">
                  <c:v>-3.2006010638105553</c:v>
                </c:pt>
                <c:pt idx="1">
                  <c:v>-4.7708405610154339</c:v>
                </c:pt>
              </c:numCache>
            </c:numRef>
          </c:xVal>
          <c:yVal>
            <c:numRef>
              <c:f>'CS 2do sem datos'!$BP$188:$BP$189</c:f>
              <c:numCache>
                <c:formatCode>General</c:formatCode>
                <c:ptCount val="2"/>
                <c:pt idx="0">
                  <c:v>-4.2314384754301173</c:v>
                </c:pt>
                <c:pt idx="1">
                  <c:v>-4.7140125878124106</c:v>
                </c:pt>
              </c:numCache>
            </c:numRef>
          </c:yVal>
          <c:smooth val="1"/>
        </c:ser>
        <c:ser>
          <c:idx val="115"/>
          <c:order val="106"/>
          <c:tx>
            <c:v>Prot1feb3pm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datos'!$BQ$186:$BQ$187</c:f>
              <c:numCache>
                <c:formatCode>General</c:formatCode>
                <c:ptCount val="2"/>
                <c:pt idx="0">
                  <c:v>-4.7708405610154339</c:v>
                </c:pt>
                <c:pt idx="1">
                  <c:v>-6.3739216297498285</c:v>
                </c:pt>
              </c:numCache>
            </c:numRef>
          </c:xVal>
          <c:yVal>
            <c:numRef>
              <c:f>'CS 2do sem datos'!$BR$186:$BR$187</c:f>
              <c:numCache>
                <c:formatCode>General</c:formatCode>
                <c:ptCount val="2"/>
                <c:pt idx="0">
                  <c:v>-4.7140125878124106</c:v>
                </c:pt>
                <c:pt idx="1">
                  <c:v>-3.5558862780284506</c:v>
                </c:pt>
              </c:numCache>
            </c:numRef>
          </c:yVal>
          <c:smooth val="1"/>
        </c:ser>
        <c:ser>
          <c:idx val="116"/>
          <c:order val="107"/>
          <c:tx>
            <c:v>Prot2feb3pm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datos'!$BQ$188:$BQ$189</c:f>
              <c:numCache>
                <c:formatCode>General</c:formatCode>
                <c:ptCount val="2"/>
                <c:pt idx="0">
                  <c:v>-4.792837582647314</c:v>
                </c:pt>
                <c:pt idx="1">
                  <c:v>-6.3507510164986254</c:v>
                </c:pt>
              </c:numCache>
            </c:numRef>
          </c:xVal>
          <c:yVal>
            <c:numRef>
              <c:f>'CS 2do sem datos'!$BR$188:$BR$189</c:f>
              <c:numCache>
                <c:formatCode>General</c:formatCode>
                <c:ptCount val="2"/>
                <c:pt idx="0">
                  <c:v>-3.957044423114219</c:v>
                </c:pt>
                <c:pt idx="1">
                  <c:v>-4.3854380742469932</c:v>
                </c:pt>
              </c:numCache>
            </c:numRef>
          </c:yVal>
          <c:smooth val="1"/>
        </c:ser>
        <c:ser>
          <c:idx val="117"/>
          <c:order val="108"/>
          <c:tx>
            <c:v>Prot1feb4pm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datos'!$BS$186:$BS$187</c:f>
              <c:numCache>
                <c:formatCode>General</c:formatCode>
                <c:ptCount val="2"/>
                <c:pt idx="0">
                  <c:v>-6.3507510164986254</c:v>
                </c:pt>
                <c:pt idx="1">
                  <c:v>-7.9370035218323398</c:v>
                </c:pt>
              </c:numCache>
            </c:numRef>
          </c:xVal>
          <c:yVal>
            <c:numRef>
              <c:f>'CS 2do sem datos'!$BT$186:$BT$187</c:f>
              <c:numCache>
                <c:formatCode>General</c:formatCode>
                <c:ptCount val="2"/>
                <c:pt idx="0">
                  <c:v>-4.3854380742469932</c:v>
                </c:pt>
                <c:pt idx="1">
                  <c:v>-3.0067397074242268</c:v>
                </c:pt>
              </c:numCache>
            </c:numRef>
          </c:yVal>
          <c:smooth val="1"/>
        </c:ser>
        <c:ser>
          <c:idx val="118"/>
          <c:order val="109"/>
          <c:tx>
            <c:v>Prot2feb4pm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datos'!$BS$188:$BS$189</c:f>
              <c:numCache>
                <c:formatCode>General</c:formatCode>
                <c:ptCount val="2"/>
                <c:pt idx="0">
                  <c:v>-6.3739216297498285</c:v>
                </c:pt>
                <c:pt idx="1">
                  <c:v>-7.9203525072857337</c:v>
                </c:pt>
              </c:numCache>
            </c:numRef>
          </c:xVal>
          <c:yVal>
            <c:numRef>
              <c:f>'CS 2do sem datos'!$BT$188:$BT$189</c:f>
              <c:numCache>
                <c:formatCode>General</c:formatCode>
                <c:ptCount val="2"/>
                <c:pt idx="0">
                  <c:v>-3.5558862780284506</c:v>
                </c:pt>
                <c:pt idx="1">
                  <c:v>-3.94246237888771</c:v>
                </c:pt>
              </c:numCache>
            </c:numRef>
          </c:yVal>
          <c:smooth val="1"/>
        </c:ser>
        <c:ser>
          <c:idx val="119"/>
          <c:order val="110"/>
          <c:tx>
            <c:v>Prot1feb5pm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datos'!$BU$186:$BU$187</c:f>
              <c:numCache>
                <c:formatCode>General</c:formatCode>
                <c:ptCount val="2"/>
                <c:pt idx="0">
                  <c:v>-7.9203525072857337</c:v>
                </c:pt>
                <c:pt idx="1">
                  <c:v>-8.5764693111567532</c:v>
                </c:pt>
              </c:numCache>
            </c:numRef>
          </c:xVal>
          <c:yVal>
            <c:numRef>
              <c:f>'CS 2do sem datos'!$BV$186:$BV$187</c:f>
              <c:numCache>
                <c:formatCode>General</c:formatCode>
                <c:ptCount val="2"/>
                <c:pt idx="0">
                  <c:v>-3.94246237888771</c:v>
                </c:pt>
                <c:pt idx="1">
                  <c:v>-2.7284013918018726</c:v>
                </c:pt>
              </c:numCache>
            </c:numRef>
          </c:yVal>
          <c:smooth val="1"/>
        </c:ser>
        <c:ser>
          <c:idx val="120"/>
          <c:order val="111"/>
          <c:tx>
            <c:v>Prot2feb5pm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datos'!$BU$188:$BU$189</c:f>
              <c:numCache>
                <c:formatCode>General</c:formatCode>
                <c:ptCount val="2"/>
                <c:pt idx="0">
                  <c:v>-7.9370035218323398</c:v>
                </c:pt>
                <c:pt idx="1">
                  <c:v>-8.1227376334839274</c:v>
                </c:pt>
              </c:numCache>
            </c:numRef>
          </c:xVal>
          <c:yVal>
            <c:numRef>
              <c:f>'CS 2do sem datos'!$BV$188:$BV$189</c:f>
              <c:numCache>
                <c:formatCode>General</c:formatCode>
                <c:ptCount val="2"/>
                <c:pt idx="0">
                  <c:v>-3.0067397074242268</c:v>
                </c:pt>
                <c:pt idx="1">
                  <c:v>-3.8757106880653427</c:v>
                </c:pt>
              </c:numCache>
            </c:numRef>
          </c:yVal>
          <c:smooth val="1"/>
        </c:ser>
        <c:ser>
          <c:idx val="121"/>
          <c:order val="112"/>
          <c:tx>
            <c:v>Prot1mar6am</c:v>
          </c:tx>
          <c:marker>
            <c:symbol val="none"/>
          </c:marker>
          <c:xVal>
            <c:numRef>
              <c:f>'CS 2do sem datos'!$AY$191:$AY$192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2do sem datos'!$AZ$191:$AZ$192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122"/>
          <c:order val="113"/>
          <c:tx>
            <c:v>Prot2mar6am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datos'!$AY$193:$AY$194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2do sem datos'!$AZ$193:$AZ$194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123"/>
          <c:order val="114"/>
          <c:tx>
            <c:v>Prot1mar7am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datos'!$BA$191:$BA$192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2do sem datos'!$BB$191:$BB$192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124"/>
          <c:order val="115"/>
          <c:tx>
            <c:v>Prot2mar7am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datos'!$BA$193:$BA$194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2do sem datos'!$BB$193:$BB$194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125"/>
          <c:order val="116"/>
          <c:tx>
            <c:v>Prot1mar8am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datos'!$BC$191:$BC$192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2do sem datos'!$BD$191:$BD$192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126"/>
          <c:order val="117"/>
          <c:tx>
            <c:v>Prot2mar8am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datos'!$BC$193:$BC$194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2do sem datos'!$BD$193:$BD$194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127"/>
          <c:order val="118"/>
          <c:tx>
            <c:v>Prot1mar9am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datos'!$BE$191:$BE$192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2do sem datos'!$BF$191:$BF$192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128"/>
          <c:order val="119"/>
          <c:tx>
            <c:v>Prot2mar9am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datos'!$BE$193:$BE$194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2do sem datos'!$BF$193:$BF$194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129"/>
          <c:order val="120"/>
          <c:tx>
            <c:v>Prot1mar10am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datos'!$BG$191:$BG$192</c:f>
              <c:numCache>
                <c:formatCode>General</c:formatCode>
                <c:ptCount val="2"/>
                <c:pt idx="0">
                  <c:v>3.2006010638105553</c:v>
                </c:pt>
                <c:pt idx="1">
                  <c:v>1.5825569006738294</c:v>
                </c:pt>
              </c:numCache>
            </c:numRef>
          </c:xVal>
          <c:yVal>
            <c:numRef>
              <c:f>'CS 2do sem datos'!$BH$191:$BH$192</c:f>
              <c:numCache>
                <c:formatCode>General</c:formatCode>
                <c:ptCount val="2"/>
                <c:pt idx="0">
                  <c:v>-4.2314384754301173</c:v>
                </c:pt>
                <c:pt idx="1">
                  <c:v>-3.2644600428327033</c:v>
                </c:pt>
              </c:numCache>
            </c:numRef>
          </c:yVal>
          <c:smooth val="1"/>
        </c:ser>
        <c:ser>
          <c:idx val="130"/>
          <c:order val="121"/>
          <c:tx>
            <c:v>Prot2mar10am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datos'!$BG$193:$BG$194</c:f>
              <c:numCache>
                <c:formatCode>General</c:formatCode>
                <c:ptCount val="2"/>
                <c:pt idx="0">
                  <c:v>3.1587701351887114</c:v>
                </c:pt>
                <c:pt idx="1">
                  <c:v>1.6018208347188778</c:v>
                </c:pt>
              </c:numCache>
            </c:numRef>
          </c:xVal>
          <c:yVal>
            <c:numRef>
              <c:f>'CS 2do sem datos'!$BH$193:$BH$194</c:f>
              <c:numCache>
                <c:formatCode>General</c:formatCode>
                <c:ptCount val="2"/>
                <c:pt idx="0">
                  <c:v>-3.0660982649874113</c:v>
                </c:pt>
                <c:pt idx="1">
                  <c:v>-4.3916413710632929</c:v>
                </c:pt>
              </c:numCache>
            </c:numRef>
          </c:yVal>
          <c:smooth val="1"/>
        </c:ser>
        <c:ser>
          <c:idx val="131"/>
          <c:order val="122"/>
          <c:tx>
            <c:v>Prot1mar11am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datos'!$BI$191:$BI$192</c:f>
              <c:numCache>
                <c:formatCode>General</c:formatCode>
                <c:ptCount val="2"/>
                <c:pt idx="0">
                  <c:v>1.6018208347188778</c:v>
                </c:pt>
                <c:pt idx="1">
                  <c:v>2.0395981383766651E-16</c:v>
                </c:pt>
              </c:numCache>
            </c:numRef>
          </c:xVal>
          <c:yVal>
            <c:numRef>
              <c:f>'CS 2do sem datos'!$BJ$191:$BJ$192</c:f>
              <c:numCache>
                <c:formatCode>General</c:formatCode>
                <c:ptCount val="2"/>
                <c:pt idx="0">
                  <c:v>-4.3916413710632929</c:v>
                </c:pt>
                <c:pt idx="1">
                  <c:v>-3.3295526435264406</c:v>
                </c:pt>
              </c:numCache>
            </c:numRef>
          </c:yVal>
          <c:smooth val="1"/>
        </c:ser>
        <c:ser>
          <c:idx val="132"/>
          <c:order val="123"/>
          <c:tx>
            <c:v>Prot2mar11am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datos'!$BI$193:$BI$194</c:f>
              <c:numCache>
                <c:formatCode>General</c:formatCode>
                <c:ptCount val="2"/>
                <c:pt idx="0">
                  <c:v>1.5825569006738294</c:v>
                </c:pt>
                <c:pt idx="1">
                  <c:v>2.7224891574812041E-16</c:v>
                </c:pt>
              </c:numCache>
            </c:numRef>
          </c:xVal>
          <c:yVal>
            <c:numRef>
              <c:f>'CS 2do sem datos'!$BJ$193:$BJ$194</c:f>
              <c:numCache>
                <c:formatCode>General</c:formatCode>
                <c:ptCount val="2"/>
                <c:pt idx="0">
                  <c:v>-3.2644600428327033</c:v>
                </c:pt>
                <c:pt idx="1">
                  <c:v>-4.4443416576553023</c:v>
                </c:pt>
              </c:numCache>
            </c:numRef>
          </c:yVal>
          <c:smooth val="1"/>
        </c:ser>
        <c:ser>
          <c:idx val="133"/>
          <c:order val="124"/>
          <c:tx>
            <c:v>Prot1mar12pm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datos'!$BK$191:$BK$192</c:f>
              <c:numCache>
                <c:formatCode>General</c:formatCode>
                <c:ptCount val="2"/>
                <c:pt idx="0">
                  <c:v>2.7224891574812041E-16</c:v>
                </c:pt>
                <c:pt idx="1">
                  <c:v>-1.5825569006738291</c:v>
                </c:pt>
              </c:numCache>
            </c:numRef>
          </c:xVal>
          <c:yVal>
            <c:numRef>
              <c:f>'CS 2do sem datos'!$BL$191:$BL$192</c:f>
              <c:numCache>
                <c:formatCode>General</c:formatCode>
                <c:ptCount val="2"/>
                <c:pt idx="0">
                  <c:v>-4.4443416576553023</c:v>
                </c:pt>
                <c:pt idx="1">
                  <c:v>-3.2644600428327033</c:v>
                </c:pt>
              </c:numCache>
            </c:numRef>
          </c:yVal>
          <c:smooth val="1"/>
        </c:ser>
        <c:ser>
          <c:idx val="134"/>
          <c:order val="125"/>
          <c:tx>
            <c:v>Prot2mar12pm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datos'!$BK$193:$BK$194</c:f>
              <c:numCache>
                <c:formatCode>General</c:formatCode>
                <c:ptCount val="2"/>
                <c:pt idx="0">
                  <c:v>2.0395981383766651E-16</c:v>
                </c:pt>
                <c:pt idx="1">
                  <c:v>-1.6018208347188794</c:v>
                </c:pt>
              </c:numCache>
            </c:numRef>
          </c:xVal>
          <c:yVal>
            <c:numRef>
              <c:f>'CS 2do sem datos'!$BL$193:$BL$194</c:f>
              <c:numCache>
                <c:formatCode>General</c:formatCode>
                <c:ptCount val="2"/>
                <c:pt idx="0">
                  <c:v>-3.3295526435264406</c:v>
                </c:pt>
                <c:pt idx="1">
                  <c:v>-4.391641371063292</c:v>
                </c:pt>
              </c:numCache>
            </c:numRef>
          </c:yVal>
          <c:smooth val="1"/>
        </c:ser>
        <c:ser>
          <c:idx val="135"/>
          <c:order val="126"/>
          <c:tx>
            <c:v>Prot1mar1pm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datos'!$BM$191:$BM$192</c:f>
              <c:numCache>
                <c:formatCode>General</c:formatCode>
                <c:ptCount val="2"/>
                <c:pt idx="0">
                  <c:v>-1.6018208347188794</c:v>
                </c:pt>
                <c:pt idx="1">
                  <c:v>-3.1587701351887141</c:v>
                </c:pt>
              </c:numCache>
            </c:numRef>
          </c:xVal>
          <c:yVal>
            <c:numRef>
              <c:f>'CS 2do sem datos'!$BN$191:$BN$192</c:f>
              <c:numCache>
                <c:formatCode>General</c:formatCode>
                <c:ptCount val="2"/>
                <c:pt idx="0">
                  <c:v>-4.391641371063292</c:v>
                </c:pt>
                <c:pt idx="1">
                  <c:v>-3.0660982649874082</c:v>
                </c:pt>
              </c:numCache>
            </c:numRef>
          </c:yVal>
          <c:smooth val="1"/>
        </c:ser>
        <c:ser>
          <c:idx val="136"/>
          <c:order val="127"/>
          <c:tx>
            <c:v>Prot2mar1pm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datos'!$BM$193:$BM$194</c:f>
              <c:numCache>
                <c:formatCode>General</c:formatCode>
                <c:ptCount val="2"/>
                <c:pt idx="0">
                  <c:v>-1.5825569006738291</c:v>
                </c:pt>
                <c:pt idx="1">
                  <c:v>-3.2006010638105553</c:v>
                </c:pt>
              </c:numCache>
            </c:numRef>
          </c:xVal>
          <c:yVal>
            <c:numRef>
              <c:f>'CS 2do sem datos'!$BN$193:$BN$194</c:f>
              <c:numCache>
                <c:formatCode>General</c:formatCode>
                <c:ptCount val="2"/>
                <c:pt idx="0">
                  <c:v>-3.2644600428327033</c:v>
                </c:pt>
                <c:pt idx="1">
                  <c:v>-4.2314384754301173</c:v>
                </c:pt>
              </c:numCache>
            </c:numRef>
          </c:yVal>
          <c:smooth val="1"/>
        </c:ser>
        <c:ser>
          <c:idx val="137"/>
          <c:order val="128"/>
          <c:tx>
            <c:v>Prot1mar2pm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datos'!$BO$191:$BO$192</c:f>
              <c:numCache>
                <c:formatCode>General</c:formatCode>
                <c:ptCount val="2"/>
                <c:pt idx="0">
                  <c:v>-3.2006010638105553</c:v>
                </c:pt>
                <c:pt idx="1">
                  <c:v>-4.7210947655407791</c:v>
                </c:pt>
              </c:numCache>
            </c:numRef>
          </c:xVal>
          <c:yVal>
            <c:numRef>
              <c:f>'CS 2do sem datos'!$BP$191:$BP$192</c:f>
              <c:numCache>
                <c:formatCode>General</c:formatCode>
                <c:ptCount val="2"/>
                <c:pt idx="0">
                  <c:v>-4.2314384754301173</c:v>
                </c:pt>
                <c:pt idx="1">
                  <c:v>-2.7246801501078117</c:v>
                </c:pt>
              </c:numCache>
            </c:numRef>
          </c:yVal>
          <c:smooth val="1"/>
        </c:ser>
        <c:ser>
          <c:idx val="138"/>
          <c:order val="129"/>
          <c:tx>
            <c:v>Prot2mar2pm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datos'!$BO$193:$BO$194</c:f>
              <c:numCache>
                <c:formatCode>General</c:formatCode>
                <c:ptCount val="2"/>
                <c:pt idx="0">
                  <c:v>-3.1587701351887141</c:v>
                </c:pt>
                <c:pt idx="1">
                  <c:v>-4.792837582647314</c:v>
                </c:pt>
              </c:numCache>
            </c:numRef>
          </c:xVal>
          <c:yVal>
            <c:numRef>
              <c:f>'CS 2do sem datos'!$BP$193:$BP$194</c:f>
              <c:numCache>
                <c:formatCode>General</c:formatCode>
                <c:ptCount val="2"/>
                <c:pt idx="0">
                  <c:v>-3.0660982649874082</c:v>
                </c:pt>
                <c:pt idx="1">
                  <c:v>-3.957044423114219</c:v>
                </c:pt>
              </c:numCache>
            </c:numRef>
          </c:yVal>
          <c:smooth val="1"/>
        </c:ser>
        <c:ser>
          <c:idx val="139"/>
          <c:order val="130"/>
          <c:tx>
            <c:v>Prot1mar3pm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datos'!$BQ$191:$BQ$192</c:f>
              <c:numCache>
                <c:formatCode>General</c:formatCode>
                <c:ptCount val="2"/>
                <c:pt idx="0">
                  <c:v>-4.792837582647314</c:v>
                </c:pt>
                <c:pt idx="1">
                  <c:v>-6.2591135034701519</c:v>
                </c:pt>
              </c:numCache>
            </c:numRef>
          </c:xVal>
          <c:yVal>
            <c:numRef>
              <c:f>'CS 2do sem datos'!$BR$191:$BR$192</c:f>
              <c:numCache>
                <c:formatCode>General</c:formatCode>
                <c:ptCount val="2"/>
                <c:pt idx="0">
                  <c:v>-3.957044423114219</c:v>
                </c:pt>
                <c:pt idx="1">
                  <c:v>-2.2219314351235457</c:v>
                </c:pt>
              </c:numCache>
            </c:numRef>
          </c:yVal>
          <c:smooth val="1"/>
        </c:ser>
        <c:ser>
          <c:idx val="140"/>
          <c:order val="131"/>
          <c:tx>
            <c:v>Prot2mar3pm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datos'!$BQ$193:$BQ$194</c:f>
              <c:numCache>
                <c:formatCode>General</c:formatCode>
                <c:ptCount val="2"/>
                <c:pt idx="0">
                  <c:v>-4.7210947655407791</c:v>
                </c:pt>
                <c:pt idx="1">
                  <c:v>-6.3739216297498285</c:v>
                </c:pt>
              </c:numCache>
            </c:numRef>
          </c:xVal>
          <c:yVal>
            <c:numRef>
              <c:f>'CS 2do sem datos'!$BR$193:$BR$194</c:f>
              <c:numCache>
                <c:formatCode>General</c:formatCode>
                <c:ptCount val="2"/>
                <c:pt idx="0">
                  <c:v>-2.7246801501078117</c:v>
                </c:pt>
                <c:pt idx="1">
                  <c:v>-3.5558862780284506</c:v>
                </c:pt>
              </c:numCache>
            </c:numRef>
          </c:yVal>
          <c:smooth val="1"/>
        </c:ser>
        <c:ser>
          <c:idx val="141"/>
          <c:order val="132"/>
          <c:tx>
            <c:v>Prot1mar4pm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datos'!$BS$191:$BS$192</c:f>
              <c:numCache>
                <c:formatCode>General</c:formatCode>
                <c:ptCount val="2"/>
                <c:pt idx="0">
                  <c:v>-6.3739216297498285</c:v>
                </c:pt>
                <c:pt idx="1">
                  <c:v>-7.7566153566303617</c:v>
                </c:pt>
              </c:numCache>
            </c:numRef>
          </c:xVal>
          <c:yVal>
            <c:numRef>
              <c:f>'CS 2do sem datos'!$BT$191:$BT$192</c:f>
              <c:numCache>
                <c:formatCode>General</c:formatCode>
                <c:ptCount val="2"/>
                <c:pt idx="0">
                  <c:v>-3.5558862780284506</c:v>
                </c:pt>
                <c:pt idx="1">
                  <c:v>-1.5274342176721158</c:v>
                </c:pt>
              </c:numCache>
            </c:numRef>
          </c:yVal>
          <c:smooth val="1"/>
        </c:ser>
        <c:ser>
          <c:idx val="142"/>
          <c:order val="133"/>
          <c:tx>
            <c:v>Prot2mar4pm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datos'!$BS$193:$BS$194</c:f>
              <c:numCache>
                <c:formatCode>General</c:formatCode>
                <c:ptCount val="2"/>
                <c:pt idx="0">
                  <c:v>-6.2591135034701519</c:v>
                </c:pt>
                <c:pt idx="1">
                  <c:v>-7.9370035218323398</c:v>
                </c:pt>
              </c:numCache>
            </c:numRef>
          </c:xVal>
          <c:yVal>
            <c:numRef>
              <c:f>'CS 2do sem datos'!$BT$193:$BT$194</c:f>
              <c:numCache>
                <c:formatCode>General</c:formatCode>
                <c:ptCount val="2"/>
                <c:pt idx="0">
                  <c:v>-2.2219314351235457</c:v>
                </c:pt>
                <c:pt idx="1">
                  <c:v>-3.0067397074242268</c:v>
                </c:pt>
              </c:numCache>
            </c:numRef>
          </c:yVal>
          <c:smooth val="1"/>
        </c:ser>
        <c:ser>
          <c:idx val="143"/>
          <c:order val="134"/>
          <c:tx>
            <c:v>Prot1mar5pm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datos'!$BU$191:$BU$192</c:f>
              <c:numCache>
                <c:formatCode>General</c:formatCode>
                <c:ptCount val="2"/>
                <c:pt idx="0">
                  <c:v>-7.9370035218323398</c:v>
                </c:pt>
                <c:pt idx="1">
                  <c:v>-8.9681072395106511</c:v>
                </c:pt>
              </c:numCache>
            </c:numRef>
          </c:xVal>
          <c:yVal>
            <c:numRef>
              <c:f>'CS 2do sem datos'!$BV$191:$BV$192</c:f>
              <c:numCache>
                <c:formatCode>General</c:formatCode>
                <c:ptCount val="2"/>
                <c:pt idx="0">
                  <c:v>-3.0067397074242268</c:v>
                </c:pt>
                <c:pt idx="1">
                  <c:v>-0.75700233859390975</c:v>
                </c:pt>
              </c:numCache>
            </c:numRef>
          </c:yVal>
          <c:smooth val="1"/>
        </c:ser>
        <c:ser>
          <c:idx val="144"/>
          <c:order val="135"/>
          <c:tx>
            <c:v>Prot2mar5pm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datos'!$BU$193:$BU$194</c:f>
              <c:numCache>
                <c:formatCode>General</c:formatCode>
                <c:ptCount val="2"/>
                <c:pt idx="0">
                  <c:v>-7.7566153566303617</c:v>
                </c:pt>
                <c:pt idx="1">
                  <c:v>-8.5764693111567532</c:v>
                </c:pt>
              </c:numCache>
            </c:numRef>
          </c:xVal>
          <c:yVal>
            <c:numRef>
              <c:f>'CS 2do sem datos'!$BV$193:$BV$194</c:f>
              <c:numCache>
                <c:formatCode>General</c:formatCode>
                <c:ptCount val="2"/>
                <c:pt idx="0">
                  <c:v>-1.5274342176721158</c:v>
                </c:pt>
                <c:pt idx="1">
                  <c:v>-2.7284013918018726</c:v>
                </c:pt>
              </c:numCache>
            </c:numRef>
          </c:yVal>
          <c:smooth val="1"/>
        </c:ser>
        <c:ser>
          <c:idx val="174"/>
          <c:order val="136"/>
          <c:tx>
            <c:v>Prot1abr6am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datos'!$AY$196:$AY$197</c:f>
              <c:numCache>
                <c:formatCode>General</c:formatCode>
                <c:ptCount val="2"/>
                <c:pt idx="0">
                  <c:v>8.9999999459306821</c:v>
                </c:pt>
                <c:pt idx="1">
                  <c:v>7.3171793408454278</c:v>
                </c:pt>
              </c:numCache>
            </c:numRef>
          </c:xVal>
          <c:yVal>
            <c:numRef>
              <c:f>'CS 2do sem datos'!$AZ$196:$AZ$197</c:f>
              <c:numCache>
                <c:formatCode>General</c:formatCode>
                <c:ptCount val="2"/>
                <c:pt idx="0">
                  <c:v>9.8653318720904812E-4</c:v>
                </c:pt>
                <c:pt idx="1">
                  <c:v>-5.491916703403818E-2</c:v>
                </c:pt>
              </c:numCache>
            </c:numRef>
          </c:yVal>
          <c:smooth val="1"/>
        </c:ser>
        <c:ser>
          <c:idx val="175"/>
          <c:order val="137"/>
          <c:tx>
            <c:v>Prot2abr6am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datos'!$AY$198:$AY$199</c:f>
              <c:numCache>
                <c:formatCode>General</c:formatCode>
                <c:ptCount val="2"/>
                <c:pt idx="0">
                  <c:v>8.5654551879976495</c:v>
                </c:pt>
                <c:pt idx="1">
                  <c:v>7.7566153566303626</c:v>
                </c:pt>
              </c:numCache>
            </c:numRef>
          </c:xVal>
          <c:yVal>
            <c:numRef>
              <c:f>'CS 2do sem datos'!$AZ$198:$AZ$199</c:f>
              <c:numCache>
                <c:formatCode>General</c:formatCode>
                <c:ptCount val="2"/>
                <c:pt idx="0">
                  <c:v>1.0153845508301493</c:v>
                </c:pt>
                <c:pt idx="1">
                  <c:v>-1.5274342176721141</c:v>
                </c:pt>
              </c:numCache>
            </c:numRef>
          </c:yVal>
          <c:smooth val="1"/>
        </c:ser>
        <c:ser>
          <c:idx val="176"/>
          <c:order val="138"/>
          <c:tx>
            <c:v>Prot1abr7am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datos'!$BA$196:$BA$197</c:f>
              <c:numCache>
                <c:formatCode>General</c:formatCode>
                <c:ptCount val="2"/>
                <c:pt idx="0">
                  <c:v>7.7566153566303626</c:v>
                </c:pt>
                <c:pt idx="1">
                  <c:v>5.9498753428282356</c:v>
                </c:pt>
              </c:numCache>
            </c:numRef>
          </c:xVal>
          <c:yVal>
            <c:numRef>
              <c:f>'CS 2do sem datos'!$BB$196:$BB$197</c:f>
              <c:numCache>
                <c:formatCode>General</c:formatCode>
                <c:ptCount val="2"/>
                <c:pt idx="0">
                  <c:v>-1.5274342176721141</c:v>
                </c:pt>
                <c:pt idx="1">
                  <c:v>-0.85515633493597176</c:v>
                </c:pt>
              </c:numCache>
            </c:numRef>
          </c:yVal>
          <c:smooth val="1"/>
        </c:ser>
        <c:ser>
          <c:idx val="177"/>
          <c:order val="139"/>
          <c:tx>
            <c:v>Prot2abr7am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datos'!$BA$198:$BA$199</c:f>
              <c:numCache>
                <c:formatCode>General</c:formatCode>
                <c:ptCount val="2"/>
                <c:pt idx="0">
                  <c:v>7.3171793408454278</c:v>
                </c:pt>
                <c:pt idx="1">
                  <c:v>6.2591135034701519</c:v>
                </c:pt>
              </c:numCache>
            </c:numRef>
          </c:xVal>
          <c:yVal>
            <c:numRef>
              <c:f>'CS 2do sem datos'!$BB$198:$BB$199</c:f>
              <c:numCache>
                <c:formatCode>General</c:formatCode>
                <c:ptCount val="2"/>
                <c:pt idx="0">
                  <c:v>-5.491916703403818E-2</c:v>
                </c:pt>
                <c:pt idx="1">
                  <c:v>-2.2219314351235444</c:v>
                </c:pt>
              </c:numCache>
            </c:numRef>
          </c:yVal>
          <c:smooth val="1"/>
        </c:ser>
        <c:ser>
          <c:idx val="178"/>
          <c:order val="140"/>
          <c:tx>
            <c:v>Prot1abr8am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datos'!$BC$196:$BC$197</c:f>
              <c:numCache>
                <c:formatCode>General</c:formatCode>
                <c:ptCount val="2"/>
                <c:pt idx="0">
                  <c:v>6.2591135034701519</c:v>
                </c:pt>
                <c:pt idx="1">
                  <c:v>4.5105575419044515</c:v>
                </c:pt>
              </c:numCache>
            </c:numRef>
          </c:xVal>
          <c:yVal>
            <c:numRef>
              <c:f>'CS 2do sem datos'!$BD$196:$BD$197</c:f>
              <c:numCache>
                <c:formatCode>General</c:formatCode>
                <c:ptCount val="2"/>
                <c:pt idx="0">
                  <c:v>-2.2219314351235444</c:v>
                </c:pt>
                <c:pt idx="1">
                  <c:v>-1.436087597671055</c:v>
                </c:pt>
              </c:numCache>
            </c:numRef>
          </c:yVal>
          <c:smooth val="1"/>
        </c:ser>
        <c:ser>
          <c:idx val="179"/>
          <c:order val="141"/>
          <c:tx>
            <c:v>Prot2abr8am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datos'!$BC$198:$BC$199</c:f>
              <c:numCache>
                <c:formatCode>General</c:formatCode>
                <c:ptCount val="2"/>
                <c:pt idx="0">
                  <c:v>5.9498753428282356</c:v>
                </c:pt>
                <c:pt idx="1">
                  <c:v>4.7210947655407791</c:v>
                </c:pt>
              </c:numCache>
            </c:numRef>
          </c:xVal>
          <c:yVal>
            <c:numRef>
              <c:f>'CS 2do sem datos'!$BD$198:$BD$199</c:f>
              <c:numCache>
                <c:formatCode>General</c:formatCode>
                <c:ptCount val="2"/>
                <c:pt idx="0">
                  <c:v>-0.85515633493597176</c:v>
                </c:pt>
                <c:pt idx="1">
                  <c:v>-2.7246801501078117</c:v>
                </c:pt>
              </c:numCache>
            </c:numRef>
          </c:yVal>
          <c:smooth val="1"/>
        </c:ser>
        <c:ser>
          <c:idx val="180"/>
          <c:order val="142"/>
          <c:tx>
            <c:v>Prot1abr9am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datos'!$BE$196:$BE$197</c:f>
              <c:numCache>
                <c:formatCode>General</c:formatCode>
                <c:ptCount val="2"/>
                <c:pt idx="0">
                  <c:v>4.7210947655407791</c:v>
                </c:pt>
                <c:pt idx="1">
                  <c:v>3.027575645251392</c:v>
                </c:pt>
              </c:numCache>
            </c:numRef>
          </c:xVal>
          <c:yVal>
            <c:numRef>
              <c:f>'CS 2do sem datos'!$BF$196:$BF$197</c:f>
              <c:numCache>
                <c:formatCode>General</c:formatCode>
                <c:ptCount val="2"/>
                <c:pt idx="0">
                  <c:v>-2.7246801501078117</c:v>
                </c:pt>
                <c:pt idx="1">
                  <c:v>-1.8308990238685714</c:v>
                </c:pt>
              </c:numCache>
            </c:numRef>
          </c:yVal>
          <c:smooth val="1"/>
        </c:ser>
        <c:ser>
          <c:idx val="181"/>
          <c:order val="143"/>
          <c:tx>
            <c:v>Prot2abr9am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datos'!$BE$198:$BE$199</c:f>
              <c:numCache>
                <c:formatCode>General</c:formatCode>
                <c:ptCount val="2"/>
                <c:pt idx="0">
                  <c:v>4.5105575419044515</c:v>
                </c:pt>
                <c:pt idx="1">
                  <c:v>3.1587701351887114</c:v>
                </c:pt>
              </c:numCache>
            </c:numRef>
          </c:xVal>
          <c:yVal>
            <c:numRef>
              <c:f>'CS 2do sem datos'!$BF$198:$BF$199</c:f>
              <c:numCache>
                <c:formatCode>General</c:formatCode>
                <c:ptCount val="2"/>
                <c:pt idx="0">
                  <c:v>-1.436087597671055</c:v>
                </c:pt>
                <c:pt idx="1">
                  <c:v>-3.0660982649874113</c:v>
                </c:pt>
              </c:numCache>
            </c:numRef>
          </c:yVal>
          <c:smooth val="1"/>
        </c:ser>
        <c:ser>
          <c:idx val="182"/>
          <c:order val="144"/>
          <c:tx>
            <c:v>Prot1abr10am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datos'!$BG$196:$BG$197</c:f>
              <c:numCache>
                <c:formatCode>General</c:formatCode>
                <c:ptCount val="2"/>
                <c:pt idx="0">
                  <c:v>3.1587701351887114</c:v>
                </c:pt>
                <c:pt idx="1">
                  <c:v>1.5195236952779618</c:v>
                </c:pt>
              </c:numCache>
            </c:numRef>
          </c:xVal>
          <c:yVal>
            <c:numRef>
              <c:f>'CS 2do sem datos'!$BH$196:$BH$197</c:f>
              <c:numCache>
                <c:formatCode>General</c:formatCode>
                <c:ptCount val="2"/>
                <c:pt idx="0">
                  <c:v>-3.0660982649874113</c:v>
                </c:pt>
                <c:pt idx="1">
                  <c:v>-2.0602774257475551</c:v>
                </c:pt>
              </c:numCache>
            </c:numRef>
          </c:yVal>
          <c:smooth val="1"/>
        </c:ser>
        <c:ser>
          <c:idx val="183"/>
          <c:order val="145"/>
          <c:tx>
            <c:v>Prot2abr10am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datos'!$BG$198:$BG$199</c:f>
              <c:numCache>
                <c:formatCode>General</c:formatCode>
                <c:ptCount val="2"/>
                <c:pt idx="0">
                  <c:v>3.027575645251392</c:v>
                </c:pt>
                <c:pt idx="1">
                  <c:v>1.5825569006738294</c:v>
                </c:pt>
              </c:numCache>
            </c:numRef>
          </c:xVal>
          <c:yVal>
            <c:numRef>
              <c:f>'CS 2do sem datos'!$BH$198:$BH$199</c:f>
              <c:numCache>
                <c:formatCode>General</c:formatCode>
                <c:ptCount val="2"/>
                <c:pt idx="0">
                  <c:v>-1.8308990238685714</c:v>
                </c:pt>
                <c:pt idx="1">
                  <c:v>-3.2644600428327033</c:v>
                </c:pt>
              </c:numCache>
            </c:numRef>
          </c:yVal>
          <c:smooth val="1"/>
        </c:ser>
        <c:ser>
          <c:idx val="184"/>
          <c:order val="146"/>
          <c:tx>
            <c:v>Prot1abr11am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datos'!$BI$196:$BI$197</c:f>
              <c:numCache>
                <c:formatCode>General</c:formatCode>
                <c:ptCount val="2"/>
                <c:pt idx="0">
                  <c:v>1.5825569006738294</c:v>
                </c:pt>
                <c:pt idx="1">
                  <c:v>1.3081749948580787E-16</c:v>
                </c:pt>
              </c:numCache>
            </c:numRef>
          </c:xVal>
          <c:yVal>
            <c:numRef>
              <c:f>'CS 2do sem datos'!$BJ$196:$BJ$197</c:f>
              <c:numCache>
                <c:formatCode>General</c:formatCode>
                <c:ptCount val="2"/>
                <c:pt idx="0">
                  <c:v>-3.2644600428327033</c:v>
                </c:pt>
                <c:pt idx="1">
                  <c:v>-2.1355371091834767</c:v>
                </c:pt>
              </c:numCache>
            </c:numRef>
          </c:yVal>
          <c:smooth val="1"/>
        </c:ser>
        <c:ser>
          <c:idx val="185"/>
          <c:order val="147"/>
          <c:tx>
            <c:v>Prot2abr11am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datos'!$BI$198:$BI$199</c:f>
              <c:numCache>
                <c:formatCode>General</c:formatCode>
                <c:ptCount val="2"/>
                <c:pt idx="0">
                  <c:v>1.5195236952779618</c:v>
                </c:pt>
                <c:pt idx="1">
                  <c:v>2.0395981383766651E-16</c:v>
                </c:pt>
              </c:numCache>
            </c:numRef>
          </c:xVal>
          <c:yVal>
            <c:numRef>
              <c:f>'CS 2do sem datos'!$BJ$198:$BJ$199</c:f>
              <c:numCache>
                <c:formatCode>General</c:formatCode>
                <c:ptCount val="2"/>
                <c:pt idx="0">
                  <c:v>-2.0602774257475551</c:v>
                </c:pt>
                <c:pt idx="1">
                  <c:v>-3.3295526435264406</c:v>
                </c:pt>
              </c:numCache>
            </c:numRef>
          </c:yVal>
          <c:smooth val="1"/>
        </c:ser>
        <c:ser>
          <c:idx val="186"/>
          <c:order val="148"/>
          <c:tx>
            <c:v>Prot1abr12pm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datos'!$BK$196:$BK$197</c:f>
              <c:numCache>
                <c:formatCode>General</c:formatCode>
                <c:ptCount val="2"/>
                <c:pt idx="0">
                  <c:v>2.0395981383766651E-16</c:v>
                </c:pt>
                <c:pt idx="1">
                  <c:v>-1.5195236952779616</c:v>
                </c:pt>
              </c:numCache>
            </c:numRef>
          </c:xVal>
          <c:yVal>
            <c:numRef>
              <c:f>'CS 2do sem datos'!$BL$196:$BL$197</c:f>
              <c:numCache>
                <c:formatCode>General</c:formatCode>
                <c:ptCount val="2"/>
                <c:pt idx="0">
                  <c:v>-3.3295526435264406</c:v>
                </c:pt>
                <c:pt idx="1">
                  <c:v>-2.0602774257475556</c:v>
                </c:pt>
              </c:numCache>
            </c:numRef>
          </c:yVal>
          <c:smooth val="1"/>
        </c:ser>
        <c:ser>
          <c:idx val="187"/>
          <c:order val="149"/>
          <c:tx>
            <c:v>Prot2abr12pm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datos'!$BK$198:$BK$199</c:f>
              <c:numCache>
                <c:formatCode>General</c:formatCode>
                <c:ptCount val="2"/>
                <c:pt idx="0">
                  <c:v>1.3081749948580787E-16</c:v>
                </c:pt>
                <c:pt idx="1">
                  <c:v>-1.5825569006738291</c:v>
                </c:pt>
              </c:numCache>
            </c:numRef>
          </c:xVal>
          <c:yVal>
            <c:numRef>
              <c:f>'CS 2do sem datos'!$BL$198:$BL$199</c:f>
              <c:numCache>
                <c:formatCode>General</c:formatCode>
                <c:ptCount val="2"/>
                <c:pt idx="0">
                  <c:v>-2.1355371091834767</c:v>
                </c:pt>
                <c:pt idx="1">
                  <c:v>-3.2644600428327033</c:v>
                </c:pt>
              </c:numCache>
            </c:numRef>
          </c:yVal>
          <c:smooth val="1"/>
        </c:ser>
        <c:ser>
          <c:idx val="188"/>
          <c:order val="150"/>
          <c:tx>
            <c:v>Prot1abr1pm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datos'!$BM$196:$BM$197</c:f>
              <c:numCache>
                <c:formatCode>General</c:formatCode>
                <c:ptCount val="2"/>
                <c:pt idx="0">
                  <c:v>-1.5825569006738291</c:v>
                </c:pt>
                <c:pt idx="1">
                  <c:v>-3.0275756452513929</c:v>
                </c:pt>
              </c:numCache>
            </c:numRef>
          </c:xVal>
          <c:yVal>
            <c:numRef>
              <c:f>'CS 2do sem datos'!$BN$196:$BN$197</c:f>
              <c:numCache>
                <c:formatCode>General</c:formatCode>
                <c:ptCount val="2"/>
                <c:pt idx="0">
                  <c:v>-3.2644600428327033</c:v>
                </c:pt>
                <c:pt idx="1">
                  <c:v>-1.8308990238685712</c:v>
                </c:pt>
              </c:numCache>
            </c:numRef>
          </c:yVal>
          <c:smooth val="1"/>
        </c:ser>
        <c:ser>
          <c:idx val="189"/>
          <c:order val="151"/>
          <c:tx>
            <c:v>Prot2abr1pm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datos'!$BM$198:$BM$199</c:f>
              <c:numCache>
                <c:formatCode>General</c:formatCode>
                <c:ptCount val="2"/>
                <c:pt idx="0">
                  <c:v>-1.5195236952779616</c:v>
                </c:pt>
                <c:pt idx="1">
                  <c:v>-3.1587701351887141</c:v>
                </c:pt>
              </c:numCache>
            </c:numRef>
          </c:xVal>
          <c:yVal>
            <c:numRef>
              <c:f>'CS 2do sem datos'!$BN$198:$BN$199</c:f>
              <c:numCache>
                <c:formatCode>General</c:formatCode>
                <c:ptCount val="2"/>
                <c:pt idx="0">
                  <c:v>-2.0602774257475556</c:v>
                </c:pt>
                <c:pt idx="1">
                  <c:v>-3.0660982649874082</c:v>
                </c:pt>
              </c:numCache>
            </c:numRef>
          </c:yVal>
          <c:smooth val="1"/>
        </c:ser>
        <c:ser>
          <c:idx val="190"/>
          <c:order val="152"/>
          <c:tx>
            <c:v>Prot1abr2pm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datos'!$BO$196:$BO$197</c:f>
              <c:numCache>
                <c:formatCode>General</c:formatCode>
                <c:ptCount val="2"/>
                <c:pt idx="0">
                  <c:v>-3.1587701351887141</c:v>
                </c:pt>
                <c:pt idx="1">
                  <c:v>-4.5105575419044515</c:v>
                </c:pt>
              </c:numCache>
            </c:numRef>
          </c:xVal>
          <c:yVal>
            <c:numRef>
              <c:f>'CS 2do sem datos'!$BP$196:$BP$197</c:f>
              <c:numCache>
                <c:formatCode>General</c:formatCode>
                <c:ptCount val="2"/>
                <c:pt idx="0">
                  <c:v>-3.0660982649874082</c:v>
                </c:pt>
                <c:pt idx="1">
                  <c:v>-1.4360875976710543</c:v>
                </c:pt>
              </c:numCache>
            </c:numRef>
          </c:yVal>
          <c:smooth val="1"/>
        </c:ser>
        <c:ser>
          <c:idx val="191"/>
          <c:order val="153"/>
          <c:tx>
            <c:v>Prot2abr2pm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datos'!$BO$198:$BO$199</c:f>
              <c:numCache>
                <c:formatCode>General</c:formatCode>
                <c:ptCount val="2"/>
                <c:pt idx="0">
                  <c:v>-3.0275756452513929</c:v>
                </c:pt>
                <c:pt idx="1">
                  <c:v>-4.7210947655407791</c:v>
                </c:pt>
              </c:numCache>
            </c:numRef>
          </c:xVal>
          <c:yVal>
            <c:numRef>
              <c:f>'CS 2do sem datos'!$BP$198:$BP$199</c:f>
              <c:numCache>
                <c:formatCode>General</c:formatCode>
                <c:ptCount val="2"/>
                <c:pt idx="0">
                  <c:v>-1.8308990238685712</c:v>
                </c:pt>
                <c:pt idx="1">
                  <c:v>-2.7246801501078117</c:v>
                </c:pt>
              </c:numCache>
            </c:numRef>
          </c:yVal>
          <c:smooth val="1"/>
        </c:ser>
        <c:ser>
          <c:idx val="192"/>
          <c:order val="154"/>
          <c:tx>
            <c:v>Prot1abr3pm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datos'!$BQ$196:$BQ$197</c:f>
              <c:numCache>
                <c:formatCode>General</c:formatCode>
                <c:ptCount val="2"/>
                <c:pt idx="0">
                  <c:v>-4.7210947655407791</c:v>
                </c:pt>
                <c:pt idx="1">
                  <c:v>-5.9498753428282356</c:v>
                </c:pt>
              </c:numCache>
            </c:numRef>
          </c:xVal>
          <c:yVal>
            <c:numRef>
              <c:f>'CS 2do sem datos'!$BR$196:$BR$197</c:f>
              <c:numCache>
                <c:formatCode>General</c:formatCode>
                <c:ptCount val="2"/>
                <c:pt idx="0">
                  <c:v>-2.7246801501078117</c:v>
                </c:pt>
                <c:pt idx="1">
                  <c:v>-0.85515633493597099</c:v>
                </c:pt>
              </c:numCache>
            </c:numRef>
          </c:yVal>
          <c:smooth val="1"/>
        </c:ser>
        <c:ser>
          <c:idx val="193"/>
          <c:order val="155"/>
          <c:tx>
            <c:v>Prot2abr3pm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datos'!$BQ$198:$BQ$199</c:f>
              <c:numCache>
                <c:formatCode>General</c:formatCode>
                <c:ptCount val="2"/>
                <c:pt idx="0">
                  <c:v>-4.5105575419044515</c:v>
                </c:pt>
                <c:pt idx="1">
                  <c:v>-6.2591135034701519</c:v>
                </c:pt>
              </c:numCache>
            </c:numRef>
          </c:xVal>
          <c:yVal>
            <c:numRef>
              <c:f>'CS 2do sem datos'!$BR$198:$BR$199</c:f>
              <c:numCache>
                <c:formatCode>General</c:formatCode>
                <c:ptCount val="2"/>
                <c:pt idx="0">
                  <c:v>-1.4360875976710543</c:v>
                </c:pt>
                <c:pt idx="1">
                  <c:v>-2.2219314351235457</c:v>
                </c:pt>
              </c:numCache>
            </c:numRef>
          </c:yVal>
          <c:smooth val="1"/>
        </c:ser>
        <c:ser>
          <c:idx val="194"/>
          <c:order val="156"/>
          <c:tx>
            <c:v>Prot1abr4pm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datos'!$BS$196:$BS$197</c:f>
              <c:numCache>
                <c:formatCode>General</c:formatCode>
                <c:ptCount val="2"/>
                <c:pt idx="0">
                  <c:v>-6.2591135034701519</c:v>
                </c:pt>
                <c:pt idx="1">
                  <c:v>-7.3171793408454278</c:v>
                </c:pt>
              </c:numCache>
            </c:numRef>
          </c:xVal>
          <c:yVal>
            <c:numRef>
              <c:f>'CS 2do sem datos'!$BT$196:$BT$197</c:f>
              <c:numCache>
                <c:formatCode>General</c:formatCode>
                <c:ptCount val="2"/>
                <c:pt idx="0">
                  <c:v>-2.2219314351235457</c:v>
                </c:pt>
                <c:pt idx="1">
                  <c:v>-5.4919167034038395E-2</c:v>
                </c:pt>
              </c:numCache>
            </c:numRef>
          </c:yVal>
          <c:smooth val="1"/>
        </c:ser>
        <c:ser>
          <c:idx val="195"/>
          <c:order val="157"/>
          <c:tx>
            <c:v>Prot2abr4pm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datos'!$BS$198:$BS$199</c:f>
              <c:numCache>
                <c:formatCode>General</c:formatCode>
                <c:ptCount val="2"/>
                <c:pt idx="0">
                  <c:v>-5.9498753428282356</c:v>
                </c:pt>
                <c:pt idx="1">
                  <c:v>-7.7566153566303617</c:v>
                </c:pt>
              </c:numCache>
            </c:numRef>
          </c:xVal>
          <c:yVal>
            <c:numRef>
              <c:f>'CS 2do sem datos'!$BT$198:$BT$199</c:f>
              <c:numCache>
                <c:formatCode>General</c:formatCode>
                <c:ptCount val="2"/>
                <c:pt idx="0">
                  <c:v>-0.85515633493597099</c:v>
                </c:pt>
                <c:pt idx="1">
                  <c:v>-1.5274342176721158</c:v>
                </c:pt>
              </c:numCache>
            </c:numRef>
          </c:yVal>
          <c:smooth val="1"/>
        </c:ser>
        <c:ser>
          <c:idx val="196"/>
          <c:order val="158"/>
          <c:tx>
            <c:v>Prot1abr5pm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datos'!$BU$196:$BU$197</c:f>
              <c:numCache>
                <c:formatCode>General</c:formatCode>
                <c:ptCount val="2"/>
                <c:pt idx="0">
                  <c:v>-7.7566153566303617</c:v>
                </c:pt>
                <c:pt idx="1">
                  <c:v>-8.5654551879976513</c:v>
                </c:pt>
              </c:numCache>
            </c:numRef>
          </c:xVal>
          <c:yVal>
            <c:numRef>
              <c:f>'CS 2do sem datos'!$BV$196:$BV$197</c:f>
              <c:numCache>
                <c:formatCode>General</c:formatCode>
                <c:ptCount val="2"/>
                <c:pt idx="0">
                  <c:v>-1.5274342176721158</c:v>
                </c:pt>
                <c:pt idx="1">
                  <c:v>1.0153845508301516</c:v>
                </c:pt>
              </c:numCache>
            </c:numRef>
          </c:yVal>
          <c:smooth val="1"/>
        </c:ser>
        <c:ser>
          <c:idx val="197"/>
          <c:order val="159"/>
          <c:tx>
            <c:v>Prot2abr5pm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datos'!$BU$198:$BU$199</c:f>
              <c:numCache>
                <c:formatCode>General</c:formatCode>
                <c:ptCount val="2"/>
                <c:pt idx="0">
                  <c:v>-7.3171793408454278</c:v>
                </c:pt>
                <c:pt idx="1">
                  <c:v>-8.9681072395106511</c:v>
                </c:pt>
              </c:numCache>
            </c:numRef>
          </c:xVal>
          <c:yVal>
            <c:numRef>
              <c:f>'CS 2do sem datos'!$BV$198:$BV$199</c:f>
              <c:numCache>
                <c:formatCode>General</c:formatCode>
                <c:ptCount val="2"/>
                <c:pt idx="0">
                  <c:v>-5.4919167034038395E-2</c:v>
                </c:pt>
                <c:pt idx="1">
                  <c:v>-0.75700233859390975</c:v>
                </c:pt>
              </c:numCache>
            </c:numRef>
          </c:yVal>
          <c:smooth val="1"/>
        </c:ser>
        <c:ser>
          <c:idx val="198"/>
          <c:order val="160"/>
          <c:tx>
            <c:v>Prot1may6am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datos'!$AY$201:$AY$202</c:f>
              <c:numCache>
                <c:formatCode>General</c:formatCode>
                <c:ptCount val="2"/>
                <c:pt idx="0">
                  <c:v>8.5654551879976495</c:v>
                </c:pt>
                <c:pt idx="1">
                  <c:v>6.7724281322824265</c:v>
                </c:pt>
              </c:numCache>
            </c:numRef>
          </c:xVal>
          <c:yVal>
            <c:numRef>
              <c:f>'CS 2do sem datos'!$AZ$201:$AZ$202</c:f>
              <c:numCache>
                <c:formatCode>General</c:formatCode>
                <c:ptCount val="2"/>
                <c:pt idx="0">
                  <c:v>1.0153845508301493</c:v>
                </c:pt>
                <c:pt idx="1">
                  <c:v>1.0987026288314572</c:v>
                </c:pt>
              </c:numCache>
            </c:numRef>
          </c:yVal>
          <c:smooth val="1"/>
        </c:ser>
        <c:ser>
          <c:idx val="199"/>
          <c:order val="161"/>
          <c:tx>
            <c:v>Prot2may6am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datos'!$AY$203:$AY$204</c:f>
              <c:numCache>
                <c:formatCode>General</c:formatCode>
                <c:ptCount val="2"/>
                <c:pt idx="0">
                  <c:v>7.8336727666422483</c:v>
                </c:pt>
                <c:pt idx="1">
                  <c:v>7.3171793408454278</c:v>
                </c:pt>
              </c:numCache>
            </c:numRef>
          </c:xVal>
          <c:yVal>
            <c:numRef>
              <c:f>'CS 2do sem datos'!$AZ$203:$AZ$204</c:f>
              <c:numCache>
                <c:formatCode>General</c:formatCode>
                <c:ptCount val="2"/>
                <c:pt idx="0">
                  <c:v>2.2129946436748829</c:v>
                </c:pt>
                <c:pt idx="1">
                  <c:v>-5.491916703403818E-2</c:v>
                </c:pt>
              </c:numCache>
            </c:numRef>
          </c:yVal>
          <c:smooth val="1"/>
        </c:ser>
        <c:ser>
          <c:idx val="200"/>
          <c:order val="162"/>
          <c:tx>
            <c:v>Prot1may7am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datos'!$BA$201:$BA$202</c:f>
              <c:numCache>
                <c:formatCode>General</c:formatCode>
                <c:ptCount val="2"/>
                <c:pt idx="0">
                  <c:v>7.3171793408454278</c:v>
                </c:pt>
                <c:pt idx="1">
                  <c:v>5.5520641812898193</c:v>
                </c:pt>
              </c:numCache>
            </c:numRef>
          </c:xVal>
          <c:yVal>
            <c:numRef>
              <c:f>'CS 2do sem datos'!$BB$201:$BB$202</c:f>
              <c:numCache>
                <c:formatCode>General</c:formatCode>
                <c:ptCount val="2"/>
                <c:pt idx="0">
                  <c:v>-5.491916703403818E-2</c:v>
                </c:pt>
                <c:pt idx="1">
                  <c:v>0.25312143844983037</c:v>
                </c:pt>
              </c:numCache>
            </c:numRef>
          </c:yVal>
          <c:smooth val="1"/>
        </c:ser>
        <c:ser>
          <c:idx val="201"/>
          <c:order val="163"/>
          <c:tx>
            <c:v>Prot2may7am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datos'!$BA$203:$BA$204</c:f>
              <c:numCache>
                <c:formatCode>General</c:formatCode>
                <c:ptCount val="2"/>
                <c:pt idx="0">
                  <c:v>6.7724281322824265</c:v>
                </c:pt>
                <c:pt idx="1">
                  <c:v>5.9498753428282356</c:v>
                </c:pt>
              </c:numCache>
            </c:numRef>
          </c:xVal>
          <c:yVal>
            <c:numRef>
              <c:f>'CS 2do sem datos'!$BB$203:$BB$204</c:f>
              <c:numCache>
                <c:formatCode>General</c:formatCode>
                <c:ptCount val="2"/>
                <c:pt idx="0">
                  <c:v>1.0987026288314572</c:v>
                </c:pt>
                <c:pt idx="1">
                  <c:v>-0.85515633493597176</c:v>
                </c:pt>
              </c:numCache>
            </c:numRef>
          </c:yVal>
          <c:smooth val="1"/>
        </c:ser>
        <c:ser>
          <c:idx val="202"/>
          <c:order val="164"/>
          <c:tx>
            <c:v>Prot1may8am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datos'!$BC$201:$BC$202</c:f>
              <c:numCache>
                <c:formatCode>General</c:formatCode>
                <c:ptCount val="2"/>
                <c:pt idx="0">
                  <c:v>5.9498753428282356</c:v>
                </c:pt>
                <c:pt idx="1">
                  <c:v>4.2322633019278983</c:v>
                </c:pt>
              </c:numCache>
            </c:numRef>
          </c:xVal>
          <c:yVal>
            <c:numRef>
              <c:f>'CS 2do sem datos'!$BD$201:$BD$202</c:f>
              <c:numCache>
                <c:formatCode>General</c:formatCode>
                <c:ptCount val="2"/>
                <c:pt idx="0">
                  <c:v>-0.85515633493597176</c:v>
                </c:pt>
                <c:pt idx="1">
                  <c:v>-0.36616801105094604</c:v>
                </c:pt>
              </c:numCache>
            </c:numRef>
          </c:yVal>
          <c:smooth val="1"/>
        </c:ser>
        <c:ser>
          <c:idx val="203"/>
          <c:order val="165"/>
          <c:tx>
            <c:v>Prot2may8am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datos'!$BC$203:$BC$204</c:f>
              <c:numCache>
                <c:formatCode>General</c:formatCode>
                <c:ptCount val="2"/>
                <c:pt idx="0">
                  <c:v>5.5520641812898193</c:v>
                </c:pt>
                <c:pt idx="1">
                  <c:v>4.5105575419044515</c:v>
                </c:pt>
              </c:numCache>
            </c:numRef>
          </c:xVal>
          <c:yVal>
            <c:numRef>
              <c:f>'CS 2do sem datos'!$BD$203:$BD$204</c:f>
              <c:numCache>
                <c:formatCode>General</c:formatCode>
                <c:ptCount val="2"/>
                <c:pt idx="0">
                  <c:v>0.25312143844983037</c:v>
                </c:pt>
                <c:pt idx="1">
                  <c:v>-1.436087597671055</c:v>
                </c:pt>
              </c:numCache>
            </c:numRef>
          </c:yVal>
          <c:smooth val="1"/>
        </c:ser>
        <c:ser>
          <c:idx val="204"/>
          <c:order val="166"/>
          <c:tx>
            <c:v>Prot1may9am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datos'!$BE$201:$BE$202</c:f>
              <c:numCache>
                <c:formatCode>General</c:formatCode>
                <c:ptCount val="2"/>
                <c:pt idx="0">
                  <c:v>4.5105575419044515</c:v>
                </c:pt>
                <c:pt idx="1">
                  <c:v>2.8508896713723404</c:v>
                </c:pt>
              </c:numCache>
            </c:numRef>
          </c:xVal>
          <c:yVal>
            <c:numRef>
              <c:f>'CS 2do sem datos'!$BF$201:$BF$202</c:f>
              <c:numCache>
                <c:formatCode>General</c:formatCode>
                <c:ptCount val="2"/>
                <c:pt idx="0">
                  <c:v>-1.436087597671055</c:v>
                </c:pt>
                <c:pt idx="1">
                  <c:v>-0.78922270067773015</c:v>
                </c:pt>
              </c:numCache>
            </c:numRef>
          </c:yVal>
          <c:smooth val="1"/>
        </c:ser>
        <c:ser>
          <c:idx val="205"/>
          <c:order val="167"/>
          <c:tx>
            <c:v>Prot2may9am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datos'!$BE$203:$BE$204</c:f>
              <c:numCache>
                <c:formatCode>General</c:formatCode>
                <c:ptCount val="2"/>
                <c:pt idx="0">
                  <c:v>4.2322633019278983</c:v>
                </c:pt>
                <c:pt idx="1">
                  <c:v>3.027575645251392</c:v>
                </c:pt>
              </c:numCache>
            </c:numRef>
          </c:xVal>
          <c:yVal>
            <c:numRef>
              <c:f>'CS 2do sem datos'!$BF$203:$BF$204</c:f>
              <c:numCache>
                <c:formatCode>General</c:formatCode>
                <c:ptCount val="2"/>
                <c:pt idx="0">
                  <c:v>-0.36616801105094604</c:v>
                </c:pt>
                <c:pt idx="1">
                  <c:v>-1.8308990238685714</c:v>
                </c:pt>
              </c:numCache>
            </c:numRef>
          </c:yVal>
          <c:smooth val="1"/>
        </c:ser>
        <c:ser>
          <c:idx val="206"/>
          <c:order val="168"/>
          <c:tx>
            <c:v>Prot1may10am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datos'!$BG$201:$BG$202</c:f>
              <c:numCache>
                <c:formatCode>General</c:formatCode>
                <c:ptCount val="2"/>
                <c:pt idx="0">
                  <c:v>3.027575645251392</c:v>
                </c:pt>
                <c:pt idx="1">
                  <c:v>1.4336983739441382</c:v>
                </c:pt>
              </c:numCache>
            </c:numRef>
          </c:xVal>
          <c:yVal>
            <c:numRef>
              <c:f>'CS 2do sem datos'!$BH$201:$BH$202</c:f>
              <c:numCache>
                <c:formatCode>General</c:formatCode>
                <c:ptCount val="2"/>
                <c:pt idx="0">
                  <c:v>-1.8308990238685714</c:v>
                </c:pt>
                <c:pt idx="1">
                  <c:v>-1.0357074320385538</c:v>
                </c:pt>
              </c:numCache>
            </c:numRef>
          </c:yVal>
          <c:smooth val="1"/>
        </c:ser>
        <c:ser>
          <c:idx val="207"/>
          <c:order val="169"/>
          <c:tx>
            <c:v>Prot2may10am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datos'!$BG$203:$BG$204</c:f>
              <c:numCache>
                <c:formatCode>General</c:formatCode>
                <c:ptCount val="2"/>
                <c:pt idx="0">
                  <c:v>2.8508896713723404</c:v>
                </c:pt>
                <c:pt idx="1">
                  <c:v>1.5195236952779618</c:v>
                </c:pt>
              </c:numCache>
            </c:numRef>
          </c:xVal>
          <c:yVal>
            <c:numRef>
              <c:f>'CS 2do sem datos'!$BH$203:$BH$204</c:f>
              <c:numCache>
                <c:formatCode>General</c:formatCode>
                <c:ptCount val="2"/>
                <c:pt idx="0">
                  <c:v>-0.78922270067773015</c:v>
                </c:pt>
                <c:pt idx="1">
                  <c:v>-2.0602774257475551</c:v>
                </c:pt>
              </c:numCache>
            </c:numRef>
          </c:yVal>
          <c:smooth val="1"/>
        </c:ser>
        <c:ser>
          <c:idx val="208"/>
          <c:order val="170"/>
          <c:tx>
            <c:v>Prot1may11am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datos'!$BI$201:$BI$202</c:f>
              <c:numCache>
                <c:formatCode>General</c:formatCode>
                <c:ptCount val="2"/>
                <c:pt idx="0">
                  <c:v>1.5195236952779618</c:v>
                </c:pt>
                <c:pt idx="1">
                  <c:v>6.8405012524425953E-17</c:v>
                </c:pt>
              </c:numCache>
            </c:numRef>
          </c:xVal>
          <c:yVal>
            <c:numRef>
              <c:f>'CS 2do sem datos'!$BJ$201:$BJ$202</c:f>
              <c:numCache>
                <c:formatCode>General</c:formatCode>
                <c:ptCount val="2"/>
                <c:pt idx="0">
                  <c:v>-2.0602774257475551</c:v>
                </c:pt>
                <c:pt idx="1">
                  <c:v>-1.1166812030061788</c:v>
                </c:pt>
              </c:numCache>
            </c:numRef>
          </c:yVal>
          <c:smooth val="1"/>
        </c:ser>
        <c:ser>
          <c:idx val="209"/>
          <c:order val="171"/>
          <c:tx>
            <c:v>Prot2may11am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datos'!$BI$203:$BI$204</c:f>
              <c:numCache>
                <c:formatCode>General</c:formatCode>
                <c:ptCount val="2"/>
                <c:pt idx="0">
                  <c:v>1.4336983739441382</c:v>
                </c:pt>
                <c:pt idx="1">
                  <c:v>1.3081749948580787E-16</c:v>
                </c:pt>
              </c:numCache>
            </c:numRef>
          </c:xVal>
          <c:yVal>
            <c:numRef>
              <c:f>'CS 2do sem datos'!$BJ$203:$BJ$204</c:f>
              <c:numCache>
                <c:formatCode>General</c:formatCode>
                <c:ptCount val="2"/>
                <c:pt idx="0">
                  <c:v>-1.0357074320385538</c:v>
                </c:pt>
                <c:pt idx="1">
                  <c:v>-2.1355371091834767</c:v>
                </c:pt>
              </c:numCache>
            </c:numRef>
          </c:yVal>
          <c:smooth val="1"/>
        </c:ser>
        <c:ser>
          <c:idx val="210"/>
          <c:order val="172"/>
          <c:tx>
            <c:v>Prot1may12pm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datos'!$BK$201:$BK$202</c:f>
              <c:numCache>
                <c:formatCode>General</c:formatCode>
                <c:ptCount val="2"/>
                <c:pt idx="0">
                  <c:v>1.3081749948580787E-16</c:v>
                </c:pt>
                <c:pt idx="1">
                  <c:v>-1.4336983739441382</c:v>
                </c:pt>
              </c:numCache>
            </c:numRef>
          </c:xVal>
          <c:yVal>
            <c:numRef>
              <c:f>'CS 2do sem datos'!$BL$201:$BL$202</c:f>
              <c:numCache>
                <c:formatCode>General</c:formatCode>
                <c:ptCount val="2"/>
                <c:pt idx="0">
                  <c:v>-2.1355371091834767</c:v>
                </c:pt>
                <c:pt idx="1">
                  <c:v>-1.035707432038554</c:v>
                </c:pt>
              </c:numCache>
            </c:numRef>
          </c:yVal>
          <c:smooth val="1"/>
        </c:ser>
        <c:ser>
          <c:idx val="211"/>
          <c:order val="173"/>
          <c:tx>
            <c:v>Prot2may12pm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datos'!$BK$203:$BK$204</c:f>
              <c:numCache>
                <c:formatCode>General</c:formatCode>
                <c:ptCount val="2"/>
                <c:pt idx="0">
                  <c:v>6.8405012524425953E-17</c:v>
                </c:pt>
                <c:pt idx="1">
                  <c:v>-1.5195236952779616</c:v>
                </c:pt>
              </c:numCache>
            </c:numRef>
          </c:xVal>
          <c:yVal>
            <c:numRef>
              <c:f>'CS 2do sem datos'!$BL$203:$BL$204</c:f>
              <c:numCache>
                <c:formatCode>General</c:formatCode>
                <c:ptCount val="2"/>
                <c:pt idx="0">
                  <c:v>-1.1166812030061788</c:v>
                </c:pt>
                <c:pt idx="1">
                  <c:v>-2.0602774257475556</c:v>
                </c:pt>
              </c:numCache>
            </c:numRef>
          </c:yVal>
          <c:smooth val="1"/>
        </c:ser>
        <c:ser>
          <c:idx val="212"/>
          <c:order val="174"/>
          <c:tx>
            <c:v>Prot1may1pm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datos'!$BM$201:$BM$202</c:f>
              <c:numCache>
                <c:formatCode>General</c:formatCode>
                <c:ptCount val="2"/>
                <c:pt idx="0">
                  <c:v>-1.5195236952779616</c:v>
                </c:pt>
                <c:pt idx="1">
                  <c:v>-2.8508896713723404</c:v>
                </c:pt>
              </c:numCache>
            </c:numRef>
          </c:xVal>
          <c:yVal>
            <c:numRef>
              <c:f>'CS 2do sem datos'!$BN$201:$BN$202</c:f>
              <c:numCache>
                <c:formatCode>General</c:formatCode>
                <c:ptCount val="2"/>
                <c:pt idx="0">
                  <c:v>-2.0602774257475556</c:v>
                </c:pt>
                <c:pt idx="1">
                  <c:v>-0.78922270067773104</c:v>
                </c:pt>
              </c:numCache>
            </c:numRef>
          </c:yVal>
          <c:smooth val="1"/>
        </c:ser>
        <c:ser>
          <c:idx val="213"/>
          <c:order val="175"/>
          <c:tx>
            <c:v>Prot2may1pm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datos'!$BM$203:$BM$204</c:f>
              <c:numCache>
                <c:formatCode>General</c:formatCode>
                <c:ptCount val="2"/>
                <c:pt idx="0">
                  <c:v>-1.4336983739441382</c:v>
                </c:pt>
                <c:pt idx="1">
                  <c:v>-3.0275756452513929</c:v>
                </c:pt>
              </c:numCache>
            </c:numRef>
          </c:xVal>
          <c:yVal>
            <c:numRef>
              <c:f>'CS 2do sem datos'!$BN$203:$BN$204</c:f>
              <c:numCache>
                <c:formatCode>General</c:formatCode>
                <c:ptCount val="2"/>
                <c:pt idx="0">
                  <c:v>-1.035707432038554</c:v>
                </c:pt>
                <c:pt idx="1">
                  <c:v>-1.8308990238685712</c:v>
                </c:pt>
              </c:numCache>
            </c:numRef>
          </c:yVal>
          <c:smooth val="1"/>
        </c:ser>
        <c:ser>
          <c:idx val="214"/>
          <c:order val="176"/>
          <c:tx>
            <c:v>Prot1may2pm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datos'!$BO$201:$BO$202</c:f>
              <c:numCache>
                <c:formatCode>General</c:formatCode>
                <c:ptCount val="2"/>
                <c:pt idx="0">
                  <c:v>-3.0275756452513929</c:v>
                </c:pt>
                <c:pt idx="1">
                  <c:v>-4.2322633019278983</c:v>
                </c:pt>
              </c:numCache>
            </c:numRef>
          </c:xVal>
          <c:yVal>
            <c:numRef>
              <c:f>'CS 2do sem datos'!$BP$201:$BP$202</c:f>
              <c:numCache>
                <c:formatCode>General</c:formatCode>
                <c:ptCount val="2"/>
                <c:pt idx="0">
                  <c:v>-1.8308990238685712</c:v>
                </c:pt>
                <c:pt idx="1">
                  <c:v>-0.36616801105094748</c:v>
                </c:pt>
              </c:numCache>
            </c:numRef>
          </c:yVal>
          <c:smooth val="1"/>
        </c:ser>
        <c:ser>
          <c:idx val="215"/>
          <c:order val="177"/>
          <c:tx>
            <c:v>Prot2may2pm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datos'!$BO$203:$BO$204</c:f>
              <c:numCache>
                <c:formatCode>General</c:formatCode>
                <c:ptCount val="2"/>
                <c:pt idx="0">
                  <c:v>-2.8508896713723404</c:v>
                </c:pt>
                <c:pt idx="1">
                  <c:v>-4.5105575419044515</c:v>
                </c:pt>
              </c:numCache>
            </c:numRef>
          </c:xVal>
          <c:yVal>
            <c:numRef>
              <c:f>'CS 2do sem datos'!$BP$203:$BP$204</c:f>
              <c:numCache>
                <c:formatCode>General</c:formatCode>
                <c:ptCount val="2"/>
                <c:pt idx="0">
                  <c:v>-0.78922270067773104</c:v>
                </c:pt>
                <c:pt idx="1">
                  <c:v>-1.4360875976710543</c:v>
                </c:pt>
              </c:numCache>
            </c:numRef>
          </c:yVal>
          <c:smooth val="1"/>
        </c:ser>
        <c:ser>
          <c:idx val="216"/>
          <c:order val="178"/>
          <c:tx>
            <c:v>Prot1may3pm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datos'!$BQ$201:$BQ$202</c:f>
              <c:numCache>
                <c:formatCode>General</c:formatCode>
                <c:ptCount val="2"/>
                <c:pt idx="0">
                  <c:v>-4.5105575419044515</c:v>
                </c:pt>
                <c:pt idx="1">
                  <c:v>-5.5520641812898193</c:v>
                </c:pt>
              </c:numCache>
            </c:numRef>
          </c:xVal>
          <c:yVal>
            <c:numRef>
              <c:f>'CS 2do sem datos'!$BR$201:$BR$202</c:f>
              <c:numCache>
                <c:formatCode>General</c:formatCode>
                <c:ptCount val="2"/>
                <c:pt idx="0">
                  <c:v>-1.4360875976710543</c:v>
                </c:pt>
                <c:pt idx="1">
                  <c:v>0.25312143844983048</c:v>
                </c:pt>
              </c:numCache>
            </c:numRef>
          </c:yVal>
          <c:smooth val="1"/>
        </c:ser>
        <c:ser>
          <c:idx val="217"/>
          <c:order val="179"/>
          <c:tx>
            <c:v>Prot2may3pm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datos'!$BQ$203:$BQ$204</c:f>
              <c:numCache>
                <c:formatCode>General</c:formatCode>
                <c:ptCount val="2"/>
                <c:pt idx="0">
                  <c:v>-4.2322633019278983</c:v>
                </c:pt>
                <c:pt idx="1">
                  <c:v>-5.9498753428282356</c:v>
                </c:pt>
              </c:numCache>
            </c:numRef>
          </c:xVal>
          <c:yVal>
            <c:numRef>
              <c:f>'CS 2do sem datos'!$BR$203:$BR$204</c:f>
              <c:numCache>
                <c:formatCode>General</c:formatCode>
                <c:ptCount val="2"/>
                <c:pt idx="0">
                  <c:v>-0.36616801105094748</c:v>
                </c:pt>
                <c:pt idx="1">
                  <c:v>-0.85515633493597099</c:v>
                </c:pt>
              </c:numCache>
            </c:numRef>
          </c:yVal>
          <c:smooth val="1"/>
        </c:ser>
        <c:ser>
          <c:idx val="218"/>
          <c:order val="180"/>
          <c:tx>
            <c:v>Prot1may4pm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datos'!$BS$201:$BS$202</c:f>
              <c:numCache>
                <c:formatCode>General</c:formatCode>
                <c:ptCount val="2"/>
                <c:pt idx="0">
                  <c:v>-5.9498753428282356</c:v>
                </c:pt>
                <c:pt idx="1">
                  <c:v>-6.7724281322824265</c:v>
                </c:pt>
              </c:numCache>
            </c:numRef>
          </c:xVal>
          <c:yVal>
            <c:numRef>
              <c:f>'CS 2do sem datos'!$BT$201:$BT$202</c:f>
              <c:numCache>
                <c:formatCode>General</c:formatCode>
                <c:ptCount val="2"/>
                <c:pt idx="0">
                  <c:v>-0.85515633493597099</c:v>
                </c:pt>
                <c:pt idx="1">
                  <c:v>1.0987026288314568</c:v>
                </c:pt>
              </c:numCache>
            </c:numRef>
          </c:yVal>
          <c:smooth val="1"/>
        </c:ser>
        <c:ser>
          <c:idx val="219"/>
          <c:order val="181"/>
          <c:tx>
            <c:v>Prot2may4pm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datos'!$BS$203:$BS$204</c:f>
              <c:numCache>
                <c:formatCode>General</c:formatCode>
                <c:ptCount val="2"/>
                <c:pt idx="0">
                  <c:v>-5.5520641812898193</c:v>
                </c:pt>
                <c:pt idx="1">
                  <c:v>-7.3171793408454278</c:v>
                </c:pt>
              </c:numCache>
            </c:numRef>
          </c:xVal>
          <c:yVal>
            <c:numRef>
              <c:f>'CS 2do sem datos'!$BT$203:$BT$204</c:f>
              <c:numCache>
                <c:formatCode>General</c:formatCode>
                <c:ptCount val="2"/>
                <c:pt idx="0">
                  <c:v>0.25312143844983048</c:v>
                </c:pt>
                <c:pt idx="1">
                  <c:v>-5.4919167034038395E-2</c:v>
                </c:pt>
              </c:numCache>
            </c:numRef>
          </c:yVal>
          <c:smooth val="1"/>
        </c:ser>
        <c:ser>
          <c:idx val="220"/>
          <c:order val="182"/>
          <c:tx>
            <c:v>Prot1may5pm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datos'!$BU$201:$BU$202</c:f>
              <c:numCache>
                <c:formatCode>General</c:formatCode>
                <c:ptCount val="2"/>
                <c:pt idx="0">
                  <c:v>-7.3171793408454278</c:v>
                </c:pt>
                <c:pt idx="1">
                  <c:v>-7.8336727666422483</c:v>
                </c:pt>
              </c:numCache>
            </c:numRef>
          </c:xVal>
          <c:yVal>
            <c:numRef>
              <c:f>'CS 2do sem datos'!$BV$201:$BV$202</c:f>
              <c:numCache>
                <c:formatCode>General</c:formatCode>
                <c:ptCount val="2"/>
                <c:pt idx="0">
                  <c:v>-5.4919167034038395E-2</c:v>
                </c:pt>
                <c:pt idx="1">
                  <c:v>2.2129946436748833</c:v>
                </c:pt>
              </c:numCache>
            </c:numRef>
          </c:yVal>
          <c:smooth val="1"/>
        </c:ser>
        <c:ser>
          <c:idx val="221"/>
          <c:order val="183"/>
          <c:tx>
            <c:v>Prot2may5pm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datos'!$BU$203:$BU$204</c:f>
              <c:numCache>
                <c:formatCode>General</c:formatCode>
                <c:ptCount val="2"/>
                <c:pt idx="0">
                  <c:v>-6.7724281322824265</c:v>
                </c:pt>
                <c:pt idx="1">
                  <c:v>-8.5654551879976513</c:v>
                </c:pt>
              </c:numCache>
            </c:numRef>
          </c:xVal>
          <c:yVal>
            <c:numRef>
              <c:f>'CS 2do sem datos'!$BV$203:$BV$204</c:f>
              <c:numCache>
                <c:formatCode>General</c:formatCode>
                <c:ptCount val="2"/>
                <c:pt idx="0">
                  <c:v>1.0987026288314568</c:v>
                </c:pt>
                <c:pt idx="1">
                  <c:v>1.0153845508301516</c:v>
                </c:pt>
              </c:numCache>
            </c:numRef>
          </c:yVal>
          <c:smooth val="1"/>
        </c:ser>
        <c:ser>
          <c:idx val="222"/>
          <c:order val="184"/>
          <c:tx>
            <c:v>Prot1jun6am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datos'!$AY$206:$AY$207</c:f>
              <c:numCache>
                <c:formatCode>General</c:formatCode>
                <c:ptCount val="2"/>
                <c:pt idx="0">
                  <c:v>7.8336727666422483</c:v>
                </c:pt>
                <c:pt idx="1">
                  <c:v>6.4413948054342534</c:v>
                </c:pt>
              </c:numCache>
            </c:numRef>
          </c:xVal>
          <c:yVal>
            <c:numRef>
              <c:f>'CS 2do sem datos'!$AZ$206:$AZ$207</c:f>
              <c:numCache>
                <c:formatCode>General</c:formatCode>
                <c:ptCount val="2"/>
                <c:pt idx="0">
                  <c:v>2.2129946436748829</c:v>
                </c:pt>
                <c:pt idx="1">
                  <c:v>1.6494388712165591</c:v>
                </c:pt>
              </c:numCache>
            </c:numRef>
          </c:yVal>
          <c:smooth val="1"/>
        </c:ser>
        <c:ser>
          <c:idx val="223"/>
          <c:order val="185"/>
          <c:tx>
            <c:v>Prot2jun6am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datos'!$AY$208:$AY$209</c:f>
              <c:numCache>
                <c:formatCode>General</c:formatCode>
                <c:ptCount val="2"/>
                <c:pt idx="0">
                  <c:v>7.4013126754456309</c:v>
                </c:pt>
                <c:pt idx="1">
                  <c:v>6.7724281322824265</c:v>
                </c:pt>
              </c:numCache>
            </c:numRef>
          </c:xVal>
          <c:yVal>
            <c:numRef>
              <c:f>'CS 2do sem datos'!$AZ$208:$AZ$209</c:f>
              <c:numCache>
                <c:formatCode>General</c:formatCode>
                <c:ptCount val="2"/>
                <c:pt idx="0">
                  <c:v>2.7617048843911882</c:v>
                </c:pt>
                <c:pt idx="1">
                  <c:v>1.0987026288314572</c:v>
                </c:pt>
              </c:numCache>
            </c:numRef>
          </c:yVal>
          <c:smooth val="1"/>
        </c:ser>
        <c:ser>
          <c:idx val="224"/>
          <c:order val="186"/>
          <c:tx>
            <c:v>Prot1jun7am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datos'!$BA$206:$BA$207</c:f>
              <c:numCache>
                <c:formatCode>General</c:formatCode>
                <c:ptCount val="2"/>
                <c:pt idx="0">
                  <c:v>6.7724281322824265</c:v>
                </c:pt>
                <c:pt idx="1">
                  <c:v>5.3054101678542844</c:v>
                </c:pt>
              </c:numCache>
            </c:numRef>
          </c:xVal>
          <c:yVal>
            <c:numRef>
              <c:f>'CS 2do sem datos'!$BB$206:$BB$207</c:f>
              <c:numCache>
                <c:formatCode>General</c:formatCode>
                <c:ptCount val="2"/>
                <c:pt idx="0">
                  <c:v>1.0987026288314572</c:v>
                </c:pt>
                <c:pt idx="1">
                  <c:v>0.79714818307256574</c:v>
                </c:pt>
              </c:numCache>
            </c:numRef>
          </c:yVal>
          <c:smooth val="1"/>
        </c:ser>
        <c:ser>
          <c:idx val="225"/>
          <c:order val="187"/>
          <c:tx>
            <c:v>Prot2jun7am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datos'!$BA$208:$BA$209</c:f>
              <c:numCache>
                <c:formatCode>General</c:formatCode>
                <c:ptCount val="2"/>
                <c:pt idx="0">
                  <c:v>6.4413948054342534</c:v>
                </c:pt>
                <c:pt idx="1">
                  <c:v>5.5520641812898193</c:v>
                </c:pt>
              </c:numCache>
            </c:numRef>
          </c:xVal>
          <c:yVal>
            <c:numRef>
              <c:f>'CS 2do sem datos'!$BB$208:$BB$209</c:f>
              <c:numCache>
                <c:formatCode>General</c:formatCode>
                <c:ptCount val="2"/>
                <c:pt idx="0">
                  <c:v>1.6494388712165591</c:v>
                </c:pt>
                <c:pt idx="1">
                  <c:v>0.25312143844983037</c:v>
                </c:pt>
              </c:numCache>
            </c:numRef>
          </c:yVal>
          <c:smooth val="1"/>
        </c:ser>
        <c:ser>
          <c:idx val="226"/>
          <c:order val="188"/>
          <c:tx>
            <c:v>Prot1jun8am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datos'!$BC$206:$BC$207</c:f>
              <c:numCache>
                <c:formatCode>General</c:formatCode>
                <c:ptCount val="2"/>
                <c:pt idx="0">
                  <c:v>5.5520641812898193</c:v>
                </c:pt>
                <c:pt idx="1">
                  <c:v>4.0572556384225589</c:v>
                </c:pt>
              </c:numCache>
            </c:numRef>
          </c:xVal>
          <c:yVal>
            <c:numRef>
              <c:f>'CS 2do sem datos'!$BD$206:$BD$207</c:f>
              <c:numCache>
                <c:formatCode>General</c:formatCode>
                <c:ptCount val="2"/>
                <c:pt idx="0">
                  <c:v>0.25312143844983037</c:v>
                </c:pt>
                <c:pt idx="1">
                  <c:v>0.16904678632304351</c:v>
                </c:pt>
              </c:numCache>
            </c:numRef>
          </c:yVal>
          <c:smooth val="1"/>
        </c:ser>
        <c:ser>
          <c:idx val="227"/>
          <c:order val="189"/>
          <c:tx>
            <c:v>Prot2jun8am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datos'!$BC$208:$BC$209</c:f>
              <c:numCache>
                <c:formatCode>General</c:formatCode>
                <c:ptCount val="2"/>
                <c:pt idx="0">
                  <c:v>5.3054101678542844</c:v>
                </c:pt>
                <c:pt idx="1">
                  <c:v>4.2322633019278983</c:v>
                </c:pt>
              </c:numCache>
            </c:numRef>
          </c:xVal>
          <c:yVal>
            <c:numRef>
              <c:f>'CS 2do sem datos'!$BD$208:$BD$209</c:f>
              <c:numCache>
                <c:formatCode>General</c:formatCode>
                <c:ptCount val="2"/>
                <c:pt idx="0">
                  <c:v>0.79714818307256574</c:v>
                </c:pt>
                <c:pt idx="1">
                  <c:v>-0.36616801105094604</c:v>
                </c:pt>
              </c:numCache>
            </c:numRef>
          </c:yVal>
          <c:smooth val="1"/>
        </c:ser>
        <c:ser>
          <c:idx val="228"/>
          <c:order val="190"/>
          <c:tx>
            <c:v>Prot1jun9am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datos'!$BE$206:$BE$207</c:f>
              <c:numCache>
                <c:formatCode>General</c:formatCode>
                <c:ptCount val="2"/>
                <c:pt idx="0">
                  <c:v>4.2322633019278983</c:v>
                </c:pt>
                <c:pt idx="1">
                  <c:v>2.7387301330387381</c:v>
                </c:pt>
              </c:numCache>
            </c:numRef>
          </c:xVal>
          <c:yVal>
            <c:numRef>
              <c:f>'CS 2do sem datos'!$BF$206:$BF$207</c:f>
              <c:numCache>
                <c:formatCode>General</c:formatCode>
                <c:ptCount val="2"/>
                <c:pt idx="0">
                  <c:v>-0.36616801105094604</c:v>
                </c:pt>
                <c:pt idx="1">
                  <c:v>-0.26169911037129195</c:v>
                </c:pt>
              </c:numCache>
            </c:numRef>
          </c:yVal>
          <c:smooth val="1"/>
        </c:ser>
        <c:ser>
          <c:idx val="229"/>
          <c:order val="191"/>
          <c:tx>
            <c:v>Prot2jun9am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datos'!$BE$208:$BE$209</c:f>
              <c:numCache>
                <c:formatCode>General</c:formatCode>
                <c:ptCount val="2"/>
                <c:pt idx="0">
                  <c:v>4.0572556384225589</c:v>
                </c:pt>
                <c:pt idx="1">
                  <c:v>2.8508896713723404</c:v>
                </c:pt>
              </c:numCache>
            </c:numRef>
          </c:xVal>
          <c:yVal>
            <c:numRef>
              <c:f>'CS 2do sem datos'!$BF$208:$BF$209</c:f>
              <c:numCache>
                <c:formatCode>General</c:formatCode>
                <c:ptCount val="2"/>
                <c:pt idx="0">
                  <c:v>0.16904678632304351</c:v>
                </c:pt>
                <c:pt idx="1">
                  <c:v>-0.78922270067773015</c:v>
                </c:pt>
              </c:numCache>
            </c:numRef>
          </c:yVal>
          <c:smooth val="1"/>
        </c:ser>
        <c:ser>
          <c:idx val="230"/>
          <c:order val="192"/>
          <c:tx>
            <c:v>Prot1jun10am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datos'!$BG$206:$BG$207</c:f>
              <c:numCache>
                <c:formatCode>General</c:formatCode>
                <c:ptCount val="2"/>
                <c:pt idx="0">
                  <c:v>2.8508896713723404</c:v>
                </c:pt>
                <c:pt idx="1">
                  <c:v>1.3789227287883621</c:v>
                </c:pt>
              </c:numCache>
            </c:numRef>
          </c:xVal>
          <c:yVal>
            <c:numRef>
              <c:f>'CS 2do sem datos'!$BH$206:$BH$207</c:f>
              <c:numCache>
                <c:formatCode>General</c:formatCode>
                <c:ptCount val="2"/>
                <c:pt idx="0">
                  <c:v>-0.78922270067773015</c:v>
                </c:pt>
                <c:pt idx="1">
                  <c:v>-0.51323313882258703</c:v>
                </c:pt>
              </c:numCache>
            </c:numRef>
          </c:yVal>
          <c:smooth val="1"/>
        </c:ser>
        <c:ser>
          <c:idx val="231"/>
          <c:order val="193"/>
          <c:tx>
            <c:v>Prot2jun10am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datos'!$BG$208:$BG$209</c:f>
              <c:numCache>
                <c:formatCode>General</c:formatCode>
                <c:ptCount val="2"/>
                <c:pt idx="0">
                  <c:v>2.7387301330387381</c:v>
                </c:pt>
                <c:pt idx="1">
                  <c:v>1.4336983739441382</c:v>
                </c:pt>
              </c:numCache>
            </c:numRef>
          </c:xVal>
          <c:yVal>
            <c:numRef>
              <c:f>'CS 2do sem datos'!$BH$208:$BH$209</c:f>
              <c:numCache>
                <c:formatCode>General</c:formatCode>
                <c:ptCount val="2"/>
                <c:pt idx="0">
                  <c:v>-0.26169911037129195</c:v>
                </c:pt>
                <c:pt idx="1">
                  <c:v>-1.0357074320385538</c:v>
                </c:pt>
              </c:numCache>
            </c:numRef>
          </c:yVal>
          <c:smooth val="1"/>
        </c:ser>
        <c:ser>
          <c:idx val="232"/>
          <c:order val="194"/>
          <c:tx>
            <c:v>Prot1jun11am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datos'!$BI$206:$BI$207</c:f>
              <c:numCache>
                <c:formatCode>General</c:formatCode>
                <c:ptCount val="2"/>
                <c:pt idx="0">
                  <c:v>1.4336983739441382</c:v>
                </c:pt>
                <c:pt idx="1">
                  <c:v>3.6506458382437044E-17</c:v>
                </c:pt>
              </c:numCache>
            </c:numRef>
          </c:xVal>
          <c:yVal>
            <c:numRef>
              <c:f>'CS 2do sem datos'!$BJ$206:$BJ$207</c:f>
              <c:numCache>
                <c:formatCode>General</c:formatCode>
                <c:ptCount val="2"/>
                <c:pt idx="0">
                  <c:v>-1.0357074320385538</c:v>
                </c:pt>
                <c:pt idx="1">
                  <c:v>-0.59595158833481854</c:v>
                </c:pt>
              </c:numCache>
            </c:numRef>
          </c:yVal>
          <c:smooth val="1"/>
        </c:ser>
        <c:ser>
          <c:idx val="233"/>
          <c:order val="195"/>
          <c:tx>
            <c:v>Prot2jun11am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datos'!$BI$208:$BI$209</c:f>
              <c:numCache>
                <c:formatCode>General</c:formatCode>
                <c:ptCount val="2"/>
                <c:pt idx="0">
                  <c:v>1.3789227287883621</c:v>
                </c:pt>
                <c:pt idx="1">
                  <c:v>6.8405012524425953E-17</c:v>
                </c:pt>
              </c:numCache>
            </c:numRef>
          </c:xVal>
          <c:yVal>
            <c:numRef>
              <c:f>'CS 2do sem datos'!$BJ$208:$BJ$209</c:f>
              <c:numCache>
                <c:formatCode>General</c:formatCode>
                <c:ptCount val="2"/>
                <c:pt idx="0">
                  <c:v>-0.51323313882258703</c:v>
                </c:pt>
                <c:pt idx="1">
                  <c:v>-1.1166812030061788</c:v>
                </c:pt>
              </c:numCache>
            </c:numRef>
          </c:yVal>
          <c:smooth val="1"/>
        </c:ser>
        <c:ser>
          <c:idx val="234"/>
          <c:order val="196"/>
          <c:tx>
            <c:v>Prot1jun12pm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datos'!$BK$206:$BK$207</c:f>
              <c:numCache>
                <c:formatCode>General</c:formatCode>
                <c:ptCount val="2"/>
                <c:pt idx="0">
                  <c:v>6.8405012524425953E-17</c:v>
                </c:pt>
                <c:pt idx="1">
                  <c:v>-1.3789227287883621</c:v>
                </c:pt>
              </c:numCache>
            </c:numRef>
          </c:xVal>
          <c:yVal>
            <c:numRef>
              <c:f>'CS 2do sem datos'!$BL$206:$BL$207</c:f>
              <c:numCache>
                <c:formatCode>General</c:formatCode>
                <c:ptCount val="2"/>
                <c:pt idx="0">
                  <c:v>-1.1166812030061788</c:v>
                </c:pt>
                <c:pt idx="1">
                  <c:v>-0.51323313882258681</c:v>
                </c:pt>
              </c:numCache>
            </c:numRef>
          </c:yVal>
          <c:smooth val="1"/>
        </c:ser>
        <c:ser>
          <c:idx val="235"/>
          <c:order val="197"/>
          <c:tx>
            <c:v>Prot2jun12pm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datos'!$BK$208:$BK$209</c:f>
              <c:numCache>
                <c:formatCode>General</c:formatCode>
                <c:ptCount val="2"/>
                <c:pt idx="0">
                  <c:v>3.6506458382437044E-17</c:v>
                </c:pt>
                <c:pt idx="1">
                  <c:v>-1.4336983739441382</c:v>
                </c:pt>
              </c:numCache>
            </c:numRef>
          </c:xVal>
          <c:yVal>
            <c:numRef>
              <c:f>'CS 2do sem datos'!$BL$208:$BL$209</c:f>
              <c:numCache>
                <c:formatCode>General</c:formatCode>
                <c:ptCount val="2"/>
                <c:pt idx="0">
                  <c:v>-0.59595158833481854</c:v>
                </c:pt>
                <c:pt idx="1">
                  <c:v>-1.035707432038554</c:v>
                </c:pt>
              </c:numCache>
            </c:numRef>
          </c:yVal>
          <c:smooth val="1"/>
        </c:ser>
        <c:ser>
          <c:idx val="236"/>
          <c:order val="198"/>
          <c:tx>
            <c:v>Prot1jun1pm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datos'!$BM$206:$BM$207</c:f>
              <c:numCache>
                <c:formatCode>General</c:formatCode>
                <c:ptCount val="2"/>
                <c:pt idx="0">
                  <c:v>-1.4336983739441382</c:v>
                </c:pt>
                <c:pt idx="1">
                  <c:v>-2.7387301330387381</c:v>
                </c:pt>
              </c:numCache>
            </c:numRef>
          </c:xVal>
          <c:yVal>
            <c:numRef>
              <c:f>'CS 2do sem datos'!$BN$206:$BN$207</c:f>
              <c:numCache>
                <c:formatCode>General</c:formatCode>
                <c:ptCount val="2"/>
                <c:pt idx="0">
                  <c:v>-1.035707432038554</c:v>
                </c:pt>
                <c:pt idx="1">
                  <c:v>-0.26169911037129179</c:v>
                </c:pt>
              </c:numCache>
            </c:numRef>
          </c:yVal>
          <c:smooth val="1"/>
        </c:ser>
        <c:ser>
          <c:idx val="237"/>
          <c:order val="199"/>
          <c:tx>
            <c:v>Prot2jun1pm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datos'!$BM$208:$BM$209</c:f>
              <c:numCache>
                <c:formatCode>General</c:formatCode>
                <c:ptCount val="2"/>
                <c:pt idx="0">
                  <c:v>-1.3789227287883621</c:v>
                </c:pt>
                <c:pt idx="1">
                  <c:v>-2.8508896713723404</c:v>
                </c:pt>
              </c:numCache>
            </c:numRef>
          </c:xVal>
          <c:yVal>
            <c:numRef>
              <c:f>'CS 2do sem datos'!$BN$208:$BN$209</c:f>
              <c:numCache>
                <c:formatCode>General</c:formatCode>
                <c:ptCount val="2"/>
                <c:pt idx="0">
                  <c:v>-0.51323313882258681</c:v>
                </c:pt>
                <c:pt idx="1">
                  <c:v>-0.78922270067773104</c:v>
                </c:pt>
              </c:numCache>
            </c:numRef>
          </c:yVal>
          <c:smooth val="1"/>
        </c:ser>
        <c:ser>
          <c:idx val="238"/>
          <c:order val="200"/>
          <c:tx>
            <c:v>Prot1jun2pm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datos'!$BO$206:$BO$207</c:f>
              <c:numCache>
                <c:formatCode>General</c:formatCode>
                <c:ptCount val="2"/>
                <c:pt idx="0">
                  <c:v>-2.8508896713723404</c:v>
                </c:pt>
                <c:pt idx="1">
                  <c:v>-4.0572556384225589</c:v>
                </c:pt>
              </c:numCache>
            </c:numRef>
          </c:xVal>
          <c:yVal>
            <c:numRef>
              <c:f>'CS 2do sem datos'!$BP$206:$BP$207</c:f>
              <c:numCache>
                <c:formatCode>General</c:formatCode>
                <c:ptCount val="2"/>
                <c:pt idx="0">
                  <c:v>-0.78922270067773104</c:v>
                </c:pt>
                <c:pt idx="1">
                  <c:v>0.16904678632304337</c:v>
                </c:pt>
              </c:numCache>
            </c:numRef>
          </c:yVal>
          <c:smooth val="1"/>
        </c:ser>
        <c:ser>
          <c:idx val="239"/>
          <c:order val="201"/>
          <c:tx>
            <c:v>Prot2jun2pm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datos'!$BO$208:$BO$209</c:f>
              <c:numCache>
                <c:formatCode>General</c:formatCode>
                <c:ptCount val="2"/>
                <c:pt idx="0">
                  <c:v>-2.7387301330387381</c:v>
                </c:pt>
                <c:pt idx="1">
                  <c:v>-4.2322633019278983</c:v>
                </c:pt>
              </c:numCache>
            </c:numRef>
          </c:xVal>
          <c:yVal>
            <c:numRef>
              <c:f>'CS 2do sem datos'!$BP$208:$BP$209</c:f>
              <c:numCache>
                <c:formatCode>General</c:formatCode>
                <c:ptCount val="2"/>
                <c:pt idx="0">
                  <c:v>-0.26169911037129179</c:v>
                </c:pt>
                <c:pt idx="1">
                  <c:v>-0.36616801105094748</c:v>
                </c:pt>
              </c:numCache>
            </c:numRef>
          </c:yVal>
          <c:smooth val="1"/>
        </c:ser>
        <c:ser>
          <c:idx val="240"/>
          <c:order val="202"/>
          <c:tx>
            <c:v>Prot1jun3pm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datos'!$BQ$206:$BQ$207</c:f>
              <c:numCache>
                <c:formatCode>General</c:formatCode>
                <c:ptCount val="2"/>
                <c:pt idx="0">
                  <c:v>-4.2322633019278983</c:v>
                </c:pt>
                <c:pt idx="1">
                  <c:v>-5.3054101678542844</c:v>
                </c:pt>
              </c:numCache>
            </c:numRef>
          </c:xVal>
          <c:yVal>
            <c:numRef>
              <c:f>'CS 2do sem datos'!$BR$206:$BR$207</c:f>
              <c:numCache>
                <c:formatCode>General</c:formatCode>
                <c:ptCount val="2"/>
                <c:pt idx="0">
                  <c:v>-0.36616801105094748</c:v>
                </c:pt>
                <c:pt idx="1">
                  <c:v>0.79714818307256685</c:v>
                </c:pt>
              </c:numCache>
            </c:numRef>
          </c:yVal>
          <c:smooth val="1"/>
        </c:ser>
        <c:ser>
          <c:idx val="241"/>
          <c:order val="203"/>
          <c:tx>
            <c:v>Prot2jun3pm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datos'!$BQ$208:$BQ$209</c:f>
              <c:numCache>
                <c:formatCode>General</c:formatCode>
                <c:ptCount val="2"/>
                <c:pt idx="0">
                  <c:v>-4.0572556384225589</c:v>
                </c:pt>
                <c:pt idx="1">
                  <c:v>-5.5520641812898193</c:v>
                </c:pt>
              </c:numCache>
            </c:numRef>
          </c:xVal>
          <c:yVal>
            <c:numRef>
              <c:f>'CS 2do sem datos'!$BR$208:$BR$209</c:f>
              <c:numCache>
                <c:formatCode>General</c:formatCode>
                <c:ptCount val="2"/>
                <c:pt idx="0">
                  <c:v>0.16904678632304337</c:v>
                </c:pt>
                <c:pt idx="1">
                  <c:v>0.25312143844983048</c:v>
                </c:pt>
              </c:numCache>
            </c:numRef>
          </c:yVal>
          <c:smooth val="1"/>
        </c:ser>
        <c:ser>
          <c:idx val="242"/>
          <c:order val="204"/>
          <c:tx>
            <c:v>Prot1jun4pm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datos'!$BS$206:$BS$207</c:f>
              <c:numCache>
                <c:formatCode>General</c:formatCode>
                <c:ptCount val="2"/>
                <c:pt idx="0">
                  <c:v>-5.5520641812898193</c:v>
                </c:pt>
                <c:pt idx="1">
                  <c:v>-6.4413948054342534</c:v>
                </c:pt>
              </c:numCache>
            </c:numRef>
          </c:xVal>
          <c:yVal>
            <c:numRef>
              <c:f>'CS 2do sem datos'!$BT$206:$BT$207</c:f>
              <c:numCache>
                <c:formatCode>General</c:formatCode>
                <c:ptCount val="2"/>
                <c:pt idx="0">
                  <c:v>0.25312143844983048</c:v>
                </c:pt>
                <c:pt idx="1">
                  <c:v>1.6494388712165602</c:v>
                </c:pt>
              </c:numCache>
            </c:numRef>
          </c:yVal>
          <c:smooth val="1"/>
        </c:ser>
        <c:ser>
          <c:idx val="243"/>
          <c:order val="205"/>
          <c:tx>
            <c:v>Prot2jun4pm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datos'!$BS$208:$BS$209</c:f>
              <c:numCache>
                <c:formatCode>General</c:formatCode>
                <c:ptCount val="2"/>
                <c:pt idx="0">
                  <c:v>-5.3054101678542844</c:v>
                </c:pt>
                <c:pt idx="1">
                  <c:v>-6.7724281322824265</c:v>
                </c:pt>
              </c:numCache>
            </c:numRef>
          </c:xVal>
          <c:yVal>
            <c:numRef>
              <c:f>'CS 2do sem datos'!$BT$208:$BT$209</c:f>
              <c:numCache>
                <c:formatCode>General</c:formatCode>
                <c:ptCount val="2"/>
                <c:pt idx="0">
                  <c:v>0.79714818307256685</c:v>
                </c:pt>
                <c:pt idx="1">
                  <c:v>1.0987026288314568</c:v>
                </c:pt>
              </c:numCache>
            </c:numRef>
          </c:yVal>
          <c:smooth val="1"/>
        </c:ser>
        <c:ser>
          <c:idx val="244"/>
          <c:order val="206"/>
          <c:tx>
            <c:v>Prot1jun5pm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datos'!$BU$206:$BU$207</c:f>
              <c:numCache>
                <c:formatCode>General</c:formatCode>
                <c:ptCount val="2"/>
                <c:pt idx="0">
                  <c:v>-6.7724281322824265</c:v>
                </c:pt>
                <c:pt idx="1">
                  <c:v>-7.40131267544563</c:v>
                </c:pt>
              </c:numCache>
            </c:numRef>
          </c:xVal>
          <c:yVal>
            <c:numRef>
              <c:f>'CS 2do sem datos'!$BV$206:$BV$207</c:f>
              <c:numCache>
                <c:formatCode>General</c:formatCode>
                <c:ptCount val="2"/>
                <c:pt idx="0">
                  <c:v>1.0987026288314568</c:v>
                </c:pt>
                <c:pt idx="1">
                  <c:v>2.76170488439119</c:v>
                </c:pt>
              </c:numCache>
            </c:numRef>
          </c:yVal>
          <c:smooth val="1"/>
        </c:ser>
        <c:ser>
          <c:idx val="245"/>
          <c:order val="207"/>
          <c:tx>
            <c:v>Prot2jun5pm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'CS 2do sem datos'!$BU$208:$BU$209</c:f>
              <c:numCache>
                <c:formatCode>General</c:formatCode>
                <c:ptCount val="2"/>
                <c:pt idx="0">
                  <c:v>-6.4413948054342534</c:v>
                </c:pt>
                <c:pt idx="1">
                  <c:v>-7.8336727666422483</c:v>
                </c:pt>
              </c:numCache>
            </c:numRef>
          </c:xVal>
          <c:yVal>
            <c:numRef>
              <c:f>'CS 2do sem datos'!$BV$208:$BV$209</c:f>
              <c:numCache>
                <c:formatCode>General</c:formatCode>
                <c:ptCount val="2"/>
                <c:pt idx="0">
                  <c:v>1.6494388712165602</c:v>
                </c:pt>
                <c:pt idx="1">
                  <c:v>2.2129946436748833</c:v>
                </c:pt>
              </c:numCache>
            </c:numRef>
          </c:yVal>
          <c:smooth val="1"/>
        </c:ser>
        <c:ser>
          <c:idx val="246"/>
          <c:order val="208"/>
          <c:spPr>
            <a:ln w="88900" cap="flat">
              <a:solidFill>
                <a:srgbClr val="F79646">
                  <a:lumMod val="75000"/>
                </a:srgbClr>
              </a:solidFill>
            </a:ln>
          </c:spPr>
          <c:marker>
            <c:symbol val="none"/>
          </c:marker>
          <c:xVal>
            <c:numRef>
              <c:f>'CS 2do sem datos'!$AI$183:$AI$231</c:f>
              <c:numCache>
                <c:formatCode>General</c:formatCode>
                <c:ptCount val="49"/>
                <c:pt idx="0">
                  <c:v>9.0136081270281014</c:v>
                </c:pt>
                <c:pt idx="1">
                  <c:v>8.6578314246765178</c:v>
                </c:pt>
                <c:pt idx="2">
                  <c:v>8.2983084671054144</c:v>
                </c:pt>
                <c:pt idx="3">
                  <c:v>7.9355598390257569</c:v>
                </c:pt>
                <c:pt idx="4">
                  <c:v>7.5700217750763867</c:v>
                </c:pt>
                <c:pt idx="5">
                  <c:v>7.2020622600263913</c:v>
                </c:pt>
                <c:pt idx="6">
                  <c:v>6.831993703332409</c:v>
                </c:pt>
                <c:pt idx="7">
                  <c:v>6.4600829926194603</c:v>
                </c:pt>
                <c:pt idx="8">
                  <c:v>6.0865595262650283</c:v>
                </c:pt>
                <c:pt idx="9">
                  <c:v>5.7116216765306671</c:v>
                </c:pt>
                <c:pt idx="10">
                  <c:v>5.3354420255361141</c:v>
                </c:pt>
                <c:pt idx="11">
                  <c:v>4.9581716356242307</c:v>
                </c:pt>
                <c:pt idx="12">
                  <c:v>4.5799435554700727</c:v>
                </c:pt>
                <c:pt idx="13">
                  <c:v>4.2008757180856104</c:v>
                </c:pt>
                <c:pt idx="14">
                  <c:v>3.8210733526956546</c:v>
                </c:pt>
                <c:pt idx="15">
                  <c:v>3.4406310064569174</c:v>
                </c:pt>
                <c:pt idx="16">
                  <c:v>3.0596342520920516</c:v>
                </c:pt>
                <c:pt idx="17">
                  <c:v>2.6781611422049059</c:v>
                </c:pt>
                <c:pt idx="18">
                  <c:v>2.2962834592229857</c:v>
                </c:pt>
                <c:pt idx="19">
                  <c:v>1.9140678007591194</c:v>
                </c:pt>
                <c:pt idx="20">
                  <c:v>1.5315765330883693</c:v>
                </c:pt>
                <c:pt idx="21">
                  <c:v>1.1488686399456187</c:v>
                </c:pt>
                <c:pt idx="22">
                  <c:v>0.76600048962617229</c:v>
                </c:pt>
                <c:pt idx="23">
                  <c:v>0.38302654016551518</c:v>
                </c:pt>
                <c:pt idx="24">
                  <c:v>1.2498752097371566E-16</c:v>
                </c:pt>
                <c:pt idx="25">
                  <c:v>-0.38302654016551446</c:v>
                </c:pt>
                <c:pt idx="26">
                  <c:v>-0.76600048962617173</c:v>
                </c:pt>
                <c:pt idx="27">
                  <c:v>-1.1488686399456181</c:v>
                </c:pt>
                <c:pt idx="28">
                  <c:v>-1.5315765330883702</c:v>
                </c:pt>
                <c:pt idx="29">
                  <c:v>-1.9140678007591199</c:v>
                </c:pt>
                <c:pt idx="30">
                  <c:v>-2.2962834592229857</c:v>
                </c:pt>
                <c:pt idx="31">
                  <c:v>-2.6781611422049063</c:v>
                </c:pt>
                <c:pt idx="32">
                  <c:v>-3.0596342520920516</c:v>
                </c:pt>
                <c:pt idx="33">
                  <c:v>-3.4406310064569179</c:v>
                </c:pt>
                <c:pt idx="34">
                  <c:v>-3.8210733526956551</c:v>
                </c:pt>
                <c:pt idx="35">
                  <c:v>-4.2008757180856096</c:v>
                </c:pt>
                <c:pt idx="36">
                  <c:v>-4.5799435554700727</c:v>
                </c:pt>
                <c:pt idx="37">
                  <c:v>-4.9581716356242298</c:v>
                </c:pt>
                <c:pt idx="38">
                  <c:v>-5.335442025536115</c:v>
                </c:pt>
                <c:pt idx="39">
                  <c:v>-5.7116216765306671</c:v>
                </c:pt>
                <c:pt idx="40">
                  <c:v>-6.0865595262650283</c:v>
                </c:pt>
                <c:pt idx="41">
                  <c:v>-6.4600829926194603</c:v>
                </c:pt>
                <c:pt idx="42">
                  <c:v>-6.831993703332409</c:v>
                </c:pt>
                <c:pt idx="43">
                  <c:v>-7.2020622600263922</c:v>
                </c:pt>
                <c:pt idx="44">
                  <c:v>-7.5700217750763859</c:v>
                </c:pt>
                <c:pt idx="45">
                  <c:v>-7.9355598390257569</c:v>
                </c:pt>
                <c:pt idx="46">
                  <c:v>-8.2983084671054144</c:v>
                </c:pt>
                <c:pt idx="47">
                  <c:v>-8.6578314246765178</c:v>
                </c:pt>
                <c:pt idx="48">
                  <c:v>-9.0136081270281014</c:v>
                </c:pt>
              </c:numCache>
            </c:numRef>
          </c:xVal>
          <c:yVal>
            <c:numRef>
              <c:f>'CS 2do sem datos'!$AJ$183:$AJ$231</c:f>
              <c:numCache>
                <c:formatCode>General</c:formatCode>
                <c:ptCount val="49"/>
                <c:pt idx="0">
                  <c:v>-5.9672941159190536E-2</c:v>
                </c:pt>
                <c:pt idx="1">
                  <c:v>-0.25152477617433383</c:v>
                </c:pt>
                <c:pt idx="2">
                  <c:v>-0.42906610830579422</c:v>
                </c:pt>
                <c:pt idx="3">
                  <c:v>-0.59343745533170145</c:v>
                </c:pt>
                <c:pt idx="4">
                  <c:v>-0.74563107725843436</c:v>
                </c:pt>
                <c:pt idx="5">
                  <c:v>-0.88651294133849456</c:v>
                </c:pt>
                <c:pt idx="6">
                  <c:v>-1.0168408842875825</c:v>
                </c:pt>
                <c:pt idx="7">
                  <c:v>-1.1372796890046513</c:v>
                </c:pt>
                <c:pt idx="8">
                  <c:v>-1.2484136472497267</c:v>
                </c:pt>
                <c:pt idx="9">
                  <c:v>-1.3507570647129175</c:v>
                </c:pt>
                <c:pt idx="10">
                  <c:v>-1.4447630741317976</c:v>
                </c:pt>
                <c:pt idx="11">
                  <c:v>-1.5308310503338871</c:v>
                </c:pt>
                <c:pt idx="12">
                  <c:v>-1.6093128641616943</c:v>
                </c:pt>
                <c:pt idx="13">
                  <c:v>-1.6805181669459854</c:v>
                </c:pt>
                <c:pt idx="14">
                  <c:v>-1.7447188610088931</c:v>
                </c:pt>
                <c:pt idx="15">
                  <c:v>-1.8021528826399207</c:v>
                </c:pt>
                <c:pt idx="16">
                  <c:v>-1.8530274005667327</c:v>
                </c:pt>
                <c:pt idx="17">
                  <c:v>-1.8975215139455375</c:v>
                </c:pt>
                <c:pt idx="18">
                  <c:v>-1.935788518388734</c:v>
                </c:pt>
                <c:pt idx="19">
                  <c:v>-1.967957795795344</c:v>
                </c:pt>
                <c:pt idx="20">
                  <c:v>-1.9941363731716393</c:v>
                </c:pt>
                <c:pt idx="21">
                  <c:v>-2.0144101867623383</c:v>
                </c:pt>
                <c:pt idx="22">
                  <c:v>-2.028845080284789</c:v>
                </c:pt>
                <c:pt idx="23">
                  <c:v>-2.0374875595670492</c:v>
                </c:pt>
                <c:pt idx="24">
                  <c:v>-2.0403653201854315</c:v>
                </c:pt>
                <c:pt idx="25">
                  <c:v>-2.0374875595670492</c:v>
                </c:pt>
                <c:pt idx="26">
                  <c:v>-2.0288450802847895</c:v>
                </c:pt>
                <c:pt idx="27">
                  <c:v>-2.0144101867623387</c:v>
                </c:pt>
                <c:pt idx="28">
                  <c:v>-1.9941363731716391</c:v>
                </c:pt>
                <c:pt idx="29">
                  <c:v>-1.9679577957953436</c:v>
                </c:pt>
                <c:pt idx="30">
                  <c:v>-1.935788518388734</c:v>
                </c:pt>
                <c:pt idx="31">
                  <c:v>-1.897521513945537</c:v>
                </c:pt>
                <c:pt idx="32">
                  <c:v>-1.8530274005667327</c:v>
                </c:pt>
                <c:pt idx="33">
                  <c:v>-1.8021528826399205</c:v>
                </c:pt>
                <c:pt idx="34">
                  <c:v>-1.7447188610088924</c:v>
                </c:pt>
                <c:pt idx="35">
                  <c:v>-1.6805181669459861</c:v>
                </c:pt>
                <c:pt idx="36">
                  <c:v>-1.6093128641616945</c:v>
                </c:pt>
                <c:pt idx="37">
                  <c:v>-1.5308310503338891</c:v>
                </c:pt>
                <c:pt idx="38">
                  <c:v>-1.4447630741317947</c:v>
                </c:pt>
                <c:pt idx="39">
                  <c:v>-1.3507570647129172</c:v>
                </c:pt>
                <c:pt idx="40">
                  <c:v>-1.2484136472497258</c:v>
                </c:pt>
                <c:pt idx="41">
                  <c:v>-1.1372796890046504</c:v>
                </c:pt>
                <c:pt idx="42">
                  <c:v>-1.0168408842875816</c:v>
                </c:pt>
                <c:pt idx="43">
                  <c:v>-0.8865129413384919</c:v>
                </c:pt>
                <c:pt idx="44">
                  <c:v>-0.7456310772584348</c:v>
                </c:pt>
                <c:pt idx="45">
                  <c:v>-0.59343745533170189</c:v>
                </c:pt>
                <c:pt idx="46">
                  <c:v>-0.42906610830579445</c:v>
                </c:pt>
                <c:pt idx="47">
                  <c:v>-0.251524776174332</c:v>
                </c:pt>
                <c:pt idx="48">
                  <c:v>-5.9672941159190362E-2</c:v>
                </c:pt>
              </c:numCache>
            </c:numRef>
          </c:yVal>
          <c:smooth val="1"/>
        </c:ser>
        <c:ser>
          <c:idx val="247"/>
          <c:order val="209"/>
          <c:tx>
            <c:v>Linea base alero</c:v>
          </c:tx>
          <c:spPr>
            <a:ln w="88900" cap="rnd">
              <a:solidFill>
                <a:srgbClr val="F79646">
                  <a:lumMod val="75000"/>
                </a:srgbClr>
              </a:solidFill>
            </a:ln>
          </c:spPr>
          <c:marker>
            <c:symbol val="none"/>
          </c:marker>
          <c:xVal>
            <c:numRef>
              <c:f>('CS 2do sem datos'!$AI$183,'CS 2do sem datos'!$AI$231)</c:f>
              <c:numCache>
                <c:formatCode>General</c:formatCode>
                <c:ptCount val="2"/>
                <c:pt idx="0">
                  <c:v>9.0136081270281014</c:v>
                </c:pt>
                <c:pt idx="1">
                  <c:v>-9.0136081270281014</c:v>
                </c:pt>
              </c:numCache>
            </c:numRef>
          </c:xVal>
          <c:yVal>
            <c:numRef>
              <c:f>('CS 2do sem datos'!$AJ$183,'CS 2do sem datos'!$AJ$231)</c:f>
              <c:numCache>
                <c:formatCode>General</c:formatCode>
                <c:ptCount val="2"/>
                <c:pt idx="0">
                  <c:v>-5.9672941159190536E-2</c:v>
                </c:pt>
                <c:pt idx="1">
                  <c:v>-5.9672941159190362E-2</c:v>
                </c:pt>
              </c:numCache>
            </c:numRef>
          </c:yVal>
          <c:smooth val="1"/>
        </c:ser>
        <c:ser>
          <c:idx val="45"/>
          <c:order val="210"/>
          <c:tx>
            <c:v>Linea base partesol</c:v>
          </c:tx>
          <c:spPr>
            <a:ln w="88900">
              <a:solidFill>
                <a:schemeClr val="accent6">
                  <a:lumMod val="75000"/>
                  <a:alpha val="90000"/>
                </a:schemeClr>
              </a:solidFill>
            </a:ln>
          </c:spPr>
          <c:marker>
            <c:symbol val="none"/>
          </c:marker>
          <c:dPt>
            <c:idx val="1"/>
            <c:bubble3D val="0"/>
            <c:spPr>
              <a:ln w="88900">
                <a:solidFill>
                  <a:srgbClr val="F79646">
                    <a:lumMod val="75000"/>
                  </a:srgbClr>
                </a:solidFill>
              </a:ln>
            </c:spPr>
          </c:dPt>
          <c:xVal>
            <c:numRef>
              <c:f>'CS 2do sem datos'!$AH$48:$AH$49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2do sem datos'!$AI$48:$AI$49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54"/>
          <c:order val="211"/>
          <c:tx>
            <c:v>Partesol a</c:v>
          </c:tx>
          <c:spPr>
            <a:ln w="8890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'CS 2do sem datos'!$AH$51:$AH$52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'CS 2do sem datos'!$AI$51:$AI$52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55"/>
          <c:order val="212"/>
          <c:tx>
            <c:v>Partesol b</c:v>
          </c:tx>
          <c:spPr>
            <a:ln w="8890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('CS 2do sem datos'!$AH$51,'CS 2do sem datos'!$AH$53)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('CS 2do sem datos'!$AI$51,'CS 2do sem datos'!$AI$53)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ser>
          <c:idx val="56"/>
          <c:order val="213"/>
          <c:tx>
            <c:v>Partesol c</c:v>
          </c:tx>
          <c:spPr>
            <a:ln w="88900">
              <a:solidFill>
                <a:srgbClr val="F79646">
                  <a:lumMod val="75000"/>
                </a:srgbClr>
              </a:solidFill>
            </a:ln>
          </c:spPr>
          <c:marker>
            <c:symbol val="none"/>
          </c:marker>
          <c:xVal>
            <c:numRef>
              <c:f>'CS 2do sem datos'!$AG$313:$AG$331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xVal>
          <c:yVal>
            <c:numRef>
              <c:f>'CS 2do sem datos'!$AH$313:$AH$331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</c:ser>
        <c:ser>
          <c:idx val="57"/>
          <c:order val="214"/>
          <c:tx>
            <c:v>Partesol d</c:v>
          </c:tx>
          <c:spPr>
            <a:ln w="88900">
              <a:solidFill>
                <a:srgbClr val="F79646">
                  <a:lumMod val="75000"/>
                </a:srgbClr>
              </a:solidFill>
            </a:ln>
          </c:spPr>
          <c:marker>
            <c:symbol val="none"/>
          </c:marker>
          <c:xVal>
            <c:numRef>
              <c:f>'CS 2do sem datos'!$AK$313:$AK$331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xVal>
          <c:yVal>
            <c:numRef>
              <c:f>'CS 2do sem datos'!$AL$313:$AL$331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603688"/>
        <c:axId val="519604080"/>
      </c:scatterChart>
      <c:valAx>
        <c:axId val="519603688"/>
        <c:scaling>
          <c:orientation val="minMax"/>
          <c:max val="10"/>
          <c:min val="-10"/>
        </c:scaling>
        <c:delete val="0"/>
        <c:axPos val="b"/>
        <c:numFmt formatCode="General" sourceLinked="1"/>
        <c:majorTickMark val="out"/>
        <c:minorTickMark val="none"/>
        <c:tickLblPos val="none"/>
        <c:crossAx val="519604080"/>
        <c:crosses val="autoZero"/>
        <c:crossBetween val="midCat"/>
        <c:majorUnit val="1"/>
        <c:minorUnit val="1"/>
      </c:valAx>
      <c:valAx>
        <c:axId val="519604080"/>
        <c:scaling>
          <c:orientation val="minMax"/>
          <c:max val="10"/>
          <c:min val="-10"/>
        </c:scaling>
        <c:delete val="0"/>
        <c:axPos val="l"/>
        <c:numFmt formatCode="General" sourceLinked="1"/>
        <c:majorTickMark val="out"/>
        <c:minorTickMark val="none"/>
        <c:tickLblPos val="none"/>
        <c:crossAx val="519603688"/>
        <c:crosses val="autoZero"/>
        <c:crossBetween val="midCat"/>
        <c:majorUnit val="1"/>
        <c:minorUnit val="1"/>
      </c:valAx>
    </c:plotArea>
    <c:plotVisOnly val="1"/>
    <c:dispBlanksAs val="gap"/>
    <c:showDLblsOverMax val="0"/>
  </c:chart>
  <c:printSettings>
    <c:headerFooter/>
    <c:pageMargins b="0.75000000000000999" l="0.70000000000000095" r="0.70000000000000095" t="0.75000000000000999" header="0.3" footer="0.3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Enero1</c:v>
          </c:tx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 (2)'!$E$480:$E$524</c:f>
              <c:numCache>
                <c:formatCode>General</c:formatCode>
                <c:ptCount val="45"/>
                <c:pt idx="0">
                  <c:v>110.14480796075449</c:v>
                </c:pt>
                <c:pt idx="1">
                  <c:v>110.14480796075449</c:v>
                </c:pt>
                <c:pt idx="2">
                  <c:v>110.14480796075449</c:v>
                </c:pt>
                <c:pt idx="3">
                  <c:v>110.14480796075449</c:v>
                </c:pt>
                <c:pt idx="4">
                  <c:v>110.14480796075449</c:v>
                </c:pt>
                <c:pt idx="5">
                  <c:v>110.14480796075449</c:v>
                </c:pt>
                <c:pt idx="6">
                  <c:v>110.14480796075449</c:v>
                </c:pt>
                <c:pt idx="7">
                  <c:v>110.14480796075449</c:v>
                </c:pt>
                <c:pt idx="8">
                  <c:v>110.14480796075449</c:v>
                </c:pt>
                <c:pt idx="9">
                  <c:v>110.14480796075449</c:v>
                </c:pt>
                <c:pt idx="10">
                  <c:v>110.14480796075449</c:v>
                </c:pt>
                <c:pt idx="11">
                  <c:v>110.14480796075449</c:v>
                </c:pt>
                <c:pt idx="12">
                  <c:v>110.14480796075449</c:v>
                </c:pt>
                <c:pt idx="13">
                  <c:v>110.14480796075449</c:v>
                </c:pt>
                <c:pt idx="14">
                  <c:v>110.14480796075449</c:v>
                </c:pt>
                <c:pt idx="15">
                  <c:v>110.14480796075449</c:v>
                </c:pt>
                <c:pt idx="16">
                  <c:v>110.14480796075449</c:v>
                </c:pt>
                <c:pt idx="17">
                  <c:v>110.14480796075449</c:v>
                </c:pt>
                <c:pt idx="18">
                  <c:v>110.14480796075449</c:v>
                </c:pt>
                <c:pt idx="19">
                  <c:v>110.14480796075449</c:v>
                </c:pt>
                <c:pt idx="20">
                  <c:v>110.14480796075449</c:v>
                </c:pt>
                <c:pt idx="21">
                  <c:v>110.14480796075449</c:v>
                </c:pt>
                <c:pt idx="22">
                  <c:v>110.14480796075449</c:v>
                </c:pt>
                <c:pt idx="23">
                  <c:v>110.70211741949838</c:v>
                </c:pt>
                <c:pt idx="24">
                  <c:v>112.5771078319798</c:v>
                </c:pt>
                <c:pt idx="25">
                  <c:v>114.52594178789599</c:v>
                </c:pt>
                <c:pt idx="26">
                  <c:v>116.55936890670264</c:v>
                </c:pt>
                <c:pt idx="27">
                  <c:v>118.68877858440862</c:v>
                </c:pt>
                <c:pt idx="28">
                  <c:v>120.92625519511847</c:v>
                </c:pt>
                <c:pt idx="29">
                  <c:v>123.28459419408361</c:v>
                </c:pt>
                <c:pt idx="30">
                  <c:v>125.7772625091784</c:v>
                </c:pt>
                <c:pt idx="31">
                  <c:v>128.41828038454514</c:v>
                </c:pt>
                <c:pt idx="32">
                  <c:v>131.22199491730089</c:v>
                </c:pt>
                <c:pt idx="33">
                  <c:v>134.20270878401178</c:v>
                </c:pt>
                <c:pt idx="34">
                  <c:v>137.37412293128529</c:v>
                </c:pt>
                <c:pt idx="35">
                  <c:v>140.74855254966261</c:v>
                </c:pt>
                <c:pt idx="36">
                  <c:v>144.33588641082156</c:v>
                </c:pt>
                <c:pt idx="37">
                  <c:v>148.14228700663386</c:v>
                </c:pt>
                <c:pt idx="38">
                  <c:v>152.1686791332223</c:v>
                </c:pt>
                <c:pt idx="39">
                  <c:v>156.40915005874612</c:v>
                </c:pt>
                <c:pt idx="40">
                  <c:v>160.84947792309023</c:v>
                </c:pt>
                <c:pt idx="41">
                  <c:v>165.46609328345443</c:v>
                </c:pt>
                <c:pt idx="42">
                  <c:v>170.22582109620205</c:v>
                </c:pt>
                <c:pt idx="43">
                  <c:v>175.08669956125479</c:v>
                </c:pt>
                <c:pt idx="44">
                  <c:v>180</c:v>
                </c:pt>
              </c:numCache>
            </c:numRef>
          </c:xVal>
          <c:yVal>
            <c:numRef>
              <c:f>'CS 1er sem datos (2)'!$D$480:$D$524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0.93431249689201767</c:v>
                </c:pt>
                <c:pt idx="24">
                  <c:v>3.9806023907424599</c:v>
                </c:pt>
                <c:pt idx="25">
                  <c:v>6.9848965382721495</c:v>
                </c:pt>
                <c:pt idx="26">
                  <c:v>9.9419021858772343</c:v>
                </c:pt>
                <c:pt idx="27">
                  <c:v>12.845661301158438</c:v>
                </c:pt>
                <c:pt idx="28">
                  <c:v>15.689450108647346</c:v>
                </c:pt>
                <c:pt idx="29">
                  <c:v>18.465669796710831</c:v>
                </c:pt>
                <c:pt idx="30">
                  <c:v>21.165730212534523</c:v>
                </c:pt>
                <c:pt idx="31">
                  <c:v>23.779930338375731</c:v>
                </c:pt>
                <c:pt idx="32">
                  <c:v>26.297342212361595</c:v>
                </c:pt>
                <c:pt idx="33">
                  <c:v>28.705708936178901</c:v>
                </c:pt>
                <c:pt idx="34">
                  <c:v>30.991372620610438</c:v>
                </c:pt>
                <c:pt idx="35">
                  <c:v>33.13925442520032</c:v>
                </c:pt>
                <c:pt idx="36">
                  <c:v>35.132915612826856</c:v>
                </c:pt>
                <c:pt idx="37">
                  <c:v>36.954734293761113</c:v>
                </c:pt>
                <c:pt idx="38">
                  <c:v>38.586234675889074</c:v>
                </c:pt>
                <c:pt idx="39">
                  <c:v>40.008600423503495</c:v>
                </c:pt>
                <c:pt idx="40">
                  <c:v>41.203386965463082</c:v>
                </c:pt>
                <c:pt idx="41">
                  <c:v>42.153416478788429</c:v>
                </c:pt>
                <c:pt idx="42">
                  <c:v>42.843795303430973</c:v>
                </c:pt>
                <c:pt idx="43">
                  <c:v>43.262945341914246</c:v>
                </c:pt>
                <c:pt idx="44">
                  <c:v>43.40350454351578</c:v>
                </c:pt>
              </c:numCache>
            </c:numRef>
          </c:yVal>
          <c:smooth val="1"/>
        </c:ser>
        <c:ser>
          <c:idx val="1"/>
          <c:order val="1"/>
          <c:tx>
            <c:v>Febrero1</c:v>
          </c:tx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 (2)'!$K$480:$K$524</c:f>
              <c:numCache>
                <c:formatCode>General</c:formatCode>
                <c:ptCount val="45"/>
                <c:pt idx="0">
                  <c:v>99.500362928216276</c:v>
                </c:pt>
                <c:pt idx="1">
                  <c:v>99.500362928216276</c:v>
                </c:pt>
                <c:pt idx="2">
                  <c:v>99.500362928216276</c:v>
                </c:pt>
                <c:pt idx="3">
                  <c:v>99.500362928216276</c:v>
                </c:pt>
                <c:pt idx="4">
                  <c:v>99.500362928216276</c:v>
                </c:pt>
                <c:pt idx="5">
                  <c:v>99.500362928216276</c:v>
                </c:pt>
                <c:pt idx="6">
                  <c:v>99.500362928216276</c:v>
                </c:pt>
                <c:pt idx="7">
                  <c:v>99.500362928216276</c:v>
                </c:pt>
                <c:pt idx="8">
                  <c:v>99.500362928216276</c:v>
                </c:pt>
                <c:pt idx="9">
                  <c:v>99.500362928216276</c:v>
                </c:pt>
                <c:pt idx="10">
                  <c:v>99.500362928216276</c:v>
                </c:pt>
                <c:pt idx="11">
                  <c:v>99.500362928216276</c:v>
                </c:pt>
                <c:pt idx="12">
                  <c:v>99.500362928216276</c:v>
                </c:pt>
                <c:pt idx="13">
                  <c:v>99.500362928216276</c:v>
                </c:pt>
                <c:pt idx="14">
                  <c:v>99.500362928216276</c:v>
                </c:pt>
                <c:pt idx="15">
                  <c:v>99.500362928216276</c:v>
                </c:pt>
                <c:pt idx="16">
                  <c:v>99.500362928216276</c:v>
                </c:pt>
                <c:pt idx="17">
                  <c:v>99.500362928216276</c:v>
                </c:pt>
                <c:pt idx="18">
                  <c:v>99.500362928216276</c:v>
                </c:pt>
                <c:pt idx="19">
                  <c:v>99.500362928216276</c:v>
                </c:pt>
                <c:pt idx="20">
                  <c:v>99.500362928216276</c:v>
                </c:pt>
                <c:pt idx="21">
                  <c:v>99.500362928216276</c:v>
                </c:pt>
                <c:pt idx="22">
                  <c:v>100.89519561539142</c:v>
                </c:pt>
                <c:pt idx="23">
                  <c:v>102.76595097130003</c:v>
                </c:pt>
                <c:pt idx="24">
                  <c:v>104.68802822282147</c:v>
                </c:pt>
                <c:pt idx="25">
                  <c:v>106.67407096407753</c:v>
                </c:pt>
                <c:pt idx="26">
                  <c:v>108.73760944398796</c:v>
                </c:pt>
                <c:pt idx="27">
                  <c:v>110.89328742751351</c:v>
                </c:pt>
                <c:pt idx="28">
                  <c:v>113.15708853016723</c:v>
                </c:pt>
                <c:pt idx="29">
                  <c:v>115.54655425603949</c:v>
                </c:pt>
                <c:pt idx="30">
                  <c:v>118.08097799360625</c:v>
                </c:pt>
                <c:pt idx="31">
                  <c:v>120.78154732364752</c:v>
                </c:pt>
                <c:pt idx="32">
                  <c:v>123.67138966374844</c:v>
                </c:pt>
                <c:pt idx="33">
                  <c:v>126.77545203792891</c:v>
                </c:pt>
                <c:pt idx="34">
                  <c:v>130.12011395158518</c:v>
                </c:pt>
                <c:pt idx="35">
                  <c:v>133.73239482747636</c:v>
                </c:pt>
                <c:pt idx="36">
                  <c:v>137.63858177436344</c:v>
                </c:pt>
                <c:pt idx="37">
                  <c:v>141.86208773002306</c:v>
                </c:pt>
                <c:pt idx="38">
                  <c:v>146.42038816407361</c:v>
                </c:pt>
                <c:pt idx="39">
                  <c:v>151.32102682859207</c:v>
                </c:pt>
                <c:pt idx="40">
                  <c:v>156.55697888534539</c:v>
                </c:pt>
                <c:pt idx="41">
                  <c:v>162.10212019074373</c:v>
                </c:pt>
                <c:pt idx="42">
                  <c:v>167.90806244970912</c:v>
                </c:pt>
                <c:pt idx="43">
                  <c:v>173.90389028355548</c:v>
                </c:pt>
                <c:pt idx="44">
                  <c:v>180</c:v>
                </c:pt>
              </c:numCache>
            </c:numRef>
          </c:xVal>
          <c:yVal>
            <c:numRef>
              <c:f>'CS 1er sem datos (2)'!$J$480:$J$524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2.4513254600836665</c:v>
                </c:pt>
                <c:pt idx="23">
                  <c:v>5.6588938422367825</c:v>
                </c:pt>
                <c:pt idx="24">
                  <c:v>8.8424843209748119</c:v>
                </c:pt>
                <c:pt idx="25">
                  <c:v>11.997722975509879</c:v>
                </c:pt>
                <c:pt idx="26">
                  <c:v>15.119715862375806</c:v>
                </c:pt>
                <c:pt idx="27">
                  <c:v>18.202927787402345</c:v>
                </c:pt>
                <c:pt idx="28">
                  <c:v>21.241041758651765</c:v>
                </c:pt>
                <c:pt idx="29">
                  <c:v>24.226795427541798</c:v>
                </c:pt>
                <c:pt idx="30">
                  <c:v>27.15179118044739</c:v>
                </c:pt>
                <c:pt idx="31">
                  <c:v>30.006277614225631</c:v>
                </c:pt>
                <c:pt idx="32">
                  <c:v>32.778902474630826</c:v>
                </c:pt>
                <c:pt idx="33">
                  <c:v>35.45644159934281</c:v>
                </c:pt>
                <c:pt idx="34">
                  <c:v>38.023516172043877</c:v>
                </c:pt>
                <c:pt idx="35">
                  <c:v>40.462323140338867</c:v>
                </c:pt>
                <c:pt idx="36">
                  <c:v>42.752422426604682</c:v>
                </c:pt>
                <c:pt idx="37">
                  <c:v>44.870650074713652</c:v>
                </c:pt>
                <c:pt idx="38">
                  <c:v>46.791256419696218</c:v>
                </c:pt>
                <c:pt idx="39">
                  <c:v>48.486394640260585</c:v>
                </c:pt>
                <c:pt idx="40">
                  <c:v>49.927090631227195</c:v>
                </c:pt>
                <c:pt idx="41">
                  <c:v>51.084784156101065</c:v>
                </c:pt>
                <c:pt idx="42">
                  <c:v>51.933418421751355</c:v>
                </c:pt>
                <c:pt idx="43">
                  <c:v>52.451869064489031</c:v>
                </c:pt>
                <c:pt idx="44">
                  <c:v>52.626294934964093</c:v>
                </c:pt>
              </c:numCache>
            </c:numRef>
          </c:yVal>
          <c:smooth val="1"/>
        </c:ser>
        <c:ser>
          <c:idx val="2"/>
          <c:order val="2"/>
          <c:tx>
            <c:v>Marzo1</c:v>
          </c:tx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 (2)'!$Q$480:$Q$524</c:f>
              <c:numCache>
                <c:formatCode>General</c:formatCode>
                <c:ptCount val="45"/>
                <c:pt idx="0">
                  <c:v>85.402618331677971</c:v>
                </c:pt>
                <c:pt idx="1">
                  <c:v>85.402618331677971</c:v>
                </c:pt>
                <c:pt idx="2">
                  <c:v>85.402618331677971</c:v>
                </c:pt>
                <c:pt idx="3">
                  <c:v>85.402618331677971</c:v>
                </c:pt>
                <c:pt idx="4">
                  <c:v>85.402618331677971</c:v>
                </c:pt>
                <c:pt idx="5">
                  <c:v>85.402618331677971</c:v>
                </c:pt>
                <c:pt idx="6">
                  <c:v>85.402618331677971</c:v>
                </c:pt>
                <c:pt idx="7">
                  <c:v>85.402618331677971</c:v>
                </c:pt>
                <c:pt idx="8">
                  <c:v>85.402618331677971</c:v>
                </c:pt>
                <c:pt idx="9">
                  <c:v>85.402618331677971</c:v>
                </c:pt>
                <c:pt idx="10">
                  <c:v>85.402618331677971</c:v>
                </c:pt>
                <c:pt idx="11">
                  <c:v>85.402618331677971</c:v>
                </c:pt>
                <c:pt idx="12">
                  <c:v>85.402618331677971</c:v>
                </c:pt>
                <c:pt idx="13">
                  <c:v>85.402618331677971</c:v>
                </c:pt>
                <c:pt idx="14">
                  <c:v>85.402618331677971</c:v>
                </c:pt>
                <c:pt idx="15">
                  <c:v>85.402618331677971</c:v>
                </c:pt>
                <c:pt idx="16">
                  <c:v>85.402618331677971</c:v>
                </c:pt>
                <c:pt idx="17">
                  <c:v>85.402618331677971</c:v>
                </c:pt>
                <c:pt idx="18">
                  <c:v>85.402618331677971</c:v>
                </c:pt>
                <c:pt idx="19">
                  <c:v>85.402618331677971</c:v>
                </c:pt>
                <c:pt idx="20">
                  <c:v>86.488170658290201</c:v>
                </c:pt>
                <c:pt idx="21">
                  <c:v>88.301939675400064</c:v>
                </c:pt>
                <c:pt idx="22">
                  <c:v>90.119615933503979</c:v>
                </c:pt>
                <c:pt idx="23">
                  <c:v>91.95333172927613</c:v>
                </c:pt>
                <c:pt idx="24">
                  <c:v>93.815787356682009</c:v>
                </c:pt>
                <c:pt idx="25">
                  <c:v>95.720565560101377</c:v>
                </c:pt>
                <c:pt idx="26">
                  <c:v>97.682489105457122</c:v>
                </c:pt>
                <c:pt idx="27">
                  <c:v>99.718036938710767</c:v>
                </c:pt>
                <c:pt idx="28">
                  <c:v>101.84583698554694</c:v>
                </c:pt>
                <c:pt idx="29">
                  <c:v>104.08725617335617</c:v>
                </c:pt>
                <c:pt idx="30">
                  <c:v>106.46710982681223</c:v>
                </c:pt>
                <c:pt idx="31">
                  <c:v>109.01451125006722</c:v>
                </c:pt>
                <c:pt idx="32">
                  <c:v>111.76387408261022</c:v>
                </c:pt>
                <c:pt idx="33">
                  <c:v>114.75605713389055</c:v>
                </c:pt>
                <c:pt idx="34">
                  <c:v>118.03958931708698</c:v>
                </c:pt>
                <c:pt idx="35">
                  <c:v>121.67180516597313</c:v>
                </c:pt>
                <c:pt idx="36">
                  <c:v>125.71951693085082</c:v>
                </c:pt>
                <c:pt idx="37">
                  <c:v>130.25848836531455</c:v>
                </c:pt>
                <c:pt idx="38">
                  <c:v>135.37040516162483</c:v>
                </c:pt>
                <c:pt idx="39">
                  <c:v>141.13530250393069</c:v>
                </c:pt>
                <c:pt idx="40">
                  <c:v>147.61688935411229</c:v>
                </c:pt>
                <c:pt idx="41">
                  <c:v>154.8389975113019</c:v>
                </c:pt>
                <c:pt idx="42">
                  <c:v>162.75537922197969</c:v>
                </c:pt>
                <c:pt idx="43">
                  <c:v>171.22334001059369</c:v>
                </c:pt>
                <c:pt idx="44">
                  <c:v>180</c:v>
                </c:pt>
              </c:numCache>
            </c:numRef>
          </c:xVal>
          <c:yVal>
            <c:numRef>
              <c:f>'CS 1er sem datos (2)'!$P$480:$P$524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1.9510766725967672</c:v>
                </c:pt>
                <c:pt idx="21">
                  <c:v>5.2248361178513711</c:v>
                </c:pt>
                <c:pt idx="22">
                  <c:v>8.5016694215855537</c:v>
                </c:pt>
                <c:pt idx="23">
                  <c:v>11.778277554284251</c:v>
                </c:pt>
                <c:pt idx="24">
                  <c:v>15.051271742006362</c:v>
                </c:pt>
                <c:pt idx="25">
                  <c:v>18.317081148338275</c:v>
                </c:pt>
                <c:pt idx="26">
                  <c:v>21.571848682913263</c:v>
                </c:pt>
                <c:pt idx="27">
                  <c:v>24.811309009703319</c:v>
                </c:pt>
                <c:pt idx="28">
                  <c:v>28.03064132064042</c:v>
                </c:pt>
                <c:pt idx="29">
                  <c:v>31.224287336900556</c:v>
                </c:pt>
                <c:pt idx="30">
                  <c:v>34.385722158930136</c:v>
                </c:pt>
                <c:pt idx="31">
                  <c:v>37.507161881970838</c:v>
                </c:pt>
                <c:pt idx="32">
                  <c:v>40.579187314260722</c:v>
                </c:pt>
                <c:pt idx="33">
                  <c:v>43.590258007807279</c:v>
                </c:pt>
                <c:pt idx="34">
                  <c:v>46.526086303943565</c:v>
                </c:pt>
                <c:pt idx="35">
                  <c:v>49.368840247490724</c:v>
                </c:pt>
                <c:pt idx="36">
                  <c:v>52.096153918797427</c:v>
                </c:pt>
                <c:pt idx="37">
                  <c:v>54.6799580245643</c:v>
                </c:pt>
                <c:pt idx="38">
                  <c:v>57.085227950933245</c:v>
                </c:pt>
                <c:pt idx="39">
                  <c:v>59.268918970625663</c:v>
                </c:pt>
                <c:pt idx="40">
                  <c:v>61.179653601104718</c:v>
                </c:pt>
                <c:pt idx="41">
                  <c:v>62.759112002659698</c:v>
                </c:pt>
                <c:pt idx="42">
                  <c:v>63.946316535914804</c:v>
                </c:pt>
                <c:pt idx="43">
                  <c:v>64.685539973324694</c:v>
                </c:pt>
                <c:pt idx="44">
                  <c:v>64.936824231055681</c:v>
                </c:pt>
              </c:numCache>
            </c:numRef>
          </c:yVal>
          <c:smooth val="1"/>
        </c:ser>
        <c:ser>
          <c:idx val="3"/>
          <c:order val="3"/>
          <c:tx>
            <c:v>Abril1</c:v>
          </c:tx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 (2)'!$W$480:$W$524</c:f>
              <c:numCache>
                <c:formatCode>General</c:formatCode>
                <c:ptCount val="45"/>
                <c:pt idx="0">
                  <c:v>72.888092578495346</c:v>
                </c:pt>
                <c:pt idx="1">
                  <c:v>72.888092578495346</c:v>
                </c:pt>
                <c:pt idx="2">
                  <c:v>72.888092578495346</c:v>
                </c:pt>
                <c:pt idx="3">
                  <c:v>72.888092578495346</c:v>
                </c:pt>
                <c:pt idx="4">
                  <c:v>72.888092578495346</c:v>
                </c:pt>
                <c:pt idx="5">
                  <c:v>72.888092578495346</c:v>
                </c:pt>
                <c:pt idx="6">
                  <c:v>72.888092578495346</c:v>
                </c:pt>
                <c:pt idx="7">
                  <c:v>72.888092578495346</c:v>
                </c:pt>
                <c:pt idx="8">
                  <c:v>72.888092578495346</c:v>
                </c:pt>
                <c:pt idx="9">
                  <c:v>72.888092578495346</c:v>
                </c:pt>
                <c:pt idx="10">
                  <c:v>72.888092578495346</c:v>
                </c:pt>
                <c:pt idx="11">
                  <c:v>72.888092578495346</c:v>
                </c:pt>
                <c:pt idx="12">
                  <c:v>72.888092578495346</c:v>
                </c:pt>
                <c:pt idx="13">
                  <c:v>72.888092578495346</c:v>
                </c:pt>
                <c:pt idx="14">
                  <c:v>72.888092578495346</c:v>
                </c:pt>
                <c:pt idx="15">
                  <c:v>72.888092578495346</c:v>
                </c:pt>
                <c:pt idx="16">
                  <c:v>72.888092578495346</c:v>
                </c:pt>
                <c:pt idx="17">
                  <c:v>72.888092578495346</c:v>
                </c:pt>
                <c:pt idx="18">
                  <c:v>73.377202136517397</c:v>
                </c:pt>
                <c:pt idx="19">
                  <c:v>75.162722135292299</c:v>
                </c:pt>
                <c:pt idx="20">
                  <c:v>76.908415468616056</c:v>
                </c:pt>
                <c:pt idx="21">
                  <c:v>78.624229318809967</c:v>
                </c:pt>
                <c:pt idx="22">
                  <c:v>80.320102804730865</c:v>
                </c:pt>
                <c:pt idx="23">
                  <c:v>82.006171907360311</c:v>
                </c:pt>
                <c:pt idx="24">
                  <c:v>83.69300591455243</c:v>
                </c:pt>
                <c:pt idx="25">
                  <c:v>85.391887846707746</c:v>
                </c:pt>
                <c:pt idx="26">
                  <c:v>87.115156347814008</c:v>
                </c:pt>
                <c:pt idx="27">
                  <c:v>88.87663356136872</c:v>
                </c:pt>
                <c:pt idx="28">
                  <c:v>90.692173646055892</c:v>
                </c:pt>
                <c:pt idx="29">
                  <c:v>92.580381462762588</c:v>
                </c:pt>
                <c:pt idx="30">
                  <c:v>94.563573092330401</c:v>
                </c:pt>
                <c:pt idx="31">
                  <c:v>96.669083066016839</c:v>
                </c:pt>
                <c:pt idx="32">
                  <c:v>98.931073312987834</c:v>
                </c:pt>
                <c:pt idx="33">
                  <c:v>101.39307426076078</c:v>
                </c:pt>
                <c:pt idx="34">
                  <c:v>104.11160019876351</c:v>
                </c:pt>
                <c:pt idx="35">
                  <c:v>107.16133887200536</c:v>
                </c:pt>
                <c:pt idx="36">
                  <c:v>110.64261236918068</c:v>
                </c:pt>
                <c:pt idx="37">
                  <c:v>114.69196284152088</c:v>
                </c:pt>
                <c:pt idx="38">
                  <c:v>119.49650182395177</c:v>
                </c:pt>
                <c:pt idx="39">
                  <c:v>125.31097935928398</c:v>
                </c:pt>
                <c:pt idx="40">
                  <c:v>132.47024428392857</c:v>
                </c:pt>
                <c:pt idx="41">
                  <c:v>141.37180736345297</c:v>
                </c:pt>
                <c:pt idx="42">
                  <c:v>152.36663247705818</c:v>
                </c:pt>
                <c:pt idx="43">
                  <c:v>165.47481083447175</c:v>
                </c:pt>
                <c:pt idx="44">
                  <c:v>180</c:v>
                </c:pt>
              </c:numCache>
            </c:numRef>
          </c:xVal>
          <c:yVal>
            <c:numRef>
              <c:f>'CS 1er sem datos (2)'!$V$480:$V$524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0.84487497082691032</c:v>
                </c:pt>
                <c:pt idx="19">
                  <c:v>3.9993524973288235</c:v>
                </c:pt>
                <c:pt idx="20">
                  <c:v>7.1796941081018506</c:v>
                </c:pt>
                <c:pt idx="21">
                  <c:v>10.382459749151513</c:v>
                </c:pt>
                <c:pt idx="22">
                  <c:v>13.604468496767481</c:v>
                </c:pt>
                <c:pt idx="23">
                  <c:v>16.842735146975919</c:v>
                </c:pt>
                <c:pt idx="24">
                  <c:v>20.094408212134532</c:v>
                </c:pt>
                <c:pt idx="25">
                  <c:v>23.356706677362645</c:v>
                </c:pt>
                <c:pt idx="26">
                  <c:v>26.626852300629036</c:v>
                </c:pt>
                <c:pt idx="27">
                  <c:v>29.901993339964587</c:v>
                </c:pt>
                <c:pt idx="28">
                  <c:v>33.179114183303909</c:v>
                </c:pt>
                <c:pt idx="29">
                  <c:v>36.454923161732175</c:v>
                </c:pt>
                <c:pt idx="30">
                  <c:v>39.725707391673502</c:v>
                </c:pt>
                <c:pt idx="31">
                  <c:v>42.987138064766839</c:v>
                </c:pt>
                <c:pt idx="32">
                  <c:v>46.234000924702507</c:v>
                </c:pt>
                <c:pt idx="33">
                  <c:v>49.459812598063799</c:v>
                </c:pt>
                <c:pt idx="34">
                  <c:v>52.656260335367804</c:v>
                </c:pt>
                <c:pt idx="35">
                  <c:v>55.812364414492947</c:v>
                </c:pt>
                <c:pt idx="36">
                  <c:v>58.913198956609463</c:v>
                </c:pt>
                <c:pt idx="37">
                  <c:v>61.937903656407016</c:v>
                </c:pt>
                <c:pt idx="38">
                  <c:v>64.85656185960751</c:v>
                </c:pt>
                <c:pt idx="39">
                  <c:v>67.625326772187762</c:v>
                </c:pt>
                <c:pt idx="40">
                  <c:v>70.179120424793908</c:v>
                </c:pt>
                <c:pt idx="41">
                  <c:v>72.422030979321647</c:v>
                </c:pt>
                <c:pt idx="42">
                  <c:v>74.219255442281607</c:v>
                </c:pt>
                <c:pt idx="43">
                  <c:v>75.403930559328714</c:v>
                </c:pt>
                <c:pt idx="44">
                  <c:v>75.820887455874669</c:v>
                </c:pt>
              </c:numCache>
            </c:numRef>
          </c:yVal>
          <c:smooth val="1"/>
        </c:ser>
        <c:ser>
          <c:idx val="4"/>
          <c:order val="4"/>
          <c:tx>
            <c:v>Mayo1</c:v>
          </c:tx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 (2)'!$AC$480:$AC$524</c:f>
              <c:numCache>
                <c:formatCode>General</c:formatCode>
                <c:ptCount val="45"/>
                <c:pt idx="0">
                  <c:v>64.572176712649494</c:v>
                </c:pt>
                <c:pt idx="1">
                  <c:v>64.572176712649494</c:v>
                </c:pt>
                <c:pt idx="2">
                  <c:v>64.572176712649494</c:v>
                </c:pt>
                <c:pt idx="3">
                  <c:v>64.572176712649494</c:v>
                </c:pt>
                <c:pt idx="4">
                  <c:v>64.572176712649494</c:v>
                </c:pt>
                <c:pt idx="5">
                  <c:v>64.572176712649494</c:v>
                </c:pt>
                <c:pt idx="6">
                  <c:v>64.572176712649494</c:v>
                </c:pt>
                <c:pt idx="7">
                  <c:v>64.572176712649494</c:v>
                </c:pt>
                <c:pt idx="8">
                  <c:v>64.572176712649494</c:v>
                </c:pt>
                <c:pt idx="9">
                  <c:v>64.572176712649494</c:v>
                </c:pt>
                <c:pt idx="10">
                  <c:v>64.572176712649494</c:v>
                </c:pt>
                <c:pt idx="11">
                  <c:v>64.572176712649494</c:v>
                </c:pt>
                <c:pt idx="12">
                  <c:v>64.572176712649494</c:v>
                </c:pt>
                <c:pt idx="13">
                  <c:v>64.572176712649494</c:v>
                </c:pt>
                <c:pt idx="14">
                  <c:v>64.572176712649494</c:v>
                </c:pt>
                <c:pt idx="15">
                  <c:v>64.572176712649494</c:v>
                </c:pt>
                <c:pt idx="16">
                  <c:v>64.572176712649494</c:v>
                </c:pt>
                <c:pt idx="17">
                  <c:v>65.420288430266694</c:v>
                </c:pt>
                <c:pt idx="18">
                  <c:v>67.176756132372105</c:v>
                </c:pt>
                <c:pt idx="19">
                  <c:v>68.872771807684487</c:v>
                </c:pt>
                <c:pt idx="20">
                  <c:v>70.516285917220941</c:v>
                </c:pt>
                <c:pt idx="21">
                  <c:v>72.115019262386028</c:v>
                </c:pt>
                <c:pt idx="22">
                  <c:v>73.676564272932183</c:v>
                </c:pt>
                <c:pt idx="23">
                  <c:v>75.208505156583556</c:v>
                </c:pt>
                <c:pt idx="24">
                  <c:v>76.718561537440678</c:v>
                </c:pt>
                <c:pt idx="25">
                  <c:v>78.214763234690579</c:v>
                </c:pt>
                <c:pt idx="26">
                  <c:v>79.705667903745379</c:v>
                </c:pt>
                <c:pt idx="27">
                  <c:v>81.200639092786062</c:v>
                </c:pt>
                <c:pt idx="28">
                  <c:v>82.710211003016923</c:v>
                </c:pt>
                <c:pt idx="29">
                  <c:v>84.246579785342263</c:v>
                </c:pt>
                <c:pt idx="30">
                  <c:v>85.824282836310999</c:v>
                </c:pt>
                <c:pt idx="31">
                  <c:v>87.461163088077541</c:v>
                </c:pt>
                <c:pt idx="32">
                  <c:v>89.179775376606813</c:v>
                </c:pt>
                <c:pt idx="33">
                  <c:v>91.009496805368997</c:v>
                </c:pt>
                <c:pt idx="34">
                  <c:v>92.989792229720422</c:v>
                </c:pt>
                <c:pt idx="35">
                  <c:v>95.17544040926218</c:v>
                </c:pt>
                <c:pt idx="36">
                  <c:v>97.645217635946267</c:v>
                </c:pt>
                <c:pt idx="37">
                  <c:v>100.51694281614662</c:v>
                </c:pt>
                <c:pt idx="38">
                  <c:v>103.97477635578694</c:v>
                </c:pt>
                <c:pt idx="39">
                  <c:v>108.32122597124561</c:v>
                </c:pt>
                <c:pt idx="40">
                  <c:v>114.0806639695666</c:v>
                </c:pt>
                <c:pt idx="41">
                  <c:v>122.20793991746395</c:v>
                </c:pt>
                <c:pt idx="42">
                  <c:v>134.45660980654239</c:v>
                </c:pt>
                <c:pt idx="43">
                  <c:v>153.50220048664417</c:v>
                </c:pt>
                <c:pt idx="44">
                  <c:v>180</c:v>
                </c:pt>
              </c:numCache>
            </c:numRef>
          </c:xVal>
          <c:yVal>
            <c:numRef>
              <c:f>'CS 1er sem datos (2)'!$AB$480:$AB$524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1.3949093661271876</c:v>
                </c:pt>
                <c:pt idx="18">
                  <c:v>4.3957662688924266</c:v>
                </c:pt>
                <c:pt idx="19">
                  <c:v>7.4349294898703304</c:v>
                </c:pt>
                <c:pt idx="20">
                  <c:v>10.508522694850116</c:v>
                </c:pt>
                <c:pt idx="21">
                  <c:v>13.613046915231564</c:v>
                </c:pt>
                <c:pt idx="22">
                  <c:v>16.74532951014211</c:v>
                </c:pt>
                <c:pt idx="23">
                  <c:v>19.902477425593524</c:v>
                </c:pt>
                <c:pt idx="24">
                  <c:v>23.081833865003894</c:v>
                </c:pt>
                <c:pt idx="25">
                  <c:v>26.280937316511903</c:v>
                </c:pt>
                <c:pt idx="26">
                  <c:v>29.497481663761743</c:v>
                </c:pt>
                <c:pt idx="27">
                  <c:v>32.729275782797934</c:v>
                </c:pt>
                <c:pt idx="28">
                  <c:v>35.974200517974971</c:v>
                </c:pt>
                <c:pt idx="29">
                  <c:v>39.230160105746087</c:v>
                </c:pt>
                <c:pt idx="30">
                  <c:v>42.495023757793398</c:v>
                </c:pt>
                <c:pt idx="31">
                  <c:v>45.766550833953623</c:v>
                </c:pt>
                <c:pt idx="32">
                  <c:v>49.04228910837859</c:v>
                </c:pt>
                <c:pt idx="33">
                  <c:v>52.319428670327412</c:v>
                </c:pt>
                <c:pt idx="34">
                  <c:v>55.594581223038837</c:v>
                </c:pt>
                <c:pt idx="35">
                  <c:v>58.863430130174407</c:v>
                </c:pt>
                <c:pt idx="36">
                  <c:v>62.120147714715685</c:v>
                </c:pt>
                <c:pt idx="37">
                  <c:v>65.356373345511315</c:v>
                </c:pt>
                <c:pt idx="38">
                  <c:v>68.559315678555663</c:v>
                </c:pt>
                <c:pt idx="39">
                  <c:v>71.707994207809435</c:v>
                </c:pt>
                <c:pt idx="40">
                  <c:v>74.765245687919915</c:v>
                </c:pt>
                <c:pt idx="41">
                  <c:v>77.659460168674883</c:v>
                </c:pt>
                <c:pt idx="42">
                  <c:v>80.241084021286682</c:v>
                </c:pt>
                <c:pt idx="43">
                  <c:v>82.190610360438285</c:v>
                </c:pt>
                <c:pt idx="44">
                  <c:v>82.959624558737431</c:v>
                </c:pt>
              </c:numCache>
            </c:numRef>
          </c:yVal>
          <c:smooth val="1"/>
        </c:ser>
        <c:ser>
          <c:idx val="5"/>
          <c:order val="5"/>
          <c:tx>
            <c:v>Junio1</c:v>
          </c:tx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 (2)'!$AI$480:$AI$524</c:f>
              <c:numCache>
                <c:formatCode>General</c:formatCode>
                <c:ptCount val="45"/>
                <c:pt idx="0">
                  <c:v>62.9128608915928</c:v>
                </c:pt>
                <c:pt idx="1">
                  <c:v>62.9128608915928</c:v>
                </c:pt>
                <c:pt idx="2">
                  <c:v>62.9128608915928</c:v>
                </c:pt>
                <c:pt idx="3">
                  <c:v>62.9128608915928</c:v>
                </c:pt>
                <c:pt idx="4">
                  <c:v>62.9128608915928</c:v>
                </c:pt>
                <c:pt idx="5">
                  <c:v>62.9128608915928</c:v>
                </c:pt>
                <c:pt idx="6">
                  <c:v>62.9128608915928</c:v>
                </c:pt>
                <c:pt idx="7">
                  <c:v>62.9128608915928</c:v>
                </c:pt>
                <c:pt idx="8">
                  <c:v>62.9128608915928</c:v>
                </c:pt>
                <c:pt idx="9">
                  <c:v>62.9128608915928</c:v>
                </c:pt>
                <c:pt idx="10">
                  <c:v>62.9128608915928</c:v>
                </c:pt>
                <c:pt idx="11">
                  <c:v>62.9128608915928</c:v>
                </c:pt>
                <c:pt idx="12">
                  <c:v>62.9128608915928</c:v>
                </c:pt>
                <c:pt idx="13">
                  <c:v>62.9128608915928</c:v>
                </c:pt>
                <c:pt idx="14">
                  <c:v>62.9128608915928</c:v>
                </c:pt>
                <c:pt idx="15">
                  <c:v>62.9128608915928</c:v>
                </c:pt>
                <c:pt idx="16">
                  <c:v>62.9128608915928</c:v>
                </c:pt>
                <c:pt idx="17">
                  <c:v>64.210417713039391</c:v>
                </c:pt>
                <c:pt idx="18">
                  <c:v>65.946471612619035</c:v>
                </c:pt>
                <c:pt idx="19">
                  <c:v>67.620103183634782</c:v>
                </c:pt>
                <c:pt idx="20">
                  <c:v>69.238766580276192</c:v>
                </c:pt>
                <c:pt idx="21">
                  <c:v>70.809669788281539</c:v>
                </c:pt>
                <c:pt idx="22">
                  <c:v>72.339857941509536</c:v>
                </c:pt>
                <c:pt idx="23">
                  <c:v>73.83631338575087</c:v>
                </c:pt>
                <c:pt idx="24">
                  <c:v>75.306075969479892</c:v>
                </c:pt>
                <c:pt idx="25">
                  <c:v>76.756389670247245</c:v>
                </c:pt>
                <c:pt idx="26">
                  <c:v>78.194885172264662</c:v>
                </c:pt>
                <c:pt idx="27">
                  <c:v>79.6298130154468</c:v>
                </c:pt>
                <c:pt idx="28">
                  <c:v>81.070349439875727</c:v>
                </c:pt>
                <c:pt idx="29">
                  <c:v>82.527008733511849</c:v>
                </c:pt>
                <c:pt idx="30">
                  <c:v>84.012214678363549</c:v>
                </c:pt>
                <c:pt idx="31">
                  <c:v>85.541114838437892</c:v>
                </c:pt>
                <c:pt idx="32">
                  <c:v>87.132774729162193</c:v>
                </c:pt>
                <c:pt idx="33">
                  <c:v>88.81198326588455</c:v>
                </c:pt>
                <c:pt idx="34">
                  <c:v>90.61207438362122</c:v>
                </c:pt>
                <c:pt idx="35">
                  <c:v>92.579502568460512</c:v>
                </c:pt>
                <c:pt idx="36">
                  <c:v>94.781580028246267</c:v>
                </c:pt>
                <c:pt idx="37">
                  <c:v>97.320207125180872</c:v>
                </c:pt>
                <c:pt idx="38">
                  <c:v>100.35764369223884</c:v>
                </c:pt>
                <c:pt idx="39">
                  <c:v>104.1681266407447</c:v>
                </c:pt>
                <c:pt idx="40">
                  <c:v>109.24906860936896</c:v>
                </c:pt>
                <c:pt idx="41">
                  <c:v>116.57818835866789</c:v>
                </c:pt>
                <c:pt idx="42">
                  <c:v>128.21842313636409</c:v>
                </c:pt>
                <c:pt idx="43">
                  <c:v>148.30065305276554</c:v>
                </c:pt>
                <c:pt idx="44">
                  <c:v>180</c:v>
                </c:pt>
              </c:numCache>
            </c:numRef>
          </c:xVal>
          <c:yVal>
            <c:numRef>
              <c:f>'CS 1er sem datos (2)'!$AH$480:$AH$524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2.1202753980372413</c:v>
                </c:pt>
                <c:pt idx="18">
                  <c:v>5.0924146750739654</c:v>
                </c:pt>
                <c:pt idx="19">
                  <c:v>8.1043070057537481</c:v>
                </c:pt>
                <c:pt idx="20">
                  <c:v>11.152054967319165</c:v>
                </c:pt>
                <c:pt idx="21">
                  <c:v>14.232141959296721</c:v>
                </c:pt>
                <c:pt idx="22">
                  <c:v>17.341384212199728</c:v>
                </c:pt>
                <c:pt idx="23">
                  <c:v>20.476887020474013</c:v>
                </c:pt>
                <c:pt idx="24">
                  <c:v>23.63600454935963</c:v>
                </c:pt>
                <c:pt idx="25">
                  <c:v>26.816302428045219</c:v>
                </c:pt>
                <c:pt idx="26">
                  <c:v>30.015522183197557</c:v>
                </c:pt>
                <c:pt idx="27">
                  <c:v>33.231546345941183</c:v>
                </c:pt>
                <c:pt idx="28">
                  <c:v>36.462362723804389</c:v>
                </c:pt>
                <c:pt idx="29">
                  <c:v>39.706025776532329</c:v>
                </c:pt>
                <c:pt idx="30">
                  <c:v>42.96061211769922</c:v>
                </c:pt>
                <c:pt idx="31">
                  <c:v>46.224165608624986</c:v>
                </c:pt>
                <c:pt idx="32">
                  <c:v>49.494624805188728</c:v>
                </c:pt>
                <c:pt idx="33">
                  <c:v>52.769720664377957</c:v>
                </c:pt>
                <c:pt idx="34">
                  <c:v>56.046823385268709</c:v>
                </c:pt>
                <c:pt idx="35">
                  <c:v>59.322699706541478</c:v>
                </c:pt>
                <c:pt idx="36">
                  <c:v>62.593106094089499</c:v>
                </c:pt>
                <c:pt idx="37">
                  <c:v>65.852065383625572</c:v>
                </c:pt>
                <c:pt idx="38">
                  <c:v>69.090493335033685</c:v>
                </c:pt>
                <c:pt idx="39">
                  <c:v>72.293384766068968</c:v>
                </c:pt>
                <c:pt idx="40">
                  <c:v>75.433504705998018</c:v>
                </c:pt>
                <c:pt idx="41">
                  <c:v>78.455669637047322</c:v>
                </c:pt>
                <c:pt idx="42">
                  <c:v>81.233104553844399</c:v>
                </c:pt>
                <c:pt idx="43">
                  <c:v>83.443209461256842</c:v>
                </c:pt>
                <c:pt idx="44">
                  <c:v>84.369782846813621</c:v>
                </c:pt>
              </c:numCache>
            </c:numRef>
          </c:yVal>
          <c:smooth val="1"/>
        </c:ser>
        <c:ser>
          <c:idx val="6"/>
          <c:order val="6"/>
          <c:tx>
            <c:v>Diciembre1</c:v>
          </c:tx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 (2)'!$AO$480:$AO$524</c:f>
              <c:numCache>
                <c:formatCode>General</c:formatCode>
                <c:ptCount val="45"/>
                <c:pt idx="0">
                  <c:v>116.57086830691144</c:v>
                </c:pt>
                <c:pt idx="1">
                  <c:v>116.57086830691144</c:v>
                </c:pt>
                <c:pt idx="2">
                  <c:v>116.57086830691144</c:v>
                </c:pt>
                <c:pt idx="3">
                  <c:v>116.57086830691144</c:v>
                </c:pt>
                <c:pt idx="4">
                  <c:v>116.57086830691144</c:v>
                </c:pt>
                <c:pt idx="5">
                  <c:v>116.57086830691144</c:v>
                </c:pt>
                <c:pt idx="6">
                  <c:v>116.57086830691144</c:v>
                </c:pt>
                <c:pt idx="7">
                  <c:v>116.57086830691144</c:v>
                </c:pt>
                <c:pt idx="8">
                  <c:v>116.57086830691144</c:v>
                </c:pt>
                <c:pt idx="9">
                  <c:v>116.57086830691144</c:v>
                </c:pt>
                <c:pt idx="10">
                  <c:v>116.57086830691144</c:v>
                </c:pt>
                <c:pt idx="11">
                  <c:v>116.57086830691144</c:v>
                </c:pt>
                <c:pt idx="12">
                  <c:v>116.57086830691144</c:v>
                </c:pt>
                <c:pt idx="13">
                  <c:v>116.57086830691144</c:v>
                </c:pt>
                <c:pt idx="14">
                  <c:v>116.57086830691144</c:v>
                </c:pt>
                <c:pt idx="15">
                  <c:v>116.57086830691144</c:v>
                </c:pt>
                <c:pt idx="16">
                  <c:v>116.57086830691144</c:v>
                </c:pt>
                <c:pt idx="17">
                  <c:v>116.57086830691144</c:v>
                </c:pt>
                <c:pt idx="18">
                  <c:v>116.57086830691144</c:v>
                </c:pt>
                <c:pt idx="19">
                  <c:v>116.57086830691144</c:v>
                </c:pt>
                <c:pt idx="20">
                  <c:v>116.57086830691144</c:v>
                </c:pt>
                <c:pt idx="21">
                  <c:v>116.57086830691144</c:v>
                </c:pt>
                <c:pt idx="22">
                  <c:v>116.57086830691144</c:v>
                </c:pt>
                <c:pt idx="23">
                  <c:v>116.57086830691144</c:v>
                </c:pt>
                <c:pt idx="24">
                  <c:v>117.22586297915178</c:v>
                </c:pt>
                <c:pt idx="25">
                  <c:v>119.11619473496825</c:v>
                </c:pt>
                <c:pt idx="26">
                  <c:v>121.09326239230391</c:v>
                </c:pt>
                <c:pt idx="27">
                  <c:v>123.16619289075763</c:v>
                </c:pt>
                <c:pt idx="28">
                  <c:v>125.34452095224731</c:v>
                </c:pt>
                <c:pt idx="29">
                  <c:v>127.63813328175564</c:v>
                </c:pt>
                <c:pt idx="30">
                  <c:v>130.05716000222259</c:v>
                </c:pt>
                <c:pt idx="31">
                  <c:v>132.61179780419786</c:v>
                </c:pt>
                <c:pt idx="32">
                  <c:v>135.31204694577815</c:v>
                </c:pt>
                <c:pt idx="33">
                  <c:v>138.16734330797073</c:v>
                </c:pt>
                <c:pt idx="34">
                  <c:v>141.18606855224019</c:v>
                </c:pt>
                <c:pt idx="35">
                  <c:v>144.37492789342167</c:v>
                </c:pt>
                <c:pt idx="36">
                  <c:v>147.73819825211658</c:v>
                </c:pt>
                <c:pt idx="37">
                  <c:v>151.27687148239153</c:v>
                </c:pt>
                <c:pt idx="38">
                  <c:v>154.98774850536256</c:v>
                </c:pt>
                <c:pt idx="39">
                  <c:v>158.86257803594248</c:v>
                </c:pt>
                <c:pt idx="40">
                  <c:v>162.88737099929463</c:v>
                </c:pt>
                <c:pt idx="41">
                  <c:v>167.04204621930259</c:v>
                </c:pt>
                <c:pt idx="42">
                  <c:v>171.30055878952365</c:v>
                </c:pt>
                <c:pt idx="43">
                  <c:v>175.63161653134421</c:v>
                </c:pt>
                <c:pt idx="44">
                  <c:v>180</c:v>
                </c:pt>
              </c:numCache>
            </c:numRef>
          </c:xVal>
          <c:yVal>
            <c:numRef>
              <c:f>'CS 1er sem datos (2)'!$AN$480:$AN$524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1.0425877010819102</c:v>
                </c:pt>
                <c:pt idx="25">
                  <c:v>3.9317047480627632</c:v>
                </c:pt>
                <c:pt idx="26">
                  <c:v>6.7669919116472963</c:v>
                </c:pt>
                <c:pt idx="27">
                  <c:v>9.5424491197324475</c:v>
                </c:pt>
                <c:pt idx="28">
                  <c:v>12.251377298592953</c:v>
                </c:pt>
                <c:pt idx="29">
                  <c:v>14.886303279823363</c:v>
                </c:pt>
                <c:pt idx="30">
                  <c:v>17.43890578214755</c:v>
                </c:pt>
                <c:pt idx="31">
                  <c:v>19.899947289311033</c:v>
                </c:pt>
                <c:pt idx="32">
                  <c:v>22.259218825541542</c:v>
                </c:pt>
                <c:pt idx="33">
                  <c:v>24.505507292084097</c:v>
                </c:pt>
                <c:pt idx="34">
                  <c:v>26.626598034991446</c:v>
                </c:pt>
                <c:pt idx="35">
                  <c:v>28.609328312721424</c:v>
                </c:pt>
                <c:pt idx="36">
                  <c:v>30.439709654260056</c:v>
                </c:pt>
                <c:pt idx="37">
                  <c:v>32.103137689028557</c:v>
                </c:pt>
                <c:pt idx="38">
                  <c:v>33.584705474254456</c:v>
                </c:pt>
                <c:pt idx="39">
                  <c:v>34.869629107521455</c:v>
                </c:pt>
                <c:pt idx="40">
                  <c:v>35.943781380086349</c:v>
                </c:pt>
                <c:pt idx="41">
                  <c:v>36.794310562600629</c:v>
                </c:pt>
                <c:pt idx="42">
                  <c:v>37.410299462056066</c:v>
                </c:pt>
                <c:pt idx="43">
                  <c:v>37.783399579107147</c:v>
                </c:pt>
                <c:pt idx="44">
                  <c:v>37.908363272130764</c:v>
                </c:pt>
              </c:numCache>
            </c:numRef>
          </c:yVal>
          <c:smooth val="1"/>
        </c:ser>
        <c:ser>
          <c:idx val="7"/>
          <c:order val="7"/>
          <c:tx>
            <c:v>ene-02</c:v>
          </c:tx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 (2)'!$E$525:$E$569</c:f>
              <c:numCache>
                <c:formatCode>General</c:formatCode>
                <c:ptCount val="45"/>
                <c:pt idx="0">
                  <c:v>180</c:v>
                </c:pt>
                <c:pt idx="1">
                  <c:v>184.91330043874521</c:v>
                </c:pt>
                <c:pt idx="2">
                  <c:v>189.77417890379795</c:v>
                </c:pt>
                <c:pt idx="3">
                  <c:v>194.53390671654557</c:v>
                </c:pt>
                <c:pt idx="4">
                  <c:v>199.15052207690977</c:v>
                </c:pt>
                <c:pt idx="5">
                  <c:v>203.59084994125388</c:v>
                </c:pt>
                <c:pt idx="6">
                  <c:v>207.8313208667777</c:v>
                </c:pt>
                <c:pt idx="7">
                  <c:v>211.85771299336614</c:v>
                </c:pt>
                <c:pt idx="8">
                  <c:v>215.66411358917844</c:v>
                </c:pt>
                <c:pt idx="9">
                  <c:v>219.25144745033739</c:v>
                </c:pt>
                <c:pt idx="10">
                  <c:v>222.62587706871471</c:v>
                </c:pt>
                <c:pt idx="11">
                  <c:v>225.79729121598822</c:v>
                </c:pt>
                <c:pt idx="12">
                  <c:v>228.77800508269911</c:v>
                </c:pt>
                <c:pt idx="13">
                  <c:v>231.58171961545486</c:v>
                </c:pt>
                <c:pt idx="14">
                  <c:v>234.2227374908216</c:v>
                </c:pt>
                <c:pt idx="15">
                  <c:v>236.71540580591639</c:v>
                </c:pt>
                <c:pt idx="16">
                  <c:v>239.07374480488153</c:v>
                </c:pt>
                <c:pt idx="17">
                  <c:v>241.31122141559138</c:v>
                </c:pt>
                <c:pt idx="18">
                  <c:v>243.44063109329736</c:v>
                </c:pt>
                <c:pt idx="19">
                  <c:v>245.47405821210401</c:v>
                </c:pt>
                <c:pt idx="20">
                  <c:v>247.42289216802021</c:v>
                </c:pt>
                <c:pt idx="21">
                  <c:v>249.29788258050161</c:v>
                </c:pt>
                <c:pt idx="22">
                  <c:v>249.85519203924551</c:v>
                </c:pt>
                <c:pt idx="23">
                  <c:v>249.85519203924551</c:v>
                </c:pt>
                <c:pt idx="24">
                  <c:v>249.85519203924551</c:v>
                </c:pt>
                <c:pt idx="25">
                  <c:v>249.85519203924551</c:v>
                </c:pt>
                <c:pt idx="26">
                  <c:v>249.85519203924551</c:v>
                </c:pt>
                <c:pt idx="27">
                  <c:v>249.85519203924551</c:v>
                </c:pt>
                <c:pt idx="28">
                  <c:v>249.85519203924551</c:v>
                </c:pt>
                <c:pt idx="29">
                  <c:v>249.85519203924551</c:v>
                </c:pt>
                <c:pt idx="30">
                  <c:v>249.85519203924551</c:v>
                </c:pt>
                <c:pt idx="31">
                  <c:v>249.85519203924551</c:v>
                </c:pt>
                <c:pt idx="32">
                  <c:v>249.85519203924551</c:v>
                </c:pt>
                <c:pt idx="33">
                  <c:v>249.85519203924551</c:v>
                </c:pt>
                <c:pt idx="34">
                  <c:v>249.85519203924551</c:v>
                </c:pt>
                <c:pt idx="35">
                  <c:v>249.85519203924551</c:v>
                </c:pt>
                <c:pt idx="36">
                  <c:v>249.85519203924551</c:v>
                </c:pt>
                <c:pt idx="37">
                  <c:v>249.85519203924551</c:v>
                </c:pt>
                <c:pt idx="38">
                  <c:v>249.85519203924551</c:v>
                </c:pt>
                <c:pt idx="39">
                  <c:v>249.85519203924551</c:v>
                </c:pt>
                <c:pt idx="40">
                  <c:v>249.85519203924551</c:v>
                </c:pt>
                <c:pt idx="41">
                  <c:v>249.85519203924551</c:v>
                </c:pt>
                <c:pt idx="42">
                  <c:v>249.85519203924551</c:v>
                </c:pt>
                <c:pt idx="43">
                  <c:v>249.85519203924551</c:v>
                </c:pt>
                <c:pt idx="44">
                  <c:v>249.85519203924551</c:v>
                </c:pt>
              </c:numCache>
            </c:numRef>
          </c:xVal>
          <c:yVal>
            <c:numRef>
              <c:f>'CS 1er sem datos (2)'!$D$525:$D$569</c:f>
              <c:numCache>
                <c:formatCode>General</c:formatCode>
                <c:ptCount val="45"/>
                <c:pt idx="0">
                  <c:v>43.40350454351578</c:v>
                </c:pt>
                <c:pt idx="1">
                  <c:v>43.262945341914246</c:v>
                </c:pt>
                <c:pt idx="2">
                  <c:v>42.843795303430973</c:v>
                </c:pt>
                <c:pt idx="3">
                  <c:v>42.153416478788429</c:v>
                </c:pt>
                <c:pt idx="4">
                  <c:v>41.203386965463082</c:v>
                </c:pt>
                <c:pt idx="5">
                  <c:v>40.008600423503495</c:v>
                </c:pt>
                <c:pt idx="6">
                  <c:v>38.586234675889074</c:v>
                </c:pt>
                <c:pt idx="7">
                  <c:v>36.954734293761113</c:v>
                </c:pt>
                <c:pt idx="8">
                  <c:v>35.132915612826856</c:v>
                </c:pt>
                <c:pt idx="9">
                  <c:v>33.13925442520032</c:v>
                </c:pt>
                <c:pt idx="10">
                  <c:v>30.991372620610438</c:v>
                </c:pt>
                <c:pt idx="11">
                  <c:v>28.705708936178901</c:v>
                </c:pt>
                <c:pt idx="12">
                  <c:v>26.297342212361595</c:v>
                </c:pt>
                <c:pt idx="13">
                  <c:v>23.779930338375731</c:v>
                </c:pt>
                <c:pt idx="14">
                  <c:v>21.165730212534523</c:v>
                </c:pt>
                <c:pt idx="15">
                  <c:v>18.465669796710831</c:v>
                </c:pt>
                <c:pt idx="16">
                  <c:v>15.689450108647346</c:v>
                </c:pt>
                <c:pt idx="17">
                  <c:v>12.845661301158438</c:v>
                </c:pt>
                <c:pt idx="18">
                  <c:v>9.9419021858772343</c:v>
                </c:pt>
                <c:pt idx="19">
                  <c:v>6.9848965382721495</c:v>
                </c:pt>
                <c:pt idx="20">
                  <c:v>3.9806023907424599</c:v>
                </c:pt>
                <c:pt idx="21">
                  <c:v>0.93431249689201767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1"/>
        </c:ser>
        <c:ser>
          <c:idx val="8"/>
          <c:order val="8"/>
          <c:tx>
            <c:v>feb-02</c:v>
          </c:tx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 (2)'!$K$525:$K$569</c:f>
              <c:numCache>
                <c:formatCode>General</c:formatCode>
                <c:ptCount val="45"/>
                <c:pt idx="0">
                  <c:v>180</c:v>
                </c:pt>
                <c:pt idx="1">
                  <c:v>186.09610971644452</c:v>
                </c:pt>
                <c:pt idx="2">
                  <c:v>192.09193755029088</c:v>
                </c:pt>
                <c:pt idx="3">
                  <c:v>197.89787980925627</c:v>
                </c:pt>
                <c:pt idx="4">
                  <c:v>203.44302111465461</c:v>
                </c:pt>
                <c:pt idx="5">
                  <c:v>208.67897317140793</c:v>
                </c:pt>
                <c:pt idx="6">
                  <c:v>213.57961183592639</c:v>
                </c:pt>
                <c:pt idx="7">
                  <c:v>218.13791226997694</c:v>
                </c:pt>
                <c:pt idx="8">
                  <c:v>222.36141822563656</c:v>
                </c:pt>
                <c:pt idx="9">
                  <c:v>226.26760517252364</c:v>
                </c:pt>
                <c:pt idx="10">
                  <c:v>229.87988604841482</c:v>
                </c:pt>
                <c:pt idx="11">
                  <c:v>233.22454796207109</c:v>
                </c:pt>
                <c:pt idx="12">
                  <c:v>236.32861033625156</c:v>
                </c:pt>
                <c:pt idx="13">
                  <c:v>239.21845267635248</c:v>
                </c:pt>
                <c:pt idx="14">
                  <c:v>241.91902200639373</c:v>
                </c:pt>
                <c:pt idx="15">
                  <c:v>244.45344574396051</c:v>
                </c:pt>
                <c:pt idx="16">
                  <c:v>246.84291146983276</c:v>
                </c:pt>
                <c:pt idx="17">
                  <c:v>249.10671257248649</c:v>
                </c:pt>
                <c:pt idx="18">
                  <c:v>251.26239055601204</c:v>
                </c:pt>
                <c:pt idx="19">
                  <c:v>253.32592903592246</c:v>
                </c:pt>
                <c:pt idx="20">
                  <c:v>255.31197177717854</c:v>
                </c:pt>
                <c:pt idx="21">
                  <c:v>257.23404902869999</c:v>
                </c:pt>
                <c:pt idx="22">
                  <c:v>259.1048043846086</c:v>
                </c:pt>
                <c:pt idx="23">
                  <c:v>260.4996370717837</c:v>
                </c:pt>
                <c:pt idx="24">
                  <c:v>260.4996370717837</c:v>
                </c:pt>
                <c:pt idx="25">
                  <c:v>260.4996370717837</c:v>
                </c:pt>
                <c:pt idx="26">
                  <c:v>260.4996370717837</c:v>
                </c:pt>
                <c:pt idx="27">
                  <c:v>260.4996370717837</c:v>
                </c:pt>
                <c:pt idx="28">
                  <c:v>260.4996370717837</c:v>
                </c:pt>
                <c:pt idx="29">
                  <c:v>260.4996370717837</c:v>
                </c:pt>
                <c:pt idx="30">
                  <c:v>260.4996370717837</c:v>
                </c:pt>
                <c:pt idx="31">
                  <c:v>260.4996370717837</c:v>
                </c:pt>
                <c:pt idx="32">
                  <c:v>260.4996370717837</c:v>
                </c:pt>
                <c:pt idx="33">
                  <c:v>260.4996370717837</c:v>
                </c:pt>
                <c:pt idx="34">
                  <c:v>260.4996370717837</c:v>
                </c:pt>
                <c:pt idx="35">
                  <c:v>260.4996370717837</c:v>
                </c:pt>
                <c:pt idx="36">
                  <c:v>260.4996370717837</c:v>
                </c:pt>
                <c:pt idx="37">
                  <c:v>260.4996370717837</c:v>
                </c:pt>
                <c:pt idx="38">
                  <c:v>260.4996370717837</c:v>
                </c:pt>
                <c:pt idx="39">
                  <c:v>260.4996370717837</c:v>
                </c:pt>
                <c:pt idx="40">
                  <c:v>260.4996370717837</c:v>
                </c:pt>
                <c:pt idx="41">
                  <c:v>260.4996370717837</c:v>
                </c:pt>
                <c:pt idx="42">
                  <c:v>260.4996370717837</c:v>
                </c:pt>
                <c:pt idx="43">
                  <c:v>260.4996370717837</c:v>
                </c:pt>
                <c:pt idx="44">
                  <c:v>260.4996370717837</c:v>
                </c:pt>
              </c:numCache>
            </c:numRef>
          </c:xVal>
          <c:yVal>
            <c:numRef>
              <c:f>'CS 1er sem datos (2)'!$J$525:$J$569</c:f>
              <c:numCache>
                <c:formatCode>General</c:formatCode>
                <c:ptCount val="45"/>
                <c:pt idx="0">
                  <c:v>52.626294934964093</c:v>
                </c:pt>
                <c:pt idx="1">
                  <c:v>52.451869064489031</c:v>
                </c:pt>
                <c:pt idx="2">
                  <c:v>51.933418421751355</c:v>
                </c:pt>
                <c:pt idx="3">
                  <c:v>51.084784156101065</c:v>
                </c:pt>
                <c:pt idx="4">
                  <c:v>49.927090631227195</c:v>
                </c:pt>
                <c:pt idx="5">
                  <c:v>48.486394640260585</c:v>
                </c:pt>
                <c:pt idx="6">
                  <c:v>46.791256419696218</c:v>
                </c:pt>
                <c:pt idx="7">
                  <c:v>44.870650074713652</c:v>
                </c:pt>
                <c:pt idx="8">
                  <c:v>42.752422426604682</c:v>
                </c:pt>
                <c:pt idx="9">
                  <c:v>40.462323140338867</c:v>
                </c:pt>
                <c:pt idx="10">
                  <c:v>38.023516172043877</c:v>
                </c:pt>
                <c:pt idx="11">
                  <c:v>35.45644159934281</c:v>
                </c:pt>
                <c:pt idx="12">
                  <c:v>32.778902474630826</c:v>
                </c:pt>
                <c:pt idx="13">
                  <c:v>30.006277614225631</c:v>
                </c:pt>
                <c:pt idx="14">
                  <c:v>27.15179118044739</c:v>
                </c:pt>
                <c:pt idx="15">
                  <c:v>24.226795427541798</c:v>
                </c:pt>
                <c:pt idx="16">
                  <c:v>21.241041758651765</c:v>
                </c:pt>
                <c:pt idx="17">
                  <c:v>18.202927787402345</c:v>
                </c:pt>
                <c:pt idx="18">
                  <c:v>15.119715862375806</c:v>
                </c:pt>
                <c:pt idx="19">
                  <c:v>11.997722975509879</c:v>
                </c:pt>
                <c:pt idx="20">
                  <c:v>8.8424843209748119</c:v>
                </c:pt>
                <c:pt idx="21">
                  <c:v>5.6588938422367825</c:v>
                </c:pt>
                <c:pt idx="22">
                  <c:v>2.4513254600836665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1"/>
        </c:ser>
        <c:ser>
          <c:idx val="9"/>
          <c:order val="9"/>
          <c:tx>
            <c:v>mar-02</c:v>
          </c:tx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 (2)'!$Q$525:$Q$569</c:f>
              <c:numCache>
                <c:formatCode>General</c:formatCode>
                <c:ptCount val="45"/>
                <c:pt idx="0">
                  <c:v>180</c:v>
                </c:pt>
                <c:pt idx="1">
                  <c:v>188.77665998940631</c:v>
                </c:pt>
                <c:pt idx="2">
                  <c:v>197.24462077802031</c:v>
                </c:pt>
                <c:pt idx="3">
                  <c:v>205.1610024886981</c:v>
                </c:pt>
                <c:pt idx="4">
                  <c:v>212.38311064588771</c:v>
                </c:pt>
                <c:pt idx="5">
                  <c:v>218.86469749606931</c:v>
                </c:pt>
                <c:pt idx="6">
                  <c:v>224.62959483837517</c:v>
                </c:pt>
                <c:pt idx="7">
                  <c:v>229.74151163468545</c:v>
                </c:pt>
                <c:pt idx="8">
                  <c:v>234.28048306914917</c:v>
                </c:pt>
                <c:pt idx="9">
                  <c:v>238.32819483402687</c:v>
                </c:pt>
                <c:pt idx="10">
                  <c:v>241.96041068291302</c:v>
                </c:pt>
                <c:pt idx="11">
                  <c:v>245.24394286610945</c:v>
                </c:pt>
                <c:pt idx="12">
                  <c:v>248.23612591738978</c:v>
                </c:pt>
                <c:pt idx="13">
                  <c:v>250.98548874993278</c:v>
                </c:pt>
                <c:pt idx="14">
                  <c:v>253.53289017318775</c:v>
                </c:pt>
                <c:pt idx="15">
                  <c:v>255.91274382664383</c:v>
                </c:pt>
                <c:pt idx="16">
                  <c:v>258.15416301445305</c:v>
                </c:pt>
                <c:pt idx="17">
                  <c:v>260.28196306128922</c:v>
                </c:pt>
                <c:pt idx="18">
                  <c:v>262.31751089454286</c:v>
                </c:pt>
                <c:pt idx="19">
                  <c:v>264.27943443989864</c:v>
                </c:pt>
                <c:pt idx="20">
                  <c:v>266.18421264331801</c:v>
                </c:pt>
                <c:pt idx="21">
                  <c:v>268.0466682707239</c:v>
                </c:pt>
                <c:pt idx="22">
                  <c:v>269.88038406649605</c:v>
                </c:pt>
                <c:pt idx="23">
                  <c:v>271.69806032459996</c:v>
                </c:pt>
                <c:pt idx="24">
                  <c:v>273.51182934170981</c:v>
                </c:pt>
                <c:pt idx="25">
                  <c:v>274.59738166832204</c:v>
                </c:pt>
                <c:pt idx="26">
                  <c:v>274.59738166832204</c:v>
                </c:pt>
                <c:pt idx="27">
                  <c:v>274.59738166832204</c:v>
                </c:pt>
                <c:pt idx="28">
                  <c:v>274.59738166832204</c:v>
                </c:pt>
                <c:pt idx="29">
                  <c:v>274.59738166832204</c:v>
                </c:pt>
                <c:pt idx="30">
                  <c:v>274.59738166832204</c:v>
                </c:pt>
                <c:pt idx="31">
                  <c:v>274.59738166832204</c:v>
                </c:pt>
                <c:pt idx="32">
                  <c:v>274.59738166832204</c:v>
                </c:pt>
                <c:pt idx="33">
                  <c:v>274.59738166832204</c:v>
                </c:pt>
                <c:pt idx="34">
                  <c:v>274.59738166832204</c:v>
                </c:pt>
                <c:pt idx="35">
                  <c:v>274.59738166832204</c:v>
                </c:pt>
                <c:pt idx="36">
                  <c:v>274.59738166832204</c:v>
                </c:pt>
                <c:pt idx="37">
                  <c:v>274.59738166832204</c:v>
                </c:pt>
                <c:pt idx="38">
                  <c:v>274.59738166832204</c:v>
                </c:pt>
                <c:pt idx="39">
                  <c:v>274.59738166832204</c:v>
                </c:pt>
                <c:pt idx="40">
                  <c:v>274.59738166832204</c:v>
                </c:pt>
                <c:pt idx="41">
                  <c:v>274.59738166832204</c:v>
                </c:pt>
                <c:pt idx="42">
                  <c:v>274.59738166832204</c:v>
                </c:pt>
                <c:pt idx="43">
                  <c:v>274.59738166832204</c:v>
                </c:pt>
                <c:pt idx="44">
                  <c:v>274.59738166832204</c:v>
                </c:pt>
              </c:numCache>
            </c:numRef>
          </c:xVal>
          <c:yVal>
            <c:numRef>
              <c:f>'CS 1er sem datos (2)'!$P$525:$P$569</c:f>
              <c:numCache>
                <c:formatCode>General</c:formatCode>
                <c:ptCount val="45"/>
                <c:pt idx="0">
                  <c:v>64.936824231055681</c:v>
                </c:pt>
                <c:pt idx="1">
                  <c:v>64.685539973324694</c:v>
                </c:pt>
                <c:pt idx="2">
                  <c:v>63.946316535914804</c:v>
                </c:pt>
                <c:pt idx="3">
                  <c:v>62.759112002659698</c:v>
                </c:pt>
                <c:pt idx="4">
                  <c:v>61.179653601104718</c:v>
                </c:pt>
                <c:pt idx="5">
                  <c:v>59.268918970625663</c:v>
                </c:pt>
                <c:pt idx="6">
                  <c:v>57.085227950933245</c:v>
                </c:pt>
                <c:pt idx="7">
                  <c:v>54.6799580245643</c:v>
                </c:pt>
                <c:pt idx="8">
                  <c:v>52.096153918797427</c:v>
                </c:pt>
                <c:pt idx="9">
                  <c:v>49.368840247490724</c:v>
                </c:pt>
                <c:pt idx="10">
                  <c:v>46.526086303943565</c:v>
                </c:pt>
                <c:pt idx="11">
                  <c:v>43.590258007807279</c:v>
                </c:pt>
                <c:pt idx="12">
                  <c:v>40.579187314260722</c:v>
                </c:pt>
                <c:pt idx="13">
                  <c:v>37.507161881970838</c:v>
                </c:pt>
                <c:pt idx="14">
                  <c:v>34.385722158930136</c:v>
                </c:pt>
                <c:pt idx="15">
                  <c:v>31.224287336900556</c:v>
                </c:pt>
                <c:pt idx="16">
                  <c:v>28.03064132064042</c:v>
                </c:pt>
                <c:pt idx="17">
                  <c:v>24.811309009703319</c:v>
                </c:pt>
                <c:pt idx="18">
                  <c:v>21.571848682913263</c:v>
                </c:pt>
                <c:pt idx="19">
                  <c:v>18.317081148338275</c:v>
                </c:pt>
                <c:pt idx="20">
                  <c:v>15.051271742006362</c:v>
                </c:pt>
                <c:pt idx="21">
                  <c:v>11.778277554284251</c:v>
                </c:pt>
                <c:pt idx="22">
                  <c:v>8.5016694215855537</c:v>
                </c:pt>
                <c:pt idx="23">
                  <c:v>5.2248361178513711</c:v>
                </c:pt>
                <c:pt idx="24">
                  <c:v>1.9510766725967672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1"/>
        </c:ser>
        <c:ser>
          <c:idx val="10"/>
          <c:order val="10"/>
          <c:tx>
            <c:v>abr-02</c:v>
          </c:tx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 (2)'!$W$525:$W$569</c:f>
              <c:numCache>
                <c:formatCode>General</c:formatCode>
                <c:ptCount val="45"/>
                <c:pt idx="0">
                  <c:v>180</c:v>
                </c:pt>
                <c:pt idx="1">
                  <c:v>194.52518916552825</c:v>
                </c:pt>
                <c:pt idx="2">
                  <c:v>207.63336752294182</c:v>
                </c:pt>
                <c:pt idx="3">
                  <c:v>218.62819263654703</c:v>
                </c:pt>
                <c:pt idx="4">
                  <c:v>227.52975571607143</c:v>
                </c:pt>
                <c:pt idx="5">
                  <c:v>234.68902064071602</c:v>
                </c:pt>
                <c:pt idx="6">
                  <c:v>240.50349817604823</c:v>
                </c:pt>
                <c:pt idx="7">
                  <c:v>245.30803715847912</c:v>
                </c:pt>
                <c:pt idx="8">
                  <c:v>249.35738763081932</c:v>
                </c:pt>
                <c:pt idx="9">
                  <c:v>252.83866112799464</c:v>
                </c:pt>
                <c:pt idx="10">
                  <c:v>255.88839980123649</c:v>
                </c:pt>
                <c:pt idx="11">
                  <c:v>258.60692573923922</c:v>
                </c:pt>
                <c:pt idx="12">
                  <c:v>261.06892668701215</c:v>
                </c:pt>
                <c:pt idx="13">
                  <c:v>263.33091693398319</c:v>
                </c:pt>
                <c:pt idx="14">
                  <c:v>265.43642690766961</c:v>
                </c:pt>
                <c:pt idx="15">
                  <c:v>267.4196185372374</c:v>
                </c:pt>
                <c:pt idx="16">
                  <c:v>269.30782635394411</c:v>
                </c:pt>
                <c:pt idx="17">
                  <c:v>271.12336643863125</c:v>
                </c:pt>
                <c:pt idx="18">
                  <c:v>272.88484365218596</c:v>
                </c:pt>
                <c:pt idx="19">
                  <c:v>274.60811215329227</c:v>
                </c:pt>
                <c:pt idx="20">
                  <c:v>276.30699408544757</c:v>
                </c:pt>
                <c:pt idx="21">
                  <c:v>277.99382809263966</c:v>
                </c:pt>
                <c:pt idx="22">
                  <c:v>279.67989719526912</c:v>
                </c:pt>
                <c:pt idx="23">
                  <c:v>281.37577068119003</c:v>
                </c:pt>
                <c:pt idx="24">
                  <c:v>283.09158453138394</c:v>
                </c:pt>
                <c:pt idx="25">
                  <c:v>284.83727786470769</c:v>
                </c:pt>
                <c:pt idx="26">
                  <c:v>286.62279786348262</c:v>
                </c:pt>
                <c:pt idx="27">
                  <c:v>287.11190742150467</c:v>
                </c:pt>
                <c:pt idx="28">
                  <c:v>287.11190742150467</c:v>
                </c:pt>
                <c:pt idx="29">
                  <c:v>287.11190742150467</c:v>
                </c:pt>
                <c:pt idx="30">
                  <c:v>287.11190742150467</c:v>
                </c:pt>
                <c:pt idx="31">
                  <c:v>287.11190742150467</c:v>
                </c:pt>
                <c:pt idx="32">
                  <c:v>287.11190742150467</c:v>
                </c:pt>
                <c:pt idx="33">
                  <c:v>287.11190742150467</c:v>
                </c:pt>
                <c:pt idx="34">
                  <c:v>287.11190742150467</c:v>
                </c:pt>
                <c:pt idx="35">
                  <c:v>287.11190742150467</c:v>
                </c:pt>
                <c:pt idx="36">
                  <c:v>287.11190742150467</c:v>
                </c:pt>
                <c:pt idx="37">
                  <c:v>287.11190742150467</c:v>
                </c:pt>
                <c:pt idx="38">
                  <c:v>287.11190742150467</c:v>
                </c:pt>
                <c:pt idx="39">
                  <c:v>287.11190742150467</c:v>
                </c:pt>
                <c:pt idx="40">
                  <c:v>287.11190742150467</c:v>
                </c:pt>
                <c:pt idx="41">
                  <c:v>287.11190742150467</c:v>
                </c:pt>
                <c:pt idx="42">
                  <c:v>287.11190742150467</c:v>
                </c:pt>
                <c:pt idx="43">
                  <c:v>287.11190742150467</c:v>
                </c:pt>
                <c:pt idx="44">
                  <c:v>287.11190742150467</c:v>
                </c:pt>
              </c:numCache>
            </c:numRef>
          </c:xVal>
          <c:yVal>
            <c:numRef>
              <c:f>'CS 1er sem datos (2)'!$V$525:$V$569</c:f>
              <c:numCache>
                <c:formatCode>General</c:formatCode>
                <c:ptCount val="45"/>
                <c:pt idx="0">
                  <c:v>75.820887455874669</c:v>
                </c:pt>
                <c:pt idx="1">
                  <c:v>75.403930559328714</c:v>
                </c:pt>
                <c:pt idx="2">
                  <c:v>74.219255442281607</c:v>
                </c:pt>
                <c:pt idx="3">
                  <c:v>72.422030979321647</c:v>
                </c:pt>
                <c:pt idx="4">
                  <c:v>70.179120424793908</c:v>
                </c:pt>
                <c:pt idx="5">
                  <c:v>67.625326772187762</c:v>
                </c:pt>
                <c:pt idx="6">
                  <c:v>64.85656185960751</c:v>
                </c:pt>
                <c:pt idx="7">
                  <c:v>61.937903656407016</c:v>
                </c:pt>
                <c:pt idx="8">
                  <c:v>58.913198956609463</c:v>
                </c:pt>
                <c:pt idx="9">
                  <c:v>55.812364414492947</c:v>
                </c:pt>
                <c:pt idx="10">
                  <c:v>52.656260335367804</c:v>
                </c:pt>
                <c:pt idx="11">
                  <c:v>49.459812598063799</c:v>
                </c:pt>
                <c:pt idx="12">
                  <c:v>46.234000924702507</c:v>
                </c:pt>
                <c:pt idx="13">
                  <c:v>42.987138064766839</c:v>
                </c:pt>
                <c:pt idx="14">
                  <c:v>39.725707391673502</c:v>
                </c:pt>
                <c:pt idx="15">
                  <c:v>36.454923161732175</c:v>
                </c:pt>
                <c:pt idx="16">
                  <c:v>33.179114183303909</c:v>
                </c:pt>
                <c:pt idx="17">
                  <c:v>29.901993339964587</c:v>
                </c:pt>
                <c:pt idx="18">
                  <c:v>26.626852300629036</c:v>
                </c:pt>
                <c:pt idx="19">
                  <c:v>23.356706677362645</c:v>
                </c:pt>
                <c:pt idx="20">
                  <c:v>20.094408212134532</c:v>
                </c:pt>
                <c:pt idx="21">
                  <c:v>16.842735146975919</c:v>
                </c:pt>
                <c:pt idx="22">
                  <c:v>13.604468496767481</c:v>
                </c:pt>
                <c:pt idx="23">
                  <c:v>10.382459749151513</c:v>
                </c:pt>
                <c:pt idx="24">
                  <c:v>7.1796941081018506</c:v>
                </c:pt>
                <c:pt idx="25">
                  <c:v>3.9993524973288235</c:v>
                </c:pt>
                <c:pt idx="26">
                  <c:v>0.84487497082691032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1"/>
        </c:ser>
        <c:ser>
          <c:idx val="11"/>
          <c:order val="11"/>
          <c:tx>
            <c:v>may-02</c:v>
          </c:tx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 (2)'!$AC$525:$AC$569</c:f>
              <c:numCache>
                <c:formatCode>General</c:formatCode>
                <c:ptCount val="45"/>
                <c:pt idx="0">
                  <c:v>180</c:v>
                </c:pt>
                <c:pt idx="1">
                  <c:v>206.49779951335583</c:v>
                </c:pt>
                <c:pt idx="2">
                  <c:v>225.54339019345761</c:v>
                </c:pt>
                <c:pt idx="3">
                  <c:v>237.79206008253607</c:v>
                </c:pt>
                <c:pt idx="4">
                  <c:v>245.91933603043339</c:v>
                </c:pt>
                <c:pt idx="5">
                  <c:v>251.67877402875439</c:v>
                </c:pt>
                <c:pt idx="6">
                  <c:v>256.02522364421304</c:v>
                </c:pt>
                <c:pt idx="7">
                  <c:v>259.48305718385336</c:v>
                </c:pt>
                <c:pt idx="8">
                  <c:v>262.35478236405373</c:v>
                </c:pt>
                <c:pt idx="9">
                  <c:v>264.82455959073781</c:v>
                </c:pt>
                <c:pt idx="10">
                  <c:v>267.01020777027958</c:v>
                </c:pt>
                <c:pt idx="11">
                  <c:v>268.990503194631</c:v>
                </c:pt>
                <c:pt idx="12">
                  <c:v>270.82022462339319</c:v>
                </c:pt>
                <c:pt idx="13">
                  <c:v>272.53883691192243</c:v>
                </c:pt>
                <c:pt idx="14">
                  <c:v>274.175717163689</c:v>
                </c:pt>
                <c:pt idx="15">
                  <c:v>275.75342021465775</c:v>
                </c:pt>
                <c:pt idx="16">
                  <c:v>277.28978899698308</c:v>
                </c:pt>
                <c:pt idx="17">
                  <c:v>278.79936090721395</c:v>
                </c:pt>
                <c:pt idx="18">
                  <c:v>280.29433209625461</c:v>
                </c:pt>
                <c:pt idx="19">
                  <c:v>281.78523676530943</c:v>
                </c:pt>
                <c:pt idx="20">
                  <c:v>283.28143846255932</c:v>
                </c:pt>
                <c:pt idx="21">
                  <c:v>284.79149484341644</c:v>
                </c:pt>
                <c:pt idx="22">
                  <c:v>286.32343572706782</c:v>
                </c:pt>
                <c:pt idx="23">
                  <c:v>287.884980737614</c:v>
                </c:pt>
                <c:pt idx="24">
                  <c:v>289.48371408277904</c:v>
                </c:pt>
                <c:pt idx="25">
                  <c:v>291.1272281923155</c:v>
                </c:pt>
                <c:pt idx="26">
                  <c:v>292.82324386762787</c:v>
                </c:pt>
                <c:pt idx="27">
                  <c:v>294.57971156973332</c:v>
                </c:pt>
                <c:pt idx="28">
                  <c:v>295.42782328735052</c:v>
                </c:pt>
                <c:pt idx="29">
                  <c:v>295.42782328735052</c:v>
                </c:pt>
                <c:pt idx="30">
                  <c:v>295.42782328735052</c:v>
                </c:pt>
                <c:pt idx="31">
                  <c:v>295.42782328735052</c:v>
                </c:pt>
                <c:pt idx="32">
                  <c:v>295.42782328735052</c:v>
                </c:pt>
                <c:pt idx="33">
                  <c:v>295.42782328735052</c:v>
                </c:pt>
                <c:pt idx="34">
                  <c:v>295.42782328735052</c:v>
                </c:pt>
                <c:pt idx="35">
                  <c:v>295.42782328735052</c:v>
                </c:pt>
                <c:pt idx="36">
                  <c:v>295.42782328735052</c:v>
                </c:pt>
                <c:pt idx="37">
                  <c:v>295.42782328735052</c:v>
                </c:pt>
                <c:pt idx="38">
                  <c:v>295.42782328735052</c:v>
                </c:pt>
                <c:pt idx="39">
                  <c:v>295.42782328735052</c:v>
                </c:pt>
                <c:pt idx="40">
                  <c:v>295.42782328735052</c:v>
                </c:pt>
                <c:pt idx="41">
                  <c:v>295.42782328735052</c:v>
                </c:pt>
                <c:pt idx="42">
                  <c:v>295.42782328735052</c:v>
                </c:pt>
                <c:pt idx="43">
                  <c:v>295.42782328735052</c:v>
                </c:pt>
                <c:pt idx="44">
                  <c:v>295.42782328735052</c:v>
                </c:pt>
              </c:numCache>
            </c:numRef>
          </c:xVal>
          <c:yVal>
            <c:numRef>
              <c:f>'CS 1er sem datos (2)'!$AB$525:$AB$569</c:f>
              <c:numCache>
                <c:formatCode>General</c:formatCode>
                <c:ptCount val="45"/>
                <c:pt idx="0">
                  <c:v>82.959624558737431</c:v>
                </c:pt>
                <c:pt idx="1">
                  <c:v>82.190610360438285</c:v>
                </c:pt>
                <c:pt idx="2">
                  <c:v>80.241084021286682</c:v>
                </c:pt>
                <c:pt idx="3">
                  <c:v>77.659460168674883</c:v>
                </c:pt>
                <c:pt idx="4">
                  <c:v>74.765245687919915</c:v>
                </c:pt>
                <c:pt idx="5">
                  <c:v>71.707994207809435</c:v>
                </c:pt>
                <c:pt idx="6">
                  <c:v>68.559315678555663</c:v>
                </c:pt>
                <c:pt idx="7">
                  <c:v>65.356373345511315</c:v>
                </c:pt>
                <c:pt idx="8">
                  <c:v>62.120147714715685</c:v>
                </c:pt>
                <c:pt idx="9">
                  <c:v>58.863430130174407</c:v>
                </c:pt>
                <c:pt idx="10">
                  <c:v>55.594581223038837</c:v>
                </c:pt>
                <c:pt idx="11">
                  <c:v>52.319428670327412</c:v>
                </c:pt>
                <c:pt idx="12">
                  <c:v>49.04228910837859</c:v>
                </c:pt>
                <c:pt idx="13">
                  <c:v>45.766550833953623</c:v>
                </c:pt>
                <c:pt idx="14">
                  <c:v>42.495023757793398</c:v>
                </c:pt>
                <c:pt idx="15">
                  <c:v>39.230160105746087</c:v>
                </c:pt>
                <c:pt idx="16">
                  <c:v>35.974200517974971</c:v>
                </c:pt>
                <c:pt idx="17">
                  <c:v>32.729275782797934</c:v>
                </c:pt>
                <c:pt idx="18">
                  <c:v>29.497481663761743</c:v>
                </c:pt>
                <c:pt idx="19">
                  <c:v>26.280937316511903</c:v>
                </c:pt>
                <c:pt idx="20">
                  <c:v>23.081833865003894</c:v>
                </c:pt>
                <c:pt idx="21">
                  <c:v>19.902477425593524</c:v>
                </c:pt>
                <c:pt idx="22">
                  <c:v>16.74532951014211</c:v>
                </c:pt>
                <c:pt idx="23">
                  <c:v>13.613046915231564</c:v>
                </c:pt>
                <c:pt idx="24">
                  <c:v>10.508522694850116</c:v>
                </c:pt>
                <c:pt idx="25">
                  <c:v>7.4349294898703304</c:v>
                </c:pt>
                <c:pt idx="26">
                  <c:v>4.3957662688924266</c:v>
                </c:pt>
                <c:pt idx="27">
                  <c:v>1.3949093661271876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1"/>
        </c:ser>
        <c:ser>
          <c:idx val="12"/>
          <c:order val="12"/>
          <c:tx>
            <c:v>jun-02</c:v>
          </c:tx>
          <c:spPr>
            <a:ln>
              <a:solidFill>
                <a:srgbClr val="4F81BD"/>
              </a:solidFill>
            </a:ln>
          </c:spPr>
          <c:marker>
            <c:symbol val="none"/>
          </c:marker>
          <c:xVal>
            <c:numRef>
              <c:f>'CS 1er sem datos (2)'!$AI$525:$AI$569</c:f>
              <c:numCache>
                <c:formatCode>General</c:formatCode>
                <c:ptCount val="45"/>
                <c:pt idx="0">
                  <c:v>180</c:v>
                </c:pt>
                <c:pt idx="1">
                  <c:v>211.69934694723446</c:v>
                </c:pt>
                <c:pt idx="2">
                  <c:v>231.78157686363591</c:v>
                </c:pt>
                <c:pt idx="3">
                  <c:v>243.42181164133211</c:v>
                </c:pt>
                <c:pt idx="4">
                  <c:v>250.75093139063102</c:v>
                </c:pt>
                <c:pt idx="5">
                  <c:v>255.8318733592553</c:v>
                </c:pt>
                <c:pt idx="6">
                  <c:v>259.64235630776113</c:v>
                </c:pt>
                <c:pt idx="7">
                  <c:v>262.6797928748191</c:v>
                </c:pt>
                <c:pt idx="8">
                  <c:v>265.21841997175375</c:v>
                </c:pt>
                <c:pt idx="9">
                  <c:v>267.4204974315395</c:v>
                </c:pt>
                <c:pt idx="10">
                  <c:v>269.38792561637877</c:v>
                </c:pt>
                <c:pt idx="11">
                  <c:v>271.18801673411542</c:v>
                </c:pt>
                <c:pt idx="12">
                  <c:v>272.86722527083782</c:v>
                </c:pt>
                <c:pt idx="13">
                  <c:v>274.45888516156208</c:v>
                </c:pt>
                <c:pt idx="14">
                  <c:v>275.98778532163647</c:v>
                </c:pt>
                <c:pt idx="15">
                  <c:v>277.47299126648818</c:v>
                </c:pt>
                <c:pt idx="16">
                  <c:v>278.92965056012429</c:v>
                </c:pt>
                <c:pt idx="17">
                  <c:v>280.37018698455319</c:v>
                </c:pt>
                <c:pt idx="18">
                  <c:v>281.80511482773534</c:v>
                </c:pt>
                <c:pt idx="19">
                  <c:v>283.24361032975276</c:v>
                </c:pt>
                <c:pt idx="20">
                  <c:v>284.69392403052012</c:v>
                </c:pt>
                <c:pt idx="21">
                  <c:v>286.16368661424912</c:v>
                </c:pt>
                <c:pt idx="22">
                  <c:v>287.66014205849046</c:v>
                </c:pt>
                <c:pt idx="23">
                  <c:v>289.19033021171845</c:v>
                </c:pt>
                <c:pt idx="24">
                  <c:v>290.76123341972379</c:v>
                </c:pt>
                <c:pt idx="25">
                  <c:v>292.3798968163652</c:v>
                </c:pt>
                <c:pt idx="26">
                  <c:v>294.05352838738099</c:v>
                </c:pt>
                <c:pt idx="27">
                  <c:v>295.78958228696058</c:v>
                </c:pt>
                <c:pt idx="28">
                  <c:v>297.0871391084072</c:v>
                </c:pt>
                <c:pt idx="29">
                  <c:v>297.0871391084072</c:v>
                </c:pt>
                <c:pt idx="30">
                  <c:v>297.0871391084072</c:v>
                </c:pt>
                <c:pt idx="31">
                  <c:v>297.0871391084072</c:v>
                </c:pt>
                <c:pt idx="32">
                  <c:v>297.0871391084072</c:v>
                </c:pt>
                <c:pt idx="33">
                  <c:v>297.0871391084072</c:v>
                </c:pt>
                <c:pt idx="34">
                  <c:v>297.0871391084072</c:v>
                </c:pt>
                <c:pt idx="35">
                  <c:v>297.0871391084072</c:v>
                </c:pt>
                <c:pt idx="36">
                  <c:v>297.0871391084072</c:v>
                </c:pt>
                <c:pt idx="37">
                  <c:v>297.0871391084072</c:v>
                </c:pt>
                <c:pt idx="38">
                  <c:v>297.0871391084072</c:v>
                </c:pt>
                <c:pt idx="39">
                  <c:v>297.0871391084072</c:v>
                </c:pt>
                <c:pt idx="40">
                  <c:v>297.0871391084072</c:v>
                </c:pt>
                <c:pt idx="41">
                  <c:v>297.0871391084072</c:v>
                </c:pt>
                <c:pt idx="42">
                  <c:v>297.0871391084072</c:v>
                </c:pt>
                <c:pt idx="43">
                  <c:v>297.0871391084072</c:v>
                </c:pt>
                <c:pt idx="44">
                  <c:v>297.0871391084072</c:v>
                </c:pt>
              </c:numCache>
            </c:numRef>
          </c:xVal>
          <c:yVal>
            <c:numRef>
              <c:f>'CS 1er sem datos (2)'!$AH$525:$AH$569</c:f>
              <c:numCache>
                <c:formatCode>General</c:formatCode>
                <c:ptCount val="45"/>
                <c:pt idx="0">
                  <c:v>84.369782846813621</c:v>
                </c:pt>
                <c:pt idx="1">
                  <c:v>83.443209461256842</c:v>
                </c:pt>
                <c:pt idx="2">
                  <c:v>81.233104553844399</c:v>
                </c:pt>
                <c:pt idx="3">
                  <c:v>78.455669637047322</c:v>
                </c:pt>
                <c:pt idx="4">
                  <c:v>75.433504705998018</c:v>
                </c:pt>
                <c:pt idx="5">
                  <c:v>72.293384766068968</c:v>
                </c:pt>
                <c:pt idx="6">
                  <c:v>69.090493335033685</c:v>
                </c:pt>
                <c:pt idx="7">
                  <c:v>65.852065383625572</c:v>
                </c:pt>
                <c:pt idx="8">
                  <c:v>62.593106094089499</c:v>
                </c:pt>
                <c:pt idx="9">
                  <c:v>59.322699706541478</c:v>
                </c:pt>
                <c:pt idx="10">
                  <c:v>56.046823385268709</c:v>
                </c:pt>
                <c:pt idx="11">
                  <c:v>52.769720664377957</c:v>
                </c:pt>
                <c:pt idx="12">
                  <c:v>49.494624805188728</c:v>
                </c:pt>
                <c:pt idx="13">
                  <c:v>46.224165608624986</c:v>
                </c:pt>
                <c:pt idx="14">
                  <c:v>42.96061211769922</c:v>
                </c:pt>
                <c:pt idx="15">
                  <c:v>39.706025776532329</c:v>
                </c:pt>
                <c:pt idx="16">
                  <c:v>36.462362723804389</c:v>
                </c:pt>
                <c:pt idx="17">
                  <c:v>33.231546345941183</c:v>
                </c:pt>
                <c:pt idx="18">
                  <c:v>30.015522183197557</c:v>
                </c:pt>
                <c:pt idx="19">
                  <c:v>26.816302428045219</c:v>
                </c:pt>
                <c:pt idx="20">
                  <c:v>23.63600454935963</c:v>
                </c:pt>
                <c:pt idx="21">
                  <c:v>20.476887020474013</c:v>
                </c:pt>
                <c:pt idx="22">
                  <c:v>17.341384212199728</c:v>
                </c:pt>
                <c:pt idx="23">
                  <c:v>14.232141959296721</c:v>
                </c:pt>
                <c:pt idx="24">
                  <c:v>11.152054967319165</c:v>
                </c:pt>
                <c:pt idx="25">
                  <c:v>8.1043070057537481</c:v>
                </c:pt>
                <c:pt idx="26">
                  <c:v>5.0924146750739654</c:v>
                </c:pt>
                <c:pt idx="27">
                  <c:v>2.1202753980372413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1"/>
        </c:ser>
        <c:ser>
          <c:idx val="13"/>
          <c:order val="13"/>
          <c:tx>
            <c:v>Diciembre2</c:v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12pm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1er sem datos (2)'!$AO$525:$AO$569</c:f>
              <c:numCache>
                <c:formatCode>General</c:formatCode>
                <c:ptCount val="45"/>
                <c:pt idx="0">
                  <c:v>180</c:v>
                </c:pt>
                <c:pt idx="1">
                  <c:v>184.36838346865579</c:v>
                </c:pt>
                <c:pt idx="2">
                  <c:v>188.69944121047635</c:v>
                </c:pt>
                <c:pt idx="3">
                  <c:v>192.95795378069741</c:v>
                </c:pt>
                <c:pt idx="4">
                  <c:v>197.11262900070537</c:v>
                </c:pt>
                <c:pt idx="5">
                  <c:v>201.13742196405752</c:v>
                </c:pt>
                <c:pt idx="6">
                  <c:v>205.01225149463744</c:v>
                </c:pt>
                <c:pt idx="7">
                  <c:v>208.72312851760847</c:v>
                </c:pt>
                <c:pt idx="8">
                  <c:v>212.26180174788342</c:v>
                </c:pt>
                <c:pt idx="9">
                  <c:v>215.62507210657833</c:v>
                </c:pt>
                <c:pt idx="10">
                  <c:v>218.81393144775981</c:v>
                </c:pt>
                <c:pt idx="11">
                  <c:v>221.83265669202927</c:v>
                </c:pt>
                <c:pt idx="12">
                  <c:v>224.68795305422185</c:v>
                </c:pt>
                <c:pt idx="13">
                  <c:v>227.38820219580214</c:v>
                </c:pt>
                <c:pt idx="14">
                  <c:v>229.94283999777741</c:v>
                </c:pt>
                <c:pt idx="15">
                  <c:v>232.36186671824436</c:v>
                </c:pt>
                <c:pt idx="16">
                  <c:v>234.65547904775269</c:v>
                </c:pt>
                <c:pt idx="17">
                  <c:v>236.83380710924237</c:v>
                </c:pt>
                <c:pt idx="18">
                  <c:v>238.90673760769607</c:v>
                </c:pt>
                <c:pt idx="19">
                  <c:v>240.88380526503175</c:v>
                </c:pt>
                <c:pt idx="20">
                  <c:v>242.77413702084823</c:v>
                </c:pt>
                <c:pt idx="21">
                  <c:v>243.42913169308855</c:v>
                </c:pt>
                <c:pt idx="22">
                  <c:v>243.42913169308855</c:v>
                </c:pt>
                <c:pt idx="23">
                  <c:v>243.42913169308855</c:v>
                </c:pt>
                <c:pt idx="24">
                  <c:v>243.42913169308855</c:v>
                </c:pt>
                <c:pt idx="25">
                  <c:v>243.42913169308855</c:v>
                </c:pt>
                <c:pt idx="26">
                  <c:v>243.42913169308855</c:v>
                </c:pt>
                <c:pt idx="27">
                  <c:v>243.42913169308855</c:v>
                </c:pt>
                <c:pt idx="28">
                  <c:v>243.42913169308855</c:v>
                </c:pt>
                <c:pt idx="29">
                  <c:v>243.42913169308855</c:v>
                </c:pt>
                <c:pt idx="30">
                  <c:v>243.42913169308855</c:v>
                </c:pt>
                <c:pt idx="31">
                  <c:v>243.42913169308855</c:v>
                </c:pt>
                <c:pt idx="32">
                  <c:v>243.42913169308855</c:v>
                </c:pt>
                <c:pt idx="33">
                  <c:v>243.42913169308855</c:v>
                </c:pt>
                <c:pt idx="34">
                  <c:v>243.42913169308855</c:v>
                </c:pt>
                <c:pt idx="35">
                  <c:v>243.42913169308855</c:v>
                </c:pt>
                <c:pt idx="36">
                  <c:v>243.42913169308855</c:v>
                </c:pt>
                <c:pt idx="37">
                  <c:v>243.42913169308855</c:v>
                </c:pt>
                <c:pt idx="38">
                  <c:v>243.42913169308855</c:v>
                </c:pt>
                <c:pt idx="39">
                  <c:v>243.42913169308855</c:v>
                </c:pt>
                <c:pt idx="40">
                  <c:v>243.42913169308855</c:v>
                </c:pt>
                <c:pt idx="41">
                  <c:v>243.42913169308855</c:v>
                </c:pt>
                <c:pt idx="42">
                  <c:v>243.42913169308855</c:v>
                </c:pt>
                <c:pt idx="43">
                  <c:v>243.42913169308855</c:v>
                </c:pt>
                <c:pt idx="44">
                  <c:v>243.42913169308855</c:v>
                </c:pt>
              </c:numCache>
            </c:numRef>
          </c:xVal>
          <c:yVal>
            <c:numRef>
              <c:f>'CS 1er sem datos (2)'!$AN$525:$AN$569</c:f>
              <c:numCache>
                <c:formatCode>General</c:formatCode>
                <c:ptCount val="45"/>
                <c:pt idx="0">
                  <c:v>37.908363272130764</c:v>
                </c:pt>
                <c:pt idx="1">
                  <c:v>37.783399579107147</c:v>
                </c:pt>
                <c:pt idx="2">
                  <c:v>37.410299462056066</c:v>
                </c:pt>
                <c:pt idx="3">
                  <c:v>36.794310562600629</c:v>
                </c:pt>
                <c:pt idx="4">
                  <c:v>35.943781380086349</c:v>
                </c:pt>
                <c:pt idx="5">
                  <c:v>34.869629107521455</c:v>
                </c:pt>
                <c:pt idx="6">
                  <c:v>33.584705474254456</c:v>
                </c:pt>
                <c:pt idx="7">
                  <c:v>32.103137689028557</c:v>
                </c:pt>
                <c:pt idx="8">
                  <c:v>30.439709654260056</c:v>
                </c:pt>
                <c:pt idx="9">
                  <c:v>28.609328312721424</c:v>
                </c:pt>
                <c:pt idx="10">
                  <c:v>26.626598034991446</c:v>
                </c:pt>
                <c:pt idx="11">
                  <c:v>24.505507292084097</c:v>
                </c:pt>
                <c:pt idx="12">
                  <c:v>22.259218825541542</c:v>
                </c:pt>
                <c:pt idx="13">
                  <c:v>19.899947289311033</c:v>
                </c:pt>
                <c:pt idx="14">
                  <c:v>17.43890578214755</c:v>
                </c:pt>
                <c:pt idx="15">
                  <c:v>14.886303279823363</c:v>
                </c:pt>
                <c:pt idx="16">
                  <c:v>12.251377298592953</c:v>
                </c:pt>
                <c:pt idx="17">
                  <c:v>9.5424491197324475</c:v>
                </c:pt>
                <c:pt idx="18">
                  <c:v>6.7669919116472963</c:v>
                </c:pt>
                <c:pt idx="19">
                  <c:v>3.9317047480627632</c:v>
                </c:pt>
                <c:pt idx="20">
                  <c:v>1.0425877010819102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1"/>
        </c:ser>
        <c:ser>
          <c:idx val="14"/>
          <c:order val="14"/>
          <c:tx>
            <c:v>1am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xVal>
            <c:numRef>
              <c:f>'CS 1er sem datos (2)'!$AR$242:$AR$248</c:f>
              <c:numCache>
                <c:formatCode>General</c:formatCode>
                <c:ptCount val="7"/>
                <c:pt idx="0">
                  <c:v>116.57086830691144</c:v>
                </c:pt>
                <c:pt idx="1">
                  <c:v>110.14480796075449</c:v>
                </c:pt>
                <c:pt idx="2">
                  <c:v>99.500362928216276</c:v>
                </c:pt>
                <c:pt idx="3">
                  <c:v>85.402618331677971</c:v>
                </c:pt>
                <c:pt idx="4">
                  <c:v>72.888092578495346</c:v>
                </c:pt>
                <c:pt idx="5">
                  <c:v>64.572176712649494</c:v>
                </c:pt>
                <c:pt idx="6">
                  <c:v>62.9128608915928</c:v>
                </c:pt>
              </c:numCache>
            </c:numRef>
          </c:xVal>
          <c:yVal>
            <c:numRef>
              <c:f>'CS 1er sem datos (2)'!$AQ$242:$AQ$248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ser>
          <c:idx val="15"/>
          <c:order val="15"/>
          <c:tx>
            <c:v>2am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xVal>
            <c:numRef>
              <c:f>'CS 1er sem datos (2)'!$AT$242:$AT$248</c:f>
              <c:numCache>
                <c:formatCode>General</c:formatCode>
                <c:ptCount val="7"/>
                <c:pt idx="0">
                  <c:v>116.57086830691144</c:v>
                </c:pt>
                <c:pt idx="1">
                  <c:v>110.14480796075449</c:v>
                </c:pt>
                <c:pt idx="2">
                  <c:v>99.500362928216276</c:v>
                </c:pt>
                <c:pt idx="3">
                  <c:v>85.402618331677971</c:v>
                </c:pt>
                <c:pt idx="4">
                  <c:v>72.888092578495346</c:v>
                </c:pt>
                <c:pt idx="5">
                  <c:v>64.572176712649494</c:v>
                </c:pt>
                <c:pt idx="6">
                  <c:v>62.9128608915928</c:v>
                </c:pt>
              </c:numCache>
            </c:numRef>
          </c:xVal>
          <c:yVal>
            <c:numRef>
              <c:f>'CS 1er sem datos (2)'!$AS$242:$AS$248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ser>
          <c:idx val="16"/>
          <c:order val="16"/>
          <c:tx>
            <c:v>3am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xVal>
            <c:numRef>
              <c:f>'CS 1er sem datos (2)'!$AV$242:$AV$248</c:f>
              <c:numCache>
                <c:formatCode>General</c:formatCode>
                <c:ptCount val="7"/>
                <c:pt idx="0">
                  <c:v>116.57086830691144</c:v>
                </c:pt>
                <c:pt idx="1">
                  <c:v>110.14480796075449</c:v>
                </c:pt>
                <c:pt idx="2">
                  <c:v>99.500362928216276</c:v>
                </c:pt>
                <c:pt idx="3">
                  <c:v>85.402618331677971</c:v>
                </c:pt>
                <c:pt idx="4">
                  <c:v>72.888092578495346</c:v>
                </c:pt>
                <c:pt idx="5">
                  <c:v>64.572176712649494</c:v>
                </c:pt>
                <c:pt idx="6">
                  <c:v>62.9128608915928</c:v>
                </c:pt>
              </c:numCache>
            </c:numRef>
          </c:xVal>
          <c:yVal>
            <c:numRef>
              <c:f>'CS 1er sem datos (2)'!$AU$242:$AU$248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ser>
          <c:idx val="17"/>
          <c:order val="17"/>
          <c:tx>
            <c:v>4am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xVal>
            <c:numRef>
              <c:f>'CS 1er sem datos (2)'!$AX$242:$AX$248</c:f>
              <c:numCache>
                <c:formatCode>General</c:formatCode>
                <c:ptCount val="7"/>
                <c:pt idx="0">
                  <c:v>116.57086830691144</c:v>
                </c:pt>
                <c:pt idx="1">
                  <c:v>110.14480796075449</c:v>
                </c:pt>
                <c:pt idx="2">
                  <c:v>99.500362928216276</c:v>
                </c:pt>
                <c:pt idx="3">
                  <c:v>85.402618331677971</c:v>
                </c:pt>
                <c:pt idx="4">
                  <c:v>72.888092578495346</c:v>
                </c:pt>
                <c:pt idx="5">
                  <c:v>64.572176712649494</c:v>
                </c:pt>
                <c:pt idx="6">
                  <c:v>62.9128608915928</c:v>
                </c:pt>
              </c:numCache>
            </c:numRef>
          </c:xVal>
          <c:yVal>
            <c:numRef>
              <c:f>'CS 1er sem datos (2)'!$AW$242:$AW$248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ser>
          <c:idx val="18"/>
          <c:order val="18"/>
          <c:tx>
            <c:v>5am</c:v>
          </c:tx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5</a:t>
                    </a:r>
                    <a:r>
                      <a:rPr lang="en-US" baseline="0"/>
                      <a:t> am</a:t>
                    </a:r>
                    <a:endParaRPr lang="en-US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1er sem datos (2)'!$AZ$242:$AZ$248</c:f>
              <c:numCache>
                <c:formatCode>General</c:formatCode>
                <c:ptCount val="7"/>
                <c:pt idx="0">
                  <c:v>116.57086830691144</c:v>
                </c:pt>
                <c:pt idx="1">
                  <c:v>110.14480796075449</c:v>
                </c:pt>
                <c:pt idx="2">
                  <c:v>99.500362928216276</c:v>
                </c:pt>
                <c:pt idx="3">
                  <c:v>85.402618331677971</c:v>
                </c:pt>
                <c:pt idx="4">
                  <c:v>72.888092578495346</c:v>
                </c:pt>
                <c:pt idx="5">
                  <c:v>64.572176712649494</c:v>
                </c:pt>
                <c:pt idx="6">
                  <c:v>62.9128608915928</c:v>
                </c:pt>
              </c:numCache>
            </c:numRef>
          </c:xVal>
          <c:yVal>
            <c:numRef>
              <c:f>'CS 1er sem datos (2)'!$AY$242:$AY$248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ser>
          <c:idx val="19"/>
          <c:order val="19"/>
          <c:tx>
            <c:v>6am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6</a:t>
                    </a:r>
                    <a:r>
                      <a:rPr lang="en-US" baseline="0"/>
                      <a:t> am</a:t>
                    </a:r>
                    <a:endParaRPr lang="en-US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1er sem datos (2)'!$BB$242:$BB$248</c:f>
              <c:numCache>
                <c:formatCode>General</c:formatCode>
                <c:ptCount val="7"/>
                <c:pt idx="0">
                  <c:v>116.57086830691144</c:v>
                </c:pt>
                <c:pt idx="1">
                  <c:v>110.14480796075449</c:v>
                </c:pt>
                <c:pt idx="2">
                  <c:v>99.500362928216276</c:v>
                </c:pt>
                <c:pt idx="3">
                  <c:v>86.488170658290201</c:v>
                </c:pt>
                <c:pt idx="4">
                  <c:v>76.908415468616056</c:v>
                </c:pt>
                <c:pt idx="5">
                  <c:v>70.516285917220941</c:v>
                </c:pt>
                <c:pt idx="6">
                  <c:v>69.238766580276192</c:v>
                </c:pt>
              </c:numCache>
            </c:numRef>
          </c:xVal>
          <c:yVal>
            <c:numRef>
              <c:f>'CS 1er sem datos (2)'!$BA$242:$BA$248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1.9510766725967672</c:v>
                </c:pt>
                <c:pt idx="4">
                  <c:v>7.1796941081018506</c:v>
                </c:pt>
                <c:pt idx="5">
                  <c:v>10.508522694850116</c:v>
                </c:pt>
                <c:pt idx="6">
                  <c:v>11.152054967319165</c:v>
                </c:pt>
              </c:numCache>
            </c:numRef>
          </c:yVal>
          <c:smooth val="1"/>
        </c:ser>
        <c:ser>
          <c:idx val="20"/>
          <c:order val="20"/>
          <c:tx>
            <c:v>7am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7</a:t>
                    </a:r>
                    <a:r>
                      <a:rPr lang="en-US" baseline="0"/>
                      <a:t> am</a:t>
                    </a:r>
                    <a:endParaRPr lang="en-US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1er sem datos (2)'!$BD$242:$BD$248</c:f>
              <c:numCache>
                <c:formatCode>General</c:formatCode>
                <c:ptCount val="7"/>
                <c:pt idx="0">
                  <c:v>117.22586297915178</c:v>
                </c:pt>
                <c:pt idx="1">
                  <c:v>112.5771078319798</c:v>
                </c:pt>
                <c:pt idx="2">
                  <c:v>104.68802822282147</c:v>
                </c:pt>
                <c:pt idx="3">
                  <c:v>93.815787356682009</c:v>
                </c:pt>
                <c:pt idx="4">
                  <c:v>83.69300591455243</c:v>
                </c:pt>
                <c:pt idx="5">
                  <c:v>76.718561537440678</c:v>
                </c:pt>
                <c:pt idx="6">
                  <c:v>75.306075969479892</c:v>
                </c:pt>
              </c:numCache>
            </c:numRef>
          </c:xVal>
          <c:yVal>
            <c:numRef>
              <c:f>'CS 1er sem datos (2)'!$BC$242:$BC$248</c:f>
              <c:numCache>
                <c:formatCode>General</c:formatCode>
                <c:ptCount val="7"/>
                <c:pt idx="0">
                  <c:v>1.0425877010819102</c:v>
                </c:pt>
                <c:pt idx="1">
                  <c:v>3.9806023907424599</c:v>
                </c:pt>
                <c:pt idx="2">
                  <c:v>8.8424843209748119</c:v>
                </c:pt>
                <c:pt idx="3">
                  <c:v>15.051271742006362</c:v>
                </c:pt>
                <c:pt idx="4">
                  <c:v>20.094408212134532</c:v>
                </c:pt>
                <c:pt idx="5">
                  <c:v>23.081833865003894</c:v>
                </c:pt>
                <c:pt idx="6">
                  <c:v>23.63600454935963</c:v>
                </c:pt>
              </c:numCache>
            </c:numRef>
          </c:yVal>
          <c:smooth val="1"/>
        </c:ser>
        <c:ser>
          <c:idx val="21"/>
          <c:order val="21"/>
          <c:tx>
            <c:v>8am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8</a:t>
                    </a:r>
                    <a:r>
                      <a:rPr lang="en-US" baseline="0"/>
                      <a:t> am</a:t>
                    </a:r>
                    <a:endParaRPr lang="en-US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1er sem datos (2)'!$BF$242:$BF$248</c:f>
              <c:numCache>
                <c:formatCode>General</c:formatCode>
                <c:ptCount val="7"/>
                <c:pt idx="0">
                  <c:v>125.34452095224731</c:v>
                </c:pt>
                <c:pt idx="1">
                  <c:v>120.92625519511847</c:v>
                </c:pt>
                <c:pt idx="2">
                  <c:v>113.15708853016723</c:v>
                </c:pt>
                <c:pt idx="3">
                  <c:v>101.84583698554694</c:v>
                </c:pt>
                <c:pt idx="4">
                  <c:v>90.692173646055892</c:v>
                </c:pt>
                <c:pt idx="5">
                  <c:v>82.710211003016923</c:v>
                </c:pt>
                <c:pt idx="6">
                  <c:v>81.070349439875727</c:v>
                </c:pt>
              </c:numCache>
            </c:numRef>
          </c:xVal>
          <c:yVal>
            <c:numRef>
              <c:f>'CS 1er sem datos (2)'!$BE$242:$BE$248</c:f>
              <c:numCache>
                <c:formatCode>General</c:formatCode>
                <c:ptCount val="7"/>
                <c:pt idx="0">
                  <c:v>12.251377298592953</c:v>
                </c:pt>
                <c:pt idx="1">
                  <c:v>15.689450108647346</c:v>
                </c:pt>
                <c:pt idx="2">
                  <c:v>21.241041758651765</c:v>
                </c:pt>
                <c:pt idx="3">
                  <c:v>28.03064132064042</c:v>
                </c:pt>
                <c:pt idx="4">
                  <c:v>33.179114183303909</c:v>
                </c:pt>
                <c:pt idx="5">
                  <c:v>35.974200517974971</c:v>
                </c:pt>
                <c:pt idx="6">
                  <c:v>36.462362723804389</c:v>
                </c:pt>
              </c:numCache>
            </c:numRef>
          </c:yVal>
          <c:smooth val="1"/>
        </c:ser>
        <c:ser>
          <c:idx val="22"/>
          <c:order val="22"/>
          <c:tx>
            <c:v>9am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9</a:t>
                    </a:r>
                    <a:r>
                      <a:rPr lang="en-US" baseline="0"/>
                      <a:t> am</a:t>
                    </a:r>
                    <a:endParaRPr lang="en-US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1er sem datos (2)'!$BH$242:$BH$248</c:f>
              <c:numCache>
                <c:formatCode>General</c:formatCode>
                <c:ptCount val="7"/>
                <c:pt idx="0">
                  <c:v>135.31204694577815</c:v>
                </c:pt>
                <c:pt idx="1">
                  <c:v>131.22199491730089</c:v>
                </c:pt>
                <c:pt idx="2">
                  <c:v>123.67138966374844</c:v>
                </c:pt>
                <c:pt idx="3">
                  <c:v>111.76387408261022</c:v>
                </c:pt>
                <c:pt idx="4">
                  <c:v>98.931073312987834</c:v>
                </c:pt>
                <c:pt idx="5">
                  <c:v>89.179775376606813</c:v>
                </c:pt>
                <c:pt idx="6">
                  <c:v>87.132774729162193</c:v>
                </c:pt>
              </c:numCache>
            </c:numRef>
          </c:xVal>
          <c:yVal>
            <c:numRef>
              <c:f>'CS 1er sem datos (2)'!$BG$242:$BG$248</c:f>
              <c:numCache>
                <c:formatCode>General</c:formatCode>
                <c:ptCount val="7"/>
                <c:pt idx="0">
                  <c:v>22.259218825541542</c:v>
                </c:pt>
                <c:pt idx="1">
                  <c:v>26.297342212361595</c:v>
                </c:pt>
                <c:pt idx="2">
                  <c:v>32.778902474630826</c:v>
                </c:pt>
                <c:pt idx="3">
                  <c:v>40.579187314260722</c:v>
                </c:pt>
                <c:pt idx="4">
                  <c:v>46.234000924702507</c:v>
                </c:pt>
                <c:pt idx="5">
                  <c:v>49.04228910837859</c:v>
                </c:pt>
                <c:pt idx="6">
                  <c:v>49.494624805188728</c:v>
                </c:pt>
              </c:numCache>
            </c:numRef>
          </c:yVal>
          <c:smooth val="1"/>
        </c:ser>
        <c:ser>
          <c:idx val="23"/>
          <c:order val="23"/>
          <c:tx>
            <c:v>10am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  <a:r>
                      <a:rPr lang="en-US" baseline="0"/>
                      <a:t> am</a:t>
                    </a:r>
                    <a:endParaRPr lang="en-US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1er sem datos (2)'!$BJ$242:$BJ$248</c:f>
              <c:numCache>
                <c:formatCode>General</c:formatCode>
                <c:ptCount val="7"/>
                <c:pt idx="0">
                  <c:v>147.73819825211658</c:v>
                </c:pt>
                <c:pt idx="1">
                  <c:v>144.33588641082156</c:v>
                </c:pt>
                <c:pt idx="2">
                  <c:v>137.63858177436344</c:v>
                </c:pt>
                <c:pt idx="3">
                  <c:v>125.71951693085082</c:v>
                </c:pt>
                <c:pt idx="4">
                  <c:v>110.64261236918068</c:v>
                </c:pt>
                <c:pt idx="5">
                  <c:v>97.645217635946267</c:v>
                </c:pt>
                <c:pt idx="6">
                  <c:v>94.781580028246267</c:v>
                </c:pt>
              </c:numCache>
            </c:numRef>
          </c:xVal>
          <c:yVal>
            <c:numRef>
              <c:f>'CS 1er sem datos (2)'!$BI$242:$BI$248</c:f>
              <c:numCache>
                <c:formatCode>General</c:formatCode>
                <c:ptCount val="7"/>
                <c:pt idx="0">
                  <c:v>30.439709654260056</c:v>
                </c:pt>
                <c:pt idx="1">
                  <c:v>35.132915612826856</c:v>
                </c:pt>
                <c:pt idx="2">
                  <c:v>42.752422426604682</c:v>
                </c:pt>
                <c:pt idx="3">
                  <c:v>52.096153918797427</c:v>
                </c:pt>
                <c:pt idx="4">
                  <c:v>58.913198956609463</c:v>
                </c:pt>
                <c:pt idx="5">
                  <c:v>62.120147714715685</c:v>
                </c:pt>
                <c:pt idx="6">
                  <c:v>62.593106094089499</c:v>
                </c:pt>
              </c:numCache>
            </c:numRef>
          </c:yVal>
          <c:smooth val="1"/>
        </c:ser>
        <c:ser>
          <c:idx val="24"/>
          <c:order val="24"/>
          <c:tx>
            <c:v>11am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11</a:t>
                    </a:r>
                    <a:r>
                      <a:rPr lang="en-US" baseline="0"/>
                      <a:t> am</a:t>
                    </a:r>
                    <a:endParaRPr lang="en-US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1er sem datos (2)'!$BL$242:$BL$248</c:f>
              <c:numCache>
                <c:formatCode>General</c:formatCode>
                <c:ptCount val="7"/>
                <c:pt idx="0">
                  <c:v>162.88737099929463</c:v>
                </c:pt>
                <c:pt idx="1">
                  <c:v>160.84947792309023</c:v>
                </c:pt>
                <c:pt idx="2">
                  <c:v>156.55697888534539</c:v>
                </c:pt>
                <c:pt idx="3">
                  <c:v>147.61688935411229</c:v>
                </c:pt>
                <c:pt idx="4">
                  <c:v>132.47024428392857</c:v>
                </c:pt>
                <c:pt idx="5">
                  <c:v>114.0806639695666</c:v>
                </c:pt>
                <c:pt idx="6">
                  <c:v>109.24906860936896</c:v>
                </c:pt>
              </c:numCache>
            </c:numRef>
          </c:xVal>
          <c:yVal>
            <c:numRef>
              <c:f>'CS 1er sem datos (2)'!$BK$242:$BK$248</c:f>
              <c:numCache>
                <c:formatCode>General</c:formatCode>
                <c:ptCount val="7"/>
                <c:pt idx="0">
                  <c:v>35.943781380086349</c:v>
                </c:pt>
                <c:pt idx="1">
                  <c:v>41.203386965463082</c:v>
                </c:pt>
                <c:pt idx="2">
                  <c:v>49.927090631227195</c:v>
                </c:pt>
                <c:pt idx="3">
                  <c:v>61.179653601104718</c:v>
                </c:pt>
                <c:pt idx="4">
                  <c:v>70.179120424793908</c:v>
                </c:pt>
                <c:pt idx="5">
                  <c:v>74.765245687919915</c:v>
                </c:pt>
                <c:pt idx="6">
                  <c:v>75.433504705998018</c:v>
                </c:pt>
              </c:numCache>
            </c:numRef>
          </c:yVal>
          <c:smooth val="1"/>
        </c:ser>
        <c:ser>
          <c:idx val="27"/>
          <c:order val="25"/>
          <c:tx>
            <c:v>1pm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  <a:r>
                      <a:rPr lang="en-US" baseline="0"/>
                      <a:t> pm</a:t>
                    </a:r>
                    <a:endParaRPr lang="en-US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1er sem datos (2)'!$BR$242:$BR$248</c:f>
              <c:numCache>
                <c:formatCode>General</c:formatCode>
                <c:ptCount val="7"/>
                <c:pt idx="0">
                  <c:v>197.11262900070537</c:v>
                </c:pt>
                <c:pt idx="1">
                  <c:v>199.15052207690977</c:v>
                </c:pt>
                <c:pt idx="2">
                  <c:v>203.44302111465461</c:v>
                </c:pt>
                <c:pt idx="3">
                  <c:v>212.38311064588771</c:v>
                </c:pt>
                <c:pt idx="4">
                  <c:v>227.52975571607143</c:v>
                </c:pt>
                <c:pt idx="5">
                  <c:v>245.91933603043339</c:v>
                </c:pt>
                <c:pt idx="6">
                  <c:v>250.75093139063102</c:v>
                </c:pt>
              </c:numCache>
            </c:numRef>
          </c:xVal>
          <c:yVal>
            <c:numRef>
              <c:f>'CS 1er sem datos (2)'!$BQ$242:$BQ$248</c:f>
              <c:numCache>
                <c:formatCode>General</c:formatCode>
                <c:ptCount val="7"/>
                <c:pt idx="0">
                  <c:v>35.943781380086349</c:v>
                </c:pt>
                <c:pt idx="1">
                  <c:v>41.203386965463082</c:v>
                </c:pt>
                <c:pt idx="2">
                  <c:v>49.927090631227195</c:v>
                </c:pt>
                <c:pt idx="3">
                  <c:v>61.179653601104718</c:v>
                </c:pt>
                <c:pt idx="4">
                  <c:v>70.179120424793908</c:v>
                </c:pt>
                <c:pt idx="5">
                  <c:v>74.765245687919915</c:v>
                </c:pt>
                <c:pt idx="6">
                  <c:v>75.433504705998018</c:v>
                </c:pt>
              </c:numCache>
            </c:numRef>
          </c:yVal>
          <c:smooth val="1"/>
        </c:ser>
        <c:ser>
          <c:idx val="28"/>
          <c:order val="26"/>
          <c:tx>
            <c:v>2pm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  <a:r>
                      <a:rPr lang="en-US" baseline="0"/>
                      <a:t> pm</a:t>
                    </a:r>
                    <a:endParaRPr lang="en-US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1er sem datos (2)'!$BT$242:$BT$248</c:f>
              <c:numCache>
                <c:formatCode>General</c:formatCode>
                <c:ptCount val="7"/>
                <c:pt idx="0">
                  <c:v>212.26180174788342</c:v>
                </c:pt>
                <c:pt idx="1">
                  <c:v>215.66411358917844</c:v>
                </c:pt>
                <c:pt idx="2">
                  <c:v>222.36141822563656</c:v>
                </c:pt>
                <c:pt idx="3">
                  <c:v>234.28048306914917</c:v>
                </c:pt>
                <c:pt idx="4">
                  <c:v>249.35738763081932</c:v>
                </c:pt>
                <c:pt idx="5">
                  <c:v>262.35478236405373</c:v>
                </c:pt>
                <c:pt idx="6">
                  <c:v>265.21841997175375</c:v>
                </c:pt>
              </c:numCache>
            </c:numRef>
          </c:xVal>
          <c:yVal>
            <c:numRef>
              <c:f>'CS 1er sem datos (2)'!$BS$242:$BS$248</c:f>
              <c:numCache>
                <c:formatCode>General</c:formatCode>
                <c:ptCount val="7"/>
                <c:pt idx="0">
                  <c:v>30.439709654260056</c:v>
                </c:pt>
                <c:pt idx="1">
                  <c:v>35.132915612826856</c:v>
                </c:pt>
                <c:pt idx="2">
                  <c:v>42.752422426604682</c:v>
                </c:pt>
                <c:pt idx="3">
                  <c:v>52.096153918797427</c:v>
                </c:pt>
                <c:pt idx="4">
                  <c:v>58.913198956609463</c:v>
                </c:pt>
                <c:pt idx="5">
                  <c:v>62.120147714715685</c:v>
                </c:pt>
                <c:pt idx="6">
                  <c:v>62.593106094089499</c:v>
                </c:pt>
              </c:numCache>
            </c:numRef>
          </c:yVal>
          <c:smooth val="1"/>
        </c:ser>
        <c:ser>
          <c:idx val="29"/>
          <c:order val="27"/>
          <c:tx>
            <c:v>3pm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  <a:r>
                      <a:rPr lang="en-US" baseline="0"/>
                      <a:t> pm</a:t>
                    </a:r>
                    <a:endParaRPr lang="en-US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1er sem datos (2)'!$BV$242:$BV$248</c:f>
              <c:numCache>
                <c:formatCode>General</c:formatCode>
                <c:ptCount val="7"/>
                <c:pt idx="0">
                  <c:v>224.68795305422185</c:v>
                </c:pt>
                <c:pt idx="1">
                  <c:v>228.77800508269911</c:v>
                </c:pt>
                <c:pt idx="2">
                  <c:v>236.32861033625156</c:v>
                </c:pt>
                <c:pt idx="3">
                  <c:v>248.23612591738978</c:v>
                </c:pt>
                <c:pt idx="4">
                  <c:v>261.06892668701215</c:v>
                </c:pt>
                <c:pt idx="5">
                  <c:v>270.82022462339319</c:v>
                </c:pt>
                <c:pt idx="6">
                  <c:v>272.86722527083782</c:v>
                </c:pt>
              </c:numCache>
            </c:numRef>
          </c:xVal>
          <c:yVal>
            <c:numRef>
              <c:f>'CS 1er sem datos (2)'!$BU$242:$BU$248</c:f>
              <c:numCache>
                <c:formatCode>General</c:formatCode>
                <c:ptCount val="7"/>
                <c:pt idx="0">
                  <c:v>22.259218825541542</c:v>
                </c:pt>
                <c:pt idx="1">
                  <c:v>26.297342212361595</c:v>
                </c:pt>
                <c:pt idx="2">
                  <c:v>32.778902474630826</c:v>
                </c:pt>
                <c:pt idx="3">
                  <c:v>40.579187314260722</c:v>
                </c:pt>
                <c:pt idx="4">
                  <c:v>46.234000924702507</c:v>
                </c:pt>
                <c:pt idx="5">
                  <c:v>49.04228910837859</c:v>
                </c:pt>
                <c:pt idx="6">
                  <c:v>49.494624805188728</c:v>
                </c:pt>
              </c:numCache>
            </c:numRef>
          </c:yVal>
          <c:smooth val="1"/>
        </c:ser>
        <c:ser>
          <c:idx val="30"/>
          <c:order val="28"/>
          <c:tx>
            <c:v>4pm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  <a:r>
                      <a:rPr lang="en-US" baseline="0"/>
                      <a:t> pm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1er sem datos (2)'!$BX$242:$BX$248</c:f>
              <c:numCache>
                <c:formatCode>General</c:formatCode>
                <c:ptCount val="7"/>
                <c:pt idx="0">
                  <c:v>234.65547904775269</c:v>
                </c:pt>
                <c:pt idx="1">
                  <c:v>239.07374480488153</c:v>
                </c:pt>
                <c:pt idx="2">
                  <c:v>246.84291146983276</c:v>
                </c:pt>
                <c:pt idx="3">
                  <c:v>258.15416301445305</c:v>
                </c:pt>
                <c:pt idx="4">
                  <c:v>269.30782635394411</c:v>
                </c:pt>
                <c:pt idx="5">
                  <c:v>277.28978899698308</c:v>
                </c:pt>
                <c:pt idx="6">
                  <c:v>278.92965056012429</c:v>
                </c:pt>
              </c:numCache>
            </c:numRef>
          </c:xVal>
          <c:yVal>
            <c:numRef>
              <c:f>'CS 1er sem datos (2)'!$BW$242:$BW$248</c:f>
              <c:numCache>
                <c:formatCode>General</c:formatCode>
                <c:ptCount val="7"/>
                <c:pt idx="0">
                  <c:v>12.251377298592953</c:v>
                </c:pt>
                <c:pt idx="1">
                  <c:v>15.689450108647346</c:v>
                </c:pt>
                <c:pt idx="2">
                  <c:v>21.241041758651765</c:v>
                </c:pt>
                <c:pt idx="3">
                  <c:v>28.03064132064042</c:v>
                </c:pt>
                <c:pt idx="4">
                  <c:v>33.179114183303909</c:v>
                </c:pt>
                <c:pt idx="5">
                  <c:v>35.974200517974971</c:v>
                </c:pt>
                <c:pt idx="6">
                  <c:v>36.462362723804389</c:v>
                </c:pt>
              </c:numCache>
            </c:numRef>
          </c:yVal>
          <c:smooth val="1"/>
        </c:ser>
        <c:ser>
          <c:idx val="31"/>
          <c:order val="29"/>
          <c:tx>
            <c:v>5pm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5</a:t>
                    </a:r>
                    <a:r>
                      <a:rPr lang="en-US" baseline="0"/>
                      <a:t> pm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1er sem datos (2)'!$BZ$242:$BZ$248</c:f>
              <c:numCache>
                <c:formatCode>General</c:formatCode>
                <c:ptCount val="7"/>
                <c:pt idx="0">
                  <c:v>242.77413702084823</c:v>
                </c:pt>
                <c:pt idx="1">
                  <c:v>247.42289216802021</c:v>
                </c:pt>
                <c:pt idx="2">
                  <c:v>255.31197177717854</c:v>
                </c:pt>
                <c:pt idx="3">
                  <c:v>266.18421264331801</c:v>
                </c:pt>
                <c:pt idx="4">
                  <c:v>276.30699408544757</c:v>
                </c:pt>
                <c:pt idx="5">
                  <c:v>283.28143846255932</c:v>
                </c:pt>
                <c:pt idx="6">
                  <c:v>284.69392403052012</c:v>
                </c:pt>
              </c:numCache>
            </c:numRef>
          </c:xVal>
          <c:yVal>
            <c:numRef>
              <c:f>'CS 1er sem datos (2)'!$BY$242:$BY$248</c:f>
              <c:numCache>
                <c:formatCode>General</c:formatCode>
                <c:ptCount val="7"/>
                <c:pt idx="0">
                  <c:v>1.0425877010819102</c:v>
                </c:pt>
                <c:pt idx="1">
                  <c:v>3.9806023907424599</c:v>
                </c:pt>
                <c:pt idx="2">
                  <c:v>8.8424843209748119</c:v>
                </c:pt>
                <c:pt idx="3">
                  <c:v>15.051271742006362</c:v>
                </c:pt>
                <c:pt idx="4">
                  <c:v>20.094408212134532</c:v>
                </c:pt>
                <c:pt idx="5">
                  <c:v>23.081833865003894</c:v>
                </c:pt>
                <c:pt idx="6">
                  <c:v>23.63600454935963</c:v>
                </c:pt>
              </c:numCache>
            </c:numRef>
          </c:yVal>
          <c:smooth val="1"/>
        </c:ser>
        <c:ser>
          <c:idx val="32"/>
          <c:order val="30"/>
          <c:tx>
            <c:v>6pm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6</a:t>
                    </a:r>
                    <a:r>
                      <a:rPr lang="en-US" baseline="0"/>
                      <a:t> pm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'CS 1er sem datos (2)'!$CB$242:$CB$248</c:f>
              <c:numCache>
                <c:formatCode>General</c:formatCode>
                <c:ptCount val="7"/>
                <c:pt idx="0">
                  <c:v>243.42913169308855</c:v>
                </c:pt>
                <c:pt idx="1">
                  <c:v>249.85519203924551</c:v>
                </c:pt>
                <c:pt idx="2">
                  <c:v>260.4996370717837</c:v>
                </c:pt>
                <c:pt idx="3">
                  <c:v>273.51182934170981</c:v>
                </c:pt>
                <c:pt idx="4">
                  <c:v>283.09158453138394</c:v>
                </c:pt>
                <c:pt idx="5">
                  <c:v>289.48371408277904</c:v>
                </c:pt>
                <c:pt idx="6">
                  <c:v>290.76123341972379</c:v>
                </c:pt>
              </c:numCache>
            </c:numRef>
          </c:xVal>
          <c:yVal>
            <c:numRef>
              <c:f>'CS 1er sem datos (2)'!$CA$242:$CA$248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1.9510766725967672</c:v>
                </c:pt>
                <c:pt idx="4">
                  <c:v>7.1796941081018506</c:v>
                </c:pt>
                <c:pt idx="5">
                  <c:v>10.508522694850116</c:v>
                </c:pt>
                <c:pt idx="6">
                  <c:v>11.152054967319165</c:v>
                </c:pt>
              </c:numCache>
            </c:numRef>
          </c:yVal>
          <c:smooth val="1"/>
        </c:ser>
        <c:ser>
          <c:idx val="33"/>
          <c:order val="31"/>
          <c:tx>
            <c:v>7pm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xVal>
            <c:numRef>
              <c:f>'CS 1er sem datos (2)'!$CD$242:$CD$248</c:f>
              <c:numCache>
                <c:formatCode>General</c:formatCode>
                <c:ptCount val="7"/>
                <c:pt idx="0">
                  <c:v>243.42913169308855</c:v>
                </c:pt>
                <c:pt idx="1">
                  <c:v>249.85519203924551</c:v>
                </c:pt>
                <c:pt idx="2">
                  <c:v>260.4996370717837</c:v>
                </c:pt>
                <c:pt idx="3">
                  <c:v>274.59738166832204</c:v>
                </c:pt>
                <c:pt idx="4">
                  <c:v>287.11190742150467</c:v>
                </c:pt>
                <c:pt idx="5">
                  <c:v>295.42782328735052</c:v>
                </c:pt>
                <c:pt idx="6">
                  <c:v>297.0871391084072</c:v>
                </c:pt>
              </c:numCache>
            </c:numRef>
          </c:xVal>
          <c:yVal>
            <c:numRef>
              <c:f>'CS 1er sem datos (2)'!$CC$242:$CC$248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ser>
          <c:idx val="34"/>
          <c:order val="32"/>
          <c:tx>
            <c:v>8pm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xVal>
            <c:numRef>
              <c:f>'CS 1er sem datos (2)'!$CF$242:$CF$248</c:f>
              <c:numCache>
                <c:formatCode>General</c:formatCode>
                <c:ptCount val="7"/>
                <c:pt idx="0">
                  <c:v>243.42913169308855</c:v>
                </c:pt>
                <c:pt idx="1">
                  <c:v>249.85519203924551</c:v>
                </c:pt>
                <c:pt idx="2">
                  <c:v>260.4996370717837</c:v>
                </c:pt>
                <c:pt idx="3">
                  <c:v>274.59738166832204</c:v>
                </c:pt>
                <c:pt idx="4">
                  <c:v>287.11190742150467</c:v>
                </c:pt>
                <c:pt idx="5">
                  <c:v>295.42782328735052</c:v>
                </c:pt>
                <c:pt idx="6">
                  <c:v>297.0871391084072</c:v>
                </c:pt>
              </c:numCache>
            </c:numRef>
          </c:xVal>
          <c:yVal>
            <c:numRef>
              <c:f>'CS 1er sem datos (2)'!$CE$242:$CE$248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ser>
          <c:idx val="35"/>
          <c:order val="33"/>
          <c:tx>
            <c:v>9pm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xVal>
            <c:numRef>
              <c:f>'CS 1er sem datos (2)'!$CH$242:$CH$248</c:f>
              <c:numCache>
                <c:formatCode>General</c:formatCode>
                <c:ptCount val="7"/>
                <c:pt idx="0">
                  <c:v>243.42913169308855</c:v>
                </c:pt>
                <c:pt idx="1">
                  <c:v>249.85519203924551</c:v>
                </c:pt>
                <c:pt idx="2">
                  <c:v>260.4996370717837</c:v>
                </c:pt>
                <c:pt idx="3">
                  <c:v>274.59738166832204</c:v>
                </c:pt>
                <c:pt idx="4">
                  <c:v>287.11190742150467</c:v>
                </c:pt>
                <c:pt idx="5">
                  <c:v>295.42782328735052</c:v>
                </c:pt>
                <c:pt idx="6">
                  <c:v>297.0871391084072</c:v>
                </c:pt>
              </c:numCache>
            </c:numRef>
          </c:xVal>
          <c:yVal>
            <c:numRef>
              <c:f>'CS 1er sem datos (2)'!$CG$242:$CG$248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ser>
          <c:idx val="36"/>
          <c:order val="34"/>
          <c:tx>
            <c:v>10pm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xVal>
            <c:numRef>
              <c:f>'CS 1er sem datos (2)'!$CJ$242:$CJ$248</c:f>
              <c:numCache>
                <c:formatCode>General</c:formatCode>
                <c:ptCount val="7"/>
                <c:pt idx="0">
                  <c:v>243.42913169308855</c:v>
                </c:pt>
                <c:pt idx="1">
                  <c:v>249.85519203924551</c:v>
                </c:pt>
                <c:pt idx="2">
                  <c:v>260.4996370717837</c:v>
                </c:pt>
                <c:pt idx="3">
                  <c:v>274.59738166832204</c:v>
                </c:pt>
                <c:pt idx="4">
                  <c:v>287.11190742150467</c:v>
                </c:pt>
                <c:pt idx="5">
                  <c:v>295.42782328735052</c:v>
                </c:pt>
                <c:pt idx="6">
                  <c:v>297.0871391084072</c:v>
                </c:pt>
              </c:numCache>
            </c:numRef>
          </c:xVal>
          <c:yVal>
            <c:numRef>
              <c:f>'CS 1er sem datos (2)'!$CI$242:$CI$248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ser>
          <c:idx val="37"/>
          <c:order val="35"/>
          <c:tx>
            <c:v>11pm</c:v>
          </c:tx>
          <c:spPr>
            <a:ln>
              <a:solidFill>
                <a:srgbClr val="4F81BD"/>
              </a:solidFill>
            </a:ln>
          </c:spPr>
          <c:marker>
            <c:symbol val="circle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xVal>
            <c:numRef>
              <c:f>'CS 1er sem datos (2)'!$CL$242:$CL$248</c:f>
              <c:numCache>
                <c:formatCode>General</c:formatCode>
                <c:ptCount val="7"/>
                <c:pt idx="0">
                  <c:v>243.42913169308855</c:v>
                </c:pt>
                <c:pt idx="1">
                  <c:v>249.85519203924551</c:v>
                </c:pt>
                <c:pt idx="2">
                  <c:v>260.4996370717837</c:v>
                </c:pt>
                <c:pt idx="3">
                  <c:v>274.59738166832204</c:v>
                </c:pt>
                <c:pt idx="4">
                  <c:v>287.11190742150467</c:v>
                </c:pt>
                <c:pt idx="5">
                  <c:v>295.42782328735052</c:v>
                </c:pt>
                <c:pt idx="6">
                  <c:v>297.0871391084072</c:v>
                </c:pt>
              </c:numCache>
            </c:numRef>
          </c:xVal>
          <c:yVal>
            <c:numRef>
              <c:f>'CS 1er sem datos (2)'!$CK$242:$CK$248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602904"/>
        <c:axId val="519604472"/>
      </c:scatterChart>
      <c:valAx>
        <c:axId val="519602904"/>
        <c:scaling>
          <c:orientation val="minMax"/>
          <c:max val="360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519604472"/>
        <c:crosses val="autoZero"/>
        <c:crossBetween val="midCat"/>
        <c:majorUnit val="15"/>
      </c:valAx>
      <c:valAx>
        <c:axId val="519604472"/>
        <c:scaling>
          <c:orientation val="minMax"/>
          <c:max val="9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19602904"/>
        <c:crosses val="autoZero"/>
        <c:crossBetween val="midCat"/>
        <c:majorUnit val="5"/>
      </c:valAx>
    </c:plotArea>
    <c:plotVisOnly val="1"/>
    <c:dispBlanksAs val="gap"/>
    <c:showDLblsOverMax val="0"/>
  </c:chart>
  <c:printSettings>
    <c:headerFooter/>
    <c:pageMargins b="0.75000000000000699" l="0.70000000000000095" r="0.70000000000000095" t="0.75000000000000699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MX"/>
              <a:t>EFICIENCIA</a:t>
            </a:r>
            <a:r>
              <a:rPr lang="es-MX" baseline="0"/>
              <a:t> PONDERADA DEL ALERO</a:t>
            </a:r>
            <a:endParaRPr lang="es-MX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'Eficiencia Alero'!$J$3</c:f>
              <c:strCache>
                <c:ptCount val="1"/>
                <c:pt idx="0">
                  <c:v>Eficiencia periodo de calor [%]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'Eficiencia Alero'!$G$7:$G$12</c:f>
              <c:numCache>
                <c:formatCode>General</c:formatCode>
                <c:ptCount val="6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</c:numCache>
            </c:numRef>
          </c:xVal>
          <c:yVal>
            <c:numRef>
              <c:f>'Eficiencia Alero'!$J$7:$J$12</c:f>
              <c:numCache>
                <c:formatCode>0.00</c:formatCode>
                <c:ptCount val="6"/>
                <c:pt idx="0">
                  <c:v>88.365726799890496</c:v>
                </c:pt>
                <c:pt idx="1">
                  <c:v>77.744319737202304</c:v>
                </c:pt>
                <c:pt idx="2">
                  <c:v>69.340268272652622</c:v>
                </c:pt>
                <c:pt idx="3">
                  <c:v>61.018341089515474</c:v>
                </c:pt>
                <c:pt idx="4">
                  <c:v>48.521762934574319</c:v>
                </c:pt>
                <c:pt idx="5">
                  <c:v>30.440733643580622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'Eficiencia Alero'!$L$3</c:f>
              <c:strCache>
                <c:ptCount val="1"/>
                <c:pt idx="0">
                  <c:v>Eficiencia en periodo frío [%]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diamond"/>
            <c:size val="6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'Eficiencia Alero'!$G$7:$G$12</c:f>
              <c:numCache>
                <c:formatCode>General</c:formatCode>
                <c:ptCount val="6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</c:numCache>
            </c:numRef>
          </c:xVal>
          <c:yVal>
            <c:numRef>
              <c:f>'Eficiencia Alero'!$L$7:$L$12</c:f>
              <c:numCache>
                <c:formatCode>0.00</c:formatCode>
                <c:ptCount val="6"/>
                <c:pt idx="0">
                  <c:v>40.338827838827839</c:v>
                </c:pt>
                <c:pt idx="1">
                  <c:v>58.150183150183153</c:v>
                </c:pt>
                <c:pt idx="2">
                  <c:v>67.948717948717956</c:v>
                </c:pt>
                <c:pt idx="3">
                  <c:v>90.476190476190482</c:v>
                </c:pt>
                <c:pt idx="4">
                  <c:v>93.223443223443226</c:v>
                </c:pt>
                <c:pt idx="5">
                  <c:v>94.597069597069591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367864"/>
        <c:axId val="181368256"/>
      </c:scatterChart>
      <c:valAx>
        <c:axId val="181367864"/>
        <c:scaling>
          <c:orientation val="minMax"/>
          <c:max val="90"/>
          <c:min val="4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s-MX"/>
                  <a:t>Ángulo</a:t>
                </a:r>
                <a:r>
                  <a:rPr lang="es-MX" baseline="0"/>
                  <a:t> Alero [°]</a:t>
                </a:r>
                <a:endParaRPr lang="es-MX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368256"/>
        <c:crosses val="autoZero"/>
        <c:crossBetween val="midCat"/>
      </c:valAx>
      <c:valAx>
        <c:axId val="181368256"/>
        <c:scaling>
          <c:orientation val="minMax"/>
          <c:max val="1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MX"/>
                  <a:t>Eficiencia</a:t>
                </a:r>
                <a:r>
                  <a:rPr lang="es-MX" baseline="0"/>
                  <a:t> [%]</a:t>
                </a:r>
                <a:endParaRPr lang="es-MX"/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81367864"/>
        <c:crosses val="autoZero"/>
        <c:crossBetween val="midCat"/>
        <c:majorUnit val="10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2" l="0.70000000000000095" r="0.70000000000000095" t="0.750000000000002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MX"/>
              <a:t>EFICIENCIA</a:t>
            </a:r>
            <a:r>
              <a:rPr lang="es-MX" baseline="0"/>
              <a:t> PONDERADA DEL PARTESOL</a:t>
            </a:r>
            <a:endParaRPr lang="es-MX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'Eficiencia Partesol'!$J$3</c:f>
              <c:strCache>
                <c:ptCount val="1"/>
                <c:pt idx="0">
                  <c:v>Eficiencia periodo de calor [%]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'Eficiencia Partesol'!$G$7:$G$12</c:f>
              <c:numCache>
                <c:formatCode>General</c:formatCode>
                <c:ptCount val="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</c:numCache>
            </c:numRef>
          </c:xVal>
          <c:yVal>
            <c:numRef>
              <c:f>'Eficiencia Partesol'!$J$7:$J$12</c:f>
              <c:numCache>
                <c:formatCode>0.00</c:formatCode>
                <c:ptCount val="6"/>
                <c:pt idx="0">
                  <c:v>30.440733643580622</c:v>
                </c:pt>
                <c:pt idx="1">
                  <c:v>42.1845058855735</c:v>
                </c:pt>
                <c:pt idx="2">
                  <c:v>52.2036682179031</c:v>
                </c:pt>
                <c:pt idx="3">
                  <c:v>62.989323843416379</c:v>
                </c:pt>
                <c:pt idx="4">
                  <c:v>71.311251026553506</c:v>
                </c:pt>
                <c:pt idx="5">
                  <c:v>77.990692581439916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'Eficiencia Partesol'!$L$3</c:f>
              <c:strCache>
                <c:ptCount val="1"/>
                <c:pt idx="0">
                  <c:v>Eficiencia en periodo frío [%]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diamond"/>
            <c:size val="6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'Eficiencia Partesol'!$G$7:$G$12</c:f>
              <c:numCache>
                <c:formatCode>General</c:formatCode>
                <c:ptCount val="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</c:numCache>
            </c:numRef>
          </c:xVal>
          <c:yVal>
            <c:numRef>
              <c:f>'Eficiencia Partesol'!$L$7:$L$12</c:f>
              <c:numCache>
                <c:formatCode>0.00</c:formatCode>
                <c:ptCount val="6"/>
                <c:pt idx="0">
                  <c:v>77.747252747252745</c:v>
                </c:pt>
                <c:pt idx="1">
                  <c:v>69.322344322344321</c:v>
                </c:pt>
                <c:pt idx="2">
                  <c:v>59.706959706959708</c:v>
                </c:pt>
                <c:pt idx="3">
                  <c:v>45.879120879120876</c:v>
                </c:pt>
                <c:pt idx="4">
                  <c:v>30.494505494505496</c:v>
                </c:pt>
                <c:pt idx="5">
                  <c:v>20.87912087912088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369040"/>
        <c:axId val="470869352"/>
      </c:scatterChart>
      <c:valAx>
        <c:axId val="181369040"/>
        <c:scaling>
          <c:orientation val="minMax"/>
          <c:max val="50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s-MX"/>
                  <a:t>Ángulo</a:t>
                </a:r>
                <a:r>
                  <a:rPr lang="es-MX" baseline="0"/>
                  <a:t> Partesol [°]</a:t>
                </a:r>
                <a:endParaRPr lang="es-MX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0869352"/>
        <c:crosses val="autoZero"/>
        <c:crossBetween val="midCat"/>
      </c:valAx>
      <c:valAx>
        <c:axId val="470869352"/>
        <c:scaling>
          <c:orientation val="minMax"/>
          <c:max val="1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MX"/>
                  <a:t>Eficiencia</a:t>
                </a:r>
                <a:r>
                  <a:rPr lang="es-MX" baseline="0"/>
                  <a:t> [%]</a:t>
                </a:r>
                <a:endParaRPr lang="es-MX"/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81369040"/>
        <c:crosses val="autoZero"/>
        <c:crossBetween val="midCat"/>
        <c:majorUnit val="10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2" l="0.70000000000000095" r="0.70000000000000095" t="0.750000000000002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0" Type="http://schemas.openxmlformats.org/officeDocument/2006/relationships/chart" Target="../charts/chart11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emf"/><Relationship Id="rId3" Type="http://schemas.openxmlformats.org/officeDocument/2006/relationships/image" Target="../media/image6.emf"/><Relationship Id="rId7" Type="http://schemas.openxmlformats.org/officeDocument/2006/relationships/image" Target="../media/image10.emf"/><Relationship Id="rId12" Type="http://schemas.openxmlformats.org/officeDocument/2006/relationships/image" Target="../media/image15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11" Type="http://schemas.openxmlformats.org/officeDocument/2006/relationships/image" Target="../media/image14.emf"/><Relationship Id="rId5" Type="http://schemas.openxmlformats.org/officeDocument/2006/relationships/image" Target="../media/image8.emf"/><Relationship Id="rId10" Type="http://schemas.openxmlformats.org/officeDocument/2006/relationships/image" Target="../media/image13.emf"/><Relationship Id="rId4" Type="http://schemas.openxmlformats.org/officeDocument/2006/relationships/image" Target="../media/image7.emf"/><Relationship Id="rId9" Type="http://schemas.openxmlformats.org/officeDocument/2006/relationships/image" Target="../media/image12.emf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emf"/><Relationship Id="rId3" Type="http://schemas.openxmlformats.org/officeDocument/2006/relationships/image" Target="../media/image6.emf"/><Relationship Id="rId7" Type="http://schemas.openxmlformats.org/officeDocument/2006/relationships/image" Target="../media/image10.emf"/><Relationship Id="rId12" Type="http://schemas.openxmlformats.org/officeDocument/2006/relationships/image" Target="../media/image15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11" Type="http://schemas.openxmlformats.org/officeDocument/2006/relationships/image" Target="../media/image14.emf"/><Relationship Id="rId5" Type="http://schemas.openxmlformats.org/officeDocument/2006/relationships/image" Target="../media/image8.emf"/><Relationship Id="rId10" Type="http://schemas.openxmlformats.org/officeDocument/2006/relationships/image" Target="../media/image13.emf"/><Relationship Id="rId4" Type="http://schemas.openxmlformats.org/officeDocument/2006/relationships/image" Target="../media/image7.emf"/><Relationship Id="rId9" Type="http://schemas.openxmlformats.org/officeDocument/2006/relationships/image" Target="../media/image12.emf"/></Relationships>
</file>

<file path=xl/drawings/_rels/vmlDrawing3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emf"/><Relationship Id="rId3" Type="http://schemas.openxmlformats.org/officeDocument/2006/relationships/image" Target="../media/image6.emf"/><Relationship Id="rId7" Type="http://schemas.openxmlformats.org/officeDocument/2006/relationships/image" Target="../media/image10.emf"/><Relationship Id="rId12" Type="http://schemas.openxmlformats.org/officeDocument/2006/relationships/image" Target="../media/image15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11" Type="http://schemas.openxmlformats.org/officeDocument/2006/relationships/image" Target="../media/image14.emf"/><Relationship Id="rId5" Type="http://schemas.openxmlformats.org/officeDocument/2006/relationships/image" Target="../media/image8.emf"/><Relationship Id="rId10" Type="http://schemas.openxmlformats.org/officeDocument/2006/relationships/image" Target="../media/image13.emf"/><Relationship Id="rId4" Type="http://schemas.openxmlformats.org/officeDocument/2006/relationships/image" Target="../media/image7.emf"/><Relationship Id="rId9" Type="http://schemas.openxmlformats.org/officeDocument/2006/relationships/image" Target="../media/image12.emf"/></Relationships>
</file>

<file path=xl/drawings/_rels/vmlDrawing4.vml.rels><?xml version="1.0" encoding="UTF-8" standalone="yes"?>
<Relationships xmlns="http://schemas.openxmlformats.org/package/2006/relationships"><Relationship Id="rId8" Type="http://schemas.openxmlformats.org/officeDocument/2006/relationships/image" Target="../media/image17.emf"/><Relationship Id="rId3" Type="http://schemas.openxmlformats.org/officeDocument/2006/relationships/image" Target="../media/image13.emf"/><Relationship Id="rId7" Type="http://schemas.openxmlformats.org/officeDocument/2006/relationships/image" Target="../media/image16.emf"/><Relationship Id="rId2" Type="http://schemas.openxmlformats.org/officeDocument/2006/relationships/image" Target="../media/image10.emf"/><Relationship Id="rId1" Type="http://schemas.openxmlformats.org/officeDocument/2006/relationships/image" Target="../media/image9.emf"/><Relationship Id="rId6" Type="http://schemas.openxmlformats.org/officeDocument/2006/relationships/image" Target="../media/image14.emf"/><Relationship Id="rId11" Type="http://schemas.openxmlformats.org/officeDocument/2006/relationships/image" Target="../media/image20.emf"/><Relationship Id="rId5" Type="http://schemas.openxmlformats.org/officeDocument/2006/relationships/image" Target="../media/image12.emf"/><Relationship Id="rId10" Type="http://schemas.openxmlformats.org/officeDocument/2006/relationships/image" Target="../media/image19.emf"/><Relationship Id="rId4" Type="http://schemas.openxmlformats.org/officeDocument/2006/relationships/image" Target="../media/image11.emf"/><Relationship Id="rId9" Type="http://schemas.openxmlformats.org/officeDocument/2006/relationships/image" Target="../media/image18.emf"/></Relationships>
</file>

<file path=xl/drawings/_rels/vmlDrawing5.vml.rels><?xml version="1.0" encoding="UTF-8" standalone="yes"?>
<Relationships xmlns="http://schemas.openxmlformats.org/package/2006/relationships"><Relationship Id="rId8" Type="http://schemas.openxmlformats.org/officeDocument/2006/relationships/image" Target="../media/image12.emf"/><Relationship Id="rId13" Type="http://schemas.openxmlformats.org/officeDocument/2006/relationships/image" Target="../media/image23.emf"/><Relationship Id="rId18" Type="http://schemas.openxmlformats.org/officeDocument/2006/relationships/image" Target="../media/image28.emf"/><Relationship Id="rId26" Type="http://schemas.openxmlformats.org/officeDocument/2006/relationships/image" Target="../media/image36.emf"/><Relationship Id="rId39" Type="http://schemas.openxmlformats.org/officeDocument/2006/relationships/image" Target="../media/image49.emf"/><Relationship Id="rId3" Type="http://schemas.openxmlformats.org/officeDocument/2006/relationships/image" Target="../media/image7.emf"/><Relationship Id="rId21" Type="http://schemas.openxmlformats.org/officeDocument/2006/relationships/image" Target="../media/image31.emf"/><Relationship Id="rId34" Type="http://schemas.openxmlformats.org/officeDocument/2006/relationships/image" Target="../media/image44.emf"/><Relationship Id="rId42" Type="http://schemas.openxmlformats.org/officeDocument/2006/relationships/image" Target="../media/image52.emf"/><Relationship Id="rId7" Type="http://schemas.openxmlformats.org/officeDocument/2006/relationships/image" Target="../media/image11.emf"/><Relationship Id="rId12" Type="http://schemas.openxmlformats.org/officeDocument/2006/relationships/image" Target="../media/image22.emf"/><Relationship Id="rId17" Type="http://schemas.openxmlformats.org/officeDocument/2006/relationships/image" Target="../media/image27.emf"/><Relationship Id="rId25" Type="http://schemas.openxmlformats.org/officeDocument/2006/relationships/image" Target="../media/image35.emf"/><Relationship Id="rId33" Type="http://schemas.openxmlformats.org/officeDocument/2006/relationships/image" Target="../media/image43.emf"/><Relationship Id="rId38" Type="http://schemas.openxmlformats.org/officeDocument/2006/relationships/image" Target="../media/image48.emf"/><Relationship Id="rId2" Type="http://schemas.openxmlformats.org/officeDocument/2006/relationships/image" Target="../media/image6.emf"/><Relationship Id="rId16" Type="http://schemas.openxmlformats.org/officeDocument/2006/relationships/image" Target="../media/image26.emf"/><Relationship Id="rId20" Type="http://schemas.openxmlformats.org/officeDocument/2006/relationships/image" Target="../media/image30.emf"/><Relationship Id="rId29" Type="http://schemas.openxmlformats.org/officeDocument/2006/relationships/image" Target="../media/image39.emf"/><Relationship Id="rId41" Type="http://schemas.openxmlformats.org/officeDocument/2006/relationships/image" Target="../media/image51.emf"/><Relationship Id="rId1" Type="http://schemas.openxmlformats.org/officeDocument/2006/relationships/image" Target="../media/image5.emf"/><Relationship Id="rId6" Type="http://schemas.openxmlformats.org/officeDocument/2006/relationships/image" Target="../media/image10.emf"/><Relationship Id="rId11" Type="http://schemas.openxmlformats.org/officeDocument/2006/relationships/image" Target="../media/image21.emf"/><Relationship Id="rId24" Type="http://schemas.openxmlformats.org/officeDocument/2006/relationships/image" Target="../media/image34.emf"/><Relationship Id="rId32" Type="http://schemas.openxmlformats.org/officeDocument/2006/relationships/image" Target="../media/image42.emf"/><Relationship Id="rId37" Type="http://schemas.openxmlformats.org/officeDocument/2006/relationships/image" Target="../media/image47.emf"/><Relationship Id="rId40" Type="http://schemas.openxmlformats.org/officeDocument/2006/relationships/image" Target="../media/image50.emf"/><Relationship Id="rId45" Type="http://schemas.openxmlformats.org/officeDocument/2006/relationships/image" Target="../media/image55.emf"/><Relationship Id="rId5" Type="http://schemas.openxmlformats.org/officeDocument/2006/relationships/image" Target="../media/image9.emf"/><Relationship Id="rId15" Type="http://schemas.openxmlformats.org/officeDocument/2006/relationships/image" Target="../media/image25.emf"/><Relationship Id="rId23" Type="http://schemas.openxmlformats.org/officeDocument/2006/relationships/image" Target="../media/image33.emf"/><Relationship Id="rId28" Type="http://schemas.openxmlformats.org/officeDocument/2006/relationships/image" Target="../media/image38.emf"/><Relationship Id="rId36" Type="http://schemas.openxmlformats.org/officeDocument/2006/relationships/image" Target="../media/image46.emf"/><Relationship Id="rId10" Type="http://schemas.openxmlformats.org/officeDocument/2006/relationships/image" Target="../media/image14.emf"/><Relationship Id="rId19" Type="http://schemas.openxmlformats.org/officeDocument/2006/relationships/image" Target="../media/image29.emf"/><Relationship Id="rId31" Type="http://schemas.openxmlformats.org/officeDocument/2006/relationships/image" Target="../media/image41.emf"/><Relationship Id="rId44" Type="http://schemas.openxmlformats.org/officeDocument/2006/relationships/image" Target="../media/image54.emf"/><Relationship Id="rId4" Type="http://schemas.openxmlformats.org/officeDocument/2006/relationships/image" Target="../media/image8.emf"/><Relationship Id="rId9" Type="http://schemas.openxmlformats.org/officeDocument/2006/relationships/image" Target="../media/image13.emf"/><Relationship Id="rId14" Type="http://schemas.openxmlformats.org/officeDocument/2006/relationships/image" Target="../media/image24.emf"/><Relationship Id="rId22" Type="http://schemas.openxmlformats.org/officeDocument/2006/relationships/image" Target="../media/image32.emf"/><Relationship Id="rId27" Type="http://schemas.openxmlformats.org/officeDocument/2006/relationships/image" Target="../media/image37.emf"/><Relationship Id="rId30" Type="http://schemas.openxmlformats.org/officeDocument/2006/relationships/image" Target="../media/image40.emf"/><Relationship Id="rId35" Type="http://schemas.openxmlformats.org/officeDocument/2006/relationships/image" Target="../media/image45.emf"/><Relationship Id="rId43" Type="http://schemas.openxmlformats.org/officeDocument/2006/relationships/image" Target="../media/image5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412045</xdr:colOff>
      <xdr:row>1</xdr:row>
      <xdr:rowOff>50800</xdr:rowOff>
    </xdr:from>
    <xdr:to>
      <xdr:col>4</xdr:col>
      <xdr:colOff>43745</xdr:colOff>
      <xdr:row>4</xdr:row>
      <xdr:rowOff>165099</xdr:rowOff>
    </xdr:to>
    <xdr:pic>
      <xdr:nvPicPr>
        <xdr:cNvPr id="2" name="Imagen 6" descr="cabeza%20hoja%200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76" t="11842" r="261" b="17105"/>
        <a:stretch>
          <a:fillRect/>
        </a:stretch>
      </xdr:blipFill>
      <xdr:spPr bwMode="auto">
        <a:xfrm>
          <a:off x="637823" y="234244"/>
          <a:ext cx="2312811" cy="6646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13607</xdr:colOff>
      <xdr:row>11</xdr:row>
      <xdr:rowOff>0</xdr:rowOff>
    </xdr:from>
    <xdr:to>
      <xdr:col>17</xdr:col>
      <xdr:colOff>517072</xdr:colOff>
      <xdr:row>36</xdr:row>
      <xdr:rowOff>27214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43543</xdr:colOff>
      <xdr:row>0</xdr:row>
      <xdr:rowOff>69734</xdr:rowOff>
    </xdr:from>
    <xdr:to>
      <xdr:col>8</xdr:col>
      <xdr:colOff>64710</xdr:colOff>
      <xdr:row>22</xdr:row>
      <xdr:rowOff>40821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231322</xdr:colOff>
      <xdr:row>0</xdr:row>
      <xdr:rowOff>68036</xdr:rowOff>
    </xdr:from>
    <xdr:to>
      <xdr:col>16</xdr:col>
      <xdr:colOff>252489</xdr:colOff>
      <xdr:row>22</xdr:row>
      <xdr:rowOff>40820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27214</xdr:colOff>
      <xdr:row>23</xdr:row>
      <xdr:rowOff>176893</xdr:rowOff>
    </xdr:from>
    <xdr:to>
      <xdr:col>8</xdr:col>
      <xdr:colOff>48381</xdr:colOff>
      <xdr:row>45</xdr:row>
      <xdr:rowOff>149679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204107</xdr:colOff>
      <xdr:row>23</xdr:row>
      <xdr:rowOff>176892</xdr:rowOff>
    </xdr:from>
    <xdr:to>
      <xdr:col>16</xdr:col>
      <xdr:colOff>225274</xdr:colOff>
      <xdr:row>45</xdr:row>
      <xdr:rowOff>163285</xdr:rowOff>
    </xdr:to>
    <xdr:graphicFrame macro="">
      <xdr:nvGraphicFramePr>
        <xdr:cNvPr id="14" name="1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27213</xdr:colOff>
      <xdr:row>47</xdr:row>
      <xdr:rowOff>190499</xdr:rowOff>
    </xdr:from>
    <xdr:to>
      <xdr:col>8</xdr:col>
      <xdr:colOff>48380</xdr:colOff>
      <xdr:row>69</xdr:row>
      <xdr:rowOff>176893</xdr:rowOff>
    </xdr:to>
    <xdr:graphicFrame macro="">
      <xdr:nvGraphicFramePr>
        <xdr:cNvPr id="15" name="1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204107</xdr:colOff>
      <xdr:row>47</xdr:row>
      <xdr:rowOff>176892</xdr:rowOff>
    </xdr:from>
    <xdr:to>
      <xdr:col>16</xdr:col>
      <xdr:colOff>225274</xdr:colOff>
      <xdr:row>69</xdr:row>
      <xdr:rowOff>176893</xdr:rowOff>
    </xdr:to>
    <xdr:graphicFrame macro="">
      <xdr:nvGraphicFramePr>
        <xdr:cNvPr id="16" name="15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36286</xdr:colOff>
      <xdr:row>72</xdr:row>
      <xdr:rowOff>0</xdr:rowOff>
    </xdr:from>
    <xdr:to>
      <xdr:col>8</xdr:col>
      <xdr:colOff>57453</xdr:colOff>
      <xdr:row>93</xdr:row>
      <xdr:rowOff>95250</xdr:rowOff>
    </xdr:to>
    <xdr:graphicFrame macro="">
      <xdr:nvGraphicFramePr>
        <xdr:cNvPr id="17" name="16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208643</xdr:colOff>
      <xdr:row>71</xdr:row>
      <xdr:rowOff>176893</xdr:rowOff>
    </xdr:from>
    <xdr:to>
      <xdr:col>16</xdr:col>
      <xdr:colOff>229810</xdr:colOff>
      <xdr:row>93</xdr:row>
      <xdr:rowOff>95250</xdr:rowOff>
    </xdr:to>
    <xdr:graphicFrame macro="">
      <xdr:nvGraphicFramePr>
        <xdr:cNvPr id="18" name="17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22679</xdr:colOff>
      <xdr:row>95</xdr:row>
      <xdr:rowOff>158749</xdr:rowOff>
    </xdr:from>
    <xdr:to>
      <xdr:col>8</xdr:col>
      <xdr:colOff>43846</xdr:colOff>
      <xdr:row>117</xdr:row>
      <xdr:rowOff>68036</xdr:rowOff>
    </xdr:to>
    <xdr:graphicFrame macro="">
      <xdr:nvGraphicFramePr>
        <xdr:cNvPr id="19" name="18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190500</xdr:colOff>
      <xdr:row>95</xdr:row>
      <xdr:rowOff>163287</xdr:rowOff>
    </xdr:from>
    <xdr:to>
      <xdr:col>16</xdr:col>
      <xdr:colOff>211667</xdr:colOff>
      <xdr:row>117</xdr:row>
      <xdr:rowOff>54429</xdr:rowOff>
    </xdr:to>
    <xdr:graphicFrame macro="">
      <xdr:nvGraphicFramePr>
        <xdr:cNvPr id="20" name="19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22679</xdr:colOff>
      <xdr:row>119</xdr:row>
      <xdr:rowOff>40821</xdr:rowOff>
    </xdr:from>
    <xdr:to>
      <xdr:col>8</xdr:col>
      <xdr:colOff>43846</xdr:colOff>
      <xdr:row>138</xdr:row>
      <xdr:rowOff>187476</xdr:rowOff>
    </xdr:to>
    <xdr:graphicFrame macro="">
      <xdr:nvGraphicFramePr>
        <xdr:cNvPr id="21" name="20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185965</xdr:colOff>
      <xdr:row>119</xdr:row>
      <xdr:rowOff>58964</xdr:rowOff>
    </xdr:from>
    <xdr:to>
      <xdr:col>16</xdr:col>
      <xdr:colOff>207132</xdr:colOff>
      <xdr:row>139</xdr:row>
      <xdr:rowOff>15119</xdr:rowOff>
    </xdr:to>
    <xdr:graphicFrame macro="">
      <xdr:nvGraphicFramePr>
        <xdr:cNvPr id="22" name="2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16104</xdr:colOff>
      <xdr:row>5</xdr:row>
      <xdr:rowOff>453</xdr:rowOff>
    </xdr:from>
    <xdr:to>
      <xdr:col>8</xdr:col>
      <xdr:colOff>650876</xdr:colOff>
      <xdr:row>36</xdr:row>
      <xdr:rowOff>64501</xdr:rowOff>
    </xdr:to>
    <xdr:graphicFrame macro="">
      <xdr:nvGraphicFramePr>
        <xdr:cNvPr id="2" name="1 Gráfico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132557</xdr:colOff>
      <xdr:row>42</xdr:row>
      <xdr:rowOff>31750</xdr:rowOff>
    </xdr:from>
    <xdr:to>
      <xdr:col>13</xdr:col>
      <xdr:colOff>708557</xdr:colOff>
      <xdr:row>68</xdr:row>
      <xdr:rowOff>118750</xdr:rowOff>
    </xdr:to>
    <xdr:graphicFrame macro="">
      <xdr:nvGraphicFramePr>
        <xdr:cNvPr id="4" name="3 Gráfico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14</xdr:col>
      <xdr:colOff>269875</xdr:colOff>
      <xdr:row>1</xdr:row>
      <xdr:rowOff>15875</xdr:rowOff>
    </xdr:from>
    <xdr:to>
      <xdr:col>19</xdr:col>
      <xdr:colOff>574675</xdr:colOff>
      <xdr:row>19</xdr:row>
      <xdr:rowOff>38100</xdr:rowOff>
    </xdr:to>
    <xdr:pic>
      <xdr:nvPicPr>
        <xdr:cNvPr id="5" name="4 Imagen" descr="alero1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382250" y="206375"/>
          <a:ext cx="4114800" cy="3467100"/>
        </a:xfrm>
        <a:prstGeom prst="rect">
          <a:avLst/>
        </a:prstGeom>
      </xdr:spPr>
    </xdr:pic>
    <xdr:clientData/>
  </xdr:twoCellAnchor>
  <xdr:twoCellAnchor editAs="oneCell">
    <xdr:from>
      <xdr:col>14</xdr:col>
      <xdr:colOff>596900</xdr:colOff>
      <xdr:row>19</xdr:row>
      <xdr:rowOff>66675</xdr:rowOff>
    </xdr:from>
    <xdr:to>
      <xdr:col>19</xdr:col>
      <xdr:colOff>139700</xdr:colOff>
      <xdr:row>36</xdr:row>
      <xdr:rowOff>66675</xdr:rowOff>
    </xdr:to>
    <xdr:pic>
      <xdr:nvPicPr>
        <xdr:cNvPr id="6" name="5 Imagen" descr="partesol1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709275" y="3686175"/>
          <a:ext cx="3352800" cy="3238500"/>
        </a:xfrm>
        <a:prstGeom prst="rect">
          <a:avLst/>
        </a:prstGeom>
      </xdr:spPr>
    </xdr:pic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0.49936</cdr:x>
      <cdr:y>0.02399</cdr:y>
    </cdr:from>
    <cdr:to>
      <cdr:x>0.54433</cdr:x>
      <cdr:y>0.06399</cdr:y>
    </cdr:to>
    <cdr:sp macro="" textlink="">
      <cdr:nvSpPr>
        <cdr:cNvPr id="2" name="1 CuadroTexto"/>
        <cdr:cNvSpPr txBox="1"/>
      </cdr:nvSpPr>
      <cdr:spPr>
        <a:xfrm xmlns:a="http://schemas.openxmlformats.org/drawingml/2006/main">
          <a:off x="3172506" y="146959"/>
          <a:ext cx="285749" cy="2449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s-MX" sz="1100"/>
            <a:t>N</a:t>
          </a:r>
        </a:p>
      </cdr:txBody>
    </cdr:sp>
  </cdr:relSizeAnchor>
  <cdr:relSizeAnchor xmlns:cdr="http://schemas.openxmlformats.org/drawingml/2006/chartDrawing">
    <cdr:from>
      <cdr:x>0.93532</cdr:x>
      <cdr:y>0.50833</cdr:y>
    </cdr:from>
    <cdr:to>
      <cdr:x>0.97483</cdr:x>
      <cdr:y>0.56165</cdr:y>
    </cdr:to>
    <cdr:sp macro="" textlink="">
      <cdr:nvSpPr>
        <cdr:cNvPr id="3" name="1 CuadroTexto"/>
        <cdr:cNvSpPr txBox="1"/>
      </cdr:nvSpPr>
      <cdr:spPr>
        <a:xfrm xmlns:a="http://schemas.openxmlformats.org/drawingml/2006/main">
          <a:off x="5942241" y="3113316"/>
          <a:ext cx="251050" cy="3265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100"/>
            <a:t>E</a:t>
          </a:r>
        </a:p>
      </cdr:txBody>
    </cdr:sp>
  </cdr:relSizeAnchor>
  <cdr:relSizeAnchor xmlns:cdr="http://schemas.openxmlformats.org/drawingml/2006/chartDrawing">
    <cdr:from>
      <cdr:x>0.02142</cdr:x>
      <cdr:y>0.50878</cdr:y>
    </cdr:from>
    <cdr:to>
      <cdr:x>0.06093</cdr:x>
      <cdr:y>0.5621</cdr:y>
    </cdr:to>
    <cdr:sp macro="" textlink="">
      <cdr:nvSpPr>
        <cdr:cNvPr id="4" name="1 CuadroTexto"/>
        <cdr:cNvSpPr txBox="1"/>
      </cdr:nvSpPr>
      <cdr:spPr>
        <a:xfrm xmlns:a="http://schemas.openxmlformats.org/drawingml/2006/main">
          <a:off x="136071" y="3116035"/>
          <a:ext cx="251050" cy="3265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100"/>
            <a:t>O</a:t>
          </a:r>
        </a:p>
      </cdr:txBody>
    </cdr:sp>
  </cdr:relSizeAnchor>
  <cdr:relSizeAnchor xmlns:cdr="http://schemas.openxmlformats.org/drawingml/2006/chartDrawing">
    <cdr:from>
      <cdr:x>0.49689</cdr:x>
      <cdr:y>0.93535</cdr:y>
    </cdr:from>
    <cdr:to>
      <cdr:x>0.53641</cdr:x>
      <cdr:y>0.98867</cdr:y>
    </cdr:to>
    <cdr:sp macro="" textlink="">
      <cdr:nvSpPr>
        <cdr:cNvPr id="5" name="1 CuadroTexto"/>
        <cdr:cNvSpPr txBox="1"/>
      </cdr:nvSpPr>
      <cdr:spPr>
        <a:xfrm xmlns:a="http://schemas.openxmlformats.org/drawingml/2006/main">
          <a:off x="3156857" y="5728607"/>
          <a:ext cx="251050" cy="3265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100"/>
            <a:t>S</a:t>
          </a:r>
        </a:p>
      </cdr:txBody>
    </cdr:sp>
  </cdr:relSizeAnchor>
  <cdr:relSizeAnchor xmlns:cdr="http://schemas.openxmlformats.org/drawingml/2006/chartDrawing">
    <cdr:from>
      <cdr:x>0.49936</cdr:x>
      <cdr:y>0.02399</cdr:y>
    </cdr:from>
    <cdr:to>
      <cdr:x>0.54433</cdr:x>
      <cdr:y>0.06399</cdr:y>
    </cdr:to>
    <cdr:sp macro="" textlink="">
      <cdr:nvSpPr>
        <cdr:cNvPr id="6" name="1 CuadroTexto"/>
        <cdr:cNvSpPr txBox="1"/>
      </cdr:nvSpPr>
      <cdr:spPr>
        <a:xfrm xmlns:a="http://schemas.openxmlformats.org/drawingml/2006/main">
          <a:off x="3172506" y="146959"/>
          <a:ext cx="285749" cy="2449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s-MX" sz="1100"/>
            <a:t>N</a:t>
          </a:r>
        </a:p>
      </cdr:txBody>
    </cdr:sp>
  </cdr:relSizeAnchor>
  <cdr:relSizeAnchor xmlns:cdr="http://schemas.openxmlformats.org/drawingml/2006/chartDrawing">
    <cdr:from>
      <cdr:x>0.02142</cdr:x>
      <cdr:y>0.50878</cdr:y>
    </cdr:from>
    <cdr:to>
      <cdr:x>0.06093</cdr:x>
      <cdr:y>0.5621</cdr:y>
    </cdr:to>
    <cdr:sp macro="" textlink="">
      <cdr:nvSpPr>
        <cdr:cNvPr id="8" name="1 CuadroTexto"/>
        <cdr:cNvSpPr txBox="1"/>
      </cdr:nvSpPr>
      <cdr:spPr>
        <a:xfrm xmlns:a="http://schemas.openxmlformats.org/drawingml/2006/main">
          <a:off x="136071" y="3116035"/>
          <a:ext cx="251050" cy="3265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100"/>
            <a:t>O</a:t>
          </a:r>
        </a:p>
      </cdr:txBody>
    </cdr:sp>
  </cdr:relSizeAnchor>
  <cdr:relSizeAnchor xmlns:cdr="http://schemas.openxmlformats.org/drawingml/2006/chartDrawing">
    <cdr:from>
      <cdr:x>0.49689</cdr:x>
      <cdr:y>0.93535</cdr:y>
    </cdr:from>
    <cdr:to>
      <cdr:x>0.53641</cdr:x>
      <cdr:y>0.98867</cdr:y>
    </cdr:to>
    <cdr:sp macro="" textlink="">
      <cdr:nvSpPr>
        <cdr:cNvPr id="9" name="1 CuadroTexto"/>
        <cdr:cNvSpPr txBox="1"/>
      </cdr:nvSpPr>
      <cdr:spPr>
        <a:xfrm xmlns:a="http://schemas.openxmlformats.org/drawingml/2006/main">
          <a:off x="3156857" y="5728607"/>
          <a:ext cx="251050" cy="3265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100"/>
            <a:t>S</a:t>
          </a:r>
        </a:p>
      </cdr:txBody>
    </cdr:sp>
  </cdr:relSizeAnchor>
  <cdr:relSizeAnchor xmlns:cdr="http://schemas.openxmlformats.org/drawingml/2006/chartDrawing">
    <cdr:from>
      <cdr:x>0.494</cdr:x>
      <cdr:y>0.86936</cdr:y>
    </cdr:from>
    <cdr:to>
      <cdr:x>0.54048</cdr:x>
      <cdr:y>0.90358</cdr:y>
    </cdr:to>
    <cdr:sp macro="" textlink="">
      <cdr:nvSpPr>
        <cdr:cNvPr id="10" name="9 CuadroTexto"/>
        <cdr:cNvSpPr txBox="1"/>
      </cdr:nvSpPr>
      <cdr:spPr>
        <a:xfrm xmlns:a="http://schemas.openxmlformats.org/drawingml/2006/main">
          <a:off x="3138486" y="5324477"/>
          <a:ext cx="295275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s-MX" sz="1100"/>
            <a:t>10°</a:t>
          </a:r>
        </a:p>
      </cdr:txBody>
    </cdr:sp>
  </cdr:relSizeAnchor>
  <cdr:relSizeAnchor xmlns:cdr="http://schemas.openxmlformats.org/drawingml/2006/chartDrawing">
    <cdr:from>
      <cdr:x>0.49025</cdr:x>
      <cdr:y>0.82426</cdr:y>
    </cdr:from>
    <cdr:to>
      <cdr:x>0.53673</cdr:x>
      <cdr:y>0.85848</cdr:y>
    </cdr:to>
    <cdr:sp macro="" textlink="">
      <cdr:nvSpPr>
        <cdr:cNvPr id="11" name="1 CuadroTexto"/>
        <cdr:cNvSpPr txBox="1"/>
      </cdr:nvSpPr>
      <cdr:spPr>
        <a:xfrm xmlns:a="http://schemas.openxmlformats.org/drawingml/2006/main">
          <a:off x="3114675" y="5048250"/>
          <a:ext cx="295275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100"/>
            <a:t>20°</a:t>
          </a:r>
        </a:p>
      </cdr:txBody>
    </cdr:sp>
  </cdr:relSizeAnchor>
  <cdr:relSizeAnchor xmlns:cdr="http://schemas.openxmlformats.org/drawingml/2006/chartDrawing">
    <cdr:from>
      <cdr:x>0.49175</cdr:x>
      <cdr:y>0.77449</cdr:y>
    </cdr:from>
    <cdr:to>
      <cdr:x>0.53823</cdr:x>
      <cdr:y>0.80871</cdr:y>
    </cdr:to>
    <cdr:sp macro="" textlink="">
      <cdr:nvSpPr>
        <cdr:cNvPr id="12" name="1 CuadroTexto"/>
        <cdr:cNvSpPr txBox="1"/>
      </cdr:nvSpPr>
      <cdr:spPr>
        <a:xfrm xmlns:a="http://schemas.openxmlformats.org/drawingml/2006/main">
          <a:off x="3124200" y="4743450"/>
          <a:ext cx="295275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100"/>
            <a:t>30°</a:t>
          </a:r>
        </a:p>
      </cdr:txBody>
    </cdr:sp>
  </cdr:relSizeAnchor>
  <cdr:relSizeAnchor xmlns:cdr="http://schemas.openxmlformats.org/drawingml/2006/chartDrawing">
    <cdr:from>
      <cdr:x>0.49175</cdr:x>
      <cdr:y>0.72473</cdr:y>
    </cdr:from>
    <cdr:to>
      <cdr:x>0.53823</cdr:x>
      <cdr:y>0.75894</cdr:y>
    </cdr:to>
    <cdr:sp macro="" textlink="">
      <cdr:nvSpPr>
        <cdr:cNvPr id="13" name="1 CuadroTexto"/>
        <cdr:cNvSpPr txBox="1"/>
      </cdr:nvSpPr>
      <cdr:spPr>
        <a:xfrm xmlns:a="http://schemas.openxmlformats.org/drawingml/2006/main">
          <a:off x="3124200" y="4438650"/>
          <a:ext cx="295275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100"/>
            <a:t>40°</a:t>
          </a:r>
        </a:p>
      </cdr:txBody>
    </cdr:sp>
  </cdr:relSizeAnchor>
  <cdr:relSizeAnchor xmlns:cdr="http://schemas.openxmlformats.org/drawingml/2006/chartDrawing">
    <cdr:from>
      <cdr:x>0.48726</cdr:x>
      <cdr:y>0.67963</cdr:y>
    </cdr:from>
    <cdr:to>
      <cdr:x>0.53373</cdr:x>
      <cdr:y>0.71384</cdr:y>
    </cdr:to>
    <cdr:sp macro="" textlink="">
      <cdr:nvSpPr>
        <cdr:cNvPr id="14" name="1 CuadroTexto"/>
        <cdr:cNvSpPr txBox="1"/>
      </cdr:nvSpPr>
      <cdr:spPr>
        <a:xfrm xmlns:a="http://schemas.openxmlformats.org/drawingml/2006/main">
          <a:off x="3095625" y="4162425"/>
          <a:ext cx="295275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100"/>
            <a:t>50°</a:t>
          </a:r>
        </a:p>
      </cdr:txBody>
    </cdr:sp>
  </cdr:relSizeAnchor>
  <cdr:relSizeAnchor xmlns:cdr="http://schemas.openxmlformats.org/drawingml/2006/chartDrawing">
    <cdr:from>
      <cdr:x>0.48876</cdr:x>
      <cdr:y>0.62986</cdr:y>
    </cdr:from>
    <cdr:to>
      <cdr:x>0.53523</cdr:x>
      <cdr:y>0.66407</cdr:y>
    </cdr:to>
    <cdr:sp macro="" textlink="">
      <cdr:nvSpPr>
        <cdr:cNvPr id="15" name="1 CuadroTexto"/>
        <cdr:cNvSpPr txBox="1"/>
      </cdr:nvSpPr>
      <cdr:spPr>
        <a:xfrm xmlns:a="http://schemas.openxmlformats.org/drawingml/2006/main">
          <a:off x="3105150" y="3857625"/>
          <a:ext cx="295275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100"/>
            <a:t>60°</a:t>
          </a:r>
        </a:p>
      </cdr:txBody>
    </cdr:sp>
  </cdr:relSizeAnchor>
  <cdr:relSizeAnchor xmlns:cdr="http://schemas.openxmlformats.org/drawingml/2006/chartDrawing">
    <cdr:from>
      <cdr:x>0.48876</cdr:x>
      <cdr:y>0.58476</cdr:y>
    </cdr:from>
    <cdr:to>
      <cdr:x>0.53523</cdr:x>
      <cdr:y>0.61897</cdr:y>
    </cdr:to>
    <cdr:sp macro="" textlink="">
      <cdr:nvSpPr>
        <cdr:cNvPr id="16" name="1 CuadroTexto"/>
        <cdr:cNvSpPr txBox="1"/>
      </cdr:nvSpPr>
      <cdr:spPr>
        <a:xfrm xmlns:a="http://schemas.openxmlformats.org/drawingml/2006/main">
          <a:off x="3105150" y="3581400"/>
          <a:ext cx="295275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100"/>
            <a:t>70°</a:t>
          </a:r>
        </a:p>
      </cdr:txBody>
    </cdr:sp>
  </cdr:relSizeAnchor>
  <cdr:relSizeAnchor xmlns:cdr="http://schemas.openxmlformats.org/drawingml/2006/chartDrawing">
    <cdr:from>
      <cdr:x>0.48726</cdr:x>
      <cdr:y>0.53499</cdr:y>
    </cdr:from>
    <cdr:to>
      <cdr:x>0.53373</cdr:x>
      <cdr:y>0.56921</cdr:y>
    </cdr:to>
    <cdr:sp macro="" textlink="">
      <cdr:nvSpPr>
        <cdr:cNvPr id="17" name="1 CuadroTexto"/>
        <cdr:cNvSpPr txBox="1"/>
      </cdr:nvSpPr>
      <cdr:spPr>
        <a:xfrm xmlns:a="http://schemas.openxmlformats.org/drawingml/2006/main">
          <a:off x="3095625" y="3276600"/>
          <a:ext cx="295275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100"/>
            <a:t>80°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0.34224</cdr:x>
      <cdr:y>0.87699</cdr:y>
    </cdr:from>
    <cdr:to>
      <cdr:x>0.43631</cdr:x>
      <cdr:y>0.92738</cdr:y>
    </cdr:to>
    <cdr:sp macro="" textlink="">
      <cdr:nvSpPr>
        <cdr:cNvPr id="2" name="1 CuadroTexto"/>
        <cdr:cNvSpPr txBox="1"/>
      </cdr:nvSpPr>
      <cdr:spPr>
        <a:xfrm xmlns:a="http://schemas.openxmlformats.org/drawingml/2006/main">
          <a:off x="3587392" y="4130470"/>
          <a:ext cx="986042" cy="2373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s-MX" sz="1100"/>
            <a:t>Enero</a:t>
          </a:r>
        </a:p>
      </cdr:txBody>
    </cdr:sp>
  </cdr:relSizeAnchor>
  <cdr:relSizeAnchor xmlns:cdr="http://schemas.openxmlformats.org/drawingml/2006/chartDrawing">
    <cdr:from>
      <cdr:x>0.14392</cdr:x>
      <cdr:y>0.87734</cdr:y>
    </cdr:from>
    <cdr:to>
      <cdr:x>0.23799</cdr:x>
      <cdr:y>0.92773</cdr:y>
    </cdr:to>
    <cdr:sp macro="" textlink="">
      <cdr:nvSpPr>
        <cdr:cNvPr id="7" name="1 CuadroTexto"/>
        <cdr:cNvSpPr txBox="1"/>
      </cdr:nvSpPr>
      <cdr:spPr>
        <a:xfrm xmlns:a="http://schemas.openxmlformats.org/drawingml/2006/main">
          <a:off x="1508609" y="4132117"/>
          <a:ext cx="986042" cy="2373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s-MX" sz="1100"/>
            <a:t>Junio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304800</xdr:colOff>
          <xdr:row>83</xdr:row>
          <xdr:rowOff>76200</xdr:rowOff>
        </xdr:from>
        <xdr:to>
          <xdr:col>21</xdr:col>
          <xdr:colOff>714375</xdr:colOff>
          <xdr:row>84</xdr:row>
          <xdr:rowOff>161925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304800</xdr:colOff>
          <xdr:row>83</xdr:row>
          <xdr:rowOff>76200</xdr:rowOff>
        </xdr:from>
        <xdr:to>
          <xdr:col>25</xdr:col>
          <xdr:colOff>714375</xdr:colOff>
          <xdr:row>84</xdr:row>
          <xdr:rowOff>161925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200025</xdr:colOff>
          <xdr:row>73</xdr:row>
          <xdr:rowOff>114300</xdr:rowOff>
        </xdr:from>
        <xdr:to>
          <xdr:col>43</xdr:col>
          <xdr:colOff>647700</xdr:colOff>
          <xdr:row>80</xdr:row>
          <xdr:rowOff>123825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304800</xdr:colOff>
          <xdr:row>73</xdr:row>
          <xdr:rowOff>47625</xdr:rowOff>
        </xdr:from>
        <xdr:to>
          <xdr:col>46</xdr:col>
          <xdr:colOff>676275</xdr:colOff>
          <xdr:row>75</xdr:row>
          <xdr:rowOff>114300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219075</xdr:colOff>
          <xdr:row>76</xdr:row>
          <xdr:rowOff>76200</xdr:rowOff>
        </xdr:from>
        <xdr:to>
          <xdr:col>48</xdr:col>
          <xdr:colOff>123825</xdr:colOff>
          <xdr:row>77</xdr:row>
          <xdr:rowOff>161925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219075</xdr:colOff>
          <xdr:row>78</xdr:row>
          <xdr:rowOff>161925</xdr:rowOff>
        </xdr:from>
        <xdr:to>
          <xdr:col>47</xdr:col>
          <xdr:colOff>0</xdr:colOff>
          <xdr:row>81</xdr:row>
          <xdr:rowOff>38100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428625</xdr:colOff>
          <xdr:row>82</xdr:row>
          <xdr:rowOff>152400</xdr:rowOff>
        </xdr:from>
        <xdr:to>
          <xdr:col>41</xdr:col>
          <xdr:colOff>609600</xdr:colOff>
          <xdr:row>83</xdr:row>
          <xdr:rowOff>114300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257175</xdr:colOff>
          <xdr:row>82</xdr:row>
          <xdr:rowOff>85725</xdr:rowOff>
        </xdr:from>
        <xdr:to>
          <xdr:col>42</xdr:col>
          <xdr:colOff>676275</xdr:colOff>
          <xdr:row>84</xdr:row>
          <xdr:rowOff>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295275</xdr:colOff>
          <xdr:row>85</xdr:row>
          <xdr:rowOff>104775</xdr:rowOff>
        </xdr:from>
        <xdr:to>
          <xdr:col>41</xdr:col>
          <xdr:colOff>714375</xdr:colOff>
          <xdr:row>87</xdr:row>
          <xdr:rowOff>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295275</xdr:colOff>
          <xdr:row>85</xdr:row>
          <xdr:rowOff>104775</xdr:rowOff>
        </xdr:from>
        <xdr:to>
          <xdr:col>42</xdr:col>
          <xdr:colOff>714375</xdr:colOff>
          <xdr:row>87</xdr:row>
          <xdr:rowOff>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314325</xdr:colOff>
          <xdr:row>82</xdr:row>
          <xdr:rowOff>85725</xdr:rowOff>
        </xdr:from>
        <xdr:to>
          <xdr:col>43</xdr:col>
          <xdr:colOff>733425</xdr:colOff>
          <xdr:row>84</xdr:row>
          <xdr:rowOff>0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304800</xdr:colOff>
          <xdr:row>85</xdr:row>
          <xdr:rowOff>85725</xdr:rowOff>
        </xdr:from>
        <xdr:to>
          <xdr:col>43</xdr:col>
          <xdr:colOff>714375</xdr:colOff>
          <xdr:row>87</xdr:row>
          <xdr:rowOff>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304800</xdr:colOff>
          <xdr:row>85</xdr:row>
          <xdr:rowOff>76200</xdr:rowOff>
        </xdr:from>
        <xdr:to>
          <xdr:col>46</xdr:col>
          <xdr:colOff>714375</xdr:colOff>
          <xdr:row>86</xdr:row>
          <xdr:rowOff>161925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428625</xdr:colOff>
          <xdr:row>82</xdr:row>
          <xdr:rowOff>152400</xdr:rowOff>
        </xdr:from>
        <xdr:to>
          <xdr:col>52</xdr:col>
          <xdr:colOff>609600</xdr:colOff>
          <xdr:row>83</xdr:row>
          <xdr:rowOff>114300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257175</xdr:colOff>
          <xdr:row>82</xdr:row>
          <xdr:rowOff>85725</xdr:rowOff>
        </xdr:from>
        <xdr:to>
          <xdr:col>53</xdr:col>
          <xdr:colOff>676275</xdr:colOff>
          <xdr:row>84</xdr:row>
          <xdr:rowOff>0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295275</xdr:colOff>
          <xdr:row>85</xdr:row>
          <xdr:rowOff>104775</xdr:rowOff>
        </xdr:from>
        <xdr:to>
          <xdr:col>52</xdr:col>
          <xdr:colOff>714375</xdr:colOff>
          <xdr:row>87</xdr:row>
          <xdr:rowOff>0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295275</xdr:colOff>
          <xdr:row>85</xdr:row>
          <xdr:rowOff>104775</xdr:rowOff>
        </xdr:from>
        <xdr:to>
          <xdr:col>53</xdr:col>
          <xdr:colOff>714375</xdr:colOff>
          <xdr:row>87</xdr:row>
          <xdr:rowOff>0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333375</xdr:colOff>
          <xdr:row>82</xdr:row>
          <xdr:rowOff>85725</xdr:rowOff>
        </xdr:from>
        <xdr:to>
          <xdr:col>54</xdr:col>
          <xdr:colOff>733425</xdr:colOff>
          <xdr:row>84</xdr:row>
          <xdr:rowOff>0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304800</xdr:colOff>
          <xdr:row>85</xdr:row>
          <xdr:rowOff>85725</xdr:rowOff>
        </xdr:from>
        <xdr:to>
          <xdr:col>54</xdr:col>
          <xdr:colOff>714375</xdr:colOff>
          <xdr:row>87</xdr:row>
          <xdr:rowOff>0</xdr:rowOff>
        </xdr:to>
        <xdr:sp macro="" textlink="">
          <xdr:nvSpPr>
            <xdr:cNvPr id="1043" name="Object 19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304800</xdr:colOff>
          <xdr:row>85</xdr:row>
          <xdr:rowOff>76200</xdr:rowOff>
        </xdr:from>
        <xdr:to>
          <xdr:col>57</xdr:col>
          <xdr:colOff>714375</xdr:colOff>
          <xdr:row>86</xdr:row>
          <xdr:rowOff>161925</xdr:rowOff>
        </xdr:to>
        <xdr:sp macro="" textlink="">
          <xdr:nvSpPr>
            <xdr:cNvPr id="1044" name="Object 20" hidden="1">
              <a:extLst>
                <a:ext uri="{63B3BB69-23CF-44E3-9099-C40C66FF867C}">
                  <a14:compatExt spid="_x0000_s1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63</xdr:col>
          <xdr:colOff>428625</xdr:colOff>
          <xdr:row>82</xdr:row>
          <xdr:rowOff>152400</xdr:rowOff>
        </xdr:from>
        <xdr:to>
          <xdr:col>63</xdr:col>
          <xdr:colOff>609600</xdr:colOff>
          <xdr:row>83</xdr:row>
          <xdr:rowOff>114300</xdr:rowOff>
        </xdr:to>
        <xdr:sp macro="" textlink="">
          <xdr:nvSpPr>
            <xdr:cNvPr id="1045" name="Object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64</xdr:col>
          <xdr:colOff>257175</xdr:colOff>
          <xdr:row>82</xdr:row>
          <xdr:rowOff>85725</xdr:rowOff>
        </xdr:from>
        <xdr:to>
          <xdr:col>64</xdr:col>
          <xdr:colOff>676275</xdr:colOff>
          <xdr:row>84</xdr:row>
          <xdr:rowOff>0</xdr:rowOff>
        </xdr:to>
        <xdr:sp macro="" textlink="">
          <xdr:nvSpPr>
            <xdr:cNvPr id="1046" name="Object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63</xdr:col>
          <xdr:colOff>295275</xdr:colOff>
          <xdr:row>85</xdr:row>
          <xdr:rowOff>104775</xdr:rowOff>
        </xdr:from>
        <xdr:to>
          <xdr:col>63</xdr:col>
          <xdr:colOff>714375</xdr:colOff>
          <xdr:row>87</xdr:row>
          <xdr:rowOff>0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64</xdr:col>
          <xdr:colOff>295275</xdr:colOff>
          <xdr:row>85</xdr:row>
          <xdr:rowOff>104775</xdr:rowOff>
        </xdr:from>
        <xdr:to>
          <xdr:col>64</xdr:col>
          <xdr:colOff>714375</xdr:colOff>
          <xdr:row>87</xdr:row>
          <xdr:rowOff>0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314325</xdr:colOff>
          <xdr:row>82</xdr:row>
          <xdr:rowOff>85725</xdr:rowOff>
        </xdr:from>
        <xdr:to>
          <xdr:col>65</xdr:col>
          <xdr:colOff>733425</xdr:colOff>
          <xdr:row>84</xdr:row>
          <xdr:rowOff>0</xdr:rowOff>
        </xdr:to>
        <xdr:sp macro="" textlink="">
          <xdr:nvSpPr>
            <xdr:cNvPr id="1049" name="Object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304800</xdr:colOff>
          <xdr:row>85</xdr:row>
          <xdr:rowOff>85725</xdr:rowOff>
        </xdr:from>
        <xdr:to>
          <xdr:col>65</xdr:col>
          <xdr:colOff>714375</xdr:colOff>
          <xdr:row>87</xdr:row>
          <xdr:rowOff>0</xdr:rowOff>
        </xdr:to>
        <xdr:sp macro="" textlink="">
          <xdr:nvSpPr>
            <xdr:cNvPr id="1050" name="Object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304800</xdr:colOff>
          <xdr:row>85</xdr:row>
          <xdr:rowOff>76200</xdr:rowOff>
        </xdr:from>
        <xdr:to>
          <xdr:col>68</xdr:col>
          <xdr:colOff>714375</xdr:colOff>
          <xdr:row>86</xdr:row>
          <xdr:rowOff>161925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428625</xdr:colOff>
          <xdr:row>82</xdr:row>
          <xdr:rowOff>152400</xdr:rowOff>
        </xdr:from>
        <xdr:to>
          <xdr:col>74</xdr:col>
          <xdr:colOff>609600</xdr:colOff>
          <xdr:row>83</xdr:row>
          <xdr:rowOff>114300</xdr:rowOff>
        </xdr:to>
        <xdr:sp macro="" textlink="">
          <xdr:nvSpPr>
            <xdr:cNvPr id="1052" name="Object 28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257175</xdr:colOff>
          <xdr:row>82</xdr:row>
          <xdr:rowOff>85725</xdr:rowOff>
        </xdr:from>
        <xdr:to>
          <xdr:col>75</xdr:col>
          <xdr:colOff>676275</xdr:colOff>
          <xdr:row>84</xdr:row>
          <xdr:rowOff>0</xdr:rowOff>
        </xdr:to>
        <xdr:sp macro="" textlink="">
          <xdr:nvSpPr>
            <xdr:cNvPr id="1053" name="Object 29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295275</xdr:colOff>
          <xdr:row>85</xdr:row>
          <xdr:rowOff>104775</xdr:rowOff>
        </xdr:from>
        <xdr:to>
          <xdr:col>74</xdr:col>
          <xdr:colOff>714375</xdr:colOff>
          <xdr:row>87</xdr:row>
          <xdr:rowOff>0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295275</xdr:colOff>
          <xdr:row>85</xdr:row>
          <xdr:rowOff>104775</xdr:rowOff>
        </xdr:from>
        <xdr:to>
          <xdr:col>75</xdr:col>
          <xdr:colOff>714375</xdr:colOff>
          <xdr:row>87</xdr:row>
          <xdr:rowOff>0</xdr:rowOff>
        </xdr:to>
        <xdr:sp macro="" textlink="">
          <xdr:nvSpPr>
            <xdr:cNvPr id="1055" name="Object 3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314325</xdr:colOff>
          <xdr:row>82</xdr:row>
          <xdr:rowOff>85725</xdr:rowOff>
        </xdr:from>
        <xdr:to>
          <xdr:col>76</xdr:col>
          <xdr:colOff>733425</xdr:colOff>
          <xdr:row>84</xdr:row>
          <xdr:rowOff>0</xdr:rowOff>
        </xdr:to>
        <xdr:sp macro="" textlink="">
          <xdr:nvSpPr>
            <xdr:cNvPr id="1056" name="Object 32" hidden="1">
              <a:extLst>
                <a:ext uri="{63B3BB69-23CF-44E3-9099-C40C66FF867C}">
                  <a14:compatExt spid="_x0000_s1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304800</xdr:colOff>
          <xdr:row>85</xdr:row>
          <xdr:rowOff>85725</xdr:rowOff>
        </xdr:from>
        <xdr:to>
          <xdr:col>76</xdr:col>
          <xdr:colOff>714375</xdr:colOff>
          <xdr:row>87</xdr:row>
          <xdr:rowOff>0</xdr:rowOff>
        </xdr:to>
        <xdr:sp macro="" textlink="">
          <xdr:nvSpPr>
            <xdr:cNvPr id="1057" name="Object 33" hidden="1">
              <a:extLst>
                <a:ext uri="{63B3BB69-23CF-44E3-9099-C40C66FF867C}">
                  <a14:compatExt spid="_x0000_s1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79</xdr:col>
          <xdr:colOff>304800</xdr:colOff>
          <xdr:row>85</xdr:row>
          <xdr:rowOff>76200</xdr:rowOff>
        </xdr:from>
        <xdr:to>
          <xdr:col>79</xdr:col>
          <xdr:colOff>714375</xdr:colOff>
          <xdr:row>86</xdr:row>
          <xdr:rowOff>161925</xdr:rowOff>
        </xdr:to>
        <xdr:sp macro="" textlink="">
          <xdr:nvSpPr>
            <xdr:cNvPr id="1058" name="Object 34" hidden="1">
              <a:extLst>
                <a:ext uri="{63B3BB69-23CF-44E3-9099-C40C66FF867C}">
                  <a14:compatExt spid="_x0000_s1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85</xdr:col>
          <xdr:colOff>428625</xdr:colOff>
          <xdr:row>82</xdr:row>
          <xdr:rowOff>152400</xdr:rowOff>
        </xdr:from>
        <xdr:to>
          <xdr:col>85</xdr:col>
          <xdr:colOff>609600</xdr:colOff>
          <xdr:row>83</xdr:row>
          <xdr:rowOff>114300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86</xdr:col>
          <xdr:colOff>257175</xdr:colOff>
          <xdr:row>82</xdr:row>
          <xdr:rowOff>85725</xdr:rowOff>
        </xdr:from>
        <xdr:to>
          <xdr:col>86</xdr:col>
          <xdr:colOff>676275</xdr:colOff>
          <xdr:row>84</xdr:row>
          <xdr:rowOff>0</xdr:rowOff>
        </xdr:to>
        <xdr:sp macro="" textlink="">
          <xdr:nvSpPr>
            <xdr:cNvPr id="1060" name="Object 36" hidden="1">
              <a:extLst>
                <a:ext uri="{63B3BB69-23CF-44E3-9099-C40C66FF867C}">
                  <a14:compatExt spid="_x0000_s1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85</xdr:col>
          <xdr:colOff>295275</xdr:colOff>
          <xdr:row>85</xdr:row>
          <xdr:rowOff>104775</xdr:rowOff>
        </xdr:from>
        <xdr:to>
          <xdr:col>85</xdr:col>
          <xdr:colOff>714375</xdr:colOff>
          <xdr:row>87</xdr:row>
          <xdr:rowOff>0</xdr:rowOff>
        </xdr:to>
        <xdr:sp macro="" textlink="">
          <xdr:nvSpPr>
            <xdr:cNvPr id="1061" name="Object 37" hidden="1">
              <a:extLst>
                <a:ext uri="{63B3BB69-23CF-44E3-9099-C40C66FF867C}">
                  <a14:compatExt spid="_x0000_s1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86</xdr:col>
          <xdr:colOff>295275</xdr:colOff>
          <xdr:row>85</xdr:row>
          <xdr:rowOff>104775</xdr:rowOff>
        </xdr:from>
        <xdr:to>
          <xdr:col>86</xdr:col>
          <xdr:colOff>714375</xdr:colOff>
          <xdr:row>87</xdr:row>
          <xdr:rowOff>0</xdr:rowOff>
        </xdr:to>
        <xdr:sp macro="" textlink="">
          <xdr:nvSpPr>
            <xdr:cNvPr id="1062" name="Object 38" hidden="1">
              <a:extLst>
                <a:ext uri="{63B3BB69-23CF-44E3-9099-C40C66FF867C}">
                  <a14:compatExt spid="_x0000_s1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87</xdr:col>
          <xdr:colOff>314325</xdr:colOff>
          <xdr:row>82</xdr:row>
          <xdr:rowOff>85725</xdr:rowOff>
        </xdr:from>
        <xdr:to>
          <xdr:col>87</xdr:col>
          <xdr:colOff>733425</xdr:colOff>
          <xdr:row>84</xdr:row>
          <xdr:rowOff>0</xdr:rowOff>
        </xdr:to>
        <xdr:sp macro="" textlink="">
          <xdr:nvSpPr>
            <xdr:cNvPr id="1063" name="Object 39" hidden="1">
              <a:extLst>
                <a:ext uri="{63B3BB69-23CF-44E3-9099-C40C66FF867C}">
                  <a14:compatExt spid="_x0000_s10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87</xdr:col>
          <xdr:colOff>304800</xdr:colOff>
          <xdr:row>85</xdr:row>
          <xdr:rowOff>85725</xdr:rowOff>
        </xdr:from>
        <xdr:to>
          <xdr:col>87</xdr:col>
          <xdr:colOff>714375</xdr:colOff>
          <xdr:row>87</xdr:row>
          <xdr:rowOff>0</xdr:rowOff>
        </xdr:to>
        <xdr:sp macro="" textlink="">
          <xdr:nvSpPr>
            <xdr:cNvPr id="1064" name="Object 40" hidden="1">
              <a:extLst>
                <a:ext uri="{63B3BB69-23CF-44E3-9099-C40C66FF867C}">
                  <a14:compatExt spid="_x0000_s1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90</xdr:col>
          <xdr:colOff>304800</xdr:colOff>
          <xdr:row>85</xdr:row>
          <xdr:rowOff>76200</xdr:rowOff>
        </xdr:from>
        <xdr:to>
          <xdr:col>90</xdr:col>
          <xdr:colOff>714375</xdr:colOff>
          <xdr:row>86</xdr:row>
          <xdr:rowOff>161925</xdr:rowOff>
        </xdr:to>
        <xdr:sp macro="" textlink="">
          <xdr:nvSpPr>
            <xdr:cNvPr id="1065" name="Object 41" hidden="1">
              <a:extLst>
                <a:ext uri="{63B3BB69-23CF-44E3-9099-C40C66FF867C}">
                  <a14:compatExt spid="_x0000_s1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96</xdr:col>
          <xdr:colOff>428625</xdr:colOff>
          <xdr:row>82</xdr:row>
          <xdr:rowOff>152400</xdr:rowOff>
        </xdr:from>
        <xdr:to>
          <xdr:col>96</xdr:col>
          <xdr:colOff>609600</xdr:colOff>
          <xdr:row>83</xdr:row>
          <xdr:rowOff>114300</xdr:rowOff>
        </xdr:to>
        <xdr:sp macro="" textlink="">
          <xdr:nvSpPr>
            <xdr:cNvPr id="1066" name="Object 42" hidden="1">
              <a:extLst>
                <a:ext uri="{63B3BB69-23CF-44E3-9099-C40C66FF867C}">
                  <a14:compatExt spid="_x0000_s1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97</xdr:col>
          <xdr:colOff>257175</xdr:colOff>
          <xdr:row>82</xdr:row>
          <xdr:rowOff>85725</xdr:rowOff>
        </xdr:from>
        <xdr:to>
          <xdr:col>97</xdr:col>
          <xdr:colOff>676275</xdr:colOff>
          <xdr:row>84</xdr:row>
          <xdr:rowOff>0</xdr:rowOff>
        </xdr:to>
        <xdr:sp macro="" textlink="">
          <xdr:nvSpPr>
            <xdr:cNvPr id="1067" name="Object 43" hidden="1">
              <a:extLst>
                <a:ext uri="{63B3BB69-23CF-44E3-9099-C40C66FF867C}">
                  <a14:compatExt spid="_x0000_s10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96</xdr:col>
          <xdr:colOff>295275</xdr:colOff>
          <xdr:row>85</xdr:row>
          <xdr:rowOff>104775</xdr:rowOff>
        </xdr:from>
        <xdr:to>
          <xdr:col>96</xdr:col>
          <xdr:colOff>714375</xdr:colOff>
          <xdr:row>87</xdr:row>
          <xdr:rowOff>0</xdr:rowOff>
        </xdr:to>
        <xdr:sp macro="" textlink="">
          <xdr:nvSpPr>
            <xdr:cNvPr id="1068" name="Object 44" hidden="1">
              <a:extLst>
                <a:ext uri="{63B3BB69-23CF-44E3-9099-C40C66FF867C}">
                  <a14:compatExt spid="_x0000_s10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97</xdr:col>
          <xdr:colOff>295275</xdr:colOff>
          <xdr:row>85</xdr:row>
          <xdr:rowOff>104775</xdr:rowOff>
        </xdr:from>
        <xdr:to>
          <xdr:col>97</xdr:col>
          <xdr:colOff>714375</xdr:colOff>
          <xdr:row>87</xdr:row>
          <xdr:rowOff>0</xdr:rowOff>
        </xdr:to>
        <xdr:sp macro="" textlink="">
          <xdr:nvSpPr>
            <xdr:cNvPr id="1069" name="Object 45" hidden="1">
              <a:extLst>
                <a:ext uri="{63B3BB69-23CF-44E3-9099-C40C66FF867C}">
                  <a14:compatExt spid="_x0000_s1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98</xdr:col>
          <xdr:colOff>314325</xdr:colOff>
          <xdr:row>82</xdr:row>
          <xdr:rowOff>85725</xdr:rowOff>
        </xdr:from>
        <xdr:to>
          <xdr:col>98</xdr:col>
          <xdr:colOff>733425</xdr:colOff>
          <xdr:row>84</xdr:row>
          <xdr:rowOff>0</xdr:rowOff>
        </xdr:to>
        <xdr:sp macro="" textlink="">
          <xdr:nvSpPr>
            <xdr:cNvPr id="1070" name="Object 46" hidden="1">
              <a:extLst>
                <a:ext uri="{63B3BB69-23CF-44E3-9099-C40C66FF867C}">
                  <a14:compatExt spid="_x0000_s1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98</xdr:col>
          <xdr:colOff>304800</xdr:colOff>
          <xdr:row>85</xdr:row>
          <xdr:rowOff>85725</xdr:rowOff>
        </xdr:from>
        <xdr:to>
          <xdr:col>98</xdr:col>
          <xdr:colOff>714375</xdr:colOff>
          <xdr:row>87</xdr:row>
          <xdr:rowOff>0</xdr:rowOff>
        </xdr:to>
        <xdr:sp macro="" textlink="">
          <xdr:nvSpPr>
            <xdr:cNvPr id="1071" name="Object 47" hidden="1">
              <a:extLst>
                <a:ext uri="{63B3BB69-23CF-44E3-9099-C40C66FF867C}">
                  <a14:compatExt spid="_x0000_s1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101</xdr:col>
          <xdr:colOff>304800</xdr:colOff>
          <xdr:row>85</xdr:row>
          <xdr:rowOff>76200</xdr:rowOff>
        </xdr:from>
        <xdr:to>
          <xdr:col>101</xdr:col>
          <xdr:colOff>714375</xdr:colOff>
          <xdr:row>86</xdr:row>
          <xdr:rowOff>161925</xdr:rowOff>
        </xdr:to>
        <xdr:sp macro="" textlink="">
          <xdr:nvSpPr>
            <xdr:cNvPr id="1072" name="Object 48" hidden="1">
              <a:extLst>
                <a:ext uri="{63B3BB69-23CF-44E3-9099-C40C66FF867C}">
                  <a14:compatExt spid="_x0000_s10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107</xdr:col>
          <xdr:colOff>428625</xdr:colOff>
          <xdr:row>82</xdr:row>
          <xdr:rowOff>152400</xdr:rowOff>
        </xdr:from>
        <xdr:to>
          <xdr:col>107</xdr:col>
          <xdr:colOff>609600</xdr:colOff>
          <xdr:row>83</xdr:row>
          <xdr:rowOff>114300</xdr:rowOff>
        </xdr:to>
        <xdr:sp macro="" textlink="">
          <xdr:nvSpPr>
            <xdr:cNvPr id="1073" name="Object 49" hidden="1">
              <a:extLst>
                <a:ext uri="{63B3BB69-23CF-44E3-9099-C40C66FF867C}">
                  <a14:compatExt spid="_x0000_s1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108</xdr:col>
          <xdr:colOff>257175</xdr:colOff>
          <xdr:row>82</xdr:row>
          <xdr:rowOff>85725</xdr:rowOff>
        </xdr:from>
        <xdr:to>
          <xdr:col>108</xdr:col>
          <xdr:colOff>647700</xdr:colOff>
          <xdr:row>84</xdr:row>
          <xdr:rowOff>0</xdr:rowOff>
        </xdr:to>
        <xdr:sp macro="" textlink="">
          <xdr:nvSpPr>
            <xdr:cNvPr id="1074" name="Object 50" hidden="1">
              <a:extLst>
                <a:ext uri="{63B3BB69-23CF-44E3-9099-C40C66FF867C}">
                  <a14:compatExt spid="_x0000_s1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107</xdr:col>
          <xdr:colOff>295275</xdr:colOff>
          <xdr:row>85</xdr:row>
          <xdr:rowOff>104775</xdr:rowOff>
        </xdr:from>
        <xdr:to>
          <xdr:col>107</xdr:col>
          <xdr:colOff>714375</xdr:colOff>
          <xdr:row>87</xdr:row>
          <xdr:rowOff>0</xdr:rowOff>
        </xdr:to>
        <xdr:sp macro="" textlink="">
          <xdr:nvSpPr>
            <xdr:cNvPr id="1075" name="Object 51" hidden="1">
              <a:extLst>
                <a:ext uri="{63B3BB69-23CF-44E3-9099-C40C66FF867C}">
                  <a14:compatExt spid="_x0000_s1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108</xdr:col>
          <xdr:colOff>295275</xdr:colOff>
          <xdr:row>85</xdr:row>
          <xdr:rowOff>104775</xdr:rowOff>
        </xdr:from>
        <xdr:to>
          <xdr:col>108</xdr:col>
          <xdr:colOff>714375</xdr:colOff>
          <xdr:row>87</xdr:row>
          <xdr:rowOff>0</xdr:rowOff>
        </xdr:to>
        <xdr:sp macro="" textlink="">
          <xdr:nvSpPr>
            <xdr:cNvPr id="1076" name="Object 52" hidden="1">
              <a:extLst>
                <a:ext uri="{63B3BB69-23CF-44E3-9099-C40C66FF867C}">
                  <a14:compatExt spid="_x0000_s1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109</xdr:col>
          <xdr:colOff>314325</xdr:colOff>
          <xdr:row>82</xdr:row>
          <xdr:rowOff>85725</xdr:rowOff>
        </xdr:from>
        <xdr:to>
          <xdr:col>109</xdr:col>
          <xdr:colOff>733425</xdr:colOff>
          <xdr:row>84</xdr:row>
          <xdr:rowOff>0</xdr:rowOff>
        </xdr:to>
        <xdr:sp macro="" textlink="">
          <xdr:nvSpPr>
            <xdr:cNvPr id="1077" name="Object 53" hidden="1">
              <a:extLst>
                <a:ext uri="{63B3BB69-23CF-44E3-9099-C40C66FF867C}">
                  <a14:compatExt spid="_x0000_s1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109</xdr:col>
          <xdr:colOff>304800</xdr:colOff>
          <xdr:row>85</xdr:row>
          <xdr:rowOff>85725</xdr:rowOff>
        </xdr:from>
        <xdr:to>
          <xdr:col>109</xdr:col>
          <xdr:colOff>714375</xdr:colOff>
          <xdr:row>87</xdr:row>
          <xdr:rowOff>0</xdr:rowOff>
        </xdr:to>
        <xdr:sp macro="" textlink="">
          <xdr:nvSpPr>
            <xdr:cNvPr id="1078" name="Object 54" hidden="1">
              <a:extLst>
                <a:ext uri="{63B3BB69-23CF-44E3-9099-C40C66FF867C}">
                  <a14:compatExt spid="_x0000_s1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112</xdr:col>
          <xdr:colOff>304800</xdr:colOff>
          <xdr:row>85</xdr:row>
          <xdr:rowOff>76200</xdr:rowOff>
        </xdr:from>
        <xdr:to>
          <xdr:col>112</xdr:col>
          <xdr:colOff>714375</xdr:colOff>
          <xdr:row>86</xdr:row>
          <xdr:rowOff>161925</xdr:rowOff>
        </xdr:to>
        <xdr:sp macro="" textlink="">
          <xdr:nvSpPr>
            <xdr:cNvPr id="1079" name="Object 55" hidden="1">
              <a:extLst>
                <a:ext uri="{63B3BB69-23CF-44E3-9099-C40C66FF867C}">
                  <a14:compatExt spid="_x0000_s1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428625</xdr:colOff>
          <xdr:row>114</xdr:row>
          <xdr:rowOff>152400</xdr:rowOff>
        </xdr:from>
        <xdr:to>
          <xdr:col>41</xdr:col>
          <xdr:colOff>609600</xdr:colOff>
          <xdr:row>115</xdr:row>
          <xdr:rowOff>114300</xdr:rowOff>
        </xdr:to>
        <xdr:sp macro="" textlink="">
          <xdr:nvSpPr>
            <xdr:cNvPr id="1080" name="Object 56" hidden="1">
              <a:extLst>
                <a:ext uri="{63B3BB69-23CF-44E3-9099-C40C66FF867C}">
                  <a14:compatExt spid="_x0000_s1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257175</xdr:colOff>
          <xdr:row>114</xdr:row>
          <xdr:rowOff>85725</xdr:rowOff>
        </xdr:from>
        <xdr:to>
          <xdr:col>42</xdr:col>
          <xdr:colOff>647700</xdr:colOff>
          <xdr:row>116</xdr:row>
          <xdr:rowOff>0</xdr:rowOff>
        </xdr:to>
        <xdr:sp macro="" textlink="">
          <xdr:nvSpPr>
            <xdr:cNvPr id="1081" name="Object 57" hidden="1">
              <a:extLst>
                <a:ext uri="{63B3BB69-23CF-44E3-9099-C40C66FF867C}">
                  <a14:compatExt spid="_x0000_s1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295275</xdr:colOff>
          <xdr:row>117</xdr:row>
          <xdr:rowOff>104775</xdr:rowOff>
        </xdr:from>
        <xdr:to>
          <xdr:col>41</xdr:col>
          <xdr:colOff>714375</xdr:colOff>
          <xdr:row>119</xdr:row>
          <xdr:rowOff>0</xdr:rowOff>
        </xdr:to>
        <xdr:sp macro="" textlink="">
          <xdr:nvSpPr>
            <xdr:cNvPr id="1082" name="Object 58" hidden="1">
              <a:extLst>
                <a:ext uri="{63B3BB69-23CF-44E3-9099-C40C66FF867C}">
                  <a14:compatExt spid="_x0000_s1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295275</xdr:colOff>
          <xdr:row>117</xdr:row>
          <xdr:rowOff>104775</xdr:rowOff>
        </xdr:from>
        <xdr:to>
          <xdr:col>42</xdr:col>
          <xdr:colOff>714375</xdr:colOff>
          <xdr:row>119</xdr:row>
          <xdr:rowOff>0</xdr:rowOff>
        </xdr:to>
        <xdr:sp macro="" textlink="">
          <xdr:nvSpPr>
            <xdr:cNvPr id="1083" name="Object 59" hidden="1">
              <a:extLst>
                <a:ext uri="{63B3BB69-23CF-44E3-9099-C40C66FF867C}">
                  <a14:compatExt spid="_x0000_s10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314325</xdr:colOff>
          <xdr:row>114</xdr:row>
          <xdr:rowOff>85725</xdr:rowOff>
        </xdr:from>
        <xdr:to>
          <xdr:col>43</xdr:col>
          <xdr:colOff>733425</xdr:colOff>
          <xdr:row>116</xdr:row>
          <xdr:rowOff>0</xdr:rowOff>
        </xdr:to>
        <xdr:sp macro="" textlink="">
          <xdr:nvSpPr>
            <xdr:cNvPr id="1084" name="Object 60" hidden="1">
              <a:extLst>
                <a:ext uri="{63B3BB69-23CF-44E3-9099-C40C66FF867C}">
                  <a14:compatExt spid="_x0000_s1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304800</xdr:colOff>
          <xdr:row>117</xdr:row>
          <xdr:rowOff>85725</xdr:rowOff>
        </xdr:from>
        <xdr:to>
          <xdr:col>43</xdr:col>
          <xdr:colOff>714375</xdr:colOff>
          <xdr:row>119</xdr:row>
          <xdr:rowOff>0</xdr:rowOff>
        </xdr:to>
        <xdr:sp macro="" textlink="">
          <xdr:nvSpPr>
            <xdr:cNvPr id="1085" name="Object 61" hidden="1">
              <a:extLst>
                <a:ext uri="{63B3BB69-23CF-44E3-9099-C40C66FF867C}">
                  <a14:compatExt spid="_x0000_s1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304800</xdr:colOff>
          <xdr:row>117</xdr:row>
          <xdr:rowOff>76200</xdr:rowOff>
        </xdr:from>
        <xdr:to>
          <xdr:col>46</xdr:col>
          <xdr:colOff>714375</xdr:colOff>
          <xdr:row>118</xdr:row>
          <xdr:rowOff>161925</xdr:rowOff>
        </xdr:to>
        <xdr:sp macro="" textlink="">
          <xdr:nvSpPr>
            <xdr:cNvPr id="1086" name="Object 62" hidden="1">
              <a:extLst>
                <a:ext uri="{63B3BB69-23CF-44E3-9099-C40C66FF867C}">
                  <a14:compatExt spid="_x0000_s1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428625</xdr:colOff>
          <xdr:row>114</xdr:row>
          <xdr:rowOff>152400</xdr:rowOff>
        </xdr:from>
        <xdr:to>
          <xdr:col>52</xdr:col>
          <xdr:colOff>609600</xdr:colOff>
          <xdr:row>115</xdr:row>
          <xdr:rowOff>114300</xdr:rowOff>
        </xdr:to>
        <xdr:sp macro="" textlink="">
          <xdr:nvSpPr>
            <xdr:cNvPr id="1087" name="Object 63" hidden="1">
              <a:extLst>
                <a:ext uri="{63B3BB69-23CF-44E3-9099-C40C66FF867C}">
                  <a14:compatExt spid="_x0000_s10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257175</xdr:colOff>
          <xdr:row>114</xdr:row>
          <xdr:rowOff>85725</xdr:rowOff>
        </xdr:from>
        <xdr:to>
          <xdr:col>53</xdr:col>
          <xdr:colOff>647700</xdr:colOff>
          <xdr:row>116</xdr:row>
          <xdr:rowOff>0</xdr:rowOff>
        </xdr:to>
        <xdr:sp macro="" textlink="">
          <xdr:nvSpPr>
            <xdr:cNvPr id="1088" name="Object 64" hidden="1">
              <a:extLst>
                <a:ext uri="{63B3BB69-23CF-44E3-9099-C40C66FF867C}">
                  <a14:compatExt spid="_x0000_s10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295275</xdr:colOff>
          <xdr:row>117</xdr:row>
          <xdr:rowOff>104775</xdr:rowOff>
        </xdr:from>
        <xdr:to>
          <xdr:col>52</xdr:col>
          <xdr:colOff>714375</xdr:colOff>
          <xdr:row>119</xdr:row>
          <xdr:rowOff>0</xdr:rowOff>
        </xdr:to>
        <xdr:sp macro="" textlink="">
          <xdr:nvSpPr>
            <xdr:cNvPr id="1089" name="Object 65" hidden="1">
              <a:extLst>
                <a:ext uri="{63B3BB69-23CF-44E3-9099-C40C66FF867C}">
                  <a14:compatExt spid="_x0000_s1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295275</xdr:colOff>
          <xdr:row>117</xdr:row>
          <xdr:rowOff>104775</xdr:rowOff>
        </xdr:from>
        <xdr:to>
          <xdr:col>53</xdr:col>
          <xdr:colOff>714375</xdr:colOff>
          <xdr:row>119</xdr:row>
          <xdr:rowOff>0</xdr:rowOff>
        </xdr:to>
        <xdr:sp macro="" textlink="">
          <xdr:nvSpPr>
            <xdr:cNvPr id="1090" name="Object 66" hidden="1">
              <a:extLst>
                <a:ext uri="{63B3BB69-23CF-44E3-9099-C40C66FF867C}">
                  <a14:compatExt spid="_x0000_s1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314325</xdr:colOff>
          <xdr:row>114</xdr:row>
          <xdr:rowOff>85725</xdr:rowOff>
        </xdr:from>
        <xdr:to>
          <xdr:col>54</xdr:col>
          <xdr:colOff>733425</xdr:colOff>
          <xdr:row>116</xdr:row>
          <xdr:rowOff>0</xdr:rowOff>
        </xdr:to>
        <xdr:sp macro="" textlink="">
          <xdr:nvSpPr>
            <xdr:cNvPr id="1091" name="Object 67" hidden="1">
              <a:extLst>
                <a:ext uri="{63B3BB69-23CF-44E3-9099-C40C66FF867C}">
                  <a14:compatExt spid="_x0000_s10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304800</xdr:colOff>
          <xdr:row>117</xdr:row>
          <xdr:rowOff>85725</xdr:rowOff>
        </xdr:from>
        <xdr:to>
          <xdr:col>54</xdr:col>
          <xdr:colOff>714375</xdr:colOff>
          <xdr:row>119</xdr:row>
          <xdr:rowOff>0</xdr:rowOff>
        </xdr:to>
        <xdr:sp macro="" textlink="">
          <xdr:nvSpPr>
            <xdr:cNvPr id="1092" name="Object 68" hidden="1">
              <a:extLst>
                <a:ext uri="{63B3BB69-23CF-44E3-9099-C40C66FF867C}">
                  <a14:compatExt spid="_x0000_s10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304800</xdr:colOff>
          <xdr:row>117</xdr:row>
          <xdr:rowOff>76200</xdr:rowOff>
        </xdr:from>
        <xdr:to>
          <xdr:col>57</xdr:col>
          <xdr:colOff>714375</xdr:colOff>
          <xdr:row>118</xdr:row>
          <xdr:rowOff>161925</xdr:rowOff>
        </xdr:to>
        <xdr:sp macro="" textlink="">
          <xdr:nvSpPr>
            <xdr:cNvPr id="1093" name="Object 69" hidden="1">
              <a:extLst>
                <a:ext uri="{63B3BB69-23CF-44E3-9099-C40C66FF867C}">
                  <a14:compatExt spid="_x0000_s10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63</xdr:col>
          <xdr:colOff>428625</xdr:colOff>
          <xdr:row>114</xdr:row>
          <xdr:rowOff>152400</xdr:rowOff>
        </xdr:from>
        <xdr:to>
          <xdr:col>63</xdr:col>
          <xdr:colOff>609600</xdr:colOff>
          <xdr:row>115</xdr:row>
          <xdr:rowOff>114300</xdr:rowOff>
        </xdr:to>
        <xdr:sp macro="" textlink="">
          <xdr:nvSpPr>
            <xdr:cNvPr id="1094" name="Object 70" hidden="1">
              <a:extLst>
                <a:ext uri="{63B3BB69-23CF-44E3-9099-C40C66FF867C}">
                  <a14:compatExt spid="_x0000_s1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64</xdr:col>
          <xdr:colOff>257175</xdr:colOff>
          <xdr:row>114</xdr:row>
          <xdr:rowOff>85725</xdr:rowOff>
        </xdr:from>
        <xdr:to>
          <xdr:col>64</xdr:col>
          <xdr:colOff>647700</xdr:colOff>
          <xdr:row>116</xdr:row>
          <xdr:rowOff>0</xdr:rowOff>
        </xdr:to>
        <xdr:sp macro="" textlink="">
          <xdr:nvSpPr>
            <xdr:cNvPr id="1095" name="Object 71" hidden="1">
              <a:extLst>
                <a:ext uri="{63B3BB69-23CF-44E3-9099-C40C66FF867C}">
                  <a14:compatExt spid="_x0000_s1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63</xdr:col>
          <xdr:colOff>295275</xdr:colOff>
          <xdr:row>117</xdr:row>
          <xdr:rowOff>104775</xdr:rowOff>
        </xdr:from>
        <xdr:to>
          <xdr:col>63</xdr:col>
          <xdr:colOff>714375</xdr:colOff>
          <xdr:row>119</xdr:row>
          <xdr:rowOff>0</xdr:rowOff>
        </xdr:to>
        <xdr:sp macro="" textlink="">
          <xdr:nvSpPr>
            <xdr:cNvPr id="1096" name="Object 72" hidden="1">
              <a:extLst>
                <a:ext uri="{63B3BB69-23CF-44E3-9099-C40C66FF867C}">
                  <a14:compatExt spid="_x0000_s1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64</xdr:col>
          <xdr:colOff>295275</xdr:colOff>
          <xdr:row>117</xdr:row>
          <xdr:rowOff>104775</xdr:rowOff>
        </xdr:from>
        <xdr:to>
          <xdr:col>64</xdr:col>
          <xdr:colOff>714375</xdr:colOff>
          <xdr:row>119</xdr:row>
          <xdr:rowOff>0</xdr:rowOff>
        </xdr:to>
        <xdr:sp macro="" textlink="">
          <xdr:nvSpPr>
            <xdr:cNvPr id="1097" name="Object 73" hidden="1">
              <a:extLst>
                <a:ext uri="{63B3BB69-23CF-44E3-9099-C40C66FF867C}">
                  <a14:compatExt spid="_x0000_s1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314325</xdr:colOff>
          <xdr:row>114</xdr:row>
          <xdr:rowOff>85725</xdr:rowOff>
        </xdr:from>
        <xdr:to>
          <xdr:col>65</xdr:col>
          <xdr:colOff>733425</xdr:colOff>
          <xdr:row>116</xdr:row>
          <xdr:rowOff>0</xdr:rowOff>
        </xdr:to>
        <xdr:sp macro="" textlink="">
          <xdr:nvSpPr>
            <xdr:cNvPr id="1098" name="Object 74" hidden="1">
              <a:extLst>
                <a:ext uri="{63B3BB69-23CF-44E3-9099-C40C66FF867C}">
                  <a14:compatExt spid="_x0000_s1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304800</xdr:colOff>
          <xdr:row>117</xdr:row>
          <xdr:rowOff>85725</xdr:rowOff>
        </xdr:from>
        <xdr:to>
          <xdr:col>65</xdr:col>
          <xdr:colOff>714375</xdr:colOff>
          <xdr:row>119</xdr:row>
          <xdr:rowOff>0</xdr:rowOff>
        </xdr:to>
        <xdr:sp macro="" textlink="">
          <xdr:nvSpPr>
            <xdr:cNvPr id="1099" name="Object 75" hidden="1">
              <a:extLst>
                <a:ext uri="{63B3BB69-23CF-44E3-9099-C40C66FF867C}">
                  <a14:compatExt spid="_x0000_s1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304800</xdr:colOff>
          <xdr:row>117</xdr:row>
          <xdr:rowOff>76200</xdr:rowOff>
        </xdr:from>
        <xdr:to>
          <xdr:col>68</xdr:col>
          <xdr:colOff>714375</xdr:colOff>
          <xdr:row>118</xdr:row>
          <xdr:rowOff>161925</xdr:rowOff>
        </xdr:to>
        <xdr:sp macro="" textlink="">
          <xdr:nvSpPr>
            <xdr:cNvPr id="1100" name="Object 76" hidden="1">
              <a:extLst>
                <a:ext uri="{63B3BB69-23CF-44E3-9099-C40C66FF867C}">
                  <a14:compatExt spid="_x0000_s1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428625</xdr:colOff>
          <xdr:row>114</xdr:row>
          <xdr:rowOff>152400</xdr:rowOff>
        </xdr:from>
        <xdr:to>
          <xdr:col>74</xdr:col>
          <xdr:colOff>609600</xdr:colOff>
          <xdr:row>115</xdr:row>
          <xdr:rowOff>114300</xdr:rowOff>
        </xdr:to>
        <xdr:sp macro="" textlink="">
          <xdr:nvSpPr>
            <xdr:cNvPr id="1101" name="Object 77" hidden="1">
              <a:extLst>
                <a:ext uri="{63B3BB69-23CF-44E3-9099-C40C66FF867C}">
                  <a14:compatExt spid="_x0000_s1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257175</xdr:colOff>
          <xdr:row>114</xdr:row>
          <xdr:rowOff>85725</xdr:rowOff>
        </xdr:from>
        <xdr:to>
          <xdr:col>75</xdr:col>
          <xdr:colOff>647700</xdr:colOff>
          <xdr:row>116</xdr:row>
          <xdr:rowOff>0</xdr:rowOff>
        </xdr:to>
        <xdr:sp macro="" textlink="">
          <xdr:nvSpPr>
            <xdr:cNvPr id="1102" name="Object 78" hidden="1">
              <a:extLst>
                <a:ext uri="{63B3BB69-23CF-44E3-9099-C40C66FF867C}">
                  <a14:compatExt spid="_x0000_s1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295275</xdr:colOff>
          <xdr:row>117</xdr:row>
          <xdr:rowOff>104775</xdr:rowOff>
        </xdr:from>
        <xdr:to>
          <xdr:col>74</xdr:col>
          <xdr:colOff>714375</xdr:colOff>
          <xdr:row>119</xdr:row>
          <xdr:rowOff>0</xdr:rowOff>
        </xdr:to>
        <xdr:sp macro="" textlink="">
          <xdr:nvSpPr>
            <xdr:cNvPr id="1103" name="Object 79" hidden="1">
              <a:extLst>
                <a:ext uri="{63B3BB69-23CF-44E3-9099-C40C66FF867C}">
                  <a14:compatExt spid="_x0000_s1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295275</xdr:colOff>
          <xdr:row>117</xdr:row>
          <xdr:rowOff>104775</xdr:rowOff>
        </xdr:from>
        <xdr:to>
          <xdr:col>75</xdr:col>
          <xdr:colOff>714375</xdr:colOff>
          <xdr:row>119</xdr:row>
          <xdr:rowOff>0</xdr:rowOff>
        </xdr:to>
        <xdr:sp macro="" textlink="">
          <xdr:nvSpPr>
            <xdr:cNvPr id="1104" name="Object 80" hidden="1">
              <a:extLst>
                <a:ext uri="{63B3BB69-23CF-44E3-9099-C40C66FF867C}">
                  <a14:compatExt spid="_x0000_s1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314325</xdr:colOff>
          <xdr:row>114</xdr:row>
          <xdr:rowOff>85725</xdr:rowOff>
        </xdr:from>
        <xdr:to>
          <xdr:col>76</xdr:col>
          <xdr:colOff>733425</xdr:colOff>
          <xdr:row>116</xdr:row>
          <xdr:rowOff>0</xdr:rowOff>
        </xdr:to>
        <xdr:sp macro="" textlink="">
          <xdr:nvSpPr>
            <xdr:cNvPr id="1105" name="Object 81" hidden="1">
              <a:extLst>
                <a:ext uri="{63B3BB69-23CF-44E3-9099-C40C66FF867C}">
                  <a14:compatExt spid="_x0000_s1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304800</xdr:colOff>
          <xdr:row>117</xdr:row>
          <xdr:rowOff>85725</xdr:rowOff>
        </xdr:from>
        <xdr:to>
          <xdr:col>76</xdr:col>
          <xdr:colOff>714375</xdr:colOff>
          <xdr:row>119</xdr:row>
          <xdr:rowOff>0</xdr:rowOff>
        </xdr:to>
        <xdr:sp macro="" textlink="">
          <xdr:nvSpPr>
            <xdr:cNvPr id="1106" name="Object 82" hidden="1">
              <a:extLst>
                <a:ext uri="{63B3BB69-23CF-44E3-9099-C40C66FF867C}">
                  <a14:compatExt spid="_x0000_s1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79</xdr:col>
          <xdr:colOff>304800</xdr:colOff>
          <xdr:row>117</xdr:row>
          <xdr:rowOff>76200</xdr:rowOff>
        </xdr:from>
        <xdr:to>
          <xdr:col>79</xdr:col>
          <xdr:colOff>714375</xdr:colOff>
          <xdr:row>118</xdr:row>
          <xdr:rowOff>161925</xdr:rowOff>
        </xdr:to>
        <xdr:sp macro="" textlink="">
          <xdr:nvSpPr>
            <xdr:cNvPr id="1107" name="Object 83" hidden="1">
              <a:extLst>
                <a:ext uri="{63B3BB69-23CF-44E3-9099-C40C66FF867C}">
                  <a14:compatExt spid="_x0000_s1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85</xdr:col>
          <xdr:colOff>428625</xdr:colOff>
          <xdr:row>114</xdr:row>
          <xdr:rowOff>152400</xdr:rowOff>
        </xdr:from>
        <xdr:to>
          <xdr:col>85</xdr:col>
          <xdr:colOff>609600</xdr:colOff>
          <xdr:row>115</xdr:row>
          <xdr:rowOff>114300</xdr:rowOff>
        </xdr:to>
        <xdr:sp macro="" textlink="">
          <xdr:nvSpPr>
            <xdr:cNvPr id="1108" name="Object 84" hidden="1">
              <a:extLst>
                <a:ext uri="{63B3BB69-23CF-44E3-9099-C40C66FF867C}">
                  <a14:compatExt spid="_x0000_s1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86</xdr:col>
          <xdr:colOff>257175</xdr:colOff>
          <xdr:row>114</xdr:row>
          <xdr:rowOff>85725</xdr:rowOff>
        </xdr:from>
        <xdr:to>
          <xdr:col>86</xdr:col>
          <xdr:colOff>647700</xdr:colOff>
          <xdr:row>116</xdr:row>
          <xdr:rowOff>0</xdr:rowOff>
        </xdr:to>
        <xdr:sp macro="" textlink="">
          <xdr:nvSpPr>
            <xdr:cNvPr id="1109" name="Object 85" hidden="1">
              <a:extLst>
                <a:ext uri="{63B3BB69-23CF-44E3-9099-C40C66FF867C}">
                  <a14:compatExt spid="_x0000_s1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85</xdr:col>
          <xdr:colOff>295275</xdr:colOff>
          <xdr:row>117</xdr:row>
          <xdr:rowOff>104775</xdr:rowOff>
        </xdr:from>
        <xdr:to>
          <xdr:col>85</xdr:col>
          <xdr:colOff>714375</xdr:colOff>
          <xdr:row>119</xdr:row>
          <xdr:rowOff>0</xdr:rowOff>
        </xdr:to>
        <xdr:sp macro="" textlink="">
          <xdr:nvSpPr>
            <xdr:cNvPr id="1110" name="Object 86" hidden="1">
              <a:extLst>
                <a:ext uri="{63B3BB69-23CF-44E3-9099-C40C66FF867C}">
                  <a14:compatExt spid="_x0000_s1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86</xdr:col>
          <xdr:colOff>295275</xdr:colOff>
          <xdr:row>117</xdr:row>
          <xdr:rowOff>104775</xdr:rowOff>
        </xdr:from>
        <xdr:to>
          <xdr:col>86</xdr:col>
          <xdr:colOff>714375</xdr:colOff>
          <xdr:row>119</xdr:row>
          <xdr:rowOff>0</xdr:rowOff>
        </xdr:to>
        <xdr:sp macro="" textlink="">
          <xdr:nvSpPr>
            <xdr:cNvPr id="1111" name="Object 87" hidden="1">
              <a:extLst>
                <a:ext uri="{63B3BB69-23CF-44E3-9099-C40C66FF867C}">
                  <a14:compatExt spid="_x0000_s1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87</xdr:col>
          <xdr:colOff>314325</xdr:colOff>
          <xdr:row>114</xdr:row>
          <xdr:rowOff>85725</xdr:rowOff>
        </xdr:from>
        <xdr:to>
          <xdr:col>87</xdr:col>
          <xdr:colOff>733425</xdr:colOff>
          <xdr:row>116</xdr:row>
          <xdr:rowOff>0</xdr:rowOff>
        </xdr:to>
        <xdr:sp macro="" textlink="">
          <xdr:nvSpPr>
            <xdr:cNvPr id="1112" name="Object 88" hidden="1">
              <a:extLst>
                <a:ext uri="{63B3BB69-23CF-44E3-9099-C40C66FF867C}">
                  <a14:compatExt spid="_x0000_s1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87</xdr:col>
          <xdr:colOff>304800</xdr:colOff>
          <xdr:row>117</xdr:row>
          <xdr:rowOff>85725</xdr:rowOff>
        </xdr:from>
        <xdr:to>
          <xdr:col>87</xdr:col>
          <xdr:colOff>714375</xdr:colOff>
          <xdr:row>119</xdr:row>
          <xdr:rowOff>0</xdr:rowOff>
        </xdr:to>
        <xdr:sp macro="" textlink="">
          <xdr:nvSpPr>
            <xdr:cNvPr id="1113" name="Object 89" hidden="1">
              <a:extLst>
                <a:ext uri="{63B3BB69-23CF-44E3-9099-C40C66FF867C}">
                  <a14:compatExt spid="_x0000_s1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90</xdr:col>
          <xdr:colOff>304800</xdr:colOff>
          <xdr:row>117</xdr:row>
          <xdr:rowOff>76200</xdr:rowOff>
        </xdr:from>
        <xdr:to>
          <xdr:col>90</xdr:col>
          <xdr:colOff>714375</xdr:colOff>
          <xdr:row>118</xdr:row>
          <xdr:rowOff>161925</xdr:rowOff>
        </xdr:to>
        <xdr:sp macro="" textlink="">
          <xdr:nvSpPr>
            <xdr:cNvPr id="1114" name="Object 90" hidden="1">
              <a:extLst>
                <a:ext uri="{63B3BB69-23CF-44E3-9099-C40C66FF867C}">
                  <a14:compatExt spid="_x0000_s1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96</xdr:col>
          <xdr:colOff>428625</xdr:colOff>
          <xdr:row>114</xdr:row>
          <xdr:rowOff>152400</xdr:rowOff>
        </xdr:from>
        <xdr:to>
          <xdr:col>96</xdr:col>
          <xdr:colOff>609600</xdr:colOff>
          <xdr:row>115</xdr:row>
          <xdr:rowOff>114300</xdr:rowOff>
        </xdr:to>
        <xdr:sp macro="" textlink="">
          <xdr:nvSpPr>
            <xdr:cNvPr id="1115" name="Object 91" hidden="1">
              <a:extLst>
                <a:ext uri="{63B3BB69-23CF-44E3-9099-C40C66FF867C}">
                  <a14:compatExt spid="_x0000_s1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97</xdr:col>
          <xdr:colOff>257175</xdr:colOff>
          <xdr:row>114</xdr:row>
          <xdr:rowOff>85725</xdr:rowOff>
        </xdr:from>
        <xdr:to>
          <xdr:col>97</xdr:col>
          <xdr:colOff>647700</xdr:colOff>
          <xdr:row>116</xdr:row>
          <xdr:rowOff>0</xdr:rowOff>
        </xdr:to>
        <xdr:sp macro="" textlink="">
          <xdr:nvSpPr>
            <xdr:cNvPr id="1116" name="Object 92" hidden="1">
              <a:extLst>
                <a:ext uri="{63B3BB69-23CF-44E3-9099-C40C66FF867C}">
                  <a14:compatExt spid="_x0000_s1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96</xdr:col>
          <xdr:colOff>295275</xdr:colOff>
          <xdr:row>117</xdr:row>
          <xdr:rowOff>104775</xdr:rowOff>
        </xdr:from>
        <xdr:to>
          <xdr:col>96</xdr:col>
          <xdr:colOff>714375</xdr:colOff>
          <xdr:row>119</xdr:row>
          <xdr:rowOff>0</xdr:rowOff>
        </xdr:to>
        <xdr:sp macro="" textlink="">
          <xdr:nvSpPr>
            <xdr:cNvPr id="1117" name="Object 93" hidden="1">
              <a:extLst>
                <a:ext uri="{63B3BB69-23CF-44E3-9099-C40C66FF867C}">
                  <a14:compatExt spid="_x0000_s1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97</xdr:col>
          <xdr:colOff>295275</xdr:colOff>
          <xdr:row>117</xdr:row>
          <xdr:rowOff>104775</xdr:rowOff>
        </xdr:from>
        <xdr:to>
          <xdr:col>97</xdr:col>
          <xdr:colOff>714375</xdr:colOff>
          <xdr:row>119</xdr:row>
          <xdr:rowOff>0</xdr:rowOff>
        </xdr:to>
        <xdr:sp macro="" textlink="">
          <xdr:nvSpPr>
            <xdr:cNvPr id="1118" name="Object 94" hidden="1">
              <a:extLst>
                <a:ext uri="{63B3BB69-23CF-44E3-9099-C40C66FF867C}">
                  <a14:compatExt spid="_x0000_s1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98</xdr:col>
          <xdr:colOff>314325</xdr:colOff>
          <xdr:row>114</xdr:row>
          <xdr:rowOff>85725</xdr:rowOff>
        </xdr:from>
        <xdr:to>
          <xdr:col>98</xdr:col>
          <xdr:colOff>733425</xdr:colOff>
          <xdr:row>116</xdr:row>
          <xdr:rowOff>0</xdr:rowOff>
        </xdr:to>
        <xdr:sp macro="" textlink="">
          <xdr:nvSpPr>
            <xdr:cNvPr id="1119" name="Object 95" hidden="1">
              <a:extLst>
                <a:ext uri="{63B3BB69-23CF-44E3-9099-C40C66FF867C}">
                  <a14:compatExt spid="_x0000_s1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98</xdr:col>
          <xdr:colOff>304800</xdr:colOff>
          <xdr:row>117</xdr:row>
          <xdr:rowOff>85725</xdr:rowOff>
        </xdr:from>
        <xdr:to>
          <xdr:col>98</xdr:col>
          <xdr:colOff>714375</xdr:colOff>
          <xdr:row>119</xdr:row>
          <xdr:rowOff>0</xdr:rowOff>
        </xdr:to>
        <xdr:sp macro="" textlink="">
          <xdr:nvSpPr>
            <xdr:cNvPr id="1120" name="Object 96" hidden="1">
              <a:extLst>
                <a:ext uri="{63B3BB69-23CF-44E3-9099-C40C66FF867C}">
                  <a14:compatExt spid="_x0000_s1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101</xdr:col>
          <xdr:colOff>304800</xdr:colOff>
          <xdr:row>117</xdr:row>
          <xdr:rowOff>76200</xdr:rowOff>
        </xdr:from>
        <xdr:to>
          <xdr:col>101</xdr:col>
          <xdr:colOff>714375</xdr:colOff>
          <xdr:row>118</xdr:row>
          <xdr:rowOff>161925</xdr:rowOff>
        </xdr:to>
        <xdr:sp macro="" textlink="">
          <xdr:nvSpPr>
            <xdr:cNvPr id="1121" name="Object 97" hidden="1">
              <a:extLst>
                <a:ext uri="{63B3BB69-23CF-44E3-9099-C40C66FF867C}">
                  <a14:compatExt spid="_x0000_s1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107</xdr:col>
          <xdr:colOff>428625</xdr:colOff>
          <xdr:row>114</xdr:row>
          <xdr:rowOff>152400</xdr:rowOff>
        </xdr:from>
        <xdr:to>
          <xdr:col>107</xdr:col>
          <xdr:colOff>609600</xdr:colOff>
          <xdr:row>115</xdr:row>
          <xdr:rowOff>114300</xdr:rowOff>
        </xdr:to>
        <xdr:sp macro="" textlink="">
          <xdr:nvSpPr>
            <xdr:cNvPr id="1122" name="Object 98" hidden="1">
              <a:extLst>
                <a:ext uri="{63B3BB69-23CF-44E3-9099-C40C66FF867C}">
                  <a14:compatExt spid="_x0000_s1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108</xdr:col>
          <xdr:colOff>257175</xdr:colOff>
          <xdr:row>114</xdr:row>
          <xdr:rowOff>85725</xdr:rowOff>
        </xdr:from>
        <xdr:to>
          <xdr:col>108</xdr:col>
          <xdr:colOff>647700</xdr:colOff>
          <xdr:row>116</xdr:row>
          <xdr:rowOff>0</xdr:rowOff>
        </xdr:to>
        <xdr:sp macro="" textlink="">
          <xdr:nvSpPr>
            <xdr:cNvPr id="1123" name="Object 99" hidden="1">
              <a:extLst>
                <a:ext uri="{63B3BB69-23CF-44E3-9099-C40C66FF867C}">
                  <a14:compatExt spid="_x0000_s1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107</xdr:col>
          <xdr:colOff>295275</xdr:colOff>
          <xdr:row>117</xdr:row>
          <xdr:rowOff>104775</xdr:rowOff>
        </xdr:from>
        <xdr:to>
          <xdr:col>107</xdr:col>
          <xdr:colOff>714375</xdr:colOff>
          <xdr:row>119</xdr:row>
          <xdr:rowOff>0</xdr:rowOff>
        </xdr:to>
        <xdr:sp macro="" textlink="">
          <xdr:nvSpPr>
            <xdr:cNvPr id="1124" name="Object 100" hidden="1">
              <a:extLst>
                <a:ext uri="{63B3BB69-23CF-44E3-9099-C40C66FF867C}">
                  <a14:compatExt spid="_x0000_s1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108</xdr:col>
          <xdr:colOff>295275</xdr:colOff>
          <xdr:row>117</xdr:row>
          <xdr:rowOff>104775</xdr:rowOff>
        </xdr:from>
        <xdr:to>
          <xdr:col>108</xdr:col>
          <xdr:colOff>714375</xdr:colOff>
          <xdr:row>119</xdr:row>
          <xdr:rowOff>0</xdr:rowOff>
        </xdr:to>
        <xdr:sp macro="" textlink="">
          <xdr:nvSpPr>
            <xdr:cNvPr id="1125" name="Object 101" hidden="1">
              <a:extLst>
                <a:ext uri="{63B3BB69-23CF-44E3-9099-C40C66FF867C}">
                  <a14:compatExt spid="_x0000_s1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109</xdr:col>
          <xdr:colOff>314325</xdr:colOff>
          <xdr:row>114</xdr:row>
          <xdr:rowOff>85725</xdr:rowOff>
        </xdr:from>
        <xdr:to>
          <xdr:col>109</xdr:col>
          <xdr:colOff>733425</xdr:colOff>
          <xdr:row>116</xdr:row>
          <xdr:rowOff>0</xdr:rowOff>
        </xdr:to>
        <xdr:sp macro="" textlink="">
          <xdr:nvSpPr>
            <xdr:cNvPr id="1126" name="Object 102" hidden="1">
              <a:extLst>
                <a:ext uri="{63B3BB69-23CF-44E3-9099-C40C66FF867C}">
                  <a14:compatExt spid="_x0000_s1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109</xdr:col>
          <xdr:colOff>304800</xdr:colOff>
          <xdr:row>117</xdr:row>
          <xdr:rowOff>85725</xdr:rowOff>
        </xdr:from>
        <xdr:to>
          <xdr:col>109</xdr:col>
          <xdr:colOff>714375</xdr:colOff>
          <xdr:row>119</xdr:row>
          <xdr:rowOff>0</xdr:rowOff>
        </xdr:to>
        <xdr:sp macro="" textlink="">
          <xdr:nvSpPr>
            <xdr:cNvPr id="1127" name="Object 103" hidden="1">
              <a:extLst>
                <a:ext uri="{63B3BB69-23CF-44E3-9099-C40C66FF867C}">
                  <a14:compatExt spid="_x0000_s1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112</xdr:col>
          <xdr:colOff>304800</xdr:colOff>
          <xdr:row>117</xdr:row>
          <xdr:rowOff>76200</xdr:rowOff>
        </xdr:from>
        <xdr:to>
          <xdr:col>112</xdr:col>
          <xdr:colOff>714375</xdr:colOff>
          <xdr:row>118</xdr:row>
          <xdr:rowOff>161925</xdr:rowOff>
        </xdr:to>
        <xdr:sp macro="" textlink="">
          <xdr:nvSpPr>
            <xdr:cNvPr id="1128" name="Object 104" hidden="1">
              <a:extLst>
                <a:ext uri="{63B3BB69-23CF-44E3-9099-C40C66FF867C}">
                  <a14:compatExt spid="_x0000_s11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257175</xdr:colOff>
          <xdr:row>211</xdr:row>
          <xdr:rowOff>85725</xdr:rowOff>
        </xdr:from>
        <xdr:to>
          <xdr:col>42</xdr:col>
          <xdr:colOff>676275</xdr:colOff>
          <xdr:row>212</xdr:row>
          <xdr:rowOff>161925</xdr:rowOff>
        </xdr:to>
        <xdr:sp macro="" textlink="">
          <xdr:nvSpPr>
            <xdr:cNvPr id="1129" name="Object 105" hidden="1">
              <a:extLst>
                <a:ext uri="{63B3BB69-23CF-44E3-9099-C40C66FF867C}">
                  <a14:compatExt spid="_x0000_s1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314325</xdr:colOff>
          <xdr:row>211</xdr:row>
          <xdr:rowOff>85725</xdr:rowOff>
        </xdr:from>
        <xdr:to>
          <xdr:col>43</xdr:col>
          <xdr:colOff>733425</xdr:colOff>
          <xdr:row>212</xdr:row>
          <xdr:rowOff>161925</xdr:rowOff>
        </xdr:to>
        <xdr:sp macro="" textlink="">
          <xdr:nvSpPr>
            <xdr:cNvPr id="1130" name="Object 106" hidden="1">
              <a:extLst>
                <a:ext uri="{63B3BB69-23CF-44E3-9099-C40C66FF867C}">
                  <a14:compatExt spid="_x0000_s1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257175</xdr:colOff>
          <xdr:row>211</xdr:row>
          <xdr:rowOff>85725</xdr:rowOff>
        </xdr:from>
        <xdr:to>
          <xdr:col>45</xdr:col>
          <xdr:colOff>676275</xdr:colOff>
          <xdr:row>212</xdr:row>
          <xdr:rowOff>161925</xdr:rowOff>
        </xdr:to>
        <xdr:sp macro="" textlink="">
          <xdr:nvSpPr>
            <xdr:cNvPr id="1131" name="Object 107" hidden="1">
              <a:extLst>
                <a:ext uri="{63B3BB69-23CF-44E3-9099-C40C66FF867C}">
                  <a14:compatExt spid="_x0000_s11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314325</xdr:colOff>
          <xdr:row>211</xdr:row>
          <xdr:rowOff>85725</xdr:rowOff>
        </xdr:from>
        <xdr:to>
          <xdr:col>46</xdr:col>
          <xdr:colOff>733425</xdr:colOff>
          <xdr:row>212</xdr:row>
          <xdr:rowOff>161925</xdr:rowOff>
        </xdr:to>
        <xdr:sp macro="" textlink="">
          <xdr:nvSpPr>
            <xdr:cNvPr id="1132" name="Object 108" hidden="1">
              <a:extLst>
                <a:ext uri="{63B3BB69-23CF-44E3-9099-C40C66FF867C}">
                  <a14:compatExt spid="_x0000_s11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257175</xdr:colOff>
          <xdr:row>211</xdr:row>
          <xdr:rowOff>85725</xdr:rowOff>
        </xdr:from>
        <xdr:to>
          <xdr:col>48</xdr:col>
          <xdr:colOff>676275</xdr:colOff>
          <xdr:row>212</xdr:row>
          <xdr:rowOff>161925</xdr:rowOff>
        </xdr:to>
        <xdr:sp macro="" textlink="">
          <xdr:nvSpPr>
            <xdr:cNvPr id="1133" name="Object 109" hidden="1">
              <a:extLst>
                <a:ext uri="{63B3BB69-23CF-44E3-9099-C40C66FF867C}">
                  <a14:compatExt spid="_x0000_s11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314325</xdr:colOff>
          <xdr:row>211</xdr:row>
          <xdr:rowOff>85725</xdr:rowOff>
        </xdr:from>
        <xdr:to>
          <xdr:col>49</xdr:col>
          <xdr:colOff>733425</xdr:colOff>
          <xdr:row>212</xdr:row>
          <xdr:rowOff>161925</xdr:rowOff>
        </xdr:to>
        <xdr:sp macro="" textlink="">
          <xdr:nvSpPr>
            <xdr:cNvPr id="1134" name="Object 110" hidden="1">
              <a:extLst>
                <a:ext uri="{63B3BB69-23CF-44E3-9099-C40C66FF867C}">
                  <a14:compatExt spid="_x0000_s1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257175</xdr:colOff>
          <xdr:row>211</xdr:row>
          <xdr:rowOff>85725</xdr:rowOff>
        </xdr:from>
        <xdr:to>
          <xdr:col>51</xdr:col>
          <xdr:colOff>676275</xdr:colOff>
          <xdr:row>212</xdr:row>
          <xdr:rowOff>161925</xdr:rowOff>
        </xdr:to>
        <xdr:sp macro="" textlink="">
          <xdr:nvSpPr>
            <xdr:cNvPr id="1135" name="Object 111" hidden="1">
              <a:extLst>
                <a:ext uri="{63B3BB69-23CF-44E3-9099-C40C66FF867C}">
                  <a14:compatExt spid="_x0000_s11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314325</xdr:colOff>
          <xdr:row>211</xdr:row>
          <xdr:rowOff>85725</xdr:rowOff>
        </xdr:from>
        <xdr:to>
          <xdr:col>52</xdr:col>
          <xdr:colOff>733425</xdr:colOff>
          <xdr:row>212</xdr:row>
          <xdr:rowOff>161925</xdr:rowOff>
        </xdr:to>
        <xdr:sp macro="" textlink="">
          <xdr:nvSpPr>
            <xdr:cNvPr id="1136" name="Object 112" hidden="1">
              <a:extLst>
                <a:ext uri="{63B3BB69-23CF-44E3-9099-C40C66FF867C}">
                  <a14:compatExt spid="_x0000_s11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257175</xdr:colOff>
          <xdr:row>211</xdr:row>
          <xdr:rowOff>85725</xdr:rowOff>
        </xdr:from>
        <xdr:to>
          <xdr:col>54</xdr:col>
          <xdr:colOff>676275</xdr:colOff>
          <xdr:row>212</xdr:row>
          <xdr:rowOff>161925</xdr:rowOff>
        </xdr:to>
        <xdr:sp macro="" textlink="">
          <xdr:nvSpPr>
            <xdr:cNvPr id="1137" name="Object 113" hidden="1">
              <a:extLst>
                <a:ext uri="{63B3BB69-23CF-44E3-9099-C40C66FF867C}">
                  <a14:compatExt spid="_x0000_s11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55</xdr:col>
          <xdr:colOff>314325</xdr:colOff>
          <xdr:row>211</xdr:row>
          <xdr:rowOff>85725</xdr:rowOff>
        </xdr:from>
        <xdr:to>
          <xdr:col>55</xdr:col>
          <xdr:colOff>733425</xdr:colOff>
          <xdr:row>212</xdr:row>
          <xdr:rowOff>161925</xdr:rowOff>
        </xdr:to>
        <xdr:sp macro="" textlink="">
          <xdr:nvSpPr>
            <xdr:cNvPr id="1138" name="Object 114" hidden="1">
              <a:extLst>
                <a:ext uri="{63B3BB69-23CF-44E3-9099-C40C66FF867C}">
                  <a14:compatExt spid="_x0000_s1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257175</xdr:colOff>
          <xdr:row>211</xdr:row>
          <xdr:rowOff>85725</xdr:rowOff>
        </xdr:from>
        <xdr:to>
          <xdr:col>57</xdr:col>
          <xdr:colOff>676275</xdr:colOff>
          <xdr:row>212</xdr:row>
          <xdr:rowOff>161925</xdr:rowOff>
        </xdr:to>
        <xdr:sp macro="" textlink="">
          <xdr:nvSpPr>
            <xdr:cNvPr id="1139" name="Object 115" hidden="1">
              <a:extLst>
                <a:ext uri="{63B3BB69-23CF-44E3-9099-C40C66FF867C}">
                  <a14:compatExt spid="_x0000_s11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58</xdr:col>
          <xdr:colOff>314325</xdr:colOff>
          <xdr:row>211</xdr:row>
          <xdr:rowOff>85725</xdr:rowOff>
        </xdr:from>
        <xdr:to>
          <xdr:col>58</xdr:col>
          <xdr:colOff>733425</xdr:colOff>
          <xdr:row>212</xdr:row>
          <xdr:rowOff>161925</xdr:rowOff>
        </xdr:to>
        <xdr:sp macro="" textlink="">
          <xdr:nvSpPr>
            <xdr:cNvPr id="1140" name="Object 116" hidden="1">
              <a:extLst>
                <a:ext uri="{63B3BB69-23CF-44E3-9099-C40C66FF867C}">
                  <a14:compatExt spid="_x0000_s11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60</xdr:col>
          <xdr:colOff>257175</xdr:colOff>
          <xdr:row>211</xdr:row>
          <xdr:rowOff>85725</xdr:rowOff>
        </xdr:from>
        <xdr:to>
          <xdr:col>60</xdr:col>
          <xdr:colOff>676275</xdr:colOff>
          <xdr:row>212</xdr:row>
          <xdr:rowOff>161925</xdr:rowOff>
        </xdr:to>
        <xdr:sp macro="" textlink="">
          <xdr:nvSpPr>
            <xdr:cNvPr id="1141" name="Object 117" hidden="1">
              <a:extLst>
                <a:ext uri="{63B3BB69-23CF-44E3-9099-C40C66FF867C}">
                  <a14:compatExt spid="_x0000_s11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314325</xdr:colOff>
          <xdr:row>211</xdr:row>
          <xdr:rowOff>85725</xdr:rowOff>
        </xdr:from>
        <xdr:to>
          <xdr:col>61</xdr:col>
          <xdr:colOff>733425</xdr:colOff>
          <xdr:row>212</xdr:row>
          <xdr:rowOff>161925</xdr:rowOff>
        </xdr:to>
        <xdr:sp macro="" textlink="">
          <xdr:nvSpPr>
            <xdr:cNvPr id="1142" name="Object 118" hidden="1">
              <a:extLst>
                <a:ext uri="{63B3BB69-23CF-44E3-9099-C40C66FF867C}">
                  <a14:compatExt spid="_x0000_s1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295275</xdr:colOff>
          <xdr:row>211</xdr:row>
          <xdr:rowOff>104775</xdr:rowOff>
        </xdr:from>
        <xdr:to>
          <xdr:col>42</xdr:col>
          <xdr:colOff>733425</xdr:colOff>
          <xdr:row>213</xdr:row>
          <xdr:rowOff>0</xdr:rowOff>
        </xdr:to>
        <xdr:sp macro="" textlink="">
          <xdr:nvSpPr>
            <xdr:cNvPr id="1143" name="Object 119" hidden="1">
              <a:extLst>
                <a:ext uri="{63B3BB69-23CF-44E3-9099-C40C66FF867C}">
                  <a14:compatExt spid="_x0000_s1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304800</xdr:colOff>
          <xdr:row>211</xdr:row>
          <xdr:rowOff>85725</xdr:rowOff>
        </xdr:from>
        <xdr:to>
          <xdr:col>43</xdr:col>
          <xdr:colOff>733425</xdr:colOff>
          <xdr:row>212</xdr:row>
          <xdr:rowOff>161925</xdr:rowOff>
        </xdr:to>
        <xdr:sp macro="" textlink="">
          <xdr:nvSpPr>
            <xdr:cNvPr id="1144" name="Object 120" hidden="1">
              <a:extLst>
                <a:ext uri="{63B3BB69-23CF-44E3-9099-C40C66FF867C}">
                  <a14:compatExt spid="_x0000_s1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295275</xdr:colOff>
          <xdr:row>211</xdr:row>
          <xdr:rowOff>104775</xdr:rowOff>
        </xdr:from>
        <xdr:to>
          <xdr:col>45</xdr:col>
          <xdr:colOff>733425</xdr:colOff>
          <xdr:row>213</xdr:row>
          <xdr:rowOff>0</xdr:rowOff>
        </xdr:to>
        <xdr:sp macro="" textlink="">
          <xdr:nvSpPr>
            <xdr:cNvPr id="1145" name="Object 121" hidden="1">
              <a:extLst>
                <a:ext uri="{63B3BB69-23CF-44E3-9099-C40C66FF867C}">
                  <a14:compatExt spid="_x0000_s1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304800</xdr:colOff>
          <xdr:row>211</xdr:row>
          <xdr:rowOff>85725</xdr:rowOff>
        </xdr:from>
        <xdr:to>
          <xdr:col>46</xdr:col>
          <xdr:colOff>733425</xdr:colOff>
          <xdr:row>212</xdr:row>
          <xdr:rowOff>161925</xdr:rowOff>
        </xdr:to>
        <xdr:sp macro="" textlink="">
          <xdr:nvSpPr>
            <xdr:cNvPr id="1146" name="Object 122" hidden="1">
              <a:extLst>
                <a:ext uri="{63B3BB69-23CF-44E3-9099-C40C66FF867C}">
                  <a14:compatExt spid="_x0000_s1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295275</xdr:colOff>
          <xdr:row>211</xdr:row>
          <xdr:rowOff>104775</xdr:rowOff>
        </xdr:from>
        <xdr:to>
          <xdr:col>48</xdr:col>
          <xdr:colOff>733425</xdr:colOff>
          <xdr:row>213</xdr:row>
          <xdr:rowOff>0</xdr:rowOff>
        </xdr:to>
        <xdr:sp macro="" textlink="">
          <xdr:nvSpPr>
            <xdr:cNvPr id="1147" name="Object 123" hidden="1">
              <a:extLst>
                <a:ext uri="{63B3BB69-23CF-44E3-9099-C40C66FF867C}">
                  <a14:compatExt spid="_x0000_s11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304800</xdr:colOff>
          <xdr:row>211</xdr:row>
          <xdr:rowOff>85725</xdr:rowOff>
        </xdr:from>
        <xdr:to>
          <xdr:col>49</xdr:col>
          <xdr:colOff>733425</xdr:colOff>
          <xdr:row>212</xdr:row>
          <xdr:rowOff>161925</xdr:rowOff>
        </xdr:to>
        <xdr:sp macro="" textlink="">
          <xdr:nvSpPr>
            <xdr:cNvPr id="1148" name="Object 124" hidden="1">
              <a:extLst>
                <a:ext uri="{63B3BB69-23CF-44E3-9099-C40C66FF867C}">
                  <a14:compatExt spid="_x0000_s1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295275</xdr:colOff>
          <xdr:row>211</xdr:row>
          <xdr:rowOff>104775</xdr:rowOff>
        </xdr:from>
        <xdr:to>
          <xdr:col>51</xdr:col>
          <xdr:colOff>733425</xdr:colOff>
          <xdr:row>213</xdr:row>
          <xdr:rowOff>0</xdr:rowOff>
        </xdr:to>
        <xdr:sp macro="" textlink="">
          <xdr:nvSpPr>
            <xdr:cNvPr id="1149" name="Object 125" hidden="1">
              <a:extLst>
                <a:ext uri="{63B3BB69-23CF-44E3-9099-C40C66FF867C}">
                  <a14:compatExt spid="_x0000_s1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304800</xdr:colOff>
          <xdr:row>211</xdr:row>
          <xdr:rowOff>85725</xdr:rowOff>
        </xdr:from>
        <xdr:to>
          <xdr:col>52</xdr:col>
          <xdr:colOff>733425</xdr:colOff>
          <xdr:row>212</xdr:row>
          <xdr:rowOff>161925</xdr:rowOff>
        </xdr:to>
        <xdr:sp macro="" textlink="">
          <xdr:nvSpPr>
            <xdr:cNvPr id="1150" name="Object 126" hidden="1">
              <a:extLst>
                <a:ext uri="{63B3BB69-23CF-44E3-9099-C40C66FF867C}">
                  <a14:compatExt spid="_x0000_s1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295275</xdr:colOff>
          <xdr:row>211</xdr:row>
          <xdr:rowOff>104775</xdr:rowOff>
        </xdr:from>
        <xdr:to>
          <xdr:col>54</xdr:col>
          <xdr:colOff>733425</xdr:colOff>
          <xdr:row>213</xdr:row>
          <xdr:rowOff>0</xdr:rowOff>
        </xdr:to>
        <xdr:sp macro="" textlink="">
          <xdr:nvSpPr>
            <xdr:cNvPr id="1151" name="Object 127" hidden="1">
              <a:extLst>
                <a:ext uri="{63B3BB69-23CF-44E3-9099-C40C66FF867C}">
                  <a14:compatExt spid="_x0000_s11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55</xdr:col>
          <xdr:colOff>304800</xdr:colOff>
          <xdr:row>211</xdr:row>
          <xdr:rowOff>85725</xdr:rowOff>
        </xdr:from>
        <xdr:to>
          <xdr:col>55</xdr:col>
          <xdr:colOff>733425</xdr:colOff>
          <xdr:row>212</xdr:row>
          <xdr:rowOff>161925</xdr:rowOff>
        </xdr:to>
        <xdr:sp macro="" textlink="">
          <xdr:nvSpPr>
            <xdr:cNvPr id="1152" name="Object 128" hidden="1">
              <a:extLst>
                <a:ext uri="{63B3BB69-23CF-44E3-9099-C40C66FF867C}">
                  <a14:compatExt spid="_x0000_s1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295275</xdr:colOff>
          <xdr:row>211</xdr:row>
          <xdr:rowOff>104775</xdr:rowOff>
        </xdr:from>
        <xdr:to>
          <xdr:col>57</xdr:col>
          <xdr:colOff>733425</xdr:colOff>
          <xdr:row>213</xdr:row>
          <xdr:rowOff>0</xdr:rowOff>
        </xdr:to>
        <xdr:sp macro="" textlink="">
          <xdr:nvSpPr>
            <xdr:cNvPr id="1153" name="Object 129" hidden="1">
              <a:extLst>
                <a:ext uri="{63B3BB69-23CF-44E3-9099-C40C66FF867C}">
                  <a14:compatExt spid="_x0000_s11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58</xdr:col>
          <xdr:colOff>304800</xdr:colOff>
          <xdr:row>211</xdr:row>
          <xdr:rowOff>85725</xdr:rowOff>
        </xdr:from>
        <xdr:to>
          <xdr:col>58</xdr:col>
          <xdr:colOff>733425</xdr:colOff>
          <xdr:row>212</xdr:row>
          <xdr:rowOff>161925</xdr:rowOff>
        </xdr:to>
        <xdr:sp macro="" textlink="">
          <xdr:nvSpPr>
            <xdr:cNvPr id="1154" name="Object 130" hidden="1">
              <a:extLst>
                <a:ext uri="{63B3BB69-23CF-44E3-9099-C40C66FF867C}">
                  <a14:compatExt spid="_x0000_s1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60</xdr:col>
          <xdr:colOff>295275</xdr:colOff>
          <xdr:row>211</xdr:row>
          <xdr:rowOff>104775</xdr:rowOff>
        </xdr:from>
        <xdr:to>
          <xdr:col>60</xdr:col>
          <xdr:colOff>733425</xdr:colOff>
          <xdr:row>213</xdr:row>
          <xdr:rowOff>0</xdr:rowOff>
        </xdr:to>
        <xdr:sp macro="" textlink="">
          <xdr:nvSpPr>
            <xdr:cNvPr id="1155" name="Object 131" hidden="1">
              <a:extLst>
                <a:ext uri="{63B3BB69-23CF-44E3-9099-C40C66FF867C}">
                  <a14:compatExt spid="_x0000_s11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304800</xdr:colOff>
          <xdr:row>211</xdr:row>
          <xdr:rowOff>85725</xdr:rowOff>
        </xdr:from>
        <xdr:to>
          <xdr:col>61</xdr:col>
          <xdr:colOff>733425</xdr:colOff>
          <xdr:row>212</xdr:row>
          <xdr:rowOff>161925</xdr:rowOff>
        </xdr:to>
        <xdr:sp macro="" textlink="">
          <xdr:nvSpPr>
            <xdr:cNvPr id="1156" name="Object 132" hidden="1">
              <a:extLst>
                <a:ext uri="{63B3BB69-23CF-44E3-9099-C40C66FF867C}">
                  <a14:compatExt spid="_x0000_s11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257175</xdr:colOff>
          <xdr:row>239</xdr:row>
          <xdr:rowOff>85725</xdr:rowOff>
        </xdr:from>
        <xdr:to>
          <xdr:col>42</xdr:col>
          <xdr:colOff>676275</xdr:colOff>
          <xdr:row>241</xdr:row>
          <xdr:rowOff>0</xdr:rowOff>
        </xdr:to>
        <xdr:sp macro="" textlink="">
          <xdr:nvSpPr>
            <xdr:cNvPr id="1157" name="Object 133" hidden="1">
              <a:extLst>
                <a:ext uri="{63B3BB69-23CF-44E3-9099-C40C66FF867C}">
                  <a14:compatExt spid="_x0000_s11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314325</xdr:colOff>
          <xdr:row>239</xdr:row>
          <xdr:rowOff>85725</xdr:rowOff>
        </xdr:from>
        <xdr:to>
          <xdr:col>43</xdr:col>
          <xdr:colOff>714375</xdr:colOff>
          <xdr:row>241</xdr:row>
          <xdr:rowOff>0</xdr:rowOff>
        </xdr:to>
        <xdr:sp macro="" textlink="">
          <xdr:nvSpPr>
            <xdr:cNvPr id="1158" name="Object 134" hidden="1">
              <a:extLst>
                <a:ext uri="{63B3BB69-23CF-44E3-9099-C40C66FF867C}">
                  <a14:compatExt spid="_x0000_s1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295275</xdr:colOff>
          <xdr:row>239</xdr:row>
          <xdr:rowOff>104775</xdr:rowOff>
        </xdr:from>
        <xdr:to>
          <xdr:col>42</xdr:col>
          <xdr:colOff>714375</xdr:colOff>
          <xdr:row>241</xdr:row>
          <xdr:rowOff>0</xdr:rowOff>
        </xdr:to>
        <xdr:sp macro="" textlink="">
          <xdr:nvSpPr>
            <xdr:cNvPr id="1159" name="Object 135" hidden="1">
              <a:extLst>
                <a:ext uri="{63B3BB69-23CF-44E3-9099-C40C66FF867C}">
                  <a14:compatExt spid="_x0000_s11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304800</xdr:colOff>
          <xdr:row>239</xdr:row>
          <xdr:rowOff>85725</xdr:rowOff>
        </xdr:from>
        <xdr:to>
          <xdr:col>43</xdr:col>
          <xdr:colOff>714375</xdr:colOff>
          <xdr:row>241</xdr:row>
          <xdr:rowOff>0</xdr:rowOff>
        </xdr:to>
        <xdr:sp macro="" textlink="">
          <xdr:nvSpPr>
            <xdr:cNvPr id="1160" name="Object 136" hidden="1">
              <a:extLst>
                <a:ext uri="{63B3BB69-23CF-44E3-9099-C40C66FF867C}">
                  <a14:compatExt spid="_x0000_s11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257175</xdr:colOff>
          <xdr:row>239</xdr:row>
          <xdr:rowOff>85725</xdr:rowOff>
        </xdr:from>
        <xdr:to>
          <xdr:col>44</xdr:col>
          <xdr:colOff>676275</xdr:colOff>
          <xdr:row>241</xdr:row>
          <xdr:rowOff>0</xdr:rowOff>
        </xdr:to>
        <xdr:sp macro="" textlink="">
          <xdr:nvSpPr>
            <xdr:cNvPr id="1161" name="Object 137" hidden="1">
              <a:extLst>
                <a:ext uri="{63B3BB69-23CF-44E3-9099-C40C66FF867C}">
                  <a14:compatExt spid="_x0000_s11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314325</xdr:colOff>
          <xdr:row>239</xdr:row>
          <xdr:rowOff>85725</xdr:rowOff>
        </xdr:from>
        <xdr:to>
          <xdr:col>45</xdr:col>
          <xdr:colOff>714375</xdr:colOff>
          <xdr:row>241</xdr:row>
          <xdr:rowOff>0</xdr:rowOff>
        </xdr:to>
        <xdr:sp macro="" textlink="">
          <xdr:nvSpPr>
            <xdr:cNvPr id="1162" name="Object 138" hidden="1">
              <a:extLst>
                <a:ext uri="{63B3BB69-23CF-44E3-9099-C40C66FF867C}">
                  <a14:compatExt spid="_x0000_s1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295275</xdr:colOff>
          <xdr:row>239</xdr:row>
          <xdr:rowOff>104775</xdr:rowOff>
        </xdr:from>
        <xdr:to>
          <xdr:col>44</xdr:col>
          <xdr:colOff>714375</xdr:colOff>
          <xdr:row>241</xdr:row>
          <xdr:rowOff>0</xdr:rowOff>
        </xdr:to>
        <xdr:sp macro="" textlink="">
          <xdr:nvSpPr>
            <xdr:cNvPr id="1163" name="Object 139" hidden="1">
              <a:extLst>
                <a:ext uri="{63B3BB69-23CF-44E3-9099-C40C66FF867C}">
                  <a14:compatExt spid="_x0000_s11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304800</xdr:colOff>
          <xdr:row>239</xdr:row>
          <xdr:rowOff>85725</xdr:rowOff>
        </xdr:from>
        <xdr:to>
          <xdr:col>45</xdr:col>
          <xdr:colOff>714375</xdr:colOff>
          <xdr:row>241</xdr:row>
          <xdr:rowOff>0</xdr:rowOff>
        </xdr:to>
        <xdr:sp macro="" textlink="">
          <xdr:nvSpPr>
            <xdr:cNvPr id="1164" name="Object 140" hidden="1">
              <a:extLst>
                <a:ext uri="{63B3BB69-23CF-44E3-9099-C40C66FF867C}">
                  <a14:compatExt spid="_x0000_s11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257175</xdr:colOff>
          <xdr:row>239</xdr:row>
          <xdr:rowOff>85725</xdr:rowOff>
        </xdr:from>
        <xdr:to>
          <xdr:col>46</xdr:col>
          <xdr:colOff>676275</xdr:colOff>
          <xdr:row>241</xdr:row>
          <xdr:rowOff>0</xdr:rowOff>
        </xdr:to>
        <xdr:sp macro="" textlink="">
          <xdr:nvSpPr>
            <xdr:cNvPr id="1165" name="Object 141" hidden="1">
              <a:extLst>
                <a:ext uri="{63B3BB69-23CF-44E3-9099-C40C66FF867C}">
                  <a14:compatExt spid="_x0000_s11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314325</xdr:colOff>
          <xdr:row>239</xdr:row>
          <xdr:rowOff>85725</xdr:rowOff>
        </xdr:from>
        <xdr:to>
          <xdr:col>47</xdr:col>
          <xdr:colOff>714375</xdr:colOff>
          <xdr:row>241</xdr:row>
          <xdr:rowOff>0</xdr:rowOff>
        </xdr:to>
        <xdr:sp macro="" textlink="">
          <xdr:nvSpPr>
            <xdr:cNvPr id="1166" name="Object 142" hidden="1">
              <a:extLst>
                <a:ext uri="{63B3BB69-23CF-44E3-9099-C40C66FF867C}">
                  <a14:compatExt spid="_x0000_s1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295275</xdr:colOff>
          <xdr:row>239</xdr:row>
          <xdr:rowOff>104775</xdr:rowOff>
        </xdr:from>
        <xdr:to>
          <xdr:col>46</xdr:col>
          <xdr:colOff>714375</xdr:colOff>
          <xdr:row>241</xdr:row>
          <xdr:rowOff>0</xdr:rowOff>
        </xdr:to>
        <xdr:sp macro="" textlink="">
          <xdr:nvSpPr>
            <xdr:cNvPr id="1167" name="Object 143" hidden="1">
              <a:extLst>
                <a:ext uri="{63B3BB69-23CF-44E3-9099-C40C66FF867C}">
                  <a14:compatExt spid="_x0000_s11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304800</xdr:colOff>
          <xdr:row>239</xdr:row>
          <xdr:rowOff>85725</xdr:rowOff>
        </xdr:from>
        <xdr:to>
          <xdr:col>47</xdr:col>
          <xdr:colOff>714375</xdr:colOff>
          <xdr:row>241</xdr:row>
          <xdr:rowOff>0</xdr:rowOff>
        </xdr:to>
        <xdr:sp macro="" textlink="">
          <xdr:nvSpPr>
            <xdr:cNvPr id="1168" name="Object 144" hidden="1">
              <a:extLst>
                <a:ext uri="{63B3BB69-23CF-44E3-9099-C40C66FF867C}">
                  <a14:compatExt spid="_x0000_s11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257175</xdr:colOff>
          <xdr:row>239</xdr:row>
          <xdr:rowOff>85725</xdr:rowOff>
        </xdr:from>
        <xdr:to>
          <xdr:col>48</xdr:col>
          <xdr:colOff>676275</xdr:colOff>
          <xdr:row>241</xdr:row>
          <xdr:rowOff>0</xdr:rowOff>
        </xdr:to>
        <xdr:sp macro="" textlink="">
          <xdr:nvSpPr>
            <xdr:cNvPr id="1169" name="Object 145" hidden="1">
              <a:extLst>
                <a:ext uri="{63B3BB69-23CF-44E3-9099-C40C66FF867C}">
                  <a14:compatExt spid="_x0000_s1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314325</xdr:colOff>
          <xdr:row>239</xdr:row>
          <xdr:rowOff>85725</xdr:rowOff>
        </xdr:from>
        <xdr:to>
          <xdr:col>49</xdr:col>
          <xdr:colOff>714375</xdr:colOff>
          <xdr:row>241</xdr:row>
          <xdr:rowOff>0</xdr:rowOff>
        </xdr:to>
        <xdr:sp macro="" textlink="">
          <xdr:nvSpPr>
            <xdr:cNvPr id="1170" name="Object 146" hidden="1">
              <a:extLst>
                <a:ext uri="{63B3BB69-23CF-44E3-9099-C40C66FF867C}">
                  <a14:compatExt spid="_x0000_s1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295275</xdr:colOff>
          <xdr:row>239</xdr:row>
          <xdr:rowOff>104775</xdr:rowOff>
        </xdr:from>
        <xdr:to>
          <xdr:col>48</xdr:col>
          <xdr:colOff>714375</xdr:colOff>
          <xdr:row>241</xdr:row>
          <xdr:rowOff>0</xdr:rowOff>
        </xdr:to>
        <xdr:sp macro="" textlink="">
          <xdr:nvSpPr>
            <xdr:cNvPr id="1171" name="Object 147" hidden="1">
              <a:extLst>
                <a:ext uri="{63B3BB69-23CF-44E3-9099-C40C66FF867C}">
                  <a14:compatExt spid="_x0000_s1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304800</xdr:colOff>
          <xdr:row>239</xdr:row>
          <xdr:rowOff>85725</xdr:rowOff>
        </xdr:from>
        <xdr:to>
          <xdr:col>49</xdr:col>
          <xdr:colOff>714375</xdr:colOff>
          <xdr:row>241</xdr:row>
          <xdr:rowOff>0</xdr:rowOff>
        </xdr:to>
        <xdr:sp macro="" textlink="">
          <xdr:nvSpPr>
            <xdr:cNvPr id="1172" name="Object 148" hidden="1">
              <a:extLst>
                <a:ext uri="{63B3BB69-23CF-44E3-9099-C40C66FF867C}">
                  <a14:compatExt spid="_x0000_s1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257175</xdr:colOff>
          <xdr:row>239</xdr:row>
          <xdr:rowOff>85725</xdr:rowOff>
        </xdr:from>
        <xdr:to>
          <xdr:col>50</xdr:col>
          <xdr:colOff>676275</xdr:colOff>
          <xdr:row>241</xdr:row>
          <xdr:rowOff>0</xdr:rowOff>
        </xdr:to>
        <xdr:sp macro="" textlink="">
          <xdr:nvSpPr>
            <xdr:cNvPr id="1173" name="Object 149" hidden="1">
              <a:extLst>
                <a:ext uri="{63B3BB69-23CF-44E3-9099-C40C66FF867C}">
                  <a14:compatExt spid="_x0000_s1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314325</xdr:colOff>
          <xdr:row>239</xdr:row>
          <xdr:rowOff>85725</xdr:rowOff>
        </xdr:from>
        <xdr:to>
          <xdr:col>51</xdr:col>
          <xdr:colOff>714375</xdr:colOff>
          <xdr:row>241</xdr:row>
          <xdr:rowOff>0</xdr:rowOff>
        </xdr:to>
        <xdr:sp macro="" textlink="">
          <xdr:nvSpPr>
            <xdr:cNvPr id="1174" name="Object 150" hidden="1">
              <a:extLst>
                <a:ext uri="{63B3BB69-23CF-44E3-9099-C40C66FF867C}">
                  <a14:compatExt spid="_x0000_s1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295275</xdr:colOff>
          <xdr:row>239</xdr:row>
          <xdr:rowOff>104775</xdr:rowOff>
        </xdr:from>
        <xdr:to>
          <xdr:col>50</xdr:col>
          <xdr:colOff>714375</xdr:colOff>
          <xdr:row>241</xdr:row>
          <xdr:rowOff>0</xdr:rowOff>
        </xdr:to>
        <xdr:sp macro="" textlink="">
          <xdr:nvSpPr>
            <xdr:cNvPr id="1175" name="Object 151" hidden="1">
              <a:extLst>
                <a:ext uri="{63B3BB69-23CF-44E3-9099-C40C66FF867C}">
                  <a14:compatExt spid="_x0000_s1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304800</xdr:colOff>
          <xdr:row>239</xdr:row>
          <xdr:rowOff>85725</xdr:rowOff>
        </xdr:from>
        <xdr:to>
          <xdr:col>51</xdr:col>
          <xdr:colOff>714375</xdr:colOff>
          <xdr:row>241</xdr:row>
          <xdr:rowOff>0</xdr:rowOff>
        </xdr:to>
        <xdr:sp macro="" textlink="">
          <xdr:nvSpPr>
            <xdr:cNvPr id="1176" name="Object 152" hidden="1">
              <a:extLst>
                <a:ext uri="{63B3BB69-23CF-44E3-9099-C40C66FF867C}">
                  <a14:compatExt spid="_x0000_s1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257175</xdr:colOff>
          <xdr:row>239</xdr:row>
          <xdr:rowOff>85725</xdr:rowOff>
        </xdr:from>
        <xdr:to>
          <xdr:col>52</xdr:col>
          <xdr:colOff>676275</xdr:colOff>
          <xdr:row>241</xdr:row>
          <xdr:rowOff>0</xdr:rowOff>
        </xdr:to>
        <xdr:sp macro="" textlink="">
          <xdr:nvSpPr>
            <xdr:cNvPr id="1177" name="Object 153" hidden="1">
              <a:extLst>
                <a:ext uri="{63B3BB69-23CF-44E3-9099-C40C66FF867C}">
                  <a14:compatExt spid="_x0000_s1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314325</xdr:colOff>
          <xdr:row>239</xdr:row>
          <xdr:rowOff>85725</xdr:rowOff>
        </xdr:from>
        <xdr:to>
          <xdr:col>53</xdr:col>
          <xdr:colOff>714375</xdr:colOff>
          <xdr:row>241</xdr:row>
          <xdr:rowOff>0</xdr:rowOff>
        </xdr:to>
        <xdr:sp macro="" textlink="">
          <xdr:nvSpPr>
            <xdr:cNvPr id="1178" name="Object 154" hidden="1">
              <a:extLst>
                <a:ext uri="{63B3BB69-23CF-44E3-9099-C40C66FF867C}">
                  <a14:compatExt spid="_x0000_s1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295275</xdr:colOff>
          <xdr:row>239</xdr:row>
          <xdr:rowOff>104775</xdr:rowOff>
        </xdr:from>
        <xdr:to>
          <xdr:col>52</xdr:col>
          <xdr:colOff>714375</xdr:colOff>
          <xdr:row>241</xdr:row>
          <xdr:rowOff>0</xdr:rowOff>
        </xdr:to>
        <xdr:sp macro="" textlink="">
          <xdr:nvSpPr>
            <xdr:cNvPr id="1179" name="Object 155" hidden="1">
              <a:extLst>
                <a:ext uri="{63B3BB69-23CF-44E3-9099-C40C66FF867C}">
                  <a14:compatExt spid="_x0000_s11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304800</xdr:colOff>
          <xdr:row>239</xdr:row>
          <xdr:rowOff>85725</xdr:rowOff>
        </xdr:from>
        <xdr:to>
          <xdr:col>53</xdr:col>
          <xdr:colOff>714375</xdr:colOff>
          <xdr:row>241</xdr:row>
          <xdr:rowOff>0</xdr:rowOff>
        </xdr:to>
        <xdr:sp macro="" textlink="">
          <xdr:nvSpPr>
            <xdr:cNvPr id="1180" name="Object 156" hidden="1">
              <a:extLst>
                <a:ext uri="{63B3BB69-23CF-44E3-9099-C40C66FF867C}">
                  <a14:compatExt spid="_x0000_s11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257175</xdr:colOff>
          <xdr:row>239</xdr:row>
          <xdr:rowOff>85725</xdr:rowOff>
        </xdr:from>
        <xdr:to>
          <xdr:col>54</xdr:col>
          <xdr:colOff>676275</xdr:colOff>
          <xdr:row>241</xdr:row>
          <xdr:rowOff>0</xdr:rowOff>
        </xdr:to>
        <xdr:sp macro="" textlink="">
          <xdr:nvSpPr>
            <xdr:cNvPr id="1181" name="Object 157" hidden="1">
              <a:extLst>
                <a:ext uri="{63B3BB69-23CF-44E3-9099-C40C66FF867C}">
                  <a14:compatExt spid="_x0000_s11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55</xdr:col>
          <xdr:colOff>314325</xdr:colOff>
          <xdr:row>239</xdr:row>
          <xdr:rowOff>85725</xdr:rowOff>
        </xdr:from>
        <xdr:to>
          <xdr:col>55</xdr:col>
          <xdr:colOff>714375</xdr:colOff>
          <xdr:row>241</xdr:row>
          <xdr:rowOff>0</xdr:rowOff>
        </xdr:to>
        <xdr:sp macro="" textlink="">
          <xdr:nvSpPr>
            <xdr:cNvPr id="1182" name="Object 158" hidden="1">
              <a:extLst>
                <a:ext uri="{63B3BB69-23CF-44E3-9099-C40C66FF867C}">
                  <a14:compatExt spid="_x0000_s1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295275</xdr:colOff>
          <xdr:row>239</xdr:row>
          <xdr:rowOff>104775</xdr:rowOff>
        </xdr:from>
        <xdr:to>
          <xdr:col>54</xdr:col>
          <xdr:colOff>714375</xdr:colOff>
          <xdr:row>241</xdr:row>
          <xdr:rowOff>0</xdr:rowOff>
        </xdr:to>
        <xdr:sp macro="" textlink="">
          <xdr:nvSpPr>
            <xdr:cNvPr id="1183" name="Object 159" hidden="1">
              <a:extLst>
                <a:ext uri="{63B3BB69-23CF-44E3-9099-C40C66FF867C}">
                  <a14:compatExt spid="_x0000_s11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55</xdr:col>
          <xdr:colOff>304800</xdr:colOff>
          <xdr:row>239</xdr:row>
          <xdr:rowOff>85725</xdr:rowOff>
        </xdr:from>
        <xdr:to>
          <xdr:col>55</xdr:col>
          <xdr:colOff>714375</xdr:colOff>
          <xdr:row>241</xdr:row>
          <xdr:rowOff>0</xdr:rowOff>
        </xdr:to>
        <xdr:sp macro="" textlink="">
          <xdr:nvSpPr>
            <xdr:cNvPr id="1184" name="Object 160" hidden="1">
              <a:extLst>
                <a:ext uri="{63B3BB69-23CF-44E3-9099-C40C66FF867C}">
                  <a14:compatExt spid="_x0000_s11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56</xdr:col>
          <xdr:colOff>257175</xdr:colOff>
          <xdr:row>239</xdr:row>
          <xdr:rowOff>85725</xdr:rowOff>
        </xdr:from>
        <xdr:to>
          <xdr:col>56</xdr:col>
          <xdr:colOff>676275</xdr:colOff>
          <xdr:row>241</xdr:row>
          <xdr:rowOff>0</xdr:rowOff>
        </xdr:to>
        <xdr:sp macro="" textlink="">
          <xdr:nvSpPr>
            <xdr:cNvPr id="1185" name="Object 161" hidden="1">
              <a:extLst>
                <a:ext uri="{63B3BB69-23CF-44E3-9099-C40C66FF867C}">
                  <a14:compatExt spid="_x0000_s11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314325</xdr:colOff>
          <xdr:row>239</xdr:row>
          <xdr:rowOff>85725</xdr:rowOff>
        </xdr:from>
        <xdr:to>
          <xdr:col>57</xdr:col>
          <xdr:colOff>714375</xdr:colOff>
          <xdr:row>241</xdr:row>
          <xdr:rowOff>0</xdr:rowOff>
        </xdr:to>
        <xdr:sp macro="" textlink="">
          <xdr:nvSpPr>
            <xdr:cNvPr id="1186" name="Object 162" hidden="1">
              <a:extLst>
                <a:ext uri="{63B3BB69-23CF-44E3-9099-C40C66FF867C}">
                  <a14:compatExt spid="_x0000_s1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56</xdr:col>
          <xdr:colOff>295275</xdr:colOff>
          <xdr:row>239</xdr:row>
          <xdr:rowOff>104775</xdr:rowOff>
        </xdr:from>
        <xdr:to>
          <xdr:col>56</xdr:col>
          <xdr:colOff>714375</xdr:colOff>
          <xdr:row>241</xdr:row>
          <xdr:rowOff>0</xdr:rowOff>
        </xdr:to>
        <xdr:sp macro="" textlink="">
          <xdr:nvSpPr>
            <xdr:cNvPr id="1187" name="Object 163" hidden="1">
              <a:extLst>
                <a:ext uri="{63B3BB69-23CF-44E3-9099-C40C66FF867C}">
                  <a14:compatExt spid="_x0000_s11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304800</xdr:colOff>
          <xdr:row>239</xdr:row>
          <xdr:rowOff>85725</xdr:rowOff>
        </xdr:from>
        <xdr:to>
          <xdr:col>57</xdr:col>
          <xdr:colOff>714375</xdr:colOff>
          <xdr:row>241</xdr:row>
          <xdr:rowOff>0</xdr:rowOff>
        </xdr:to>
        <xdr:sp macro="" textlink="">
          <xdr:nvSpPr>
            <xdr:cNvPr id="1188" name="Object 164" hidden="1">
              <a:extLst>
                <a:ext uri="{63B3BB69-23CF-44E3-9099-C40C66FF867C}">
                  <a14:compatExt spid="_x0000_s11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58</xdr:col>
          <xdr:colOff>257175</xdr:colOff>
          <xdr:row>239</xdr:row>
          <xdr:rowOff>85725</xdr:rowOff>
        </xdr:from>
        <xdr:to>
          <xdr:col>58</xdr:col>
          <xdr:colOff>676275</xdr:colOff>
          <xdr:row>241</xdr:row>
          <xdr:rowOff>0</xdr:rowOff>
        </xdr:to>
        <xdr:sp macro="" textlink="">
          <xdr:nvSpPr>
            <xdr:cNvPr id="1189" name="Object 165" hidden="1">
              <a:extLst>
                <a:ext uri="{63B3BB69-23CF-44E3-9099-C40C66FF867C}">
                  <a14:compatExt spid="_x0000_s11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59</xdr:col>
          <xdr:colOff>314325</xdr:colOff>
          <xdr:row>239</xdr:row>
          <xdr:rowOff>85725</xdr:rowOff>
        </xdr:from>
        <xdr:to>
          <xdr:col>59</xdr:col>
          <xdr:colOff>714375</xdr:colOff>
          <xdr:row>241</xdr:row>
          <xdr:rowOff>0</xdr:rowOff>
        </xdr:to>
        <xdr:sp macro="" textlink="">
          <xdr:nvSpPr>
            <xdr:cNvPr id="1190" name="Object 166" hidden="1">
              <a:extLst>
                <a:ext uri="{63B3BB69-23CF-44E3-9099-C40C66FF867C}">
                  <a14:compatExt spid="_x0000_s1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58</xdr:col>
          <xdr:colOff>295275</xdr:colOff>
          <xdr:row>239</xdr:row>
          <xdr:rowOff>104775</xdr:rowOff>
        </xdr:from>
        <xdr:to>
          <xdr:col>58</xdr:col>
          <xdr:colOff>714375</xdr:colOff>
          <xdr:row>241</xdr:row>
          <xdr:rowOff>0</xdr:rowOff>
        </xdr:to>
        <xdr:sp macro="" textlink="">
          <xdr:nvSpPr>
            <xdr:cNvPr id="1191" name="Object 167" hidden="1">
              <a:extLst>
                <a:ext uri="{63B3BB69-23CF-44E3-9099-C40C66FF867C}">
                  <a14:compatExt spid="_x0000_s11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59</xdr:col>
          <xdr:colOff>304800</xdr:colOff>
          <xdr:row>239</xdr:row>
          <xdr:rowOff>85725</xdr:rowOff>
        </xdr:from>
        <xdr:to>
          <xdr:col>59</xdr:col>
          <xdr:colOff>714375</xdr:colOff>
          <xdr:row>241</xdr:row>
          <xdr:rowOff>0</xdr:rowOff>
        </xdr:to>
        <xdr:sp macro="" textlink="">
          <xdr:nvSpPr>
            <xdr:cNvPr id="1192" name="Object 168" hidden="1">
              <a:extLst>
                <a:ext uri="{63B3BB69-23CF-44E3-9099-C40C66FF867C}">
                  <a14:compatExt spid="_x0000_s11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60</xdr:col>
          <xdr:colOff>257175</xdr:colOff>
          <xdr:row>239</xdr:row>
          <xdr:rowOff>85725</xdr:rowOff>
        </xdr:from>
        <xdr:to>
          <xdr:col>60</xdr:col>
          <xdr:colOff>676275</xdr:colOff>
          <xdr:row>241</xdr:row>
          <xdr:rowOff>0</xdr:rowOff>
        </xdr:to>
        <xdr:sp macro="" textlink="">
          <xdr:nvSpPr>
            <xdr:cNvPr id="1193" name="Object 169" hidden="1">
              <a:extLst>
                <a:ext uri="{63B3BB69-23CF-44E3-9099-C40C66FF867C}">
                  <a14:compatExt spid="_x0000_s1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314325</xdr:colOff>
          <xdr:row>239</xdr:row>
          <xdr:rowOff>85725</xdr:rowOff>
        </xdr:from>
        <xdr:to>
          <xdr:col>61</xdr:col>
          <xdr:colOff>714375</xdr:colOff>
          <xdr:row>241</xdr:row>
          <xdr:rowOff>0</xdr:rowOff>
        </xdr:to>
        <xdr:sp macro="" textlink="">
          <xdr:nvSpPr>
            <xdr:cNvPr id="1194" name="Object 170" hidden="1">
              <a:extLst>
                <a:ext uri="{63B3BB69-23CF-44E3-9099-C40C66FF867C}">
                  <a14:compatExt spid="_x0000_s1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60</xdr:col>
          <xdr:colOff>295275</xdr:colOff>
          <xdr:row>239</xdr:row>
          <xdr:rowOff>104775</xdr:rowOff>
        </xdr:from>
        <xdr:to>
          <xdr:col>60</xdr:col>
          <xdr:colOff>714375</xdr:colOff>
          <xdr:row>241</xdr:row>
          <xdr:rowOff>0</xdr:rowOff>
        </xdr:to>
        <xdr:sp macro="" textlink="">
          <xdr:nvSpPr>
            <xdr:cNvPr id="1195" name="Object 171" hidden="1">
              <a:extLst>
                <a:ext uri="{63B3BB69-23CF-44E3-9099-C40C66FF867C}">
                  <a14:compatExt spid="_x0000_s1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304800</xdr:colOff>
          <xdr:row>239</xdr:row>
          <xdr:rowOff>85725</xdr:rowOff>
        </xdr:from>
        <xdr:to>
          <xdr:col>61</xdr:col>
          <xdr:colOff>714375</xdr:colOff>
          <xdr:row>241</xdr:row>
          <xdr:rowOff>0</xdr:rowOff>
        </xdr:to>
        <xdr:sp macro="" textlink="">
          <xdr:nvSpPr>
            <xdr:cNvPr id="1196" name="Object 172" hidden="1">
              <a:extLst>
                <a:ext uri="{63B3BB69-23CF-44E3-9099-C40C66FF867C}">
                  <a14:compatExt spid="_x0000_s1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62</xdr:col>
          <xdr:colOff>257175</xdr:colOff>
          <xdr:row>239</xdr:row>
          <xdr:rowOff>85725</xdr:rowOff>
        </xdr:from>
        <xdr:to>
          <xdr:col>62</xdr:col>
          <xdr:colOff>676275</xdr:colOff>
          <xdr:row>241</xdr:row>
          <xdr:rowOff>0</xdr:rowOff>
        </xdr:to>
        <xdr:sp macro="" textlink="">
          <xdr:nvSpPr>
            <xdr:cNvPr id="1197" name="Object 173" hidden="1">
              <a:extLst>
                <a:ext uri="{63B3BB69-23CF-44E3-9099-C40C66FF867C}">
                  <a14:compatExt spid="_x0000_s11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63</xdr:col>
          <xdr:colOff>314325</xdr:colOff>
          <xdr:row>239</xdr:row>
          <xdr:rowOff>85725</xdr:rowOff>
        </xdr:from>
        <xdr:to>
          <xdr:col>63</xdr:col>
          <xdr:colOff>714375</xdr:colOff>
          <xdr:row>241</xdr:row>
          <xdr:rowOff>0</xdr:rowOff>
        </xdr:to>
        <xdr:sp macro="" textlink="">
          <xdr:nvSpPr>
            <xdr:cNvPr id="1198" name="Object 174" hidden="1">
              <a:extLst>
                <a:ext uri="{63B3BB69-23CF-44E3-9099-C40C66FF867C}">
                  <a14:compatExt spid="_x0000_s1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62</xdr:col>
          <xdr:colOff>295275</xdr:colOff>
          <xdr:row>239</xdr:row>
          <xdr:rowOff>104775</xdr:rowOff>
        </xdr:from>
        <xdr:to>
          <xdr:col>62</xdr:col>
          <xdr:colOff>714375</xdr:colOff>
          <xdr:row>241</xdr:row>
          <xdr:rowOff>0</xdr:rowOff>
        </xdr:to>
        <xdr:sp macro="" textlink="">
          <xdr:nvSpPr>
            <xdr:cNvPr id="1199" name="Object 175" hidden="1">
              <a:extLst>
                <a:ext uri="{63B3BB69-23CF-44E3-9099-C40C66FF867C}">
                  <a14:compatExt spid="_x0000_s11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63</xdr:col>
          <xdr:colOff>304800</xdr:colOff>
          <xdr:row>239</xdr:row>
          <xdr:rowOff>85725</xdr:rowOff>
        </xdr:from>
        <xdr:to>
          <xdr:col>63</xdr:col>
          <xdr:colOff>714375</xdr:colOff>
          <xdr:row>241</xdr:row>
          <xdr:rowOff>0</xdr:rowOff>
        </xdr:to>
        <xdr:sp macro="" textlink="">
          <xdr:nvSpPr>
            <xdr:cNvPr id="1200" name="Object 176" hidden="1">
              <a:extLst>
                <a:ext uri="{63B3BB69-23CF-44E3-9099-C40C66FF867C}">
                  <a14:compatExt spid="_x0000_s1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64</xdr:col>
          <xdr:colOff>257175</xdr:colOff>
          <xdr:row>239</xdr:row>
          <xdr:rowOff>85725</xdr:rowOff>
        </xdr:from>
        <xdr:to>
          <xdr:col>64</xdr:col>
          <xdr:colOff>676275</xdr:colOff>
          <xdr:row>241</xdr:row>
          <xdr:rowOff>0</xdr:rowOff>
        </xdr:to>
        <xdr:sp macro="" textlink="">
          <xdr:nvSpPr>
            <xdr:cNvPr id="1201" name="Object 177" hidden="1">
              <a:extLst>
                <a:ext uri="{63B3BB69-23CF-44E3-9099-C40C66FF867C}">
                  <a14:compatExt spid="_x0000_s1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314325</xdr:colOff>
          <xdr:row>239</xdr:row>
          <xdr:rowOff>85725</xdr:rowOff>
        </xdr:from>
        <xdr:to>
          <xdr:col>65</xdr:col>
          <xdr:colOff>714375</xdr:colOff>
          <xdr:row>241</xdr:row>
          <xdr:rowOff>0</xdr:rowOff>
        </xdr:to>
        <xdr:sp macro="" textlink="">
          <xdr:nvSpPr>
            <xdr:cNvPr id="1202" name="Object 178" hidden="1">
              <a:extLst>
                <a:ext uri="{63B3BB69-23CF-44E3-9099-C40C66FF867C}">
                  <a14:compatExt spid="_x0000_s1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64</xdr:col>
          <xdr:colOff>295275</xdr:colOff>
          <xdr:row>239</xdr:row>
          <xdr:rowOff>104775</xdr:rowOff>
        </xdr:from>
        <xdr:to>
          <xdr:col>64</xdr:col>
          <xdr:colOff>714375</xdr:colOff>
          <xdr:row>241</xdr:row>
          <xdr:rowOff>0</xdr:rowOff>
        </xdr:to>
        <xdr:sp macro="" textlink="">
          <xdr:nvSpPr>
            <xdr:cNvPr id="1203" name="Object 179" hidden="1">
              <a:extLst>
                <a:ext uri="{63B3BB69-23CF-44E3-9099-C40C66FF867C}">
                  <a14:compatExt spid="_x0000_s12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304800</xdr:colOff>
          <xdr:row>239</xdr:row>
          <xdr:rowOff>85725</xdr:rowOff>
        </xdr:from>
        <xdr:to>
          <xdr:col>65</xdr:col>
          <xdr:colOff>714375</xdr:colOff>
          <xdr:row>241</xdr:row>
          <xdr:rowOff>0</xdr:rowOff>
        </xdr:to>
        <xdr:sp macro="" textlink="">
          <xdr:nvSpPr>
            <xdr:cNvPr id="1204" name="Object 180" hidden="1">
              <a:extLst>
                <a:ext uri="{63B3BB69-23CF-44E3-9099-C40C66FF867C}">
                  <a14:compatExt spid="_x0000_s1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257175</xdr:colOff>
          <xdr:row>239</xdr:row>
          <xdr:rowOff>85725</xdr:rowOff>
        </xdr:from>
        <xdr:to>
          <xdr:col>66</xdr:col>
          <xdr:colOff>676275</xdr:colOff>
          <xdr:row>241</xdr:row>
          <xdr:rowOff>0</xdr:rowOff>
        </xdr:to>
        <xdr:sp macro="" textlink="">
          <xdr:nvSpPr>
            <xdr:cNvPr id="1205" name="Object 181" hidden="1">
              <a:extLst>
                <a:ext uri="{63B3BB69-23CF-44E3-9099-C40C66FF867C}">
                  <a14:compatExt spid="_x0000_s1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67</xdr:col>
          <xdr:colOff>314325</xdr:colOff>
          <xdr:row>239</xdr:row>
          <xdr:rowOff>85725</xdr:rowOff>
        </xdr:from>
        <xdr:to>
          <xdr:col>67</xdr:col>
          <xdr:colOff>714375</xdr:colOff>
          <xdr:row>241</xdr:row>
          <xdr:rowOff>0</xdr:rowOff>
        </xdr:to>
        <xdr:sp macro="" textlink="">
          <xdr:nvSpPr>
            <xdr:cNvPr id="1206" name="Object 182" hidden="1">
              <a:extLst>
                <a:ext uri="{63B3BB69-23CF-44E3-9099-C40C66FF867C}">
                  <a14:compatExt spid="_x0000_s1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295275</xdr:colOff>
          <xdr:row>239</xdr:row>
          <xdr:rowOff>104775</xdr:rowOff>
        </xdr:from>
        <xdr:to>
          <xdr:col>66</xdr:col>
          <xdr:colOff>714375</xdr:colOff>
          <xdr:row>241</xdr:row>
          <xdr:rowOff>0</xdr:rowOff>
        </xdr:to>
        <xdr:sp macro="" textlink="">
          <xdr:nvSpPr>
            <xdr:cNvPr id="1207" name="Object 183" hidden="1">
              <a:extLst>
                <a:ext uri="{63B3BB69-23CF-44E3-9099-C40C66FF867C}">
                  <a14:compatExt spid="_x0000_s12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67</xdr:col>
          <xdr:colOff>304800</xdr:colOff>
          <xdr:row>239</xdr:row>
          <xdr:rowOff>85725</xdr:rowOff>
        </xdr:from>
        <xdr:to>
          <xdr:col>67</xdr:col>
          <xdr:colOff>714375</xdr:colOff>
          <xdr:row>241</xdr:row>
          <xdr:rowOff>0</xdr:rowOff>
        </xdr:to>
        <xdr:sp macro="" textlink="">
          <xdr:nvSpPr>
            <xdr:cNvPr id="1208" name="Object 184" hidden="1">
              <a:extLst>
                <a:ext uri="{63B3BB69-23CF-44E3-9099-C40C66FF867C}">
                  <a14:compatExt spid="_x0000_s1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257175</xdr:colOff>
          <xdr:row>239</xdr:row>
          <xdr:rowOff>85725</xdr:rowOff>
        </xdr:from>
        <xdr:to>
          <xdr:col>68</xdr:col>
          <xdr:colOff>676275</xdr:colOff>
          <xdr:row>241</xdr:row>
          <xdr:rowOff>0</xdr:rowOff>
        </xdr:to>
        <xdr:sp macro="" textlink="">
          <xdr:nvSpPr>
            <xdr:cNvPr id="1209" name="Object 185" hidden="1">
              <a:extLst>
                <a:ext uri="{63B3BB69-23CF-44E3-9099-C40C66FF867C}">
                  <a14:compatExt spid="_x0000_s1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69</xdr:col>
          <xdr:colOff>314325</xdr:colOff>
          <xdr:row>239</xdr:row>
          <xdr:rowOff>85725</xdr:rowOff>
        </xdr:from>
        <xdr:to>
          <xdr:col>69</xdr:col>
          <xdr:colOff>714375</xdr:colOff>
          <xdr:row>241</xdr:row>
          <xdr:rowOff>0</xdr:rowOff>
        </xdr:to>
        <xdr:sp macro="" textlink="">
          <xdr:nvSpPr>
            <xdr:cNvPr id="1210" name="Object 186" hidden="1">
              <a:extLst>
                <a:ext uri="{63B3BB69-23CF-44E3-9099-C40C66FF867C}">
                  <a14:compatExt spid="_x0000_s1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295275</xdr:colOff>
          <xdr:row>239</xdr:row>
          <xdr:rowOff>104775</xdr:rowOff>
        </xdr:from>
        <xdr:to>
          <xdr:col>68</xdr:col>
          <xdr:colOff>714375</xdr:colOff>
          <xdr:row>241</xdr:row>
          <xdr:rowOff>0</xdr:rowOff>
        </xdr:to>
        <xdr:sp macro="" textlink="">
          <xdr:nvSpPr>
            <xdr:cNvPr id="1211" name="Object 187" hidden="1">
              <a:extLst>
                <a:ext uri="{63B3BB69-23CF-44E3-9099-C40C66FF867C}">
                  <a14:compatExt spid="_x0000_s12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69</xdr:col>
          <xdr:colOff>304800</xdr:colOff>
          <xdr:row>239</xdr:row>
          <xdr:rowOff>85725</xdr:rowOff>
        </xdr:from>
        <xdr:to>
          <xdr:col>69</xdr:col>
          <xdr:colOff>714375</xdr:colOff>
          <xdr:row>241</xdr:row>
          <xdr:rowOff>0</xdr:rowOff>
        </xdr:to>
        <xdr:sp macro="" textlink="">
          <xdr:nvSpPr>
            <xdr:cNvPr id="1212" name="Object 188" hidden="1">
              <a:extLst>
                <a:ext uri="{63B3BB69-23CF-44E3-9099-C40C66FF867C}">
                  <a14:compatExt spid="_x0000_s12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70</xdr:col>
          <xdr:colOff>257175</xdr:colOff>
          <xdr:row>239</xdr:row>
          <xdr:rowOff>85725</xdr:rowOff>
        </xdr:from>
        <xdr:to>
          <xdr:col>70</xdr:col>
          <xdr:colOff>676275</xdr:colOff>
          <xdr:row>241</xdr:row>
          <xdr:rowOff>0</xdr:rowOff>
        </xdr:to>
        <xdr:sp macro="" textlink="">
          <xdr:nvSpPr>
            <xdr:cNvPr id="1213" name="Object 189" hidden="1">
              <a:extLst>
                <a:ext uri="{63B3BB69-23CF-44E3-9099-C40C66FF867C}">
                  <a14:compatExt spid="_x0000_s12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71</xdr:col>
          <xdr:colOff>314325</xdr:colOff>
          <xdr:row>239</xdr:row>
          <xdr:rowOff>85725</xdr:rowOff>
        </xdr:from>
        <xdr:to>
          <xdr:col>71</xdr:col>
          <xdr:colOff>714375</xdr:colOff>
          <xdr:row>241</xdr:row>
          <xdr:rowOff>0</xdr:rowOff>
        </xdr:to>
        <xdr:sp macro="" textlink="">
          <xdr:nvSpPr>
            <xdr:cNvPr id="1214" name="Object 190" hidden="1">
              <a:extLst>
                <a:ext uri="{63B3BB69-23CF-44E3-9099-C40C66FF867C}">
                  <a14:compatExt spid="_x0000_s12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70</xdr:col>
          <xdr:colOff>295275</xdr:colOff>
          <xdr:row>239</xdr:row>
          <xdr:rowOff>104775</xdr:rowOff>
        </xdr:from>
        <xdr:to>
          <xdr:col>70</xdr:col>
          <xdr:colOff>714375</xdr:colOff>
          <xdr:row>241</xdr:row>
          <xdr:rowOff>0</xdr:rowOff>
        </xdr:to>
        <xdr:sp macro="" textlink="">
          <xdr:nvSpPr>
            <xdr:cNvPr id="1215" name="Object 191" hidden="1">
              <a:extLst>
                <a:ext uri="{63B3BB69-23CF-44E3-9099-C40C66FF867C}">
                  <a14:compatExt spid="_x0000_s12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71</xdr:col>
          <xdr:colOff>304800</xdr:colOff>
          <xdr:row>239</xdr:row>
          <xdr:rowOff>85725</xdr:rowOff>
        </xdr:from>
        <xdr:to>
          <xdr:col>71</xdr:col>
          <xdr:colOff>714375</xdr:colOff>
          <xdr:row>241</xdr:row>
          <xdr:rowOff>0</xdr:rowOff>
        </xdr:to>
        <xdr:sp macro="" textlink="">
          <xdr:nvSpPr>
            <xdr:cNvPr id="1216" name="Object 192" hidden="1">
              <a:extLst>
                <a:ext uri="{63B3BB69-23CF-44E3-9099-C40C66FF867C}">
                  <a14:compatExt spid="_x0000_s12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</xdr:col>
          <xdr:colOff>257175</xdr:colOff>
          <xdr:row>239</xdr:row>
          <xdr:rowOff>85725</xdr:rowOff>
        </xdr:from>
        <xdr:to>
          <xdr:col>72</xdr:col>
          <xdr:colOff>676275</xdr:colOff>
          <xdr:row>241</xdr:row>
          <xdr:rowOff>0</xdr:rowOff>
        </xdr:to>
        <xdr:sp macro="" textlink="">
          <xdr:nvSpPr>
            <xdr:cNvPr id="1217" name="Object 193" hidden="1">
              <a:extLst>
                <a:ext uri="{63B3BB69-23CF-44E3-9099-C40C66FF867C}">
                  <a14:compatExt spid="_x0000_s1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73</xdr:col>
          <xdr:colOff>314325</xdr:colOff>
          <xdr:row>239</xdr:row>
          <xdr:rowOff>85725</xdr:rowOff>
        </xdr:from>
        <xdr:to>
          <xdr:col>73</xdr:col>
          <xdr:colOff>714375</xdr:colOff>
          <xdr:row>241</xdr:row>
          <xdr:rowOff>0</xdr:rowOff>
        </xdr:to>
        <xdr:sp macro="" textlink="">
          <xdr:nvSpPr>
            <xdr:cNvPr id="1218" name="Object 194" hidden="1">
              <a:extLst>
                <a:ext uri="{63B3BB69-23CF-44E3-9099-C40C66FF867C}">
                  <a14:compatExt spid="_x0000_s1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</xdr:col>
          <xdr:colOff>295275</xdr:colOff>
          <xdr:row>239</xdr:row>
          <xdr:rowOff>104775</xdr:rowOff>
        </xdr:from>
        <xdr:to>
          <xdr:col>72</xdr:col>
          <xdr:colOff>714375</xdr:colOff>
          <xdr:row>241</xdr:row>
          <xdr:rowOff>0</xdr:rowOff>
        </xdr:to>
        <xdr:sp macro="" textlink="">
          <xdr:nvSpPr>
            <xdr:cNvPr id="1219" name="Object 195" hidden="1">
              <a:extLst>
                <a:ext uri="{63B3BB69-23CF-44E3-9099-C40C66FF867C}">
                  <a14:compatExt spid="_x0000_s12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73</xdr:col>
          <xdr:colOff>304800</xdr:colOff>
          <xdr:row>239</xdr:row>
          <xdr:rowOff>85725</xdr:rowOff>
        </xdr:from>
        <xdr:to>
          <xdr:col>73</xdr:col>
          <xdr:colOff>714375</xdr:colOff>
          <xdr:row>241</xdr:row>
          <xdr:rowOff>0</xdr:rowOff>
        </xdr:to>
        <xdr:sp macro="" textlink="">
          <xdr:nvSpPr>
            <xdr:cNvPr id="1220" name="Object 196" hidden="1">
              <a:extLst>
                <a:ext uri="{63B3BB69-23CF-44E3-9099-C40C66FF867C}">
                  <a14:compatExt spid="_x0000_s12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257175</xdr:colOff>
          <xdr:row>239</xdr:row>
          <xdr:rowOff>85725</xdr:rowOff>
        </xdr:from>
        <xdr:to>
          <xdr:col>74</xdr:col>
          <xdr:colOff>676275</xdr:colOff>
          <xdr:row>241</xdr:row>
          <xdr:rowOff>0</xdr:rowOff>
        </xdr:to>
        <xdr:sp macro="" textlink="">
          <xdr:nvSpPr>
            <xdr:cNvPr id="1221" name="Object 197" hidden="1">
              <a:extLst>
                <a:ext uri="{63B3BB69-23CF-44E3-9099-C40C66FF867C}">
                  <a14:compatExt spid="_x0000_s12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314325</xdr:colOff>
          <xdr:row>239</xdr:row>
          <xdr:rowOff>85725</xdr:rowOff>
        </xdr:from>
        <xdr:to>
          <xdr:col>75</xdr:col>
          <xdr:colOff>714375</xdr:colOff>
          <xdr:row>241</xdr:row>
          <xdr:rowOff>0</xdr:rowOff>
        </xdr:to>
        <xdr:sp macro="" textlink="">
          <xdr:nvSpPr>
            <xdr:cNvPr id="1222" name="Object 198" hidden="1">
              <a:extLst>
                <a:ext uri="{63B3BB69-23CF-44E3-9099-C40C66FF867C}">
                  <a14:compatExt spid="_x0000_s12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295275</xdr:colOff>
          <xdr:row>239</xdr:row>
          <xdr:rowOff>104775</xdr:rowOff>
        </xdr:from>
        <xdr:to>
          <xdr:col>74</xdr:col>
          <xdr:colOff>714375</xdr:colOff>
          <xdr:row>241</xdr:row>
          <xdr:rowOff>0</xdr:rowOff>
        </xdr:to>
        <xdr:sp macro="" textlink="">
          <xdr:nvSpPr>
            <xdr:cNvPr id="1223" name="Object 199" hidden="1">
              <a:extLst>
                <a:ext uri="{63B3BB69-23CF-44E3-9099-C40C66FF867C}">
                  <a14:compatExt spid="_x0000_s12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304800</xdr:colOff>
          <xdr:row>239</xdr:row>
          <xdr:rowOff>85725</xdr:rowOff>
        </xdr:from>
        <xdr:to>
          <xdr:col>75</xdr:col>
          <xdr:colOff>714375</xdr:colOff>
          <xdr:row>241</xdr:row>
          <xdr:rowOff>0</xdr:rowOff>
        </xdr:to>
        <xdr:sp macro="" textlink="">
          <xdr:nvSpPr>
            <xdr:cNvPr id="1224" name="Object 200" hidden="1">
              <a:extLst>
                <a:ext uri="{63B3BB69-23CF-44E3-9099-C40C66FF867C}">
                  <a14:compatExt spid="_x0000_s12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257175</xdr:colOff>
          <xdr:row>239</xdr:row>
          <xdr:rowOff>85725</xdr:rowOff>
        </xdr:from>
        <xdr:to>
          <xdr:col>76</xdr:col>
          <xdr:colOff>676275</xdr:colOff>
          <xdr:row>241</xdr:row>
          <xdr:rowOff>0</xdr:rowOff>
        </xdr:to>
        <xdr:sp macro="" textlink="">
          <xdr:nvSpPr>
            <xdr:cNvPr id="1225" name="Object 201" hidden="1">
              <a:extLst>
                <a:ext uri="{63B3BB69-23CF-44E3-9099-C40C66FF867C}">
                  <a14:compatExt spid="_x0000_s12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314325</xdr:colOff>
          <xdr:row>239</xdr:row>
          <xdr:rowOff>85725</xdr:rowOff>
        </xdr:from>
        <xdr:to>
          <xdr:col>77</xdr:col>
          <xdr:colOff>714375</xdr:colOff>
          <xdr:row>241</xdr:row>
          <xdr:rowOff>0</xdr:rowOff>
        </xdr:to>
        <xdr:sp macro="" textlink="">
          <xdr:nvSpPr>
            <xdr:cNvPr id="1226" name="Object 202" hidden="1">
              <a:extLst>
                <a:ext uri="{63B3BB69-23CF-44E3-9099-C40C66FF867C}">
                  <a14:compatExt spid="_x0000_s1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295275</xdr:colOff>
          <xdr:row>239</xdr:row>
          <xdr:rowOff>104775</xdr:rowOff>
        </xdr:from>
        <xdr:to>
          <xdr:col>76</xdr:col>
          <xdr:colOff>714375</xdr:colOff>
          <xdr:row>241</xdr:row>
          <xdr:rowOff>0</xdr:rowOff>
        </xdr:to>
        <xdr:sp macro="" textlink="">
          <xdr:nvSpPr>
            <xdr:cNvPr id="1227" name="Object 203" hidden="1">
              <a:extLst>
                <a:ext uri="{63B3BB69-23CF-44E3-9099-C40C66FF867C}">
                  <a14:compatExt spid="_x0000_s12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304800</xdr:colOff>
          <xdr:row>239</xdr:row>
          <xdr:rowOff>85725</xdr:rowOff>
        </xdr:from>
        <xdr:to>
          <xdr:col>77</xdr:col>
          <xdr:colOff>714375</xdr:colOff>
          <xdr:row>241</xdr:row>
          <xdr:rowOff>0</xdr:rowOff>
        </xdr:to>
        <xdr:sp macro="" textlink="">
          <xdr:nvSpPr>
            <xdr:cNvPr id="1228" name="Object 204" hidden="1">
              <a:extLst>
                <a:ext uri="{63B3BB69-23CF-44E3-9099-C40C66FF867C}">
                  <a14:compatExt spid="_x0000_s12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257175</xdr:colOff>
          <xdr:row>239</xdr:row>
          <xdr:rowOff>85725</xdr:rowOff>
        </xdr:from>
        <xdr:to>
          <xdr:col>78</xdr:col>
          <xdr:colOff>676275</xdr:colOff>
          <xdr:row>241</xdr:row>
          <xdr:rowOff>0</xdr:rowOff>
        </xdr:to>
        <xdr:sp macro="" textlink="">
          <xdr:nvSpPr>
            <xdr:cNvPr id="1229" name="Object 205" hidden="1">
              <a:extLst>
                <a:ext uri="{63B3BB69-23CF-44E3-9099-C40C66FF867C}">
                  <a14:compatExt spid="_x0000_s12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79</xdr:col>
          <xdr:colOff>314325</xdr:colOff>
          <xdr:row>239</xdr:row>
          <xdr:rowOff>85725</xdr:rowOff>
        </xdr:from>
        <xdr:to>
          <xdr:col>79</xdr:col>
          <xdr:colOff>714375</xdr:colOff>
          <xdr:row>241</xdr:row>
          <xdr:rowOff>0</xdr:rowOff>
        </xdr:to>
        <xdr:sp macro="" textlink="">
          <xdr:nvSpPr>
            <xdr:cNvPr id="1230" name="Object 206" hidden="1">
              <a:extLst>
                <a:ext uri="{63B3BB69-23CF-44E3-9099-C40C66FF867C}">
                  <a14:compatExt spid="_x0000_s1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295275</xdr:colOff>
          <xdr:row>239</xdr:row>
          <xdr:rowOff>104775</xdr:rowOff>
        </xdr:from>
        <xdr:to>
          <xdr:col>78</xdr:col>
          <xdr:colOff>714375</xdr:colOff>
          <xdr:row>241</xdr:row>
          <xdr:rowOff>0</xdr:rowOff>
        </xdr:to>
        <xdr:sp macro="" textlink="">
          <xdr:nvSpPr>
            <xdr:cNvPr id="1231" name="Object 207" hidden="1">
              <a:extLst>
                <a:ext uri="{63B3BB69-23CF-44E3-9099-C40C66FF867C}">
                  <a14:compatExt spid="_x0000_s12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79</xdr:col>
          <xdr:colOff>304800</xdr:colOff>
          <xdr:row>239</xdr:row>
          <xdr:rowOff>85725</xdr:rowOff>
        </xdr:from>
        <xdr:to>
          <xdr:col>79</xdr:col>
          <xdr:colOff>714375</xdr:colOff>
          <xdr:row>241</xdr:row>
          <xdr:rowOff>0</xdr:rowOff>
        </xdr:to>
        <xdr:sp macro="" textlink="">
          <xdr:nvSpPr>
            <xdr:cNvPr id="1232" name="Object 208" hidden="1">
              <a:extLst>
                <a:ext uri="{63B3BB69-23CF-44E3-9099-C40C66FF867C}">
                  <a14:compatExt spid="_x0000_s12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80</xdr:col>
          <xdr:colOff>257175</xdr:colOff>
          <xdr:row>239</xdr:row>
          <xdr:rowOff>85725</xdr:rowOff>
        </xdr:from>
        <xdr:to>
          <xdr:col>80</xdr:col>
          <xdr:colOff>676275</xdr:colOff>
          <xdr:row>241</xdr:row>
          <xdr:rowOff>0</xdr:rowOff>
        </xdr:to>
        <xdr:sp macro="" textlink="">
          <xdr:nvSpPr>
            <xdr:cNvPr id="1233" name="Object 209" hidden="1">
              <a:extLst>
                <a:ext uri="{63B3BB69-23CF-44E3-9099-C40C66FF867C}">
                  <a14:compatExt spid="_x0000_s12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81</xdr:col>
          <xdr:colOff>314325</xdr:colOff>
          <xdr:row>239</xdr:row>
          <xdr:rowOff>85725</xdr:rowOff>
        </xdr:from>
        <xdr:to>
          <xdr:col>81</xdr:col>
          <xdr:colOff>714375</xdr:colOff>
          <xdr:row>241</xdr:row>
          <xdr:rowOff>0</xdr:rowOff>
        </xdr:to>
        <xdr:sp macro="" textlink="">
          <xdr:nvSpPr>
            <xdr:cNvPr id="1234" name="Object 210" hidden="1">
              <a:extLst>
                <a:ext uri="{63B3BB69-23CF-44E3-9099-C40C66FF867C}">
                  <a14:compatExt spid="_x0000_s1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80</xdr:col>
          <xdr:colOff>295275</xdr:colOff>
          <xdr:row>239</xdr:row>
          <xdr:rowOff>104775</xdr:rowOff>
        </xdr:from>
        <xdr:to>
          <xdr:col>80</xdr:col>
          <xdr:colOff>714375</xdr:colOff>
          <xdr:row>241</xdr:row>
          <xdr:rowOff>0</xdr:rowOff>
        </xdr:to>
        <xdr:sp macro="" textlink="">
          <xdr:nvSpPr>
            <xdr:cNvPr id="1235" name="Object 211" hidden="1">
              <a:extLst>
                <a:ext uri="{63B3BB69-23CF-44E3-9099-C40C66FF867C}">
                  <a14:compatExt spid="_x0000_s12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81</xdr:col>
          <xdr:colOff>304800</xdr:colOff>
          <xdr:row>239</xdr:row>
          <xdr:rowOff>85725</xdr:rowOff>
        </xdr:from>
        <xdr:to>
          <xdr:col>81</xdr:col>
          <xdr:colOff>714375</xdr:colOff>
          <xdr:row>241</xdr:row>
          <xdr:rowOff>0</xdr:rowOff>
        </xdr:to>
        <xdr:sp macro="" textlink="">
          <xdr:nvSpPr>
            <xdr:cNvPr id="1236" name="Object 212" hidden="1">
              <a:extLst>
                <a:ext uri="{63B3BB69-23CF-44E3-9099-C40C66FF867C}">
                  <a14:compatExt spid="_x0000_s12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257175</xdr:colOff>
          <xdr:row>239</xdr:row>
          <xdr:rowOff>85725</xdr:rowOff>
        </xdr:from>
        <xdr:to>
          <xdr:col>82</xdr:col>
          <xdr:colOff>676275</xdr:colOff>
          <xdr:row>241</xdr:row>
          <xdr:rowOff>0</xdr:rowOff>
        </xdr:to>
        <xdr:sp macro="" textlink="">
          <xdr:nvSpPr>
            <xdr:cNvPr id="1237" name="Object 213" hidden="1">
              <a:extLst>
                <a:ext uri="{63B3BB69-23CF-44E3-9099-C40C66FF867C}">
                  <a14:compatExt spid="_x0000_s12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83</xdr:col>
          <xdr:colOff>314325</xdr:colOff>
          <xdr:row>239</xdr:row>
          <xdr:rowOff>85725</xdr:rowOff>
        </xdr:from>
        <xdr:to>
          <xdr:col>83</xdr:col>
          <xdr:colOff>714375</xdr:colOff>
          <xdr:row>241</xdr:row>
          <xdr:rowOff>0</xdr:rowOff>
        </xdr:to>
        <xdr:sp macro="" textlink="">
          <xdr:nvSpPr>
            <xdr:cNvPr id="1238" name="Object 214" hidden="1">
              <a:extLst>
                <a:ext uri="{63B3BB69-23CF-44E3-9099-C40C66FF867C}">
                  <a14:compatExt spid="_x0000_s1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295275</xdr:colOff>
          <xdr:row>239</xdr:row>
          <xdr:rowOff>104775</xdr:rowOff>
        </xdr:from>
        <xdr:to>
          <xdr:col>82</xdr:col>
          <xdr:colOff>714375</xdr:colOff>
          <xdr:row>241</xdr:row>
          <xdr:rowOff>0</xdr:rowOff>
        </xdr:to>
        <xdr:sp macro="" textlink="">
          <xdr:nvSpPr>
            <xdr:cNvPr id="1239" name="Object 215" hidden="1">
              <a:extLst>
                <a:ext uri="{63B3BB69-23CF-44E3-9099-C40C66FF867C}">
                  <a14:compatExt spid="_x0000_s12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83</xdr:col>
          <xdr:colOff>304800</xdr:colOff>
          <xdr:row>239</xdr:row>
          <xdr:rowOff>85725</xdr:rowOff>
        </xdr:from>
        <xdr:to>
          <xdr:col>83</xdr:col>
          <xdr:colOff>714375</xdr:colOff>
          <xdr:row>241</xdr:row>
          <xdr:rowOff>0</xdr:rowOff>
        </xdr:to>
        <xdr:sp macro="" textlink="">
          <xdr:nvSpPr>
            <xdr:cNvPr id="1240" name="Object 216" hidden="1">
              <a:extLst>
                <a:ext uri="{63B3BB69-23CF-44E3-9099-C40C66FF867C}">
                  <a14:compatExt spid="_x0000_s12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257175</xdr:colOff>
          <xdr:row>239</xdr:row>
          <xdr:rowOff>85725</xdr:rowOff>
        </xdr:from>
        <xdr:to>
          <xdr:col>84</xdr:col>
          <xdr:colOff>676275</xdr:colOff>
          <xdr:row>241</xdr:row>
          <xdr:rowOff>0</xdr:rowOff>
        </xdr:to>
        <xdr:sp macro="" textlink="">
          <xdr:nvSpPr>
            <xdr:cNvPr id="1241" name="Object 217" hidden="1">
              <a:extLst>
                <a:ext uri="{63B3BB69-23CF-44E3-9099-C40C66FF867C}">
                  <a14:compatExt spid="_x0000_s1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85</xdr:col>
          <xdr:colOff>314325</xdr:colOff>
          <xdr:row>239</xdr:row>
          <xdr:rowOff>85725</xdr:rowOff>
        </xdr:from>
        <xdr:to>
          <xdr:col>85</xdr:col>
          <xdr:colOff>714375</xdr:colOff>
          <xdr:row>241</xdr:row>
          <xdr:rowOff>0</xdr:rowOff>
        </xdr:to>
        <xdr:sp macro="" textlink="">
          <xdr:nvSpPr>
            <xdr:cNvPr id="1242" name="Object 218" hidden="1">
              <a:extLst>
                <a:ext uri="{63B3BB69-23CF-44E3-9099-C40C66FF867C}">
                  <a14:compatExt spid="_x0000_s1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295275</xdr:colOff>
          <xdr:row>239</xdr:row>
          <xdr:rowOff>104775</xdr:rowOff>
        </xdr:from>
        <xdr:to>
          <xdr:col>84</xdr:col>
          <xdr:colOff>714375</xdr:colOff>
          <xdr:row>241</xdr:row>
          <xdr:rowOff>0</xdr:rowOff>
        </xdr:to>
        <xdr:sp macro="" textlink="">
          <xdr:nvSpPr>
            <xdr:cNvPr id="1243" name="Object 219" hidden="1">
              <a:extLst>
                <a:ext uri="{63B3BB69-23CF-44E3-9099-C40C66FF867C}">
                  <a14:compatExt spid="_x0000_s12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85</xdr:col>
          <xdr:colOff>304800</xdr:colOff>
          <xdr:row>239</xdr:row>
          <xdr:rowOff>85725</xdr:rowOff>
        </xdr:from>
        <xdr:to>
          <xdr:col>85</xdr:col>
          <xdr:colOff>714375</xdr:colOff>
          <xdr:row>241</xdr:row>
          <xdr:rowOff>0</xdr:rowOff>
        </xdr:to>
        <xdr:sp macro="" textlink="">
          <xdr:nvSpPr>
            <xdr:cNvPr id="1244" name="Object 220" hidden="1">
              <a:extLst>
                <a:ext uri="{63B3BB69-23CF-44E3-9099-C40C66FF867C}">
                  <a14:compatExt spid="_x0000_s12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86</xdr:col>
          <xdr:colOff>257175</xdr:colOff>
          <xdr:row>239</xdr:row>
          <xdr:rowOff>85725</xdr:rowOff>
        </xdr:from>
        <xdr:to>
          <xdr:col>86</xdr:col>
          <xdr:colOff>676275</xdr:colOff>
          <xdr:row>241</xdr:row>
          <xdr:rowOff>0</xdr:rowOff>
        </xdr:to>
        <xdr:sp macro="" textlink="">
          <xdr:nvSpPr>
            <xdr:cNvPr id="1245" name="Object 221" hidden="1">
              <a:extLst>
                <a:ext uri="{63B3BB69-23CF-44E3-9099-C40C66FF867C}">
                  <a14:compatExt spid="_x0000_s12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87</xdr:col>
          <xdr:colOff>314325</xdr:colOff>
          <xdr:row>239</xdr:row>
          <xdr:rowOff>85725</xdr:rowOff>
        </xdr:from>
        <xdr:to>
          <xdr:col>87</xdr:col>
          <xdr:colOff>714375</xdr:colOff>
          <xdr:row>241</xdr:row>
          <xdr:rowOff>0</xdr:rowOff>
        </xdr:to>
        <xdr:sp macro="" textlink="">
          <xdr:nvSpPr>
            <xdr:cNvPr id="1246" name="Object 222" hidden="1">
              <a:extLst>
                <a:ext uri="{63B3BB69-23CF-44E3-9099-C40C66FF867C}">
                  <a14:compatExt spid="_x0000_s1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86</xdr:col>
          <xdr:colOff>295275</xdr:colOff>
          <xdr:row>239</xdr:row>
          <xdr:rowOff>104775</xdr:rowOff>
        </xdr:from>
        <xdr:to>
          <xdr:col>86</xdr:col>
          <xdr:colOff>714375</xdr:colOff>
          <xdr:row>241</xdr:row>
          <xdr:rowOff>0</xdr:rowOff>
        </xdr:to>
        <xdr:sp macro="" textlink="">
          <xdr:nvSpPr>
            <xdr:cNvPr id="1247" name="Object 223" hidden="1">
              <a:extLst>
                <a:ext uri="{63B3BB69-23CF-44E3-9099-C40C66FF867C}">
                  <a14:compatExt spid="_x0000_s12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87</xdr:col>
          <xdr:colOff>304800</xdr:colOff>
          <xdr:row>239</xdr:row>
          <xdr:rowOff>85725</xdr:rowOff>
        </xdr:from>
        <xdr:to>
          <xdr:col>87</xdr:col>
          <xdr:colOff>714375</xdr:colOff>
          <xdr:row>241</xdr:row>
          <xdr:rowOff>0</xdr:rowOff>
        </xdr:to>
        <xdr:sp macro="" textlink="">
          <xdr:nvSpPr>
            <xdr:cNvPr id="1248" name="Object 224" hidden="1">
              <a:extLst>
                <a:ext uri="{63B3BB69-23CF-44E3-9099-C40C66FF867C}">
                  <a14:compatExt spid="_x0000_s12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88</xdr:col>
          <xdr:colOff>257175</xdr:colOff>
          <xdr:row>239</xdr:row>
          <xdr:rowOff>85725</xdr:rowOff>
        </xdr:from>
        <xdr:to>
          <xdr:col>88</xdr:col>
          <xdr:colOff>676275</xdr:colOff>
          <xdr:row>241</xdr:row>
          <xdr:rowOff>0</xdr:rowOff>
        </xdr:to>
        <xdr:sp macro="" textlink="">
          <xdr:nvSpPr>
            <xdr:cNvPr id="1249" name="Object 225" hidden="1">
              <a:extLst>
                <a:ext uri="{63B3BB69-23CF-44E3-9099-C40C66FF867C}">
                  <a14:compatExt spid="_x0000_s12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</xdr:col>
          <xdr:colOff>314325</xdr:colOff>
          <xdr:row>239</xdr:row>
          <xdr:rowOff>85725</xdr:rowOff>
        </xdr:from>
        <xdr:to>
          <xdr:col>89</xdr:col>
          <xdr:colOff>714375</xdr:colOff>
          <xdr:row>241</xdr:row>
          <xdr:rowOff>0</xdr:rowOff>
        </xdr:to>
        <xdr:sp macro="" textlink="">
          <xdr:nvSpPr>
            <xdr:cNvPr id="1250" name="Object 226" hidden="1">
              <a:extLst>
                <a:ext uri="{63B3BB69-23CF-44E3-9099-C40C66FF867C}">
                  <a14:compatExt spid="_x0000_s1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88</xdr:col>
          <xdr:colOff>295275</xdr:colOff>
          <xdr:row>239</xdr:row>
          <xdr:rowOff>104775</xdr:rowOff>
        </xdr:from>
        <xdr:to>
          <xdr:col>88</xdr:col>
          <xdr:colOff>714375</xdr:colOff>
          <xdr:row>241</xdr:row>
          <xdr:rowOff>0</xdr:rowOff>
        </xdr:to>
        <xdr:sp macro="" textlink="">
          <xdr:nvSpPr>
            <xdr:cNvPr id="1251" name="Object 227" hidden="1">
              <a:extLst>
                <a:ext uri="{63B3BB69-23CF-44E3-9099-C40C66FF867C}">
                  <a14:compatExt spid="_x0000_s12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</xdr:col>
          <xdr:colOff>304800</xdr:colOff>
          <xdr:row>239</xdr:row>
          <xdr:rowOff>85725</xdr:rowOff>
        </xdr:from>
        <xdr:to>
          <xdr:col>89</xdr:col>
          <xdr:colOff>714375</xdr:colOff>
          <xdr:row>241</xdr:row>
          <xdr:rowOff>0</xdr:rowOff>
        </xdr:to>
        <xdr:sp macro="" textlink="">
          <xdr:nvSpPr>
            <xdr:cNvPr id="1252" name="Object 228" hidden="1">
              <a:extLst>
                <a:ext uri="{63B3BB69-23CF-44E3-9099-C40C66FF867C}">
                  <a14:compatExt spid="_x0000_s12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257175</xdr:colOff>
          <xdr:row>250</xdr:row>
          <xdr:rowOff>85725</xdr:rowOff>
        </xdr:from>
        <xdr:to>
          <xdr:col>42</xdr:col>
          <xdr:colOff>676275</xdr:colOff>
          <xdr:row>251</xdr:row>
          <xdr:rowOff>161925</xdr:rowOff>
        </xdr:to>
        <xdr:sp macro="" textlink="">
          <xdr:nvSpPr>
            <xdr:cNvPr id="1253" name="Object 229" hidden="1">
              <a:extLst>
                <a:ext uri="{63B3BB69-23CF-44E3-9099-C40C66FF867C}">
                  <a14:compatExt spid="_x0000_s12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314325</xdr:colOff>
          <xdr:row>250</xdr:row>
          <xdr:rowOff>85725</xdr:rowOff>
        </xdr:from>
        <xdr:to>
          <xdr:col>43</xdr:col>
          <xdr:colOff>733425</xdr:colOff>
          <xdr:row>251</xdr:row>
          <xdr:rowOff>161925</xdr:rowOff>
        </xdr:to>
        <xdr:sp macro="" textlink="">
          <xdr:nvSpPr>
            <xdr:cNvPr id="1254" name="Object 230" hidden="1">
              <a:extLst>
                <a:ext uri="{63B3BB69-23CF-44E3-9099-C40C66FF867C}">
                  <a14:compatExt spid="_x0000_s1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295275</xdr:colOff>
          <xdr:row>250</xdr:row>
          <xdr:rowOff>104775</xdr:rowOff>
        </xdr:from>
        <xdr:to>
          <xdr:col>42</xdr:col>
          <xdr:colOff>733425</xdr:colOff>
          <xdr:row>252</xdr:row>
          <xdr:rowOff>0</xdr:rowOff>
        </xdr:to>
        <xdr:sp macro="" textlink="">
          <xdr:nvSpPr>
            <xdr:cNvPr id="1255" name="Object 231" hidden="1">
              <a:extLst>
                <a:ext uri="{63B3BB69-23CF-44E3-9099-C40C66FF867C}">
                  <a14:compatExt spid="_x0000_s12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304800</xdr:colOff>
          <xdr:row>250</xdr:row>
          <xdr:rowOff>85725</xdr:rowOff>
        </xdr:from>
        <xdr:to>
          <xdr:col>43</xdr:col>
          <xdr:colOff>733425</xdr:colOff>
          <xdr:row>251</xdr:row>
          <xdr:rowOff>161925</xdr:rowOff>
        </xdr:to>
        <xdr:sp macro="" textlink="">
          <xdr:nvSpPr>
            <xdr:cNvPr id="1256" name="Object 232" hidden="1">
              <a:extLst>
                <a:ext uri="{63B3BB69-23CF-44E3-9099-C40C66FF867C}">
                  <a14:compatExt spid="_x0000_s12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257175</xdr:colOff>
          <xdr:row>250</xdr:row>
          <xdr:rowOff>85725</xdr:rowOff>
        </xdr:from>
        <xdr:to>
          <xdr:col>44</xdr:col>
          <xdr:colOff>676275</xdr:colOff>
          <xdr:row>251</xdr:row>
          <xdr:rowOff>161925</xdr:rowOff>
        </xdr:to>
        <xdr:sp macro="" textlink="">
          <xdr:nvSpPr>
            <xdr:cNvPr id="1257" name="Object 233" hidden="1">
              <a:extLst>
                <a:ext uri="{63B3BB69-23CF-44E3-9099-C40C66FF867C}">
                  <a14:compatExt spid="_x0000_s12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314325</xdr:colOff>
          <xdr:row>250</xdr:row>
          <xdr:rowOff>85725</xdr:rowOff>
        </xdr:from>
        <xdr:to>
          <xdr:col>45</xdr:col>
          <xdr:colOff>733425</xdr:colOff>
          <xdr:row>251</xdr:row>
          <xdr:rowOff>161925</xdr:rowOff>
        </xdr:to>
        <xdr:sp macro="" textlink="">
          <xdr:nvSpPr>
            <xdr:cNvPr id="1258" name="Object 234" hidden="1">
              <a:extLst>
                <a:ext uri="{63B3BB69-23CF-44E3-9099-C40C66FF867C}">
                  <a14:compatExt spid="_x0000_s1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295275</xdr:colOff>
          <xdr:row>250</xdr:row>
          <xdr:rowOff>104775</xdr:rowOff>
        </xdr:from>
        <xdr:to>
          <xdr:col>44</xdr:col>
          <xdr:colOff>733425</xdr:colOff>
          <xdr:row>252</xdr:row>
          <xdr:rowOff>0</xdr:rowOff>
        </xdr:to>
        <xdr:sp macro="" textlink="">
          <xdr:nvSpPr>
            <xdr:cNvPr id="1259" name="Object 235" hidden="1">
              <a:extLst>
                <a:ext uri="{63B3BB69-23CF-44E3-9099-C40C66FF867C}">
                  <a14:compatExt spid="_x0000_s12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304800</xdr:colOff>
          <xdr:row>250</xdr:row>
          <xdr:rowOff>85725</xdr:rowOff>
        </xdr:from>
        <xdr:to>
          <xdr:col>45</xdr:col>
          <xdr:colOff>733425</xdr:colOff>
          <xdr:row>251</xdr:row>
          <xdr:rowOff>161925</xdr:rowOff>
        </xdr:to>
        <xdr:sp macro="" textlink="">
          <xdr:nvSpPr>
            <xdr:cNvPr id="1260" name="Object 236" hidden="1">
              <a:extLst>
                <a:ext uri="{63B3BB69-23CF-44E3-9099-C40C66FF867C}">
                  <a14:compatExt spid="_x0000_s12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257175</xdr:colOff>
          <xdr:row>250</xdr:row>
          <xdr:rowOff>85725</xdr:rowOff>
        </xdr:from>
        <xdr:to>
          <xdr:col>46</xdr:col>
          <xdr:colOff>676275</xdr:colOff>
          <xdr:row>251</xdr:row>
          <xdr:rowOff>161925</xdr:rowOff>
        </xdr:to>
        <xdr:sp macro="" textlink="">
          <xdr:nvSpPr>
            <xdr:cNvPr id="1261" name="Object 237" hidden="1">
              <a:extLst>
                <a:ext uri="{63B3BB69-23CF-44E3-9099-C40C66FF867C}">
                  <a14:compatExt spid="_x0000_s12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314325</xdr:colOff>
          <xdr:row>250</xdr:row>
          <xdr:rowOff>85725</xdr:rowOff>
        </xdr:from>
        <xdr:to>
          <xdr:col>47</xdr:col>
          <xdr:colOff>733425</xdr:colOff>
          <xdr:row>251</xdr:row>
          <xdr:rowOff>161925</xdr:rowOff>
        </xdr:to>
        <xdr:sp macro="" textlink="">
          <xdr:nvSpPr>
            <xdr:cNvPr id="1262" name="Object 238" hidden="1">
              <a:extLst>
                <a:ext uri="{63B3BB69-23CF-44E3-9099-C40C66FF867C}">
                  <a14:compatExt spid="_x0000_s1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295275</xdr:colOff>
          <xdr:row>250</xdr:row>
          <xdr:rowOff>104775</xdr:rowOff>
        </xdr:from>
        <xdr:to>
          <xdr:col>46</xdr:col>
          <xdr:colOff>733425</xdr:colOff>
          <xdr:row>252</xdr:row>
          <xdr:rowOff>0</xdr:rowOff>
        </xdr:to>
        <xdr:sp macro="" textlink="">
          <xdr:nvSpPr>
            <xdr:cNvPr id="1263" name="Object 239" hidden="1">
              <a:extLst>
                <a:ext uri="{63B3BB69-23CF-44E3-9099-C40C66FF867C}">
                  <a14:compatExt spid="_x0000_s12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304800</xdr:colOff>
          <xdr:row>250</xdr:row>
          <xdr:rowOff>85725</xdr:rowOff>
        </xdr:from>
        <xdr:to>
          <xdr:col>47</xdr:col>
          <xdr:colOff>733425</xdr:colOff>
          <xdr:row>251</xdr:row>
          <xdr:rowOff>161925</xdr:rowOff>
        </xdr:to>
        <xdr:sp macro="" textlink="">
          <xdr:nvSpPr>
            <xdr:cNvPr id="1264" name="Object 240" hidden="1">
              <a:extLst>
                <a:ext uri="{63B3BB69-23CF-44E3-9099-C40C66FF867C}">
                  <a14:compatExt spid="_x0000_s12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257175</xdr:colOff>
          <xdr:row>250</xdr:row>
          <xdr:rowOff>85725</xdr:rowOff>
        </xdr:from>
        <xdr:to>
          <xdr:col>48</xdr:col>
          <xdr:colOff>676275</xdr:colOff>
          <xdr:row>251</xdr:row>
          <xdr:rowOff>161925</xdr:rowOff>
        </xdr:to>
        <xdr:sp macro="" textlink="">
          <xdr:nvSpPr>
            <xdr:cNvPr id="1265" name="Object 241" hidden="1">
              <a:extLst>
                <a:ext uri="{63B3BB69-23CF-44E3-9099-C40C66FF867C}">
                  <a14:compatExt spid="_x0000_s1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314325</xdr:colOff>
          <xdr:row>250</xdr:row>
          <xdr:rowOff>85725</xdr:rowOff>
        </xdr:from>
        <xdr:to>
          <xdr:col>49</xdr:col>
          <xdr:colOff>733425</xdr:colOff>
          <xdr:row>251</xdr:row>
          <xdr:rowOff>161925</xdr:rowOff>
        </xdr:to>
        <xdr:sp macro="" textlink="">
          <xdr:nvSpPr>
            <xdr:cNvPr id="1266" name="Object 242" hidden="1">
              <a:extLst>
                <a:ext uri="{63B3BB69-23CF-44E3-9099-C40C66FF867C}">
                  <a14:compatExt spid="_x0000_s1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295275</xdr:colOff>
          <xdr:row>250</xdr:row>
          <xdr:rowOff>104775</xdr:rowOff>
        </xdr:from>
        <xdr:to>
          <xdr:col>48</xdr:col>
          <xdr:colOff>733425</xdr:colOff>
          <xdr:row>252</xdr:row>
          <xdr:rowOff>0</xdr:rowOff>
        </xdr:to>
        <xdr:sp macro="" textlink="">
          <xdr:nvSpPr>
            <xdr:cNvPr id="1267" name="Object 243" hidden="1">
              <a:extLst>
                <a:ext uri="{63B3BB69-23CF-44E3-9099-C40C66FF867C}">
                  <a14:compatExt spid="_x0000_s12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304800</xdr:colOff>
          <xdr:row>250</xdr:row>
          <xdr:rowOff>85725</xdr:rowOff>
        </xdr:from>
        <xdr:to>
          <xdr:col>49</xdr:col>
          <xdr:colOff>733425</xdr:colOff>
          <xdr:row>251</xdr:row>
          <xdr:rowOff>161925</xdr:rowOff>
        </xdr:to>
        <xdr:sp macro="" textlink="">
          <xdr:nvSpPr>
            <xdr:cNvPr id="1268" name="Object 244" hidden="1">
              <a:extLst>
                <a:ext uri="{63B3BB69-23CF-44E3-9099-C40C66FF867C}">
                  <a14:compatExt spid="_x0000_s12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257175</xdr:colOff>
          <xdr:row>250</xdr:row>
          <xdr:rowOff>85725</xdr:rowOff>
        </xdr:from>
        <xdr:to>
          <xdr:col>50</xdr:col>
          <xdr:colOff>676275</xdr:colOff>
          <xdr:row>251</xdr:row>
          <xdr:rowOff>161925</xdr:rowOff>
        </xdr:to>
        <xdr:sp macro="" textlink="">
          <xdr:nvSpPr>
            <xdr:cNvPr id="1269" name="Object 245" hidden="1">
              <a:extLst>
                <a:ext uri="{63B3BB69-23CF-44E3-9099-C40C66FF867C}">
                  <a14:compatExt spid="_x0000_s12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314325</xdr:colOff>
          <xdr:row>250</xdr:row>
          <xdr:rowOff>85725</xdr:rowOff>
        </xdr:from>
        <xdr:to>
          <xdr:col>51</xdr:col>
          <xdr:colOff>733425</xdr:colOff>
          <xdr:row>251</xdr:row>
          <xdr:rowOff>161925</xdr:rowOff>
        </xdr:to>
        <xdr:sp macro="" textlink="">
          <xdr:nvSpPr>
            <xdr:cNvPr id="1270" name="Object 246" hidden="1">
              <a:extLst>
                <a:ext uri="{63B3BB69-23CF-44E3-9099-C40C66FF867C}">
                  <a14:compatExt spid="_x0000_s1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295275</xdr:colOff>
          <xdr:row>250</xdr:row>
          <xdr:rowOff>104775</xdr:rowOff>
        </xdr:from>
        <xdr:to>
          <xdr:col>50</xdr:col>
          <xdr:colOff>733425</xdr:colOff>
          <xdr:row>252</xdr:row>
          <xdr:rowOff>0</xdr:rowOff>
        </xdr:to>
        <xdr:sp macro="" textlink="">
          <xdr:nvSpPr>
            <xdr:cNvPr id="1271" name="Object 247" hidden="1">
              <a:extLst>
                <a:ext uri="{63B3BB69-23CF-44E3-9099-C40C66FF867C}">
                  <a14:compatExt spid="_x0000_s12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304800</xdr:colOff>
          <xdr:row>250</xdr:row>
          <xdr:rowOff>85725</xdr:rowOff>
        </xdr:from>
        <xdr:to>
          <xdr:col>51</xdr:col>
          <xdr:colOff>733425</xdr:colOff>
          <xdr:row>251</xdr:row>
          <xdr:rowOff>161925</xdr:rowOff>
        </xdr:to>
        <xdr:sp macro="" textlink="">
          <xdr:nvSpPr>
            <xdr:cNvPr id="1272" name="Object 248" hidden="1">
              <a:extLst>
                <a:ext uri="{63B3BB69-23CF-44E3-9099-C40C66FF867C}">
                  <a14:compatExt spid="_x0000_s12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257175</xdr:colOff>
          <xdr:row>250</xdr:row>
          <xdr:rowOff>85725</xdr:rowOff>
        </xdr:from>
        <xdr:to>
          <xdr:col>52</xdr:col>
          <xdr:colOff>676275</xdr:colOff>
          <xdr:row>251</xdr:row>
          <xdr:rowOff>161925</xdr:rowOff>
        </xdr:to>
        <xdr:sp macro="" textlink="">
          <xdr:nvSpPr>
            <xdr:cNvPr id="1273" name="Object 249" hidden="1">
              <a:extLst>
                <a:ext uri="{63B3BB69-23CF-44E3-9099-C40C66FF867C}">
                  <a14:compatExt spid="_x0000_s12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314325</xdr:colOff>
          <xdr:row>250</xdr:row>
          <xdr:rowOff>85725</xdr:rowOff>
        </xdr:from>
        <xdr:to>
          <xdr:col>53</xdr:col>
          <xdr:colOff>733425</xdr:colOff>
          <xdr:row>251</xdr:row>
          <xdr:rowOff>161925</xdr:rowOff>
        </xdr:to>
        <xdr:sp macro="" textlink="">
          <xdr:nvSpPr>
            <xdr:cNvPr id="1274" name="Object 250" hidden="1">
              <a:extLst>
                <a:ext uri="{63B3BB69-23CF-44E3-9099-C40C66FF867C}">
                  <a14:compatExt spid="_x0000_s1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295275</xdr:colOff>
          <xdr:row>250</xdr:row>
          <xdr:rowOff>104775</xdr:rowOff>
        </xdr:from>
        <xdr:to>
          <xdr:col>52</xdr:col>
          <xdr:colOff>733425</xdr:colOff>
          <xdr:row>252</xdr:row>
          <xdr:rowOff>0</xdr:rowOff>
        </xdr:to>
        <xdr:sp macro="" textlink="">
          <xdr:nvSpPr>
            <xdr:cNvPr id="1275" name="Object 251" hidden="1">
              <a:extLst>
                <a:ext uri="{63B3BB69-23CF-44E3-9099-C40C66FF867C}">
                  <a14:compatExt spid="_x0000_s12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304800</xdr:colOff>
          <xdr:row>250</xdr:row>
          <xdr:rowOff>85725</xdr:rowOff>
        </xdr:from>
        <xdr:to>
          <xdr:col>53</xdr:col>
          <xdr:colOff>733425</xdr:colOff>
          <xdr:row>251</xdr:row>
          <xdr:rowOff>161925</xdr:rowOff>
        </xdr:to>
        <xdr:sp macro="" textlink="">
          <xdr:nvSpPr>
            <xdr:cNvPr id="1276" name="Object 252" hidden="1">
              <a:extLst>
                <a:ext uri="{63B3BB69-23CF-44E3-9099-C40C66FF867C}">
                  <a14:compatExt spid="_x0000_s12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257175</xdr:colOff>
          <xdr:row>250</xdr:row>
          <xdr:rowOff>85725</xdr:rowOff>
        </xdr:from>
        <xdr:to>
          <xdr:col>54</xdr:col>
          <xdr:colOff>676275</xdr:colOff>
          <xdr:row>251</xdr:row>
          <xdr:rowOff>161925</xdr:rowOff>
        </xdr:to>
        <xdr:sp macro="" textlink="">
          <xdr:nvSpPr>
            <xdr:cNvPr id="1277" name="Object 253" hidden="1">
              <a:extLst>
                <a:ext uri="{63B3BB69-23CF-44E3-9099-C40C66FF867C}">
                  <a14:compatExt spid="_x0000_s12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55</xdr:col>
          <xdr:colOff>314325</xdr:colOff>
          <xdr:row>250</xdr:row>
          <xdr:rowOff>85725</xdr:rowOff>
        </xdr:from>
        <xdr:to>
          <xdr:col>55</xdr:col>
          <xdr:colOff>733425</xdr:colOff>
          <xdr:row>251</xdr:row>
          <xdr:rowOff>161925</xdr:rowOff>
        </xdr:to>
        <xdr:sp macro="" textlink="">
          <xdr:nvSpPr>
            <xdr:cNvPr id="1278" name="Object 254" hidden="1">
              <a:extLst>
                <a:ext uri="{63B3BB69-23CF-44E3-9099-C40C66FF867C}">
                  <a14:compatExt spid="_x0000_s1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295275</xdr:colOff>
          <xdr:row>250</xdr:row>
          <xdr:rowOff>104775</xdr:rowOff>
        </xdr:from>
        <xdr:to>
          <xdr:col>54</xdr:col>
          <xdr:colOff>733425</xdr:colOff>
          <xdr:row>252</xdr:row>
          <xdr:rowOff>0</xdr:rowOff>
        </xdr:to>
        <xdr:sp macro="" textlink="">
          <xdr:nvSpPr>
            <xdr:cNvPr id="1279" name="Object 255" hidden="1">
              <a:extLst>
                <a:ext uri="{63B3BB69-23CF-44E3-9099-C40C66FF867C}">
                  <a14:compatExt spid="_x0000_s12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55</xdr:col>
          <xdr:colOff>304800</xdr:colOff>
          <xdr:row>250</xdr:row>
          <xdr:rowOff>85725</xdr:rowOff>
        </xdr:from>
        <xdr:to>
          <xdr:col>55</xdr:col>
          <xdr:colOff>733425</xdr:colOff>
          <xdr:row>251</xdr:row>
          <xdr:rowOff>161925</xdr:rowOff>
        </xdr:to>
        <xdr:sp macro="" textlink="">
          <xdr:nvSpPr>
            <xdr:cNvPr id="1280" name="Object 256" hidden="1">
              <a:extLst>
                <a:ext uri="{63B3BB69-23CF-44E3-9099-C40C66FF867C}">
                  <a14:compatExt spid="_x0000_s12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56</xdr:col>
          <xdr:colOff>257175</xdr:colOff>
          <xdr:row>250</xdr:row>
          <xdr:rowOff>85725</xdr:rowOff>
        </xdr:from>
        <xdr:to>
          <xdr:col>56</xdr:col>
          <xdr:colOff>676275</xdr:colOff>
          <xdr:row>251</xdr:row>
          <xdr:rowOff>161925</xdr:rowOff>
        </xdr:to>
        <xdr:sp macro="" textlink="">
          <xdr:nvSpPr>
            <xdr:cNvPr id="1281" name="Object 257" hidden="1">
              <a:extLst>
                <a:ext uri="{63B3BB69-23CF-44E3-9099-C40C66FF867C}">
                  <a14:compatExt spid="_x0000_s12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314325</xdr:colOff>
          <xdr:row>250</xdr:row>
          <xdr:rowOff>85725</xdr:rowOff>
        </xdr:from>
        <xdr:to>
          <xdr:col>57</xdr:col>
          <xdr:colOff>733425</xdr:colOff>
          <xdr:row>251</xdr:row>
          <xdr:rowOff>161925</xdr:rowOff>
        </xdr:to>
        <xdr:sp macro="" textlink="">
          <xdr:nvSpPr>
            <xdr:cNvPr id="1282" name="Object 258" hidden="1">
              <a:extLst>
                <a:ext uri="{63B3BB69-23CF-44E3-9099-C40C66FF867C}">
                  <a14:compatExt spid="_x0000_s1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56</xdr:col>
          <xdr:colOff>295275</xdr:colOff>
          <xdr:row>250</xdr:row>
          <xdr:rowOff>104775</xdr:rowOff>
        </xdr:from>
        <xdr:to>
          <xdr:col>56</xdr:col>
          <xdr:colOff>733425</xdr:colOff>
          <xdr:row>252</xdr:row>
          <xdr:rowOff>0</xdr:rowOff>
        </xdr:to>
        <xdr:sp macro="" textlink="">
          <xdr:nvSpPr>
            <xdr:cNvPr id="1283" name="Object 259" hidden="1">
              <a:extLst>
                <a:ext uri="{63B3BB69-23CF-44E3-9099-C40C66FF867C}">
                  <a14:compatExt spid="_x0000_s12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304800</xdr:colOff>
          <xdr:row>250</xdr:row>
          <xdr:rowOff>85725</xdr:rowOff>
        </xdr:from>
        <xdr:to>
          <xdr:col>57</xdr:col>
          <xdr:colOff>733425</xdr:colOff>
          <xdr:row>251</xdr:row>
          <xdr:rowOff>161925</xdr:rowOff>
        </xdr:to>
        <xdr:sp macro="" textlink="">
          <xdr:nvSpPr>
            <xdr:cNvPr id="1284" name="Object 260" hidden="1">
              <a:extLst>
                <a:ext uri="{63B3BB69-23CF-44E3-9099-C40C66FF867C}">
                  <a14:compatExt spid="_x0000_s12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58</xdr:col>
          <xdr:colOff>257175</xdr:colOff>
          <xdr:row>250</xdr:row>
          <xdr:rowOff>85725</xdr:rowOff>
        </xdr:from>
        <xdr:to>
          <xdr:col>58</xdr:col>
          <xdr:colOff>676275</xdr:colOff>
          <xdr:row>251</xdr:row>
          <xdr:rowOff>161925</xdr:rowOff>
        </xdr:to>
        <xdr:sp macro="" textlink="">
          <xdr:nvSpPr>
            <xdr:cNvPr id="1285" name="Object 261" hidden="1">
              <a:extLst>
                <a:ext uri="{63B3BB69-23CF-44E3-9099-C40C66FF867C}">
                  <a14:compatExt spid="_x0000_s12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59</xdr:col>
          <xdr:colOff>314325</xdr:colOff>
          <xdr:row>250</xdr:row>
          <xdr:rowOff>85725</xdr:rowOff>
        </xdr:from>
        <xdr:to>
          <xdr:col>59</xdr:col>
          <xdr:colOff>733425</xdr:colOff>
          <xdr:row>251</xdr:row>
          <xdr:rowOff>161925</xdr:rowOff>
        </xdr:to>
        <xdr:sp macro="" textlink="">
          <xdr:nvSpPr>
            <xdr:cNvPr id="1286" name="Object 262" hidden="1">
              <a:extLst>
                <a:ext uri="{63B3BB69-23CF-44E3-9099-C40C66FF867C}">
                  <a14:compatExt spid="_x0000_s1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58</xdr:col>
          <xdr:colOff>295275</xdr:colOff>
          <xdr:row>250</xdr:row>
          <xdr:rowOff>104775</xdr:rowOff>
        </xdr:from>
        <xdr:to>
          <xdr:col>58</xdr:col>
          <xdr:colOff>733425</xdr:colOff>
          <xdr:row>252</xdr:row>
          <xdr:rowOff>0</xdr:rowOff>
        </xdr:to>
        <xdr:sp macro="" textlink="">
          <xdr:nvSpPr>
            <xdr:cNvPr id="1287" name="Object 263" hidden="1">
              <a:extLst>
                <a:ext uri="{63B3BB69-23CF-44E3-9099-C40C66FF867C}">
                  <a14:compatExt spid="_x0000_s12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59</xdr:col>
          <xdr:colOff>304800</xdr:colOff>
          <xdr:row>250</xdr:row>
          <xdr:rowOff>85725</xdr:rowOff>
        </xdr:from>
        <xdr:to>
          <xdr:col>59</xdr:col>
          <xdr:colOff>733425</xdr:colOff>
          <xdr:row>251</xdr:row>
          <xdr:rowOff>161925</xdr:rowOff>
        </xdr:to>
        <xdr:sp macro="" textlink="">
          <xdr:nvSpPr>
            <xdr:cNvPr id="1288" name="Object 264" hidden="1">
              <a:extLst>
                <a:ext uri="{63B3BB69-23CF-44E3-9099-C40C66FF867C}">
                  <a14:compatExt spid="_x0000_s12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60</xdr:col>
          <xdr:colOff>257175</xdr:colOff>
          <xdr:row>250</xdr:row>
          <xdr:rowOff>85725</xdr:rowOff>
        </xdr:from>
        <xdr:to>
          <xdr:col>60</xdr:col>
          <xdr:colOff>676275</xdr:colOff>
          <xdr:row>251</xdr:row>
          <xdr:rowOff>161925</xdr:rowOff>
        </xdr:to>
        <xdr:sp macro="" textlink="">
          <xdr:nvSpPr>
            <xdr:cNvPr id="1289" name="Object 265" hidden="1">
              <a:extLst>
                <a:ext uri="{63B3BB69-23CF-44E3-9099-C40C66FF867C}">
                  <a14:compatExt spid="_x0000_s1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314325</xdr:colOff>
          <xdr:row>250</xdr:row>
          <xdr:rowOff>85725</xdr:rowOff>
        </xdr:from>
        <xdr:to>
          <xdr:col>61</xdr:col>
          <xdr:colOff>733425</xdr:colOff>
          <xdr:row>251</xdr:row>
          <xdr:rowOff>161925</xdr:rowOff>
        </xdr:to>
        <xdr:sp macro="" textlink="">
          <xdr:nvSpPr>
            <xdr:cNvPr id="1290" name="Object 266" hidden="1">
              <a:extLst>
                <a:ext uri="{63B3BB69-23CF-44E3-9099-C40C66FF867C}">
                  <a14:compatExt spid="_x0000_s1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60</xdr:col>
          <xdr:colOff>295275</xdr:colOff>
          <xdr:row>250</xdr:row>
          <xdr:rowOff>104775</xdr:rowOff>
        </xdr:from>
        <xdr:to>
          <xdr:col>60</xdr:col>
          <xdr:colOff>733425</xdr:colOff>
          <xdr:row>252</xdr:row>
          <xdr:rowOff>0</xdr:rowOff>
        </xdr:to>
        <xdr:sp macro="" textlink="">
          <xdr:nvSpPr>
            <xdr:cNvPr id="1291" name="Object 267" hidden="1">
              <a:extLst>
                <a:ext uri="{63B3BB69-23CF-44E3-9099-C40C66FF867C}">
                  <a14:compatExt spid="_x0000_s12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304800</xdr:colOff>
          <xdr:row>250</xdr:row>
          <xdr:rowOff>85725</xdr:rowOff>
        </xdr:from>
        <xdr:to>
          <xdr:col>61</xdr:col>
          <xdr:colOff>733425</xdr:colOff>
          <xdr:row>251</xdr:row>
          <xdr:rowOff>161925</xdr:rowOff>
        </xdr:to>
        <xdr:sp macro="" textlink="">
          <xdr:nvSpPr>
            <xdr:cNvPr id="1292" name="Object 268" hidden="1">
              <a:extLst>
                <a:ext uri="{63B3BB69-23CF-44E3-9099-C40C66FF867C}">
                  <a14:compatExt spid="_x0000_s12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62</xdr:col>
          <xdr:colOff>257175</xdr:colOff>
          <xdr:row>250</xdr:row>
          <xdr:rowOff>85725</xdr:rowOff>
        </xdr:from>
        <xdr:to>
          <xdr:col>62</xdr:col>
          <xdr:colOff>676275</xdr:colOff>
          <xdr:row>251</xdr:row>
          <xdr:rowOff>161925</xdr:rowOff>
        </xdr:to>
        <xdr:sp macro="" textlink="">
          <xdr:nvSpPr>
            <xdr:cNvPr id="1293" name="Object 269" hidden="1">
              <a:extLst>
                <a:ext uri="{63B3BB69-23CF-44E3-9099-C40C66FF867C}">
                  <a14:compatExt spid="_x0000_s1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63</xdr:col>
          <xdr:colOff>314325</xdr:colOff>
          <xdr:row>250</xdr:row>
          <xdr:rowOff>85725</xdr:rowOff>
        </xdr:from>
        <xdr:to>
          <xdr:col>63</xdr:col>
          <xdr:colOff>733425</xdr:colOff>
          <xdr:row>251</xdr:row>
          <xdr:rowOff>161925</xdr:rowOff>
        </xdr:to>
        <xdr:sp macro="" textlink="">
          <xdr:nvSpPr>
            <xdr:cNvPr id="1294" name="Object 270" hidden="1">
              <a:extLst>
                <a:ext uri="{63B3BB69-23CF-44E3-9099-C40C66FF867C}">
                  <a14:compatExt spid="_x0000_s1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62</xdr:col>
          <xdr:colOff>295275</xdr:colOff>
          <xdr:row>250</xdr:row>
          <xdr:rowOff>104775</xdr:rowOff>
        </xdr:from>
        <xdr:to>
          <xdr:col>62</xdr:col>
          <xdr:colOff>733425</xdr:colOff>
          <xdr:row>252</xdr:row>
          <xdr:rowOff>0</xdr:rowOff>
        </xdr:to>
        <xdr:sp macro="" textlink="">
          <xdr:nvSpPr>
            <xdr:cNvPr id="1295" name="Object 271" hidden="1">
              <a:extLst>
                <a:ext uri="{63B3BB69-23CF-44E3-9099-C40C66FF867C}">
                  <a14:compatExt spid="_x0000_s12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63</xdr:col>
          <xdr:colOff>304800</xdr:colOff>
          <xdr:row>250</xdr:row>
          <xdr:rowOff>85725</xdr:rowOff>
        </xdr:from>
        <xdr:to>
          <xdr:col>63</xdr:col>
          <xdr:colOff>733425</xdr:colOff>
          <xdr:row>251</xdr:row>
          <xdr:rowOff>161925</xdr:rowOff>
        </xdr:to>
        <xdr:sp macro="" textlink="">
          <xdr:nvSpPr>
            <xdr:cNvPr id="1296" name="Object 272" hidden="1">
              <a:extLst>
                <a:ext uri="{63B3BB69-23CF-44E3-9099-C40C66FF867C}">
                  <a14:compatExt spid="_x0000_s12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64</xdr:col>
          <xdr:colOff>257175</xdr:colOff>
          <xdr:row>250</xdr:row>
          <xdr:rowOff>85725</xdr:rowOff>
        </xdr:from>
        <xdr:to>
          <xdr:col>64</xdr:col>
          <xdr:colOff>676275</xdr:colOff>
          <xdr:row>251</xdr:row>
          <xdr:rowOff>161925</xdr:rowOff>
        </xdr:to>
        <xdr:sp macro="" textlink="">
          <xdr:nvSpPr>
            <xdr:cNvPr id="1297" name="Object 273" hidden="1">
              <a:extLst>
                <a:ext uri="{63B3BB69-23CF-44E3-9099-C40C66FF867C}">
                  <a14:compatExt spid="_x0000_s12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314325</xdr:colOff>
          <xdr:row>250</xdr:row>
          <xdr:rowOff>85725</xdr:rowOff>
        </xdr:from>
        <xdr:to>
          <xdr:col>65</xdr:col>
          <xdr:colOff>733425</xdr:colOff>
          <xdr:row>251</xdr:row>
          <xdr:rowOff>161925</xdr:rowOff>
        </xdr:to>
        <xdr:sp macro="" textlink="">
          <xdr:nvSpPr>
            <xdr:cNvPr id="1298" name="Object 274" hidden="1">
              <a:extLst>
                <a:ext uri="{63B3BB69-23CF-44E3-9099-C40C66FF867C}">
                  <a14:compatExt spid="_x0000_s1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64</xdr:col>
          <xdr:colOff>295275</xdr:colOff>
          <xdr:row>250</xdr:row>
          <xdr:rowOff>104775</xdr:rowOff>
        </xdr:from>
        <xdr:to>
          <xdr:col>64</xdr:col>
          <xdr:colOff>733425</xdr:colOff>
          <xdr:row>252</xdr:row>
          <xdr:rowOff>0</xdr:rowOff>
        </xdr:to>
        <xdr:sp macro="" textlink="">
          <xdr:nvSpPr>
            <xdr:cNvPr id="1299" name="Object 275" hidden="1">
              <a:extLst>
                <a:ext uri="{63B3BB69-23CF-44E3-9099-C40C66FF867C}">
                  <a14:compatExt spid="_x0000_s12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304800</xdr:colOff>
          <xdr:row>250</xdr:row>
          <xdr:rowOff>85725</xdr:rowOff>
        </xdr:from>
        <xdr:to>
          <xdr:col>65</xdr:col>
          <xdr:colOff>733425</xdr:colOff>
          <xdr:row>251</xdr:row>
          <xdr:rowOff>161925</xdr:rowOff>
        </xdr:to>
        <xdr:sp macro="" textlink="">
          <xdr:nvSpPr>
            <xdr:cNvPr id="1300" name="Object 276" hidden="1">
              <a:extLst>
                <a:ext uri="{63B3BB69-23CF-44E3-9099-C40C66FF867C}">
                  <a14:compatExt spid="_x0000_s13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257175</xdr:colOff>
          <xdr:row>250</xdr:row>
          <xdr:rowOff>85725</xdr:rowOff>
        </xdr:from>
        <xdr:to>
          <xdr:col>66</xdr:col>
          <xdr:colOff>676275</xdr:colOff>
          <xdr:row>251</xdr:row>
          <xdr:rowOff>161925</xdr:rowOff>
        </xdr:to>
        <xdr:sp macro="" textlink="">
          <xdr:nvSpPr>
            <xdr:cNvPr id="1301" name="Object 277" hidden="1">
              <a:extLst>
                <a:ext uri="{63B3BB69-23CF-44E3-9099-C40C66FF867C}">
                  <a14:compatExt spid="_x0000_s13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67</xdr:col>
          <xdr:colOff>314325</xdr:colOff>
          <xdr:row>250</xdr:row>
          <xdr:rowOff>85725</xdr:rowOff>
        </xdr:from>
        <xdr:to>
          <xdr:col>67</xdr:col>
          <xdr:colOff>733425</xdr:colOff>
          <xdr:row>251</xdr:row>
          <xdr:rowOff>161925</xdr:rowOff>
        </xdr:to>
        <xdr:sp macro="" textlink="">
          <xdr:nvSpPr>
            <xdr:cNvPr id="1302" name="Object 278" hidden="1">
              <a:extLst>
                <a:ext uri="{63B3BB69-23CF-44E3-9099-C40C66FF867C}">
                  <a14:compatExt spid="_x0000_s1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295275</xdr:colOff>
          <xdr:row>250</xdr:row>
          <xdr:rowOff>104775</xdr:rowOff>
        </xdr:from>
        <xdr:to>
          <xdr:col>66</xdr:col>
          <xdr:colOff>733425</xdr:colOff>
          <xdr:row>252</xdr:row>
          <xdr:rowOff>0</xdr:rowOff>
        </xdr:to>
        <xdr:sp macro="" textlink="">
          <xdr:nvSpPr>
            <xdr:cNvPr id="1303" name="Object 279" hidden="1">
              <a:extLst>
                <a:ext uri="{63B3BB69-23CF-44E3-9099-C40C66FF867C}">
                  <a14:compatExt spid="_x0000_s13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67</xdr:col>
          <xdr:colOff>304800</xdr:colOff>
          <xdr:row>250</xdr:row>
          <xdr:rowOff>85725</xdr:rowOff>
        </xdr:from>
        <xdr:to>
          <xdr:col>67</xdr:col>
          <xdr:colOff>733425</xdr:colOff>
          <xdr:row>251</xdr:row>
          <xdr:rowOff>161925</xdr:rowOff>
        </xdr:to>
        <xdr:sp macro="" textlink="">
          <xdr:nvSpPr>
            <xdr:cNvPr id="1304" name="Object 280" hidden="1">
              <a:extLst>
                <a:ext uri="{63B3BB69-23CF-44E3-9099-C40C66FF867C}">
                  <a14:compatExt spid="_x0000_s13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257175</xdr:colOff>
          <xdr:row>250</xdr:row>
          <xdr:rowOff>85725</xdr:rowOff>
        </xdr:from>
        <xdr:to>
          <xdr:col>68</xdr:col>
          <xdr:colOff>676275</xdr:colOff>
          <xdr:row>251</xdr:row>
          <xdr:rowOff>161925</xdr:rowOff>
        </xdr:to>
        <xdr:sp macro="" textlink="">
          <xdr:nvSpPr>
            <xdr:cNvPr id="1305" name="Object 281" hidden="1">
              <a:extLst>
                <a:ext uri="{63B3BB69-23CF-44E3-9099-C40C66FF867C}">
                  <a14:compatExt spid="_x0000_s13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69</xdr:col>
          <xdr:colOff>314325</xdr:colOff>
          <xdr:row>250</xdr:row>
          <xdr:rowOff>85725</xdr:rowOff>
        </xdr:from>
        <xdr:to>
          <xdr:col>69</xdr:col>
          <xdr:colOff>733425</xdr:colOff>
          <xdr:row>251</xdr:row>
          <xdr:rowOff>161925</xdr:rowOff>
        </xdr:to>
        <xdr:sp macro="" textlink="">
          <xdr:nvSpPr>
            <xdr:cNvPr id="1306" name="Object 282" hidden="1">
              <a:extLst>
                <a:ext uri="{63B3BB69-23CF-44E3-9099-C40C66FF867C}">
                  <a14:compatExt spid="_x0000_s1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295275</xdr:colOff>
          <xdr:row>250</xdr:row>
          <xdr:rowOff>104775</xdr:rowOff>
        </xdr:from>
        <xdr:to>
          <xdr:col>68</xdr:col>
          <xdr:colOff>733425</xdr:colOff>
          <xdr:row>252</xdr:row>
          <xdr:rowOff>0</xdr:rowOff>
        </xdr:to>
        <xdr:sp macro="" textlink="">
          <xdr:nvSpPr>
            <xdr:cNvPr id="1307" name="Object 283" hidden="1">
              <a:extLst>
                <a:ext uri="{63B3BB69-23CF-44E3-9099-C40C66FF867C}">
                  <a14:compatExt spid="_x0000_s13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69</xdr:col>
          <xdr:colOff>304800</xdr:colOff>
          <xdr:row>250</xdr:row>
          <xdr:rowOff>85725</xdr:rowOff>
        </xdr:from>
        <xdr:to>
          <xdr:col>69</xdr:col>
          <xdr:colOff>733425</xdr:colOff>
          <xdr:row>251</xdr:row>
          <xdr:rowOff>161925</xdr:rowOff>
        </xdr:to>
        <xdr:sp macro="" textlink="">
          <xdr:nvSpPr>
            <xdr:cNvPr id="1308" name="Object 284" hidden="1">
              <a:extLst>
                <a:ext uri="{63B3BB69-23CF-44E3-9099-C40C66FF867C}">
                  <a14:compatExt spid="_x0000_s13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70</xdr:col>
          <xdr:colOff>257175</xdr:colOff>
          <xdr:row>250</xdr:row>
          <xdr:rowOff>85725</xdr:rowOff>
        </xdr:from>
        <xdr:to>
          <xdr:col>70</xdr:col>
          <xdr:colOff>676275</xdr:colOff>
          <xdr:row>251</xdr:row>
          <xdr:rowOff>161925</xdr:rowOff>
        </xdr:to>
        <xdr:sp macro="" textlink="">
          <xdr:nvSpPr>
            <xdr:cNvPr id="1309" name="Object 285" hidden="1">
              <a:extLst>
                <a:ext uri="{63B3BB69-23CF-44E3-9099-C40C66FF867C}">
                  <a14:compatExt spid="_x0000_s13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71</xdr:col>
          <xdr:colOff>314325</xdr:colOff>
          <xdr:row>250</xdr:row>
          <xdr:rowOff>85725</xdr:rowOff>
        </xdr:from>
        <xdr:to>
          <xdr:col>71</xdr:col>
          <xdr:colOff>733425</xdr:colOff>
          <xdr:row>251</xdr:row>
          <xdr:rowOff>161925</xdr:rowOff>
        </xdr:to>
        <xdr:sp macro="" textlink="">
          <xdr:nvSpPr>
            <xdr:cNvPr id="1310" name="Object 286" hidden="1">
              <a:extLst>
                <a:ext uri="{63B3BB69-23CF-44E3-9099-C40C66FF867C}">
                  <a14:compatExt spid="_x0000_s1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70</xdr:col>
          <xdr:colOff>295275</xdr:colOff>
          <xdr:row>250</xdr:row>
          <xdr:rowOff>104775</xdr:rowOff>
        </xdr:from>
        <xdr:to>
          <xdr:col>70</xdr:col>
          <xdr:colOff>733425</xdr:colOff>
          <xdr:row>252</xdr:row>
          <xdr:rowOff>0</xdr:rowOff>
        </xdr:to>
        <xdr:sp macro="" textlink="">
          <xdr:nvSpPr>
            <xdr:cNvPr id="1311" name="Object 287" hidden="1">
              <a:extLst>
                <a:ext uri="{63B3BB69-23CF-44E3-9099-C40C66FF867C}">
                  <a14:compatExt spid="_x0000_s13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71</xdr:col>
          <xdr:colOff>304800</xdr:colOff>
          <xdr:row>250</xdr:row>
          <xdr:rowOff>85725</xdr:rowOff>
        </xdr:from>
        <xdr:to>
          <xdr:col>71</xdr:col>
          <xdr:colOff>733425</xdr:colOff>
          <xdr:row>251</xdr:row>
          <xdr:rowOff>161925</xdr:rowOff>
        </xdr:to>
        <xdr:sp macro="" textlink="">
          <xdr:nvSpPr>
            <xdr:cNvPr id="1312" name="Object 288" hidden="1">
              <a:extLst>
                <a:ext uri="{63B3BB69-23CF-44E3-9099-C40C66FF867C}">
                  <a14:compatExt spid="_x0000_s13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</xdr:col>
          <xdr:colOff>257175</xdr:colOff>
          <xdr:row>250</xdr:row>
          <xdr:rowOff>85725</xdr:rowOff>
        </xdr:from>
        <xdr:to>
          <xdr:col>72</xdr:col>
          <xdr:colOff>676275</xdr:colOff>
          <xdr:row>251</xdr:row>
          <xdr:rowOff>161925</xdr:rowOff>
        </xdr:to>
        <xdr:sp macro="" textlink="">
          <xdr:nvSpPr>
            <xdr:cNvPr id="1313" name="Object 289" hidden="1">
              <a:extLst>
                <a:ext uri="{63B3BB69-23CF-44E3-9099-C40C66FF867C}">
                  <a14:compatExt spid="_x0000_s1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73</xdr:col>
          <xdr:colOff>314325</xdr:colOff>
          <xdr:row>250</xdr:row>
          <xdr:rowOff>85725</xdr:rowOff>
        </xdr:from>
        <xdr:to>
          <xdr:col>73</xdr:col>
          <xdr:colOff>733425</xdr:colOff>
          <xdr:row>251</xdr:row>
          <xdr:rowOff>161925</xdr:rowOff>
        </xdr:to>
        <xdr:sp macro="" textlink="">
          <xdr:nvSpPr>
            <xdr:cNvPr id="1314" name="Object 290" hidden="1">
              <a:extLst>
                <a:ext uri="{63B3BB69-23CF-44E3-9099-C40C66FF867C}">
                  <a14:compatExt spid="_x0000_s1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</xdr:col>
          <xdr:colOff>295275</xdr:colOff>
          <xdr:row>250</xdr:row>
          <xdr:rowOff>104775</xdr:rowOff>
        </xdr:from>
        <xdr:to>
          <xdr:col>72</xdr:col>
          <xdr:colOff>733425</xdr:colOff>
          <xdr:row>252</xdr:row>
          <xdr:rowOff>0</xdr:rowOff>
        </xdr:to>
        <xdr:sp macro="" textlink="">
          <xdr:nvSpPr>
            <xdr:cNvPr id="1315" name="Object 291" hidden="1">
              <a:extLst>
                <a:ext uri="{63B3BB69-23CF-44E3-9099-C40C66FF867C}">
                  <a14:compatExt spid="_x0000_s13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73</xdr:col>
          <xdr:colOff>304800</xdr:colOff>
          <xdr:row>250</xdr:row>
          <xdr:rowOff>85725</xdr:rowOff>
        </xdr:from>
        <xdr:to>
          <xdr:col>73</xdr:col>
          <xdr:colOff>733425</xdr:colOff>
          <xdr:row>251</xdr:row>
          <xdr:rowOff>161925</xdr:rowOff>
        </xdr:to>
        <xdr:sp macro="" textlink="">
          <xdr:nvSpPr>
            <xdr:cNvPr id="1316" name="Object 292" hidden="1">
              <a:extLst>
                <a:ext uri="{63B3BB69-23CF-44E3-9099-C40C66FF867C}">
                  <a14:compatExt spid="_x0000_s13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257175</xdr:colOff>
          <xdr:row>250</xdr:row>
          <xdr:rowOff>85725</xdr:rowOff>
        </xdr:from>
        <xdr:to>
          <xdr:col>74</xdr:col>
          <xdr:colOff>676275</xdr:colOff>
          <xdr:row>251</xdr:row>
          <xdr:rowOff>161925</xdr:rowOff>
        </xdr:to>
        <xdr:sp macro="" textlink="">
          <xdr:nvSpPr>
            <xdr:cNvPr id="1317" name="Object 293" hidden="1">
              <a:extLst>
                <a:ext uri="{63B3BB69-23CF-44E3-9099-C40C66FF867C}">
                  <a14:compatExt spid="_x0000_s13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314325</xdr:colOff>
          <xdr:row>250</xdr:row>
          <xdr:rowOff>85725</xdr:rowOff>
        </xdr:from>
        <xdr:to>
          <xdr:col>75</xdr:col>
          <xdr:colOff>733425</xdr:colOff>
          <xdr:row>251</xdr:row>
          <xdr:rowOff>161925</xdr:rowOff>
        </xdr:to>
        <xdr:sp macro="" textlink="">
          <xdr:nvSpPr>
            <xdr:cNvPr id="1318" name="Object 294" hidden="1">
              <a:extLst>
                <a:ext uri="{63B3BB69-23CF-44E3-9099-C40C66FF867C}">
                  <a14:compatExt spid="_x0000_s1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295275</xdr:colOff>
          <xdr:row>250</xdr:row>
          <xdr:rowOff>104775</xdr:rowOff>
        </xdr:from>
        <xdr:to>
          <xdr:col>74</xdr:col>
          <xdr:colOff>733425</xdr:colOff>
          <xdr:row>252</xdr:row>
          <xdr:rowOff>0</xdr:rowOff>
        </xdr:to>
        <xdr:sp macro="" textlink="">
          <xdr:nvSpPr>
            <xdr:cNvPr id="1319" name="Object 295" hidden="1">
              <a:extLst>
                <a:ext uri="{63B3BB69-23CF-44E3-9099-C40C66FF867C}">
                  <a14:compatExt spid="_x0000_s13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304800</xdr:colOff>
          <xdr:row>250</xdr:row>
          <xdr:rowOff>85725</xdr:rowOff>
        </xdr:from>
        <xdr:to>
          <xdr:col>75</xdr:col>
          <xdr:colOff>733425</xdr:colOff>
          <xdr:row>251</xdr:row>
          <xdr:rowOff>161925</xdr:rowOff>
        </xdr:to>
        <xdr:sp macro="" textlink="">
          <xdr:nvSpPr>
            <xdr:cNvPr id="1320" name="Object 296" hidden="1">
              <a:extLst>
                <a:ext uri="{63B3BB69-23CF-44E3-9099-C40C66FF867C}">
                  <a14:compatExt spid="_x0000_s13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257175</xdr:colOff>
          <xdr:row>250</xdr:row>
          <xdr:rowOff>85725</xdr:rowOff>
        </xdr:from>
        <xdr:to>
          <xdr:col>76</xdr:col>
          <xdr:colOff>676275</xdr:colOff>
          <xdr:row>251</xdr:row>
          <xdr:rowOff>161925</xdr:rowOff>
        </xdr:to>
        <xdr:sp macro="" textlink="">
          <xdr:nvSpPr>
            <xdr:cNvPr id="1321" name="Object 297" hidden="1">
              <a:extLst>
                <a:ext uri="{63B3BB69-23CF-44E3-9099-C40C66FF867C}">
                  <a14:compatExt spid="_x0000_s13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314325</xdr:colOff>
          <xdr:row>250</xdr:row>
          <xdr:rowOff>85725</xdr:rowOff>
        </xdr:from>
        <xdr:to>
          <xdr:col>77</xdr:col>
          <xdr:colOff>733425</xdr:colOff>
          <xdr:row>251</xdr:row>
          <xdr:rowOff>161925</xdr:rowOff>
        </xdr:to>
        <xdr:sp macro="" textlink="">
          <xdr:nvSpPr>
            <xdr:cNvPr id="1322" name="Object 298" hidden="1">
              <a:extLst>
                <a:ext uri="{63B3BB69-23CF-44E3-9099-C40C66FF867C}">
                  <a14:compatExt spid="_x0000_s1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295275</xdr:colOff>
          <xdr:row>250</xdr:row>
          <xdr:rowOff>104775</xdr:rowOff>
        </xdr:from>
        <xdr:to>
          <xdr:col>76</xdr:col>
          <xdr:colOff>733425</xdr:colOff>
          <xdr:row>252</xdr:row>
          <xdr:rowOff>0</xdr:rowOff>
        </xdr:to>
        <xdr:sp macro="" textlink="">
          <xdr:nvSpPr>
            <xdr:cNvPr id="1323" name="Object 299" hidden="1">
              <a:extLst>
                <a:ext uri="{63B3BB69-23CF-44E3-9099-C40C66FF867C}">
                  <a14:compatExt spid="_x0000_s13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304800</xdr:colOff>
          <xdr:row>250</xdr:row>
          <xdr:rowOff>85725</xdr:rowOff>
        </xdr:from>
        <xdr:to>
          <xdr:col>77</xdr:col>
          <xdr:colOff>733425</xdr:colOff>
          <xdr:row>251</xdr:row>
          <xdr:rowOff>161925</xdr:rowOff>
        </xdr:to>
        <xdr:sp macro="" textlink="">
          <xdr:nvSpPr>
            <xdr:cNvPr id="1324" name="Object 300" hidden="1">
              <a:extLst>
                <a:ext uri="{63B3BB69-23CF-44E3-9099-C40C66FF867C}">
                  <a14:compatExt spid="_x0000_s13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257175</xdr:colOff>
          <xdr:row>250</xdr:row>
          <xdr:rowOff>85725</xdr:rowOff>
        </xdr:from>
        <xdr:to>
          <xdr:col>78</xdr:col>
          <xdr:colOff>676275</xdr:colOff>
          <xdr:row>251</xdr:row>
          <xdr:rowOff>161925</xdr:rowOff>
        </xdr:to>
        <xdr:sp macro="" textlink="">
          <xdr:nvSpPr>
            <xdr:cNvPr id="1325" name="Object 301" hidden="1">
              <a:extLst>
                <a:ext uri="{63B3BB69-23CF-44E3-9099-C40C66FF867C}">
                  <a14:compatExt spid="_x0000_s13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79</xdr:col>
          <xdr:colOff>314325</xdr:colOff>
          <xdr:row>250</xdr:row>
          <xdr:rowOff>85725</xdr:rowOff>
        </xdr:from>
        <xdr:to>
          <xdr:col>79</xdr:col>
          <xdr:colOff>733425</xdr:colOff>
          <xdr:row>251</xdr:row>
          <xdr:rowOff>161925</xdr:rowOff>
        </xdr:to>
        <xdr:sp macro="" textlink="">
          <xdr:nvSpPr>
            <xdr:cNvPr id="1326" name="Object 302" hidden="1">
              <a:extLst>
                <a:ext uri="{63B3BB69-23CF-44E3-9099-C40C66FF867C}">
                  <a14:compatExt spid="_x0000_s1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295275</xdr:colOff>
          <xdr:row>250</xdr:row>
          <xdr:rowOff>104775</xdr:rowOff>
        </xdr:from>
        <xdr:to>
          <xdr:col>78</xdr:col>
          <xdr:colOff>733425</xdr:colOff>
          <xdr:row>252</xdr:row>
          <xdr:rowOff>0</xdr:rowOff>
        </xdr:to>
        <xdr:sp macro="" textlink="">
          <xdr:nvSpPr>
            <xdr:cNvPr id="1327" name="Object 303" hidden="1">
              <a:extLst>
                <a:ext uri="{63B3BB69-23CF-44E3-9099-C40C66FF867C}">
                  <a14:compatExt spid="_x0000_s13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79</xdr:col>
          <xdr:colOff>304800</xdr:colOff>
          <xdr:row>250</xdr:row>
          <xdr:rowOff>85725</xdr:rowOff>
        </xdr:from>
        <xdr:to>
          <xdr:col>79</xdr:col>
          <xdr:colOff>733425</xdr:colOff>
          <xdr:row>251</xdr:row>
          <xdr:rowOff>161925</xdr:rowOff>
        </xdr:to>
        <xdr:sp macro="" textlink="">
          <xdr:nvSpPr>
            <xdr:cNvPr id="1328" name="Object 304" hidden="1">
              <a:extLst>
                <a:ext uri="{63B3BB69-23CF-44E3-9099-C40C66FF867C}">
                  <a14:compatExt spid="_x0000_s13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80</xdr:col>
          <xdr:colOff>257175</xdr:colOff>
          <xdr:row>250</xdr:row>
          <xdr:rowOff>85725</xdr:rowOff>
        </xdr:from>
        <xdr:to>
          <xdr:col>80</xdr:col>
          <xdr:colOff>676275</xdr:colOff>
          <xdr:row>251</xdr:row>
          <xdr:rowOff>161925</xdr:rowOff>
        </xdr:to>
        <xdr:sp macro="" textlink="">
          <xdr:nvSpPr>
            <xdr:cNvPr id="1329" name="Object 305" hidden="1">
              <a:extLst>
                <a:ext uri="{63B3BB69-23CF-44E3-9099-C40C66FF867C}">
                  <a14:compatExt spid="_x0000_s13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81</xdr:col>
          <xdr:colOff>314325</xdr:colOff>
          <xdr:row>250</xdr:row>
          <xdr:rowOff>85725</xdr:rowOff>
        </xdr:from>
        <xdr:to>
          <xdr:col>81</xdr:col>
          <xdr:colOff>733425</xdr:colOff>
          <xdr:row>251</xdr:row>
          <xdr:rowOff>161925</xdr:rowOff>
        </xdr:to>
        <xdr:sp macro="" textlink="">
          <xdr:nvSpPr>
            <xdr:cNvPr id="1330" name="Object 306" hidden="1">
              <a:extLst>
                <a:ext uri="{63B3BB69-23CF-44E3-9099-C40C66FF867C}">
                  <a14:compatExt spid="_x0000_s1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80</xdr:col>
          <xdr:colOff>295275</xdr:colOff>
          <xdr:row>250</xdr:row>
          <xdr:rowOff>104775</xdr:rowOff>
        </xdr:from>
        <xdr:to>
          <xdr:col>80</xdr:col>
          <xdr:colOff>733425</xdr:colOff>
          <xdr:row>252</xdr:row>
          <xdr:rowOff>0</xdr:rowOff>
        </xdr:to>
        <xdr:sp macro="" textlink="">
          <xdr:nvSpPr>
            <xdr:cNvPr id="1331" name="Object 307" hidden="1">
              <a:extLst>
                <a:ext uri="{63B3BB69-23CF-44E3-9099-C40C66FF867C}">
                  <a14:compatExt spid="_x0000_s13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81</xdr:col>
          <xdr:colOff>304800</xdr:colOff>
          <xdr:row>250</xdr:row>
          <xdr:rowOff>85725</xdr:rowOff>
        </xdr:from>
        <xdr:to>
          <xdr:col>81</xdr:col>
          <xdr:colOff>733425</xdr:colOff>
          <xdr:row>251</xdr:row>
          <xdr:rowOff>161925</xdr:rowOff>
        </xdr:to>
        <xdr:sp macro="" textlink="">
          <xdr:nvSpPr>
            <xdr:cNvPr id="1332" name="Object 308" hidden="1">
              <a:extLst>
                <a:ext uri="{63B3BB69-23CF-44E3-9099-C40C66FF867C}">
                  <a14:compatExt spid="_x0000_s13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257175</xdr:colOff>
          <xdr:row>250</xdr:row>
          <xdr:rowOff>85725</xdr:rowOff>
        </xdr:from>
        <xdr:to>
          <xdr:col>82</xdr:col>
          <xdr:colOff>676275</xdr:colOff>
          <xdr:row>251</xdr:row>
          <xdr:rowOff>161925</xdr:rowOff>
        </xdr:to>
        <xdr:sp macro="" textlink="">
          <xdr:nvSpPr>
            <xdr:cNvPr id="1333" name="Object 309" hidden="1">
              <a:extLst>
                <a:ext uri="{63B3BB69-23CF-44E3-9099-C40C66FF867C}">
                  <a14:compatExt spid="_x0000_s13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83</xdr:col>
          <xdr:colOff>314325</xdr:colOff>
          <xdr:row>250</xdr:row>
          <xdr:rowOff>85725</xdr:rowOff>
        </xdr:from>
        <xdr:to>
          <xdr:col>83</xdr:col>
          <xdr:colOff>733425</xdr:colOff>
          <xdr:row>251</xdr:row>
          <xdr:rowOff>161925</xdr:rowOff>
        </xdr:to>
        <xdr:sp macro="" textlink="">
          <xdr:nvSpPr>
            <xdr:cNvPr id="1334" name="Object 310" hidden="1">
              <a:extLst>
                <a:ext uri="{63B3BB69-23CF-44E3-9099-C40C66FF867C}">
                  <a14:compatExt spid="_x0000_s1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295275</xdr:colOff>
          <xdr:row>250</xdr:row>
          <xdr:rowOff>104775</xdr:rowOff>
        </xdr:from>
        <xdr:to>
          <xdr:col>82</xdr:col>
          <xdr:colOff>733425</xdr:colOff>
          <xdr:row>252</xdr:row>
          <xdr:rowOff>0</xdr:rowOff>
        </xdr:to>
        <xdr:sp macro="" textlink="">
          <xdr:nvSpPr>
            <xdr:cNvPr id="1335" name="Object 311" hidden="1">
              <a:extLst>
                <a:ext uri="{63B3BB69-23CF-44E3-9099-C40C66FF867C}">
                  <a14:compatExt spid="_x0000_s13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83</xdr:col>
          <xdr:colOff>304800</xdr:colOff>
          <xdr:row>250</xdr:row>
          <xdr:rowOff>85725</xdr:rowOff>
        </xdr:from>
        <xdr:to>
          <xdr:col>83</xdr:col>
          <xdr:colOff>733425</xdr:colOff>
          <xdr:row>251</xdr:row>
          <xdr:rowOff>161925</xdr:rowOff>
        </xdr:to>
        <xdr:sp macro="" textlink="">
          <xdr:nvSpPr>
            <xdr:cNvPr id="1336" name="Object 312" hidden="1">
              <a:extLst>
                <a:ext uri="{63B3BB69-23CF-44E3-9099-C40C66FF867C}">
                  <a14:compatExt spid="_x0000_s13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257175</xdr:colOff>
          <xdr:row>250</xdr:row>
          <xdr:rowOff>85725</xdr:rowOff>
        </xdr:from>
        <xdr:to>
          <xdr:col>84</xdr:col>
          <xdr:colOff>676275</xdr:colOff>
          <xdr:row>251</xdr:row>
          <xdr:rowOff>161925</xdr:rowOff>
        </xdr:to>
        <xdr:sp macro="" textlink="">
          <xdr:nvSpPr>
            <xdr:cNvPr id="1337" name="Object 313" hidden="1">
              <a:extLst>
                <a:ext uri="{63B3BB69-23CF-44E3-9099-C40C66FF867C}">
                  <a14:compatExt spid="_x0000_s13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85</xdr:col>
          <xdr:colOff>314325</xdr:colOff>
          <xdr:row>250</xdr:row>
          <xdr:rowOff>85725</xdr:rowOff>
        </xdr:from>
        <xdr:to>
          <xdr:col>85</xdr:col>
          <xdr:colOff>733425</xdr:colOff>
          <xdr:row>251</xdr:row>
          <xdr:rowOff>161925</xdr:rowOff>
        </xdr:to>
        <xdr:sp macro="" textlink="">
          <xdr:nvSpPr>
            <xdr:cNvPr id="1338" name="Object 314" hidden="1">
              <a:extLst>
                <a:ext uri="{63B3BB69-23CF-44E3-9099-C40C66FF867C}">
                  <a14:compatExt spid="_x0000_s1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295275</xdr:colOff>
          <xdr:row>250</xdr:row>
          <xdr:rowOff>104775</xdr:rowOff>
        </xdr:from>
        <xdr:to>
          <xdr:col>84</xdr:col>
          <xdr:colOff>733425</xdr:colOff>
          <xdr:row>252</xdr:row>
          <xdr:rowOff>0</xdr:rowOff>
        </xdr:to>
        <xdr:sp macro="" textlink="">
          <xdr:nvSpPr>
            <xdr:cNvPr id="1339" name="Object 315" hidden="1">
              <a:extLst>
                <a:ext uri="{63B3BB69-23CF-44E3-9099-C40C66FF867C}">
                  <a14:compatExt spid="_x0000_s13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85</xdr:col>
          <xdr:colOff>304800</xdr:colOff>
          <xdr:row>250</xdr:row>
          <xdr:rowOff>85725</xdr:rowOff>
        </xdr:from>
        <xdr:to>
          <xdr:col>85</xdr:col>
          <xdr:colOff>733425</xdr:colOff>
          <xdr:row>251</xdr:row>
          <xdr:rowOff>161925</xdr:rowOff>
        </xdr:to>
        <xdr:sp macro="" textlink="">
          <xdr:nvSpPr>
            <xdr:cNvPr id="1340" name="Object 316" hidden="1">
              <a:extLst>
                <a:ext uri="{63B3BB69-23CF-44E3-9099-C40C66FF867C}">
                  <a14:compatExt spid="_x0000_s13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86</xdr:col>
          <xdr:colOff>257175</xdr:colOff>
          <xdr:row>250</xdr:row>
          <xdr:rowOff>85725</xdr:rowOff>
        </xdr:from>
        <xdr:to>
          <xdr:col>86</xdr:col>
          <xdr:colOff>676275</xdr:colOff>
          <xdr:row>251</xdr:row>
          <xdr:rowOff>161925</xdr:rowOff>
        </xdr:to>
        <xdr:sp macro="" textlink="">
          <xdr:nvSpPr>
            <xdr:cNvPr id="1341" name="Object 317" hidden="1">
              <a:extLst>
                <a:ext uri="{63B3BB69-23CF-44E3-9099-C40C66FF867C}">
                  <a14:compatExt spid="_x0000_s13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87</xdr:col>
          <xdr:colOff>314325</xdr:colOff>
          <xdr:row>250</xdr:row>
          <xdr:rowOff>85725</xdr:rowOff>
        </xdr:from>
        <xdr:to>
          <xdr:col>87</xdr:col>
          <xdr:colOff>733425</xdr:colOff>
          <xdr:row>251</xdr:row>
          <xdr:rowOff>161925</xdr:rowOff>
        </xdr:to>
        <xdr:sp macro="" textlink="">
          <xdr:nvSpPr>
            <xdr:cNvPr id="1342" name="Object 318" hidden="1">
              <a:extLst>
                <a:ext uri="{63B3BB69-23CF-44E3-9099-C40C66FF867C}">
                  <a14:compatExt spid="_x0000_s1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86</xdr:col>
          <xdr:colOff>295275</xdr:colOff>
          <xdr:row>250</xdr:row>
          <xdr:rowOff>104775</xdr:rowOff>
        </xdr:from>
        <xdr:to>
          <xdr:col>86</xdr:col>
          <xdr:colOff>733425</xdr:colOff>
          <xdr:row>252</xdr:row>
          <xdr:rowOff>0</xdr:rowOff>
        </xdr:to>
        <xdr:sp macro="" textlink="">
          <xdr:nvSpPr>
            <xdr:cNvPr id="1343" name="Object 319" hidden="1">
              <a:extLst>
                <a:ext uri="{63B3BB69-23CF-44E3-9099-C40C66FF867C}">
                  <a14:compatExt spid="_x0000_s13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87</xdr:col>
          <xdr:colOff>304800</xdr:colOff>
          <xdr:row>250</xdr:row>
          <xdr:rowOff>85725</xdr:rowOff>
        </xdr:from>
        <xdr:to>
          <xdr:col>87</xdr:col>
          <xdr:colOff>733425</xdr:colOff>
          <xdr:row>251</xdr:row>
          <xdr:rowOff>161925</xdr:rowOff>
        </xdr:to>
        <xdr:sp macro="" textlink="">
          <xdr:nvSpPr>
            <xdr:cNvPr id="1344" name="Object 320" hidden="1">
              <a:extLst>
                <a:ext uri="{63B3BB69-23CF-44E3-9099-C40C66FF867C}">
                  <a14:compatExt spid="_x0000_s13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88</xdr:col>
          <xdr:colOff>257175</xdr:colOff>
          <xdr:row>250</xdr:row>
          <xdr:rowOff>85725</xdr:rowOff>
        </xdr:from>
        <xdr:to>
          <xdr:col>88</xdr:col>
          <xdr:colOff>676275</xdr:colOff>
          <xdr:row>251</xdr:row>
          <xdr:rowOff>161925</xdr:rowOff>
        </xdr:to>
        <xdr:sp macro="" textlink="">
          <xdr:nvSpPr>
            <xdr:cNvPr id="1345" name="Object 321" hidden="1">
              <a:extLst>
                <a:ext uri="{63B3BB69-23CF-44E3-9099-C40C66FF867C}">
                  <a14:compatExt spid="_x0000_s13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</xdr:col>
          <xdr:colOff>314325</xdr:colOff>
          <xdr:row>250</xdr:row>
          <xdr:rowOff>85725</xdr:rowOff>
        </xdr:from>
        <xdr:to>
          <xdr:col>89</xdr:col>
          <xdr:colOff>733425</xdr:colOff>
          <xdr:row>251</xdr:row>
          <xdr:rowOff>161925</xdr:rowOff>
        </xdr:to>
        <xdr:sp macro="" textlink="">
          <xdr:nvSpPr>
            <xdr:cNvPr id="1346" name="Object 322" hidden="1">
              <a:extLst>
                <a:ext uri="{63B3BB69-23CF-44E3-9099-C40C66FF867C}">
                  <a14:compatExt spid="_x0000_s1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88</xdr:col>
          <xdr:colOff>295275</xdr:colOff>
          <xdr:row>250</xdr:row>
          <xdr:rowOff>104775</xdr:rowOff>
        </xdr:from>
        <xdr:to>
          <xdr:col>88</xdr:col>
          <xdr:colOff>733425</xdr:colOff>
          <xdr:row>252</xdr:row>
          <xdr:rowOff>0</xdr:rowOff>
        </xdr:to>
        <xdr:sp macro="" textlink="">
          <xdr:nvSpPr>
            <xdr:cNvPr id="1347" name="Object 323" hidden="1">
              <a:extLst>
                <a:ext uri="{63B3BB69-23CF-44E3-9099-C40C66FF867C}">
                  <a14:compatExt spid="_x0000_s13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</xdr:col>
          <xdr:colOff>304800</xdr:colOff>
          <xdr:row>250</xdr:row>
          <xdr:rowOff>85725</xdr:rowOff>
        </xdr:from>
        <xdr:to>
          <xdr:col>89</xdr:col>
          <xdr:colOff>733425</xdr:colOff>
          <xdr:row>251</xdr:row>
          <xdr:rowOff>161925</xdr:rowOff>
        </xdr:to>
        <xdr:sp macro="" textlink="">
          <xdr:nvSpPr>
            <xdr:cNvPr id="1348" name="Object 324" hidden="1">
              <a:extLst>
                <a:ext uri="{63B3BB69-23CF-44E3-9099-C40C66FF867C}">
                  <a14:compatExt spid="_x0000_s13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428625</xdr:colOff>
          <xdr:row>171</xdr:row>
          <xdr:rowOff>152400</xdr:rowOff>
        </xdr:from>
        <xdr:to>
          <xdr:col>28</xdr:col>
          <xdr:colOff>609600</xdr:colOff>
          <xdr:row>172</xdr:row>
          <xdr:rowOff>114300</xdr:rowOff>
        </xdr:to>
        <xdr:sp macro="" textlink="">
          <xdr:nvSpPr>
            <xdr:cNvPr id="1349" name="Object 325" hidden="1">
              <a:extLst>
                <a:ext uri="{63B3BB69-23CF-44E3-9099-C40C66FF867C}">
                  <a14:compatExt spid="_x0000_s13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257175</xdr:colOff>
          <xdr:row>171</xdr:row>
          <xdr:rowOff>85725</xdr:rowOff>
        </xdr:from>
        <xdr:to>
          <xdr:col>29</xdr:col>
          <xdr:colOff>647700</xdr:colOff>
          <xdr:row>173</xdr:row>
          <xdr:rowOff>0</xdr:rowOff>
        </xdr:to>
        <xdr:sp macro="" textlink="">
          <xdr:nvSpPr>
            <xdr:cNvPr id="1350" name="Object 326" hidden="1">
              <a:extLst>
                <a:ext uri="{63B3BB69-23CF-44E3-9099-C40C66FF867C}">
                  <a14:compatExt spid="_x0000_s13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295275</xdr:colOff>
          <xdr:row>174</xdr:row>
          <xdr:rowOff>104775</xdr:rowOff>
        </xdr:from>
        <xdr:to>
          <xdr:col>28</xdr:col>
          <xdr:colOff>714375</xdr:colOff>
          <xdr:row>176</xdr:row>
          <xdr:rowOff>0</xdr:rowOff>
        </xdr:to>
        <xdr:sp macro="" textlink="">
          <xdr:nvSpPr>
            <xdr:cNvPr id="1351" name="Object 327" hidden="1">
              <a:extLst>
                <a:ext uri="{63B3BB69-23CF-44E3-9099-C40C66FF867C}">
                  <a14:compatExt spid="_x0000_s13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295275</xdr:colOff>
          <xdr:row>174</xdr:row>
          <xdr:rowOff>104775</xdr:rowOff>
        </xdr:from>
        <xdr:to>
          <xdr:col>29</xdr:col>
          <xdr:colOff>714375</xdr:colOff>
          <xdr:row>176</xdr:row>
          <xdr:rowOff>0</xdr:rowOff>
        </xdr:to>
        <xdr:sp macro="" textlink="">
          <xdr:nvSpPr>
            <xdr:cNvPr id="1352" name="Object 328" hidden="1">
              <a:extLst>
                <a:ext uri="{63B3BB69-23CF-44E3-9099-C40C66FF867C}">
                  <a14:compatExt spid="_x0000_s13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314325</xdr:colOff>
          <xdr:row>171</xdr:row>
          <xdr:rowOff>85725</xdr:rowOff>
        </xdr:from>
        <xdr:to>
          <xdr:col>30</xdr:col>
          <xdr:colOff>733425</xdr:colOff>
          <xdr:row>173</xdr:row>
          <xdr:rowOff>0</xdr:rowOff>
        </xdr:to>
        <xdr:sp macro="" textlink="">
          <xdr:nvSpPr>
            <xdr:cNvPr id="1353" name="Object 329" hidden="1">
              <a:extLst>
                <a:ext uri="{63B3BB69-23CF-44E3-9099-C40C66FF867C}">
                  <a14:compatExt spid="_x0000_s13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304800</xdr:colOff>
          <xdr:row>174</xdr:row>
          <xdr:rowOff>85725</xdr:rowOff>
        </xdr:from>
        <xdr:to>
          <xdr:col>30</xdr:col>
          <xdr:colOff>714375</xdr:colOff>
          <xdr:row>176</xdr:row>
          <xdr:rowOff>0</xdr:rowOff>
        </xdr:to>
        <xdr:sp macro="" textlink="">
          <xdr:nvSpPr>
            <xdr:cNvPr id="1354" name="Object 330" hidden="1">
              <a:extLst>
                <a:ext uri="{63B3BB69-23CF-44E3-9099-C40C66FF867C}">
                  <a14:compatExt spid="_x0000_s13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304800</xdr:colOff>
          <xdr:row>174</xdr:row>
          <xdr:rowOff>76200</xdr:rowOff>
        </xdr:from>
        <xdr:to>
          <xdr:col>33</xdr:col>
          <xdr:colOff>714375</xdr:colOff>
          <xdr:row>175</xdr:row>
          <xdr:rowOff>161925</xdr:rowOff>
        </xdr:to>
        <xdr:sp macro="" textlink="">
          <xdr:nvSpPr>
            <xdr:cNvPr id="1355" name="Object 331" hidden="1">
              <a:extLst>
                <a:ext uri="{63B3BB69-23CF-44E3-9099-C40C66FF867C}">
                  <a14:compatExt spid="_x0000_s13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304800</xdr:colOff>
          <xdr:row>238</xdr:row>
          <xdr:rowOff>76200</xdr:rowOff>
        </xdr:from>
        <xdr:to>
          <xdr:col>29</xdr:col>
          <xdr:colOff>714375</xdr:colOff>
          <xdr:row>239</xdr:row>
          <xdr:rowOff>161925</xdr:rowOff>
        </xdr:to>
        <xdr:sp macro="" textlink="">
          <xdr:nvSpPr>
            <xdr:cNvPr id="1356" name="Object 332" hidden="1">
              <a:extLst>
                <a:ext uri="{63B3BB69-23CF-44E3-9099-C40C66FF867C}">
                  <a14:compatExt spid="_x0000_s13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428625</xdr:colOff>
          <xdr:row>183</xdr:row>
          <xdr:rowOff>152400</xdr:rowOff>
        </xdr:from>
        <xdr:to>
          <xdr:col>2</xdr:col>
          <xdr:colOff>609600</xdr:colOff>
          <xdr:row>184</xdr:row>
          <xdr:rowOff>104775</xdr:rowOff>
        </xdr:to>
        <xdr:sp macro="" textlink="">
          <xdr:nvSpPr>
            <xdr:cNvPr id="1357" name="Object 333" hidden="1">
              <a:extLst>
                <a:ext uri="{63B3BB69-23CF-44E3-9099-C40C66FF867C}">
                  <a14:compatExt spid="_x0000_s13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257175</xdr:colOff>
          <xdr:row>183</xdr:row>
          <xdr:rowOff>85725</xdr:rowOff>
        </xdr:from>
        <xdr:to>
          <xdr:col>3</xdr:col>
          <xdr:colOff>676275</xdr:colOff>
          <xdr:row>184</xdr:row>
          <xdr:rowOff>161925</xdr:rowOff>
        </xdr:to>
        <xdr:sp macro="" textlink="">
          <xdr:nvSpPr>
            <xdr:cNvPr id="1358" name="Object 334" hidden="1">
              <a:extLst>
                <a:ext uri="{63B3BB69-23CF-44E3-9099-C40C66FF867C}">
                  <a14:compatExt spid="_x0000_s13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295275</xdr:colOff>
          <xdr:row>186</xdr:row>
          <xdr:rowOff>104775</xdr:rowOff>
        </xdr:from>
        <xdr:to>
          <xdr:col>2</xdr:col>
          <xdr:colOff>733425</xdr:colOff>
          <xdr:row>188</xdr:row>
          <xdr:rowOff>0</xdr:rowOff>
        </xdr:to>
        <xdr:sp macro="" textlink="">
          <xdr:nvSpPr>
            <xdr:cNvPr id="1359" name="Object 335" hidden="1">
              <a:extLst>
                <a:ext uri="{63B3BB69-23CF-44E3-9099-C40C66FF867C}">
                  <a14:compatExt spid="_x0000_s13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295275</xdr:colOff>
          <xdr:row>186</xdr:row>
          <xdr:rowOff>104775</xdr:rowOff>
        </xdr:from>
        <xdr:to>
          <xdr:col>3</xdr:col>
          <xdr:colOff>733425</xdr:colOff>
          <xdr:row>188</xdr:row>
          <xdr:rowOff>0</xdr:rowOff>
        </xdr:to>
        <xdr:sp macro="" textlink="">
          <xdr:nvSpPr>
            <xdr:cNvPr id="1360" name="Object 336" hidden="1">
              <a:extLst>
                <a:ext uri="{63B3BB69-23CF-44E3-9099-C40C66FF867C}">
                  <a14:compatExt spid="_x0000_s13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183</xdr:row>
          <xdr:rowOff>85725</xdr:rowOff>
        </xdr:from>
        <xdr:to>
          <xdr:col>4</xdr:col>
          <xdr:colOff>733425</xdr:colOff>
          <xdr:row>184</xdr:row>
          <xdr:rowOff>161925</xdr:rowOff>
        </xdr:to>
        <xdr:sp macro="" textlink="">
          <xdr:nvSpPr>
            <xdr:cNvPr id="1361" name="Object 337" hidden="1">
              <a:extLst>
                <a:ext uri="{63B3BB69-23CF-44E3-9099-C40C66FF867C}">
                  <a14:compatExt spid="_x0000_s13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186</xdr:row>
          <xdr:rowOff>85725</xdr:rowOff>
        </xdr:from>
        <xdr:to>
          <xdr:col>4</xdr:col>
          <xdr:colOff>733425</xdr:colOff>
          <xdr:row>187</xdr:row>
          <xdr:rowOff>161925</xdr:rowOff>
        </xdr:to>
        <xdr:sp macro="" textlink="">
          <xdr:nvSpPr>
            <xdr:cNvPr id="1362" name="Object 338" hidden="1">
              <a:extLst>
                <a:ext uri="{63B3BB69-23CF-44E3-9099-C40C66FF867C}">
                  <a14:compatExt spid="_x0000_s13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304800</xdr:colOff>
          <xdr:row>186</xdr:row>
          <xdr:rowOff>76200</xdr:rowOff>
        </xdr:from>
        <xdr:to>
          <xdr:col>7</xdr:col>
          <xdr:colOff>733425</xdr:colOff>
          <xdr:row>187</xdr:row>
          <xdr:rowOff>161925</xdr:rowOff>
        </xdr:to>
        <xdr:sp macro="" textlink="">
          <xdr:nvSpPr>
            <xdr:cNvPr id="1363" name="Object 339" hidden="1">
              <a:extLst>
                <a:ext uri="{63B3BB69-23CF-44E3-9099-C40C66FF867C}">
                  <a14:compatExt spid="_x0000_s13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428625</xdr:colOff>
          <xdr:row>183</xdr:row>
          <xdr:rowOff>152400</xdr:rowOff>
        </xdr:from>
        <xdr:to>
          <xdr:col>13</xdr:col>
          <xdr:colOff>609600</xdr:colOff>
          <xdr:row>184</xdr:row>
          <xdr:rowOff>104775</xdr:rowOff>
        </xdr:to>
        <xdr:sp macro="" textlink="">
          <xdr:nvSpPr>
            <xdr:cNvPr id="1364" name="Object 340" hidden="1">
              <a:extLst>
                <a:ext uri="{63B3BB69-23CF-44E3-9099-C40C66FF867C}">
                  <a14:compatExt spid="_x0000_s13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257175</xdr:colOff>
          <xdr:row>183</xdr:row>
          <xdr:rowOff>85725</xdr:rowOff>
        </xdr:from>
        <xdr:to>
          <xdr:col>14</xdr:col>
          <xdr:colOff>676275</xdr:colOff>
          <xdr:row>184</xdr:row>
          <xdr:rowOff>161925</xdr:rowOff>
        </xdr:to>
        <xdr:sp macro="" textlink="">
          <xdr:nvSpPr>
            <xdr:cNvPr id="1365" name="Object 341" hidden="1">
              <a:extLst>
                <a:ext uri="{63B3BB69-23CF-44E3-9099-C40C66FF867C}">
                  <a14:compatExt spid="_x0000_s13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295275</xdr:colOff>
          <xdr:row>186</xdr:row>
          <xdr:rowOff>104775</xdr:rowOff>
        </xdr:from>
        <xdr:to>
          <xdr:col>13</xdr:col>
          <xdr:colOff>733425</xdr:colOff>
          <xdr:row>188</xdr:row>
          <xdr:rowOff>0</xdr:rowOff>
        </xdr:to>
        <xdr:sp macro="" textlink="">
          <xdr:nvSpPr>
            <xdr:cNvPr id="1366" name="Object 342" hidden="1">
              <a:extLst>
                <a:ext uri="{63B3BB69-23CF-44E3-9099-C40C66FF867C}">
                  <a14:compatExt spid="_x0000_s13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295275</xdr:colOff>
          <xdr:row>186</xdr:row>
          <xdr:rowOff>104775</xdr:rowOff>
        </xdr:from>
        <xdr:to>
          <xdr:col>14</xdr:col>
          <xdr:colOff>733425</xdr:colOff>
          <xdr:row>188</xdr:row>
          <xdr:rowOff>0</xdr:rowOff>
        </xdr:to>
        <xdr:sp macro="" textlink="">
          <xdr:nvSpPr>
            <xdr:cNvPr id="1367" name="Object 343" hidden="1">
              <a:extLst>
                <a:ext uri="{63B3BB69-23CF-44E3-9099-C40C66FF867C}">
                  <a14:compatExt spid="_x0000_s13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314325</xdr:colOff>
          <xdr:row>183</xdr:row>
          <xdr:rowOff>85725</xdr:rowOff>
        </xdr:from>
        <xdr:to>
          <xdr:col>15</xdr:col>
          <xdr:colOff>733425</xdr:colOff>
          <xdr:row>184</xdr:row>
          <xdr:rowOff>161925</xdr:rowOff>
        </xdr:to>
        <xdr:sp macro="" textlink="">
          <xdr:nvSpPr>
            <xdr:cNvPr id="1368" name="Object 344" hidden="1">
              <a:extLst>
                <a:ext uri="{63B3BB69-23CF-44E3-9099-C40C66FF867C}">
                  <a14:compatExt spid="_x0000_s13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304800</xdr:colOff>
          <xdr:row>186</xdr:row>
          <xdr:rowOff>85725</xdr:rowOff>
        </xdr:from>
        <xdr:to>
          <xdr:col>15</xdr:col>
          <xdr:colOff>733425</xdr:colOff>
          <xdr:row>187</xdr:row>
          <xdr:rowOff>161925</xdr:rowOff>
        </xdr:to>
        <xdr:sp macro="" textlink="">
          <xdr:nvSpPr>
            <xdr:cNvPr id="1369" name="Object 345" hidden="1">
              <a:extLst>
                <a:ext uri="{63B3BB69-23CF-44E3-9099-C40C66FF867C}">
                  <a14:compatExt spid="_x0000_s13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304800</xdr:colOff>
          <xdr:row>186</xdr:row>
          <xdr:rowOff>76200</xdr:rowOff>
        </xdr:from>
        <xdr:to>
          <xdr:col>18</xdr:col>
          <xdr:colOff>733425</xdr:colOff>
          <xdr:row>187</xdr:row>
          <xdr:rowOff>161925</xdr:rowOff>
        </xdr:to>
        <xdr:sp macro="" textlink="">
          <xdr:nvSpPr>
            <xdr:cNvPr id="1370" name="Object 346" hidden="1">
              <a:extLst>
                <a:ext uri="{63B3BB69-23CF-44E3-9099-C40C66FF867C}">
                  <a14:compatExt spid="_x0000_s1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428625</xdr:colOff>
          <xdr:row>203</xdr:row>
          <xdr:rowOff>152400</xdr:rowOff>
        </xdr:from>
        <xdr:to>
          <xdr:col>2</xdr:col>
          <xdr:colOff>609600</xdr:colOff>
          <xdr:row>204</xdr:row>
          <xdr:rowOff>104775</xdr:rowOff>
        </xdr:to>
        <xdr:sp macro="" textlink="">
          <xdr:nvSpPr>
            <xdr:cNvPr id="1371" name="Object 347" hidden="1">
              <a:extLst>
                <a:ext uri="{63B3BB69-23CF-44E3-9099-C40C66FF867C}">
                  <a14:compatExt spid="_x0000_s13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257175</xdr:colOff>
          <xdr:row>203</xdr:row>
          <xdr:rowOff>85725</xdr:rowOff>
        </xdr:from>
        <xdr:to>
          <xdr:col>3</xdr:col>
          <xdr:colOff>676275</xdr:colOff>
          <xdr:row>204</xdr:row>
          <xdr:rowOff>161925</xdr:rowOff>
        </xdr:to>
        <xdr:sp macro="" textlink="">
          <xdr:nvSpPr>
            <xdr:cNvPr id="1372" name="Object 348" hidden="1">
              <a:extLst>
                <a:ext uri="{63B3BB69-23CF-44E3-9099-C40C66FF867C}">
                  <a14:compatExt spid="_x0000_s13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295275</xdr:colOff>
          <xdr:row>206</xdr:row>
          <xdr:rowOff>104775</xdr:rowOff>
        </xdr:from>
        <xdr:to>
          <xdr:col>2</xdr:col>
          <xdr:colOff>733425</xdr:colOff>
          <xdr:row>208</xdr:row>
          <xdr:rowOff>0</xdr:rowOff>
        </xdr:to>
        <xdr:sp macro="" textlink="">
          <xdr:nvSpPr>
            <xdr:cNvPr id="1373" name="Object 349" hidden="1">
              <a:extLst>
                <a:ext uri="{63B3BB69-23CF-44E3-9099-C40C66FF867C}">
                  <a14:compatExt spid="_x0000_s13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295275</xdr:colOff>
          <xdr:row>206</xdr:row>
          <xdr:rowOff>104775</xdr:rowOff>
        </xdr:from>
        <xdr:to>
          <xdr:col>3</xdr:col>
          <xdr:colOff>733425</xdr:colOff>
          <xdr:row>208</xdr:row>
          <xdr:rowOff>0</xdr:rowOff>
        </xdr:to>
        <xdr:sp macro="" textlink="">
          <xdr:nvSpPr>
            <xdr:cNvPr id="1374" name="Object 350" hidden="1">
              <a:extLst>
                <a:ext uri="{63B3BB69-23CF-44E3-9099-C40C66FF867C}">
                  <a14:compatExt spid="_x0000_s13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203</xdr:row>
          <xdr:rowOff>85725</xdr:rowOff>
        </xdr:from>
        <xdr:to>
          <xdr:col>4</xdr:col>
          <xdr:colOff>733425</xdr:colOff>
          <xdr:row>204</xdr:row>
          <xdr:rowOff>161925</xdr:rowOff>
        </xdr:to>
        <xdr:sp macro="" textlink="">
          <xdr:nvSpPr>
            <xdr:cNvPr id="1375" name="Object 351" hidden="1">
              <a:extLst>
                <a:ext uri="{63B3BB69-23CF-44E3-9099-C40C66FF867C}">
                  <a14:compatExt spid="_x0000_s13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206</xdr:row>
          <xdr:rowOff>85725</xdr:rowOff>
        </xdr:from>
        <xdr:to>
          <xdr:col>4</xdr:col>
          <xdr:colOff>733425</xdr:colOff>
          <xdr:row>207</xdr:row>
          <xdr:rowOff>161925</xdr:rowOff>
        </xdr:to>
        <xdr:sp macro="" textlink="">
          <xdr:nvSpPr>
            <xdr:cNvPr id="1376" name="Object 352" hidden="1">
              <a:extLst>
                <a:ext uri="{63B3BB69-23CF-44E3-9099-C40C66FF867C}">
                  <a14:compatExt spid="_x0000_s13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304800</xdr:colOff>
          <xdr:row>206</xdr:row>
          <xdr:rowOff>76200</xdr:rowOff>
        </xdr:from>
        <xdr:to>
          <xdr:col>7</xdr:col>
          <xdr:colOff>733425</xdr:colOff>
          <xdr:row>207</xdr:row>
          <xdr:rowOff>161925</xdr:rowOff>
        </xdr:to>
        <xdr:sp macro="" textlink="">
          <xdr:nvSpPr>
            <xdr:cNvPr id="1377" name="Object 353" hidden="1">
              <a:extLst>
                <a:ext uri="{63B3BB69-23CF-44E3-9099-C40C66FF867C}">
                  <a14:compatExt spid="_x0000_s13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428625</xdr:colOff>
          <xdr:row>203</xdr:row>
          <xdr:rowOff>152400</xdr:rowOff>
        </xdr:from>
        <xdr:to>
          <xdr:col>13</xdr:col>
          <xdr:colOff>609600</xdr:colOff>
          <xdr:row>204</xdr:row>
          <xdr:rowOff>104775</xdr:rowOff>
        </xdr:to>
        <xdr:sp macro="" textlink="">
          <xdr:nvSpPr>
            <xdr:cNvPr id="1378" name="Object 354" hidden="1">
              <a:extLst>
                <a:ext uri="{63B3BB69-23CF-44E3-9099-C40C66FF867C}">
                  <a14:compatExt spid="_x0000_s13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257175</xdr:colOff>
          <xdr:row>203</xdr:row>
          <xdr:rowOff>85725</xdr:rowOff>
        </xdr:from>
        <xdr:to>
          <xdr:col>14</xdr:col>
          <xdr:colOff>676275</xdr:colOff>
          <xdr:row>204</xdr:row>
          <xdr:rowOff>161925</xdr:rowOff>
        </xdr:to>
        <xdr:sp macro="" textlink="">
          <xdr:nvSpPr>
            <xdr:cNvPr id="1379" name="Object 355" hidden="1">
              <a:extLst>
                <a:ext uri="{63B3BB69-23CF-44E3-9099-C40C66FF867C}">
                  <a14:compatExt spid="_x0000_s13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295275</xdr:colOff>
          <xdr:row>206</xdr:row>
          <xdr:rowOff>104775</xdr:rowOff>
        </xdr:from>
        <xdr:to>
          <xdr:col>13</xdr:col>
          <xdr:colOff>733425</xdr:colOff>
          <xdr:row>208</xdr:row>
          <xdr:rowOff>0</xdr:rowOff>
        </xdr:to>
        <xdr:sp macro="" textlink="">
          <xdr:nvSpPr>
            <xdr:cNvPr id="1380" name="Object 356" hidden="1">
              <a:extLst>
                <a:ext uri="{63B3BB69-23CF-44E3-9099-C40C66FF867C}">
                  <a14:compatExt spid="_x0000_s13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295275</xdr:colOff>
          <xdr:row>206</xdr:row>
          <xdr:rowOff>104775</xdr:rowOff>
        </xdr:from>
        <xdr:to>
          <xdr:col>14</xdr:col>
          <xdr:colOff>733425</xdr:colOff>
          <xdr:row>208</xdr:row>
          <xdr:rowOff>0</xdr:rowOff>
        </xdr:to>
        <xdr:sp macro="" textlink="">
          <xdr:nvSpPr>
            <xdr:cNvPr id="1381" name="Object 357" hidden="1">
              <a:extLst>
                <a:ext uri="{63B3BB69-23CF-44E3-9099-C40C66FF867C}">
                  <a14:compatExt spid="_x0000_s13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314325</xdr:colOff>
          <xdr:row>203</xdr:row>
          <xdr:rowOff>85725</xdr:rowOff>
        </xdr:from>
        <xdr:to>
          <xdr:col>15</xdr:col>
          <xdr:colOff>733425</xdr:colOff>
          <xdr:row>204</xdr:row>
          <xdr:rowOff>161925</xdr:rowOff>
        </xdr:to>
        <xdr:sp macro="" textlink="">
          <xdr:nvSpPr>
            <xdr:cNvPr id="1382" name="Object 358" hidden="1">
              <a:extLst>
                <a:ext uri="{63B3BB69-23CF-44E3-9099-C40C66FF867C}">
                  <a14:compatExt spid="_x0000_s13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304800</xdr:colOff>
          <xdr:row>206</xdr:row>
          <xdr:rowOff>85725</xdr:rowOff>
        </xdr:from>
        <xdr:to>
          <xdr:col>15</xdr:col>
          <xdr:colOff>733425</xdr:colOff>
          <xdr:row>207</xdr:row>
          <xdr:rowOff>161925</xdr:rowOff>
        </xdr:to>
        <xdr:sp macro="" textlink="">
          <xdr:nvSpPr>
            <xdr:cNvPr id="1383" name="Object 359" hidden="1">
              <a:extLst>
                <a:ext uri="{63B3BB69-23CF-44E3-9099-C40C66FF867C}">
                  <a14:compatExt spid="_x0000_s13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304800</xdr:colOff>
          <xdr:row>206</xdr:row>
          <xdr:rowOff>76200</xdr:rowOff>
        </xdr:from>
        <xdr:to>
          <xdr:col>18</xdr:col>
          <xdr:colOff>733425</xdr:colOff>
          <xdr:row>207</xdr:row>
          <xdr:rowOff>161925</xdr:rowOff>
        </xdr:to>
        <xdr:sp macro="" textlink="">
          <xdr:nvSpPr>
            <xdr:cNvPr id="1384" name="Object 360" hidden="1">
              <a:extLst>
                <a:ext uri="{63B3BB69-23CF-44E3-9099-C40C66FF867C}">
                  <a14:compatExt spid="_x0000_s13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428625</xdr:colOff>
          <xdr:row>223</xdr:row>
          <xdr:rowOff>152400</xdr:rowOff>
        </xdr:from>
        <xdr:to>
          <xdr:col>2</xdr:col>
          <xdr:colOff>609600</xdr:colOff>
          <xdr:row>224</xdr:row>
          <xdr:rowOff>104775</xdr:rowOff>
        </xdr:to>
        <xdr:sp macro="" textlink="">
          <xdr:nvSpPr>
            <xdr:cNvPr id="1385" name="Object 361" hidden="1">
              <a:extLst>
                <a:ext uri="{63B3BB69-23CF-44E3-9099-C40C66FF867C}">
                  <a14:compatExt spid="_x0000_s13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257175</xdr:colOff>
          <xdr:row>223</xdr:row>
          <xdr:rowOff>85725</xdr:rowOff>
        </xdr:from>
        <xdr:to>
          <xdr:col>3</xdr:col>
          <xdr:colOff>676275</xdr:colOff>
          <xdr:row>224</xdr:row>
          <xdr:rowOff>161925</xdr:rowOff>
        </xdr:to>
        <xdr:sp macro="" textlink="">
          <xdr:nvSpPr>
            <xdr:cNvPr id="1386" name="Object 362" hidden="1">
              <a:extLst>
                <a:ext uri="{63B3BB69-23CF-44E3-9099-C40C66FF867C}">
                  <a14:compatExt spid="_x0000_s1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295275</xdr:colOff>
          <xdr:row>226</xdr:row>
          <xdr:rowOff>104775</xdr:rowOff>
        </xdr:from>
        <xdr:to>
          <xdr:col>2</xdr:col>
          <xdr:colOff>733425</xdr:colOff>
          <xdr:row>228</xdr:row>
          <xdr:rowOff>0</xdr:rowOff>
        </xdr:to>
        <xdr:sp macro="" textlink="">
          <xdr:nvSpPr>
            <xdr:cNvPr id="1387" name="Object 363" hidden="1">
              <a:extLst>
                <a:ext uri="{63B3BB69-23CF-44E3-9099-C40C66FF867C}">
                  <a14:compatExt spid="_x0000_s13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295275</xdr:colOff>
          <xdr:row>226</xdr:row>
          <xdr:rowOff>104775</xdr:rowOff>
        </xdr:from>
        <xdr:to>
          <xdr:col>3</xdr:col>
          <xdr:colOff>733425</xdr:colOff>
          <xdr:row>228</xdr:row>
          <xdr:rowOff>0</xdr:rowOff>
        </xdr:to>
        <xdr:sp macro="" textlink="">
          <xdr:nvSpPr>
            <xdr:cNvPr id="1388" name="Object 364" hidden="1">
              <a:extLst>
                <a:ext uri="{63B3BB69-23CF-44E3-9099-C40C66FF867C}">
                  <a14:compatExt spid="_x0000_s13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223</xdr:row>
          <xdr:rowOff>85725</xdr:rowOff>
        </xdr:from>
        <xdr:to>
          <xdr:col>4</xdr:col>
          <xdr:colOff>733425</xdr:colOff>
          <xdr:row>224</xdr:row>
          <xdr:rowOff>161925</xdr:rowOff>
        </xdr:to>
        <xdr:sp macro="" textlink="">
          <xdr:nvSpPr>
            <xdr:cNvPr id="1389" name="Object 365" hidden="1">
              <a:extLst>
                <a:ext uri="{63B3BB69-23CF-44E3-9099-C40C66FF867C}">
                  <a14:compatExt spid="_x0000_s13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226</xdr:row>
          <xdr:rowOff>85725</xdr:rowOff>
        </xdr:from>
        <xdr:to>
          <xdr:col>4</xdr:col>
          <xdr:colOff>733425</xdr:colOff>
          <xdr:row>227</xdr:row>
          <xdr:rowOff>161925</xdr:rowOff>
        </xdr:to>
        <xdr:sp macro="" textlink="">
          <xdr:nvSpPr>
            <xdr:cNvPr id="1390" name="Object 366" hidden="1">
              <a:extLst>
                <a:ext uri="{63B3BB69-23CF-44E3-9099-C40C66FF867C}">
                  <a14:compatExt spid="_x0000_s13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304800</xdr:colOff>
          <xdr:row>226</xdr:row>
          <xdr:rowOff>76200</xdr:rowOff>
        </xdr:from>
        <xdr:to>
          <xdr:col>7</xdr:col>
          <xdr:colOff>733425</xdr:colOff>
          <xdr:row>227</xdr:row>
          <xdr:rowOff>161925</xdr:rowOff>
        </xdr:to>
        <xdr:sp macro="" textlink="">
          <xdr:nvSpPr>
            <xdr:cNvPr id="1391" name="Object 367" hidden="1">
              <a:extLst>
                <a:ext uri="{63B3BB69-23CF-44E3-9099-C40C66FF867C}">
                  <a14:compatExt spid="_x0000_s13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428625</xdr:colOff>
          <xdr:row>223</xdr:row>
          <xdr:rowOff>152400</xdr:rowOff>
        </xdr:from>
        <xdr:to>
          <xdr:col>13</xdr:col>
          <xdr:colOff>609600</xdr:colOff>
          <xdr:row>224</xdr:row>
          <xdr:rowOff>104775</xdr:rowOff>
        </xdr:to>
        <xdr:sp macro="" textlink="">
          <xdr:nvSpPr>
            <xdr:cNvPr id="1392" name="Object 368" hidden="1">
              <a:extLst>
                <a:ext uri="{63B3BB69-23CF-44E3-9099-C40C66FF867C}">
                  <a14:compatExt spid="_x0000_s13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257175</xdr:colOff>
          <xdr:row>223</xdr:row>
          <xdr:rowOff>85725</xdr:rowOff>
        </xdr:from>
        <xdr:to>
          <xdr:col>14</xdr:col>
          <xdr:colOff>676275</xdr:colOff>
          <xdr:row>224</xdr:row>
          <xdr:rowOff>161925</xdr:rowOff>
        </xdr:to>
        <xdr:sp macro="" textlink="">
          <xdr:nvSpPr>
            <xdr:cNvPr id="1393" name="Object 369" hidden="1">
              <a:extLst>
                <a:ext uri="{63B3BB69-23CF-44E3-9099-C40C66FF867C}">
                  <a14:compatExt spid="_x0000_s1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295275</xdr:colOff>
          <xdr:row>226</xdr:row>
          <xdr:rowOff>104775</xdr:rowOff>
        </xdr:from>
        <xdr:to>
          <xdr:col>13</xdr:col>
          <xdr:colOff>733425</xdr:colOff>
          <xdr:row>228</xdr:row>
          <xdr:rowOff>0</xdr:rowOff>
        </xdr:to>
        <xdr:sp macro="" textlink="">
          <xdr:nvSpPr>
            <xdr:cNvPr id="1394" name="Object 370" hidden="1">
              <a:extLst>
                <a:ext uri="{63B3BB69-23CF-44E3-9099-C40C66FF867C}">
                  <a14:compatExt spid="_x0000_s13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295275</xdr:colOff>
          <xdr:row>226</xdr:row>
          <xdr:rowOff>104775</xdr:rowOff>
        </xdr:from>
        <xdr:to>
          <xdr:col>14</xdr:col>
          <xdr:colOff>733425</xdr:colOff>
          <xdr:row>228</xdr:row>
          <xdr:rowOff>0</xdr:rowOff>
        </xdr:to>
        <xdr:sp macro="" textlink="">
          <xdr:nvSpPr>
            <xdr:cNvPr id="1395" name="Object 371" hidden="1">
              <a:extLst>
                <a:ext uri="{63B3BB69-23CF-44E3-9099-C40C66FF867C}">
                  <a14:compatExt spid="_x0000_s13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314325</xdr:colOff>
          <xdr:row>223</xdr:row>
          <xdr:rowOff>85725</xdr:rowOff>
        </xdr:from>
        <xdr:to>
          <xdr:col>15</xdr:col>
          <xdr:colOff>733425</xdr:colOff>
          <xdr:row>224</xdr:row>
          <xdr:rowOff>161925</xdr:rowOff>
        </xdr:to>
        <xdr:sp macro="" textlink="">
          <xdr:nvSpPr>
            <xdr:cNvPr id="1396" name="Object 372" hidden="1">
              <a:extLst>
                <a:ext uri="{63B3BB69-23CF-44E3-9099-C40C66FF867C}">
                  <a14:compatExt spid="_x0000_s13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304800</xdr:colOff>
          <xdr:row>226</xdr:row>
          <xdr:rowOff>85725</xdr:rowOff>
        </xdr:from>
        <xdr:to>
          <xdr:col>15</xdr:col>
          <xdr:colOff>733425</xdr:colOff>
          <xdr:row>227</xdr:row>
          <xdr:rowOff>161925</xdr:rowOff>
        </xdr:to>
        <xdr:sp macro="" textlink="">
          <xdr:nvSpPr>
            <xdr:cNvPr id="1397" name="Object 373" hidden="1">
              <a:extLst>
                <a:ext uri="{63B3BB69-23CF-44E3-9099-C40C66FF867C}">
                  <a14:compatExt spid="_x0000_s13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304800</xdr:colOff>
          <xdr:row>226</xdr:row>
          <xdr:rowOff>76200</xdr:rowOff>
        </xdr:from>
        <xdr:to>
          <xdr:col>18</xdr:col>
          <xdr:colOff>733425</xdr:colOff>
          <xdr:row>227</xdr:row>
          <xdr:rowOff>161925</xdr:rowOff>
        </xdr:to>
        <xdr:sp macro="" textlink="">
          <xdr:nvSpPr>
            <xdr:cNvPr id="1398" name="Object 374" hidden="1">
              <a:extLst>
                <a:ext uri="{63B3BB69-23CF-44E3-9099-C40C66FF867C}">
                  <a14:compatExt spid="_x0000_s13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428625</xdr:colOff>
          <xdr:row>243</xdr:row>
          <xdr:rowOff>152400</xdr:rowOff>
        </xdr:from>
        <xdr:to>
          <xdr:col>2</xdr:col>
          <xdr:colOff>609600</xdr:colOff>
          <xdr:row>244</xdr:row>
          <xdr:rowOff>104775</xdr:rowOff>
        </xdr:to>
        <xdr:sp macro="" textlink="">
          <xdr:nvSpPr>
            <xdr:cNvPr id="1399" name="Object 375" hidden="1">
              <a:extLst>
                <a:ext uri="{63B3BB69-23CF-44E3-9099-C40C66FF867C}">
                  <a14:compatExt spid="_x0000_s13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257175</xdr:colOff>
          <xdr:row>243</xdr:row>
          <xdr:rowOff>85725</xdr:rowOff>
        </xdr:from>
        <xdr:to>
          <xdr:col>3</xdr:col>
          <xdr:colOff>676275</xdr:colOff>
          <xdr:row>244</xdr:row>
          <xdr:rowOff>161925</xdr:rowOff>
        </xdr:to>
        <xdr:sp macro="" textlink="">
          <xdr:nvSpPr>
            <xdr:cNvPr id="1400" name="Object 376" hidden="1">
              <a:extLst>
                <a:ext uri="{63B3BB69-23CF-44E3-9099-C40C66FF867C}">
                  <a14:compatExt spid="_x0000_s14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295275</xdr:colOff>
          <xdr:row>246</xdr:row>
          <xdr:rowOff>104775</xdr:rowOff>
        </xdr:from>
        <xdr:to>
          <xdr:col>2</xdr:col>
          <xdr:colOff>733425</xdr:colOff>
          <xdr:row>248</xdr:row>
          <xdr:rowOff>0</xdr:rowOff>
        </xdr:to>
        <xdr:sp macro="" textlink="">
          <xdr:nvSpPr>
            <xdr:cNvPr id="1401" name="Object 377" hidden="1">
              <a:extLst>
                <a:ext uri="{63B3BB69-23CF-44E3-9099-C40C66FF867C}">
                  <a14:compatExt spid="_x0000_s14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295275</xdr:colOff>
          <xdr:row>246</xdr:row>
          <xdr:rowOff>104775</xdr:rowOff>
        </xdr:from>
        <xdr:to>
          <xdr:col>3</xdr:col>
          <xdr:colOff>733425</xdr:colOff>
          <xdr:row>248</xdr:row>
          <xdr:rowOff>0</xdr:rowOff>
        </xdr:to>
        <xdr:sp macro="" textlink="">
          <xdr:nvSpPr>
            <xdr:cNvPr id="1402" name="Object 378" hidden="1">
              <a:extLst>
                <a:ext uri="{63B3BB69-23CF-44E3-9099-C40C66FF867C}">
                  <a14:compatExt spid="_x0000_s14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243</xdr:row>
          <xdr:rowOff>85725</xdr:rowOff>
        </xdr:from>
        <xdr:to>
          <xdr:col>4</xdr:col>
          <xdr:colOff>733425</xdr:colOff>
          <xdr:row>244</xdr:row>
          <xdr:rowOff>161925</xdr:rowOff>
        </xdr:to>
        <xdr:sp macro="" textlink="">
          <xdr:nvSpPr>
            <xdr:cNvPr id="1403" name="Object 379" hidden="1">
              <a:extLst>
                <a:ext uri="{63B3BB69-23CF-44E3-9099-C40C66FF867C}">
                  <a14:compatExt spid="_x0000_s14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246</xdr:row>
          <xdr:rowOff>85725</xdr:rowOff>
        </xdr:from>
        <xdr:to>
          <xdr:col>4</xdr:col>
          <xdr:colOff>733425</xdr:colOff>
          <xdr:row>247</xdr:row>
          <xdr:rowOff>161925</xdr:rowOff>
        </xdr:to>
        <xdr:sp macro="" textlink="">
          <xdr:nvSpPr>
            <xdr:cNvPr id="1404" name="Object 380" hidden="1">
              <a:extLst>
                <a:ext uri="{63B3BB69-23CF-44E3-9099-C40C66FF867C}">
                  <a14:compatExt spid="_x0000_s14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304800</xdr:colOff>
          <xdr:row>246</xdr:row>
          <xdr:rowOff>76200</xdr:rowOff>
        </xdr:from>
        <xdr:to>
          <xdr:col>7</xdr:col>
          <xdr:colOff>733425</xdr:colOff>
          <xdr:row>247</xdr:row>
          <xdr:rowOff>161925</xdr:rowOff>
        </xdr:to>
        <xdr:sp macro="" textlink="">
          <xdr:nvSpPr>
            <xdr:cNvPr id="1405" name="Object 381" hidden="1">
              <a:extLst>
                <a:ext uri="{63B3BB69-23CF-44E3-9099-C40C66FF867C}">
                  <a14:compatExt spid="_x0000_s14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428625</xdr:colOff>
          <xdr:row>243</xdr:row>
          <xdr:rowOff>152400</xdr:rowOff>
        </xdr:from>
        <xdr:to>
          <xdr:col>13</xdr:col>
          <xdr:colOff>609600</xdr:colOff>
          <xdr:row>244</xdr:row>
          <xdr:rowOff>104775</xdr:rowOff>
        </xdr:to>
        <xdr:sp macro="" textlink="">
          <xdr:nvSpPr>
            <xdr:cNvPr id="1406" name="Object 382" hidden="1">
              <a:extLst>
                <a:ext uri="{63B3BB69-23CF-44E3-9099-C40C66FF867C}">
                  <a14:compatExt spid="_x0000_s14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257175</xdr:colOff>
          <xdr:row>243</xdr:row>
          <xdr:rowOff>85725</xdr:rowOff>
        </xdr:from>
        <xdr:to>
          <xdr:col>14</xdr:col>
          <xdr:colOff>676275</xdr:colOff>
          <xdr:row>244</xdr:row>
          <xdr:rowOff>161925</xdr:rowOff>
        </xdr:to>
        <xdr:sp macro="" textlink="">
          <xdr:nvSpPr>
            <xdr:cNvPr id="1407" name="Object 383" hidden="1">
              <a:extLst>
                <a:ext uri="{63B3BB69-23CF-44E3-9099-C40C66FF867C}">
                  <a14:compatExt spid="_x0000_s14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295275</xdr:colOff>
          <xdr:row>246</xdr:row>
          <xdr:rowOff>104775</xdr:rowOff>
        </xdr:from>
        <xdr:to>
          <xdr:col>13</xdr:col>
          <xdr:colOff>733425</xdr:colOff>
          <xdr:row>248</xdr:row>
          <xdr:rowOff>0</xdr:rowOff>
        </xdr:to>
        <xdr:sp macro="" textlink="">
          <xdr:nvSpPr>
            <xdr:cNvPr id="1408" name="Object 384" hidden="1">
              <a:extLst>
                <a:ext uri="{63B3BB69-23CF-44E3-9099-C40C66FF867C}">
                  <a14:compatExt spid="_x0000_s14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295275</xdr:colOff>
          <xdr:row>246</xdr:row>
          <xdr:rowOff>104775</xdr:rowOff>
        </xdr:from>
        <xdr:to>
          <xdr:col>14</xdr:col>
          <xdr:colOff>733425</xdr:colOff>
          <xdr:row>248</xdr:row>
          <xdr:rowOff>0</xdr:rowOff>
        </xdr:to>
        <xdr:sp macro="" textlink="">
          <xdr:nvSpPr>
            <xdr:cNvPr id="1409" name="Object 385" hidden="1">
              <a:extLst>
                <a:ext uri="{63B3BB69-23CF-44E3-9099-C40C66FF867C}">
                  <a14:compatExt spid="_x0000_s14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314325</xdr:colOff>
          <xdr:row>243</xdr:row>
          <xdr:rowOff>85725</xdr:rowOff>
        </xdr:from>
        <xdr:to>
          <xdr:col>15</xdr:col>
          <xdr:colOff>733425</xdr:colOff>
          <xdr:row>244</xdr:row>
          <xdr:rowOff>161925</xdr:rowOff>
        </xdr:to>
        <xdr:sp macro="" textlink="">
          <xdr:nvSpPr>
            <xdr:cNvPr id="1410" name="Object 386" hidden="1">
              <a:extLst>
                <a:ext uri="{63B3BB69-23CF-44E3-9099-C40C66FF867C}">
                  <a14:compatExt spid="_x0000_s14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304800</xdr:colOff>
          <xdr:row>246</xdr:row>
          <xdr:rowOff>85725</xdr:rowOff>
        </xdr:from>
        <xdr:to>
          <xdr:col>15</xdr:col>
          <xdr:colOff>733425</xdr:colOff>
          <xdr:row>247</xdr:row>
          <xdr:rowOff>161925</xdr:rowOff>
        </xdr:to>
        <xdr:sp macro="" textlink="">
          <xdr:nvSpPr>
            <xdr:cNvPr id="1411" name="Object 387" hidden="1">
              <a:extLst>
                <a:ext uri="{63B3BB69-23CF-44E3-9099-C40C66FF867C}">
                  <a14:compatExt spid="_x0000_s14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304800</xdr:colOff>
          <xdr:row>246</xdr:row>
          <xdr:rowOff>76200</xdr:rowOff>
        </xdr:from>
        <xdr:to>
          <xdr:col>18</xdr:col>
          <xdr:colOff>733425</xdr:colOff>
          <xdr:row>247</xdr:row>
          <xdr:rowOff>161925</xdr:rowOff>
        </xdr:to>
        <xdr:sp macro="" textlink="">
          <xdr:nvSpPr>
            <xdr:cNvPr id="1412" name="Object 388" hidden="1">
              <a:extLst>
                <a:ext uri="{63B3BB69-23CF-44E3-9099-C40C66FF867C}">
                  <a14:compatExt spid="_x0000_s14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428625</xdr:colOff>
          <xdr:row>263</xdr:row>
          <xdr:rowOff>152400</xdr:rowOff>
        </xdr:from>
        <xdr:to>
          <xdr:col>2</xdr:col>
          <xdr:colOff>609600</xdr:colOff>
          <xdr:row>264</xdr:row>
          <xdr:rowOff>104775</xdr:rowOff>
        </xdr:to>
        <xdr:sp macro="" textlink="">
          <xdr:nvSpPr>
            <xdr:cNvPr id="1413" name="Object 389" hidden="1">
              <a:extLst>
                <a:ext uri="{63B3BB69-23CF-44E3-9099-C40C66FF867C}">
                  <a14:compatExt spid="_x0000_s14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257175</xdr:colOff>
          <xdr:row>263</xdr:row>
          <xdr:rowOff>85725</xdr:rowOff>
        </xdr:from>
        <xdr:to>
          <xdr:col>3</xdr:col>
          <xdr:colOff>676275</xdr:colOff>
          <xdr:row>264</xdr:row>
          <xdr:rowOff>161925</xdr:rowOff>
        </xdr:to>
        <xdr:sp macro="" textlink="">
          <xdr:nvSpPr>
            <xdr:cNvPr id="1414" name="Object 390" hidden="1">
              <a:extLst>
                <a:ext uri="{63B3BB69-23CF-44E3-9099-C40C66FF867C}">
                  <a14:compatExt spid="_x0000_s1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295275</xdr:colOff>
          <xdr:row>266</xdr:row>
          <xdr:rowOff>104775</xdr:rowOff>
        </xdr:from>
        <xdr:to>
          <xdr:col>2</xdr:col>
          <xdr:colOff>733425</xdr:colOff>
          <xdr:row>268</xdr:row>
          <xdr:rowOff>0</xdr:rowOff>
        </xdr:to>
        <xdr:sp macro="" textlink="">
          <xdr:nvSpPr>
            <xdr:cNvPr id="1415" name="Object 391" hidden="1">
              <a:extLst>
                <a:ext uri="{63B3BB69-23CF-44E3-9099-C40C66FF867C}">
                  <a14:compatExt spid="_x0000_s14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295275</xdr:colOff>
          <xdr:row>266</xdr:row>
          <xdr:rowOff>104775</xdr:rowOff>
        </xdr:from>
        <xdr:to>
          <xdr:col>3</xdr:col>
          <xdr:colOff>733425</xdr:colOff>
          <xdr:row>268</xdr:row>
          <xdr:rowOff>0</xdr:rowOff>
        </xdr:to>
        <xdr:sp macro="" textlink="">
          <xdr:nvSpPr>
            <xdr:cNvPr id="1416" name="Object 392" hidden="1">
              <a:extLst>
                <a:ext uri="{63B3BB69-23CF-44E3-9099-C40C66FF867C}">
                  <a14:compatExt spid="_x0000_s14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263</xdr:row>
          <xdr:rowOff>85725</xdr:rowOff>
        </xdr:from>
        <xdr:to>
          <xdr:col>4</xdr:col>
          <xdr:colOff>733425</xdr:colOff>
          <xdr:row>264</xdr:row>
          <xdr:rowOff>161925</xdr:rowOff>
        </xdr:to>
        <xdr:sp macro="" textlink="">
          <xdr:nvSpPr>
            <xdr:cNvPr id="1417" name="Object 393" hidden="1">
              <a:extLst>
                <a:ext uri="{63B3BB69-23CF-44E3-9099-C40C66FF867C}">
                  <a14:compatExt spid="_x0000_s1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266</xdr:row>
          <xdr:rowOff>85725</xdr:rowOff>
        </xdr:from>
        <xdr:to>
          <xdr:col>4</xdr:col>
          <xdr:colOff>733425</xdr:colOff>
          <xdr:row>267</xdr:row>
          <xdr:rowOff>161925</xdr:rowOff>
        </xdr:to>
        <xdr:sp macro="" textlink="">
          <xdr:nvSpPr>
            <xdr:cNvPr id="1418" name="Object 394" hidden="1">
              <a:extLst>
                <a:ext uri="{63B3BB69-23CF-44E3-9099-C40C66FF867C}">
                  <a14:compatExt spid="_x0000_s14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304800</xdr:colOff>
          <xdr:row>266</xdr:row>
          <xdr:rowOff>76200</xdr:rowOff>
        </xdr:from>
        <xdr:to>
          <xdr:col>7</xdr:col>
          <xdr:colOff>733425</xdr:colOff>
          <xdr:row>267</xdr:row>
          <xdr:rowOff>161925</xdr:rowOff>
        </xdr:to>
        <xdr:sp macro="" textlink="">
          <xdr:nvSpPr>
            <xdr:cNvPr id="1419" name="Object 395" hidden="1">
              <a:extLst>
                <a:ext uri="{63B3BB69-23CF-44E3-9099-C40C66FF867C}">
                  <a14:compatExt spid="_x0000_s14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428625</xdr:colOff>
          <xdr:row>263</xdr:row>
          <xdr:rowOff>152400</xdr:rowOff>
        </xdr:from>
        <xdr:to>
          <xdr:col>13</xdr:col>
          <xdr:colOff>609600</xdr:colOff>
          <xdr:row>264</xdr:row>
          <xdr:rowOff>104775</xdr:rowOff>
        </xdr:to>
        <xdr:sp macro="" textlink="">
          <xdr:nvSpPr>
            <xdr:cNvPr id="1420" name="Object 396" hidden="1">
              <a:extLst>
                <a:ext uri="{63B3BB69-23CF-44E3-9099-C40C66FF867C}">
                  <a14:compatExt spid="_x0000_s14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257175</xdr:colOff>
          <xdr:row>263</xdr:row>
          <xdr:rowOff>85725</xdr:rowOff>
        </xdr:from>
        <xdr:to>
          <xdr:col>14</xdr:col>
          <xdr:colOff>676275</xdr:colOff>
          <xdr:row>264</xdr:row>
          <xdr:rowOff>161925</xdr:rowOff>
        </xdr:to>
        <xdr:sp macro="" textlink="">
          <xdr:nvSpPr>
            <xdr:cNvPr id="1421" name="Object 397" hidden="1">
              <a:extLst>
                <a:ext uri="{63B3BB69-23CF-44E3-9099-C40C66FF867C}">
                  <a14:compatExt spid="_x0000_s14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295275</xdr:colOff>
          <xdr:row>266</xdr:row>
          <xdr:rowOff>104775</xdr:rowOff>
        </xdr:from>
        <xdr:to>
          <xdr:col>13</xdr:col>
          <xdr:colOff>733425</xdr:colOff>
          <xdr:row>268</xdr:row>
          <xdr:rowOff>0</xdr:rowOff>
        </xdr:to>
        <xdr:sp macro="" textlink="">
          <xdr:nvSpPr>
            <xdr:cNvPr id="1422" name="Object 398" hidden="1">
              <a:extLst>
                <a:ext uri="{63B3BB69-23CF-44E3-9099-C40C66FF867C}">
                  <a14:compatExt spid="_x0000_s14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295275</xdr:colOff>
          <xdr:row>266</xdr:row>
          <xdr:rowOff>104775</xdr:rowOff>
        </xdr:from>
        <xdr:to>
          <xdr:col>14</xdr:col>
          <xdr:colOff>733425</xdr:colOff>
          <xdr:row>268</xdr:row>
          <xdr:rowOff>0</xdr:rowOff>
        </xdr:to>
        <xdr:sp macro="" textlink="">
          <xdr:nvSpPr>
            <xdr:cNvPr id="1423" name="Object 399" hidden="1">
              <a:extLst>
                <a:ext uri="{63B3BB69-23CF-44E3-9099-C40C66FF867C}">
                  <a14:compatExt spid="_x0000_s14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314325</xdr:colOff>
          <xdr:row>263</xdr:row>
          <xdr:rowOff>85725</xdr:rowOff>
        </xdr:from>
        <xdr:to>
          <xdr:col>15</xdr:col>
          <xdr:colOff>733425</xdr:colOff>
          <xdr:row>264</xdr:row>
          <xdr:rowOff>161925</xdr:rowOff>
        </xdr:to>
        <xdr:sp macro="" textlink="">
          <xdr:nvSpPr>
            <xdr:cNvPr id="1424" name="Object 400" hidden="1">
              <a:extLst>
                <a:ext uri="{63B3BB69-23CF-44E3-9099-C40C66FF867C}">
                  <a14:compatExt spid="_x0000_s14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304800</xdr:colOff>
          <xdr:row>266</xdr:row>
          <xdr:rowOff>85725</xdr:rowOff>
        </xdr:from>
        <xdr:to>
          <xdr:col>15</xdr:col>
          <xdr:colOff>733425</xdr:colOff>
          <xdr:row>267</xdr:row>
          <xdr:rowOff>161925</xdr:rowOff>
        </xdr:to>
        <xdr:sp macro="" textlink="">
          <xdr:nvSpPr>
            <xdr:cNvPr id="1425" name="Object 401" hidden="1">
              <a:extLst>
                <a:ext uri="{63B3BB69-23CF-44E3-9099-C40C66FF867C}">
                  <a14:compatExt spid="_x0000_s14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304800</xdr:colOff>
          <xdr:row>266</xdr:row>
          <xdr:rowOff>76200</xdr:rowOff>
        </xdr:from>
        <xdr:to>
          <xdr:col>18</xdr:col>
          <xdr:colOff>733425</xdr:colOff>
          <xdr:row>267</xdr:row>
          <xdr:rowOff>161925</xdr:rowOff>
        </xdr:to>
        <xdr:sp macro="" textlink="">
          <xdr:nvSpPr>
            <xdr:cNvPr id="1426" name="Object 402" hidden="1">
              <a:extLst>
                <a:ext uri="{63B3BB69-23CF-44E3-9099-C40C66FF867C}">
                  <a14:compatExt spid="_x0000_s14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428625</xdr:colOff>
          <xdr:row>283</xdr:row>
          <xdr:rowOff>152400</xdr:rowOff>
        </xdr:from>
        <xdr:to>
          <xdr:col>2</xdr:col>
          <xdr:colOff>609600</xdr:colOff>
          <xdr:row>284</xdr:row>
          <xdr:rowOff>104775</xdr:rowOff>
        </xdr:to>
        <xdr:sp macro="" textlink="">
          <xdr:nvSpPr>
            <xdr:cNvPr id="1427" name="Object 403" hidden="1">
              <a:extLst>
                <a:ext uri="{63B3BB69-23CF-44E3-9099-C40C66FF867C}">
                  <a14:compatExt spid="_x0000_s14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257175</xdr:colOff>
          <xdr:row>283</xdr:row>
          <xdr:rowOff>85725</xdr:rowOff>
        </xdr:from>
        <xdr:to>
          <xdr:col>3</xdr:col>
          <xdr:colOff>676275</xdr:colOff>
          <xdr:row>284</xdr:row>
          <xdr:rowOff>161925</xdr:rowOff>
        </xdr:to>
        <xdr:sp macro="" textlink="">
          <xdr:nvSpPr>
            <xdr:cNvPr id="1428" name="Object 404" hidden="1">
              <a:extLst>
                <a:ext uri="{63B3BB69-23CF-44E3-9099-C40C66FF867C}">
                  <a14:compatExt spid="_x0000_s14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295275</xdr:colOff>
          <xdr:row>286</xdr:row>
          <xdr:rowOff>104775</xdr:rowOff>
        </xdr:from>
        <xdr:to>
          <xdr:col>2</xdr:col>
          <xdr:colOff>733425</xdr:colOff>
          <xdr:row>288</xdr:row>
          <xdr:rowOff>0</xdr:rowOff>
        </xdr:to>
        <xdr:sp macro="" textlink="">
          <xdr:nvSpPr>
            <xdr:cNvPr id="1429" name="Object 405" hidden="1">
              <a:extLst>
                <a:ext uri="{63B3BB69-23CF-44E3-9099-C40C66FF867C}">
                  <a14:compatExt spid="_x0000_s14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295275</xdr:colOff>
          <xdr:row>286</xdr:row>
          <xdr:rowOff>104775</xdr:rowOff>
        </xdr:from>
        <xdr:to>
          <xdr:col>3</xdr:col>
          <xdr:colOff>733425</xdr:colOff>
          <xdr:row>288</xdr:row>
          <xdr:rowOff>0</xdr:rowOff>
        </xdr:to>
        <xdr:sp macro="" textlink="">
          <xdr:nvSpPr>
            <xdr:cNvPr id="1430" name="Object 406" hidden="1">
              <a:extLst>
                <a:ext uri="{63B3BB69-23CF-44E3-9099-C40C66FF867C}">
                  <a14:compatExt spid="_x0000_s14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283</xdr:row>
          <xdr:rowOff>85725</xdr:rowOff>
        </xdr:from>
        <xdr:to>
          <xdr:col>4</xdr:col>
          <xdr:colOff>733425</xdr:colOff>
          <xdr:row>284</xdr:row>
          <xdr:rowOff>161925</xdr:rowOff>
        </xdr:to>
        <xdr:sp macro="" textlink="">
          <xdr:nvSpPr>
            <xdr:cNvPr id="1431" name="Object 407" hidden="1">
              <a:extLst>
                <a:ext uri="{63B3BB69-23CF-44E3-9099-C40C66FF867C}">
                  <a14:compatExt spid="_x0000_s14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286</xdr:row>
          <xdr:rowOff>85725</xdr:rowOff>
        </xdr:from>
        <xdr:to>
          <xdr:col>4</xdr:col>
          <xdr:colOff>733425</xdr:colOff>
          <xdr:row>287</xdr:row>
          <xdr:rowOff>161925</xdr:rowOff>
        </xdr:to>
        <xdr:sp macro="" textlink="">
          <xdr:nvSpPr>
            <xdr:cNvPr id="1432" name="Object 408" hidden="1">
              <a:extLst>
                <a:ext uri="{63B3BB69-23CF-44E3-9099-C40C66FF867C}">
                  <a14:compatExt spid="_x0000_s14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304800</xdr:colOff>
          <xdr:row>286</xdr:row>
          <xdr:rowOff>76200</xdr:rowOff>
        </xdr:from>
        <xdr:to>
          <xdr:col>7</xdr:col>
          <xdr:colOff>733425</xdr:colOff>
          <xdr:row>287</xdr:row>
          <xdr:rowOff>161925</xdr:rowOff>
        </xdr:to>
        <xdr:sp macro="" textlink="">
          <xdr:nvSpPr>
            <xdr:cNvPr id="1433" name="Object 409" hidden="1">
              <a:extLst>
                <a:ext uri="{63B3BB69-23CF-44E3-9099-C40C66FF867C}">
                  <a14:compatExt spid="_x0000_s14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428625</xdr:colOff>
          <xdr:row>283</xdr:row>
          <xdr:rowOff>152400</xdr:rowOff>
        </xdr:from>
        <xdr:to>
          <xdr:col>13</xdr:col>
          <xdr:colOff>609600</xdr:colOff>
          <xdr:row>284</xdr:row>
          <xdr:rowOff>104775</xdr:rowOff>
        </xdr:to>
        <xdr:sp macro="" textlink="">
          <xdr:nvSpPr>
            <xdr:cNvPr id="1434" name="Object 410" hidden="1">
              <a:extLst>
                <a:ext uri="{63B3BB69-23CF-44E3-9099-C40C66FF867C}">
                  <a14:compatExt spid="_x0000_s14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257175</xdr:colOff>
          <xdr:row>283</xdr:row>
          <xdr:rowOff>85725</xdr:rowOff>
        </xdr:from>
        <xdr:to>
          <xdr:col>14</xdr:col>
          <xdr:colOff>676275</xdr:colOff>
          <xdr:row>284</xdr:row>
          <xdr:rowOff>161925</xdr:rowOff>
        </xdr:to>
        <xdr:sp macro="" textlink="">
          <xdr:nvSpPr>
            <xdr:cNvPr id="1435" name="Object 411" hidden="1">
              <a:extLst>
                <a:ext uri="{63B3BB69-23CF-44E3-9099-C40C66FF867C}">
                  <a14:compatExt spid="_x0000_s14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295275</xdr:colOff>
          <xdr:row>286</xdr:row>
          <xdr:rowOff>104775</xdr:rowOff>
        </xdr:from>
        <xdr:to>
          <xdr:col>13</xdr:col>
          <xdr:colOff>733425</xdr:colOff>
          <xdr:row>288</xdr:row>
          <xdr:rowOff>0</xdr:rowOff>
        </xdr:to>
        <xdr:sp macro="" textlink="">
          <xdr:nvSpPr>
            <xdr:cNvPr id="1436" name="Object 412" hidden="1">
              <a:extLst>
                <a:ext uri="{63B3BB69-23CF-44E3-9099-C40C66FF867C}">
                  <a14:compatExt spid="_x0000_s14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295275</xdr:colOff>
          <xdr:row>286</xdr:row>
          <xdr:rowOff>104775</xdr:rowOff>
        </xdr:from>
        <xdr:to>
          <xdr:col>14</xdr:col>
          <xdr:colOff>733425</xdr:colOff>
          <xdr:row>288</xdr:row>
          <xdr:rowOff>0</xdr:rowOff>
        </xdr:to>
        <xdr:sp macro="" textlink="">
          <xdr:nvSpPr>
            <xdr:cNvPr id="1437" name="Object 413" hidden="1">
              <a:extLst>
                <a:ext uri="{63B3BB69-23CF-44E3-9099-C40C66FF867C}">
                  <a14:compatExt spid="_x0000_s14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314325</xdr:colOff>
          <xdr:row>283</xdr:row>
          <xdr:rowOff>85725</xdr:rowOff>
        </xdr:from>
        <xdr:to>
          <xdr:col>15</xdr:col>
          <xdr:colOff>733425</xdr:colOff>
          <xdr:row>284</xdr:row>
          <xdr:rowOff>161925</xdr:rowOff>
        </xdr:to>
        <xdr:sp macro="" textlink="">
          <xdr:nvSpPr>
            <xdr:cNvPr id="1438" name="Object 414" hidden="1">
              <a:extLst>
                <a:ext uri="{63B3BB69-23CF-44E3-9099-C40C66FF867C}">
                  <a14:compatExt spid="_x0000_s14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304800</xdr:colOff>
          <xdr:row>286</xdr:row>
          <xdr:rowOff>85725</xdr:rowOff>
        </xdr:from>
        <xdr:to>
          <xdr:col>15</xdr:col>
          <xdr:colOff>733425</xdr:colOff>
          <xdr:row>287</xdr:row>
          <xdr:rowOff>161925</xdr:rowOff>
        </xdr:to>
        <xdr:sp macro="" textlink="">
          <xdr:nvSpPr>
            <xdr:cNvPr id="1439" name="Object 415" hidden="1">
              <a:extLst>
                <a:ext uri="{63B3BB69-23CF-44E3-9099-C40C66FF867C}">
                  <a14:compatExt spid="_x0000_s14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304800</xdr:colOff>
          <xdr:row>286</xdr:row>
          <xdr:rowOff>76200</xdr:rowOff>
        </xdr:from>
        <xdr:to>
          <xdr:col>18</xdr:col>
          <xdr:colOff>733425</xdr:colOff>
          <xdr:row>287</xdr:row>
          <xdr:rowOff>161925</xdr:rowOff>
        </xdr:to>
        <xdr:sp macro="" textlink="">
          <xdr:nvSpPr>
            <xdr:cNvPr id="1440" name="Object 416" hidden="1">
              <a:extLst>
                <a:ext uri="{63B3BB69-23CF-44E3-9099-C40C66FF867C}">
                  <a14:compatExt spid="_x0000_s14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428625</xdr:colOff>
          <xdr:row>303</xdr:row>
          <xdr:rowOff>152400</xdr:rowOff>
        </xdr:from>
        <xdr:to>
          <xdr:col>2</xdr:col>
          <xdr:colOff>609600</xdr:colOff>
          <xdr:row>304</xdr:row>
          <xdr:rowOff>104775</xdr:rowOff>
        </xdr:to>
        <xdr:sp macro="" textlink="">
          <xdr:nvSpPr>
            <xdr:cNvPr id="1441" name="Object 417" hidden="1">
              <a:extLst>
                <a:ext uri="{63B3BB69-23CF-44E3-9099-C40C66FF867C}">
                  <a14:compatExt spid="_x0000_s1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257175</xdr:colOff>
          <xdr:row>303</xdr:row>
          <xdr:rowOff>85725</xdr:rowOff>
        </xdr:from>
        <xdr:to>
          <xdr:col>3</xdr:col>
          <xdr:colOff>676275</xdr:colOff>
          <xdr:row>304</xdr:row>
          <xdr:rowOff>161925</xdr:rowOff>
        </xdr:to>
        <xdr:sp macro="" textlink="">
          <xdr:nvSpPr>
            <xdr:cNvPr id="1442" name="Object 418" hidden="1">
              <a:extLst>
                <a:ext uri="{63B3BB69-23CF-44E3-9099-C40C66FF867C}">
                  <a14:compatExt spid="_x0000_s1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295275</xdr:colOff>
          <xdr:row>306</xdr:row>
          <xdr:rowOff>104775</xdr:rowOff>
        </xdr:from>
        <xdr:to>
          <xdr:col>2</xdr:col>
          <xdr:colOff>733425</xdr:colOff>
          <xdr:row>308</xdr:row>
          <xdr:rowOff>0</xdr:rowOff>
        </xdr:to>
        <xdr:sp macro="" textlink="">
          <xdr:nvSpPr>
            <xdr:cNvPr id="1443" name="Object 419" hidden="1">
              <a:extLst>
                <a:ext uri="{63B3BB69-23CF-44E3-9099-C40C66FF867C}">
                  <a14:compatExt spid="_x0000_s14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295275</xdr:colOff>
          <xdr:row>306</xdr:row>
          <xdr:rowOff>104775</xdr:rowOff>
        </xdr:from>
        <xdr:to>
          <xdr:col>3</xdr:col>
          <xdr:colOff>733425</xdr:colOff>
          <xdr:row>308</xdr:row>
          <xdr:rowOff>0</xdr:rowOff>
        </xdr:to>
        <xdr:sp macro="" textlink="">
          <xdr:nvSpPr>
            <xdr:cNvPr id="1444" name="Object 420" hidden="1">
              <a:extLst>
                <a:ext uri="{63B3BB69-23CF-44E3-9099-C40C66FF867C}">
                  <a14:compatExt spid="_x0000_s14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303</xdr:row>
          <xdr:rowOff>85725</xdr:rowOff>
        </xdr:from>
        <xdr:to>
          <xdr:col>4</xdr:col>
          <xdr:colOff>733425</xdr:colOff>
          <xdr:row>304</xdr:row>
          <xdr:rowOff>161925</xdr:rowOff>
        </xdr:to>
        <xdr:sp macro="" textlink="">
          <xdr:nvSpPr>
            <xdr:cNvPr id="1445" name="Object 421" hidden="1">
              <a:extLst>
                <a:ext uri="{63B3BB69-23CF-44E3-9099-C40C66FF867C}">
                  <a14:compatExt spid="_x0000_s14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306</xdr:row>
          <xdr:rowOff>85725</xdr:rowOff>
        </xdr:from>
        <xdr:to>
          <xdr:col>4</xdr:col>
          <xdr:colOff>733425</xdr:colOff>
          <xdr:row>307</xdr:row>
          <xdr:rowOff>161925</xdr:rowOff>
        </xdr:to>
        <xdr:sp macro="" textlink="">
          <xdr:nvSpPr>
            <xdr:cNvPr id="1446" name="Object 422" hidden="1">
              <a:extLst>
                <a:ext uri="{63B3BB69-23CF-44E3-9099-C40C66FF867C}">
                  <a14:compatExt spid="_x0000_s14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304800</xdr:colOff>
          <xdr:row>306</xdr:row>
          <xdr:rowOff>76200</xdr:rowOff>
        </xdr:from>
        <xdr:to>
          <xdr:col>7</xdr:col>
          <xdr:colOff>733425</xdr:colOff>
          <xdr:row>307</xdr:row>
          <xdr:rowOff>161925</xdr:rowOff>
        </xdr:to>
        <xdr:sp macro="" textlink="">
          <xdr:nvSpPr>
            <xdr:cNvPr id="1447" name="Object 423" hidden="1">
              <a:extLst>
                <a:ext uri="{63B3BB69-23CF-44E3-9099-C40C66FF867C}">
                  <a14:compatExt spid="_x0000_s14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428625</xdr:colOff>
          <xdr:row>303</xdr:row>
          <xdr:rowOff>152400</xdr:rowOff>
        </xdr:from>
        <xdr:to>
          <xdr:col>13</xdr:col>
          <xdr:colOff>609600</xdr:colOff>
          <xdr:row>304</xdr:row>
          <xdr:rowOff>104775</xdr:rowOff>
        </xdr:to>
        <xdr:sp macro="" textlink="">
          <xdr:nvSpPr>
            <xdr:cNvPr id="1448" name="Object 424" hidden="1">
              <a:extLst>
                <a:ext uri="{63B3BB69-23CF-44E3-9099-C40C66FF867C}">
                  <a14:compatExt spid="_x0000_s14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257175</xdr:colOff>
          <xdr:row>303</xdr:row>
          <xdr:rowOff>85725</xdr:rowOff>
        </xdr:from>
        <xdr:to>
          <xdr:col>14</xdr:col>
          <xdr:colOff>676275</xdr:colOff>
          <xdr:row>304</xdr:row>
          <xdr:rowOff>161925</xdr:rowOff>
        </xdr:to>
        <xdr:sp macro="" textlink="">
          <xdr:nvSpPr>
            <xdr:cNvPr id="1449" name="Object 425" hidden="1">
              <a:extLst>
                <a:ext uri="{63B3BB69-23CF-44E3-9099-C40C66FF867C}">
                  <a14:compatExt spid="_x0000_s14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295275</xdr:colOff>
          <xdr:row>306</xdr:row>
          <xdr:rowOff>104775</xdr:rowOff>
        </xdr:from>
        <xdr:to>
          <xdr:col>13</xdr:col>
          <xdr:colOff>733425</xdr:colOff>
          <xdr:row>308</xdr:row>
          <xdr:rowOff>0</xdr:rowOff>
        </xdr:to>
        <xdr:sp macro="" textlink="">
          <xdr:nvSpPr>
            <xdr:cNvPr id="1450" name="Object 426" hidden="1">
              <a:extLst>
                <a:ext uri="{63B3BB69-23CF-44E3-9099-C40C66FF867C}">
                  <a14:compatExt spid="_x0000_s14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295275</xdr:colOff>
          <xdr:row>306</xdr:row>
          <xdr:rowOff>104775</xdr:rowOff>
        </xdr:from>
        <xdr:to>
          <xdr:col>14</xdr:col>
          <xdr:colOff>733425</xdr:colOff>
          <xdr:row>308</xdr:row>
          <xdr:rowOff>0</xdr:rowOff>
        </xdr:to>
        <xdr:sp macro="" textlink="">
          <xdr:nvSpPr>
            <xdr:cNvPr id="1451" name="Object 427" hidden="1">
              <a:extLst>
                <a:ext uri="{63B3BB69-23CF-44E3-9099-C40C66FF867C}">
                  <a14:compatExt spid="_x0000_s14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314325</xdr:colOff>
          <xdr:row>303</xdr:row>
          <xdr:rowOff>85725</xdr:rowOff>
        </xdr:from>
        <xdr:to>
          <xdr:col>15</xdr:col>
          <xdr:colOff>733425</xdr:colOff>
          <xdr:row>304</xdr:row>
          <xdr:rowOff>161925</xdr:rowOff>
        </xdr:to>
        <xdr:sp macro="" textlink="">
          <xdr:nvSpPr>
            <xdr:cNvPr id="1452" name="Object 428" hidden="1">
              <a:extLst>
                <a:ext uri="{63B3BB69-23CF-44E3-9099-C40C66FF867C}">
                  <a14:compatExt spid="_x0000_s14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304800</xdr:colOff>
          <xdr:row>306</xdr:row>
          <xdr:rowOff>85725</xdr:rowOff>
        </xdr:from>
        <xdr:to>
          <xdr:col>15</xdr:col>
          <xdr:colOff>733425</xdr:colOff>
          <xdr:row>307</xdr:row>
          <xdr:rowOff>161925</xdr:rowOff>
        </xdr:to>
        <xdr:sp macro="" textlink="">
          <xdr:nvSpPr>
            <xdr:cNvPr id="1453" name="Object 429" hidden="1">
              <a:extLst>
                <a:ext uri="{63B3BB69-23CF-44E3-9099-C40C66FF867C}">
                  <a14:compatExt spid="_x0000_s14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304800</xdr:colOff>
          <xdr:row>306</xdr:row>
          <xdr:rowOff>76200</xdr:rowOff>
        </xdr:from>
        <xdr:to>
          <xdr:col>18</xdr:col>
          <xdr:colOff>733425</xdr:colOff>
          <xdr:row>307</xdr:row>
          <xdr:rowOff>161925</xdr:rowOff>
        </xdr:to>
        <xdr:sp macro="" textlink="">
          <xdr:nvSpPr>
            <xdr:cNvPr id="1454" name="Object 430" hidden="1">
              <a:extLst>
                <a:ext uri="{63B3BB69-23CF-44E3-9099-C40C66FF867C}">
                  <a14:compatExt spid="_x0000_s14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428625</xdr:colOff>
          <xdr:row>323</xdr:row>
          <xdr:rowOff>152400</xdr:rowOff>
        </xdr:from>
        <xdr:to>
          <xdr:col>2</xdr:col>
          <xdr:colOff>609600</xdr:colOff>
          <xdr:row>324</xdr:row>
          <xdr:rowOff>104775</xdr:rowOff>
        </xdr:to>
        <xdr:sp macro="" textlink="">
          <xdr:nvSpPr>
            <xdr:cNvPr id="1455" name="Object 431" hidden="1">
              <a:extLst>
                <a:ext uri="{63B3BB69-23CF-44E3-9099-C40C66FF867C}">
                  <a14:compatExt spid="_x0000_s14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257175</xdr:colOff>
          <xdr:row>323</xdr:row>
          <xdr:rowOff>85725</xdr:rowOff>
        </xdr:from>
        <xdr:to>
          <xdr:col>3</xdr:col>
          <xdr:colOff>676275</xdr:colOff>
          <xdr:row>324</xdr:row>
          <xdr:rowOff>161925</xdr:rowOff>
        </xdr:to>
        <xdr:sp macro="" textlink="">
          <xdr:nvSpPr>
            <xdr:cNvPr id="1456" name="Object 432" hidden="1">
              <a:extLst>
                <a:ext uri="{63B3BB69-23CF-44E3-9099-C40C66FF867C}">
                  <a14:compatExt spid="_x0000_s14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295275</xdr:colOff>
          <xdr:row>326</xdr:row>
          <xdr:rowOff>104775</xdr:rowOff>
        </xdr:from>
        <xdr:to>
          <xdr:col>2</xdr:col>
          <xdr:colOff>733425</xdr:colOff>
          <xdr:row>328</xdr:row>
          <xdr:rowOff>0</xdr:rowOff>
        </xdr:to>
        <xdr:sp macro="" textlink="">
          <xdr:nvSpPr>
            <xdr:cNvPr id="1457" name="Object 433" hidden="1">
              <a:extLst>
                <a:ext uri="{63B3BB69-23CF-44E3-9099-C40C66FF867C}">
                  <a14:compatExt spid="_x0000_s14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295275</xdr:colOff>
          <xdr:row>326</xdr:row>
          <xdr:rowOff>104775</xdr:rowOff>
        </xdr:from>
        <xdr:to>
          <xdr:col>3</xdr:col>
          <xdr:colOff>733425</xdr:colOff>
          <xdr:row>328</xdr:row>
          <xdr:rowOff>0</xdr:rowOff>
        </xdr:to>
        <xdr:sp macro="" textlink="">
          <xdr:nvSpPr>
            <xdr:cNvPr id="1458" name="Object 434" hidden="1">
              <a:extLst>
                <a:ext uri="{63B3BB69-23CF-44E3-9099-C40C66FF867C}">
                  <a14:compatExt spid="_x0000_s1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323</xdr:row>
          <xdr:rowOff>85725</xdr:rowOff>
        </xdr:from>
        <xdr:to>
          <xdr:col>4</xdr:col>
          <xdr:colOff>733425</xdr:colOff>
          <xdr:row>324</xdr:row>
          <xdr:rowOff>161925</xdr:rowOff>
        </xdr:to>
        <xdr:sp macro="" textlink="">
          <xdr:nvSpPr>
            <xdr:cNvPr id="1459" name="Object 435" hidden="1">
              <a:extLst>
                <a:ext uri="{63B3BB69-23CF-44E3-9099-C40C66FF867C}">
                  <a14:compatExt spid="_x0000_s14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326</xdr:row>
          <xdr:rowOff>85725</xdr:rowOff>
        </xdr:from>
        <xdr:to>
          <xdr:col>4</xdr:col>
          <xdr:colOff>733425</xdr:colOff>
          <xdr:row>327</xdr:row>
          <xdr:rowOff>161925</xdr:rowOff>
        </xdr:to>
        <xdr:sp macro="" textlink="">
          <xdr:nvSpPr>
            <xdr:cNvPr id="1460" name="Object 436" hidden="1">
              <a:extLst>
                <a:ext uri="{63B3BB69-23CF-44E3-9099-C40C66FF867C}">
                  <a14:compatExt spid="_x0000_s14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304800</xdr:colOff>
          <xdr:row>326</xdr:row>
          <xdr:rowOff>76200</xdr:rowOff>
        </xdr:from>
        <xdr:to>
          <xdr:col>7</xdr:col>
          <xdr:colOff>733425</xdr:colOff>
          <xdr:row>327</xdr:row>
          <xdr:rowOff>161925</xdr:rowOff>
        </xdr:to>
        <xdr:sp macro="" textlink="">
          <xdr:nvSpPr>
            <xdr:cNvPr id="1461" name="Object 437" hidden="1">
              <a:extLst>
                <a:ext uri="{63B3BB69-23CF-44E3-9099-C40C66FF867C}">
                  <a14:compatExt spid="_x0000_s14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428625</xdr:colOff>
          <xdr:row>323</xdr:row>
          <xdr:rowOff>152400</xdr:rowOff>
        </xdr:from>
        <xdr:to>
          <xdr:col>13</xdr:col>
          <xdr:colOff>609600</xdr:colOff>
          <xdr:row>324</xdr:row>
          <xdr:rowOff>104775</xdr:rowOff>
        </xdr:to>
        <xdr:sp macro="" textlink="">
          <xdr:nvSpPr>
            <xdr:cNvPr id="1462" name="Object 438" hidden="1">
              <a:extLst>
                <a:ext uri="{63B3BB69-23CF-44E3-9099-C40C66FF867C}">
                  <a14:compatExt spid="_x0000_s14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257175</xdr:colOff>
          <xdr:row>323</xdr:row>
          <xdr:rowOff>85725</xdr:rowOff>
        </xdr:from>
        <xdr:to>
          <xdr:col>14</xdr:col>
          <xdr:colOff>676275</xdr:colOff>
          <xdr:row>324</xdr:row>
          <xdr:rowOff>161925</xdr:rowOff>
        </xdr:to>
        <xdr:sp macro="" textlink="">
          <xdr:nvSpPr>
            <xdr:cNvPr id="1463" name="Object 439" hidden="1">
              <a:extLst>
                <a:ext uri="{63B3BB69-23CF-44E3-9099-C40C66FF867C}">
                  <a14:compatExt spid="_x0000_s14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295275</xdr:colOff>
          <xdr:row>326</xdr:row>
          <xdr:rowOff>104775</xdr:rowOff>
        </xdr:from>
        <xdr:to>
          <xdr:col>13</xdr:col>
          <xdr:colOff>733425</xdr:colOff>
          <xdr:row>328</xdr:row>
          <xdr:rowOff>0</xdr:rowOff>
        </xdr:to>
        <xdr:sp macro="" textlink="">
          <xdr:nvSpPr>
            <xdr:cNvPr id="1464" name="Object 440" hidden="1">
              <a:extLst>
                <a:ext uri="{63B3BB69-23CF-44E3-9099-C40C66FF867C}">
                  <a14:compatExt spid="_x0000_s14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295275</xdr:colOff>
          <xdr:row>326</xdr:row>
          <xdr:rowOff>104775</xdr:rowOff>
        </xdr:from>
        <xdr:to>
          <xdr:col>14</xdr:col>
          <xdr:colOff>733425</xdr:colOff>
          <xdr:row>328</xdr:row>
          <xdr:rowOff>0</xdr:rowOff>
        </xdr:to>
        <xdr:sp macro="" textlink="">
          <xdr:nvSpPr>
            <xdr:cNvPr id="1465" name="Object 441" hidden="1">
              <a:extLst>
                <a:ext uri="{63B3BB69-23CF-44E3-9099-C40C66FF867C}">
                  <a14:compatExt spid="_x0000_s14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314325</xdr:colOff>
          <xdr:row>323</xdr:row>
          <xdr:rowOff>85725</xdr:rowOff>
        </xdr:from>
        <xdr:to>
          <xdr:col>15</xdr:col>
          <xdr:colOff>733425</xdr:colOff>
          <xdr:row>324</xdr:row>
          <xdr:rowOff>161925</xdr:rowOff>
        </xdr:to>
        <xdr:sp macro="" textlink="">
          <xdr:nvSpPr>
            <xdr:cNvPr id="1466" name="Object 442" hidden="1">
              <a:extLst>
                <a:ext uri="{63B3BB69-23CF-44E3-9099-C40C66FF867C}">
                  <a14:compatExt spid="_x0000_s14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304800</xdr:colOff>
          <xdr:row>326</xdr:row>
          <xdr:rowOff>85725</xdr:rowOff>
        </xdr:from>
        <xdr:to>
          <xdr:col>15</xdr:col>
          <xdr:colOff>733425</xdr:colOff>
          <xdr:row>327</xdr:row>
          <xdr:rowOff>161925</xdr:rowOff>
        </xdr:to>
        <xdr:sp macro="" textlink="">
          <xdr:nvSpPr>
            <xdr:cNvPr id="1467" name="Object 443" hidden="1">
              <a:extLst>
                <a:ext uri="{63B3BB69-23CF-44E3-9099-C40C66FF867C}">
                  <a14:compatExt spid="_x0000_s14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304800</xdr:colOff>
          <xdr:row>326</xdr:row>
          <xdr:rowOff>76200</xdr:rowOff>
        </xdr:from>
        <xdr:to>
          <xdr:col>18</xdr:col>
          <xdr:colOff>733425</xdr:colOff>
          <xdr:row>327</xdr:row>
          <xdr:rowOff>161925</xdr:rowOff>
        </xdr:to>
        <xdr:sp macro="" textlink="">
          <xdr:nvSpPr>
            <xdr:cNvPr id="1468" name="Object 444" hidden="1">
              <a:extLst>
                <a:ext uri="{63B3BB69-23CF-44E3-9099-C40C66FF867C}">
                  <a14:compatExt spid="_x0000_s14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428625</xdr:colOff>
          <xdr:row>343</xdr:row>
          <xdr:rowOff>152400</xdr:rowOff>
        </xdr:from>
        <xdr:to>
          <xdr:col>2</xdr:col>
          <xdr:colOff>609600</xdr:colOff>
          <xdr:row>344</xdr:row>
          <xdr:rowOff>104775</xdr:rowOff>
        </xdr:to>
        <xdr:sp macro="" textlink="">
          <xdr:nvSpPr>
            <xdr:cNvPr id="1469" name="Object 445" hidden="1">
              <a:extLst>
                <a:ext uri="{63B3BB69-23CF-44E3-9099-C40C66FF867C}">
                  <a14:compatExt spid="_x0000_s14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257175</xdr:colOff>
          <xdr:row>343</xdr:row>
          <xdr:rowOff>85725</xdr:rowOff>
        </xdr:from>
        <xdr:to>
          <xdr:col>3</xdr:col>
          <xdr:colOff>676275</xdr:colOff>
          <xdr:row>344</xdr:row>
          <xdr:rowOff>161925</xdr:rowOff>
        </xdr:to>
        <xdr:sp macro="" textlink="">
          <xdr:nvSpPr>
            <xdr:cNvPr id="1470" name="Object 446" hidden="1">
              <a:extLst>
                <a:ext uri="{63B3BB69-23CF-44E3-9099-C40C66FF867C}">
                  <a14:compatExt spid="_x0000_s14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295275</xdr:colOff>
          <xdr:row>346</xdr:row>
          <xdr:rowOff>104775</xdr:rowOff>
        </xdr:from>
        <xdr:to>
          <xdr:col>2</xdr:col>
          <xdr:colOff>733425</xdr:colOff>
          <xdr:row>348</xdr:row>
          <xdr:rowOff>0</xdr:rowOff>
        </xdr:to>
        <xdr:sp macro="" textlink="">
          <xdr:nvSpPr>
            <xdr:cNvPr id="1471" name="Object 447" hidden="1">
              <a:extLst>
                <a:ext uri="{63B3BB69-23CF-44E3-9099-C40C66FF867C}">
                  <a14:compatExt spid="_x0000_s14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295275</xdr:colOff>
          <xdr:row>346</xdr:row>
          <xdr:rowOff>104775</xdr:rowOff>
        </xdr:from>
        <xdr:to>
          <xdr:col>3</xdr:col>
          <xdr:colOff>733425</xdr:colOff>
          <xdr:row>348</xdr:row>
          <xdr:rowOff>0</xdr:rowOff>
        </xdr:to>
        <xdr:sp macro="" textlink="">
          <xdr:nvSpPr>
            <xdr:cNvPr id="1472" name="Object 448" hidden="1">
              <a:extLst>
                <a:ext uri="{63B3BB69-23CF-44E3-9099-C40C66FF867C}">
                  <a14:compatExt spid="_x0000_s14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343</xdr:row>
          <xdr:rowOff>85725</xdr:rowOff>
        </xdr:from>
        <xdr:to>
          <xdr:col>4</xdr:col>
          <xdr:colOff>733425</xdr:colOff>
          <xdr:row>344</xdr:row>
          <xdr:rowOff>161925</xdr:rowOff>
        </xdr:to>
        <xdr:sp macro="" textlink="">
          <xdr:nvSpPr>
            <xdr:cNvPr id="1473" name="Object 449" hidden="1">
              <a:extLst>
                <a:ext uri="{63B3BB69-23CF-44E3-9099-C40C66FF867C}">
                  <a14:compatExt spid="_x0000_s14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346</xdr:row>
          <xdr:rowOff>85725</xdr:rowOff>
        </xdr:from>
        <xdr:to>
          <xdr:col>4</xdr:col>
          <xdr:colOff>733425</xdr:colOff>
          <xdr:row>347</xdr:row>
          <xdr:rowOff>161925</xdr:rowOff>
        </xdr:to>
        <xdr:sp macro="" textlink="">
          <xdr:nvSpPr>
            <xdr:cNvPr id="1474" name="Object 450" hidden="1">
              <a:extLst>
                <a:ext uri="{63B3BB69-23CF-44E3-9099-C40C66FF867C}">
                  <a14:compatExt spid="_x0000_s14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304800</xdr:colOff>
          <xdr:row>346</xdr:row>
          <xdr:rowOff>76200</xdr:rowOff>
        </xdr:from>
        <xdr:to>
          <xdr:col>7</xdr:col>
          <xdr:colOff>733425</xdr:colOff>
          <xdr:row>347</xdr:row>
          <xdr:rowOff>161925</xdr:rowOff>
        </xdr:to>
        <xdr:sp macro="" textlink="">
          <xdr:nvSpPr>
            <xdr:cNvPr id="1475" name="Object 451" hidden="1">
              <a:extLst>
                <a:ext uri="{63B3BB69-23CF-44E3-9099-C40C66FF867C}">
                  <a14:compatExt spid="_x0000_s14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428625</xdr:colOff>
          <xdr:row>343</xdr:row>
          <xdr:rowOff>152400</xdr:rowOff>
        </xdr:from>
        <xdr:to>
          <xdr:col>13</xdr:col>
          <xdr:colOff>609600</xdr:colOff>
          <xdr:row>344</xdr:row>
          <xdr:rowOff>104775</xdr:rowOff>
        </xdr:to>
        <xdr:sp macro="" textlink="">
          <xdr:nvSpPr>
            <xdr:cNvPr id="1476" name="Object 452" hidden="1">
              <a:extLst>
                <a:ext uri="{63B3BB69-23CF-44E3-9099-C40C66FF867C}">
                  <a14:compatExt spid="_x0000_s14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257175</xdr:colOff>
          <xdr:row>343</xdr:row>
          <xdr:rowOff>85725</xdr:rowOff>
        </xdr:from>
        <xdr:to>
          <xdr:col>14</xdr:col>
          <xdr:colOff>676275</xdr:colOff>
          <xdr:row>344</xdr:row>
          <xdr:rowOff>161925</xdr:rowOff>
        </xdr:to>
        <xdr:sp macro="" textlink="">
          <xdr:nvSpPr>
            <xdr:cNvPr id="1477" name="Object 453" hidden="1">
              <a:extLst>
                <a:ext uri="{63B3BB69-23CF-44E3-9099-C40C66FF867C}">
                  <a14:compatExt spid="_x0000_s14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295275</xdr:colOff>
          <xdr:row>346</xdr:row>
          <xdr:rowOff>104775</xdr:rowOff>
        </xdr:from>
        <xdr:to>
          <xdr:col>13</xdr:col>
          <xdr:colOff>733425</xdr:colOff>
          <xdr:row>348</xdr:row>
          <xdr:rowOff>0</xdr:rowOff>
        </xdr:to>
        <xdr:sp macro="" textlink="">
          <xdr:nvSpPr>
            <xdr:cNvPr id="1478" name="Object 454" hidden="1">
              <a:extLst>
                <a:ext uri="{63B3BB69-23CF-44E3-9099-C40C66FF867C}">
                  <a14:compatExt spid="_x0000_s14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295275</xdr:colOff>
          <xdr:row>346</xdr:row>
          <xdr:rowOff>104775</xdr:rowOff>
        </xdr:from>
        <xdr:to>
          <xdr:col>14</xdr:col>
          <xdr:colOff>733425</xdr:colOff>
          <xdr:row>348</xdr:row>
          <xdr:rowOff>0</xdr:rowOff>
        </xdr:to>
        <xdr:sp macro="" textlink="">
          <xdr:nvSpPr>
            <xdr:cNvPr id="1479" name="Object 455" hidden="1">
              <a:extLst>
                <a:ext uri="{63B3BB69-23CF-44E3-9099-C40C66FF867C}">
                  <a14:compatExt spid="_x0000_s14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314325</xdr:colOff>
          <xdr:row>343</xdr:row>
          <xdr:rowOff>85725</xdr:rowOff>
        </xdr:from>
        <xdr:to>
          <xdr:col>15</xdr:col>
          <xdr:colOff>733425</xdr:colOff>
          <xdr:row>344</xdr:row>
          <xdr:rowOff>161925</xdr:rowOff>
        </xdr:to>
        <xdr:sp macro="" textlink="">
          <xdr:nvSpPr>
            <xdr:cNvPr id="1480" name="Object 456" hidden="1">
              <a:extLst>
                <a:ext uri="{63B3BB69-23CF-44E3-9099-C40C66FF867C}">
                  <a14:compatExt spid="_x0000_s14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304800</xdr:colOff>
          <xdr:row>346</xdr:row>
          <xdr:rowOff>85725</xdr:rowOff>
        </xdr:from>
        <xdr:to>
          <xdr:col>15</xdr:col>
          <xdr:colOff>733425</xdr:colOff>
          <xdr:row>347</xdr:row>
          <xdr:rowOff>161925</xdr:rowOff>
        </xdr:to>
        <xdr:sp macro="" textlink="">
          <xdr:nvSpPr>
            <xdr:cNvPr id="1481" name="Object 457" hidden="1">
              <a:extLst>
                <a:ext uri="{63B3BB69-23CF-44E3-9099-C40C66FF867C}">
                  <a14:compatExt spid="_x0000_s14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304800</xdr:colOff>
          <xdr:row>346</xdr:row>
          <xdr:rowOff>76200</xdr:rowOff>
        </xdr:from>
        <xdr:to>
          <xdr:col>18</xdr:col>
          <xdr:colOff>733425</xdr:colOff>
          <xdr:row>347</xdr:row>
          <xdr:rowOff>161925</xdr:rowOff>
        </xdr:to>
        <xdr:sp macro="" textlink="">
          <xdr:nvSpPr>
            <xdr:cNvPr id="1482" name="Object 458" hidden="1">
              <a:extLst>
                <a:ext uri="{63B3BB69-23CF-44E3-9099-C40C66FF867C}">
                  <a14:compatExt spid="_x0000_s14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304800</xdr:colOff>
          <xdr:row>45</xdr:row>
          <xdr:rowOff>76200</xdr:rowOff>
        </xdr:from>
        <xdr:to>
          <xdr:col>32</xdr:col>
          <xdr:colOff>714375</xdr:colOff>
          <xdr:row>46</xdr:row>
          <xdr:rowOff>142875</xdr:rowOff>
        </xdr:to>
        <xdr:sp macro="" textlink="">
          <xdr:nvSpPr>
            <xdr:cNvPr id="1483" name="Object 459" hidden="1">
              <a:extLst>
                <a:ext uri="{63B3BB69-23CF-44E3-9099-C40C66FF867C}">
                  <a14:compatExt spid="_x0000_s14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304800</xdr:colOff>
          <xdr:row>45</xdr:row>
          <xdr:rowOff>76200</xdr:rowOff>
        </xdr:from>
        <xdr:to>
          <xdr:col>36</xdr:col>
          <xdr:colOff>714375</xdr:colOff>
          <xdr:row>46</xdr:row>
          <xdr:rowOff>142875</xdr:rowOff>
        </xdr:to>
        <xdr:sp macro="" textlink="">
          <xdr:nvSpPr>
            <xdr:cNvPr id="1484" name="Object 460" hidden="1">
              <a:extLst>
                <a:ext uri="{63B3BB69-23CF-44E3-9099-C40C66FF867C}">
                  <a14:compatExt spid="_x0000_s14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257175</xdr:colOff>
          <xdr:row>477</xdr:row>
          <xdr:rowOff>85725</xdr:rowOff>
        </xdr:from>
        <xdr:to>
          <xdr:col>3</xdr:col>
          <xdr:colOff>676275</xdr:colOff>
          <xdr:row>478</xdr:row>
          <xdr:rowOff>161925</xdr:rowOff>
        </xdr:to>
        <xdr:sp macro="" textlink="">
          <xdr:nvSpPr>
            <xdr:cNvPr id="1485" name="Object 461" hidden="1">
              <a:extLst>
                <a:ext uri="{63B3BB69-23CF-44E3-9099-C40C66FF867C}">
                  <a14:compatExt spid="_x0000_s14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477</xdr:row>
          <xdr:rowOff>85725</xdr:rowOff>
        </xdr:from>
        <xdr:to>
          <xdr:col>4</xdr:col>
          <xdr:colOff>752475</xdr:colOff>
          <xdr:row>478</xdr:row>
          <xdr:rowOff>161925</xdr:rowOff>
        </xdr:to>
        <xdr:sp macro="" textlink="">
          <xdr:nvSpPr>
            <xdr:cNvPr id="1486" name="Object 462" hidden="1">
              <a:extLst>
                <a:ext uri="{63B3BB69-23CF-44E3-9099-C40C66FF867C}">
                  <a14:compatExt spid="_x0000_s14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295275</xdr:colOff>
          <xdr:row>477</xdr:row>
          <xdr:rowOff>104775</xdr:rowOff>
        </xdr:from>
        <xdr:to>
          <xdr:col>3</xdr:col>
          <xdr:colOff>752475</xdr:colOff>
          <xdr:row>479</xdr:row>
          <xdr:rowOff>0</xdr:rowOff>
        </xdr:to>
        <xdr:sp macro="" textlink="">
          <xdr:nvSpPr>
            <xdr:cNvPr id="1487" name="Object 463" hidden="1">
              <a:extLst>
                <a:ext uri="{63B3BB69-23CF-44E3-9099-C40C66FF867C}">
                  <a14:compatExt spid="_x0000_s14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477</xdr:row>
          <xdr:rowOff>85725</xdr:rowOff>
        </xdr:from>
        <xdr:to>
          <xdr:col>4</xdr:col>
          <xdr:colOff>752475</xdr:colOff>
          <xdr:row>478</xdr:row>
          <xdr:rowOff>161925</xdr:rowOff>
        </xdr:to>
        <xdr:sp macro="" textlink="">
          <xdr:nvSpPr>
            <xdr:cNvPr id="1488" name="Object 464" hidden="1">
              <a:extLst>
                <a:ext uri="{63B3BB69-23CF-44E3-9099-C40C66FF867C}">
                  <a14:compatExt spid="_x0000_s14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428625</xdr:colOff>
          <xdr:row>474</xdr:row>
          <xdr:rowOff>152400</xdr:rowOff>
        </xdr:from>
        <xdr:to>
          <xdr:col>2</xdr:col>
          <xdr:colOff>619125</xdr:colOff>
          <xdr:row>475</xdr:row>
          <xdr:rowOff>114300</xdr:rowOff>
        </xdr:to>
        <xdr:sp macro="" textlink="">
          <xdr:nvSpPr>
            <xdr:cNvPr id="1489" name="Object 465" hidden="1">
              <a:extLst>
                <a:ext uri="{63B3BB69-23CF-44E3-9099-C40C66FF867C}">
                  <a14:compatExt spid="_x0000_s1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257175</xdr:colOff>
          <xdr:row>474</xdr:row>
          <xdr:rowOff>85725</xdr:rowOff>
        </xdr:from>
        <xdr:to>
          <xdr:col>3</xdr:col>
          <xdr:colOff>676275</xdr:colOff>
          <xdr:row>476</xdr:row>
          <xdr:rowOff>0</xdr:rowOff>
        </xdr:to>
        <xdr:sp macro="" textlink="">
          <xdr:nvSpPr>
            <xdr:cNvPr id="1490" name="Object 466" hidden="1">
              <a:extLst>
                <a:ext uri="{63B3BB69-23CF-44E3-9099-C40C66FF867C}">
                  <a14:compatExt spid="_x0000_s14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295275</xdr:colOff>
          <xdr:row>477</xdr:row>
          <xdr:rowOff>104775</xdr:rowOff>
        </xdr:from>
        <xdr:to>
          <xdr:col>2</xdr:col>
          <xdr:colOff>714375</xdr:colOff>
          <xdr:row>479</xdr:row>
          <xdr:rowOff>0</xdr:rowOff>
        </xdr:to>
        <xdr:sp macro="" textlink="">
          <xdr:nvSpPr>
            <xdr:cNvPr id="1491" name="Object 467" hidden="1">
              <a:extLst>
                <a:ext uri="{63B3BB69-23CF-44E3-9099-C40C66FF867C}">
                  <a14:compatExt spid="_x0000_s14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474</xdr:row>
          <xdr:rowOff>85725</xdr:rowOff>
        </xdr:from>
        <xdr:to>
          <xdr:col>4</xdr:col>
          <xdr:colOff>752475</xdr:colOff>
          <xdr:row>476</xdr:row>
          <xdr:rowOff>0</xdr:rowOff>
        </xdr:to>
        <xdr:sp macro="" textlink="">
          <xdr:nvSpPr>
            <xdr:cNvPr id="1492" name="Object 468" hidden="1">
              <a:extLst>
                <a:ext uri="{63B3BB69-23CF-44E3-9099-C40C66FF867C}">
                  <a14:compatExt spid="_x0000_s14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428625</xdr:colOff>
          <xdr:row>474</xdr:row>
          <xdr:rowOff>152400</xdr:rowOff>
        </xdr:from>
        <xdr:to>
          <xdr:col>8</xdr:col>
          <xdr:colOff>619125</xdr:colOff>
          <xdr:row>475</xdr:row>
          <xdr:rowOff>114300</xdr:rowOff>
        </xdr:to>
        <xdr:sp macro="" textlink="">
          <xdr:nvSpPr>
            <xdr:cNvPr id="1493" name="Object 469" hidden="1">
              <a:extLst>
                <a:ext uri="{63B3BB69-23CF-44E3-9099-C40C66FF867C}">
                  <a14:compatExt spid="_x0000_s14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257175</xdr:colOff>
          <xdr:row>474</xdr:row>
          <xdr:rowOff>85725</xdr:rowOff>
        </xdr:from>
        <xdr:to>
          <xdr:col>9</xdr:col>
          <xdr:colOff>676275</xdr:colOff>
          <xdr:row>476</xdr:row>
          <xdr:rowOff>0</xdr:rowOff>
        </xdr:to>
        <xdr:sp macro="" textlink="">
          <xdr:nvSpPr>
            <xdr:cNvPr id="1494" name="Object 470" hidden="1">
              <a:extLst>
                <a:ext uri="{63B3BB69-23CF-44E3-9099-C40C66FF867C}">
                  <a14:compatExt spid="_x0000_s14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295275</xdr:colOff>
          <xdr:row>477</xdr:row>
          <xdr:rowOff>104775</xdr:rowOff>
        </xdr:from>
        <xdr:to>
          <xdr:col>8</xdr:col>
          <xdr:colOff>714375</xdr:colOff>
          <xdr:row>479</xdr:row>
          <xdr:rowOff>0</xdr:rowOff>
        </xdr:to>
        <xdr:sp macro="" textlink="">
          <xdr:nvSpPr>
            <xdr:cNvPr id="1495" name="Object 471" hidden="1">
              <a:extLst>
                <a:ext uri="{63B3BB69-23CF-44E3-9099-C40C66FF867C}">
                  <a14:compatExt spid="_x0000_s14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295275</xdr:colOff>
          <xdr:row>477</xdr:row>
          <xdr:rowOff>104775</xdr:rowOff>
        </xdr:from>
        <xdr:to>
          <xdr:col>9</xdr:col>
          <xdr:colOff>714375</xdr:colOff>
          <xdr:row>479</xdr:row>
          <xdr:rowOff>0</xdr:rowOff>
        </xdr:to>
        <xdr:sp macro="" textlink="">
          <xdr:nvSpPr>
            <xdr:cNvPr id="1496" name="Object 472" hidden="1">
              <a:extLst>
                <a:ext uri="{63B3BB69-23CF-44E3-9099-C40C66FF867C}">
                  <a14:compatExt spid="_x0000_s14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333375</xdr:colOff>
          <xdr:row>474</xdr:row>
          <xdr:rowOff>85725</xdr:rowOff>
        </xdr:from>
        <xdr:to>
          <xdr:col>10</xdr:col>
          <xdr:colOff>752475</xdr:colOff>
          <xdr:row>476</xdr:row>
          <xdr:rowOff>0</xdr:rowOff>
        </xdr:to>
        <xdr:sp macro="" textlink="">
          <xdr:nvSpPr>
            <xdr:cNvPr id="1497" name="Object 473" hidden="1">
              <a:extLst>
                <a:ext uri="{63B3BB69-23CF-44E3-9099-C40C66FF867C}">
                  <a14:compatExt spid="_x0000_s14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304800</xdr:colOff>
          <xdr:row>477</xdr:row>
          <xdr:rowOff>85725</xdr:rowOff>
        </xdr:from>
        <xdr:to>
          <xdr:col>10</xdr:col>
          <xdr:colOff>714375</xdr:colOff>
          <xdr:row>479</xdr:row>
          <xdr:rowOff>0</xdr:rowOff>
        </xdr:to>
        <xdr:sp macro="" textlink="">
          <xdr:nvSpPr>
            <xdr:cNvPr id="1498" name="Object 474" hidden="1">
              <a:extLst>
                <a:ext uri="{63B3BB69-23CF-44E3-9099-C40C66FF867C}">
                  <a14:compatExt spid="_x0000_s14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428625</xdr:colOff>
          <xdr:row>474</xdr:row>
          <xdr:rowOff>152400</xdr:rowOff>
        </xdr:from>
        <xdr:to>
          <xdr:col>14</xdr:col>
          <xdr:colOff>619125</xdr:colOff>
          <xdr:row>475</xdr:row>
          <xdr:rowOff>114300</xdr:rowOff>
        </xdr:to>
        <xdr:sp macro="" textlink="">
          <xdr:nvSpPr>
            <xdr:cNvPr id="1499" name="Object 475" hidden="1">
              <a:extLst>
                <a:ext uri="{63B3BB69-23CF-44E3-9099-C40C66FF867C}">
                  <a14:compatExt spid="_x0000_s14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257175</xdr:colOff>
          <xdr:row>474</xdr:row>
          <xdr:rowOff>85725</xdr:rowOff>
        </xdr:from>
        <xdr:to>
          <xdr:col>15</xdr:col>
          <xdr:colOff>676275</xdr:colOff>
          <xdr:row>476</xdr:row>
          <xdr:rowOff>0</xdr:rowOff>
        </xdr:to>
        <xdr:sp macro="" textlink="">
          <xdr:nvSpPr>
            <xdr:cNvPr id="1500" name="Object 476" hidden="1">
              <a:extLst>
                <a:ext uri="{63B3BB69-23CF-44E3-9099-C40C66FF867C}">
                  <a14:compatExt spid="_x0000_s15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295275</xdr:colOff>
          <xdr:row>477</xdr:row>
          <xdr:rowOff>104775</xdr:rowOff>
        </xdr:from>
        <xdr:to>
          <xdr:col>14</xdr:col>
          <xdr:colOff>714375</xdr:colOff>
          <xdr:row>479</xdr:row>
          <xdr:rowOff>0</xdr:rowOff>
        </xdr:to>
        <xdr:sp macro="" textlink="">
          <xdr:nvSpPr>
            <xdr:cNvPr id="1501" name="Object 477" hidden="1">
              <a:extLst>
                <a:ext uri="{63B3BB69-23CF-44E3-9099-C40C66FF867C}">
                  <a14:compatExt spid="_x0000_s15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295275</xdr:colOff>
          <xdr:row>477</xdr:row>
          <xdr:rowOff>104775</xdr:rowOff>
        </xdr:from>
        <xdr:to>
          <xdr:col>15</xdr:col>
          <xdr:colOff>714375</xdr:colOff>
          <xdr:row>479</xdr:row>
          <xdr:rowOff>0</xdr:rowOff>
        </xdr:to>
        <xdr:sp macro="" textlink="">
          <xdr:nvSpPr>
            <xdr:cNvPr id="1502" name="Object 478" hidden="1">
              <a:extLst>
                <a:ext uri="{63B3BB69-23CF-44E3-9099-C40C66FF867C}">
                  <a14:compatExt spid="_x0000_s15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314325</xdr:colOff>
          <xdr:row>474</xdr:row>
          <xdr:rowOff>85725</xdr:rowOff>
        </xdr:from>
        <xdr:to>
          <xdr:col>16</xdr:col>
          <xdr:colOff>752475</xdr:colOff>
          <xdr:row>476</xdr:row>
          <xdr:rowOff>0</xdr:rowOff>
        </xdr:to>
        <xdr:sp macro="" textlink="">
          <xdr:nvSpPr>
            <xdr:cNvPr id="1503" name="Object 479" hidden="1">
              <a:extLst>
                <a:ext uri="{63B3BB69-23CF-44E3-9099-C40C66FF867C}">
                  <a14:compatExt spid="_x0000_s15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304800</xdr:colOff>
          <xdr:row>477</xdr:row>
          <xdr:rowOff>85725</xdr:rowOff>
        </xdr:from>
        <xdr:to>
          <xdr:col>16</xdr:col>
          <xdr:colOff>714375</xdr:colOff>
          <xdr:row>479</xdr:row>
          <xdr:rowOff>0</xdr:rowOff>
        </xdr:to>
        <xdr:sp macro="" textlink="">
          <xdr:nvSpPr>
            <xdr:cNvPr id="1504" name="Object 480" hidden="1">
              <a:extLst>
                <a:ext uri="{63B3BB69-23CF-44E3-9099-C40C66FF867C}">
                  <a14:compatExt spid="_x0000_s15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428625</xdr:colOff>
          <xdr:row>474</xdr:row>
          <xdr:rowOff>152400</xdr:rowOff>
        </xdr:from>
        <xdr:to>
          <xdr:col>20</xdr:col>
          <xdr:colOff>619125</xdr:colOff>
          <xdr:row>475</xdr:row>
          <xdr:rowOff>114300</xdr:rowOff>
        </xdr:to>
        <xdr:sp macro="" textlink="">
          <xdr:nvSpPr>
            <xdr:cNvPr id="1505" name="Object 481" hidden="1">
              <a:extLst>
                <a:ext uri="{63B3BB69-23CF-44E3-9099-C40C66FF867C}">
                  <a14:compatExt spid="_x0000_s15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257175</xdr:colOff>
          <xdr:row>474</xdr:row>
          <xdr:rowOff>85725</xdr:rowOff>
        </xdr:from>
        <xdr:to>
          <xdr:col>21</xdr:col>
          <xdr:colOff>676275</xdr:colOff>
          <xdr:row>476</xdr:row>
          <xdr:rowOff>0</xdr:rowOff>
        </xdr:to>
        <xdr:sp macro="" textlink="">
          <xdr:nvSpPr>
            <xdr:cNvPr id="1506" name="Object 482" hidden="1">
              <a:extLst>
                <a:ext uri="{63B3BB69-23CF-44E3-9099-C40C66FF867C}">
                  <a14:compatExt spid="_x0000_s15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295275</xdr:colOff>
          <xdr:row>477</xdr:row>
          <xdr:rowOff>104775</xdr:rowOff>
        </xdr:from>
        <xdr:to>
          <xdr:col>20</xdr:col>
          <xdr:colOff>714375</xdr:colOff>
          <xdr:row>479</xdr:row>
          <xdr:rowOff>0</xdr:rowOff>
        </xdr:to>
        <xdr:sp macro="" textlink="">
          <xdr:nvSpPr>
            <xdr:cNvPr id="1507" name="Object 483" hidden="1">
              <a:extLst>
                <a:ext uri="{63B3BB69-23CF-44E3-9099-C40C66FF867C}">
                  <a14:compatExt spid="_x0000_s15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295275</xdr:colOff>
          <xdr:row>477</xdr:row>
          <xdr:rowOff>104775</xdr:rowOff>
        </xdr:from>
        <xdr:to>
          <xdr:col>21</xdr:col>
          <xdr:colOff>714375</xdr:colOff>
          <xdr:row>479</xdr:row>
          <xdr:rowOff>0</xdr:rowOff>
        </xdr:to>
        <xdr:sp macro="" textlink="">
          <xdr:nvSpPr>
            <xdr:cNvPr id="1508" name="Object 484" hidden="1">
              <a:extLst>
                <a:ext uri="{63B3BB69-23CF-44E3-9099-C40C66FF867C}">
                  <a14:compatExt spid="_x0000_s15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314325</xdr:colOff>
          <xdr:row>474</xdr:row>
          <xdr:rowOff>85725</xdr:rowOff>
        </xdr:from>
        <xdr:to>
          <xdr:col>22</xdr:col>
          <xdr:colOff>752475</xdr:colOff>
          <xdr:row>476</xdr:row>
          <xdr:rowOff>0</xdr:rowOff>
        </xdr:to>
        <xdr:sp macro="" textlink="">
          <xdr:nvSpPr>
            <xdr:cNvPr id="1509" name="Object 485" hidden="1">
              <a:extLst>
                <a:ext uri="{63B3BB69-23CF-44E3-9099-C40C66FF867C}">
                  <a14:compatExt spid="_x0000_s15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304800</xdr:colOff>
          <xdr:row>477</xdr:row>
          <xdr:rowOff>85725</xdr:rowOff>
        </xdr:from>
        <xdr:to>
          <xdr:col>22</xdr:col>
          <xdr:colOff>714375</xdr:colOff>
          <xdr:row>479</xdr:row>
          <xdr:rowOff>0</xdr:rowOff>
        </xdr:to>
        <xdr:sp macro="" textlink="">
          <xdr:nvSpPr>
            <xdr:cNvPr id="1510" name="Object 486" hidden="1">
              <a:extLst>
                <a:ext uri="{63B3BB69-23CF-44E3-9099-C40C66FF867C}">
                  <a14:compatExt spid="_x0000_s15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428625</xdr:colOff>
          <xdr:row>474</xdr:row>
          <xdr:rowOff>152400</xdr:rowOff>
        </xdr:from>
        <xdr:to>
          <xdr:col>26</xdr:col>
          <xdr:colOff>619125</xdr:colOff>
          <xdr:row>475</xdr:row>
          <xdr:rowOff>114300</xdr:rowOff>
        </xdr:to>
        <xdr:sp macro="" textlink="">
          <xdr:nvSpPr>
            <xdr:cNvPr id="1511" name="Object 487" hidden="1">
              <a:extLst>
                <a:ext uri="{63B3BB69-23CF-44E3-9099-C40C66FF867C}">
                  <a14:compatExt spid="_x0000_s15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257175</xdr:colOff>
          <xdr:row>474</xdr:row>
          <xdr:rowOff>85725</xdr:rowOff>
        </xdr:from>
        <xdr:to>
          <xdr:col>27</xdr:col>
          <xdr:colOff>676275</xdr:colOff>
          <xdr:row>476</xdr:row>
          <xdr:rowOff>0</xdr:rowOff>
        </xdr:to>
        <xdr:sp macro="" textlink="">
          <xdr:nvSpPr>
            <xdr:cNvPr id="1512" name="Object 488" hidden="1">
              <a:extLst>
                <a:ext uri="{63B3BB69-23CF-44E3-9099-C40C66FF867C}">
                  <a14:compatExt spid="_x0000_s15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295275</xdr:colOff>
          <xdr:row>477</xdr:row>
          <xdr:rowOff>104775</xdr:rowOff>
        </xdr:from>
        <xdr:to>
          <xdr:col>26</xdr:col>
          <xdr:colOff>714375</xdr:colOff>
          <xdr:row>479</xdr:row>
          <xdr:rowOff>0</xdr:rowOff>
        </xdr:to>
        <xdr:sp macro="" textlink="">
          <xdr:nvSpPr>
            <xdr:cNvPr id="1513" name="Object 489" hidden="1">
              <a:extLst>
                <a:ext uri="{63B3BB69-23CF-44E3-9099-C40C66FF867C}">
                  <a14:compatExt spid="_x0000_s1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295275</xdr:colOff>
          <xdr:row>477</xdr:row>
          <xdr:rowOff>104775</xdr:rowOff>
        </xdr:from>
        <xdr:to>
          <xdr:col>27</xdr:col>
          <xdr:colOff>714375</xdr:colOff>
          <xdr:row>479</xdr:row>
          <xdr:rowOff>0</xdr:rowOff>
        </xdr:to>
        <xdr:sp macro="" textlink="">
          <xdr:nvSpPr>
            <xdr:cNvPr id="1514" name="Object 490" hidden="1">
              <a:extLst>
                <a:ext uri="{63B3BB69-23CF-44E3-9099-C40C66FF867C}">
                  <a14:compatExt spid="_x0000_s15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314325</xdr:colOff>
          <xdr:row>474</xdr:row>
          <xdr:rowOff>85725</xdr:rowOff>
        </xdr:from>
        <xdr:to>
          <xdr:col>28</xdr:col>
          <xdr:colOff>752475</xdr:colOff>
          <xdr:row>476</xdr:row>
          <xdr:rowOff>0</xdr:rowOff>
        </xdr:to>
        <xdr:sp macro="" textlink="">
          <xdr:nvSpPr>
            <xdr:cNvPr id="1515" name="Object 491" hidden="1">
              <a:extLst>
                <a:ext uri="{63B3BB69-23CF-44E3-9099-C40C66FF867C}">
                  <a14:compatExt spid="_x0000_s15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304800</xdr:colOff>
          <xdr:row>477</xdr:row>
          <xdr:rowOff>85725</xdr:rowOff>
        </xdr:from>
        <xdr:to>
          <xdr:col>28</xdr:col>
          <xdr:colOff>714375</xdr:colOff>
          <xdr:row>479</xdr:row>
          <xdr:rowOff>0</xdr:rowOff>
        </xdr:to>
        <xdr:sp macro="" textlink="">
          <xdr:nvSpPr>
            <xdr:cNvPr id="1516" name="Object 492" hidden="1">
              <a:extLst>
                <a:ext uri="{63B3BB69-23CF-44E3-9099-C40C66FF867C}">
                  <a14:compatExt spid="_x0000_s15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428625</xdr:colOff>
          <xdr:row>474</xdr:row>
          <xdr:rowOff>152400</xdr:rowOff>
        </xdr:from>
        <xdr:to>
          <xdr:col>32</xdr:col>
          <xdr:colOff>619125</xdr:colOff>
          <xdr:row>475</xdr:row>
          <xdr:rowOff>114300</xdr:rowOff>
        </xdr:to>
        <xdr:sp macro="" textlink="">
          <xdr:nvSpPr>
            <xdr:cNvPr id="1517" name="Object 493" hidden="1">
              <a:extLst>
                <a:ext uri="{63B3BB69-23CF-44E3-9099-C40C66FF867C}">
                  <a14:compatExt spid="_x0000_s15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257175</xdr:colOff>
          <xdr:row>474</xdr:row>
          <xdr:rowOff>85725</xdr:rowOff>
        </xdr:from>
        <xdr:to>
          <xdr:col>33</xdr:col>
          <xdr:colOff>676275</xdr:colOff>
          <xdr:row>476</xdr:row>
          <xdr:rowOff>0</xdr:rowOff>
        </xdr:to>
        <xdr:sp macro="" textlink="">
          <xdr:nvSpPr>
            <xdr:cNvPr id="1518" name="Object 494" hidden="1">
              <a:extLst>
                <a:ext uri="{63B3BB69-23CF-44E3-9099-C40C66FF867C}">
                  <a14:compatExt spid="_x0000_s15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295275</xdr:colOff>
          <xdr:row>477</xdr:row>
          <xdr:rowOff>104775</xdr:rowOff>
        </xdr:from>
        <xdr:to>
          <xdr:col>32</xdr:col>
          <xdr:colOff>714375</xdr:colOff>
          <xdr:row>479</xdr:row>
          <xdr:rowOff>0</xdr:rowOff>
        </xdr:to>
        <xdr:sp macro="" textlink="">
          <xdr:nvSpPr>
            <xdr:cNvPr id="1519" name="Object 495" hidden="1">
              <a:extLst>
                <a:ext uri="{63B3BB69-23CF-44E3-9099-C40C66FF867C}">
                  <a14:compatExt spid="_x0000_s15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295275</xdr:colOff>
          <xdr:row>477</xdr:row>
          <xdr:rowOff>104775</xdr:rowOff>
        </xdr:from>
        <xdr:to>
          <xdr:col>33</xdr:col>
          <xdr:colOff>714375</xdr:colOff>
          <xdr:row>479</xdr:row>
          <xdr:rowOff>0</xdr:rowOff>
        </xdr:to>
        <xdr:sp macro="" textlink="">
          <xdr:nvSpPr>
            <xdr:cNvPr id="1520" name="Object 496" hidden="1">
              <a:extLst>
                <a:ext uri="{63B3BB69-23CF-44E3-9099-C40C66FF867C}">
                  <a14:compatExt spid="_x0000_s15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314325</xdr:colOff>
          <xdr:row>474</xdr:row>
          <xdr:rowOff>85725</xdr:rowOff>
        </xdr:from>
        <xdr:to>
          <xdr:col>34</xdr:col>
          <xdr:colOff>752475</xdr:colOff>
          <xdr:row>476</xdr:row>
          <xdr:rowOff>0</xdr:rowOff>
        </xdr:to>
        <xdr:sp macro="" textlink="">
          <xdr:nvSpPr>
            <xdr:cNvPr id="1521" name="Object 497" hidden="1">
              <a:extLst>
                <a:ext uri="{63B3BB69-23CF-44E3-9099-C40C66FF867C}">
                  <a14:compatExt spid="_x0000_s15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304800</xdr:colOff>
          <xdr:row>477</xdr:row>
          <xdr:rowOff>85725</xdr:rowOff>
        </xdr:from>
        <xdr:to>
          <xdr:col>34</xdr:col>
          <xdr:colOff>714375</xdr:colOff>
          <xdr:row>479</xdr:row>
          <xdr:rowOff>0</xdr:rowOff>
        </xdr:to>
        <xdr:sp macro="" textlink="">
          <xdr:nvSpPr>
            <xdr:cNvPr id="1522" name="Object 498" hidden="1">
              <a:extLst>
                <a:ext uri="{63B3BB69-23CF-44E3-9099-C40C66FF867C}">
                  <a14:compatExt spid="_x0000_s15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428625</xdr:colOff>
          <xdr:row>474</xdr:row>
          <xdr:rowOff>152400</xdr:rowOff>
        </xdr:from>
        <xdr:to>
          <xdr:col>38</xdr:col>
          <xdr:colOff>619125</xdr:colOff>
          <xdr:row>475</xdr:row>
          <xdr:rowOff>114300</xdr:rowOff>
        </xdr:to>
        <xdr:sp macro="" textlink="">
          <xdr:nvSpPr>
            <xdr:cNvPr id="1523" name="Object 499" hidden="1">
              <a:extLst>
                <a:ext uri="{63B3BB69-23CF-44E3-9099-C40C66FF867C}">
                  <a14:compatExt spid="_x0000_s15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257175</xdr:colOff>
          <xdr:row>474</xdr:row>
          <xdr:rowOff>85725</xdr:rowOff>
        </xdr:from>
        <xdr:to>
          <xdr:col>39</xdr:col>
          <xdr:colOff>647700</xdr:colOff>
          <xdr:row>476</xdr:row>
          <xdr:rowOff>0</xdr:rowOff>
        </xdr:to>
        <xdr:sp macro="" textlink="">
          <xdr:nvSpPr>
            <xdr:cNvPr id="1524" name="Object 500" hidden="1">
              <a:extLst>
                <a:ext uri="{63B3BB69-23CF-44E3-9099-C40C66FF867C}">
                  <a14:compatExt spid="_x0000_s15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295275</xdr:colOff>
          <xdr:row>477</xdr:row>
          <xdr:rowOff>104775</xdr:rowOff>
        </xdr:from>
        <xdr:to>
          <xdr:col>38</xdr:col>
          <xdr:colOff>714375</xdr:colOff>
          <xdr:row>479</xdr:row>
          <xdr:rowOff>0</xdr:rowOff>
        </xdr:to>
        <xdr:sp macro="" textlink="">
          <xdr:nvSpPr>
            <xdr:cNvPr id="1525" name="Object 501" hidden="1">
              <a:extLst>
                <a:ext uri="{63B3BB69-23CF-44E3-9099-C40C66FF867C}">
                  <a14:compatExt spid="_x0000_s15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295275</xdr:colOff>
          <xdr:row>477</xdr:row>
          <xdr:rowOff>104775</xdr:rowOff>
        </xdr:from>
        <xdr:to>
          <xdr:col>39</xdr:col>
          <xdr:colOff>714375</xdr:colOff>
          <xdr:row>479</xdr:row>
          <xdr:rowOff>0</xdr:rowOff>
        </xdr:to>
        <xdr:sp macro="" textlink="">
          <xdr:nvSpPr>
            <xdr:cNvPr id="1526" name="Object 502" hidden="1">
              <a:extLst>
                <a:ext uri="{63B3BB69-23CF-44E3-9099-C40C66FF867C}">
                  <a14:compatExt spid="_x0000_s15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314325</xdr:colOff>
          <xdr:row>474</xdr:row>
          <xdr:rowOff>85725</xdr:rowOff>
        </xdr:from>
        <xdr:to>
          <xdr:col>40</xdr:col>
          <xdr:colOff>752475</xdr:colOff>
          <xdr:row>476</xdr:row>
          <xdr:rowOff>0</xdr:rowOff>
        </xdr:to>
        <xdr:sp macro="" textlink="">
          <xdr:nvSpPr>
            <xdr:cNvPr id="1527" name="Object 503" hidden="1">
              <a:extLst>
                <a:ext uri="{63B3BB69-23CF-44E3-9099-C40C66FF867C}">
                  <a14:compatExt spid="_x0000_s15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304800</xdr:colOff>
          <xdr:row>477</xdr:row>
          <xdr:rowOff>85725</xdr:rowOff>
        </xdr:from>
        <xdr:to>
          <xdr:col>40</xdr:col>
          <xdr:colOff>714375</xdr:colOff>
          <xdr:row>479</xdr:row>
          <xdr:rowOff>0</xdr:rowOff>
        </xdr:to>
        <xdr:sp macro="" textlink="">
          <xdr:nvSpPr>
            <xdr:cNvPr id="1528" name="Object 504" hidden="1">
              <a:extLst>
                <a:ext uri="{63B3BB69-23CF-44E3-9099-C40C66FF867C}">
                  <a14:compatExt spid="_x0000_s15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304800</xdr:colOff>
          <xdr:row>83</xdr:row>
          <xdr:rowOff>76200</xdr:rowOff>
        </xdr:from>
        <xdr:to>
          <xdr:col>21</xdr:col>
          <xdr:colOff>714375</xdr:colOff>
          <xdr:row>84</xdr:row>
          <xdr:rowOff>161925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304800</xdr:colOff>
          <xdr:row>83</xdr:row>
          <xdr:rowOff>76200</xdr:rowOff>
        </xdr:from>
        <xdr:to>
          <xdr:col>25</xdr:col>
          <xdr:colOff>714375</xdr:colOff>
          <xdr:row>84</xdr:row>
          <xdr:rowOff>161925</xdr:rowOff>
        </xdr:to>
        <xdr:sp macro="" textlink="">
          <xdr:nvSpPr>
            <xdr:cNvPr id="8194" name="Object 2" hidden="1">
              <a:extLst>
                <a:ext uri="{63B3BB69-23CF-44E3-9099-C40C66FF867C}">
                  <a14:compatExt spid="_x0000_s8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200025</xdr:colOff>
          <xdr:row>73</xdr:row>
          <xdr:rowOff>114300</xdr:rowOff>
        </xdr:from>
        <xdr:to>
          <xdr:col>43</xdr:col>
          <xdr:colOff>647700</xdr:colOff>
          <xdr:row>80</xdr:row>
          <xdr:rowOff>123825</xdr:rowOff>
        </xdr:to>
        <xdr:sp macro="" textlink="">
          <xdr:nvSpPr>
            <xdr:cNvPr id="8195" name="Object 3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304800</xdr:colOff>
          <xdr:row>73</xdr:row>
          <xdr:rowOff>47625</xdr:rowOff>
        </xdr:from>
        <xdr:to>
          <xdr:col>46</xdr:col>
          <xdr:colOff>676275</xdr:colOff>
          <xdr:row>75</xdr:row>
          <xdr:rowOff>114300</xdr:rowOff>
        </xdr:to>
        <xdr:sp macro="" textlink="">
          <xdr:nvSpPr>
            <xdr:cNvPr id="8196" name="Object 4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219075</xdr:colOff>
          <xdr:row>76</xdr:row>
          <xdr:rowOff>76200</xdr:rowOff>
        </xdr:from>
        <xdr:to>
          <xdr:col>48</xdr:col>
          <xdr:colOff>123825</xdr:colOff>
          <xdr:row>77</xdr:row>
          <xdr:rowOff>161925</xdr:rowOff>
        </xdr:to>
        <xdr:sp macro="" textlink="">
          <xdr:nvSpPr>
            <xdr:cNvPr id="8197" name="Object 5" hidden="1">
              <a:extLst>
                <a:ext uri="{63B3BB69-23CF-44E3-9099-C40C66FF867C}">
                  <a14:compatExt spid="_x0000_s81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219075</xdr:colOff>
          <xdr:row>78</xdr:row>
          <xdr:rowOff>161925</xdr:rowOff>
        </xdr:from>
        <xdr:to>
          <xdr:col>46</xdr:col>
          <xdr:colOff>990600</xdr:colOff>
          <xdr:row>81</xdr:row>
          <xdr:rowOff>38100</xdr:rowOff>
        </xdr:to>
        <xdr:sp macro="" textlink="">
          <xdr:nvSpPr>
            <xdr:cNvPr id="8198" name="Object 6" hidden="1">
              <a:extLst>
                <a:ext uri="{63B3BB69-23CF-44E3-9099-C40C66FF867C}">
                  <a14:compatExt spid="_x0000_s8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428625</xdr:colOff>
          <xdr:row>82</xdr:row>
          <xdr:rowOff>152400</xdr:rowOff>
        </xdr:from>
        <xdr:to>
          <xdr:col>41</xdr:col>
          <xdr:colOff>609600</xdr:colOff>
          <xdr:row>83</xdr:row>
          <xdr:rowOff>114300</xdr:rowOff>
        </xdr:to>
        <xdr:sp macro="" textlink="">
          <xdr:nvSpPr>
            <xdr:cNvPr id="8199" name="Object 7" hidden="1">
              <a:extLst>
                <a:ext uri="{63B3BB69-23CF-44E3-9099-C40C66FF867C}">
                  <a14:compatExt spid="_x0000_s81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257175</xdr:colOff>
          <xdr:row>82</xdr:row>
          <xdr:rowOff>85725</xdr:rowOff>
        </xdr:from>
        <xdr:to>
          <xdr:col>42</xdr:col>
          <xdr:colOff>676275</xdr:colOff>
          <xdr:row>83</xdr:row>
          <xdr:rowOff>180975</xdr:rowOff>
        </xdr:to>
        <xdr:sp macro="" textlink="">
          <xdr:nvSpPr>
            <xdr:cNvPr id="8200" name="Object 8" hidden="1">
              <a:extLst>
                <a:ext uri="{63B3BB69-23CF-44E3-9099-C40C66FF867C}">
                  <a14:compatExt spid="_x0000_s8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295275</xdr:colOff>
          <xdr:row>85</xdr:row>
          <xdr:rowOff>104775</xdr:rowOff>
        </xdr:from>
        <xdr:to>
          <xdr:col>41</xdr:col>
          <xdr:colOff>714375</xdr:colOff>
          <xdr:row>86</xdr:row>
          <xdr:rowOff>200025</xdr:rowOff>
        </xdr:to>
        <xdr:sp macro="" textlink="">
          <xdr:nvSpPr>
            <xdr:cNvPr id="8201" name="Object 9" hidden="1">
              <a:extLst>
                <a:ext uri="{63B3BB69-23CF-44E3-9099-C40C66FF867C}">
                  <a14:compatExt spid="_x0000_s8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295275</xdr:colOff>
          <xdr:row>85</xdr:row>
          <xdr:rowOff>104775</xdr:rowOff>
        </xdr:from>
        <xdr:to>
          <xdr:col>42</xdr:col>
          <xdr:colOff>714375</xdr:colOff>
          <xdr:row>86</xdr:row>
          <xdr:rowOff>200025</xdr:rowOff>
        </xdr:to>
        <xdr:sp macro="" textlink="">
          <xdr:nvSpPr>
            <xdr:cNvPr id="8202" name="Object 10" hidden="1">
              <a:extLst>
                <a:ext uri="{63B3BB69-23CF-44E3-9099-C40C66FF867C}">
                  <a14:compatExt spid="_x0000_s8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314325</xdr:colOff>
          <xdr:row>82</xdr:row>
          <xdr:rowOff>85725</xdr:rowOff>
        </xdr:from>
        <xdr:to>
          <xdr:col>43</xdr:col>
          <xdr:colOff>733425</xdr:colOff>
          <xdr:row>83</xdr:row>
          <xdr:rowOff>180975</xdr:rowOff>
        </xdr:to>
        <xdr:sp macro="" textlink="">
          <xdr:nvSpPr>
            <xdr:cNvPr id="8203" name="Object 11" hidden="1">
              <a:extLst>
                <a:ext uri="{63B3BB69-23CF-44E3-9099-C40C66FF867C}">
                  <a14:compatExt spid="_x0000_s82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304800</xdr:colOff>
          <xdr:row>85</xdr:row>
          <xdr:rowOff>85725</xdr:rowOff>
        </xdr:from>
        <xdr:to>
          <xdr:col>43</xdr:col>
          <xdr:colOff>714375</xdr:colOff>
          <xdr:row>86</xdr:row>
          <xdr:rowOff>180975</xdr:rowOff>
        </xdr:to>
        <xdr:sp macro="" textlink="">
          <xdr:nvSpPr>
            <xdr:cNvPr id="8204" name="Object 12" hidden="1">
              <a:extLst>
                <a:ext uri="{63B3BB69-23CF-44E3-9099-C40C66FF867C}">
                  <a14:compatExt spid="_x0000_s8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304800</xdr:colOff>
          <xdr:row>85</xdr:row>
          <xdr:rowOff>76200</xdr:rowOff>
        </xdr:from>
        <xdr:to>
          <xdr:col>46</xdr:col>
          <xdr:colOff>714375</xdr:colOff>
          <xdr:row>86</xdr:row>
          <xdr:rowOff>161925</xdr:rowOff>
        </xdr:to>
        <xdr:sp macro="" textlink="">
          <xdr:nvSpPr>
            <xdr:cNvPr id="8205" name="Object 13" hidden="1">
              <a:extLst>
                <a:ext uri="{63B3BB69-23CF-44E3-9099-C40C66FF867C}">
                  <a14:compatExt spid="_x0000_s8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428625</xdr:colOff>
          <xdr:row>82</xdr:row>
          <xdr:rowOff>152400</xdr:rowOff>
        </xdr:from>
        <xdr:to>
          <xdr:col>52</xdr:col>
          <xdr:colOff>609600</xdr:colOff>
          <xdr:row>83</xdr:row>
          <xdr:rowOff>114300</xdr:rowOff>
        </xdr:to>
        <xdr:sp macro="" textlink="">
          <xdr:nvSpPr>
            <xdr:cNvPr id="8206" name="Object 14" hidden="1">
              <a:extLst>
                <a:ext uri="{63B3BB69-23CF-44E3-9099-C40C66FF867C}">
                  <a14:compatExt spid="_x0000_s8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257175</xdr:colOff>
          <xdr:row>82</xdr:row>
          <xdr:rowOff>85725</xdr:rowOff>
        </xdr:from>
        <xdr:to>
          <xdr:col>53</xdr:col>
          <xdr:colOff>676275</xdr:colOff>
          <xdr:row>83</xdr:row>
          <xdr:rowOff>180975</xdr:rowOff>
        </xdr:to>
        <xdr:sp macro="" textlink="">
          <xdr:nvSpPr>
            <xdr:cNvPr id="8207" name="Object 15" hidden="1">
              <a:extLst>
                <a:ext uri="{63B3BB69-23CF-44E3-9099-C40C66FF867C}">
                  <a14:compatExt spid="_x0000_s82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295275</xdr:colOff>
          <xdr:row>85</xdr:row>
          <xdr:rowOff>104775</xdr:rowOff>
        </xdr:from>
        <xdr:to>
          <xdr:col>52</xdr:col>
          <xdr:colOff>714375</xdr:colOff>
          <xdr:row>86</xdr:row>
          <xdr:rowOff>200025</xdr:rowOff>
        </xdr:to>
        <xdr:sp macro="" textlink="">
          <xdr:nvSpPr>
            <xdr:cNvPr id="8208" name="Object 16" hidden="1">
              <a:extLst>
                <a:ext uri="{63B3BB69-23CF-44E3-9099-C40C66FF867C}">
                  <a14:compatExt spid="_x0000_s8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295275</xdr:colOff>
          <xdr:row>85</xdr:row>
          <xdr:rowOff>104775</xdr:rowOff>
        </xdr:from>
        <xdr:to>
          <xdr:col>53</xdr:col>
          <xdr:colOff>714375</xdr:colOff>
          <xdr:row>86</xdr:row>
          <xdr:rowOff>200025</xdr:rowOff>
        </xdr:to>
        <xdr:sp macro="" textlink="">
          <xdr:nvSpPr>
            <xdr:cNvPr id="8209" name="Object 17" hidden="1">
              <a:extLst>
                <a:ext uri="{63B3BB69-23CF-44E3-9099-C40C66FF867C}">
                  <a14:compatExt spid="_x0000_s8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333375</xdr:colOff>
          <xdr:row>82</xdr:row>
          <xdr:rowOff>85725</xdr:rowOff>
        </xdr:from>
        <xdr:to>
          <xdr:col>54</xdr:col>
          <xdr:colOff>733425</xdr:colOff>
          <xdr:row>83</xdr:row>
          <xdr:rowOff>180975</xdr:rowOff>
        </xdr:to>
        <xdr:sp macro="" textlink="">
          <xdr:nvSpPr>
            <xdr:cNvPr id="8210" name="Object 18" hidden="1">
              <a:extLst>
                <a:ext uri="{63B3BB69-23CF-44E3-9099-C40C66FF867C}">
                  <a14:compatExt spid="_x0000_s8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304800</xdr:colOff>
          <xdr:row>85</xdr:row>
          <xdr:rowOff>85725</xdr:rowOff>
        </xdr:from>
        <xdr:to>
          <xdr:col>54</xdr:col>
          <xdr:colOff>714375</xdr:colOff>
          <xdr:row>86</xdr:row>
          <xdr:rowOff>180975</xdr:rowOff>
        </xdr:to>
        <xdr:sp macro="" textlink="">
          <xdr:nvSpPr>
            <xdr:cNvPr id="8211" name="Object 19" hidden="1">
              <a:extLst>
                <a:ext uri="{63B3BB69-23CF-44E3-9099-C40C66FF867C}">
                  <a14:compatExt spid="_x0000_s82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304800</xdr:colOff>
          <xdr:row>85</xdr:row>
          <xdr:rowOff>76200</xdr:rowOff>
        </xdr:from>
        <xdr:to>
          <xdr:col>57</xdr:col>
          <xdr:colOff>714375</xdr:colOff>
          <xdr:row>86</xdr:row>
          <xdr:rowOff>161925</xdr:rowOff>
        </xdr:to>
        <xdr:sp macro="" textlink="">
          <xdr:nvSpPr>
            <xdr:cNvPr id="8212" name="Object 20" hidden="1">
              <a:extLst>
                <a:ext uri="{63B3BB69-23CF-44E3-9099-C40C66FF867C}">
                  <a14:compatExt spid="_x0000_s82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63</xdr:col>
          <xdr:colOff>428625</xdr:colOff>
          <xdr:row>82</xdr:row>
          <xdr:rowOff>152400</xdr:rowOff>
        </xdr:from>
        <xdr:to>
          <xdr:col>63</xdr:col>
          <xdr:colOff>609600</xdr:colOff>
          <xdr:row>83</xdr:row>
          <xdr:rowOff>114300</xdr:rowOff>
        </xdr:to>
        <xdr:sp macro="" textlink="">
          <xdr:nvSpPr>
            <xdr:cNvPr id="8213" name="Object 21" hidden="1">
              <a:extLst>
                <a:ext uri="{63B3BB69-23CF-44E3-9099-C40C66FF867C}">
                  <a14:compatExt spid="_x0000_s82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64</xdr:col>
          <xdr:colOff>257175</xdr:colOff>
          <xdr:row>82</xdr:row>
          <xdr:rowOff>85725</xdr:rowOff>
        </xdr:from>
        <xdr:to>
          <xdr:col>64</xdr:col>
          <xdr:colOff>676275</xdr:colOff>
          <xdr:row>83</xdr:row>
          <xdr:rowOff>180975</xdr:rowOff>
        </xdr:to>
        <xdr:sp macro="" textlink="">
          <xdr:nvSpPr>
            <xdr:cNvPr id="8214" name="Object 22" hidden="1">
              <a:extLst>
                <a:ext uri="{63B3BB69-23CF-44E3-9099-C40C66FF867C}">
                  <a14:compatExt spid="_x0000_s82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63</xdr:col>
          <xdr:colOff>295275</xdr:colOff>
          <xdr:row>85</xdr:row>
          <xdr:rowOff>104775</xdr:rowOff>
        </xdr:from>
        <xdr:to>
          <xdr:col>63</xdr:col>
          <xdr:colOff>714375</xdr:colOff>
          <xdr:row>86</xdr:row>
          <xdr:rowOff>200025</xdr:rowOff>
        </xdr:to>
        <xdr:sp macro="" textlink="">
          <xdr:nvSpPr>
            <xdr:cNvPr id="8215" name="Object 23" hidden="1">
              <a:extLst>
                <a:ext uri="{63B3BB69-23CF-44E3-9099-C40C66FF867C}">
                  <a14:compatExt spid="_x0000_s82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64</xdr:col>
          <xdr:colOff>295275</xdr:colOff>
          <xdr:row>85</xdr:row>
          <xdr:rowOff>104775</xdr:rowOff>
        </xdr:from>
        <xdr:to>
          <xdr:col>64</xdr:col>
          <xdr:colOff>714375</xdr:colOff>
          <xdr:row>86</xdr:row>
          <xdr:rowOff>200025</xdr:rowOff>
        </xdr:to>
        <xdr:sp macro="" textlink="">
          <xdr:nvSpPr>
            <xdr:cNvPr id="8216" name="Object 24" hidden="1">
              <a:extLst>
                <a:ext uri="{63B3BB69-23CF-44E3-9099-C40C66FF867C}">
                  <a14:compatExt spid="_x0000_s82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314325</xdr:colOff>
          <xdr:row>82</xdr:row>
          <xdr:rowOff>85725</xdr:rowOff>
        </xdr:from>
        <xdr:to>
          <xdr:col>65</xdr:col>
          <xdr:colOff>733425</xdr:colOff>
          <xdr:row>83</xdr:row>
          <xdr:rowOff>180975</xdr:rowOff>
        </xdr:to>
        <xdr:sp macro="" textlink="">
          <xdr:nvSpPr>
            <xdr:cNvPr id="8217" name="Object 25" hidden="1">
              <a:extLst>
                <a:ext uri="{63B3BB69-23CF-44E3-9099-C40C66FF867C}">
                  <a14:compatExt spid="_x0000_s8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304800</xdr:colOff>
          <xdr:row>85</xdr:row>
          <xdr:rowOff>85725</xdr:rowOff>
        </xdr:from>
        <xdr:to>
          <xdr:col>65</xdr:col>
          <xdr:colOff>714375</xdr:colOff>
          <xdr:row>86</xdr:row>
          <xdr:rowOff>180975</xdr:rowOff>
        </xdr:to>
        <xdr:sp macro="" textlink="">
          <xdr:nvSpPr>
            <xdr:cNvPr id="8218" name="Object 26" hidden="1">
              <a:extLst>
                <a:ext uri="{63B3BB69-23CF-44E3-9099-C40C66FF867C}">
                  <a14:compatExt spid="_x0000_s8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304800</xdr:colOff>
          <xdr:row>85</xdr:row>
          <xdr:rowOff>76200</xdr:rowOff>
        </xdr:from>
        <xdr:to>
          <xdr:col>68</xdr:col>
          <xdr:colOff>714375</xdr:colOff>
          <xdr:row>86</xdr:row>
          <xdr:rowOff>161925</xdr:rowOff>
        </xdr:to>
        <xdr:sp macro="" textlink="">
          <xdr:nvSpPr>
            <xdr:cNvPr id="8219" name="Object 27" hidden="1">
              <a:extLst>
                <a:ext uri="{63B3BB69-23CF-44E3-9099-C40C66FF867C}">
                  <a14:compatExt spid="_x0000_s82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428625</xdr:colOff>
          <xdr:row>82</xdr:row>
          <xdr:rowOff>152400</xdr:rowOff>
        </xdr:from>
        <xdr:to>
          <xdr:col>74</xdr:col>
          <xdr:colOff>609600</xdr:colOff>
          <xdr:row>83</xdr:row>
          <xdr:rowOff>114300</xdr:rowOff>
        </xdr:to>
        <xdr:sp macro="" textlink="">
          <xdr:nvSpPr>
            <xdr:cNvPr id="8220" name="Object 28" hidden="1">
              <a:extLst>
                <a:ext uri="{63B3BB69-23CF-44E3-9099-C40C66FF867C}">
                  <a14:compatExt spid="_x0000_s82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257175</xdr:colOff>
          <xdr:row>82</xdr:row>
          <xdr:rowOff>85725</xdr:rowOff>
        </xdr:from>
        <xdr:to>
          <xdr:col>75</xdr:col>
          <xdr:colOff>676275</xdr:colOff>
          <xdr:row>83</xdr:row>
          <xdr:rowOff>180975</xdr:rowOff>
        </xdr:to>
        <xdr:sp macro="" textlink="">
          <xdr:nvSpPr>
            <xdr:cNvPr id="8221" name="Object 29" hidden="1">
              <a:extLst>
                <a:ext uri="{63B3BB69-23CF-44E3-9099-C40C66FF867C}">
                  <a14:compatExt spid="_x0000_s82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295275</xdr:colOff>
          <xdr:row>85</xdr:row>
          <xdr:rowOff>104775</xdr:rowOff>
        </xdr:from>
        <xdr:to>
          <xdr:col>74</xdr:col>
          <xdr:colOff>714375</xdr:colOff>
          <xdr:row>86</xdr:row>
          <xdr:rowOff>200025</xdr:rowOff>
        </xdr:to>
        <xdr:sp macro="" textlink="">
          <xdr:nvSpPr>
            <xdr:cNvPr id="8222" name="Object 30" hidden="1">
              <a:extLst>
                <a:ext uri="{63B3BB69-23CF-44E3-9099-C40C66FF867C}">
                  <a14:compatExt spid="_x0000_s82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295275</xdr:colOff>
          <xdr:row>85</xdr:row>
          <xdr:rowOff>104775</xdr:rowOff>
        </xdr:from>
        <xdr:to>
          <xdr:col>75</xdr:col>
          <xdr:colOff>714375</xdr:colOff>
          <xdr:row>86</xdr:row>
          <xdr:rowOff>200025</xdr:rowOff>
        </xdr:to>
        <xdr:sp macro="" textlink="">
          <xdr:nvSpPr>
            <xdr:cNvPr id="8223" name="Object 31" hidden="1">
              <a:extLst>
                <a:ext uri="{63B3BB69-23CF-44E3-9099-C40C66FF867C}">
                  <a14:compatExt spid="_x0000_s82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314325</xdr:colOff>
          <xdr:row>82</xdr:row>
          <xdr:rowOff>85725</xdr:rowOff>
        </xdr:from>
        <xdr:to>
          <xdr:col>76</xdr:col>
          <xdr:colOff>733425</xdr:colOff>
          <xdr:row>83</xdr:row>
          <xdr:rowOff>180975</xdr:rowOff>
        </xdr:to>
        <xdr:sp macro="" textlink="">
          <xdr:nvSpPr>
            <xdr:cNvPr id="8224" name="Object 32" hidden="1">
              <a:extLst>
                <a:ext uri="{63B3BB69-23CF-44E3-9099-C40C66FF867C}">
                  <a14:compatExt spid="_x0000_s82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304800</xdr:colOff>
          <xdr:row>85</xdr:row>
          <xdr:rowOff>85725</xdr:rowOff>
        </xdr:from>
        <xdr:to>
          <xdr:col>76</xdr:col>
          <xdr:colOff>714375</xdr:colOff>
          <xdr:row>86</xdr:row>
          <xdr:rowOff>180975</xdr:rowOff>
        </xdr:to>
        <xdr:sp macro="" textlink="">
          <xdr:nvSpPr>
            <xdr:cNvPr id="8225" name="Object 33" hidden="1">
              <a:extLst>
                <a:ext uri="{63B3BB69-23CF-44E3-9099-C40C66FF867C}">
                  <a14:compatExt spid="_x0000_s82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79</xdr:col>
          <xdr:colOff>304800</xdr:colOff>
          <xdr:row>85</xdr:row>
          <xdr:rowOff>76200</xdr:rowOff>
        </xdr:from>
        <xdr:to>
          <xdr:col>79</xdr:col>
          <xdr:colOff>714375</xdr:colOff>
          <xdr:row>86</xdr:row>
          <xdr:rowOff>161925</xdr:rowOff>
        </xdr:to>
        <xdr:sp macro="" textlink="">
          <xdr:nvSpPr>
            <xdr:cNvPr id="8226" name="Object 34" hidden="1">
              <a:extLst>
                <a:ext uri="{63B3BB69-23CF-44E3-9099-C40C66FF867C}">
                  <a14:compatExt spid="_x0000_s8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85</xdr:col>
          <xdr:colOff>428625</xdr:colOff>
          <xdr:row>82</xdr:row>
          <xdr:rowOff>152400</xdr:rowOff>
        </xdr:from>
        <xdr:to>
          <xdr:col>85</xdr:col>
          <xdr:colOff>609600</xdr:colOff>
          <xdr:row>83</xdr:row>
          <xdr:rowOff>114300</xdr:rowOff>
        </xdr:to>
        <xdr:sp macro="" textlink="">
          <xdr:nvSpPr>
            <xdr:cNvPr id="8227" name="Object 35" hidden="1">
              <a:extLst>
                <a:ext uri="{63B3BB69-23CF-44E3-9099-C40C66FF867C}">
                  <a14:compatExt spid="_x0000_s82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86</xdr:col>
          <xdr:colOff>257175</xdr:colOff>
          <xdr:row>82</xdr:row>
          <xdr:rowOff>85725</xdr:rowOff>
        </xdr:from>
        <xdr:to>
          <xdr:col>86</xdr:col>
          <xdr:colOff>676275</xdr:colOff>
          <xdr:row>83</xdr:row>
          <xdr:rowOff>180975</xdr:rowOff>
        </xdr:to>
        <xdr:sp macro="" textlink="">
          <xdr:nvSpPr>
            <xdr:cNvPr id="8228" name="Object 36" hidden="1">
              <a:extLst>
                <a:ext uri="{63B3BB69-23CF-44E3-9099-C40C66FF867C}">
                  <a14:compatExt spid="_x0000_s82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85</xdr:col>
          <xdr:colOff>295275</xdr:colOff>
          <xdr:row>85</xdr:row>
          <xdr:rowOff>104775</xdr:rowOff>
        </xdr:from>
        <xdr:to>
          <xdr:col>85</xdr:col>
          <xdr:colOff>714375</xdr:colOff>
          <xdr:row>86</xdr:row>
          <xdr:rowOff>200025</xdr:rowOff>
        </xdr:to>
        <xdr:sp macro="" textlink="">
          <xdr:nvSpPr>
            <xdr:cNvPr id="8229" name="Object 37" hidden="1">
              <a:extLst>
                <a:ext uri="{63B3BB69-23CF-44E3-9099-C40C66FF867C}">
                  <a14:compatExt spid="_x0000_s82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86</xdr:col>
          <xdr:colOff>295275</xdr:colOff>
          <xdr:row>85</xdr:row>
          <xdr:rowOff>104775</xdr:rowOff>
        </xdr:from>
        <xdr:to>
          <xdr:col>86</xdr:col>
          <xdr:colOff>714375</xdr:colOff>
          <xdr:row>86</xdr:row>
          <xdr:rowOff>200025</xdr:rowOff>
        </xdr:to>
        <xdr:sp macro="" textlink="">
          <xdr:nvSpPr>
            <xdr:cNvPr id="8230" name="Object 38" hidden="1">
              <a:extLst>
                <a:ext uri="{63B3BB69-23CF-44E3-9099-C40C66FF867C}">
                  <a14:compatExt spid="_x0000_s8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87</xdr:col>
          <xdr:colOff>314325</xdr:colOff>
          <xdr:row>82</xdr:row>
          <xdr:rowOff>85725</xdr:rowOff>
        </xdr:from>
        <xdr:to>
          <xdr:col>87</xdr:col>
          <xdr:colOff>733425</xdr:colOff>
          <xdr:row>83</xdr:row>
          <xdr:rowOff>180975</xdr:rowOff>
        </xdr:to>
        <xdr:sp macro="" textlink="">
          <xdr:nvSpPr>
            <xdr:cNvPr id="8231" name="Object 39" hidden="1">
              <a:extLst>
                <a:ext uri="{63B3BB69-23CF-44E3-9099-C40C66FF867C}">
                  <a14:compatExt spid="_x0000_s82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87</xdr:col>
          <xdr:colOff>304800</xdr:colOff>
          <xdr:row>85</xdr:row>
          <xdr:rowOff>85725</xdr:rowOff>
        </xdr:from>
        <xdr:to>
          <xdr:col>87</xdr:col>
          <xdr:colOff>714375</xdr:colOff>
          <xdr:row>86</xdr:row>
          <xdr:rowOff>180975</xdr:rowOff>
        </xdr:to>
        <xdr:sp macro="" textlink="">
          <xdr:nvSpPr>
            <xdr:cNvPr id="8232" name="Object 40" hidden="1">
              <a:extLst>
                <a:ext uri="{63B3BB69-23CF-44E3-9099-C40C66FF867C}">
                  <a14:compatExt spid="_x0000_s82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90</xdr:col>
          <xdr:colOff>304800</xdr:colOff>
          <xdr:row>85</xdr:row>
          <xdr:rowOff>76200</xdr:rowOff>
        </xdr:from>
        <xdr:to>
          <xdr:col>90</xdr:col>
          <xdr:colOff>714375</xdr:colOff>
          <xdr:row>86</xdr:row>
          <xdr:rowOff>161925</xdr:rowOff>
        </xdr:to>
        <xdr:sp macro="" textlink="">
          <xdr:nvSpPr>
            <xdr:cNvPr id="8233" name="Object 41" hidden="1">
              <a:extLst>
                <a:ext uri="{63B3BB69-23CF-44E3-9099-C40C66FF867C}">
                  <a14:compatExt spid="_x0000_s82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96</xdr:col>
          <xdr:colOff>428625</xdr:colOff>
          <xdr:row>82</xdr:row>
          <xdr:rowOff>152400</xdr:rowOff>
        </xdr:from>
        <xdr:to>
          <xdr:col>96</xdr:col>
          <xdr:colOff>609600</xdr:colOff>
          <xdr:row>83</xdr:row>
          <xdr:rowOff>114300</xdr:rowOff>
        </xdr:to>
        <xdr:sp macro="" textlink="">
          <xdr:nvSpPr>
            <xdr:cNvPr id="8234" name="Object 42" hidden="1">
              <a:extLst>
                <a:ext uri="{63B3BB69-23CF-44E3-9099-C40C66FF867C}">
                  <a14:compatExt spid="_x0000_s8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97</xdr:col>
          <xdr:colOff>257175</xdr:colOff>
          <xdr:row>82</xdr:row>
          <xdr:rowOff>85725</xdr:rowOff>
        </xdr:from>
        <xdr:to>
          <xdr:col>97</xdr:col>
          <xdr:colOff>676275</xdr:colOff>
          <xdr:row>83</xdr:row>
          <xdr:rowOff>180975</xdr:rowOff>
        </xdr:to>
        <xdr:sp macro="" textlink="">
          <xdr:nvSpPr>
            <xdr:cNvPr id="8235" name="Object 43" hidden="1">
              <a:extLst>
                <a:ext uri="{63B3BB69-23CF-44E3-9099-C40C66FF867C}">
                  <a14:compatExt spid="_x0000_s82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96</xdr:col>
          <xdr:colOff>295275</xdr:colOff>
          <xdr:row>85</xdr:row>
          <xdr:rowOff>104775</xdr:rowOff>
        </xdr:from>
        <xdr:to>
          <xdr:col>96</xdr:col>
          <xdr:colOff>714375</xdr:colOff>
          <xdr:row>86</xdr:row>
          <xdr:rowOff>200025</xdr:rowOff>
        </xdr:to>
        <xdr:sp macro="" textlink="">
          <xdr:nvSpPr>
            <xdr:cNvPr id="8236" name="Object 44" hidden="1">
              <a:extLst>
                <a:ext uri="{63B3BB69-23CF-44E3-9099-C40C66FF867C}">
                  <a14:compatExt spid="_x0000_s82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97</xdr:col>
          <xdr:colOff>295275</xdr:colOff>
          <xdr:row>85</xdr:row>
          <xdr:rowOff>104775</xdr:rowOff>
        </xdr:from>
        <xdr:to>
          <xdr:col>97</xdr:col>
          <xdr:colOff>714375</xdr:colOff>
          <xdr:row>86</xdr:row>
          <xdr:rowOff>200025</xdr:rowOff>
        </xdr:to>
        <xdr:sp macro="" textlink="">
          <xdr:nvSpPr>
            <xdr:cNvPr id="8237" name="Object 45" hidden="1">
              <a:extLst>
                <a:ext uri="{63B3BB69-23CF-44E3-9099-C40C66FF867C}">
                  <a14:compatExt spid="_x0000_s82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98</xdr:col>
          <xdr:colOff>314325</xdr:colOff>
          <xdr:row>82</xdr:row>
          <xdr:rowOff>85725</xdr:rowOff>
        </xdr:from>
        <xdr:to>
          <xdr:col>98</xdr:col>
          <xdr:colOff>733425</xdr:colOff>
          <xdr:row>83</xdr:row>
          <xdr:rowOff>180975</xdr:rowOff>
        </xdr:to>
        <xdr:sp macro="" textlink="">
          <xdr:nvSpPr>
            <xdr:cNvPr id="8238" name="Object 46" hidden="1">
              <a:extLst>
                <a:ext uri="{63B3BB69-23CF-44E3-9099-C40C66FF867C}">
                  <a14:compatExt spid="_x0000_s8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98</xdr:col>
          <xdr:colOff>304800</xdr:colOff>
          <xdr:row>85</xdr:row>
          <xdr:rowOff>85725</xdr:rowOff>
        </xdr:from>
        <xdr:to>
          <xdr:col>98</xdr:col>
          <xdr:colOff>714375</xdr:colOff>
          <xdr:row>86</xdr:row>
          <xdr:rowOff>180975</xdr:rowOff>
        </xdr:to>
        <xdr:sp macro="" textlink="">
          <xdr:nvSpPr>
            <xdr:cNvPr id="8239" name="Object 47" hidden="1">
              <a:extLst>
                <a:ext uri="{63B3BB69-23CF-44E3-9099-C40C66FF867C}">
                  <a14:compatExt spid="_x0000_s82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101</xdr:col>
          <xdr:colOff>304800</xdr:colOff>
          <xdr:row>85</xdr:row>
          <xdr:rowOff>76200</xdr:rowOff>
        </xdr:from>
        <xdr:to>
          <xdr:col>101</xdr:col>
          <xdr:colOff>714375</xdr:colOff>
          <xdr:row>86</xdr:row>
          <xdr:rowOff>161925</xdr:rowOff>
        </xdr:to>
        <xdr:sp macro="" textlink="">
          <xdr:nvSpPr>
            <xdr:cNvPr id="8240" name="Object 48" hidden="1">
              <a:extLst>
                <a:ext uri="{63B3BB69-23CF-44E3-9099-C40C66FF867C}">
                  <a14:compatExt spid="_x0000_s82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107</xdr:col>
          <xdr:colOff>428625</xdr:colOff>
          <xdr:row>82</xdr:row>
          <xdr:rowOff>152400</xdr:rowOff>
        </xdr:from>
        <xdr:to>
          <xdr:col>107</xdr:col>
          <xdr:colOff>609600</xdr:colOff>
          <xdr:row>83</xdr:row>
          <xdr:rowOff>114300</xdr:rowOff>
        </xdr:to>
        <xdr:sp macro="" textlink="">
          <xdr:nvSpPr>
            <xdr:cNvPr id="8241" name="Object 49" hidden="1">
              <a:extLst>
                <a:ext uri="{63B3BB69-23CF-44E3-9099-C40C66FF867C}">
                  <a14:compatExt spid="_x0000_s8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108</xdr:col>
          <xdr:colOff>257175</xdr:colOff>
          <xdr:row>82</xdr:row>
          <xdr:rowOff>85725</xdr:rowOff>
        </xdr:from>
        <xdr:to>
          <xdr:col>108</xdr:col>
          <xdr:colOff>647700</xdr:colOff>
          <xdr:row>83</xdr:row>
          <xdr:rowOff>180975</xdr:rowOff>
        </xdr:to>
        <xdr:sp macro="" textlink="">
          <xdr:nvSpPr>
            <xdr:cNvPr id="8242" name="Object 50" hidden="1">
              <a:extLst>
                <a:ext uri="{63B3BB69-23CF-44E3-9099-C40C66FF867C}">
                  <a14:compatExt spid="_x0000_s8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107</xdr:col>
          <xdr:colOff>295275</xdr:colOff>
          <xdr:row>85</xdr:row>
          <xdr:rowOff>104775</xdr:rowOff>
        </xdr:from>
        <xdr:to>
          <xdr:col>107</xdr:col>
          <xdr:colOff>714375</xdr:colOff>
          <xdr:row>86</xdr:row>
          <xdr:rowOff>200025</xdr:rowOff>
        </xdr:to>
        <xdr:sp macro="" textlink="">
          <xdr:nvSpPr>
            <xdr:cNvPr id="8243" name="Object 51" hidden="1">
              <a:extLst>
                <a:ext uri="{63B3BB69-23CF-44E3-9099-C40C66FF867C}">
                  <a14:compatExt spid="_x0000_s82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108</xdr:col>
          <xdr:colOff>295275</xdr:colOff>
          <xdr:row>85</xdr:row>
          <xdr:rowOff>104775</xdr:rowOff>
        </xdr:from>
        <xdr:to>
          <xdr:col>108</xdr:col>
          <xdr:colOff>714375</xdr:colOff>
          <xdr:row>86</xdr:row>
          <xdr:rowOff>200025</xdr:rowOff>
        </xdr:to>
        <xdr:sp macro="" textlink="">
          <xdr:nvSpPr>
            <xdr:cNvPr id="8244" name="Object 52" hidden="1">
              <a:extLst>
                <a:ext uri="{63B3BB69-23CF-44E3-9099-C40C66FF867C}">
                  <a14:compatExt spid="_x0000_s82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109</xdr:col>
          <xdr:colOff>314325</xdr:colOff>
          <xdr:row>82</xdr:row>
          <xdr:rowOff>85725</xdr:rowOff>
        </xdr:from>
        <xdr:to>
          <xdr:col>109</xdr:col>
          <xdr:colOff>733425</xdr:colOff>
          <xdr:row>83</xdr:row>
          <xdr:rowOff>180975</xdr:rowOff>
        </xdr:to>
        <xdr:sp macro="" textlink="">
          <xdr:nvSpPr>
            <xdr:cNvPr id="8245" name="Object 53" hidden="1">
              <a:extLst>
                <a:ext uri="{63B3BB69-23CF-44E3-9099-C40C66FF867C}">
                  <a14:compatExt spid="_x0000_s82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109</xdr:col>
          <xdr:colOff>304800</xdr:colOff>
          <xdr:row>85</xdr:row>
          <xdr:rowOff>85725</xdr:rowOff>
        </xdr:from>
        <xdr:to>
          <xdr:col>109</xdr:col>
          <xdr:colOff>714375</xdr:colOff>
          <xdr:row>86</xdr:row>
          <xdr:rowOff>180975</xdr:rowOff>
        </xdr:to>
        <xdr:sp macro="" textlink="">
          <xdr:nvSpPr>
            <xdr:cNvPr id="8246" name="Object 54" hidden="1">
              <a:extLst>
                <a:ext uri="{63B3BB69-23CF-44E3-9099-C40C66FF867C}">
                  <a14:compatExt spid="_x0000_s8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112</xdr:col>
          <xdr:colOff>304800</xdr:colOff>
          <xdr:row>85</xdr:row>
          <xdr:rowOff>76200</xdr:rowOff>
        </xdr:from>
        <xdr:to>
          <xdr:col>112</xdr:col>
          <xdr:colOff>714375</xdr:colOff>
          <xdr:row>86</xdr:row>
          <xdr:rowOff>161925</xdr:rowOff>
        </xdr:to>
        <xdr:sp macro="" textlink="">
          <xdr:nvSpPr>
            <xdr:cNvPr id="8247" name="Object 55" hidden="1">
              <a:extLst>
                <a:ext uri="{63B3BB69-23CF-44E3-9099-C40C66FF867C}">
                  <a14:compatExt spid="_x0000_s82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428625</xdr:colOff>
          <xdr:row>114</xdr:row>
          <xdr:rowOff>152400</xdr:rowOff>
        </xdr:from>
        <xdr:to>
          <xdr:col>41</xdr:col>
          <xdr:colOff>609600</xdr:colOff>
          <xdr:row>115</xdr:row>
          <xdr:rowOff>114300</xdr:rowOff>
        </xdr:to>
        <xdr:sp macro="" textlink="">
          <xdr:nvSpPr>
            <xdr:cNvPr id="8248" name="Object 56" hidden="1">
              <a:extLst>
                <a:ext uri="{63B3BB69-23CF-44E3-9099-C40C66FF867C}">
                  <a14:compatExt spid="_x0000_s82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257175</xdr:colOff>
          <xdr:row>114</xdr:row>
          <xdr:rowOff>85725</xdr:rowOff>
        </xdr:from>
        <xdr:to>
          <xdr:col>42</xdr:col>
          <xdr:colOff>647700</xdr:colOff>
          <xdr:row>115</xdr:row>
          <xdr:rowOff>180975</xdr:rowOff>
        </xdr:to>
        <xdr:sp macro="" textlink="">
          <xdr:nvSpPr>
            <xdr:cNvPr id="8249" name="Object 57" hidden="1">
              <a:extLst>
                <a:ext uri="{63B3BB69-23CF-44E3-9099-C40C66FF867C}">
                  <a14:compatExt spid="_x0000_s82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295275</xdr:colOff>
          <xdr:row>117</xdr:row>
          <xdr:rowOff>104775</xdr:rowOff>
        </xdr:from>
        <xdr:to>
          <xdr:col>41</xdr:col>
          <xdr:colOff>714375</xdr:colOff>
          <xdr:row>118</xdr:row>
          <xdr:rowOff>200025</xdr:rowOff>
        </xdr:to>
        <xdr:sp macro="" textlink="">
          <xdr:nvSpPr>
            <xdr:cNvPr id="8250" name="Object 58" hidden="1">
              <a:extLst>
                <a:ext uri="{63B3BB69-23CF-44E3-9099-C40C66FF867C}">
                  <a14:compatExt spid="_x0000_s8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295275</xdr:colOff>
          <xdr:row>117</xdr:row>
          <xdr:rowOff>104775</xdr:rowOff>
        </xdr:from>
        <xdr:to>
          <xdr:col>42</xdr:col>
          <xdr:colOff>714375</xdr:colOff>
          <xdr:row>118</xdr:row>
          <xdr:rowOff>200025</xdr:rowOff>
        </xdr:to>
        <xdr:sp macro="" textlink="">
          <xdr:nvSpPr>
            <xdr:cNvPr id="8251" name="Object 59" hidden="1">
              <a:extLst>
                <a:ext uri="{63B3BB69-23CF-44E3-9099-C40C66FF867C}">
                  <a14:compatExt spid="_x0000_s82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314325</xdr:colOff>
          <xdr:row>114</xdr:row>
          <xdr:rowOff>85725</xdr:rowOff>
        </xdr:from>
        <xdr:to>
          <xdr:col>43</xdr:col>
          <xdr:colOff>733425</xdr:colOff>
          <xdr:row>115</xdr:row>
          <xdr:rowOff>180975</xdr:rowOff>
        </xdr:to>
        <xdr:sp macro="" textlink="">
          <xdr:nvSpPr>
            <xdr:cNvPr id="8252" name="Object 60" hidden="1">
              <a:extLst>
                <a:ext uri="{63B3BB69-23CF-44E3-9099-C40C66FF867C}">
                  <a14:compatExt spid="_x0000_s82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304800</xdr:colOff>
          <xdr:row>117</xdr:row>
          <xdr:rowOff>85725</xdr:rowOff>
        </xdr:from>
        <xdr:to>
          <xdr:col>43</xdr:col>
          <xdr:colOff>714375</xdr:colOff>
          <xdr:row>118</xdr:row>
          <xdr:rowOff>180975</xdr:rowOff>
        </xdr:to>
        <xdr:sp macro="" textlink="">
          <xdr:nvSpPr>
            <xdr:cNvPr id="8253" name="Object 61" hidden="1">
              <a:extLst>
                <a:ext uri="{63B3BB69-23CF-44E3-9099-C40C66FF867C}">
                  <a14:compatExt spid="_x0000_s82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304800</xdr:colOff>
          <xdr:row>117</xdr:row>
          <xdr:rowOff>76200</xdr:rowOff>
        </xdr:from>
        <xdr:to>
          <xdr:col>46</xdr:col>
          <xdr:colOff>714375</xdr:colOff>
          <xdr:row>118</xdr:row>
          <xdr:rowOff>161925</xdr:rowOff>
        </xdr:to>
        <xdr:sp macro="" textlink="">
          <xdr:nvSpPr>
            <xdr:cNvPr id="8254" name="Object 62" hidden="1">
              <a:extLst>
                <a:ext uri="{63B3BB69-23CF-44E3-9099-C40C66FF867C}">
                  <a14:compatExt spid="_x0000_s8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428625</xdr:colOff>
          <xdr:row>114</xdr:row>
          <xdr:rowOff>152400</xdr:rowOff>
        </xdr:from>
        <xdr:to>
          <xdr:col>52</xdr:col>
          <xdr:colOff>609600</xdr:colOff>
          <xdr:row>115</xdr:row>
          <xdr:rowOff>114300</xdr:rowOff>
        </xdr:to>
        <xdr:sp macro="" textlink="">
          <xdr:nvSpPr>
            <xdr:cNvPr id="8255" name="Object 63" hidden="1">
              <a:extLst>
                <a:ext uri="{63B3BB69-23CF-44E3-9099-C40C66FF867C}">
                  <a14:compatExt spid="_x0000_s82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257175</xdr:colOff>
          <xdr:row>114</xdr:row>
          <xdr:rowOff>85725</xdr:rowOff>
        </xdr:from>
        <xdr:to>
          <xdr:col>53</xdr:col>
          <xdr:colOff>647700</xdr:colOff>
          <xdr:row>115</xdr:row>
          <xdr:rowOff>180975</xdr:rowOff>
        </xdr:to>
        <xdr:sp macro="" textlink="">
          <xdr:nvSpPr>
            <xdr:cNvPr id="8256" name="Object 64" hidden="1">
              <a:extLst>
                <a:ext uri="{63B3BB69-23CF-44E3-9099-C40C66FF867C}">
                  <a14:compatExt spid="_x0000_s82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295275</xdr:colOff>
          <xdr:row>117</xdr:row>
          <xdr:rowOff>104775</xdr:rowOff>
        </xdr:from>
        <xdr:to>
          <xdr:col>52</xdr:col>
          <xdr:colOff>714375</xdr:colOff>
          <xdr:row>118</xdr:row>
          <xdr:rowOff>200025</xdr:rowOff>
        </xdr:to>
        <xdr:sp macro="" textlink="">
          <xdr:nvSpPr>
            <xdr:cNvPr id="8257" name="Object 65" hidden="1">
              <a:extLst>
                <a:ext uri="{63B3BB69-23CF-44E3-9099-C40C66FF867C}">
                  <a14:compatExt spid="_x0000_s82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295275</xdr:colOff>
          <xdr:row>117</xdr:row>
          <xdr:rowOff>104775</xdr:rowOff>
        </xdr:from>
        <xdr:to>
          <xdr:col>53</xdr:col>
          <xdr:colOff>714375</xdr:colOff>
          <xdr:row>118</xdr:row>
          <xdr:rowOff>200025</xdr:rowOff>
        </xdr:to>
        <xdr:sp macro="" textlink="">
          <xdr:nvSpPr>
            <xdr:cNvPr id="8258" name="Object 66" hidden="1">
              <a:extLst>
                <a:ext uri="{63B3BB69-23CF-44E3-9099-C40C66FF867C}">
                  <a14:compatExt spid="_x0000_s8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314325</xdr:colOff>
          <xdr:row>114</xdr:row>
          <xdr:rowOff>85725</xdr:rowOff>
        </xdr:from>
        <xdr:to>
          <xdr:col>54</xdr:col>
          <xdr:colOff>733425</xdr:colOff>
          <xdr:row>115</xdr:row>
          <xdr:rowOff>180975</xdr:rowOff>
        </xdr:to>
        <xdr:sp macro="" textlink="">
          <xdr:nvSpPr>
            <xdr:cNvPr id="8259" name="Object 67" hidden="1">
              <a:extLst>
                <a:ext uri="{63B3BB69-23CF-44E3-9099-C40C66FF867C}">
                  <a14:compatExt spid="_x0000_s82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304800</xdr:colOff>
          <xdr:row>117</xdr:row>
          <xdr:rowOff>85725</xdr:rowOff>
        </xdr:from>
        <xdr:to>
          <xdr:col>54</xdr:col>
          <xdr:colOff>714375</xdr:colOff>
          <xdr:row>118</xdr:row>
          <xdr:rowOff>180975</xdr:rowOff>
        </xdr:to>
        <xdr:sp macro="" textlink="">
          <xdr:nvSpPr>
            <xdr:cNvPr id="8260" name="Object 68" hidden="1">
              <a:extLst>
                <a:ext uri="{63B3BB69-23CF-44E3-9099-C40C66FF867C}">
                  <a14:compatExt spid="_x0000_s82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304800</xdr:colOff>
          <xdr:row>117</xdr:row>
          <xdr:rowOff>76200</xdr:rowOff>
        </xdr:from>
        <xdr:to>
          <xdr:col>57</xdr:col>
          <xdr:colOff>714375</xdr:colOff>
          <xdr:row>118</xdr:row>
          <xdr:rowOff>161925</xdr:rowOff>
        </xdr:to>
        <xdr:sp macro="" textlink="">
          <xdr:nvSpPr>
            <xdr:cNvPr id="8261" name="Object 69" hidden="1">
              <a:extLst>
                <a:ext uri="{63B3BB69-23CF-44E3-9099-C40C66FF867C}">
                  <a14:compatExt spid="_x0000_s82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63</xdr:col>
          <xdr:colOff>428625</xdr:colOff>
          <xdr:row>114</xdr:row>
          <xdr:rowOff>152400</xdr:rowOff>
        </xdr:from>
        <xdr:to>
          <xdr:col>63</xdr:col>
          <xdr:colOff>609600</xdr:colOff>
          <xdr:row>115</xdr:row>
          <xdr:rowOff>114300</xdr:rowOff>
        </xdr:to>
        <xdr:sp macro="" textlink="">
          <xdr:nvSpPr>
            <xdr:cNvPr id="8262" name="Object 70" hidden="1">
              <a:extLst>
                <a:ext uri="{63B3BB69-23CF-44E3-9099-C40C66FF867C}">
                  <a14:compatExt spid="_x0000_s8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64</xdr:col>
          <xdr:colOff>257175</xdr:colOff>
          <xdr:row>114</xdr:row>
          <xdr:rowOff>85725</xdr:rowOff>
        </xdr:from>
        <xdr:to>
          <xdr:col>64</xdr:col>
          <xdr:colOff>647700</xdr:colOff>
          <xdr:row>115</xdr:row>
          <xdr:rowOff>180975</xdr:rowOff>
        </xdr:to>
        <xdr:sp macro="" textlink="">
          <xdr:nvSpPr>
            <xdr:cNvPr id="8263" name="Object 71" hidden="1">
              <a:extLst>
                <a:ext uri="{63B3BB69-23CF-44E3-9099-C40C66FF867C}">
                  <a14:compatExt spid="_x0000_s82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63</xdr:col>
          <xdr:colOff>295275</xdr:colOff>
          <xdr:row>117</xdr:row>
          <xdr:rowOff>104775</xdr:rowOff>
        </xdr:from>
        <xdr:to>
          <xdr:col>63</xdr:col>
          <xdr:colOff>714375</xdr:colOff>
          <xdr:row>118</xdr:row>
          <xdr:rowOff>200025</xdr:rowOff>
        </xdr:to>
        <xdr:sp macro="" textlink="">
          <xdr:nvSpPr>
            <xdr:cNvPr id="8264" name="Object 72" hidden="1">
              <a:extLst>
                <a:ext uri="{63B3BB69-23CF-44E3-9099-C40C66FF867C}">
                  <a14:compatExt spid="_x0000_s82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64</xdr:col>
          <xdr:colOff>295275</xdr:colOff>
          <xdr:row>117</xdr:row>
          <xdr:rowOff>104775</xdr:rowOff>
        </xdr:from>
        <xdr:to>
          <xdr:col>64</xdr:col>
          <xdr:colOff>714375</xdr:colOff>
          <xdr:row>118</xdr:row>
          <xdr:rowOff>200025</xdr:rowOff>
        </xdr:to>
        <xdr:sp macro="" textlink="">
          <xdr:nvSpPr>
            <xdr:cNvPr id="8265" name="Object 73" hidden="1">
              <a:extLst>
                <a:ext uri="{63B3BB69-23CF-44E3-9099-C40C66FF867C}">
                  <a14:compatExt spid="_x0000_s8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314325</xdr:colOff>
          <xdr:row>114</xdr:row>
          <xdr:rowOff>85725</xdr:rowOff>
        </xdr:from>
        <xdr:to>
          <xdr:col>65</xdr:col>
          <xdr:colOff>733425</xdr:colOff>
          <xdr:row>115</xdr:row>
          <xdr:rowOff>180975</xdr:rowOff>
        </xdr:to>
        <xdr:sp macro="" textlink="">
          <xdr:nvSpPr>
            <xdr:cNvPr id="8266" name="Object 74" hidden="1">
              <a:extLst>
                <a:ext uri="{63B3BB69-23CF-44E3-9099-C40C66FF867C}">
                  <a14:compatExt spid="_x0000_s8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304800</xdr:colOff>
          <xdr:row>117</xdr:row>
          <xdr:rowOff>85725</xdr:rowOff>
        </xdr:from>
        <xdr:to>
          <xdr:col>65</xdr:col>
          <xdr:colOff>714375</xdr:colOff>
          <xdr:row>118</xdr:row>
          <xdr:rowOff>180975</xdr:rowOff>
        </xdr:to>
        <xdr:sp macro="" textlink="">
          <xdr:nvSpPr>
            <xdr:cNvPr id="8267" name="Object 75" hidden="1">
              <a:extLst>
                <a:ext uri="{63B3BB69-23CF-44E3-9099-C40C66FF867C}">
                  <a14:compatExt spid="_x0000_s82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304800</xdr:colOff>
          <xdr:row>117</xdr:row>
          <xdr:rowOff>76200</xdr:rowOff>
        </xdr:from>
        <xdr:to>
          <xdr:col>68</xdr:col>
          <xdr:colOff>714375</xdr:colOff>
          <xdr:row>118</xdr:row>
          <xdr:rowOff>161925</xdr:rowOff>
        </xdr:to>
        <xdr:sp macro="" textlink="">
          <xdr:nvSpPr>
            <xdr:cNvPr id="8268" name="Object 76" hidden="1">
              <a:extLst>
                <a:ext uri="{63B3BB69-23CF-44E3-9099-C40C66FF867C}">
                  <a14:compatExt spid="_x0000_s82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428625</xdr:colOff>
          <xdr:row>114</xdr:row>
          <xdr:rowOff>152400</xdr:rowOff>
        </xdr:from>
        <xdr:to>
          <xdr:col>74</xdr:col>
          <xdr:colOff>609600</xdr:colOff>
          <xdr:row>115</xdr:row>
          <xdr:rowOff>114300</xdr:rowOff>
        </xdr:to>
        <xdr:sp macro="" textlink="">
          <xdr:nvSpPr>
            <xdr:cNvPr id="8269" name="Object 77" hidden="1">
              <a:extLst>
                <a:ext uri="{63B3BB69-23CF-44E3-9099-C40C66FF867C}">
                  <a14:compatExt spid="_x0000_s82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257175</xdr:colOff>
          <xdr:row>114</xdr:row>
          <xdr:rowOff>85725</xdr:rowOff>
        </xdr:from>
        <xdr:to>
          <xdr:col>75</xdr:col>
          <xdr:colOff>647700</xdr:colOff>
          <xdr:row>115</xdr:row>
          <xdr:rowOff>180975</xdr:rowOff>
        </xdr:to>
        <xdr:sp macro="" textlink="">
          <xdr:nvSpPr>
            <xdr:cNvPr id="8270" name="Object 78" hidden="1">
              <a:extLst>
                <a:ext uri="{63B3BB69-23CF-44E3-9099-C40C66FF867C}">
                  <a14:compatExt spid="_x0000_s8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295275</xdr:colOff>
          <xdr:row>117</xdr:row>
          <xdr:rowOff>104775</xdr:rowOff>
        </xdr:from>
        <xdr:to>
          <xdr:col>74</xdr:col>
          <xdr:colOff>714375</xdr:colOff>
          <xdr:row>118</xdr:row>
          <xdr:rowOff>200025</xdr:rowOff>
        </xdr:to>
        <xdr:sp macro="" textlink="">
          <xdr:nvSpPr>
            <xdr:cNvPr id="8271" name="Object 79" hidden="1">
              <a:extLst>
                <a:ext uri="{63B3BB69-23CF-44E3-9099-C40C66FF867C}">
                  <a14:compatExt spid="_x0000_s82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295275</xdr:colOff>
          <xdr:row>117</xdr:row>
          <xdr:rowOff>104775</xdr:rowOff>
        </xdr:from>
        <xdr:to>
          <xdr:col>75</xdr:col>
          <xdr:colOff>714375</xdr:colOff>
          <xdr:row>118</xdr:row>
          <xdr:rowOff>200025</xdr:rowOff>
        </xdr:to>
        <xdr:sp macro="" textlink="">
          <xdr:nvSpPr>
            <xdr:cNvPr id="8272" name="Object 80" hidden="1">
              <a:extLst>
                <a:ext uri="{63B3BB69-23CF-44E3-9099-C40C66FF867C}">
                  <a14:compatExt spid="_x0000_s82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314325</xdr:colOff>
          <xdr:row>114</xdr:row>
          <xdr:rowOff>85725</xdr:rowOff>
        </xdr:from>
        <xdr:to>
          <xdr:col>76</xdr:col>
          <xdr:colOff>733425</xdr:colOff>
          <xdr:row>115</xdr:row>
          <xdr:rowOff>180975</xdr:rowOff>
        </xdr:to>
        <xdr:sp macro="" textlink="">
          <xdr:nvSpPr>
            <xdr:cNvPr id="8273" name="Object 81" hidden="1">
              <a:extLst>
                <a:ext uri="{63B3BB69-23CF-44E3-9099-C40C66FF867C}">
                  <a14:compatExt spid="_x0000_s82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304800</xdr:colOff>
          <xdr:row>117</xdr:row>
          <xdr:rowOff>85725</xdr:rowOff>
        </xdr:from>
        <xdr:to>
          <xdr:col>76</xdr:col>
          <xdr:colOff>714375</xdr:colOff>
          <xdr:row>118</xdr:row>
          <xdr:rowOff>180975</xdr:rowOff>
        </xdr:to>
        <xdr:sp macro="" textlink="">
          <xdr:nvSpPr>
            <xdr:cNvPr id="8274" name="Object 82" hidden="1">
              <a:extLst>
                <a:ext uri="{63B3BB69-23CF-44E3-9099-C40C66FF867C}">
                  <a14:compatExt spid="_x0000_s8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79</xdr:col>
          <xdr:colOff>304800</xdr:colOff>
          <xdr:row>117</xdr:row>
          <xdr:rowOff>76200</xdr:rowOff>
        </xdr:from>
        <xdr:to>
          <xdr:col>79</xdr:col>
          <xdr:colOff>714375</xdr:colOff>
          <xdr:row>118</xdr:row>
          <xdr:rowOff>161925</xdr:rowOff>
        </xdr:to>
        <xdr:sp macro="" textlink="">
          <xdr:nvSpPr>
            <xdr:cNvPr id="8275" name="Object 83" hidden="1">
              <a:extLst>
                <a:ext uri="{63B3BB69-23CF-44E3-9099-C40C66FF867C}">
                  <a14:compatExt spid="_x0000_s82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85</xdr:col>
          <xdr:colOff>428625</xdr:colOff>
          <xdr:row>114</xdr:row>
          <xdr:rowOff>152400</xdr:rowOff>
        </xdr:from>
        <xdr:to>
          <xdr:col>85</xdr:col>
          <xdr:colOff>609600</xdr:colOff>
          <xdr:row>115</xdr:row>
          <xdr:rowOff>114300</xdr:rowOff>
        </xdr:to>
        <xdr:sp macro="" textlink="">
          <xdr:nvSpPr>
            <xdr:cNvPr id="8276" name="Object 84" hidden="1">
              <a:extLst>
                <a:ext uri="{63B3BB69-23CF-44E3-9099-C40C66FF867C}">
                  <a14:compatExt spid="_x0000_s82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86</xdr:col>
          <xdr:colOff>257175</xdr:colOff>
          <xdr:row>114</xdr:row>
          <xdr:rowOff>85725</xdr:rowOff>
        </xdr:from>
        <xdr:to>
          <xdr:col>86</xdr:col>
          <xdr:colOff>647700</xdr:colOff>
          <xdr:row>115</xdr:row>
          <xdr:rowOff>180975</xdr:rowOff>
        </xdr:to>
        <xdr:sp macro="" textlink="">
          <xdr:nvSpPr>
            <xdr:cNvPr id="8277" name="Object 85" hidden="1">
              <a:extLst>
                <a:ext uri="{63B3BB69-23CF-44E3-9099-C40C66FF867C}">
                  <a14:compatExt spid="_x0000_s82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85</xdr:col>
          <xdr:colOff>295275</xdr:colOff>
          <xdr:row>117</xdr:row>
          <xdr:rowOff>104775</xdr:rowOff>
        </xdr:from>
        <xdr:to>
          <xdr:col>85</xdr:col>
          <xdr:colOff>714375</xdr:colOff>
          <xdr:row>118</xdr:row>
          <xdr:rowOff>200025</xdr:rowOff>
        </xdr:to>
        <xdr:sp macro="" textlink="">
          <xdr:nvSpPr>
            <xdr:cNvPr id="8278" name="Object 86" hidden="1">
              <a:extLst>
                <a:ext uri="{63B3BB69-23CF-44E3-9099-C40C66FF867C}">
                  <a14:compatExt spid="_x0000_s8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86</xdr:col>
          <xdr:colOff>295275</xdr:colOff>
          <xdr:row>117</xdr:row>
          <xdr:rowOff>104775</xdr:rowOff>
        </xdr:from>
        <xdr:to>
          <xdr:col>86</xdr:col>
          <xdr:colOff>714375</xdr:colOff>
          <xdr:row>118</xdr:row>
          <xdr:rowOff>200025</xdr:rowOff>
        </xdr:to>
        <xdr:sp macro="" textlink="">
          <xdr:nvSpPr>
            <xdr:cNvPr id="8279" name="Object 87" hidden="1">
              <a:extLst>
                <a:ext uri="{63B3BB69-23CF-44E3-9099-C40C66FF867C}">
                  <a14:compatExt spid="_x0000_s82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87</xdr:col>
          <xdr:colOff>314325</xdr:colOff>
          <xdr:row>114</xdr:row>
          <xdr:rowOff>85725</xdr:rowOff>
        </xdr:from>
        <xdr:to>
          <xdr:col>87</xdr:col>
          <xdr:colOff>733425</xdr:colOff>
          <xdr:row>115</xdr:row>
          <xdr:rowOff>180975</xdr:rowOff>
        </xdr:to>
        <xdr:sp macro="" textlink="">
          <xdr:nvSpPr>
            <xdr:cNvPr id="8280" name="Object 88" hidden="1">
              <a:extLst>
                <a:ext uri="{63B3BB69-23CF-44E3-9099-C40C66FF867C}">
                  <a14:compatExt spid="_x0000_s82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87</xdr:col>
          <xdr:colOff>304800</xdr:colOff>
          <xdr:row>117</xdr:row>
          <xdr:rowOff>85725</xdr:rowOff>
        </xdr:from>
        <xdr:to>
          <xdr:col>87</xdr:col>
          <xdr:colOff>714375</xdr:colOff>
          <xdr:row>118</xdr:row>
          <xdr:rowOff>180975</xdr:rowOff>
        </xdr:to>
        <xdr:sp macro="" textlink="">
          <xdr:nvSpPr>
            <xdr:cNvPr id="8281" name="Object 89" hidden="1">
              <a:extLst>
                <a:ext uri="{63B3BB69-23CF-44E3-9099-C40C66FF867C}">
                  <a14:compatExt spid="_x0000_s82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90</xdr:col>
          <xdr:colOff>304800</xdr:colOff>
          <xdr:row>117</xdr:row>
          <xdr:rowOff>76200</xdr:rowOff>
        </xdr:from>
        <xdr:to>
          <xdr:col>90</xdr:col>
          <xdr:colOff>714375</xdr:colOff>
          <xdr:row>118</xdr:row>
          <xdr:rowOff>161925</xdr:rowOff>
        </xdr:to>
        <xdr:sp macro="" textlink="">
          <xdr:nvSpPr>
            <xdr:cNvPr id="8282" name="Object 90" hidden="1">
              <a:extLst>
                <a:ext uri="{63B3BB69-23CF-44E3-9099-C40C66FF867C}">
                  <a14:compatExt spid="_x0000_s8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96</xdr:col>
          <xdr:colOff>428625</xdr:colOff>
          <xdr:row>114</xdr:row>
          <xdr:rowOff>152400</xdr:rowOff>
        </xdr:from>
        <xdr:to>
          <xdr:col>96</xdr:col>
          <xdr:colOff>609600</xdr:colOff>
          <xdr:row>115</xdr:row>
          <xdr:rowOff>114300</xdr:rowOff>
        </xdr:to>
        <xdr:sp macro="" textlink="">
          <xdr:nvSpPr>
            <xdr:cNvPr id="8283" name="Object 91" hidden="1">
              <a:extLst>
                <a:ext uri="{63B3BB69-23CF-44E3-9099-C40C66FF867C}">
                  <a14:compatExt spid="_x0000_s82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97</xdr:col>
          <xdr:colOff>257175</xdr:colOff>
          <xdr:row>114</xdr:row>
          <xdr:rowOff>85725</xdr:rowOff>
        </xdr:from>
        <xdr:to>
          <xdr:col>97</xdr:col>
          <xdr:colOff>647700</xdr:colOff>
          <xdr:row>115</xdr:row>
          <xdr:rowOff>180975</xdr:rowOff>
        </xdr:to>
        <xdr:sp macro="" textlink="">
          <xdr:nvSpPr>
            <xdr:cNvPr id="8284" name="Object 92" hidden="1">
              <a:extLst>
                <a:ext uri="{63B3BB69-23CF-44E3-9099-C40C66FF867C}">
                  <a14:compatExt spid="_x0000_s82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96</xdr:col>
          <xdr:colOff>295275</xdr:colOff>
          <xdr:row>117</xdr:row>
          <xdr:rowOff>104775</xdr:rowOff>
        </xdr:from>
        <xdr:to>
          <xdr:col>96</xdr:col>
          <xdr:colOff>714375</xdr:colOff>
          <xdr:row>118</xdr:row>
          <xdr:rowOff>200025</xdr:rowOff>
        </xdr:to>
        <xdr:sp macro="" textlink="">
          <xdr:nvSpPr>
            <xdr:cNvPr id="8285" name="Object 93" hidden="1">
              <a:extLst>
                <a:ext uri="{63B3BB69-23CF-44E3-9099-C40C66FF867C}">
                  <a14:compatExt spid="_x0000_s82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97</xdr:col>
          <xdr:colOff>295275</xdr:colOff>
          <xdr:row>117</xdr:row>
          <xdr:rowOff>104775</xdr:rowOff>
        </xdr:from>
        <xdr:to>
          <xdr:col>97</xdr:col>
          <xdr:colOff>714375</xdr:colOff>
          <xdr:row>118</xdr:row>
          <xdr:rowOff>200025</xdr:rowOff>
        </xdr:to>
        <xdr:sp macro="" textlink="">
          <xdr:nvSpPr>
            <xdr:cNvPr id="8286" name="Object 94" hidden="1">
              <a:extLst>
                <a:ext uri="{63B3BB69-23CF-44E3-9099-C40C66FF867C}">
                  <a14:compatExt spid="_x0000_s8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98</xdr:col>
          <xdr:colOff>314325</xdr:colOff>
          <xdr:row>114</xdr:row>
          <xdr:rowOff>85725</xdr:rowOff>
        </xdr:from>
        <xdr:to>
          <xdr:col>98</xdr:col>
          <xdr:colOff>733425</xdr:colOff>
          <xdr:row>115</xdr:row>
          <xdr:rowOff>180975</xdr:rowOff>
        </xdr:to>
        <xdr:sp macro="" textlink="">
          <xdr:nvSpPr>
            <xdr:cNvPr id="8287" name="Object 95" hidden="1">
              <a:extLst>
                <a:ext uri="{63B3BB69-23CF-44E3-9099-C40C66FF867C}">
                  <a14:compatExt spid="_x0000_s82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98</xdr:col>
          <xdr:colOff>304800</xdr:colOff>
          <xdr:row>117</xdr:row>
          <xdr:rowOff>85725</xdr:rowOff>
        </xdr:from>
        <xdr:to>
          <xdr:col>98</xdr:col>
          <xdr:colOff>714375</xdr:colOff>
          <xdr:row>118</xdr:row>
          <xdr:rowOff>180975</xdr:rowOff>
        </xdr:to>
        <xdr:sp macro="" textlink="">
          <xdr:nvSpPr>
            <xdr:cNvPr id="8288" name="Object 96" hidden="1">
              <a:extLst>
                <a:ext uri="{63B3BB69-23CF-44E3-9099-C40C66FF867C}">
                  <a14:compatExt spid="_x0000_s82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101</xdr:col>
          <xdr:colOff>304800</xdr:colOff>
          <xdr:row>117</xdr:row>
          <xdr:rowOff>76200</xdr:rowOff>
        </xdr:from>
        <xdr:to>
          <xdr:col>101</xdr:col>
          <xdr:colOff>714375</xdr:colOff>
          <xdr:row>118</xdr:row>
          <xdr:rowOff>161925</xdr:rowOff>
        </xdr:to>
        <xdr:sp macro="" textlink="">
          <xdr:nvSpPr>
            <xdr:cNvPr id="8289" name="Object 97" hidden="1">
              <a:extLst>
                <a:ext uri="{63B3BB69-23CF-44E3-9099-C40C66FF867C}">
                  <a14:compatExt spid="_x0000_s8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107</xdr:col>
          <xdr:colOff>428625</xdr:colOff>
          <xdr:row>114</xdr:row>
          <xdr:rowOff>152400</xdr:rowOff>
        </xdr:from>
        <xdr:to>
          <xdr:col>107</xdr:col>
          <xdr:colOff>609600</xdr:colOff>
          <xdr:row>115</xdr:row>
          <xdr:rowOff>114300</xdr:rowOff>
        </xdr:to>
        <xdr:sp macro="" textlink="">
          <xdr:nvSpPr>
            <xdr:cNvPr id="8290" name="Object 98" hidden="1">
              <a:extLst>
                <a:ext uri="{63B3BB69-23CF-44E3-9099-C40C66FF867C}">
                  <a14:compatExt spid="_x0000_s8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108</xdr:col>
          <xdr:colOff>257175</xdr:colOff>
          <xdr:row>114</xdr:row>
          <xdr:rowOff>85725</xdr:rowOff>
        </xdr:from>
        <xdr:to>
          <xdr:col>108</xdr:col>
          <xdr:colOff>647700</xdr:colOff>
          <xdr:row>115</xdr:row>
          <xdr:rowOff>180975</xdr:rowOff>
        </xdr:to>
        <xdr:sp macro="" textlink="">
          <xdr:nvSpPr>
            <xdr:cNvPr id="8291" name="Object 99" hidden="1">
              <a:extLst>
                <a:ext uri="{63B3BB69-23CF-44E3-9099-C40C66FF867C}">
                  <a14:compatExt spid="_x0000_s82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107</xdr:col>
          <xdr:colOff>295275</xdr:colOff>
          <xdr:row>117</xdr:row>
          <xdr:rowOff>104775</xdr:rowOff>
        </xdr:from>
        <xdr:to>
          <xdr:col>107</xdr:col>
          <xdr:colOff>714375</xdr:colOff>
          <xdr:row>118</xdr:row>
          <xdr:rowOff>200025</xdr:rowOff>
        </xdr:to>
        <xdr:sp macro="" textlink="">
          <xdr:nvSpPr>
            <xdr:cNvPr id="8292" name="Object 100" hidden="1">
              <a:extLst>
                <a:ext uri="{63B3BB69-23CF-44E3-9099-C40C66FF867C}">
                  <a14:compatExt spid="_x0000_s82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108</xdr:col>
          <xdr:colOff>295275</xdr:colOff>
          <xdr:row>117</xdr:row>
          <xdr:rowOff>104775</xdr:rowOff>
        </xdr:from>
        <xdr:to>
          <xdr:col>108</xdr:col>
          <xdr:colOff>714375</xdr:colOff>
          <xdr:row>118</xdr:row>
          <xdr:rowOff>200025</xdr:rowOff>
        </xdr:to>
        <xdr:sp macro="" textlink="">
          <xdr:nvSpPr>
            <xdr:cNvPr id="8293" name="Object 101" hidden="1">
              <a:extLst>
                <a:ext uri="{63B3BB69-23CF-44E3-9099-C40C66FF867C}">
                  <a14:compatExt spid="_x0000_s8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109</xdr:col>
          <xdr:colOff>314325</xdr:colOff>
          <xdr:row>114</xdr:row>
          <xdr:rowOff>85725</xdr:rowOff>
        </xdr:from>
        <xdr:to>
          <xdr:col>109</xdr:col>
          <xdr:colOff>733425</xdr:colOff>
          <xdr:row>115</xdr:row>
          <xdr:rowOff>180975</xdr:rowOff>
        </xdr:to>
        <xdr:sp macro="" textlink="">
          <xdr:nvSpPr>
            <xdr:cNvPr id="8294" name="Object 102" hidden="1">
              <a:extLst>
                <a:ext uri="{63B3BB69-23CF-44E3-9099-C40C66FF867C}">
                  <a14:compatExt spid="_x0000_s8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109</xdr:col>
          <xdr:colOff>304800</xdr:colOff>
          <xdr:row>117</xdr:row>
          <xdr:rowOff>85725</xdr:rowOff>
        </xdr:from>
        <xdr:to>
          <xdr:col>109</xdr:col>
          <xdr:colOff>714375</xdr:colOff>
          <xdr:row>118</xdr:row>
          <xdr:rowOff>180975</xdr:rowOff>
        </xdr:to>
        <xdr:sp macro="" textlink="">
          <xdr:nvSpPr>
            <xdr:cNvPr id="8295" name="Object 103" hidden="1">
              <a:extLst>
                <a:ext uri="{63B3BB69-23CF-44E3-9099-C40C66FF867C}">
                  <a14:compatExt spid="_x0000_s82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112</xdr:col>
          <xdr:colOff>304800</xdr:colOff>
          <xdr:row>117</xdr:row>
          <xdr:rowOff>76200</xdr:rowOff>
        </xdr:from>
        <xdr:to>
          <xdr:col>112</xdr:col>
          <xdr:colOff>714375</xdr:colOff>
          <xdr:row>118</xdr:row>
          <xdr:rowOff>161925</xdr:rowOff>
        </xdr:to>
        <xdr:sp macro="" textlink="">
          <xdr:nvSpPr>
            <xdr:cNvPr id="8296" name="Object 104" hidden="1">
              <a:extLst>
                <a:ext uri="{63B3BB69-23CF-44E3-9099-C40C66FF867C}">
                  <a14:compatExt spid="_x0000_s82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257175</xdr:colOff>
          <xdr:row>211</xdr:row>
          <xdr:rowOff>85725</xdr:rowOff>
        </xdr:from>
        <xdr:to>
          <xdr:col>42</xdr:col>
          <xdr:colOff>676275</xdr:colOff>
          <xdr:row>212</xdr:row>
          <xdr:rowOff>161925</xdr:rowOff>
        </xdr:to>
        <xdr:sp macro="" textlink="">
          <xdr:nvSpPr>
            <xdr:cNvPr id="8297" name="Object 105" hidden="1">
              <a:extLst>
                <a:ext uri="{63B3BB69-23CF-44E3-9099-C40C66FF867C}">
                  <a14:compatExt spid="_x0000_s82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314325</xdr:colOff>
          <xdr:row>211</xdr:row>
          <xdr:rowOff>85725</xdr:rowOff>
        </xdr:from>
        <xdr:to>
          <xdr:col>43</xdr:col>
          <xdr:colOff>733425</xdr:colOff>
          <xdr:row>212</xdr:row>
          <xdr:rowOff>161925</xdr:rowOff>
        </xdr:to>
        <xdr:sp macro="" textlink="">
          <xdr:nvSpPr>
            <xdr:cNvPr id="8298" name="Object 106" hidden="1">
              <a:extLst>
                <a:ext uri="{63B3BB69-23CF-44E3-9099-C40C66FF867C}">
                  <a14:compatExt spid="_x0000_s8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257175</xdr:colOff>
          <xdr:row>211</xdr:row>
          <xdr:rowOff>85725</xdr:rowOff>
        </xdr:from>
        <xdr:to>
          <xdr:col>45</xdr:col>
          <xdr:colOff>676275</xdr:colOff>
          <xdr:row>212</xdr:row>
          <xdr:rowOff>161925</xdr:rowOff>
        </xdr:to>
        <xdr:sp macro="" textlink="">
          <xdr:nvSpPr>
            <xdr:cNvPr id="8299" name="Object 107" hidden="1">
              <a:extLst>
                <a:ext uri="{63B3BB69-23CF-44E3-9099-C40C66FF867C}">
                  <a14:compatExt spid="_x0000_s82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314325</xdr:colOff>
          <xdr:row>211</xdr:row>
          <xdr:rowOff>85725</xdr:rowOff>
        </xdr:from>
        <xdr:to>
          <xdr:col>46</xdr:col>
          <xdr:colOff>733425</xdr:colOff>
          <xdr:row>212</xdr:row>
          <xdr:rowOff>161925</xdr:rowOff>
        </xdr:to>
        <xdr:sp macro="" textlink="">
          <xdr:nvSpPr>
            <xdr:cNvPr id="8300" name="Object 108" hidden="1">
              <a:extLst>
                <a:ext uri="{63B3BB69-23CF-44E3-9099-C40C66FF867C}">
                  <a14:compatExt spid="_x0000_s83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257175</xdr:colOff>
          <xdr:row>211</xdr:row>
          <xdr:rowOff>85725</xdr:rowOff>
        </xdr:from>
        <xdr:to>
          <xdr:col>48</xdr:col>
          <xdr:colOff>676275</xdr:colOff>
          <xdr:row>212</xdr:row>
          <xdr:rowOff>161925</xdr:rowOff>
        </xdr:to>
        <xdr:sp macro="" textlink="">
          <xdr:nvSpPr>
            <xdr:cNvPr id="8301" name="Object 109" hidden="1">
              <a:extLst>
                <a:ext uri="{63B3BB69-23CF-44E3-9099-C40C66FF867C}">
                  <a14:compatExt spid="_x0000_s83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314325</xdr:colOff>
          <xdr:row>211</xdr:row>
          <xdr:rowOff>85725</xdr:rowOff>
        </xdr:from>
        <xdr:to>
          <xdr:col>49</xdr:col>
          <xdr:colOff>733425</xdr:colOff>
          <xdr:row>212</xdr:row>
          <xdr:rowOff>161925</xdr:rowOff>
        </xdr:to>
        <xdr:sp macro="" textlink="">
          <xdr:nvSpPr>
            <xdr:cNvPr id="8302" name="Object 110" hidden="1">
              <a:extLst>
                <a:ext uri="{63B3BB69-23CF-44E3-9099-C40C66FF867C}">
                  <a14:compatExt spid="_x0000_s8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257175</xdr:colOff>
          <xdr:row>211</xdr:row>
          <xdr:rowOff>85725</xdr:rowOff>
        </xdr:from>
        <xdr:to>
          <xdr:col>51</xdr:col>
          <xdr:colOff>676275</xdr:colOff>
          <xdr:row>212</xdr:row>
          <xdr:rowOff>161925</xdr:rowOff>
        </xdr:to>
        <xdr:sp macro="" textlink="">
          <xdr:nvSpPr>
            <xdr:cNvPr id="8303" name="Object 111" hidden="1">
              <a:extLst>
                <a:ext uri="{63B3BB69-23CF-44E3-9099-C40C66FF867C}">
                  <a14:compatExt spid="_x0000_s83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314325</xdr:colOff>
          <xdr:row>211</xdr:row>
          <xdr:rowOff>85725</xdr:rowOff>
        </xdr:from>
        <xdr:to>
          <xdr:col>52</xdr:col>
          <xdr:colOff>733425</xdr:colOff>
          <xdr:row>212</xdr:row>
          <xdr:rowOff>161925</xdr:rowOff>
        </xdr:to>
        <xdr:sp macro="" textlink="">
          <xdr:nvSpPr>
            <xdr:cNvPr id="8304" name="Object 112" hidden="1">
              <a:extLst>
                <a:ext uri="{63B3BB69-23CF-44E3-9099-C40C66FF867C}">
                  <a14:compatExt spid="_x0000_s83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257175</xdr:colOff>
          <xdr:row>211</xdr:row>
          <xdr:rowOff>85725</xdr:rowOff>
        </xdr:from>
        <xdr:to>
          <xdr:col>54</xdr:col>
          <xdr:colOff>676275</xdr:colOff>
          <xdr:row>212</xdr:row>
          <xdr:rowOff>161925</xdr:rowOff>
        </xdr:to>
        <xdr:sp macro="" textlink="">
          <xdr:nvSpPr>
            <xdr:cNvPr id="8305" name="Object 113" hidden="1">
              <a:extLst>
                <a:ext uri="{63B3BB69-23CF-44E3-9099-C40C66FF867C}">
                  <a14:compatExt spid="_x0000_s83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55</xdr:col>
          <xdr:colOff>314325</xdr:colOff>
          <xdr:row>211</xdr:row>
          <xdr:rowOff>85725</xdr:rowOff>
        </xdr:from>
        <xdr:to>
          <xdr:col>55</xdr:col>
          <xdr:colOff>733425</xdr:colOff>
          <xdr:row>212</xdr:row>
          <xdr:rowOff>161925</xdr:rowOff>
        </xdr:to>
        <xdr:sp macro="" textlink="">
          <xdr:nvSpPr>
            <xdr:cNvPr id="8306" name="Object 114" hidden="1">
              <a:extLst>
                <a:ext uri="{63B3BB69-23CF-44E3-9099-C40C66FF867C}">
                  <a14:compatExt spid="_x0000_s8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257175</xdr:colOff>
          <xdr:row>211</xdr:row>
          <xdr:rowOff>85725</xdr:rowOff>
        </xdr:from>
        <xdr:to>
          <xdr:col>57</xdr:col>
          <xdr:colOff>676275</xdr:colOff>
          <xdr:row>212</xdr:row>
          <xdr:rowOff>161925</xdr:rowOff>
        </xdr:to>
        <xdr:sp macro="" textlink="">
          <xdr:nvSpPr>
            <xdr:cNvPr id="8307" name="Object 115" hidden="1">
              <a:extLst>
                <a:ext uri="{63B3BB69-23CF-44E3-9099-C40C66FF867C}">
                  <a14:compatExt spid="_x0000_s83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58</xdr:col>
          <xdr:colOff>314325</xdr:colOff>
          <xdr:row>211</xdr:row>
          <xdr:rowOff>85725</xdr:rowOff>
        </xdr:from>
        <xdr:to>
          <xdr:col>58</xdr:col>
          <xdr:colOff>733425</xdr:colOff>
          <xdr:row>212</xdr:row>
          <xdr:rowOff>161925</xdr:rowOff>
        </xdr:to>
        <xdr:sp macro="" textlink="">
          <xdr:nvSpPr>
            <xdr:cNvPr id="8308" name="Object 116" hidden="1">
              <a:extLst>
                <a:ext uri="{63B3BB69-23CF-44E3-9099-C40C66FF867C}">
                  <a14:compatExt spid="_x0000_s83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60</xdr:col>
          <xdr:colOff>257175</xdr:colOff>
          <xdr:row>211</xdr:row>
          <xdr:rowOff>85725</xdr:rowOff>
        </xdr:from>
        <xdr:to>
          <xdr:col>60</xdr:col>
          <xdr:colOff>676275</xdr:colOff>
          <xdr:row>212</xdr:row>
          <xdr:rowOff>161925</xdr:rowOff>
        </xdr:to>
        <xdr:sp macro="" textlink="">
          <xdr:nvSpPr>
            <xdr:cNvPr id="8309" name="Object 117" hidden="1">
              <a:extLst>
                <a:ext uri="{63B3BB69-23CF-44E3-9099-C40C66FF867C}">
                  <a14:compatExt spid="_x0000_s83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314325</xdr:colOff>
          <xdr:row>211</xdr:row>
          <xdr:rowOff>85725</xdr:rowOff>
        </xdr:from>
        <xdr:to>
          <xdr:col>61</xdr:col>
          <xdr:colOff>733425</xdr:colOff>
          <xdr:row>212</xdr:row>
          <xdr:rowOff>161925</xdr:rowOff>
        </xdr:to>
        <xdr:sp macro="" textlink="">
          <xdr:nvSpPr>
            <xdr:cNvPr id="8310" name="Object 118" hidden="1">
              <a:extLst>
                <a:ext uri="{63B3BB69-23CF-44E3-9099-C40C66FF867C}">
                  <a14:compatExt spid="_x0000_s8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295275</xdr:colOff>
          <xdr:row>211</xdr:row>
          <xdr:rowOff>104775</xdr:rowOff>
        </xdr:from>
        <xdr:to>
          <xdr:col>42</xdr:col>
          <xdr:colOff>733425</xdr:colOff>
          <xdr:row>212</xdr:row>
          <xdr:rowOff>190500</xdr:rowOff>
        </xdr:to>
        <xdr:sp macro="" textlink="">
          <xdr:nvSpPr>
            <xdr:cNvPr id="8311" name="Object 119" hidden="1">
              <a:extLst>
                <a:ext uri="{63B3BB69-23CF-44E3-9099-C40C66FF867C}">
                  <a14:compatExt spid="_x0000_s83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304800</xdr:colOff>
          <xdr:row>211</xdr:row>
          <xdr:rowOff>85725</xdr:rowOff>
        </xdr:from>
        <xdr:to>
          <xdr:col>43</xdr:col>
          <xdr:colOff>733425</xdr:colOff>
          <xdr:row>212</xdr:row>
          <xdr:rowOff>161925</xdr:rowOff>
        </xdr:to>
        <xdr:sp macro="" textlink="">
          <xdr:nvSpPr>
            <xdr:cNvPr id="8312" name="Object 120" hidden="1">
              <a:extLst>
                <a:ext uri="{63B3BB69-23CF-44E3-9099-C40C66FF867C}">
                  <a14:compatExt spid="_x0000_s83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295275</xdr:colOff>
          <xdr:row>211</xdr:row>
          <xdr:rowOff>104775</xdr:rowOff>
        </xdr:from>
        <xdr:to>
          <xdr:col>45</xdr:col>
          <xdr:colOff>733425</xdr:colOff>
          <xdr:row>212</xdr:row>
          <xdr:rowOff>190500</xdr:rowOff>
        </xdr:to>
        <xdr:sp macro="" textlink="">
          <xdr:nvSpPr>
            <xdr:cNvPr id="8313" name="Object 121" hidden="1">
              <a:extLst>
                <a:ext uri="{63B3BB69-23CF-44E3-9099-C40C66FF867C}">
                  <a14:compatExt spid="_x0000_s8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304800</xdr:colOff>
          <xdr:row>211</xdr:row>
          <xdr:rowOff>85725</xdr:rowOff>
        </xdr:from>
        <xdr:to>
          <xdr:col>46</xdr:col>
          <xdr:colOff>733425</xdr:colOff>
          <xdr:row>212</xdr:row>
          <xdr:rowOff>161925</xdr:rowOff>
        </xdr:to>
        <xdr:sp macro="" textlink="">
          <xdr:nvSpPr>
            <xdr:cNvPr id="8314" name="Object 122" hidden="1">
              <a:extLst>
                <a:ext uri="{63B3BB69-23CF-44E3-9099-C40C66FF867C}">
                  <a14:compatExt spid="_x0000_s8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295275</xdr:colOff>
          <xdr:row>211</xdr:row>
          <xdr:rowOff>104775</xdr:rowOff>
        </xdr:from>
        <xdr:to>
          <xdr:col>48</xdr:col>
          <xdr:colOff>733425</xdr:colOff>
          <xdr:row>212</xdr:row>
          <xdr:rowOff>190500</xdr:rowOff>
        </xdr:to>
        <xdr:sp macro="" textlink="">
          <xdr:nvSpPr>
            <xdr:cNvPr id="8315" name="Object 123" hidden="1">
              <a:extLst>
                <a:ext uri="{63B3BB69-23CF-44E3-9099-C40C66FF867C}">
                  <a14:compatExt spid="_x0000_s83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304800</xdr:colOff>
          <xdr:row>211</xdr:row>
          <xdr:rowOff>85725</xdr:rowOff>
        </xdr:from>
        <xdr:to>
          <xdr:col>49</xdr:col>
          <xdr:colOff>733425</xdr:colOff>
          <xdr:row>212</xdr:row>
          <xdr:rowOff>161925</xdr:rowOff>
        </xdr:to>
        <xdr:sp macro="" textlink="">
          <xdr:nvSpPr>
            <xdr:cNvPr id="8316" name="Object 124" hidden="1">
              <a:extLst>
                <a:ext uri="{63B3BB69-23CF-44E3-9099-C40C66FF867C}">
                  <a14:compatExt spid="_x0000_s83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295275</xdr:colOff>
          <xdr:row>211</xdr:row>
          <xdr:rowOff>104775</xdr:rowOff>
        </xdr:from>
        <xdr:to>
          <xdr:col>51</xdr:col>
          <xdr:colOff>733425</xdr:colOff>
          <xdr:row>212</xdr:row>
          <xdr:rowOff>190500</xdr:rowOff>
        </xdr:to>
        <xdr:sp macro="" textlink="">
          <xdr:nvSpPr>
            <xdr:cNvPr id="8317" name="Object 125" hidden="1">
              <a:extLst>
                <a:ext uri="{63B3BB69-23CF-44E3-9099-C40C66FF867C}">
                  <a14:compatExt spid="_x0000_s83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304800</xdr:colOff>
          <xdr:row>211</xdr:row>
          <xdr:rowOff>85725</xdr:rowOff>
        </xdr:from>
        <xdr:to>
          <xdr:col>52</xdr:col>
          <xdr:colOff>733425</xdr:colOff>
          <xdr:row>212</xdr:row>
          <xdr:rowOff>161925</xdr:rowOff>
        </xdr:to>
        <xdr:sp macro="" textlink="">
          <xdr:nvSpPr>
            <xdr:cNvPr id="8318" name="Object 126" hidden="1">
              <a:extLst>
                <a:ext uri="{63B3BB69-23CF-44E3-9099-C40C66FF867C}">
                  <a14:compatExt spid="_x0000_s8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295275</xdr:colOff>
          <xdr:row>211</xdr:row>
          <xdr:rowOff>104775</xdr:rowOff>
        </xdr:from>
        <xdr:to>
          <xdr:col>54</xdr:col>
          <xdr:colOff>733425</xdr:colOff>
          <xdr:row>212</xdr:row>
          <xdr:rowOff>190500</xdr:rowOff>
        </xdr:to>
        <xdr:sp macro="" textlink="">
          <xdr:nvSpPr>
            <xdr:cNvPr id="8319" name="Object 127" hidden="1">
              <a:extLst>
                <a:ext uri="{63B3BB69-23CF-44E3-9099-C40C66FF867C}">
                  <a14:compatExt spid="_x0000_s83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55</xdr:col>
          <xdr:colOff>304800</xdr:colOff>
          <xdr:row>211</xdr:row>
          <xdr:rowOff>85725</xdr:rowOff>
        </xdr:from>
        <xdr:to>
          <xdr:col>55</xdr:col>
          <xdr:colOff>733425</xdr:colOff>
          <xdr:row>212</xdr:row>
          <xdr:rowOff>161925</xdr:rowOff>
        </xdr:to>
        <xdr:sp macro="" textlink="">
          <xdr:nvSpPr>
            <xdr:cNvPr id="8320" name="Object 128" hidden="1">
              <a:extLst>
                <a:ext uri="{63B3BB69-23CF-44E3-9099-C40C66FF867C}">
                  <a14:compatExt spid="_x0000_s83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295275</xdr:colOff>
          <xdr:row>211</xdr:row>
          <xdr:rowOff>104775</xdr:rowOff>
        </xdr:from>
        <xdr:to>
          <xdr:col>57</xdr:col>
          <xdr:colOff>733425</xdr:colOff>
          <xdr:row>212</xdr:row>
          <xdr:rowOff>190500</xdr:rowOff>
        </xdr:to>
        <xdr:sp macro="" textlink="">
          <xdr:nvSpPr>
            <xdr:cNvPr id="8321" name="Object 129" hidden="1">
              <a:extLst>
                <a:ext uri="{63B3BB69-23CF-44E3-9099-C40C66FF867C}">
                  <a14:compatExt spid="_x0000_s83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58</xdr:col>
          <xdr:colOff>304800</xdr:colOff>
          <xdr:row>211</xdr:row>
          <xdr:rowOff>85725</xdr:rowOff>
        </xdr:from>
        <xdr:to>
          <xdr:col>58</xdr:col>
          <xdr:colOff>733425</xdr:colOff>
          <xdr:row>212</xdr:row>
          <xdr:rowOff>161925</xdr:rowOff>
        </xdr:to>
        <xdr:sp macro="" textlink="">
          <xdr:nvSpPr>
            <xdr:cNvPr id="8322" name="Object 130" hidden="1">
              <a:extLst>
                <a:ext uri="{63B3BB69-23CF-44E3-9099-C40C66FF867C}">
                  <a14:compatExt spid="_x0000_s8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60</xdr:col>
          <xdr:colOff>295275</xdr:colOff>
          <xdr:row>211</xdr:row>
          <xdr:rowOff>104775</xdr:rowOff>
        </xdr:from>
        <xdr:to>
          <xdr:col>60</xdr:col>
          <xdr:colOff>733425</xdr:colOff>
          <xdr:row>212</xdr:row>
          <xdr:rowOff>190500</xdr:rowOff>
        </xdr:to>
        <xdr:sp macro="" textlink="">
          <xdr:nvSpPr>
            <xdr:cNvPr id="8323" name="Object 131" hidden="1">
              <a:extLst>
                <a:ext uri="{63B3BB69-23CF-44E3-9099-C40C66FF867C}">
                  <a14:compatExt spid="_x0000_s83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304800</xdr:colOff>
          <xdr:row>211</xdr:row>
          <xdr:rowOff>85725</xdr:rowOff>
        </xdr:from>
        <xdr:to>
          <xdr:col>61</xdr:col>
          <xdr:colOff>733425</xdr:colOff>
          <xdr:row>212</xdr:row>
          <xdr:rowOff>161925</xdr:rowOff>
        </xdr:to>
        <xdr:sp macro="" textlink="">
          <xdr:nvSpPr>
            <xdr:cNvPr id="8324" name="Object 132" hidden="1">
              <a:extLst>
                <a:ext uri="{63B3BB69-23CF-44E3-9099-C40C66FF867C}">
                  <a14:compatExt spid="_x0000_s83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257175</xdr:colOff>
          <xdr:row>239</xdr:row>
          <xdr:rowOff>85725</xdr:rowOff>
        </xdr:from>
        <xdr:to>
          <xdr:col>42</xdr:col>
          <xdr:colOff>676275</xdr:colOff>
          <xdr:row>240</xdr:row>
          <xdr:rowOff>180975</xdr:rowOff>
        </xdr:to>
        <xdr:sp macro="" textlink="">
          <xdr:nvSpPr>
            <xdr:cNvPr id="8325" name="Object 133" hidden="1">
              <a:extLst>
                <a:ext uri="{63B3BB69-23CF-44E3-9099-C40C66FF867C}">
                  <a14:compatExt spid="_x0000_s83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314325</xdr:colOff>
          <xdr:row>239</xdr:row>
          <xdr:rowOff>85725</xdr:rowOff>
        </xdr:from>
        <xdr:to>
          <xdr:col>43</xdr:col>
          <xdr:colOff>714375</xdr:colOff>
          <xdr:row>240</xdr:row>
          <xdr:rowOff>180975</xdr:rowOff>
        </xdr:to>
        <xdr:sp macro="" textlink="">
          <xdr:nvSpPr>
            <xdr:cNvPr id="8326" name="Object 134" hidden="1">
              <a:extLst>
                <a:ext uri="{63B3BB69-23CF-44E3-9099-C40C66FF867C}">
                  <a14:compatExt spid="_x0000_s8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295275</xdr:colOff>
          <xdr:row>239</xdr:row>
          <xdr:rowOff>104775</xdr:rowOff>
        </xdr:from>
        <xdr:to>
          <xdr:col>42</xdr:col>
          <xdr:colOff>714375</xdr:colOff>
          <xdr:row>240</xdr:row>
          <xdr:rowOff>200025</xdr:rowOff>
        </xdr:to>
        <xdr:sp macro="" textlink="">
          <xdr:nvSpPr>
            <xdr:cNvPr id="8327" name="Object 135" hidden="1">
              <a:extLst>
                <a:ext uri="{63B3BB69-23CF-44E3-9099-C40C66FF867C}">
                  <a14:compatExt spid="_x0000_s83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304800</xdr:colOff>
          <xdr:row>239</xdr:row>
          <xdr:rowOff>85725</xdr:rowOff>
        </xdr:from>
        <xdr:to>
          <xdr:col>43</xdr:col>
          <xdr:colOff>714375</xdr:colOff>
          <xdr:row>240</xdr:row>
          <xdr:rowOff>180975</xdr:rowOff>
        </xdr:to>
        <xdr:sp macro="" textlink="">
          <xdr:nvSpPr>
            <xdr:cNvPr id="8328" name="Object 136" hidden="1">
              <a:extLst>
                <a:ext uri="{63B3BB69-23CF-44E3-9099-C40C66FF867C}">
                  <a14:compatExt spid="_x0000_s83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257175</xdr:colOff>
          <xdr:row>239</xdr:row>
          <xdr:rowOff>85725</xdr:rowOff>
        </xdr:from>
        <xdr:to>
          <xdr:col>44</xdr:col>
          <xdr:colOff>676275</xdr:colOff>
          <xdr:row>240</xdr:row>
          <xdr:rowOff>180975</xdr:rowOff>
        </xdr:to>
        <xdr:sp macro="" textlink="">
          <xdr:nvSpPr>
            <xdr:cNvPr id="8329" name="Object 137" hidden="1">
              <a:extLst>
                <a:ext uri="{63B3BB69-23CF-44E3-9099-C40C66FF867C}">
                  <a14:compatExt spid="_x0000_s83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314325</xdr:colOff>
          <xdr:row>239</xdr:row>
          <xdr:rowOff>85725</xdr:rowOff>
        </xdr:from>
        <xdr:to>
          <xdr:col>45</xdr:col>
          <xdr:colOff>714375</xdr:colOff>
          <xdr:row>240</xdr:row>
          <xdr:rowOff>180975</xdr:rowOff>
        </xdr:to>
        <xdr:sp macro="" textlink="">
          <xdr:nvSpPr>
            <xdr:cNvPr id="8330" name="Object 138" hidden="1">
              <a:extLst>
                <a:ext uri="{63B3BB69-23CF-44E3-9099-C40C66FF867C}">
                  <a14:compatExt spid="_x0000_s8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295275</xdr:colOff>
          <xdr:row>239</xdr:row>
          <xdr:rowOff>104775</xdr:rowOff>
        </xdr:from>
        <xdr:to>
          <xdr:col>44</xdr:col>
          <xdr:colOff>714375</xdr:colOff>
          <xdr:row>240</xdr:row>
          <xdr:rowOff>200025</xdr:rowOff>
        </xdr:to>
        <xdr:sp macro="" textlink="">
          <xdr:nvSpPr>
            <xdr:cNvPr id="8331" name="Object 139" hidden="1">
              <a:extLst>
                <a:ext uri="{63B3BB69-23CF-44E3-9099-C40C66FF867C}">
                  <a14:compatExt spid="_x0000_s83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304800</xdr:colOff>
          <xdr:row>239</xdr:row>
          <xdr:rowOff>85725</xdr:rowOff>
        </xdr:from>
        <xdr:to>
          <xdr:col>45</xdr:col>
          <xdr:colOff>714375</xdr:colOff>
          <xdr:row>240</xdr:row>
          <xdr:rowOff>180975</xdr:rowOff>
        </xdr:to>
        <xdr:sp macro="" textlink="">
          <xdr:nvSpPr>
            <xdr:cNvPr id="8332" name="Object 140" hidden="1">
              <a:extLst>
                <a:ext uri="{63B3BB69-23CF-44E3-9099-C40C66FF867C}">
                  <a14:compatExt spid="_x0000_s83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257175</xdr:colOff>
          <xdr:row>239</xdr:row>
          <xdr:rowOff>85725</xdr:rowOff>
        </xdr:from>
        <xdr:to>
          <xdr:col>46</xdr:col>
          <xdr:colOff>676275</xdr:colOff>
          <xdr:row>240</xdr:row>
          <xdr:rowOff>180975</xdr:rowOff>
        </xdr:to>
        <xdr:sp macro="" textlink="">
          <xdr:nvSpPr>
            <xdr:cNvPr id="8333" name="Object 141" hidden="1">
              <a:extLst>
                <a:ext uri="{63B3BB69-23CF-44E3-9099-C40C66FF867C}">
                  <a14:compatExt spid="_x0000_s83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314325</xdr:colOff>
          <xdr:row>239</xdr:row>
          <xdr:rowOff>85725</xdr:rowOff>
        </xdr:from>
        <xdr:to>
          <xdr:col>47</xdr:col>
          <xdr:colOff>714375</xdr:colOff>
          <xdr:row>240</xdr:row>
          <xdr:rowOff>180975</xdr:rowOff>
        </xdr:to>
        <xdr:sp macro="" textlink="">
          <xdr:nvSpPr>
            <xdr:cNvPr id="8334" name="Object 142" hidden="1">
              <a:extLst>
                <a:ext uri="{63B3BB69-23CF-44E3-9099-C40C66FF867C}">
                  <a14:compatExt spid="_x0000_s8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295275</xdr:colOff>
          <xdr:row>239</xdr:row>
          <xdr:rowOff>104775</xdr:rowOff>
        </xdr:from>
        <xdr:to>
          <xdr:col>46</xdr:col>
          <xdr:colOff>714375</xdr:colOff>
          <xdr:row>240</xdr:row>
          <xdr:rowOff>200025</xdr:rowOff>
        </xdr:to>
        <xdr:sp macro="" textlink="">
          <xdr:nvSpPr>
            <xdr:cNvPr id="8335" name="Object 143" hidden="1">
              <a:extLst>
                <a:ext uri="{63B3BB69-23CF-44E3-9099-C40C66FF867C}">
                  <a14:compatExt spid="_x0000_s83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304800</xdr:colOff>
          <xdr:row>239</xdr:row>
          <xdr:rowOff>85725</xdr:rowOff>
        </xdr:from>
        <xdr:to>
          <xdr:col>47</xdr:col>
          <xdr:colOff>714375</xdr:colOff>
          <xdr:row>240</xdr:row>
          <xdr:rowOff>180975</xdr:rowOff>
        </xdr:to>
        <xdr:sp macro="" textlink="">
          <xdr:nvSpPr>
            <xdr:cNvPr id="8336" name="Object 144" hidden="1">
              <a:extLst>
                <a:ext uri="{63B3BB69-23CF-44E3-9099-C40C66FF867C}">
                  <a14:compatExt spid="_x0000_s83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257175</xdr:colOff>
          <xdr:row>239</xdr:row>
          <xdr:rowOff>85725</xdr:rowOff>
        </xdr:from>
        <xdr:to>
          <xdr:col>48</xdr:col>
          <xdr:colOff>676275</xdr:colOff>
          <xdr:row>240</xdr:row>
          <xdr:rowOff>180975</xdr:rowOff>
        </xdr:to>
        <xdr:sp macro="" textlink="">
          <xdr:nvSpPr>
            <xdr:cNvPr id="8337" name="Object 145" hidden="1">
              <a:extLst>
                <a:ext uri="{63B3BB69-23CF-44E3-9099-C40C66FF867C}">
                  <a14:compatExt spid="_x0000_s83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314325</xdr:colOff>
          <xdr:row>239</xdr:row>
          <xdr:rowOff>85725</xdr:rowOff>
        </xdr:from>
        <xdr:to>
          <xdr:col>49</xdr:col>
          <xdr:colOff>714375</xdr:colOff>
          <xdr:row>240</xdr:row>
          <xdr:rowOff>180975</xdr:rowOff>
        </xdr:to>
        <xdr:sp macro="" textlink="">
          <xdr:nvSpPr>
            <xdr:cNvPr id="8338" name="Object 146" hidden="1">
              <a:extLst>
                <a:ext uri="{63B3BB69-23CF-44E3-9099-C40C66FF867C}">
                  <a14:compatExt spid="_x0000_s8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295275</xdr:colOff>
          <xdr:row>239</xdr:row>
          <xdr:rowOff>104775</xdr:rowOff>
        </xdr:from>
        <xdr:to>
          <xdr:col>48</xdr:col>
          <xdr:colOff>714375</xdr:colOff>
          <xdr:row>240</xdr:row>
          <xdr:rowOff>200025</xdr:rowOff>
        </xdr:to>
        <xdr:sp macro="" textlink="">
          <xdr:nvSpPr>
            <xdr:cNvPr id="8339" name="Object 147" hidden="1">
              <a:extLst>
                <a:ext uri="{63B3BB69-23CF-44E3-9099-C40C66FF867C}">
                  <a14:compatExt spid="_x0000_s83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304800</xdr:colOff>
          <xdr:row>239</xdr:row>
          <xdr:rowOff>85725</xdr:rowOff>
        </xdr:from>
        <xdr:to>
          <xdr:col>49</xdr:col>
          <xdr:colOff>714375</xdr:colOff>
          <xdr:row>240</xdr:row>
          <xdr:rowOff>180975</xdr:rowOff>
        </xdr:to>
        <xdr:sp macro="" textlink="">
          <xdr:nvSpPr>
            <xdr:cNvPr id="8340" name="Object 148" hidden="1">
              <a:extLst>
                <a:ext uri="{63B3BB69-23CF-44E3-9099-C40C66FF867C}">
                  <a14:compatExt spid="_x0000_s83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257175</xdr:colOff>
          <xdr:row>239</xdr:row>
          <xdr:rowOff>85725</xdr:rowOff>
        </xdr:from>
        <xdr:to>
          <xdr:col>50</xdr:col>
          <xdr:colOff>676275</xdr:colOff>
          <xdr:row>240</xdr:row>
          <xdr:rowOff>180975</xdr:rowOff>
        </xdr:to>
        <xdr:sp macro="" textlink="">
          <xdr:nvSpPr>
            <xdr:cNvPr id="8341" name="Object 149" hidden="1">
              <a:extLst>
                <a:ext uri="{63B3BB69-23CF-44E3-9099-C40C66FF867C}">
                  <a14:compatExt spid="_x0000_s83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314325</xdr:colOff>
          <xdr:row>239</xdr:row>
          <xdr:rowOff>85725</xdr:rowOff>
        </xdr:from>
        <xdr:to>
          <xdr:col>51</xdr:col>
          <xdr:colOff>714375</xdr:colOff>
          <xdr:row>240</xdr:row>
          <xdr:rowOff>180975</xdr:rowOff>
        </xdr:to>
        <xdr:sp macro="" textlink="">
          <xdr:nvSpPr>
            <xdr:cNvPr id="8342" name="Object 150" hidden="1">
              <a:extLst>
                <a:ext uri="{63B3BB69-23CF-44E3-9099-C40C66FF867C}">
                  <a14:compatExt spid="_x0000_s8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295275</xdr:colOff>
          <xdr:row>239</xdr:row>
          <xdr:rowOff>104775</xdr:rowOff>
        </xdr:from>
        <xdr:to>
          <xdr:col>50</xdr:col>
          <xdr:colOff>714375</xdr:colOff>
          <xdr:row>240</xdr:row>
          <xdr:rowOff>200025</xdr:rowOff>
        </xdr:to>
        <xdr:sp macro="" textlink="">
          <xdr:nvSpPr>
            <xdr:cNvPr id="8343" name="Object 151" hidden="1">
              <a:extLst>
                <a:ext uri="{63B3BB69-23CF-44E3-9099-C40C66FF867C}">
                  <a14:compatExt spid="_x0000_s83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304800</xdr:colOff>
          <xdr:row>239</xdr:row>
          <xdr:rowOff>85725</xdr:rowOff>
        </xdr:from>
        <xdr:to>
          <xdr:col>51</xdr:col>
          <xdr:colOff>714375</xdr:colOff>
          <xdr:row>240</xdr:row>
          <xdr:rowOff>180975</xdr:rowOff>
        </xdr:to>
        <xdr:sp macro="" textlink="">
          <xdr:nvSpPr>
            <xdr:cNvPr id="8344" name="Object 152" hidden="1">
              <a:extLst>
                <a:ext uri="{63B3BB69-23CF-44E3-9099-C40C66FF867C}">
                  <a14:compatExt spid="_x0000_s83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257175</xdr:colOff>
          <xdr:row>239</xdr:row>
          <xdr:rowOff>85725</xdr:rowOff>
        </xdr:from>
        <xdr:to>
          <xdr:col>52</xdr:col>
          <xdr:colOff>676275</xdr:colOff>
          <xdr:row>240</xdr:row>
          <xdr:rowOff>180975</xdr:rowOff>
        </xdr:to>
        <xdr:sp macro="" textlink="">
          <xdr:nvSpPr>
            <xdr:cNvPr id="8345" name="Object 153" hidden="1">
              <a:extLst>
                <a:ext uri="{63B3BB69-23CF-44E3-9099-C40C66FF867C}">
                  <a14:compatExt spid="_x0000_s83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314325</xdr:colOff>
          <xdr:row>239</xdr:row>
          <xdr:rowOff>85725</xdr:rowOff>
        </xdr:from>
        <xdr:to>
          <xdr:col>53</xdr:col>
          <xdr:colOff>714375</xdr:colOff>
          <xdr:row>240</xdr:row>
          <xdr:rowOff>180975</xdr:rowOff>
        </xdr:to>
        <xdr:sp macro="" textlink="">
          <xdr:nvSpPr>
            <xdr:cNvPr id="8346" name="Object 154" hidden="1">
              <a:extLst>
                <a:ext uri="{63B3BB69-23CF-44E3-9099-C40C66FF867C}">
                  <a14:compatExt spid="_x0000_s8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295275</xdr:colOff>
          <xdr:row>239</xdr:row>
          <xdr:rowOff>104775</xdr:rowOff>
        </xdr:from>
        <xdr:to>
          <xdr:col>52</xdr:col>
          <xdr:colOff>714375</xdr:colOff>
          <xdr:row>240</xdr:row>
          <xdr:rowOff>200025</xdr:rowOff>
        </xdr:to>
        <xdr:sp macro="" textlink="">
          <xdr:nvSpPr>
            <xdr:cNvPr id="8347" name="Object 155" hidden="1">
              <a:extLst>
                <a:ext uri="{63B3BB69-23CF-44E3-9099-C40C66FF867C}">
                  <a14:compatExt spid="_x0000_s83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304800</xdr:colOff>
          <xdr:row>239</xdr:row>
          <xdr:rowOff>85725</xdr:rowOff>
        </xdr:from>
        <xdr:to>
          <xdr:col>53</xdr:col>
          <xdr:colOff>714375</xdr:colOff>
          <xdr:row>240</xdr:row>
          <xdr:rowOff>180975</xdr:rowOff>
        </xdr:to>
        <xdr:sp macro="" textlink="">
          <xdr:nvSpPr>
            <xdr:cNvPr id="8348" name="Object 156" hidden="1">
              <a:extLst>
                <a:ext uri="{63B3BB69-23CF-44E3-9099-C40C66FF867C}">
                  <a14:compatExt spid="_x0000_s83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257175</xdr:colOff>
          <xdr:row>239</xdr:row>
          <xdr:rowOff>85725</xdr:rowOff>
        </xdr:from>
        <xdr:to>
          <xdr:col>54</xdr:col>
          <xdr:colOff>676275</xdr:colOff>
          <xdr:row>240</xdr:row>
          <xdr:rowOff>180975</xdr:rowOff>
        </xdr:to>
        <xdr:sp macro="" textlink="">
          <xdr:nvSpPr>
            <xdr:cNvPr id="8349" name="Object 157" hidden="1">
              <a:extLst>
                <a:ext uri="{63B3BB69-23CF-44E3-9099-C40C66FF867C}">
                  <a14:compatExt spid="_x0000_s83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55</xdr:col>
          <xdr:colOff>314325</xdr:colOff>
          <xdr:row>239</xdr:row>
          <xdr:rowOff>85725</xdr:rowOff>
        </xdr:from>
        <xdr:to>
          <xdr:col>55</xdr:col>
          <xdr:colOff>714375</xdr:colOff>
          <xdr:row>240</xdr:row>
          <xdr:rowOff>180975</xdr:rowOff>
        </xdr:to>
        <xdr:sp macro="" textlink="">
          <xdr:nvSpPr>
            <xdr:cNvPr id="8350" name="Object 158" hidden="1">
              <a:extLst>
                <a:ext uri="{63B3BB69-23CF-44E3-9099-C40C66FF867C}">
                  <a14:compatExt spid="_x0000_s83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295275</xdr:colOff>
          <xdr:row>239</xdr:row>
          <xdr:rowOff>104775</xdr:rowOff>
        </xdr:from>
        <xdr:to>
          <xdr:col>54</xdr:col>
          <xdr:colOff>714375</xdr:colOff>
          <xdr:row>240</xdr:row>
          <xdr:rowOff>200025</xdr:rowOff>
        </xdr:to>
        <xdr:sp macro="" textlink="">
          <xdr:nvSpPr>
            <xdr:cNvPr id="8351" name="Object 159" hidden="1">
              <a:extLst>
                <a:ext uri="{63B3BB69-23CF-44E3-9099-C40C66FF867C}">
                  <a14:compatExt spid="_x0000_s83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55</xdr:col>
          <xdr:colOff>304800</xdr:colOff>
          <xdr:row>239</xdr:row>
          <xdr:rowOff>85725</xdr:rowOff>
        </xdr:from>
        <xdr:to>
          <xdr:col>55</xdr:col>
          <xdr:colOff>714375</xdr:colOff>
          <xdr:row>240</xdr:row>
          <xdr:rowOff>180975</xdr:rowOff>
        </xdr:to>
        <xdr:sp macro="" textlink="">
          <xdr:nvSpPr>
            <xdr:cNvPr id="8352" name="Object 160" hidden="1">
              <a:extLst>
                <a:ext uri="{63B3BB69-23CF-44E3-9099-C40C66FF867C}">
                  <a14:compatExt spid="_x0000_s83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56</xdr:col>
          <xdr:colOff>257175</xdr:colOff>
          <xdr:row>239</xdr:row>
          <xdr:rowOff>85725</xdr:rowOff>
        </xdr:from>
        <xdr:to>
          <xdr:col>56</xdr:col>
          <xdr:colOff>676275</xdr:colOff>
          <xdr:row>240</xdr:row>
          <xdr:rowOff>180975</xdr:rowOff>
        </xdr:to>
        <xdr:sp macro="" textlink="">
          <xdr:nvSpPr>
            <xdr:cNvPr id="8353" name="Object 161" hidden="1">
              <a:extLst>
                <a:ext uri="{63B3BB69-23CF-44E3-9099-C40C66FF867C}">
                  <a14:compatExt spid="_x0000_s83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314325</xdr:colOff>
          <xdr:row>239</xdr:row>
          <xdr:rowOff>85725</xdr:rowOff>
        </xdr:from>
        <xdr:to>
          <xdr:col>57</xdr:col>
          <xdr:colOff>714375</xdr:colOff>
          <xdr:row>240</xdr:row>
          <xdr:rowOff>180975</xdr:rowOff>
        </xdr:to>
        <xdr:sp macro="" textlink="">
          <xdr:nvSpPr>
            <xdr:cNvPr id="8354" name="Object 162" hidden="1">
              <a:extLst>
                <a:ext uri="{63B3BB69-23CF-44E3-9099-C40C66FF867C}">
                  <a14:compatExt spid="_x0000_s83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56</xdr:col>
          <xdr:colOff>295275</xdr:colOff>
          <xdr:row>239</xdr:row>
          <xdr:rowOff>104775</xdr:rowOff>
        </xdr:from>
        <xdr:to>
          <xdr:col>56</xdr:col>
          <xdr:colOff>714375</xdr:colOff>
          <xdr:row>240</xdr:row>
          <xdr:rowOff>200025</xdr:rowOff>
        </xdr:to>
        <xdr:sp macro="" textlink="">
          <xdr:nvSpPr>
            <xdr:cNvPr id="8355" name="Object 163" hidden="1">
              <a:extLst>
                <a:ext uri="{63B3BB69-23CF-44E3-9099-C40C66FF867C}">
                  <a14:compatExt spid="_x0000_s83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304800</xdr:colOff>
          <xdr:row>239</xdr:row>
          <xdr:rowOff>85725</xdr:rowOff>
        </xdr:from>
        <xdr:to>
          <xdr:col>57</xdr:col>
          <xdr:colOff>714375</xdr:colOff>
          <xdr:row>240</xdr:row>
          <xdr:rowOff>180975</xdr:rowOff>
        </xdr:to>
        <xdr:sp macro="" textlink="">
          <xdr:nvSpPr>
            <xdr:cNvPr id="8356" name="Object 164" hidden="1">
              <a:extLst>
                <a:ext uri="{63B3BB69-23CF-44E3-9099-C40C66FF867C}">
                  <a14:compatExt spid="_x0000_s83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58</xdr:col>
          <xdr:colOff>257175</xdr:colOff>
          <xdr:row>239</xdr:row>
          <xdr:rowOff>85725</xdr:rowOff>
        </xdr:from>
        <xdr:to>
          <xdr:col>58</xdr:col>
          <xdr:colOff>676275</xdr:colOff>
          <xdr:row>240</xdr:row>
          <xdr:rowOff>180975</xdr:rowOff>
        </xdr:to>
        <xdr:sp macro="" textlink="">
          <xdr:nvSpPr>
            <xdr:cNvPr id="8357" name="Object 165" hidden="1">
              <a:extLst>
                <a:ext uri="{63B3BB69-23CF-44E3-9099-C40C66FF867C}">
                  <a14:compatExt spid="_x0000_s83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59</xdr:col>
          <xdr:colOff>314325</xdr:colOff>
          <xdr:row>239</xdr:row>
          <xdr:rowOff>85725</xdr:rowOff>
        </xdr:from>
        <xdr:to>
          <xdr:col>59</xdr:col>
          <xdr:colOff>714375</xdr:colOff>
          <xdr:row>240</xdr:row>
          <xdr:rowOff>180975</xdr:rowOff>
        </xdr:to>
        <xdr:sp macro="" textlink="">
          <xdr:nvSpPr>
            <xdr:cNvPr id="8358" name="Object 166" hidden="1">
              <a:extLst>
                <a:ext uri="{63B3BB69-23CF-44E3-9099-C40C66FF867C}">
                  <a14:compatExt spid="_x0000_s83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58</xdr:col>
          <xdr:colOff>295275</xdr:colOff>
          <xdr:row>239</xdr:row>
          <xdr:rowOff>104775</xdr:rowOff>
        </xdr:from>
        <xdr:to>
          <xdr:col>58</xdr:col>
          <xdr:colOff>714375</xdr:colOff>
          <xdr:row>240</xdr:row>
          <xdr:rowOff>200025</xdr:rowOff>
        </xdr:to>
        <xdr:sp macro="" textlink="">
          <xdr:nvSpPr>
            <xdr:cNvPr id="8359" name="Object 167" hidden="1">
              <a:extLst>
                <a:ext uri="{63B3BB69-23CF-44E3-9099-C40C66FF867C}">
                  <a14:compatExt spid="_x0000_s83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59</xdr:col>
          <xdr:colOff>304800</xdr:colOff>
          <xdr:row>239</xdr:row>
          <xdr:rowOff>85725</xdr:rowOff>
        </xdr:from>
        <xdr:to>
          <xdr:col>59</xdr:col>
          <xdr:colOff>714375</xdr:colOff>
          <xdr:row>240</xdr:row>
          <xdr:rowOff>180975</xdr:rowOff>
        </xdr:to>
        <xdr:sp macro="" textlink="">
          <xdr:nvSpPr>
            <xdr:cNvPr id="8360" name="Object 168" hidden="1">
              <a:extLst>
                <a:ext uri="{63B3BB69-23CF-44E3-9099-C40C66FF867C}">
                  <a14:compatExt spid="_x0000_s83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60</xdr:col>
          <xdr:colOff>257175</xdr:colOff>
          <xdr:row>239</xdr:row>
          <xdr:rowOff>85725</xdr:rowOff>
        </xdr:from>
        <xdr:to>
          <xdr:col>60</xdr:col>
          <xdr:colOff>676275</xdr:colOff>
          <xdr:row>240</xdr:row>
          <xdr:rowOff>180975</xdr:rowOff>
        </xdr:to>
        <xdr:sp macro="" textlink="">
          <xdr:nvSpPr>
            <xdr:cNvPr id="8361" name="Object 169" hidden="1">
              <a:extLst>
                <a:ext uri="{63B3BB69-23CF-44E3-9099-C40C66FF867C}">
                  <a14:compatExt spid="_x0000_s83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314325</xdr:colOff>
          <xdr:row>239</xdr:row>
          <xdr:rowOff>85725</xdr:rowOff>
        </xdr:from>
        <xdr:to>
          <xdr:col>61</xdr:col>
          <xdr:colOff>714375</xdr:colOff>
          <xdr:row>240</xdr:row>
          <xdr:rowOff>180975</xdr:rowOff>
        </xdr:to>
        <xdr:sp macro="" textlink="">
          <xdr:nvSpPr>
            <xdr:cNvPr id="8362" name="Object 170" hidden="1">
              <a:extLst>
                <a:ext uri="{63B3BB69-23CF-44E3-9099-C40C66FF867C}">
                  <a14:compatExt spid="_x0000_s83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60</xdr:col>
          <xdr:colOff>295275</xdr:colOff>
          <xdr:row>239</xdr:row>
          <xdr:rowOff>104775</xdr:rowOff>
        </xdr:from>
        <xdr:to>
          <xdr:col>60</xdr:col>
          <xdr:colOff>714375</xdr:colOff>
          <xdr:row>240</xdr:row>
          <xdr:rowOff>200025</xdr:rowOff>
        </xdr:to>
        <xdr:sp macro="" textlink="">
          <xdr:nvSpPr>
            <xdr:cNvPr id="8363" name="Object 171" hidden="1">
              <a:extLst>
                <a:ext uri="{63B3BB69-23CF-44E3-9099-C40C66FF867C}">
                  <a14:compatExt spid="_x0000_s83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304800</xdr:colOff>
          <xdr:row>239</xdr:row>
          <xdr:rowOff>85725</xdr:rowOff>
        </xdr:from>
        <xdr:to>
          <xdr:col>61</xdr:col>
          <xdr:colOff>714375</xdr:colOff>
          <xdr:row>240</xdr:row>
          <xdr:rowOff>180975</xdr:rowOff>
        </xdr:to>
        <xdr:sp macro="" textlink="">
          <xdr:nvSpPr>
            <xdr:cNvPr id="8364" name="Object 172" hidden="1">
              <a:extLst>
                <a:ext uri="{63B3BB69-23CF-44E3-9099-C40C66FF867C}">
                  <a14:compatExt spid="_x0000_s83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62</xdr:col>
          <xdr:colOff>257175</xdr:colOff>
          <xdr:row>239</xdr:row>
          <xdr:rowOff>85725</xdr:rowOff>
        </xdr:from>
        <xdr:to>
          <xdr:col>62</xdr:col>
          <xdr:colOff>676275</xdr:colOff>
          <xdr:row>240</xdr:row>
          <xdr:rowOff>180975</xdr:rowOff>
        </xdr:to>
        <xdr:sp macro="" textlink="">
          <xdr:nvSpPr>
            <xdr:cNvPr id="8365" name="Object 173" hidden="1">
              <a:extLst>
                <a:ext uri="{63B3BB69-23CF-44E3-9099-C40C66FF867C}">
                  <a14:compatExt spid="_x0000_s83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63</xdr:col>
          <xdr:colOff>314325</xdr:colOff>
          <xdr:row>239</xdr:row>
          <xdr:rowOff>85725</xdr:rowOff>
        </xdr:from>
        <xdr:to>
          <xdr:col>63</xdr:col>
          <xdr:colOff>714375</xdr:colOff>
          <xdr:row>240</xdr:row>
          <xdr:rowOff>180975</xdr:rowOff>
        </xdr:to>
        <xdr:sp macro="" textlink="">
          <xdr:nvSpPr>
            <xdr:cNvPr id="8366" name="Object 174" hidden="1">
              <a:extLst>
                <a:ext uri="{63B3BB69-23CF-44E3-9099-C40C66FF867C}">
                  <a14:compatExt spid="_x0000_s83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62</xdr:col>
          <xdr:colOff>295275</xdr:colOff>
          <xdr:row>239</xdr:row>
          <xdr:rowOff>104775</xdr:rowOff>
        </xdr:from>
        <xdr:to>
          <xdr:col>62</xdr:col>
          <xdr:colOff>714375</xdr:colOff>
          <xdr:row>240</xdr:row>
          <xdr:rowOff>200025</xdr:rowOff>
        </xdr:to>
        <xdr:sp macro="" textlink="">
          <xdr:nvSpPr>
            <xdr:cNvPr id="8367" name="Object 175" hidden="1">
              <a:extLst>
                <a:ext uri="{63B3BB69-23CF-44E3-9099-C40C66FF867C}">
                  <a14:compatExt spid="_x0000_s83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63</xdr:col>
          <xdr:colOff>304800</xdr:colOff>
          <xdr:row>239</xdr:row>
          <xdr:rowOff>85725</xdr:rowOff>
        </xdr:from>
        <xdr:to>
          <xdr:col>63</xdr:col>
          <xdr:colOff>714375</xdr:colOff>
          <xdr:row>240</xdr:row>
          <xdr:rowOff>180975</xdr:rowOff>
        </xdr:to>
        <xdr:sp macro="" textlink="">
          <xdr:nvSpPr>
            <xdr:cNvPr id="8368" name="Object 176" hidden="1">
              <a:extLst>
                <a:ext uri="{63B3BB69-23CF-44E3-9099-C40C66FF867C}">
                  <a14:compatExt spid="_x0000_s83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64</xdr:col>
          <xdr:colOff>257175</xdr:colOff>
          <xdr:row>239</xdr:row>
          <xdr:rowOff>85725</xdr:rowOff>
        </xdr:from>
        <xdr:to>
          <xdr:col>64</xdr:col>
          <xdr:colOff>676275</xdr:colOff>
          <xdr:row>240</xdr:row>
          <xdr:rowOff>180975</xdr:rowOff>
        </xdr:to>
        <xdr:sp macro="" textlink="">
          <xdr:nvSpPr>
            <xdr:cNvPr id="8369" name="Object 177" hidden="1">
              <a:extLst>
                <a:ext uri="{63B3BB69-23CF-44E3-9099-C40C66FF867C}">
                  <a14:compatExt spid="_x0000_s83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314325</xdr:colOff>
          <xdr:row>239</xdr:row>
          <xdr:rowOff>85725</xdr:rowOff>
        </xdr:from>
        <xdr:to>
          <xdr:col>65</xdr:col>
          <xdr:colOff>714375</xdr:colOff>
          <xdr:row>240</xdr:row>
          <xdr:rowOff>180975</xdr:rowOff>
        </xdr:to>
        <xdr:sp macro="" textlink="">
          <xdr:nvSpPr>
            <xdr:cNvPr id="8370" name="Object 178" hidden="1">
              <a:extLst>
                <a:ext uri="{63B3BB69-23CF-44E3-9099-C40C66FF867C}">
                  <a14:compatExt spid="_x0000_s8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64</xdr:col>
          <xdr:colOff>295275</xdr:colOff>
          <xdr:row>239</xdr:row>
          <xdr:rowOff>104775</xdr:rowOff>
        </xdr:from>
        <xdr:to>
          <xdr:col>64</xdr:col>
          <xdr:colOff>714375</xdr:colOff>
          <xdr:row>240</xdr:row>
          <xdr:rowOff>200025</xdr:rowOff>
        </xdr:to>
        <xdr:sp macro="" textlink="">
          <xdr:nvSpPr>
            <xdr:cNvPr id="8371" name="Object 179" hidden="1">
              <a:extLst>
                <a:ext uri="{63B3BB69-23CF-44E3-9099-C40C66FF867C}">
                  <a14:compatExt spid="_x0000_s83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304800</xdr:colOff>
          <xdr:row>239</xdr:row>
          <xdr:rowOff>85725</xdr:rowOff>
        </xdr:from>
        <xdr:to>
          <xdr:col>65</xdr:col>
          <xdr:colOff>714375</xdr:colOff>
          <xdr:row>240</xdr:row>
          <xdr:rowOff>180975</xdr:rowOff>
        </xdr:to>
        <xdr:sp macro="" textlink="">
          <xdr:nvSpPr>
            <xdr:cNvPr id="8372" name="Object 180" hidden="1">
              <a:extLst>
                <a:ext uri="{63B3BB69-23CF-44E3-9099-C40C66FF867C}">
                  <a14:compatExt spid="_x0000_s83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257175</xdr:colOff>
          <xdr:row>239</xdr:row>
          <xdr:rowOff>85725</xdr:rowOff>
        </xdr:from>
        <xdr:to>
          <xdr:col>66</xdr:col>
          <xdr:colOff>676275</xdr:colOff>
          <xdr:row>240</xdr:row>
          <xdr:rowOff>180975</xdr:rowOff>
        </xdr:to>
        <xdr:sp macro="" textlink="">
          <xdr:nvSpPr>
            <xdr:cNvPr id="8373" name="Object 181" hidden="1">
              <a:extLst>
                <a:ext uri="{63B3BB69-23CF-44E3-9099-C40C66FF867C}">
                  <a14:compatExt spid="_x0000_s83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67</xdr:col>
          <xdr:colOff>314325</xdr:colOff>
          <xdr:row>239</xdr:row>
          <xdr:rowOff>85725</xdr:rowOff>
        </xdr:from>
        <xdr:to>
          <xdr:col>67</xdr:col>
          <xdr:colOff>714375</xdr:colOff>
          <xdr:row>240</xdr:row>
          <xdr:rowOff>180975</xdr:rowOff>
        </xdr:to>
        <xdr:sp macro="" textlink="">
          <xdr:nvSpPr>
            <xdr:cNvPr id="8374" name="Object 182" hidden="1">
              <a:extLst>
                <a:ext uri="{63B3BB69-23CF-44E3-9099-C40C66FF867C}">
                  <a14:compatExt spid="_x0000_s83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295275</xdr:colOff>
          <xdr:row>239</xdr:row>
          <xdr:rowOff>104775</xdr:rowOff>
        </xdr:from>
        <xdr:to>
          <xdr:col>66</xdr:col>
          <xdr:colOff>714375</xdr:colOff>
          <xdr:row>240</xdr:row>
          <xdr:rowOff>200025</xdr:rowOff>
        </xdr:to>
        <xdr:sp macro="" textlink="">
          <xdr:nvSpPr>
            <xdr:cNvPr id="8375" name="Object 183" hidden="1">
              <a:extLst>
                <a:ext uri="{63B3BB69-23CF-44E3-9099-C40C66FF867C}">
                  <a14:compatExt spid="_x0000_s83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67</xdr:col>
          <xdr:colOff>304800</xdr:colOff>
          <xdr:row>239</xdr:row>
          <xdr:rowOff>85725</xdr:rowOff>
        </xdr:from>
        <xdr:to>
          <xdr:col>67</xdr:col>
          <xdr:colOff>714375</xdr:colOff>
          <xdr:row>240</xdr:row>
          <xdr:rowOff>180975</xdr:rowOff>
        </xdr:to>
        <xdr:sp macro="" textlink="">
          <xdr:nvSpPr>
            <xdr:cNvPr id="8376" name="Object 184" hidden="1">
              <a:extLst>
                <a:ext uri="{63B3BB69-23CF-44E3-9099-C40C66FF867C}">
                  <a14:compatExt spid="_x0000_s83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257175</xdr:colOff>
          <xdr:row>239</xdr:row>
          <xdr:rowOff>85725</xdr:rowOff>
        </xdr:from>
        <xdr:to>
          <xdr:col>68</xdr:col>
          <xdr:colOff>676275</xdr:colOff>
          <xdr:row>240</xdr:row>
          <xdr:rowOff>180975</xdr:rowOff>
        </xdr:to>
        <xdr:sp macro="" textlink="">
          <xdr:nvSpPr>
            <xdr:cNvPr id="8377" name="Object 185" hidden="1">
              <a:extLst>
                <a:ext uri="{63B3BB69-23CF-44E3-9099-C40C66FF867C}">
                  <a14:compatExt spid="_x0000_s83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69</xdr:col>
          <xdr:colOff>314325</xdr:colOff>
          <xdr:row>239</xdr:row>
          <xdr:rowOff>85725</xdr:rowOff>
        </xdr:from>
        <xdr:to>
          <xdr:col>69</xdr:col>
          <xdr:colOff>714375</xdr:colOff>
          <xdr:row>240</xdr:row>
          <xdr:rowOff>180975</xdr:rowOff>
        </xdr:to>
        <xdr:sp macro="" textlink="">
          <xdr:nvSpPr>
            <xdr:cNvPr id="8378" name="Object 186" hidden="1">
              <a:extLst>
                <a:ext uri="{63B3BB69-23CF-44E3-9099-C40C66FF867C}">
                  <a14:compatExt spid="_x0000_s83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295275</xdr:colOff>
          <xdr:row>239</xdr:row>
          <xdr:rowOff>104775</xdr:rowOff>
        </xdr:from>
        <xdr:to>
          <xdr:col>68</xdr:col>
          <xdr:colOff>714375</xdr:colOff>
          <xdr:row>240</xdr:row>
          <xdr:rowOff>200025</xdr:rowOff>
        </xdr:to>
        <xdr:sp macro="" textlink="">
          <xdr:nvSpPr>
            <xdr:cNvPr id="8379" name="Object 187" hidden="1">
              <a:extLst>
                <a:ext uri="{63B3BB69-23CF-44E3-9099-C40C66FF867C}">
                  <a14:compatExt spid="_x0000_s83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69</xdr:col>
          <xdr:colOff>304800</xdr:colOff>
          <xdr:row>239</xdr:row>
          <xdr:rowOff>85725</xdr:rowOff>
        </xdr:from>
        <xdr:to>
          <xdr:col>69</xdr:col>
          <xdr:colOff>714375</xdr:colOff>
          <xdr:row>240</xdr:row>
          <xdr:rowOff>180975</xdr:rowOff>
        </xdr:to>
        <xdr:sp macro="" textlink="">
          <xdr:nvSpPr>
            <xdr:cNvPr id="8380" name="Object 188" hidden="1">
              <a:extLst>
                <a:ext uri="{63B3BB69-23CF-44E3-9099-C40C66FF867C}">
                  <a14:compatExt spid="_x0000_s83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70</xdr:col>
          <xdr:colOff>257175</xdr:colOff>
          <xdr:row>239</xdr:row>
          <xdr:rowOff>85725</xdr:rowOff>
        </xdr:from>
        <xdr:to>
          <xdr:col>70</xdr:col>
          <xdr:colOff>676275</xdr:colOff>
          <xdr:row>240</xdr:row>
          <xdr:rowOff>180975</xdr:rowOff>
        </xdr:to>
        <xdr:sp macro="" textlink="">
          <xdr:nvSpPr>
            <xdr:cNvPr id="8381" name="Object 189" hidden="1">
              <a:extLst>
                <a:ext uri="{63B3BB69-23CF-44E3-9099-C40C66FF867C}">
                  <a14:compatExt spid="_x0000_s83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71</xdr:col>
          <xdr:colOff>314325</xdr:colOff>
          <xdr:row>239</xdr:row>
          <xdr:rowOff>85725</xdr:rowOff>
        </xdr:from>
        <xdr:to>
          <xdr:col>71</xdr:col>
          <xdr:colOff>714375</xdr:colOff>
          <xdr:row>240</xdr:row>
          <xdr:rowOff>180975</xdr:rowOff>
        </xdr:to>
        <xdr:sp macro="" textlink="">
          <xdr:nvSpPr>
            <xdr:cNvPr id="8382" name="Object 190" hidden="1">
              <a:extLst>
                <a:ext uri="{63B3BB69-23CF-44E3-9099-C40C66FF867C}">
                  <a14:compatExt spid="_x0000_s83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70</xdr:col>
          <xdr:colOff>295275</xdr:colOff>
          <xdr:row>239</xdr:row>
          <xdr:rowOff>104775</xdr:rowOff>
        </xdr:from>
        <xdr:to>
          <xdr:col>70</xdr:col>
          <xdr:colOff>714375</xdr:colOff>
          <xdr:row>240</xdr:row>
          <xdr:rowOff>200025</xdr:rowOff>
        </xdr:to>
        <xdr:sp macro="" textlink="">
          <xdr:nvSpPr>
            <xdr:cNvPr id="8383" name="Object 191" hidden="1">
              <a:extLst>
                <a:ext uri="{63B3BB69-23CF-44E3-9099-C40C66FF867C}">
                  <a14:compatExt spid="_x0000_s83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71</xdr:col>
          <xdr:colOff>304800</xdr:colOff>
          <xdr:row>239</xdr:row>
          <xdr:rowOff>85725</xdr:rowOff>
        </xdr:from>
        <xdr:to>
          <xdr:col>71</xdr:col>
          <xdr:colOff>714375</xdr:colOff>
          <xdr:row>240</xdr:row>
          <xdr:rowOff>180975</xdr:rowOff>
        </xdr:to>
        <xdr:sp macro="" textlink="">
          <xdr:nvSpPr>
            <xdr:cNvPr id="8384" name="Object 192" hidden="1">
              <a:extLst>
                <a:ext uri="{63B3BB69-23CF-44E3-9099-C40C66FF867C}">
                  <a14:compatExt spid="_x0000_s83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</xdr:col>
          <xdr:colOff>257175</xdr:colOff>
          <xdr:row>239</xdr:row>
          <xdr:rowOff>85725</xdr:rowOff>
        </xdr:from>
        <xdr:to>
          <xdr:col>72</xdr:col>
          <xdr:colOff>676275</xdr:colOff>
          <xdr:row>240</xdr:row>
          <xdr:rowOff>180975</xdr:rowOff>
        </xdr:to>
        <xdr:sp macro="" textlink="">
          <xdr:nvSpPr>
            <xdr:cNvPr id="8385" name="Object 193" hidden="1">
              <a:extLst>
                <a:ext uri="{63B3BB69-23CF-44E3-9099-C40C66FF867C}">
                  <a14:compatExt spid="_x0000_s83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73</xdr:col>
          <xdr:colOff>314325</xdr:colOff>
          <xdr:row>239</xdr:row>
          <xdr:rowOff>85725</xdr:rowOff>
        </xdr:from>
        <xdr:to>
          <xdr:col>73</xdr:col>
          <xdr:colOff>714375</xdr:colOff>
          <xdr:row>240</xdr:row>
          <xdr:rowOff>180975</xdr:rowOff>
        </xdr:to>
        <xdr:sp macro="" textlink="">
          <xdr:nvSpPr>
            <xdr:cNvPr id="8386" name="Object 194" hidden="1">
              <a:extLst>
                <a:ext uri="{63B3BB69-23CF-44E3-9099-C40C66FF867C}">
                  <a14:compatExt spid="_x0000_s8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</xdr:col>
          <xdr:colOff>295275</xdr:colOff>
          <xdr:row>239</xdr:row>
          <xdr:rowOff>104775</xdr:rowOff>
        </xdr:from>
        <xdr:to>
          <xdr:col>72</xdr:col>
          <xdr:colOff>714375</xdr:colOff>
          <xdr:row>240</xdr:row>
          <xdr:rowOff>200025</xdr:rowOff>
        </xdr:to>
        <xdr:sp macro="" textlink="">
          <xdr:nvSpPr>
            <xdr:cNvPr id="8387" name="Object 195" hidden="1">
              <a:extLst>
                <a:ext uri="{63B3BB69-23CF-44E3-9099-C40C66FF867C}">
                  <a14:compatExt spid="_x0000_s83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73</xdr:col>
          <xdr:colOff>304800</xdr:colOff>
          <xdr:row>239</xdr:row>
          <xdr:rowOff>85725</xdr:rowOff>
        </xdr:from>
        <xdr:to>
          <xdr:col>73</xdr:col>
          <xdr:colOff>714375</xdr:colOff>
          <xdr:row>240</xdr:row>
          <xdr:rowOff>180975</xdr:rowOff>
        </xdr:to>
        <xdr:sp macro="" textlink="">
          <xdr:nvSpPr>
            <xdr:cNvPr id="8388" name="Object 196" hidden="1">
              <a:extLst>
                <a:ext uri="{63B3BB69-23CF-44E3-9099-C40C66FF867C}">
                  <a14:compatExt spid="_x0000_s83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257175</xdr:colOff>
          <xdr:row>239</xdr:row>
          <xdr:rowOff>85725</xdr:rowOff>
        </xdr:from>
        <xdr:to>
          <xdr:col>74</xdr:col>
          <xdr:colOff>676275</xdr:colOff>
          <xdr:row>240</xdr:row>
          <xdr:rowOff>180975</xdr:rowOff>
        </xdr:to>
        <xdr:sp macro="" textlink="">
          <xdr:nvSpPr>
            <xdr:cNvPr id="8389" name="Object 197" hidden="1">
              <a:extLst>
                <a:ext uri="{63B3BB69-23CF-44E3-9099-C40C66FF867C}">
                  <a14:compatExt spid="_x0000_s83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314325</xdr:colOff>
          <xdr:row>239</xdr:row>
          <xdr:rowOff>85725</xdr:rowOff>
        </xdr:from>
        <xdr:to>
          <xdr:col>75</xdr:col>
          <xdr:colOff>714375</xdr:colOff>
          <xdr:row>240</xdr:row>
          <xdr:rowOff>180975</xdr:rowOff>
        </xdr:to>
        <xdr:sp macro="" textlink="">
          <xdr:nvSpPr>
            <xdr:cNvPr id="8390" name="Object 198" hidden="1">
              <a:extLst>
                <a:ext uri="{63B3BB69-23CF-44E3-9099-C40C66FF867C}">
                  <a14:compatExt spid="_x0000_s83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295275</xdr:colOff>
          <xdr:row>239</xdr:row>
          <xdr:rowOff>104775</xdr:rowOff>
        </xdr:from>
        <xdr:to>
          <xdr:col>74</xdr:col>
          <xdr:colOff>714375</xdr:colOff>
          <xdr:row>240</xdr:row>
          <xdr:rowOff>200025</xdr:rowOff>
        </xdr:to>
        <xdr:sp macro="" textlink="">
          <xdr:nvSpPr>
            <xdr:cNvPr id="8391" name="Object 199" hidden="1">
              <a:extLst>
                <a:ext uri="{63B3BB69-23CF-44E3-9099-C40C66FF867C}">
                  <a14:compatExt spid="_x0000_s83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304800</xdr:colOff>
          <xdr:row>239</xdr:row>
          <xdr:rowOff>85725</xdr:rowOff>
        </xdr:from>
        <xdr:to>
          <xdr:col>75</xdr:col>
          <xdr:colOff>714375</xdr:colOff>
          <xdr:row>240</xdr:row>
          <xdr:rowOff>180975</xdr:rowOff>
        </xdr:to>
        <xdr:sp macro="" textlink="">
          <xdr:nvSpPr>
            <xdr:cNvPr id="8392" name="Object 200" hidden="1">
              <a:extLst>
                <a:ext uri="{63B3BB69-23CF-44E3-9099-C40C66FF867C}">
                  <a14:compatExt spid="_x0000_s83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257175</xdr:colOff>
          <xdr:row>239</xdr:row>
          <xdr:rowOff>85725</xdr:rowOff>
        </xdr:from>
        <xdr:to>
          <xdr:col>76</xdr:col>
          <xdr:colOff>676275</xdr:colOff>
          <xdr:row>240</xdr:row>
          <xdr:rowOff>180975</xdr:rowOff>
        </xdr:to>
        <xdr:sp macro="" textlink="">
          <xdr:nvSpPr>
            <xdr:cNvPr id="8393" name="Object 201" hidden="1">
              <a:extLst>
                <a:ext uri="{63B3BB69-23CF-44E3-9099-C40C66FF867C}">
                  <a14:compatExt spid="_x0000_s8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314325</xdr:colOff>
          <xdr:row>239</xdr:row>
          <xdr:rowOff>85725</xdr:rowOff>
        </xdr:from>
        <xdr:to>
          <xdr:col>77</xdr:col>
          <xdr:colOff>714375</xdr:colOff>
          <xdr:row>240</xdr:row>
          <xdr:rowOff>180975</xdr:rowOff>
        </xdr:to>
        <xdr:sp macro="" textlink="">
          <xdr:nvSpPr>
            <xdr:cNvPr id="8394" name="Object 202" hidden="1">
              <a:extLst>
                <a:ext uri="{63B3BB69-23CF-44E3-9099-C40C66FF867C}">
                  <a14:compatExt spid="_x0000_s83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295275</xdr:colOff>
          <xdr:row>239</xdr:row>
          <xdr:rowOff>104775</xdr:rowOff>
        </xdr:from>
        <xdr:to>
          <xdr:col>76</xdr:col>
          <xdr:colOff>714375</xdr:colOff>
          <xdr:row>240</xdr:row>
          <xdr:rowOff>200025</xdr:rowOff>
        </xdr:to>
        <xdr:sp macro="" textlink="">
          <xdr:nvSpPr>
            <xdr:cNvPr id="8395" name="Object 203" hidden="1">
              <a:extLst>
                <a:ext uri="{63B3BB69-23CF-44E3-9099-C40C66FF867C}">
                  <a14:compatExt spid="_x0000_s83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304800</xdr:colOff>
          <xdr:row>239</xdr:row>
          <xdr:rowOff>85725</xdr:rowOff>
        </xdr:from>
        <xdr:to>
          <xdr:col>77</xdr:col>
          <xdr:colOff>714375</xdr:colOff>
          <xdr:row>240</xdr:row>
          <xdr:rowOff>180975</xdr:rowOff>
        </xdr:to>
        <xdr:sp macro="" textlink="">
          <xdr:nvSpPr>
            <xdr:cNvPr id="8396" name="Object 204" hidden="1">
              <a:extLst>
                <a:ext uri="{63B3BB69-23CF-44E3-9099-C40C66FF867C}">
                  <a14:compatExt spid="_x0000_s83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257175</xdr:colOff>
          <xdr:row>239</xdr:row>
          <xdr:rowOff>85725</xdr:rowOff>
        </xdr:from>
        <xdr:to>
          <xdr:col>78</xdr:col>
          <xdr:colOff>676275</xdr:colOff>
          <xdr:row>240</xdr:row>
          <xdr:rowOff>180975</xdr:rowOff>
        </xdr:to>
        <xdr:sp macro="" textlink="">
          <xdr:nvSpPr>
            <xdr:cNvPr id="8397" name="Object 205" hidden="1">
              <a:extLst>
                <a:ext uri="{63B3BB69-23CF-44E3-9099-C40C66FF867C}">
                  <a14:compatExt spid="_x0000_s83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79</xdr:col>
          <xdr:colOff>314325</xdr:colOff>
          <xdr:row>239</xdr:row>
          <xdr:rowOff>85725</xdr:rowOff>
        </xdr:from>
        <xdr:to>
          <xdr:col>79</xdr:col>
          <xdr:colOff>714375</xdr:colOff>
          <xdr:row>240</xdr:row>
          <xdr:rowOff>180975</xdr:rowOff>
        </xdr:to>
        <xdr:sp macro="" textlink="">
          <xdr:nvSpPr>
            <xdr:cNvPr id="8398" name="Object 206" hidden="1">
              <a:extLst>
                <a:ext uri="{63B3BB69-23CF-44E3-9099-C40C66FF867C}">
                  <a14:compatExt spid="_x0000_s83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295275</xdr:colOff>
          <xdr:row>239</xdr:row>
          <xdr:rowOff>104775</xdr:rowOff>
        </xdr:from>
        <xdr:to>
          <xdr:col>78</xdr:col>
          <xdr:colOff>714375</xdr:colOff>
          <xdr:row>240</xdr:row>
          <xdr:rowOff>200025</xdr:rowOff>
        </xdr:to>
        <xdr:sp macro="" textlink="">
          <xdr:nvSpPr>
            <xdr:cNvPr id="8399" name="Object 207" hidden="1">
              <a:extLst>
                <a:ext uri="{63B3BB69-23CF-44E3-9099-C40C66FF867C}">
                  <a14:compatExt spid="_x0000_s83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79</xdr:col>
          <xdr:colOff>304800</xdr:colOff>
          <xdr:row>239</xdr:row>
          <xdr:rowOff>85725</xdr:rowOff>
        </xdr:from>
        <xdr:to>
          <xdr:col>79</xdr:col>
          <xdr:colOff>714375</xdr:colOff>
          <xdr:row>240</xdr:row>
          <xdr:rowOff>180975</xdr:rowOff>
        </xdr:to>
        <xdr:sp macro="" textlink="">
          <xdr:nvSpPr>
            <xdr:cNvPr id="8400" name="Object 208" hidden="1">
              <a:extLst>
                <a:ext uri="{63B3BB69-23CF-44E3-9099-C40C66FF867C}">
                  <a14:compatExt spid="_x0000_s84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80</xdr:col>
          <xdr:colOff>257175</xdr:colOff>
          <xdr:row>239</xdr:row>
          <xdr:rowOff>85725</xdr:rowOff>
        </xdr:from>
        <xdr:to>
          <xdr:col>80</xdr:col>
          <xdr:colOff>676275</xdr:colOff>
          <xdr:row>240</xdr:row>
          <xdr:rowOff>180975</xdr:rowOff>
        </xdr:to>
        <xdr:sp macro="" textlink="">
          <xdr:nvSpPr>
            <xdr:cNvPr id="8401" name="Object 209" hidden="1">
              <a:extLst>
                <a:ext uri="{63B3BB69-23CF-44E3-9099-C40C66FF867C}">
                  <a14:compatExt spid="_x0000_s84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81</xdr:col>
          <xdr:colOff>314325</xdr:colOff>
          <xdr:row>239</xdr:row>
          <xdr:rowOff>85725</xdr:rowOff>
        </xdr:from>
        <xdr:to>
          <xdr:col>81</xdr:col>
          <xdr:colOff>714375</xdr:colOff>
          <xdr:row>240</xdr:row>
          <xdr:rowOff>180975</xdr:rowOff>
        </xdr:to>
        <xdr:sp macro="" textlink="">
          <xdr:nvSpPr>
            <xdr:cNvPr id="8402" name="Object 210" hidden="1">
              <a:extLst>
                <a:ext uri="{63B3BB69-23CF-44E3-9099-C40C66FF867C}">
                  <a14:compatExt spid="_x0000_s84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80</xdr:col>
          <xdr:colOff>295275</xdr:colOff>
          <xdr:row>239</xdr:row>
          <xdr:rowOff>104775</xdr:rowOff>
        </xdr:from>
        <xdr:to>
          <xdr:col>80</xdr:col>
          <xdr:colOff>714375</xdr:colOff>
          <xdr:row>240</xdr:row>
          <xdr:rowOff>200025</xdr:rowOff>
        </xdr:to>
        <xdr:sp macro="" textlink="">
          <xdr:nvSpPr>
            <xdr:cNvPr id="8403" name="Object 211" hidden="1">
              <a:extLst>
                <a:ext uri="{63B3BB69-23CF-44E3-9099-C40C66FF867C}">
                  <a14:compatExt spid="_x0000_s84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81</xdr:col>
          <xdr:colOff>304800</xdr:colOff>
          <xdr:row>239</xdr:row>
          <xdr:rowOff>85725</xdr:rowOff>
        </xdr:from>
        <xdr:to>
          <xdr:col>81</xdr:col>
          <xdr:colOff>714375</xdr:colOff>
          <xdr:row>240</xdr:row>
          <xdr:rowOff>180975</xdr:rowOff>
        </xdr:to>
        <xdr:sp macro="" textlink="">
          <xdr:nvSpPr>
            <xdr:cNvPr id="8404" name="Object 212" hidden="1">
              <a:extLst>
                <a:ext uri="{63B3BB69-23CF-44E3-9099-C40C66FF867C}">
                  <a14:compatExt spid="_x0000_s84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257175</xdr:colOff>
          <xdr:row>239</xdr:row>
          <xdr:rowOff>85725</xdr:rowOff>
        </xdr:from>
        <xdr:to>
          <xdr:col>82</xdr:col>
          <xdr:colOff>676275</xdr:colOff>
          <xdr:row>240</xdr:row>
          <xdr:rowOff>180975</xdr:rowOff>
        </xdr:to>
        <xdr:sp macro="" textlink="">
          <xdr:nvSpPr>
            <xdr:cNvPr id="8405" name="Object 213" hidden="1">
              <a:extLst>
                <a:ext uri="{63B3BB69-23CF-44E3-9099-C40C66FF867C}">
                  <a14:compatExt spid="_x0000_s84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83</xdr:col>
          <xdr:colOff>314325</xdr:colOff>
          <xdr:row>239</xdr:row>
          <xdr:rowOff>85725</xdr:rowOff>
        </xdr:from>
        <xdr:to>
          <xdr:col>83</xdr:col>
          <xdr:colOff>714375</xdr:colOff>
          <xdr:row>240</xdr:row>
          <xdr:rowOff>180975</xdr:rowOff>
        </xdr:to>
        <xdr:sp macro="" textlink="">
          <xdr:nvSpPr>
            <xdr:cNvPr id="8406" name="Object 214" hidden="1">
              <a:extLst>
                <a:ext uri="{63B3BB69-23CF-44E3-9099-C40C66FF867C}">
                  <a14:compatExt spid="_x0000_s84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295275</xdr:colOff>
          <xdr:row>239</xdr:row>
          <xdr:rowOff>104775</xdr:rowOff>
        </xdr:from>
        <xdr:to>
          <xdr:col>82</xdr:col>
          <xdr:colOff>714375</xdr:colOff>
          <xdr:row>240</xdr:row>
          <xdr:rowOff>200025</xdr:rowOff>
        </xdr:to>
        <xdr:sp macro="" textlink="">
          <xdr:nvSpPr>
            <xdr:cNvPr id="8407" name="Object 215" hidden="1">
              <a:extLst>
                <a:ext uri="{63B3BB69-23CF-44E3-9099-C40C66FF867C}">
                  <a14:compatExt spid="_x0000_s84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83</xdr:col>
          <xdr:colOff>304800</xdr:colOff>
          <xdr:row>239</xdr:row>
          <xdr:rowOff>85725</xdr:rowOff>
        </xdr:from>
        <xdr:to>
          <xdr:col>83</xdr:col>
          <xdr:colOff>714375</xdr:colOff>
          <xdr:row>240</xdr:row>
          <xdr:rowOff>180975</xdr:rowOff>
        </xdr:to>
        <xdr:sp macro="" textlink="">
          <xdr:nvSpPr>
            <xdr:cNvPr id="8408" name="Object 216" hidden="1">
              <a:extLst>
                <a:ext uri="{63B3BB69-23CF-44E3-9099-C40C66FF867C}">
                  <a14:compatExt spid="_x0000_s84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257175</xdr:colOff>
          <xdr:row>239</xdr:row>
          <xdr:rowOff>85725</xdr:rowOff>
        </xdr:from>
        <xdr:to>
          <xdr:col>84</xdr:col>
          <xdr:colOff>676275</xdr:colOff>
          <xdr:row>240</xdr:row>
          <xdr:rowOff>180975</xdr:rowOff>
        </xdr:to>
        <xdr:sp macro="" textlink="">
          <xdr:nvSpPr>
            <xdr:cNvPr id="8409" name="Object 217" hidden="1">
              <a:extLst>
                <a:ext uri="{63B3BB69-23CF-44E3-9099-C40C66FF867C}">
                  <a14:compatExt spid="_x0000_s84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85</xdr:col>
          <xdr:colOff>314325</xdr:colOff>
          <xdr:row>239</xdr:row>
          <xdr:rowOff>85725</xdr:rowOff>
        </xdr:from>
        <xdr:to>
          <xdr:col>85</xdr:col>
          <xdr:colOff>714375</xdr:colOff>
          <xdr:row>240</xdr:row>
          <xdr:rowOff>180975</xdr:rowOff>
        </xdr:to>
        <xdr:sp macro="" textlink="">
          <xdr:nvSpPr>
            <xdr:cNvPr id="8410" name="Object 218" hidden="1">
              <a:extLst>
                <a:ext uri="{63B3BB69-23CF-44E3-9099-C40C66FF867C}">
                  <a14:compatExt spid="_x0000_s84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295275</xdr:colOff>
          <xdr:row>239</xdr:row>
          <xdr:rowOff>104775</xdr:rowOff>
        </xdr:from>
        <xdr:to>
          <xdr:col>84</xdr:col>
          <xdr:colOff>714375</xdr:colOff>
          <xdr:row>240</xdr:row>
          <xdr:rowOff>200025</xdr:rowOff>
        </xdr:to>
        <xdr:sp macro="" textlink="">
          <xdr:nvSpPr>
            <xdr:cNvPr id="8411" name="Object 219" hidden="1">
              <a:extLst>
                <a:ext uri="{63B3BB69-23CF-44E3-9099-C40C66FF867C}">
                  <a14:compatExt spid="_x0000_s84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85</xdr:col>
          <xdr:colOff>304800</xdr:colOff>
          <xdr:row>239</xdr:row>
          <xdr:rowOff>85725</xdr:rowOff>
        </xdr:from>
        <xdr:to>
          <xdr:col>85</xdr:col>
          <xdr:colOff>714375</xdr:colOff>
          <xdr:row>240</xdr:row>
          <xdr:rowOff>180975</xdr:rowOff>
        </xdr:to>
        <xdr:sp macro="" textlink="">
          <xdr:nvSpPr>
            <xdr:cNvPr id="8412" name="Object 220" hidden="1">
              <a:extLst>
                <a:ext uri="{63B3BB69-23CF-44E3-9099-C40C66FF867C}">
                  <a14:compatExt spid="_x0000_s84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86</xdr:col>
          <xdr:colOff>257175</xdr:colOff>
          <xdr:row>239</xdr:row>
          <xdr:rowOff>85725</xdr:rowOff>
        </xdr:from>
        <xdr:to>
          <xdr:col>86</xdr:col>
          <xdr:colOff>676275</xdr:colOff>
          <xdr:row>240</xdr:row>
          <xdr:rowOff>180975</xdr:rowOff>
        </xdr:to>
        <xdr:sp macro="" textlink="">
          <xdr:nvSpPr>
            <xdr:cNvPr id="8413" name="Object 221" hidden="1">
              <a:extLst>
                <a:ext uri="{63B3BB69-23CF-44E3-9099-C40C66FF867C}">
                  <a14:compatExt spid="_x0000_s84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87</xdr:col>
          <xdr:colOff>314325</xdr:colOff>
          <xdr:row>239</xdr:row>
          <xdr:rowOff>85725</xdr:rowOff>
        </xdr:from>
        <xdr:to>
          <xdr:col>87</xdr:col>
          <xdr:colOff>714375</xdr:colOff>
          <xdr:row>240</xdr:row>
          <xdr:rowOff>180975</xdr:rowOff>
        </xdr:to>
        <xdr:sp macro="" textlink="">
          <xdr:nvSpPr>
            <xdr:cNvPr id="8414" name="Object 222" hidden="1">
              <a:extLst>
                <a:ext uri="{63B3BB69-23CF-44E3-9099-C40C66FF867C}">
                  <a14:compatExt spid="_x0000_s8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86</xdr:col>
          <xdr:colOff>295275</xdr:colOff>
          <xdr:row>239</xdr:row>
          <xdr:rowOff>104775</xdr:rowOff>
        </xdr:from>
        <xdr:to>
          <xdr:col>86</xdr:col>
          <xdr:colOff>714375</xdr:colOff>
          <xdr:row>240</xdr:row>
          <xdr:rowOff>200025</xdr:rowOff>
        </xdr:to>
        <xdr:sp macro="" textlink="">
          <xdr:nvSpPr>
            <xdr:cNvPr id="8415" name="Object 223" hidden="1">
              <a:extLst>
                <a:ext uri="{63B3BB69-23CF-44E3-9099-C40C66FF867C}">
                  <a14:compatExt spid="_x0000_s84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87</xdr:col>
          <xdr:colOff>304800</xdr:colOff>
          <xdr:row>239</xdr:row>
          <xdr:rowOff>85725</xdr:rowOff>
        </xdr:from>
        <xdr:to>
          <xdr:col>87</xdr:col>
          <xdr:colOff>714375</xdr:colOff>
          <xdr:row>240</xdr:row>
          <xdr:rowOff>180975</xdr:rowOff>
        </xdr:to>
        <xdr:sp macro="" textlink="">
          <xdr:nvSpPr>
            <xdr:cNvPr id="8416" name="Object 224" hidden="1">
              <a:extLst>
                <a:ext uri="{63B3BB69-23CF-44E3-9099-C40C66FF867C}">
                  <a14:compatExt spid="_x0000_s84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88</xdr:col>
          <xdr:colOff>257175</xdr:colOff>
          <xdr:row>239</xdr:row>
          <xdr:rowOff>85725</xdr:rowOff>
        </xdr:from>
        <xdr:to>
          <xdr:col>88</xdr:col>
          <xdr:colOff>676275</xdr:colOff>
          <xdr:row>240</xdr:row>
          <xdr:rowOff>180975</xdr:rowOff>
        </xdr:to>
        <xdr:sp macro="" textlink="">
          <xdr:nvSpPr>
            <xdr:cNvPr id="8417" name="Object 225" hidden="1">
              <a:extLst>
                <a:ext uri="{63B3BB69-23CF-44E3-9099-C40C66FF867C}">
                  <a14:compatExt spid="_x0000_s8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</xdr:col>
          <xdr:colOff>314325</xdr:colOff>
          <xdr:row>239</xdr:row>
          <xdr:rowOff>85725</xdr:rowOff>
        </xdr:from>
        <xdr:to>
          <xdr:col>89</xdr:col>
          <xdr:colOff>714375</xdr:colOff>
          <xdr:row>240</xdr:row>
          <xdr:rowOff>180975</xdr:rowOff>
        </xdr:to>
        <xdr:sp macro="" textlink="">
          <xdr:nvSpPr>
            <xdr:cNvPr id="8418" name="Object 226" hidden="1">
              <a:extLst>
                <a:ext uri="{63B3BB69-23CF-44E3-9099-C40C66FF867C}">
                  <a14:compatExt spid="_x0000_s84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88</xdr:col>
          <xdr:colOff>295275</xdr:colOff>
          <xdr:row>239</xdr:row>
          <xdr:rowOff>104775</xdr:rowOff>
        </xdr:from>
        <xdr:to>
          <xdr:col>88</xdr:col>
          <xdr:colOff>714375</xdr:colOff>
          <xdr:row>240</xdr:row>
          <xdr:rowOff>200025</xdr:rowOff>
        </xdr:to>
        <xdr:sp macro="" textlink="">
          <xdr:nvSpPr>
            <xdr:cNvPr id="8419" name="Object 227" hidden="1">
              <a:extLst>
                <a:ext uri="{63B3BB69-23CF-44E3-9099-C40C66FF867C}">
                  <a14:compatExt spid="_x0000_s84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</xdr:col>
          <xdr:colOff>304800</xdr:colOff>
          <xdr:row>239</xdr:row>
          <xdr:rowOff>85725</xdr:rowOff>
        </xdr:from>
        <xdr:to>
          <xdr:col>89</xdr:col>
          <xdr:colOff>714375</xdr:colOff>
          <xdr:row>240</xdr:row>
          <xdr:rowOff>180975</xdr:rowOff>
        </xdr:to>
        <xdr:sp macro="" textlink="">
          <xdr:nvSpPr>
            <xdr:cNvPr id="8420" name="Object 228" hidden="1">
              <a:extLst>
                <a:ext uri="{63B3BB69-23CF-44E3-9099-C40C66FF867C}">
                  <a14:compatExt spid="_x0000_s84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257175</xdr:colOff>
          <xdr:row>250</xdr:row>
          <xdr:rowOff>85725</xdr:rowOff>
        </xdr:from>
        <xdr:to>
          <xdr:col>42</xdr:col>
          <xdr:colOff>676275</xdr:colOff>
          <xdr:row>251</xdr:row>
          <xdr:rowOff>161925</xdr:rowOff>
        </xdr:to>
        <xdr:sp macro="" textlink="">
          <xdr:nvSpPr>
            <xdr:cNvPr id="8421" name="Object 229" hidden="1">
              <a:extLst>
                <a:ext uri="{63B3BB69-23CF-44E3-9099-C40C66FF867C}">
                  <a14:compatExt spid="_x0000_s84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314325</xdr:colOff>
          <xdr:row>250</xdr:row>
          <xdr:rowOff>85725</xdr:rowOff>
        </xdr:from>
        <xdr:to>
          <xdr:col>43</xdr:col>
          <xdr:colOff>733425</xdr:colOff>
          <xdr:row>251</xdr:row>
          <xdr:rowOff>161925</xdr:rowOff>
        </xdr:to>
        <xdr:sp macro="" textlink="">
          <xdr:nvSpPr>
            <xdr:cNvPr id="8422" name="Object 230" hidden="1">
              <a:extLst>
                <a:ext uri="{63B3BB69-23CF-44E3-9099-C40C66FF867C}">
                  <a14:compatExt spid="_x0000_s84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295275</xdr:colOff>
          <xdr:row>250</xdr:row>
          <xdr:rowOff>104775</xdr:rowOff>
        </xdr:from>
        <xdr:to>
          <xdr:col>42</xdr:col>
          <xdr:colOff>733425</xdr:colOff>
          <xdr:row>251</xdr:row>
          <xdr:rowOff>228600</xdr:rowOff>
        </xdr:to>
        <xdr:sp macro="" textlink="">
          <xdr:nvSpPr>
            <xdr:cNvPr id="8423" name="Object 231" hidden="1">
              <a:extLst>
                <a:ext uri="{63B3BB69-23CF-44E3-9099-C40C66FF867C}">
                  <a14:compatExt spid="_x0000_s84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304800</xdr:colOff>
          <xdr:row>250</xdr:row>
          <xdr:rowOff>85725</xdr:rowOff>
        </xdr:from>
        <xdr:to>
          <xdr:col>43</xdr:col>
          <xdr:colOff>733425</xdr:colOff>
          <xdr:row>251</xdr:row>
          <xdr:rowOff>161925</xdr:rowOff>
        </xdr:to>
        <xdr:sp macro="" textlink="">
          <xdr:nvSpPr>
            <xdr:cNvPr id="8424" name="Object 232" hidden="1">
              <a:extLst>
                <a:ext uri="{63B3BB69-23CF-44E3-9099-C40C66FF867C}">
                  <a14:compatExt spid="_x0000_s84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257175</xdr:colOff>
          <xdr:row>250</xdr:row>
          <xdr:rowOff>85725</xdr:rowOff>
        </xdr:from>
        <xdr:to>
          <xdr:col>44</xdr:col>
          <xdr:colOff>676275</xdr:colOff>
          <xdr:row>251</xdr:row>
          <xdr:rowOff>161925</xdr:rowOff>
        </xdr:to>
        <xdr:sp macro="" textlink="">
          <xdr:nvSpPr>
            <xdr:cNvPr id="8425" name="Object 233" hidden="1">
              <a:extLst>
                <a:ext uri="{63B3BB69-23CF-44E3-9099-C40C66FF867C}">
                  <a14:compatExt spid="_x0000_s84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314325</xdr:colOff>
          <xdr:row>250</xdr:row>
          <xdr:rowOff>85725</xdr:rowOff>
        </xdr:from>
        <xdr:to>
          <xdr:col>45</xdr:col>
          <xdr:colOff>733425</xdr:colOff>
          <xdr:row>251</xdr:row>
          <xdr:rowOff>161925</xdr:rowOff>
        </xdr:to>
        <xdr:sp macro="" textlink="">
          <xdr:nvSpPr>
            <xdr:cNvPr id="8426" name="Object 234" hidden="1">
              <a:extLst>
                <a:ext uri="{63B3BB69-23CF-44E3-9099-C40C66FF867C}">
                  <a14:compatExt spid="_x0000_s84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295275</xdr:colOff>
          <xdr:row>250</xdr:row>
          <xdr:rowOff>104775</xdr:rowOff>
        </xdr:from>
        <xdr:to>
          <xdr:col>44</xdr:col>
          <xdr:colOff>733425</xdr:colOff>
          <xdr:row>251</xdr:row>
          <xdr:rowOff>228600</xdr:rowOff>
        </xdr:to>
        <xdr:sp macro="" textlink="">
          <xdr:nvSpPr>
            <xdr:cNvPr id="8427" name="Object 235" hidden="1">
              <a:extLst>
                <a:ext uri="{63B3BB69-23CF-44E3-9099-C40C66FF867C}">
                  <a14:compatExt spid="_x0000_s84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304800</xdr:colOff>
          <xdr:row>250</xdr:row>
          <xdr:rowOff>85725</xdr:rowOff>
        </xdr:from>
        <xdr:to>
          <xdr:col>45</xdr:col>
          <xdr:colOff>733425</xdr:colOff>
          <xdr:row>251</xdr:row>
          <xdr:rowOff>161925</xdr:rowOff>
        </xdr:to>
        <xdr:sp macro="" textlink="">
          <xdr:nvSpPr>
            <xdr:cNvPr id="8428" name="Object 236" hidden="1">
              <a:extLst>
                <a:ext uri="{63B3BB69-23CF-44E3-9099-C40C66FF867C}">
                  <a14:compatExt spid="_x0000_s84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257175</xdr:colOff>
          <xdr:row>250</xdr:row>
          <xdr:rowOff>85725</xdr:rowOff>
        </xdr:from>
        <xdr:to>
          <xdr:col>46</xdr:col>
          <xdr:colOff>676275</xdr:colOff>
          <xdr:row>251</xdr:row>
          <xdr:rowOff>161925</xdr:rowOff>
        </xdr:to>
        <xdr:sp macro="" textlink="">
          <xdr:nvSpPr>
            <xdr:cNvPr id="8429" name="Object 237" hidden="1">
              <a:extLst>
                <a:ext uri="{63B3BB69-23CF-44E3-9099-C40C66FF867C}">
                  <a14:compatExt spid="_x0000_s84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314325</xdr:colOff>
          <xdr:row>250</xdr:row>
          <xdr:rowOff>85725</xdr:rowOff>
        </xdr:from>
        <xdr:to>
          <xdr:col>47</xdr:col>
          <xdr:colOff>733425</xdr:colOff>
          <xdr:row>251</xdr:row>
          <xdr:rowOff>161925</xdr:rowOff>
        </xdr:to>
        <xdr:sp macro="" textlink="">
          <xdr:nvSpPr>
            <xdr:cNvPr id="8430" name="Object 238" hidden="1">
              <a:extLst>
                <a:ext uri="{63B3BB69-23CF-44E3-9099-C40C66FF867C}">
                  <a14:compatExt spid="_x0000_s84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295275</xdr:colOff>
          <xdr:row>250</xdr:row>
          <xdr:rowOff>104775</xdr:rowOff>
        </xdr:from>
        <xdr:to>
          <xdr:col>46</xdr:col>
          <xdr:colOff>733425</xdr:colOff>
          <xdr:row>251</xdr:row>
          <xdr:rowOff>228600</xdr:rowOff>
        </xdr:to>
        <xdr:sp macro="" textlink="">
          <xdr:nvSpPr>
            <xdr:cNvPr id="8431" name="Object 239" hidden="1">
              <a:extLst>
                <a:ext uri="{63B3BB69-23CF-44E3-9099-C40C66FF867C}">
                  <a14:compatExt spid="_x0000_s84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304800</xdr:colOff>
          <xdr:row>250</xdr:row>
          <xdr:rowOff>85725</xdr:rowOff>
        </xdr:from>
        <xdr:to>
          <xdr:col>47</xdr:col>
          <xdr:colOff>733425</xdr:colOff>
          <xdr:row>251</xdr:row>
          <xdr:rowOff>161925</xdr:rowOff>
        </xdr:to>
        <xdr:sp macro="" textlink="">
          <xdr:nvSpPr>
            <xdr:cNvPr id="8432" name="Object 240" hidden="1">
              <a:extLst>
                <a:ext uri="{63B3BB69-23CF-44E3-9099-C40C66FF867C}">
                  <a14:compatExt spid="_x0000_s84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257175</xdr:colOff>
          <xdr:row>250</xdr:row>
          <xdr:rowOff>85725</xdr:rowOff>
        </xdr:from>
        <xdr:to>
          <xdr:col>48</xdr:col>
          <xdr:colOff>676275</xdr:colOff>
          <xdr:row>251</xdr:row>
          <xdr:rowOff>161925</xdr:rowOff>
        </xdr:to>
        <xdr:sp macro="" textlink="">
          <xdr:nvSpPr>
            <xdr:cNvPr id="8433" name="Object 241" hidden="1">
              <a:extLst>
                <a:ext uri="{63B3BB69-23CF-44E3-9099-C40C66FF867C}">
                  <a14:compatExt spid="_x0000_s84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314325</xdr:colOff>
          <xdr:row>250</xdr:row>
          <xdr:rowOff>85725</xdr:rowOff>
        </xdr:from>
        <xdr:to>
          <xdr:col>49</xdr:col>
          <xdr:colOff>733425</xdr:colOff>
          <xdr:row>251</xdr:row>
          <xdr:rowOff>161925</xdr:rowOff>
        </xdr:to>
        <xdr:sp macro="" textlink="">
          <xdr:nvSpPr>
            <xdr:cNvPr id="8434" name="Object 242" hidden="1">
              <a:extLst>
                <a:ext uri="{63B3BB69-23CF-44E3-9099-C40C66FF867C}">
                  <a14:compatExt spid="_x0000_s84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295275</xdr:colOff>
          <xdr:row>250</xdr:row>
          <xdr:rowOff>104775</xdr:rowOff>
        </xdr:from>
        <xdr:to>
          <xdr:col>48</xdr:col>
          <xdr:colOff>733425</xdr:colOff>
          <xdr:row>251</xdr:row>
          <xdr:rowOff>228600</xdr:rowOff>
        </xdr:to>
        <xdr:sp macro="" textlink="">
          <xdr:nvSpPr>
            <xdr:cNvPr id="8435" name="Object 243" hidden="1">
              <a:extLst>
                <a:ext uri="{63B3BB69-23CF-44E3-9099-C40C66FF867C}">
                  <a14:compatExt spid="_x0000_s84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304800</xdr:colOff>
          <xdr:row>250</xdr:row>
          <xdr:rowOff>85725</xdr:rowOff>
        </xdr:from>
        <xdr:to>
          <xdr:col>49</xdr:col>
          <xdr:colOff>733425</xdr:colOff>
          <xdr:row>251</xdr:row>
          <xdr:rowOff>161925</xdr:rowOff>
        </xdr:to>
        <xdr:sp macro="" textlink="">
          <xdr:nvSpPr>
            <xdr:cNvPr id="8436" name="Object 244" hidden="1">
              <a:extLst>
                <a:ext uri="{63B3BB69-23CF-44E3-9099-C40C66FF867C}">
                  <a14:compatExt spid="_x0000_s84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257175</xdr:colOff>
          <xdr:row>250</xdr:row>
          <xdr:rowOff>85725</xdr:rowOff>
        </xdr:from>
        <xdr:to>
          <xdr:col>50</xdr:col>
          <xdr:colOff>676275</xdr:colOff>
          <xdr:row>251</xdr:row>
          <xdr:rowOff>161925</xdr:rowOff>
        </xdr:to>
        <xdr:sp macro="" textlink="">
          <xdr:nvSpPr>
            <xdr:cNvPr id="8437" name="Object 245" hidden="1">
              <a:extLst>
                <a:ext uri="{63B3BB69-23CF-44E3-9099-C40C66FF867C}">
                  <a14:compatExt spid="_x0000_s84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314325</xdr:colOff>
          <xdr:row>250</xdr:row>
          <xdr:rowOff>85725</xdr:rowOff>
        </xdr:from>
        <xdr:to>
          <xdr:col>51</xdr:col>
          <xdr:colOff>733425</xdr:colOff>
          <xdr:row>251</xdr:row>
          <xdr:rowOff>161925</xdr:rowOff>
        </xdr:to>
        <xdr:sp macro="" textlink="">
          <xdr:nvSpPr>
            <xdr:cNvPr id="8438" name="Object 246" hidden="1">
              <a:extLst>
                <a:ext uri="{63B3BB69-23CF-44E3-9099-C40C66FF867C}">
                  <a14:compatExt spid="_x0000_s84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295275</xdr:colOff>
          <xdr:row>250</xdr:row>
          <xdr:rowOff>104775</xdr:rowOff>
        </xdr:from>
        <xdr:to>
          <xdr:col>50</xdr:col>
          <xdr:colOff>733425</xdr:colOff>
          <xdr:row>251</xdr:row>
          <xdr:rowOff>228600</xdr:rowOff>
        </xdr:to>
        <xdr:sp macro="" textlink="">
          <xdr:nvSpPr>
            <xdr:cNvPr id="8439" name="Object 247" hidden="1">
              <a:extLst>
                <a:ext uri="{63B3BB69-23CF-44E3-9099-C40C66FF867C}">
                  <a14:compatExt spid="_x0000_s84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304800</xdr:colOff>
          <xdr:row>250</xdr:row>
          <xdr:rowOff>85725</xdr:rowOff>
        </xdr:from>
        <xdr:to>
          <xdr:col>51</xdr:col>
          <xdr:colOff>733425</xdr:colOff>
          <xdr:row>251</xdr:row>
          <xdr:rowOff>161925</xdr:rowOff>
        </xdr:to>
        <xdr:sp macro="" textlink="">
          <xdr:nvSpPr>
            <xdr:cNvPr id="8440" name="Object 248" hidden="1">
              <a:extLst>
                <a:ext uri="{63B3BB69-23CF-44E3-9099-C40C66FF867C}">
                  <a14:compatExt spid="_x0000_s84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257175</xdr:colOff>
          <xdr:row>250</xdr:row>
          <xdr:rowOff>85725</xdr:rowOff>
        </xdr:from>
        <xdr:to>
          <xdr:col>52</xdr:col>
          <xdr:colOff>676275</xdr:colOff>
          <xdr:row>251</xdr:row>
          <xdr:rowOff>161925</xdr:rowOff>
        </xdr:to>
        <xdr:sp macro="" textlink="">
          <xdr:nvSpPr>
            <xdr:cNvPr id="8441" name="Object 249" hidden="1">
              <a:extLst>
                <a:ext uri="{63B3BB69-23CF-44E3-9099-C40C66FF867C}">
                  <a14:compatExt spid="_x0000_s8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314325</xdr:colOff>
          <xdr:row>250</xdr:row>
          <xdr:rowOff>85725</xdr:rowOff>
        </xdr:from>
        <xdr:to>
          <xdr:col>53</xdr:col>
          <xdr:colOff>733425</xdr:colOff>
          <xdr:row>251</xdr:row>
          <xdr:rowOff>161925</xdr:rowOff>
        </xdr:to>
        <xdr:sp macro="" textlink="">
          <xdr:nvSpPr>
            <xdr:cNvPr id="8442" name="Object 250" hidden="1">
              <a:extLst>
                <a:ext uri="{63B3BB69-23CF-44E3-9099-C40C66FF867C}">
                  <a14:compatExt spid="_x0000_s8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295275</xdr:colOff>
          <xdr:row>250</xdr:row>
          <xdr:rowOff>104775</xdr:rowOff>
        </xdr:from>
        <xdr:to>
          <xdr:col>52</xdr:col>
          <xdr:colOff>733425</xdr:colOff>
          <xdr:row>251</xdr:row>
          <xdr:rowOff>228600</xdr:rowOff>
        </xdr:to>
        <xdr:sp macro="" textlink="">
          <xdr:nvSpPr>
            <xdr:cNvPr id="8443" name="Object 251" hidden="1">
              <a:extLst>
                <a:ext uri="{63B3BB69-23CF-44E3-9099-C40C66FF867C}">
                  <a14:compatExt spid="_x0000_s84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304800</xdr:colOff>
          <xdr:row>250</xdr:row>
          <xdr:rowOff>85725</xdr:rowOff>
        </xdr:from>
        <xdr:to>
          <xdr:col>53</xdr:col>
          <xdr:colOff>733425</xdr:colOff>
          <xdr:row>251</xdr:row>
          <xdr:rowOff>161925</xdr:rowOff>
        </xdr:to>
        <xdr:sp macro="" textlink="">
          <xdr:nvSpPr>
            <xdr:cNvPr id="8444" name="Object 252" hidden="1">
              <a:extLst>
                <a:ext uri="{63B3BB69-23CF-44E3-9099-C40C66FF867C}">
                  <a14:compatExt spid="_x0000_s84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257175</xdr:colOff>
          <xdr:row>250</xdr:row>
          <xdr:rowOff>85725</xdr:rowOff>
        </xdr:from>
        <xdr:to>
          <xdr:col>54</xdr:col>
          <xdr:colOff>676275</xdr:colOff>
          <xdr:row>251</xdr:row>
          <xdr:rowOff>161925</xdr:rowOff>
        </xdr:to>
        <xdr:sp macro="" textlink="">
          <xdr:nvSpPr>
            <xdr:cNvPr id="8445" name="Object 253" hidden="1">
              <a:extLst>
                <a:ext uri="{63B3BB69-23CF-44E3-9099-C40C66FF867C}">
                  <a14:compatExt spid="_x0000_s84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55</xdr:col>
          <xdr:colOff>314325</xdr:colOff>
          <xdr:row>250</xdr:row>
          <xdr:rowOff>85725</xdr:rowOff>
        </xdr:from>
        <xdr:to>
          <xdr:col>55</xdr:col>
          <xdr:colOff>733425</xdr:colOff>
          <xdr:row>251</xdr:row>
          <xdr:rowOff>161925</xdr:rowOff>
        </xdr:to>
        <xdr:sp macro="" textlink="">
          <xdr:nvSpPr>
            <xdr:cNvPr id="8446" name="Object 254" hidden="1">
              <a:extLst>
                <a:ext uri="{63B3BB69-23CF-44E3-9099-C40C66FF867C}">
                  <a14:compatExt spid="_x0000_s84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295275</xdr:colOff>
          <xdr:row>250</xdr:row>
          <xdr:rowOff>104775</xdr:rowOff>
        </xdr:from>
        <xdr:to>
          <xdr:col>54</xdr:col>
          <xdr:colOff>733425</xdr:colOff>
          <xdr:row>251</xdr:row>
          <xdr:rowOff>228600</xdr:rowOff>
        </xdr:to>
        <xdr:sp macro="" textlink="">
          <xdr:nvSpPr>
            <xdr:cNvPr id="8447" name="Object 255" hidden="1">
              <a:extLst>
                <a:ext uri="{63B3BB69-23CF-44E3-9099-C40C66FF867C}">
                  <a14:compatExt spid="_x0000_s84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55</xdr:col>
          <xdr:colOff>304800</xdr:colOff>
          <xdr:row>250</xdr:row>
          <xdr:rowOff>85725</xdr:rowOff>
        </xdr:from>
        <xdr:to>
          <xdr:col>55</xdr:col>
          <xdr:colOff>733425</xdr:colOff>
          <xdr:row>251</xdr:row>
          <xdr:rowOff>161925</xdr:rowOff>
        </xdr:to>
        <xdr:sp macro="" textlink="">
          <xdr:nvSpPr>
            <xdr:cNvPr id="8448" name="Object 256" hidden="1">
              <a:extLst>
                <a:ext uri="{63B3BB69-23CF-44E3-9099-C40C66FF867C}">
                  <a14:compatExt spid="_x0000_s84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56</xdr:col>
          <xdr:colOff>257175</xdr:colOff>
          <xdr:row>250</xdr:row>
          <xdr:rowOff>85725</xdr:rowOff>
        </xdr:from>
        <xdr:to>
          <xdr:col>56</xdr:col>
          <xdr:colOff>676275</xdr:colOff>
          <xdr:row>251</xdr:row>
          <xdr:rowOff>161925</xdr:rowOff>
        </xdr:to>
        <xdr:sp macro="" textlink="">
          <xdr:nvSpPr>
            <xdr:cNvPr id="8449" name="Object 257" hidden="1">
              <a:extLst>
                <a:ext uri="{63B3BB69-23CF-44E3-9099-C40C66FF867C}">
                  <a14:compatExt spid="_x0000_s84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314325</xdr:colOff>
          <xdr:row>250</xdr:row>
          <xdr:rowOff>85725</xdr:rowOff>
        </xdr:from>
        <xdr:to>
          <xdr:col>57</xdr:col>
          <xdr:colOff>733425</xdr:colOff>
          <xdr:row>251</xdr:row>
          <xdr:rowOff>161925</xdr:rowOff>
        </xdr:to>
        <xdr:sp macro="" textlink="">
          <xdr:nvSpPr>
            <xdr:cNvPr id="8450" name="Object 258" hidden="1">
              <a:extLst>
                <a:ext uri="{63B3BB69-23CF-44E3-9099-C40C66FF867C}">
                  <a14:compatExt spid="_x0000_s84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56</xdr:col>
          <xdr:colOff>295275</xdr:colOff>
          <xdr:row>250</xdr:row>
          <xdr:rowOff>104775</xdr:rowOff>
        </xdr:from>
        <xdr:to>
          <xdr:col>56</xdr:col>
          <xdr:colOff>733425</xdr:colOff>
          <xdr:row>251</xdr:row>
          <xdr:rowOff>228600</xdr:rowOff>
        </xdr:to>
        <xdr:sp macro="" textlink="">
          <xdr:nvSpPr>
            <xdr:cNvPr id="8451" name="Object 259" hidden="1">
              <a:extLst>
                <a:ext uri="{63B3BB69-23CF-44E3-9099-C40C66FF867C}">
                  <a14:compatExt spid="_x0000_s84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304800</xdr:colOff>
          <xdr:row>250</xdr:row>
          <xdr:rowOff>85725</xdr:rowOff>
        </xdr:from>
        <xdr:to>
          <xdr:col>57</xdr:col>
          <xdr:colOff>733425</xdr:colOff>
          <xdr:row>251</xdr:row>
          <xdr:rowOff>161925</xdr:rowOff>
        </xdr:to>
        <xdr:sp macro="" textlink="">
          <xdr:nvSpPr>
            <xdr:cNvPr id="8452" name="Object 260" hidden="1">
              <a:extLst>
                <a:ext uri="{63B3BB69-23CF-44E3-9099-C40C66FF867C}">
                  <a14:compatExt spid="_x0000_s84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58</xdr:col>
          <xdr:colOff>257175</xdr:colOff>
          <xdr:row>250</xdr:row>
          <xdr:rowOff>85725</xdr:rowOff>
        </xdr:from>
        <xdr:to>
          <xdr:col>58</xdr:col>
          <xdr:colOff>676275</xdr:colOff>
          <xdr:row>251</xdr:row>
          <xdr:rowOff>161925</xdr:rowOff>
        </xdr:to>
        <xdr:sp macro="" textlink="">
          <xdr:nvSpPr>
            <xdr:cNvPr id="8453" name="Object 261" hidden="1">
              <a:extLst>
                <a:ext uri="{63B3BB69-23CF-44E3-9099-C40C66FF867C}">
                  <a14:compatExt spid="_x0000_s84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59</xdr:col>
          <xdr:colOff>314325</xdr:colOff>
          <xdr:row>250</xdr:row>
          <xdr:rowOff>85725</xdr:rowOff>
        </xdr:from>
        <xdr:to>
          <xdr:col>59</xdr:col>
          <xdr:colOff>733425</xdr:colOff>
          <xdr:row>251</xdr:row>
          <xdr:rowOff>161925</xdr:rowOff>
        </xdr:to>
        <xdr:sp macro="" textlink="">
          <xdr:nvSpPr>
            <xdr:cNvPr id="8454" name="Object 262" hidden="1">
              <a:extLst>
                <a:ext uri="{63B3BB69-23CF-44E3-9099-C40C66FF867C}">
                  <a14:compatExt spid="_x0000_s84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58</xdr:col>
          <xdr:colOff>295275</xdr:colOff>
          <xdr:row>250</xdr:row>
          <xdr:rowOff>104775</xdr:rowOff>
        </xdr:from>
        <xdr:to>
          <xdr:col>58</xdr:col>
          <xdr:colOff>733425</xdr:colOff>
          <xdr:row>251</xdr:row>
          <xdr:rowOff>228600</xdr:rowOff>
        </xdr:to>
        <xdr:sp macro="" textlink="">
          <xdr:nvSpPr>
            <xdr:cNvPr id="8455" name="Object 263" hidden="1">
              <a:extLst>
                <a:ext uri="{63B3BB69-23CF-44E3-9099-C40C66FF867C}">
                  <a14:compatExt spid="_x0000_s84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59</xdr:col>
          <xdr:colOff>304800</xdr:colOff>
          <xdr:row>250</xdr:row>
          <xdr:rowOff>85725</xdr:rowOff>
        </xdr:from>
        <xdr:to>
          <xdr:col>59</xdr:col>
          <xdr:colOff>733425</xdr:colOff>
          <xdr:row>251</xdr:row>
          <xdr:rowOff>161925</xdr:rowOff>
        </xdr:to>
        <xdr:sp macro="" textlink="">
          <xdr:nvSpPr>
            <xdr:cNvPr id="8456" name="Object 264" hidden="1">
              <a:extLst>
                <a:ext uri="{63B3BB69-23CF-44E3-9099-C40C66FF867C}">
                  <a14:compatExt spid="_x0000_s84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60</xdr:col>
          <xdr:colOff>257175</xdr:colOff>
          <xdr:row>250</xdr:row>
          <xdr:rowOff>85725</xdr:rowOff>
        </xdr:from>
        <xdr:to>
          <xdr:col>60</xdr:col>
          <xdr:colOff>676275</xdr:colOff>
          <xdr:row>251</xdr:row>
          <xdr:rowOff>161925</xdr:rowOff>
        </xdr:to>
        <xdr:sp macro="" textlink="">
          <xdr:nvSpPr>
            <xdr:cNvPr id="8457" name="Object 265" hidden="1">
              <a:extLst>
                <a:ext uri="{63B3BB69-23CF-44E3-9099-C40C66FF867C}">
                  <a14:compatExt spid="_x0000_s84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314325</xdr:colOff>
          <xdr:row>250</xdr:row>
          <xdr:rowOff>85725</xdr:rowOff>
        </xdr:from>
        <xdr:to>
          <xdr:col>61</xdr:col>
          <xdr:colOff>733425</xdr:colOff>
          <xdr:row>251</xdr:row>
          <xdr:rowOff>161925</xdr:rowOff>
        </xdr:to>
        <xdr:sp macro="" textlink="">
          <xdr:nvSpPr>
            <xdr:cNvPr id="8458" name="Object 266" hidden="1">
              <a:extLst>
                <a:ext uri="{63B3BB69-23CF-44E3-9099-C40C66FF867C}">
                  <a14:compatExt spid="_x0000_s8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60</xdr:col>
          <xdr:colOff>295275</xdr:colOff>
          <xdr:row>250</xdr:row>
          <xdr:rowOff>104775</xdr:rowOff>
        </xdr:from>
        <xdr:to>
          <xdr:col>60</xdr:col>
          <xdr:colOff>733425</xdr:colOff>
          <xdr:row>251</xdr:row>
          <xdr:rowOff>228600</xdr:rowOff>
        </xdr:to>
        <xdr:sp macro="" textlink="">
          <xdr:nvSpPr>
            <xdr:cNvPr id="8459" name="Object 267" hidden="1">
              <a:extLst>
                <a:ext uri="{63B3BB69-23CF-44E3-9099-C40C66FF867C}">
                  <a14:compatExt spid="_x0000_s84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304800</xdr:colOff>
          <xdr:row>250</xdr:row>
          <xdr:rowOff>85725</xdr:rowOff>
        </xdr:from>
        <xdr:to>
          <xdr:col>61</xdr:col>
          <xdr:colOff>733425</xdr:colOff>
          <xdr:row>251</xdr:row>
          <xdr:rowOff>161925</xdr:rowOff>
        </xdr:to>
        <xdr:sp macro="" textlink="">
          <xdr:nvSpPr>
            <xdr:cNvPr id="8460" name="Object 268" hidden="1">
              <a:extLst>
                <a:ext uri="{63B3BB69-23CF-44E3-9099-C40C66FF867C}">
                  <a14:compatExt spid="_x0000_s84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62</xdr:col>
          <xdr:colOff>257175</xdr:colOff>
          <xdr:row>250</xdr:row>
          <xdr:rowOff>85725</xdr:rowOff>
        </xdr:from>
        <xdr:to>
          <xdr:col>62</xdr:col>
          <xdr:colOff>676275</xdr:colOff>
          <xdr:row>251</xdr:row>
          <xdr:rowOff>161925</xdr:rowOff>
        </xdr:to>
        <xdr:sp macro="" textlink="">
          <xdr:nvSpPr>
            <xdr:cNvPr id="8461" name="Object 269" hidden="1">
              <a:extLst>
                <a:ext uri="{63B3BB69-23CF-44E3-9099-C40C66FF867C}">
                  <a14:compatExt spid="_x0000_s84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63</xdr:col>
          <xdr:colOff>314325</xdr:colOff>
          <xdr:row>250</xdr:row>
          <xdr:rowOff>85725</xdr:rowOff>
        </xdr:from>
        <xdr:to>
          <xdr:col>63</xdr:col>
          <xdr:colOff>733425</xdr:colOff>
          <xdr:row>251</xdr:row>
          <xdr:rowOff>161925</xdr:rowOff>
        </xdr:to>
        <xdr:sp macro="" textlink="">
          <xdr:nvSpPr>
            <xdr:cNvPr id="8462" name="Object 270" hidden="1">
              <a:extLst>
                <a:ext uri="{63B3BB69-23CF-44E3-9099-C40C66FF867C}">
                  <a14:compatExt spid="_x0000_s84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62</xdr:col>
          <xdr:colOff>295275</xdr:colOff>
          <xdr:row>250</xdr:row>
          <xdr:rowOff>104775</xdr:rowOff>
        </xdr:from>
        <xdr:to>
          <xdr:col>62</xdr:col>
          <xdr:colOff>733425</xdr:colOff>
          <xdr:row>251</xdr:row>
          <xdr:rowOff>228600</xdr:rowOff>
        </xdr:to>
        <xdr:sp macro="" textlink="">
          <xdr:nvSpPr>
            <xdr:cNvPr id="8463" name="Object 271" hidden="1">
              <a:extLst>
                <a:ext uri="{63B3BB69-23CF-44E3-9099-C40C66FF867C}">
                  <a14:compatExt spid="_x0000_s84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63</xdr:col>
          <xdr:colOff>304800</xdr:colOff>
          <xdr:row>250</xdr:row>
          <xdr:rowOff>85725</xdr:rowOff>
        </xdr:from>
        <xdr:to>
          <xdr:col>63</xdr:col>
          <xdr:colOff>733425</xdr:colOff>
          <xdr:row>251</xdr:row>
          <xdr:rowOff>161925</xdr:rowOff>
        </xdr:to>
        <xdr:sp macro="" textlink="">
          <xdr:nvSpPr>
            <xdr:cNvPr id="8464" name="Object 272" hidden="1">
              <a:extLst>
                <a:ext uri="{63B3BB69-23CF-44E3-9099-C40C66FF867C}">
                  <a14:compatExt spid="_x0000_s84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64</xdr:col>
          <xdr:colOff>257175</xdr:colOff>
          <xdr:row>250</xdr:row>
          <xdr:rowOff>85725</xdr:rowOff>
        </xdr:from>
        <xdr:to>
          <xdr:col>64</xdr:col>
          <xdr:colOff>676275</xdr:colOff>
          <xdr:row>251</xdr:row>
          <xdr:rowOff>161925</xdr:rowOff>
        </xdr:to>
        <xdr:sp macro="" textlink="">
          <xdr:nvSpPr>
            <xdr:cNvPr id="8465" name="Object 273" hidden="1">
              <a:extLst>
                <a:ext uri="{63B3BB69-23CF-44E3-9099-C40C66FF867C}">
                  <a14:compatExt spid="_x0000_s84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314325</xdr:colOff>
          <xdr:row>250</xdr:row>
          <xdr:rowOff>85725</xdr:rowOff>
        </xdr:from>
        <xdr:to>
          <xdr:col>65</xdr:col>
          <xdr:colOff>733425</xdr:colOff>
          <xdr:row>251</xdr:row>
          <xdr:rowOff>161925</xdr:rowOff>
        </xdr:to>
        <xdr:sp macro="" textlink="">
          <xdr:nvSpPr>
            <xdr:cNvPr id="8466" name="Object 274" hidden="1">
              <a:extLst>
                <a:ext uri="{63B3BB69-23CF-44E3-9099-C40C66FF867C}">
                  <a14:compatExt spid="_x0000_s84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64</xdr:col>
          <xdr:colOff>295275</xdr:colOff>
          <xdr:row>250</xdr:row>
          <xdr:rowOff>104775</xdr:rowOff>
        </xdr:from>
        <xdr:to>
          <xdr:col>64</xdr:col>
          <xdr:colOff>733425</xdr:colOff>
          <xdr:row>251</xdr:row>
          <xdr:rowOff>228600</xdr:rowOff>
        </xdr:to>
        <xdr:sp macro="" textlink="">
          <xdr:nvSpPr>
            <xdr:cNvPr id="8467" name="Object 275" hidden="1">
              <a:extLst>
                <a:ext uri="{63B3BB69-23CF-44E3-9099-C40C66FF867C}">
                  <a14:compatExt spid="_x0000_s84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304800</xdr:colOff>
          <xdr:row>250</xdr:row>
          <xdr:rowOff>85725</xdr:rowOff>
        </xdr:from>
        <xdr:to>
          <xdr:col>65</xdr:col>
          <xdr:colOff>733425</xdr:colOff>
          <xdr:row>251</xdr:row>
          <xdr:rowOff>161925</xdr:rowOff>
        </xdr:to>
        <xdr:sp macro="" textlink="">
          <xdr:nvSpPr>
            <xdr:cNvPr id="8468" name="Object 276" hidden="1">
              <a:extLst>
                <a:ext uri="{63B3BB69-23CF-44E3-9099-C40C66FF867C}">
                  <a14:compatExt spid="_x0000_s84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257175</xdr:colOff>
          <xdr:row>250</xdr:row>
          <xdr:rowOff>85725</xdr:rowOff>
        </xdr:from>
        <xdr:to>
          <xdr:col>66</xdr:col>
          <xdr:colOff>676275</xdr:colOff>
          <xdr:row>251</xdr:row>
          <xdr:rowOff>161925</xdr:rowOff>
        </xdr:to>
        <xdr:sp macro="" textlink="">
          <xdr:nvSpPr>
            <xdr:cNvPr id="8469" name="Object 277" hidden="1">
              <a:extLst>
                <a:ext uri="{63B3BB69-23CF-44E3-9099-C40C66FF867C}">
                  <a14:compatExt spid="_x0000_s84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67</xdr:col>
          <xdr:colOff>314325</xdr:colOff>
          <xdr:row>250</xdr:row>
          <xdr:rowOff>85725</xdr:rowOff>
        </xdr:from>
        <xdr:to>
          <xdr:col>67</xdr:col>
          <xdr:colOff>733425</xdr:colOff>
          <xdr:row>251</xdr:row>
          <xdr:rowOff>161925</xdr:rowOff>
        </xdr:to>
        <xdr:sp macro="" textlink="">
          <xdr:nvSpPr>
            <xdr:cNvPr id="8470" name="Object 278" hidden="1">
              <a:extLst>
                <a:ext uri="{63B3BB69-23CF-44E3-9099-C40C66FF867C}">
                  <a14:compatExt spid="_x0000_s84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295275</xdr:colOff>
          <xdr:row>250</xdr:row>
          <xdr:rowOff>104775</xdr:rowOff>
        </xdr:from>
        <xdr:to>
          <xdr:col>66</xdr:col>
          <xdr:colOff>733425</xdr:colOff>
          <xdr:row>251</xdr:row>
          <xdr:rowOff>228600</xdr:rowOff>
        </xdr:to>
        <xdr:sp macro="" textlink="">
          <xdr:nvSpPr>
            <xdr:cNvPr id="8471" name="Object 279" hidden="1">
              <a:extLst>
                <a:ext uri="{63B3BB69-23CF-44E3-9099-C40C66FF867C}">
                  <a14:compatExt spid="_x0000_s84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67</xdr:col>
          <xdr:colOff>304800</xdr:colOff>
          <xdr:row>250</xdr:row>
          <xdr:rowOff>85725</xdr:rowOff>
        </xdr:from>
        <xdr:to>
          <xdr:col>67</xdr:col>
          <xdr:colOff>733425</xdr:colOff>
          <xdr:row>251</xdr:row>
          <xdr:rowOff>161925</xdr:rowOff>
        </xdr:to>
        <xdr:sp macro="" textlink="">
          <xdr:nvSpPr>
            <xdr:cNvPr id="8472" name="Object 280" hidden="1">
              <a:extLst>
                <a:ext uri="{63B3BB69-23CF-44E3-9099-C40C66FF867C}">
                  <a14:compatExt spid="_x0000_s84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257175</xdr:colOff>
          <xdr:row>250</xdr:row>
          <xdr:rowOff>85725</xdr:rowOff>
        </xdr:from>
        <xdr:to>
          <xdr:col>68</xdr:col>
          <xdr:colOff>676275</xdr:colOff>
          <xdr:row>251</xdr:row>
          <xdr:rowOff>161925</xdr:rowOff>
        </xdr:to>
        <xdr:sp macro="" textlink="">
          <xdr:nvSpPr>
            <xdr:cNvPr id="8473" name="Object 281" hidden="1">
              <a:extLst>
                <a:ext uri="{63B3BB69-23CF-44E3-9099-C40C66FF867C}">
                  <a14:compatExt spid="_x0000_s84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69</xdr:col>
          <xdr:colOff>314325</xdr:colOff>
          <xdr:row>250</xdr:row>
          <xdr:rowOff>85725</xdr:rowOff>
        </xdr:from>
        <xdr:to>
          <xdr:col>69</xdr:col>
          <xdr:colOff>733425</xdr:colOff>
          <xdr:row>251</xdr:row>
          <xdr:rowOff>161925</xdr:rowOff>
        </xdr:to>
        <xdr:sp macro="" textlink="">
          <xdr:nvSpPr>
            <xdr:cNvPr id="8474" name="Object 282" hidden="1">
              <a:extLst>
                <a:ext uri="{63B3BB69-23CF-44E3-9099-C40C66FF867C}">
                  <a14:compatExt spid="_x0000_s84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295275</xdr:colOff>
          <xdr:row>250</xdr:row>
          <xdr:rowOff>104775</xdr:rowOff>
        </xdr:from>
        <xdr:to>
          <xdr:col>68</xdr:col>
          <xdr:colOff>733425</xdr:colOff>
          <xdr:row>251</xdr:row>
          <xdr:rowOff>228600</xdr:rowOff>
        </xdr:to>
        <xdr:sp macro="" textlink="">
          <xdr:nvSpPr>
            <xdr:cNvPr id="8475" name="Object 283" hidden="1">
              <a:extLst>
                <a:ext uri="{63B3BB69-23CF-44E3-9099-C40C66FF867C}">
                  <a14:compatExt spid="_x0000_s84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69</xdr:col>
          <xdr:colOff>304800</xdr:colOff>
          <xdr:row>250</xdr:row>
          <xdr:rowOff>85725</xdr:rowOff>
        </xdr:from>
        <xdr:to>
          <xdr:col>69</xdr:col>
          <xdr:colOff>733425</xdr:colOff>
          <xdr:row>251</xdr:row>
          <xdr:rowOff>161925</xdr:rowOff>
        </xdr:to>
        <xdr:sp macro="" textlink="">
          <xdr:nvSpPr>
            <xdr:cNvPr id="8476" name="Object 284" hidden="1">
              <a:extLst>
                <a:ext uri="{63B3BB69-23CF-44E3-9099-C40C66FF867C}">
                  <a14:compatExt spid="_x0000_s84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70</xdr:col>
          <xdr:colOff>257175</xdr:colOff>
          <xdr:row>250</xdr:row>
          <xdr:rowOff>85725</xdr:rowOff>
        </xdr:from>
        <xdr:to>
          <xdr:col>70</xdr:col>
          <xdr:colOff>676275</xdr:colOff>
          <xdr:row>251</xdr:row>
          <xdr:rowOff>161925</xdr:rowOff>
        </xdr:to>
        <xdr:sp macro="" textlink="">
          <xdr:nvSpPr>
            <xdr:cNvPr id="8477" name="Object 285" hidden="1">
              <a:extLst>
                <a:ext uri="{63B3BB69-23CF-44E3-9099-C40C66FF867C}">
                  <a14:compatExt spid="_x0000_s84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71</xdr:col>
          <xdr:colOff>314325</xdr:colOff>
          <xdr:row>250</xdr:row>
          <xdr:rowOff>85725</xdr:rowOff>
        </xdr:from>
        <xdr:to>
          <xdr:col>71</xdr:col>
          <xdr:colOff>733425</xdr:colOff>
          <xdr:row>251</xdr:row>
          <xdr:rowOff>161925</xdr:rowOff>
        </xdr:to>
        <xdr:sp macro="" textlink="">
          <xdr:nvSpPr>
            <xdr:cNvPr id="8478" name="Object 286" hidden="1">
              <a:extLst>
                <a:ext uri="{63B3BB69-23CF-44E3-9099-C40C66FF867C}">
                  <a14:compatExt spid="_x0000_s84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70</xdr:col>
          <xdr:colOff>295275</xdr:colOff>
          <xdr:row>250</xdr:row>
          <xdr:rowOff>104775</xdr:rowOff>
        </xdr:from>
        <xdr:to>
          <xdr:col>70</xdr:col>
          <xdr:colOff>733425</xdr:colOff>
          <xdr:row>251</xdr:row>
          <xdr:rowOff>228600</xdr:rowOff>
        </xdr:to>
        <xdr:sp macro="" textlink="">
          <xdr:nvSpPr>
            <xdr:cNvPr id="8479" name="Object 287" hidden="1">
              <a:extLst>
                <a:ext uri="{63B3BB69-23CF-44E3-9099-C40C66FF867C}">
                  <a14:compatExt spid="_x0000_s84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71</xdr:col>
          <xdr:colOff>304800</xdr:colOff>
          <xdr:row>250</xdr:row>
          <xdr:rowOff>85725</xdr:rowOff>
        </xdr:from>
        <xdr:to>
          <xdr:col>71</xdr:col>
          <xdr:colOff>733425</xdr:colOff>
          <xdr:row>251</xdr:row>
          <xdr:rowOff>161925</xdr:rowOff>
        </xdr:to>
        <xdr:sp macro="" textlink="">
          <xdr:nvSpPr>
            <xdr:cNvPr id="8480" name="Object 288" hidden="1">
              <a:extLst>
                <a:ext uri="{63B3BB69-23CF-44E3-9099-C40C66FF867C}">
                  <a14:compatExt spid="_x0000_s84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</xdr:col>
          <xdr:colOff>257175</xdr:colOff>
          <xdr:row>250</xdr:row>
          <xdr:rowOff>85725</xdr:rowOff>
        </xdr:from>
        <xdr:to>
          <xdr:col>72</xdr:col>
          <xdr:colOff>676275</xdr:colOff>
          <xdr:row>251</xdr:row>
          <xdr:rowOff>161925</xdr:rowOff>
        </xdr:to>
        <xdr:sp macro="" textlink="">
          <xdr:nvSpPr>
            <xdr:cNvPr id="8481" name="Object 289" hidden="1">
              <a:extLst>
                <a:ext uri="{63B3BB69-23CF-44E3-9099-C40C66FF867C}">
                  <a14:compatExt spid="_x0000_s84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73</xdr:col>
          <xdr:colOff>314325</xdr:colOff>
          <xdr:row>250</xdr:row>
          <xdr:rowOff>85725</xdr:rowOff>
        </xdr:from>
        <xdr:to>
          <xdr:col>73</xdr:col>
          <xdr:colOff>733425</xdr:colOff>
          <xdr:row>251</xdr:row>
          <xdr:rowOff>161925</xdr:rowOff>
        </xdr:to>
        <xdr:sp macro="" textlink="">
          <xdr:nvSpPr>
            <xdr:cNvPr id="8482" name="Object 290" hidden="1">
              <a:extLst>
                <a:ext uri="{63B3BB69-23CF-44E3-9099-C40C66FF867C}">
                  <a14:compatExt spid="_x0000_s84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</xdr:col>
          <xdr:colOff>295275</xdr:colOff>
          <xdr:row>250</xdr:row>
          <xdr:rowOff>104775</xdr:rowOff>
        </xdr:from>
        <xdr:to>
          <xdr:col>72</xdr:col>
          <xdr:colOff>733425</xdr:colOff>
          <xdr:row>251</xdr:row>
          <xdr:rowOff>228600</xdr:rowOff>
        </xdr:to>
        <xdr:sp macro="" textlink="">
          <xdr:nvSpPr>
            <xdr:cNvPr id="8483" name="Object 291" hidden="1">
              <a:extLst>
                <a:ext uri="{63B3BB69-23CF-44E3-9099-C40C66FF867C}">
                  <a14:compatExt spid="_x0000_s84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73</xdr:col>
          <xdr:colOff>304800</xdr:colOff>
          <xdr:row>250</xdr:row>
          <xdr:rowOff>85725</xdr:rowOff>
        </xdr:from>
        <xdr:to>
          <xdr:col>73</xdr:col>
          <xdr:colOff>733425</xdr:colOff>
          <xdr:row>251</xdr:row>
          <xdr:rowOff>161925</xdr:rowOff>
        </xdr:to>
        <xdr:sp macro="" textlink="">
          <xdr:nvSpPr>
            <xdr:cNvPr id="8484" name="Object 292" hidden="1">
              <a:extLst>
                <a:ext uri="{63B3BB69-23CF-44E3-9099-C40C66FF867C}">
                  <a14:compatExt spid="_x0000_s84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257175</xdr:colOff>
          <xdr:row>250</xdr:row>
          <xdr:rowOff>85725</xdr:rowOff>
        </xdr:from>
        <xdr:to>
          <xdr:col>74</xdr:col>
          <xdr:colOff>676275</xdr:colOff>
          <xdr:row>251</xdr:row>
          <xdr:rowOff>161925</xdr:rowOff>
        </xdr:to>
        <xdr:sp macro="" textlink="">
          <xdr:nvSpPr>
            <xdr:cNvPr id="8485" name="Object 293" hidden="1">
              <a:extLst>
                <a:ext uri="{63B3BB69-23CF-44E3-9099-C40C66FF867C}">
                  <a14:compatExt spid="_x0000_s84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314325</xdr:colOff>
          <xdr:row>250</xdr:row>
          <xdr:rowOff>85725</xdr:rowOff>
        </xdr:from>
        <xdr:to>
          <xdr:col>75</xdr:col>
          <xdr:colOff>733425</xdr:colOff>
          <xdr:row>251</xdr:row>
          <xdr:rowOff>161925</xdr:rowOff>
        </xdr:to>
        <xdr:sp macro="" textlink="">
          <xdr:nvSpPr>
            <xdr:cNvPr id="8486" name="Object 294" hidden="1">
              <a:extLst>
                <a:ext uri="{63B3BB69-23CF-44E3-9099-C40C66FF867C}">
                  <a14:compatExt spid="_x0000_s84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295275</xdr:colOff>
          <xdr:row>250</xdr:row>
          <xdr:rowOff>104775</xdr:rowOff>
        </xdr:from>
        <xdr:to>
          <xdr:col>74</xdr:col>
          <xdr:colOff>733425</xdr:colOff>
          <xdr:row>251</xdr:row>
          <xdr:rowOff>228600</xdr:rowOff>
        </xdr:to>
        <xdr:sp macro="" textlink="">
          <xdr:nvSpPr>
            <xdr:cNvPr id="8487" name="Object 295" hidden="1">
              <a:extLst>
                <a:ext uri="{63B3BB69-23CF-44E3-9099-C40C66FF867C}">
                  <a14:compatExt spid="_x0000_s84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304800</xdr:colOff>
          <xdr:row>250</xdr:row>
          <xdr:rowOff>85725</xdr:rowOff>
        </xdr:from>
        <xdr:to>
          <xdr:col>75</xdr:col>
          <xdr:colOff>733425</xdr:colOff>
          <xdr:row>251</xdr:row>
          <xdr:rowOff>161925</xdr:rowOff>
        </xdr:to>
        <xdr:sp macro="" textlink="">
          <xdr:nvSpPr>
            <xdr:cNvPr id="8488" name="Object 296" hidden="1">
              <a:extLst>
                <a:ext uri="{63B3BB69-23CF-44E3-9099-C40C66FF867C}">
                  <a14:compatExt spid="_x0000_s84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257175</xdr:colOff>
          <xdr:row>250</xdr:row>
          <xdr:rowOff>85725</xdr:rowOff>
        </xdr:from>
        <xdr:to>
          <xdr:col>76</xdr:col>
          <xdr:colOff>676275</xdr:colOff>
          <xdr:row>251</xdr:row>
          <xdr:rowOff>161925</xdr:rowOff>
        </xdr:to>
        <xdr:sp macro="" textlink="">
          <xdr:nvSpPr>
            <xdr:cNvPr id="8489" name="Object 297" hidden="1">
              <a:extLst>
                <a:ext uri="{63B3BB69-23CF-44E3-9099-C40C66FF867C}">
                  <a14:compatExt spid="_x0000_s8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314325</xdr:colOff>
          <xdr:row>250</xdr:row>
          <xdr:rowOff>85725</xdr:rowOff>
        </xdr:from>
        <xdr:to>
          <xdr:col>77</xdr:col>
          <xdr:colOff>733425</xdr:colOff>
          <xdr:row>251</xdr:row>
          <xdr:rowOff>161925</xdr:rowOff>
        </xdr:to>
        <xdr:sp macro="" textlink="">
          <xdr:nvSpPr>
            <xdr:cNvPr id="8490" name="Object 298" hidden="1">
              <a:extLst>
                <a:ext uri="{63B3BB69-23CF-44E3-9099-C40C66FF867C}">
                  <a14:compatExt spid="_x0000_s84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295275</xdr:colOff>
          <xdr:row>250</xdr:row>
          <xdr:rowOff>104775</xdr:rowOff>
        </xdr:from>
        <xdr:to>
          <xdr:col>76</xdr:col>
          <xdr:colOff>733425</xdr:colOff>
          <xdr:row>251</xdr:row>
          <xdr:rowOff>228600</xdr:rowOff>
        </xdr:to>
        <xdr:sp macro="" textlink="">
          <xdr:nvSpPr>
            <xdr:cNvPr id="8491" name="Object 299" hidden="1">
              <a:extLst>
                <a:ext uri="{63B3BB69-23CF-44E3-9099-C40C66FF867C}">
                  <a14:compatExt spid="_x0000_s84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304800</xdr:colOff>
          <xdr:row>250</xdr:row>
          <xdr:rowOff>85725</xdr:rowOff>
        </xdr:from>
        <xdr:to>
          <xdr:col>77</xdr:col>
          <xdr:colOff>733425</xdr:colOff>
          <xdr:row>251</xdr:row>
          <xdr:rowOff>161925</xdr:rowOff>
        </xdr:to>
        <xdr:sp macro="" textlink="">
          <xdr:nvSpPr>
            <xdr:cNvPr id="8492" name="Object 300" hidden="1">
              <a:extLst>
                <a:ext uri="{63B3BB69-23CF-44E3-9099-C40C66FF867C}">
                  <a14:compatExt spid="_x0000_s84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257175</xdr:colOff>
          <xdr:row>250</xdr:row>
          <xdr:rowOff>85725</xdr:rowOff>
        </xdr:from>
        <xdr:to>
          <xdr:col>78</xdr:col>
          <xdr:colOff>676275</xdr:colOff>
          <xdr:row>251</xdr:row>
          <xdr:rowOff>161925</xdr:rowOff>
        </xdr:to>
        <xdr:sp macro="" textlink="">
          <xdr:nvSpPr>
            <xdr:cNvPr id="8493" name="Object 301" hidden="1">
              <a:extLst>
                <a:ext uri="{63B3BB69-23CF-44E3-9099-C40C66FF867C}">
                  <a14:compatExt spid="_x0000_s84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79</xdr:col>
          <xdr:colOff>314325</xdr:colOff>
          <xdr:row>250</xdr:row>
          <xdr:rowOff>85725</xdr:rowOff>
        </xdr:from>
        <xdr:to>
          <xdr:col>79</xdr:col>
          <xdr:colOff>733425</xdr:colOff>
          <xdr:row>251</xdr:row>
          <xdr:rowOff>161925</xdr:rowOff>
        </xdr:to>
        <xdr:sp macro="" textlink="">
          <xdr:nvSpPr>
            <xdr:cNvPr id="8494" name="Object 302" hidden="1">
              <a:extLst>
                <a:ext uri="{63B3BB69-23CF-44E3-9099-C40C66FF867C}">
                  <a14:compatExt spid="_x0000_s84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295275</xdr:colOff>
          <xdr:row>250</xdr:row>
          <xdr:rowOff>104775</xdr:rowOff>
        </xdr:from>
        <xdr:to>
          <xdr:col>78</xdr:col>
          <xdr:colOff>733425</xdr:colOff>
          <xdr:row>251</xdr:row>
          <xdr:rowOff>228600</xdr:rowOff>
        </xdr:to>
        <xdr:sp macro="" textlink="">
          <xdr:nvSpPr>
            <xdr:cNvPr id="8495" name="Object 303" hidden="1">
              <a:extLst>
                <a:ext uri="{63B3BB69-23CF-44E3-9099-C40C66FF867C}">
                  <a14:compatExt spid="_x0000_s84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79</xdr:col>
          <xdr:colOff>304800</xdr:colOff>
          <xdr:row>250</xdr:row>
          <xdr:rowOff>85725</xdr:rowOff>
        </xdr:from>
        <xdr:to>
          <xdr:col>79</xdr:col>
          <xdr:colOff>733425</xdr:colOff>
          <xdr:row>251</xdr:row>
          <xdr:rowOff>161925</xdr:rowOff>
        </xdr:to>
        <xdr:sp macro="" textlink="">
          <xdr:nvSpPr>
            <xdr:cNvPr id="8496" name="Object 304" hidden="1">
              <a:extLst>
                <a:ext uri="{63B3BB69-23CF-44E3-9099-C40C66FF867C}">
                  <a14:compatExt spid="_x0000_s84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80</xdr:col>
          <xdr:colOff>257175</xdr:colOff>
          <xdr:row>250</xdr:row>
          <xdr:rowOff>85725</xdr:rowOff>
        </xdr:from>
        <xdr:to>
          <xdr:col>80</xdr:col>
          <xdr:colOff>676275</xdr:colOff>
          <xdr:row>251</xdr:row>
          <xdr:rowOff>161925</xdr:rowOff>
        </xdr:to>
        <xdr:sp macro="" textlink="">
          <xdr:nvSpPr>
            <xdr:cNvPr id="8497" name="Object 305" hidden="1">
              <a:extLst>
                <a:ext uri="{63B3BB69-23CF-44E3-9099-C40C66FF867C}">
                  <a14:compatExt spid="_x0000_s84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81</xdr:col>
          <xdr:colOff>314325</xdr:colOff>
          <xdr:row>250</xdr:row>
          <xdr:rowOff>85725</xdr:rowOff>
        </xdr:from>
        <xdr:to>
          <xdr:col>81</xdr:col>
          <xdr:colOff>733425</xdr:colOff>
          <xdr:row>251</xdr:row>
          <xdr:rowOff>161925</xdr:rowOff>
        </xdr:to>
        <xdr:sp macro="" textlink="">
          <xdr:nvSpPr>
            <xdr:cNvPr id="8498" name="Object 306" hidden="1">
              <a:extLst>
                <a:ext uri="{63B3BB69-23CF-44E3-9099-C40C66FF867C}">
                  <a14:compatExt spid="_x0000_s84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80</xdr:col>
          <xdr:colOff>295275</xdr:colOff>
          <xdr:row>250</xdr:row>
          <xdr:rowOff>104775</xdr:rowOff>
        </xdr:from>
        <xdr:to>
          <xdr:col>80</xdr:col>
          <xdr:colOff>733425</xdr:colOff>
          <xdr:row>251</xdr:row>
          <xdr:rowOff>228600</xdr:rowOff>
        </xdr:to>
        <xdr:sp macro="" textlink="">
          <xdr:nvSpPr>
            <xdr:cNvPr id="8499" name="Object 307" hidden="1">
              <a:extLst>
                <a:ext uri="{63B3BB69-23CF-44E3-9099-C40C66FF867C}">
                  <a14:compatExt spid="_x0000_s84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81</xdr:col>
          <xdr:colOff>304800</xdr:colOff>
          <xdr:row>250</xdr:row>
          <xdr:rowOff>85725</xdr:rowOff>
        </xdr:from>
        <xdr:to>
          <xdr:col>81</xdr:col>
          <xdr:colOff>733425</xdr:colOff>
          <xdr:row>251</xdr:row>
          <xdr:rowOff>161925</xdr:rowOff>
        </xdr:to>
        <xdr:sp macro="" textlink="">
          <xdr:nvSpPr>
            <xdr:cNvPr id="8500" name="Object 308" hidden="1">
              <a:extLst>
                <a:ext uri="{63B3BB69-23CF-44E3-9099-C40C66FF867C}">
                  <a14:compatExt spid="_x0000_s85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257175</xdr:colOff>
          <xdr:row>250</xdr:row>
          <xdr:rowOff>85725</xdr:rowOff>
        </xdr:from>
        <xdr:to>
          <xdr:col>82</xdr:col>
          <xdr:colOff>676275</xdr:colOff>
          <xdr:row>251</xdr:row>
          <xdr:rowOff>161925</xdr:rowOff>
        </xdr:to>
        <xdr:sp macro="" textlink="">
          <xdr:nvSpPr>
            <xdr:cNvPr id="8501" name="Object 309" hidden="1">
              <a:extLst>
                <a:ext uri="{63B3BB69-23CF-44E3-9099-C40C66FF867C}">
                  <a14:compatExt spid="_x0000_s85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83</xdr:col>
          <xdr:colOff>314325</xdr:colOff>
          <xdr:row>250</xdr:row>
          <xdr:rowOff>85725</xdr:rowOff>
        </xdr:from>
        <xdr:to>
          <xdr:col>83</xdr:col>
          <xdr:colOff>733425</xdr:colOff>
          <xdr:row>251</xdr:row>
          <xdr:rowOff>161925</xdr:rowOff>
        </xdr:to>
        <xdr:sp macro="" textlink="">
          <xdr:nvSpPr>
            <xdr:cNvPr id="8502" name="Object 310" hidden="1">
              <a:extLst>
                <a:ext uri="{63B3BB69-23CF-44E3-9099-C40C66FF867C}">
                  <a14:compatExt spid="_x0000_s85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295275</xdr:colOff>
          <xdr:row>250</xdr:row>
          <xdr:rowOff>104775</xdr:rowOff>
        </xdr:from>
        <xdr:to>
          <xdr:col>82</xdr:col>
          <xdr:colOff>733425</xdr:colOff>
          <xdr:row>251</xdr:row>
          <xdr:rowOff>228600</xdr:rowOff>
        </xdr:to>
        <xdr:sp macro="" textlink="">
          <xdr:nvSpPr>
            <xdr:cNvPr id="8503" name="Object 311" hidden="1">
              <a:extLst>
                <a:ext uri="{63B3BB69-23CF-44E3-9099-C40C66FF867C}">
                  <a14:compatExt spid="_x0000_s85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83</xdr:col>
          <xdr:colOff>304800</xdr:colOff>
          <xdr:row>250</xdr:row>
          <xdr:rowOff>85725</xdr:rowOff>
        </xdr:from>
        <xdr:to>
          <xdr:col>83</xdr:col>
          <xdr:colOff>733425</xdr:colOff>
          <xdr:row>251</xdr:row>
          <xdr:rowOff>161925</xdr:rowOff>
        </xdr:to>
        <xdr:sp macro="" textlink="">
          <xdr:nvSpPr>
            <xdr:cNvPr id="8504" name="Object 312" hidden="1">
              <a:extLst>
                <a:ext uri="{63B3BB69-23CF-44E3-9099-C40C66FF867C}">
                  <a14:compatExt spid="_x0000_s85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257175</xdr:colOff>
          <xdr:row>250</xdr:row>
          <xdr:rowOff>85725</xdr:rowOff>
        </xdr:from>
        <xdr:to>
          <xdr:col>84</xdr:col>
          <xdr:colOff>676275</xdr:colOff>
          <xdr:row>251</xdr:row>
          <xdr:rowOff>161925</xdr:rowOff>
        </xdr:to>
        <xdr:sp macro="" textlink="">
          <xdr:nvSpPr>
            <xdr:cNvPr id="8505" name="Object 313" hidden="1">
              <a:extLst>
                <a:ext uri="{63B3BB69-23CF-44E3-9099-C40C66FF867C}">
                  <a14:compatExt spid="_x0000_s85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85</xdr:col>
          <xdr:colOff>314325</xdr:colOff>
          <xdr:row>250</xdr:row>
          <xdr:rowOff>85725</xdr:rowOff>
        </xdr:from>
        <xdr:to>
          <xdr:col>85</xdr:col>
          <xdr:colOff>733425</xdr:colOff>
          <xdr:row>251</xdr:row>
          <xdr:rowOff>161925</xdr:rowOff>
        </xdr:to>
        <xdr:sp macro="" textlink="">
          <xdr:nvSpPr>
            <xdr:cNvPr id="8506" name="Object 314" hidden="1">
              <a:extLst>
                <a:ext uri="{63B3BB69-23CF-44E3-9099-C40C66FF867C}">
                  <a14:compatExt spid="_x0000_s85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295275</xdr:colOff>
          <xdr:row>250</xdr:row>
          <xdr:rowOff>104775</xdr:rowOff>
        </xdr:from>
        <xdr:to>
          <xdr:col>84</xdr:col>
          <xdr:colOff>733425</xdr:colOff>
          <xdr:row>251</xdr:row>
          <xdr:rowOff>228600</xdr:rowOff>
        </xdr:to>
        <xdr:sp macro="" textlink="">
          <xdr:nvSpPr>
            <xdr:cNvPr id="8507" name="Object 315" hidden="1">
              <a:extLst>
                <a:ext uri="{63B3BB69-23CF-44E3-9099-C40C66FF867C}">
                  <a14:compatExt spid="_x0000_s85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85</xdr:col>
          <xdr:colOff>304800</xdr:colOff>
          <xdr:row>250</xdr:row>
          <xdr:rowOff>85725</xdr:rowOff>
        </xdr:from>
        <xdr:to>
          <xdr:col>85</xdr:col>
          <xdr:colOff>733425</xdr:colOff>
          <xdr:row>251</xdr:row>
          <xdr:rowOff>161925</xdr:rowOff>
        </xdr:to>
        <xdr:sp macro="" textlink="">
          <xdr:nvSpPr>
            <xdr:cNvPr id="8508" name="Object 316" hidden="1">
              <a:extLst>
                <a:ext uri="{63B3BB69-23CF-44E3-9099-C40C66FF867C}">
                  <a14:compatExt spid="_x0000_s85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86</xdr:col>
          <xdr:colOff>257175</xdr:colOff>
          <xdr:row>250</xdr:row>
          <xdr:rowOff>85725</xdr:rowOff>
        </xdr:from>
        <xdr:to>
          <xdr:col>86</xdr:col>
          <xdr:colOff>676275</xdr:colOff>
          <xdr:row>251</xdr:row>
          <xdr:rowOff>161925</xdr:rowOff>
        </xdr:to>
        <xdr:sp macro="" textlink="">
          <xdr:nvSpPr>
            <xdr:cNvPr id="8509" name="Object 317" hidden="1">
              <a:extLst>
                <a:ext uri="{63B3BB69-23CF-44E3-9099-C40C66FF867C}">
                  <a14:compatExt spid="_x0000_s85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87</xdr:col>
          <xdr:colOff>314325</xdr:colOff>
          <xdr:row>250</xdr:row>
          <xdr:rowOff>85725</xdr:rowOff>
        </xdr:from>
        <xdr:to>
          <xdr:col>87</xdr:col>
          <xdr:colOff>733425</xdr:colOff>
          <xdr:row>251</xdr:row>
          <xdr:rowOff>161925</xdr:rowOff>
        </xdr:to>
        <xdr:sp macro="" textlink="">
          <xdr:nvSpPr>
            <xdr:cNvPr id="8510" name="Object 318" hidden="1">
              <a:extLst>
                <a:ext uri="{63B3BB69-23CF-44E3-9099-C40C66FF867C}">
                  <a14:compatExt spid="_x0000_s85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86</xdr:col>
          <xdr:colOff>295275</xdr:colOff>
          <xdr:row>250</xdr:row>
          <xdr:rowOff>104775</xdr:rowOff>
        </xdr:from>
        <xdr:to>
          <xdr:col>86</xdr:col>
          <xdr:colOff>733425</xdr:colOff>
          <xdr:row>251</xdr:row>
          <xdr:rowOff>228600</xdr:rowOff>
        </xdr:to>
        <xdr:sp macro="" textlink="">
          <xdr:nvSpPr>
            <xdr:cNvPr id="8511" name="Object 319" hidden="1">
              <a:extLst>
                <a:ext uri="{63B3BB69-23CF-44E3-9099-C40C66FF867C}">
                  <a14:compatExt spid="_x0000_s85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87</xdr:col>
          <xdr:colOff>304800</xdr:colOff>
          <xdr:row>250</xdr:row>
          <xdr:rowOff>85725</xdr:rowOff>
        </xdr:from>
        <xdr:to>
          <xdr:col>87</xdr:col>
          <xdr:colOff>733425</xdr:colOff>
          <xdr:row>251</xdr:row>
          <xdr:rowOff>161925</xdr:rowOff>
        </xdr:to>
        <xdr:sp macro="" textlink="">
          <xdr:nvSpPr>
            <xdr:cNvPr id="8512" name="Object 320" hidden="1">
              <a:extLst>
                <a:ext uri="{63B3BB69-23CF-44E3-9099-C40C66FF867C}">
                  <a14:compatExt spid="_x0000_s85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88</xdr:col>
          <xdr:colOff>257175</xdr:colOff>
          <xdr:row>250</xdr:row>
          <xdr:rowOff>85725</xdr:rowOff>
        </xdr:from>
        <xdr:to>
          <xdr:col>88</xdr:col>
          <xdr:colOff>676275</xdr:colOff>
          <xdr:row>251</xdr:row>
          <xdr:rowOff>161925</xdr:rowOff>
        </xdr:to>
        <xdr:sp macro="" textlink="">
          <xdr:nvSpPr>
            <xdr:cNvPr id="8513" name="Object 321" hidden="1">
              <a:extLst>
                <a:ext uri="{63B3BB69-23CF-44E3-9099-C40C66FF867C}">
                  <a14:compatExt spid="_x0000_s8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</xdr:col>
          <xdr:colOff>314325</xdr:colOff>
          <xdr:row>250</xdr:row>
          <xdr:rowOff>85725</xdr:rowOff>
        </xdr:from>
        <xdr:to>
          <xdr:col>89</xdr:col>
          <xdr:colOff>733425</xdr:colOff>
          <xdr:row>251</xdr:row>
          <xdr:rowOff>161925</xdr:rowOff>
        </xdr:to>
        <xdr:sp macro="" textlink="">
          <xdr:nvSpPr>
            <xdr:cNvPr id="8514" name="Object 322" hidden="1">
              <a:extLst>
                <a:ext uri="{63B3BB69-23CF-44E3-9099-C40C66FF867C}">
                  <a14:compatExt spid="_x0000_s85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88</xdr:col>
          <xdr:colOff>295275</xdr:colOff>
          <xdr:row>250</xdr:row>
          <xdr:rowOff>104775</xdr:rowOff>
        </xdr:from>
        <xdr:to>
          <xdr:col>88</xdr:col>
          <xdr:colOff>733425</xdr:colOff>
          <xdr:row>251</xdr:row>
          <xdr:rowOff>228600</xdr:rowOff>
        </xdr:to>
        <xdr:sp macro="" textlink="">
          <xdr:nvSpPr>
            <xdr:cNvPr id="8515" name="Object 323" hidden="1">
              <a:extLst>
                <a:ext uri="{63B3BB69-23CF-44E3-9099-C40C66FF867C}">
                  <a14:compatExt spid="_x0000_s85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</xdr:col>
          <xdr:colOff>304800</xdr:colOff>
          <xdr:row>250</xdr:row>
          <xdr:rowOff>85725</xdr:rowOff>
        </xdr:from>
        <xdr:to>
          <xdr:col>89</xdr:col>
          <xdr:colOff>733425</xdr:colOff>
          <xdr:row>251</xdr:row>
          <xdr:rowOff>161925</xdr:rowOff>
        </xdr:to>
        <xdr:sp macro="" textlink="">
          <xdr:nvSpPr>
            <xdr:cNvPr id="8516" name="Object 324" hidden="1">
              <a:extLst>
                <a:ext uri="{63B3BB69-23CF-44E3-9099-C40C66FF867C}">
                  <a14:compatExt spid="_x0000_s85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428625</xdr:colOff>
          <xdr:row>171</xdr:row>
          <xdr:rowOff>152400</xdr:rowOff>
        </xdr:from>
        <xdr:to>
          <xdr:col>28</xdr:col>
          <xdr:colOff>609600</xdr:colOff>
          <xdr:row>172</xdr:row>
          <xdr:rowOff>114300</xdr:rowOff>
        </xdr:to>
        <xdr:sp macro="" textlink="">
          <xdr:nvSpPr>
            <xdr:cNvPr id="8517" name="Object 325" hidden="1">
              <a:extLst>
                <a:ext uri="{63B3BB69-23CF-44E3-9099-C40C66FF867C}">
                  <a14:compatExt spid="_x0000_s85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257175</xdr:colOff>
          <xdr:row>171</xdr:row>
          <xdr:rowOff>85725</xdr:rowOff>
        </xdr:from>
        <xdr:to>
          <xdr:col>29</xdr:col>
          <xdr:colOff>647700</xdr:colOff>
          <xdr:row>172</xdr:row>
          <xdr:rowOff>180975</xdr:rowOff>
        </xdr:to>
        <xdr:sp macro="" textlink="">
          <xdr:nvSpPr>
            <xdr:cNvPr id="8518" name="Object 326" hidden="1">
              <a:extLst>
                <a:ext uri="{63B3BB69-23CF-44E3-9099-C40C66FF867C}">
                  <a14:compatExt spid="_x0000_s85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295275</xdr:colOff>
          <xdr:row>174</xdr:row>
          <xdr:rowOff>104775</xdr:rowOff>
        </xdr:from>
        <xdr:to>
          <xdr:col>28</xdr:col>
          <xdr:colOff>714375</xdr:colOff>
          <xdr:row>175</xdr:row>
          <xdr:rowOff>200025</xdr:rowOff>
        </xdr:to>
        <xdr:sp macro="" textlink="">
          <xdr:nvSpPr>
            <xdr:cNvPr id="8519" name="Object 327" hidden="1">
              <a:extLst>
                <a:ext uri="{63B3BB69-23CF-44E3-9099-C40C66FF867C}">
                  <a14:compatExt spid="_x0000_s85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295275</xdr:colOff>
          <xdr:row>174</xdr:row>
          <xdr:rowOff>104775</xdr:rowOff>
        </xdr:from>
        <xdr:to>
          <xdr:col>29</xdr:col>
          <xdr:colOff>714375</xdr:colOff>
          <xdr:row>175</xdr:row>
          <xdr:rowOff>200025</xdr:rowOff>
        </xdr:to>
        <xdr:sp macro="" textlink="">
          <xdr:nvSpPr>
            <xdr:cNvPr id="8520" name="Object 328" hidden="1">
              <a:extLst>
                <a:ext uri="{63B3BB69-23CF-44E3-9099-C40C66FF867C}">
                  <a14:compatExt spid="_x0000_s85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314325</xdr:colOff>
          <xdr:row>171</xdr:row>
          <xdr:rowOff>85725</xdr:rowOff>
        </xdr:from>
        <xdr:to>
          <xdr:col>30</xdr:col>
          <xdr:colOff>733425</xdr:colOff>
          <xdr:row>172</xdr:row>
          <xdr:rowOff>180975</xdr:rowOff>
        </xdr:to>
        <xdr:sp macro="" textlink="">
          <xdr:nvSpPr>
            <xdr:cNvPr id="8521" name="Object 329" hidden="1">
              <a:extLst>
                <a:ext uri="{63B3BB69-23CF-44E3-9099-C40C66FF867C}">
                  <a14:compatExt spid="_x0000_s85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304800</xdr:colOff>
          <xdr:row>174</xdr:row>
          <xdr:rowOff>85725</xdr:rowOff>
        </xdr:from>
        <xdr:to>
          <xdr:col>30</xdr:col>
          <xdr:colOff>714375</xdr:colOff>
          <xdr:row>175</xdr:row>
          <xdr:rowOff>180975</xdr:rowOff>
        </xdr:to>
        <xdr:sp macro="" textlink="">
          <xdr:nvSpPr>
            <xdr:cNvPr id="8522" name="Object 330" hidden="1">
              <a:extLst>
                <a:ext uri="{63B3BB69-23CF-44E3-9099-C40C66FF867C}">
                  <a14:compatExt spid="_x0000_s85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304800</xdr:colOff>
          <xdr:row>174</xdr:row>
          <xdr:rowOff>76200</xdr:rowOff>
        </xdr:from>
        <xdr:to>
          <xdr:col>33</xdr:col>
          <xdr:colOff>714375</xdr:colOff>
          <xdr:row>175</xdr:row>
          <xdr:rowOff>161925</xdr:rowOff>
        </xdr:to>
        <xdr:sp macro="" textlink="">
          <xdr:nvSpPr>
            <xdr:cNvPr id="8523" name="Object 331" hidden="1">
              <a:extLst>
                <a:ext uri="{63B3BB69-23CF-44E3-9099-C40C66FF867C}">
                  <a14:compatExt spid="_x0000_s85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304800</xdr:colOff>
          <xdr:row>238</xdr:row>
          <xdr:rowOff>76200</xdr:rowOff>
        </xdr:from>
        <xdr:to>
          <xdr:col>29</xdr:col>
          <xdr:colOff>714375</xdr:colOff>
          <xdr:row>239</xdr:row>
          <xdr:rowOff>161925</xdr:rowOff>
        </xdr:to>
        <xdr:sp macro="" textlink="">
          <xdr:nvSpPr>
            <xdr:cNvPr id="8524" name="Object 332" hidden="1">
              <a:extLst>
                <a:ext uri="{63B3BB69-23CF-44E3-9099-C40C66FF867C}">
                  <a14:compatExt spid="_x0000_s85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428625</xdr:colOff>
          <xdr:row>183</xdr:row>
          <xdr:rowOff>152400</xdr:rowOff>
        </xdr:from>
        <xdr:to>
          <xdr:col>2</xdr:col>
          <xdr:colOff>609600</xdr:colOff>
          <xdr:row>184</xdr:row>
          <xdr:rowOff>104775</xdr:rowOff>
        </xdr:to>
        <xdr:sp macro="" textlink="">
          <xdr:nvSpPr>
            <xdr:cNvPr id="8525" name="Object 333" hidden="1">
              <a:extLst>
                <a:ext uri="{63B3BB69-23CF-44E3-9099-C40C66FF867C}">
                  <a14:compatExt spid="_x0000_s85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257175</xdr:colOff>
          <xdr:row>183</xdr:row>
          <xdr:rowOff>85725</xdr:rowOff>
        </xdr:from>
        <xdr:to>
          <xdr:col>3</xdr:col>
          <xdr:colOff>676275</xdr:colOff>
          <xdr:row>184</xdr:row>
          <xdr:rowOff>161925</xdr:rowOff>
        </xdr:to>
        <xdr:sp macro="" textlink="">
          <xdr:nvSpPr>
            <xdr:cNvPr id="8526" name="Object 334" hidden="1">
              <a:extLst>
                <a:ext uri="{63B3BB69-23CF-44E3-9099-C40C66FF867C}">
                  <a14:compatExt spid="_x0000_s85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295275</xdr:colOff>
          <xdr:row>186</xdr:row>
          <xdr:rowOff>104775</xdr:rowOff>
        </xdr:from>
        <xdr:to>
          <xdr:col>2</xdr:col>
          <xdr:colOff>733425</xdr:colOff>
          <xdr:row>187</xdr:row>
          <xdr:rowOff>228600</xdr:rowOff>
        </xdr:to>
        <xdr:sp macro="" textlink="">
          <xdr:nvSpPr>
            <xdr:cNvPr id="8527" name="Object 335" hidden="1">
              <a:extLst>
                <a:ext uri="{63B3BB69-23CF-44E3-9099-C40C66FF867C}">
                  <a14:compatExt spid="_x0000_s85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295275</xdr:colOff>
          <xdr:row>186</xdr:row>
          <xdr:rowOff>104775</xdr:rowOff>
        </xdr:from>
        <xdr:to>
          <xdr:col>3</xdr:col>
          <xdr:colOff>733425</xdr:colOff>
          <xdr:row>187</xdr:row>
          <xdr:rowOff>228600</xdr:rowOff>
        </xdr:to>
        <xdr:sp macro="" textlink="">
          <xdr:nvSpPr>
            <xdr:cNvPr id="8528" name="Object 336" hidden="1">
              <a:extLst>
                <a:ext uri="{63B3BB69-23CF-44E3-9099-C40C66FF867C}">
                  <a14:compatExt spid="_x0000_s85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183</xdr:row>
          <xdr:rowOff>85725</xdr:rowOff>
        </xdr:from>
        <xdr:to>
          <xdr:col>4</xdr:col>
          <xdr:colOff>733425</xdr:colOff>
          <xdr:row>184</xdr:row>
          <xdr:rowOff>161925</xdr:rowOff>
        </xdr:to>
        <xdr:sp macro="" textlink="">
          <xdr:nvSpPr>
            <xdr:cNvPr id="8529" name="Object 337" hidden="1">
              <a:extLst>
                <a:ext uri="{63B3BB69-23CF-44E3-9099-C40C66FF867C}">
                  <a14:compatExt spid="_x0000_s85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186</xdr:row>
          <xdr:rowOff>85725</xdr:rowOff>
        </xdr:from>
        <xdr:to>
          <xdr:col>4</xdr:col>
          <xdr:colOff>733425</xdr:colOff>
          <xdr:row>187</xdr:row>
          <xdr:rowOff>161925</xdr:rowOff>
        </xdr:to>
        <xdr:sp macro="" textlink="">
          <xdr:nvSpPr>
            <xdr:cNvPr id="8530" name="Object 338" hidden="1">
              <a:extLst>
                <a:ext uri="{63B3BB69-23CF-44E3-9099-C40C66FF867C}">
                  <a14:compatExt spid="_x0000_s85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304800</xdr:colOff>
          <xdr:row>186</xdr:row>
          <xdr:rowOff>76200</xdr:rowOff>
        </xdr:from>
        <xdr:to>
          <xdr:col>7</xdr:col>
          <xdr:colOff>733425</xdr:colOff>
          <xdr:row>187</xdr:row>
          <xdr:rowOff>161925</xdr:rowOff>
        </xdr:to>
        <xdr:sp macro="" textlink="">
          <xdr:nvSpPr>
            <xdr:cNvPr id="8531" name="Object 339" hidden="1">
              <a:extLst>
                <a:ext uri="{63B3BB69-23CF-44E3-9099-C40C66FF867C}">
                  <a14:compatExt spid="_x0000_s85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428625</xdr:colOff>
          <xdr:row>183</xdr:row>
          <xdr:rowOff>152400</xdr:rowOff>
        </xdr:from>
        <xdr:to>
          <xdr:col>13</xdr:col>
          <xdr:colOff>609600</xdr:colOff>
          <xdr:row>184</xdr:row>
          <xdr:rowOff>104775</xdr:rowOff>
        </xdr:to>
        <xdr:sp macro="" textlink="">
          <xdr:nvSpPr>
            <xdr:cNvPr id="8532" name="Object 340" hidden="1">
              <a:extLst>
                <a:ext uri="{63B3BB69-23CF-44E3-9099-C40C66FF867C}">
                  <a14:compatExt spid="_x0000_s85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257175</xdr:colOff>
          <xdr:row>183</xdr:row>
          <xdr:rowOff>85725</xdr:rowOff>
        </xdr:from>
        <xdr:to>
          <xdr:col>14</xdr:col>
          <xdr:colOff>676275</xdr:colOff>
          <xdr:row>184</xdr:row>
          <xdr:rowOff>161925</xdr:rowOff>
        </xdr:to>
        <xdr:sp macro="" textlink="">
          <xdr:nvSpPr>
            <xdr:cNvPr id="8533" name="Object 341" hidden="1">
              <a:extLst>
                <a:ext uri="{63B3BB69-23CF-44E3-9099-C40C66FF867C}">
                  <a14:compatExt spid="_x0000_s85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295275</xdr:colOff>
          <xdr:row>186</xdr:row>
          <xdr:rowOff>104775</xdr:rowOff>
        </xdr:from>
        <xdr:to>
          <xdr:col>13</xdr:col>
          <xdr:colOff>733425</xdr:colOff>
          <xdr:row>187</xdr:row>
          <xdr:rowOff>228600</xdr:rowOff>
        </xdr:to>
        <xdr:sp macro="" textlink="">
          <xdr:nvSpPr>
            <xdr:cNvPr id="8534" name="Object 342" hidden="1">
              <a:extLst>
                <a:ext uri="{63B3BB69-23CF-44E3-9099-C40C66FF867C}">
                  <a14:compatExt spid="_x0000_s85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295275</xdr:colOff>
          <xdr:row>186</xdr:row>
          <xdr:rowOff>104775</xdr:rowOff>
        </xdr:from>
        <xdr:to>
          <xdr:col>14</xdr:col>
          <xdr:colOff>733425</xdr:colOff>
          <xdr:row>187</xdr:row>
          <xdr:rowOff>228600</xdr:rowOff>
        </xdr:to>
        <xdr:sp macro="" textlink="">
          <xdr:nvSpPr>
            <xdr:cNvPr id="8535" name="Object 343" hidden="1">
              <a:extLst>
                <a:ext uri="{63B3BB69-23CF-44E3-9099-C40C66FF867C}">
                  <a14:compatExt spid="_x0000_s85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314325</xdr:colOff>
          <xdr:row>183</xdr:row>
          <xdr:rowOff>85725</xdr:rowOff>
        </xdr:from>
        <xdr:to>
          <xdr:col>15</xdr:col>
          <xdr:colOff>733425</xdr:colOff>
          <xdr:row>184</xdr:row>
          <xdr:rowOff>161925</xdr:rowOff>
        </xdr:to>
        <xdr:sp macro="" textlink="">
          <xdr:nvSpPr>
            <xdr:cNvPr id="8536" name="Object 344" hidden="1">
              <a:extLst>
                <a:ext uri="{63B3BB69-23CF-44E3-9099-C40C66FF867C}">
                  <a14:compatExt spid="_x0000_s85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304800</xdr:colOff>
          <xdr:row>186</xdr:row>
          <xdr:rowOff>85725</xdr:rowOff>
        </xdr:from>
        <xdr:to>
          <xdr:col>15</xdr:col>
          <xdr:colOff>733425</xdr:colOff>
          <xdr:row>187</xdr:row>
          <xdr:rowOff>161925</xdr:rowOff>
        </xdr:to>
        <xdr:sp macro="" textlink="">
          <xdr:nvSpPr>
            <xdr:cNvPr id="8537" name="Object 345" hidden="1">
              <a:extLst>
                <a:ext uri="{63B3BB69-23CF-44E3-9099-C40C66FF867C}">
                  <a14:compatExt spid="_x0000_s85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304800</xdr:colOff>
          <xdr:row>186</xdr:row>
          <xdr:rowOff>76200</xdr:rowOff>
        </xdr:from>
        <xdr:to>
          <xdr:col>18</xdr:col>
          <xdr:colOff>733425</xdr:colOff>
          <xdr:row>187</xdr:row>
          <xdr:rowOff>161925</xdr:rowOff>
        </xdr:to>
        <xdr:sp macro="" textlink="">
          <xdr:nvSpPr>
            <xdr:cNvPr id="8538" name="Object 346" hidden="1">
              <a:extLst>
                <a:ext uri="{63B3BB69-23CF-44E3-9099-C40C66FF867C}">
                  <a14:compatExt spid="_x0000_s85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428625</xdr:colOff>
          <xdr:row>203</xdr:row>
          <xdr:rowOff>152400</xdr:rowOff>
        </xdr:from>
        <xdr:to>
          <xdr:col>2</xdr:col>
          <xdr:colOff>609600</xdr:colOff>
          <xdr:row>204</xdr:row>
          <xdr:rowOff>104775</xdr:rowOff>
        </xdr:to>
        <xdr:sp macro="" textlink="">
          <xdr:nvSpPr>
            <xdr:cNvPr id="8539" name="Object 347" hidden="1">
              <a:extLst>
                <a:ext uri="{63B3BB69-23CF-44E3-9099-C40C66FF867C}">
                  <a14:compatExt spid="_x0000_s85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257175</xdr:colOff>
          <xdr:row>203</xdr:row>
          <xdr:rowOff>85725</xdr:rowOff>
        </xdr:from>
        <xdr:to>
          <xdr:col>3</xdr:col>
          <xdr:colOff>676275</xdr:colOff>
          <xdr:row>204</xdr:row>
          <xdr:rowOff>161925</xdr:rowOff>
        </xdr:to>
        <xdr:sp macro="" textlink="">
          <xdr:nvSpPr>
            <xdr:cNvPr id="8540" name="Object 348" hidden="1">
              <a:extLst>
                <a:ext uri="{63B3BB69-23CF-44E3-9099-C40C66FF867C}">
                  <a14:compatExt spid="_x0000_s85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295275</xdr:colOff>
          <xdr:row>206</xdr:row>
          <xdr:rowOff>104775</xdr:rowOff>
        </xdr:from>
        <xdr:to>
          <xdr:col>2</xdr:col>
          <xdr:colOff>733425</xdr:colOff>
          <xdr:row>207</xdr:row>
          <xdr:rowOff>228600</xdr:rowOff>
        </xdr:to>
        <xdr:sp macro="" textlink="">
          <xdr:nvSpPr>
            <xdr:cNvPr id="8541" name="Object 349" hidden="1">
              <a:extLst>
                <a:ext uri="{63B3BB69-23CF-44E3-9099-C40C66FF867C}">
                  <a14:compatExt spid="_x0000_s85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295275</xdr:colOff>
          <xdr:row>206</xdr:row>
          <xdr:rowOff>104775</xdr:rowOff>
        </xdr:from>
        <xdr:to>
          <xdr:col>3</xdr:col>
          <xdr:colOff>733425</xdr:colOff>
          <xdr:row>207</xdr:row>
          <xdr:rowOff>228600</xdr:rowOff>
        </xdr:to>
        <xdr:sp macro="" textlink="">
          <xdr:nvSpPr>
            <xdr:cNvPr id="8542" name="Object 350" hidden="1">
              <a:extLst>
                <a:ext uri="{63B3BB69-23CF-44E3-9099-C40C66FF867C}">
                  <a14:compatExt spid="_x0000_s85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203</xdr:row>
          <xdr:rowOff>85725</xdr:rowOff>
        </xdr:from>
        <xdr:to>
          <xdr:col>4</xdr:col>
          <xdr:colOff>733425</xdr:colOff>
          <xdr:row>204</xdr:row>
          <xdr:rowOff>161925</xdr:rowOff>
        </xdr:to>
        <xdr:sp macro="" textlink="">
          <xdr:nvSpPr>
            <xdr:cNvPr id="8543" name="Object 351" hidden="1">
              <a:extLst>
                <a:ext uri="{63B3BB69-23CF-44E3-9099-C40C66FF867C}">
                  <a14:compatExt spid="_x0000_s85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206</xdr:row>
          <xdr:rowOff>85725</xdr:rowOff>
        </xdr:from>
        <xdr:to>
          <xdr:col>4</xdr:col>
          <xdr:colOff>733425</xdr:colOff>
          <xdr:row>207</xdr:row>
          <xdr:rowOff>161925</xdr:rowOff>
        </xdr:to>
        <xdr:sp macro="" textlink="">
          <xdr:nvSpPr>
            <xdr:cNvPr id="8544" name="Object 352" hidden="1">
              <a:extLst>
                <a:ext uri="{63B3BB69-23CF-44E3-9099-C40C66FF867C}">
                  <a14:compatExt spid="_x0000_s85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304800</xdr:colOff>
          <xdr:row>206</xdr:row>
          <xdr:rowOff>76200</xdr:rowOff>
        </xdr:from>
        <xdr:to>
          <xdr:col>7</xdr:col>
          <xdr:colOff>733425</xdr:colOff>
          <xdr:row>207</xdr:row>
          <xdr:rowOff>161925</xdr:rowOff>
        </xdr:to>
        <xdr:sp macro="" textlink="">
          <xdr:nvSpPr>
            <xdr:cNvPr id="8545" name="Object 353" hidden="1">
              <a:extLst>
                <a:ext uri="{63B3BB69-23CF-44E3-9099-C40C66FF867C}">
                  <a14:compatExt spid="_x0000_s85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428625</xdr:colOff>
          <xdr:row>203</xdr:row>
          <xdr:rowOff>152400</xdr:rowOff>
        </xdr:from>
        <xdr:to>
          <xdr:col>13</xdr:col>
          <xdr:colOff>609600</xdr:colOff>
          <xdr:row>204</xdr:row>
          <xdr:rowOff>104775</xdr:rowOff>
        </xdr:to>
        <xdr:sp macro="" textlink="">
          <xdr:nvSpPr>
            <xdr:cNvPr id="8546" name="Object 354" hidden="1">
              <a:extLst>
                <a:ext uri="{63B3BB69-23CF-44E3-9099-C40C66FF867C}">
                  <a14:compatExt spid="_x0000_s85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257175</xdr:colOff>
          <xdr:row>203</xdr:row>
          <xdr:rowOff>85725</xdr:rowOff>
        </xdr:from>
        <xdr:to>
          <xdr:col>14</xdr:col>
          <xdr:colOff>676275</xdr:colOff>
          <xdr:row>204</xdr:row>
          <xdr:rowOff>161925</xdr:rowOff>
        </xdr:to>
        <xdr:sp macro="" textlink="">
          <xdr:nvSpPr>
            <xdr:cNvPr id="8547" name="Object 355" hidden="1">
              <a:extLst>
                <a:ext uri="{63B3BB69-23CF-44E3-9099-C40C66FF867C}">
                  <a14:compatExt spid="_x0000_s85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295275</xdr:colOff>
          <xdr:row>206</xdr:row>
          <xdr:rowOff>104775</xdr:rowOff>
        </xdr:from>
        <xdr:to>
          <xdr:col>13</xdr:col>
          <xdr:colOff>733425</xdr:colOff>
          <xdr:row>207</xdr:row>
          <xdr:rowOff>228600</xdr:rowOff>
        </xdr:to>
        <xdr:sp macro="" textlink="">
          <xdr:nvSpPr>
            <xdr:cNvPr id="8548" name="Object 356" hidden="1">
              <a:extLst>
                <a:ext uri="{63B3BB69-23CF-44E3-9099-C40C66FF867C}">
                  <a14:compatExt spid="_x0000_s85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295275</xdr:colOff>
          <xdr:row>206</xdr:row>
          <xdr:rowOff>104775</xdr:rowOff>
        </xdr:from>
        <xdr:to>
          <xdr:col>14</xdr:col>
          <xdr:colOff>733425</xdr:colOff>
          <xdr:row>207</xdr:row>
          <xdr:rowOff>228600</xdr:rowOff>
        </xdr:to>
        <xdr:sp macro="" textlink="">
          <xdr:nvSpPr>
            <xdr:cNvPr id="8549" name="Object 357" hidden="1">
              <a:extLst>
                <a:ext uri="{63B3BB69-23CF-44E3-9099-C40C66FF867C}">
                  <a14:compatExt spid="_x0000_s85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314325</xdr:colOff>
          <xdr:row>203</xdr:row>
          <xdr:rowOff>85725</xdr:rowOff>
        </xdr:from>
        <xdr:to>
          <xdr:col>15</xdr:col>
          <xdr:colOff>733425</xdr:colOff>
          <xdr:row>204</xdr:row>
          <xdr:rowOff>161925</xdr:rowOff>
        </xdr:to>
        <xdr:sp macro="" textlink="">
          <xdr:nvSpPr>
            <xdr:cNvPr id="8550" name="Object 358" hidden="1">
              <a:extLst>
                <a:ext uri="{63B3BB69-23CF-44E3-9099-C40C66FF867C}">
                  <a14:compatExt spid="_x0000_s85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304800</xdr:colOff>
          <xdr:row>206</xdr:row>
          <xdr:rowOff>85725</xdr:rowOff>
        </xdr:from>
        <xdr:to>
          <xdr:col>15</xdr:col>
          <xdr:colOff>733425</xdr:colOff>
          <xdr:row>207</xdr:row>
          <xdr:rowOff>161925</xdr:rowOff>
        </xdr:to>
        <xdr:sp macro="" textlink="">
          <xdr:nvSpPr>
            <xdr:cNvPr id="8551" name="Object 359" hidden="1">
              <a:extLst>
                <a:ext uri="{63B3BB69-23CF-44E3-9099-C40C66FF867C}">
                  <a14:compatExt spid="_x0000_s85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304800</xdr:colOff>
          <xdr:row>206</xdr:row>
          <xdr:rowOff>76200</xdr:rowOff>
        </xdr:from>
        <xdr:to>
          <xdr:col>18</xdr:col>
          <xdr:colOff>733425</xdr:colOff>
          <xdr:row>207</xdr:row>
          <xdr:rowOff>161925</xdr:rowOff>
        </xdr:to>
        <xdr:sp macro="" textlink="">
          <xdr:nvSpPr>
            <xdr:cNvPr id="8552" name="Object 360" hidden="1">
              <a:extLst>
                <a:ext uri="{63B3BB69-23CF-44E3-9099-C40C66FF867C}">
                  <a14:compatExt spid="_x0000_s85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428625</xdr:colOff>
          <xdr:row>223</xdr:row>
          <xdr:rowOff>152400</xdr:rowOff>
        </xdr:from>
        <xdr:to>
          <xdr:col>2</xdr:col>
          <xdr:colOff>609600</xdr:colOff>
          <xdr:row>224</xdr:row>
          <xdr:rowOff>104775</xdr:rowOff>
        </xdr:to>
        <xdr:sp macro="" textlink="">
          <xdr:nvSpPr>
            <xdr:cNvPr id="8553" name="Object 361" hidden="1">
              <a:extLst>
                <a:ext uri="{63B3BB69-23CF-44E3-9099-C40C66FF867C}">
                  <a14:compatExt spid="_x0000_s85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257175</xdr:colOff>
          <xdr:row>223</xdr:row>
          <xdr:rowOff>85725</xdr:rowOff>
        </xdr:from>
        <xdr:to>
          <xdr:col>3</xdr:col>
          <xdr:colOff>676275</xdr:colOff>
          <xdr:row>224</xdr:row>
          <xdr:rowOff>161925</xdr:rowOff>
        </xdr:to>
        <xdr:sp macro="" textlink="">
          <xdr:nvSpPr>
            <xdr:cNvPr id="8554" name="Object 362" hidden="1">
              <a:extLst>
                <a:ext uri="{63B3BB69-23CF-44E3-9099-C40C66FF867C}">
                  <a14:compatExt spid="_x0000_s85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295275</xdr:colOff>
          <xdr:row>226</xdr:row>
          <xdr:rowOff>104775</xdr:rowOff>
        </xdr:from>
        <xdr:to>
          <xdr:col>2</xdr:col>
          <xdr:colOff>733425</xdr:colOff>
          <xdr:row>227</xdr:row>
          <xdr:rowOff>228600</xdr:rowOff>
        </xdr:to>
        <xdr:sp macro="" textlink="">
          <xdr:nvSpPr>
            <xdr:cNvPr id="8555" name="Object 363" hidden="1">
              <a:extLst>
                <a:ext uri="{63B3BB69-23CF-44E3-9099-C40C66FF867C}">
                  <a14:compatExt spid="_x0000_s85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295275</xdr:colOff>
          <xdr:row>226</xdr:row>
          <xdr:rowOff>104775</xdr:rowOff>
        </xdr:from>
        <xdr:to>
          <xdr:col>3</xdr:col>
          <xdr:colOff>733425</xdr:colOff>
          <xdr:row>227</xdr:row>
          <xdr:rowOff>228600</xdr:rowOff>
        </xdr:to>
        <xdr:sp macro="" textlink="">
          <xdr:nvSpPr>
            <xdr:cNvPr id="8556" name="Object 364" hidden="1">
              <a:extLst>
                <a:ext uri="{63B3BB69-23CF-44E3-9099-C40C66FF867C}">
                  <a14:compatExt spid="_x0000_s85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223</xdr:row>
          <xdr:rowOff>85725</xdr:rowOff>
        </xdr:from>
        <xdr:to>
          <xdr:col>4</xdr:col>
          <xdr:colOff>733425</xdr:colOff>
          <xdr:row>224</xdr:row>
          <xdr:rowOff>161925</xdr:rowOff>
        </xdr:to>
        <xdr:sp macro="" textlink="">
          <xdr:nvSpPr>
            <xdr:cNvPr id="8557" name="Object 365" hidden="1">
              <a:extLst>
                <a:ext uri="{63B3BB69-23CF-44E3-9099-C40C66FF867C}">
                  <a14:compatExt spid="_x0000_s85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226</xdr:row>
          <xdr:rowOff>85725</xdr:rowOff>
        </xdr:from>
        <xdr:to>
          <xdr:col>4</xdr:col>
          <xdr:colOff>733425</xdr:colOff>
          <xdr:row>227</xdr:row>
          <xdr:rowOff>161925</xdr:rowOff>
        </xdr:to>
        <xdr:sp macro="" textlink="">
          <xdr:nvSpPr>
            <xdr:cNvPr id="8558" name="Object 366" hidden="1">
              <a:extLst>
                <a:ext uri="{63B3BB69-23CF-44E3-9099-C40C66FF867C}">
                  <a14:compatExt spid="_x0000_s85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304800</xdr:colOff>
          <xdr:row>226</xdr:row>
          <xdr:rowOff>76200</xdr:rowOff>
        </xdr:from>
        <xdr:to>
          <xdr:col>7</xdr:col>
          <xdr:colOff>733425</xdr:colOff>
          <xdr:row>227</xdr:row>
          <xdr:rowOff>161925</xdr:rowOff>
        </xdr:to>
        <xdr:sp macro="" textlink="">
          <xdr:nvSpPr>
            <xdr:cNvPr id="8559" name="Object 367" hidden="1">
              <a:extLst>
                <a:ext uri="{63B3BB69-23CF-44E3-9099-C40C66FF867C}">
                  <a14:compatExt spid="_x0000_s85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428625</xdr:colOff>
          <xdr:row>223</xdr:row>
          <xdr:rowOff>152400</xdr:rowOff>
        </xdr:from>
        <xdr:to>
          <xdr:col>13</xdr:col>
          <xdr:colOff>609600</xdr:colOff>
          <xdr:row>224</xdr:row>
          <xdr:rowOff>104775</xdr:rowOff>
        </xdr:to>
        <xdr:sp macro="" textlink="">
          <xdr:nvSpPr>
            <xdr:cNvPr id="8560" name="Object 368" hidden="1">
              <a:extLst>
                <a:ext uri="{63B3BB69-23CF-44E3-9099-C40C66FF867C}">
                  <a14:compatExt spid="_x0000_s85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257175</xdr:colOff>
          <xdr:row>223</xdr:row>
          <xdr:rowOff>85725</xdr:rowOff>
        </xdr:from>
        <xdr:to>
          <xdr:col>14</xdr:col>
          <xdr:colOff>676275</xdr:colOff>
          <xdr:row>224</xdr:row>
          <xdr:rowOff>161925</xdr:rowOff>
        </xdr:to>
        <xdr:sp macro="" textlink="">
          <xdr:nvSpPr>
            <xdr:cNvPr id="8561" name="Object 369" hidden="1">
              <a:extLst>
                <a:ext uri="{63B3BB69-23CF-44E3-9099-C40C66FF867C}">
                  <a14:compatExt spid="_x0000_s85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295275</xdr:colOff>
          <xdr:row>226</xdr:row>
          <xdr:rowOff>104775</xdr:rowOff>
        </xdr:from>
        <xdr:to>
          <xdr:col>13</xdr:col>
          <xdr:colOff>733425</xdr:colOff>
          <xdr:row>227</xdr:row>
          <xdr:rowOff>228600</xdr:rowOff>
        </xdr:to>
        <xdr:sp macro="" textlink="">
          <xdr:nvSpPr>
            <xdr:cNvPr id="8562" name="Object 370" hidden="1">
              <a:extLst>
                <a:ext uri="{63B3BB69-23CF-44E3-9099-C40C66FF867C}">
                  <a14:compatExt spid="_x0000_s85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295275</xdr:colOff>
          <xdr:row>226</xdr:row>
          <xdr:rowOff>104775</xdr:rowOff>
        </xdr:from>
        <xdr:to>
          <xdr:col>14</xdr:col>
          <xdr:colOff>733425</xdr:colOff>
          <xdr:row>227</xdr:row>
          <xdr:rowOff>228600</xdr:rowOff>
        </xdr:to>
        <xdr:sp macro="" textlink="">
          <xdr:nvSpPr>
            <xdr:cNvPr id="8563" name="Object 371" hidden="1">
              <a:extLst>
                <a:ext uri="{63B3BB69-23CF-44E3-9099-C40C66FF867C}">
                  <a14:compatExt spid="_x0000_s85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314325</xdr:colOff>
          <xdr:row>223</xdr:row>
          <xdr:rowOff>85725</xdr:rowOff>
        </xdr:from>
        <xdr:to>
          <xdr:col>15</xdr:col>
          <xdr:colOff>733425</xdr:colOff>
          <xdr:row>224</xdr:row>
          <xdr:rowOff>161925</xdr:rowOff>
        </xdr:to>
        <xdr:sp macro="" textlink="">
          <xdr:nvSpPr>
            <xdr:cNvPr id="8564" name="Object 372" hidden="1">
              <a:extLst>
                <a:ext uri="{63B3BB69-23CF-44E3-9099-C40C66FF867C}">
                  <a14:compatExt spid="_x0000_s85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304800</xdr:colOff>
          <xdr:row>226</xdr:row>
          <xdr:rowOff>85725</xdr:rowOff>
        </xdr:from>
        <xdr:to>
          <xdr:col>15</xdr:col>
          <xdr:colOff>733425</xdr:colOff>
          <xdr:row>227</xdr:row>
          <xdr:rowOff>161925</xdr:rowOff>
        </xdr:to>
        <xdr:sp macro="" textlink="">
          <xdr:nvSpPr>
            <xdr:cNvPr id="8565" name="Object 373" hidden="1">
              <a:extLst>
                <a:ext uri="{63B3BB69-23CF-44E3-9099-C40C66FF867C}">
                  <a14:compatExt spid="_x0000_s85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304800</xdr:colOff>
          <xdr:row>226</xdr:row>
          <xdr:rowOff>76200</xdr:rowOff>
        </xdr:from>
        <xdr:to>
          <xdr:col>18</xdr:col>
          <xdr:colOff>733425</xdr:colOff>
          <xdr:row>227</xdr:row>
          <xdr:rowOff>161925</xdr:rowOff>
        </xdr:to>
        <xdr:sp macro="" textlink="">
          <xdr:nvSpPr>
            <xdr:cNvPr id="8566" name="Object 374" hidden="1">
              <a:extLst>
                <a:ext uri="{63B3BB69-23CF-44E3-9099-C40C66FF867C}">
                  <a14:compatExt spid="_x0000_s85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428625</xdr:colOff>
          <xdr:row>243</xdr:row>
          <xdr:rowOff>152400</xdr:rowOff>
        </xdr:from>
        <xdr:to>
          <xdr:col>2</xdr:col>
          <xdr:colOff>609600</xdr:colOff>
          <xdr:row>244</xdr:row>
          <xdr:rowOff>104775</xdr:rowOff>
        </xdr:to>
        <xdr:sp macro="" textlink="">
          <xdr:nvSpPr>
            <xdr:cNvPr id="8567" name="Object 375" hidden="1">
              <a:extLst>
                <a:ext uri="{63B3BB69-23CF-44E3-9099-C40C66FF867C}">
                  <a14:compatExt spid="_x0000_s85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257175</xdr:colOff>
          <xdr:row>243</xdr:row>
          <xdr:rowOff>85725</xdr:rowOff>
        </xdr:from>
        <xdr:to>
          <xdr:col>3</xdr:col>
          <xdr:colOff>676275</xdr:colOff>
          <xdr:row>244</xdr:row>
          <xdr:rowOff>161925</xdr:rowOff>
        </xdr:to>
        <xdr:sp macro="" textlink="">
          <xdr:nvSpPr>
            <xdr:cNvPr id="8568" name="Object 376" hidden="1">
              <a:extLst>
                <a:ext uri="{63B3BB69-23CF-44E3-9099-C40C66FF867C}">
                  <a14:compatExt spid="_x0000_s85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295275</xdr:colOff>
          <xdr:row>246</xdr:row>
          <xdr:rowOff>104775</xdr:rowOff>
        </xdr:from>
        <xdr:to>
          <xdr:col>2</xdr:col>
          <xdr:colOff>733425</xdr:colOff>
          <xdr:row>247</xdr:row>
          <xdr:rowOff>228600</xdr:rowOff>
        </xdr:to>
        <xdr:sp macro="" textlink="">
          <xdr:nvSpPr>
            <xdr:cNvPr id="8569" name="Object 377" hidden="1">
              <a:extLst>
                <a:ext uri="{63B3BB69-23CF-44E3-9099-C40C66FF867C}">
                  <a14:compatExt spid="_x0000_s85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295275</xdr:colOff>
          <xdr:row>246</xdr:row>
          <xdr:rowOff>104775</xdr:rowOff>
        </xdr:from>
        <xdr:to>
          <xdr:col>3</xdr:col>
          <xdr:colOff>733425</xdr:colOff>
          <xdr:row>247</xdr:row>
          <xdr:rowOff>228600</xdr:rowOff>
        </xdr:to>
        <xdr:sp macro="" textlink="">
          <xdr:nvSpPr>
            <xdr:cNvPr id="8570" name="Object 378" hidden="1">
              <a:extLst>
                <a:ext uri="{63B3BB69-23CF-44E3-9099-C40C66FF867C}">
                  <a14:compatExt spid="_x0000_s85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243</xdr:row>
          <xdr:rowOff>85725</xdr:rowOff>
        </xdr:from>
        <xdr:to>
          <xdr:col>4</xdr:col>
          <xdr:colOff>733425</xdr:colOff>
          <xdr:row>244</xdr:row>
          <xdr:rowOff>161925</xdr:rowOff>
        </xdr:to>
        <xdr:sp macro="" textlink="">
          <xdr:nvSpPr>
            <xdr:cNvPr id="8571" name="Object 379" hidden="1">
              <a:extLst>
                <a:ext uri="{63B3BB69-23CF-44E3-9099-C40C66FF867C}">
                  <a14:compatExt spid="_x0000_s85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246</xdr:row>
          <xdr:rowOff>85725</xdr:rowOff>
        </xdr:from>
        <xdr:to>
          <xdr:col>4</xdr:col>
          <xdr:colOff>733425</xdr:colOff>
          <xdr:row>247</xdr:row>
          <xdr:rowOff>161925</xdr:rowOff>
        </xdr:to>
        <xdr:sp macro="" textlink="">
          <xdr:nvSpPr>
            <xdr:cNvPr id="8572" name="Object 380" hidden="1">
              <a:extLst>
                <a:ext uri="{63B3BB69-23CF-44E3-9099-C40C66FF867C}">
                  <a14:compatExt spid="_x0000_s85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304800</xdr:colOff>
          <xdr:row>246</xdr:row>
          <xdr:rowOff>76200</xdr:rowOff>
        </xdr:from>
        <xdr:to>
          <xdr:col>7</xdr:col>
          <xdr:colOff>733425</xdr:colOff>
          <xdr:row>247</xdr:row>
          <xdr:rowOff>161925</xdr:rowOff>
        </xdr:to>
        <xdr:sp macro="" textlink="">
          <xdr:nvSpPr>
            <xdr:cNvPr id="8573" name="Object 381" hidden="1">
              <a:extLst>
                <a:ext uri="{63B3BB69-23CF-44E3-9099-C40C66FF867C}">
                  <a14:compatExt spid="_x0000_s85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428625</xdr:colOff>
          <xdr:row>243</xdr:row>
          <xdr:rowOff>152400</xdr:rowOff>
        </xdr:from>
        <xdr:to>
          <xdr:col>13</xdr:col>
          <xdr:colOff>609600</xdr:colOff>
          <xdr:row>244</xdr:row>
          <xdr:rowOff>104775</xdr:rowOff>
        </xdr:to>
        <xdr:sp macro="" textlink="">
          <xdr:nvSpPr>
            <xdr:cNvPr id="8574" name="Object 382" hidden="1">
              <a:extLst>
                <a:ext uri="{63B3BB69-23CF-44E3-9099-C40C66FF867C}">
                  <a14:compatExt spid="_x0000_s85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257175</xdr:colOff>
          <xdr:row>243</xdr:row>
          <xdr:rowOff>85725</xdr:rowOff>
        </xdr:from>
        <xdr:to>
          <xdr:col>14</xdr:col>
          <xdr:colOff>676275</xdr:colOff>
          <xdr:row>244</xdr:row>
          <xdr:rowOff>161925</xdr:rowOff>
        </xdr:to>
        <xdr:sp macro="" textlink="">
          <xdr:nvSpPr>
            <xdr:cNvPr id="8575" name="Object 383" hidden="1">
              <a:extLst>
                <a:ext uri="{63B3BB69-23CF-44E3-9099-C40C66FF867C}">
                  <a14:compatExt spid="_x0000_s85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295275</xdr:colOff>
          <xdr:row>246</xdr:row>
          <xdr:rowOff>104775</xdr:rowOff>
        </xdr:from>
        <xdr:to>
          <xdr:col>13</xdr:col>
          <xdr:colOff>733425</xdr:colOff>
          <xdr:row>247</xdr:row>
          <xdr:rowOff>228600</xdr:rowOff>
        </xdr:to>
        <xdr:sp macro="" textlink="">
          <xdr:nvSpPr>
            <xdr:cNvPr id="8576" name="Object 384" hidden="1">
              <a:extLst>
                <a:ext uri="{63B3BB69-23CF-44E3-9099-C40C66FF867C}">
                  <a14:compatExt spid="_x0000_s85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295275</xdr:colOff>
          <xdr:row>246</xdr:row>
          <xdr:rowOff>104775</xdr:rowOff>
        </xdr:from>
        <xdr:to>
          <xdr:col>14</xdr:col>
          <xdr:colOff>733425</xdr:colOff>
          <xdr:row>247</xdr:row>
          <xdr:rowOff>228600</xdr:rowOff>
        </xdr:to>
        <xdr:sp macro="" textlink="">
          <xdr:nvSpPr>
            <xdr:cNvPr id="8577" name="Object 385" hidden="1">
              <a:extLst>
                <a:ext uri="{63B3BB69-23CF-44E3-9099-C40C66FF867C}">
                  <a14:compatExt spid="_x0000_s85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314325</xdr:colOff>
          <xdr:row>243</xdr:row>
          <xdr:rowOff>85725</xdr:rowOff>
        </xdr:from>
        <xdr:to>
          <xdr:col>15</xdr:col>
          <xdr:colOff>733425</xdr:colOff>
          <xdr:row>244</xdr:row>
          <xdr:rowOff>161925</xdr:rowOff>
        </xdr:to>
        <xdr:sp macro="" textlink="">
          <xdr:nvSpPr>
            <xdr:cNvPr id="8578" name="Object 386" hidden="1">
              <a:extLst>
                <a:ext uri="{63B3BB69-23CF-44E3-9099-C40C66FF867C}">
                  <a14:compatExt spid="_x0000_s85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304800</xdr:colOff>
          <xdr:row>246</xdr:row>
          <xdr:rowOff>85725</xdr:rowOff>
        </xdr:from>
        <xdr:to>
          <xdr:col>15</xdr:col>
          <xdr:colOff>733425</xdr:colOff>
          <xdr:row>247</xdr:row>
          <xdr:rowOff>161925</xdr:rowOff>
        </xdr:to>
        <xdr:sp macro="" textlink="">
          <xdr:nvSpPr>
            <xdr:cNvPr id="8579" name="Object 387" hidden="1">
              <a:extLst>
                <a:ext uri="{63B3BB69-23CF-44E3-9099-C40C66FF867C}">
                  <a14:compatExt spid="_x0000_s85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304800</xdr:colOff>
          <xdr:row>246</xdr:row>
          <xdr:rowOff>76200</xdr:rowOff>
        </xdr:from>
        <xdr:to>
          <xdr:col>18</xdr:col>
          <xdr:colOff>733425</xdr:colOff>
          <xdr:row>247</xdr:row>
          <xdr:rowOff>161925</xdr:rowOff>
        </xdr:to>
        <xdr:sp macro="" textlink="">
          <xdr:nvSpPr>
            <xdr:cNvPr id="8580" name="Object 388" hidden="1">
              <a:extLst>
                <a:ext uri="{63B3BB69-23CF-44E3-9099-C40C66FF867C}">
                  <a14:compatExt spid="_x0000_s85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428625</xdr:colOff>
          <xdr:row>263</xdr:row>
          <xdr:rowOff>152400</xdr:rowOff>
        </xdr:from>
        <xdr:to>
          <xdr:col>2</xdr:col>
          <xdr:colOff>609600</xdr:colOff>
          <xdr:row>264</xdr:row>
          <xdr:rowOff>104775</xdr:rowOff>
        </xdr:to>
        <xdr:sp macro="" textlink="">
          <xdr:nvSpPr>
            <xdr:cNvPr id="8581" name="Object 389" hidden="1">
              <a:extLst>
                <a:ext uri="{63B3BB69-23CF-44E3-9099-C40C66FF867C}">
                  <a14:compatExt spid="_x0000_s85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257175</xdr:colOff>
          <xdr:row>263</xdr:row>
          <xdr:rowOff>85725</xdr:rowOff>
        </xdr:from>
        <xdr:to>
          <xdr:col>3</xdr:col>
          <xdr:colOff>676275</xdr:colOff>
          <xdr:row>264</xdr:row>
          <xdr:rowOff>161925</xdr:rowOff>
        </xdr:to>
        <xdr:sp macro="" textlink="">
          <xdr:nvSpPr>
            <xdr:cNvPr id="8582" name="Object 390" hidden="1">
              <a:extLst>
                <a:ext uri="{63B3BB69-23CF-44E3-9099-C40C66FF867C}">
                  <a14:compatExt spid="_x0000_s85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295275</xdr:colOff>
          <xdr:row>266</xdr:row>
          <xdr:rowOff>104775</xdr:rowOff>
        </xdr:from>
        <xdr:to>
          <xdr:col>2</xdr:col>
          <xdr:colOff>733425</xdr:colOff>
          <xdr:row>267</xdr:row>
          <xdr:rowOff>228600</xdr:rowOff>
        </xdr:to>
        <xdr:sp macro="" textlink="">
          <xdr:nvSpPr>
            <xdr:cNvPr id="8583" name="Object 391" hidden="1">
              <a:extLst>
                <a:ext uri="{63B3BB69-23CF-44E3-9099-C40C66FF867C}">
                  <a14:compatExt spid="_x0000_s85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295275</xdr:colOff>
          <xdr:row>266</xdr:row>
          <xdr:rowOff>104775</xdr:rowOff>
        </xdr:from>
        <xdr:to>
          <xdr:col>3</xdr:col>
          <xdr:colOff>733425</xdr:colOff>
          <xdr:row>267</xdr:row>
          <xdr:rowOff>228600</xdr:rowOff>
        </xdr:to>
        <xdr:sp macro="" textlink="">
          <xdr:nvSpPr>
            <xdr:cNvPr id="8584" name="Object 392" hidden="1">
              <a:extLst>
                <a:ext uri="{63B3BB69-23CF-44E3-9099-C40C66FF867C}">
                  <a14:compatExt spid="_x0000_s85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263</xdr:row>
          <xdr:rowOff>85725</xdr:rowOff>
        </xdr:from>
        <xdr:to>
          <xdr:col>4</xdr:col>
          <xdr:colOff>733425</xdr:colOff>
          <xdr:row>264</xdr:row>
          <xdr:rowOff>161925</xdr:rowOff>
        </xdr:to>
        <xdr:sp macro="" textlink="">
          <xdr:nvSpPr>
            <xdr:cNvPr id="8585" name="Object 393" hidden="1">
              <a:extLst>
                <a:ext uri="{63B3BB69-23CF-44E3-9099-C40C66FF867C}">
                  <a14:compatExt spid="_x0000_s85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266</xdr:row>
          <xdr:rowOff>85725</xdr:rowOff>
        </xdr:from>
        <xdr:to>
          <xdr:col>4</xdr:col>
          <xdr:colOff>733425</xdr:colOff>
          <xdr:row>267</xdr:row>
          <xdr:rowOff>161925</xdr:rowOff>
        </xdr:to>
        <xdr:sp macro="" textlink="">
          <xdr:nvSpPr>
            <xdr:cNvPr id="8586" name="Object 394" hidden="1">
              <a:extLst>
                <a:ext uri="{63B3BB69-23CF-44E3-9099-C40C66FF867C}">
                  <a14:compatExt spid="_x0000_s85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304800</xdr:colOff>
          <xdr:row>266</xdr:row>
          <xdr:rowOff>76200</xdr:rowOff>
        </xdr:from>
        <xdr:to>
          <xdr:col>7</xdr:col>
          <xdr:colOff>733425</xdr:colOff>
          <xdr:row>267</xdr:row>
          <xdr:rowOff>161925</xdr:rowOff>
        </xdr:to>
        <xdr:sp macro="" textlink="">
          <xdr:nvSpPr>
            <xdr:cNvPr id="8587" name="Object 395" hidden="1">
              <a:extLst>
                <a:ext uri="{63B3BB69-23CF-44E3-9099-C40C66FF867C}">
                  <a14:compatExt spid="_x0000_s85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428625</xdr:colOff>
          <xdr:row>263</xdr:row>
          <xdr:rowOff>152400</xdr:rowOff>
        </xdr:from>
        <xdr:to>
          <xdr:col>13</xdr:col>
          <xdr:colOff>609600</xdr:colOff>
          <xdr:row>264</xdr:row>
          <xdr:rowOff>104775</xdr:rowOff>
        </xdr:to>
        <xdr:sp macro="" textlink="">
          <xdr:nvSpPr>
            <xdr:cNvPr id="8588" name="Object 396" hidden="1">
              <a:extLst>
                <a:ext uri="{63B3BB69-23CF-44E3-9099-C40C66FF867C}">
                  <a14:compatExt spid="_x0000_s85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257175</xdr:colOff>
          <xdr:row>263</xdr:row>
          <xdr:rowOff>85725</xdr:rowOff>
        </xdr:from>
        <xdr:to>
          <xdr:col>14</xdr:col>
          <xdr:colOff>676275</xdr:colOff>
          <xdr:row>264</xdr:row>
          <xdr:rowOff>161925</xdr:rowOff>
        </xdr:to>
        <xdr:sp macro="" textlink="">
          <xdr:nvSpPr>
            <xdr:cNvPr id="8589" name="Object 397" hidden="1">
              <a:extLst>
                <a:ext uri="{63B3BB69-23CF-44E3-9099-C40C66FF867C}">
                  <a14:compatExt spid="_x0000_s85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295275</xdr:colOff>
          <xdr:row>266</xdr:row>
          <xdr:rowOff>104775</xdr:rowOff>
        </xdr:from>
        <xdr:to>
          <xdr:col>13</xdr:col>
          <xdr:colOff>733425</xdr:colOff>
          <xdr:row>267</xdr:row>
          <xdr:rowOff>228600</xdr:rowOff>
        </xdr:to>
        <xdr:sp macro="" textlink="">
          <xdr:nvSpPr>
            <xdr:cNvPr id="8590" name="Object 398" hidden="1">
              <a:extLst>
                <a:ext uri="{63B3BB69-23CF-44E3-9099-C40C66FF867C}">
                  <a14:compatExt spid="_x0000_s85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295275</xdr:colOff>
          <xdr:row>266</xdr:row>
          <xdr:rowOff>104775</xdr:rowOff>
        </xdr:from>
        <xdr:to>
          <xdr:col>14</xdr:col>
          <xdr:colOff>733425</xdr:colOff>
          <xdr:row>267</xdr:row>
          <xdr:rowOff>228600</xdr:rowOff>
        </xdr:to>
        <xdr:sp macro="" textlink="">
          <xdr:nvSpPr>
            <xdr:cNvPr id="8591" name="Object 399" hidden="1">
              <a:extLst>
                <a:ext uri="{63B3BB69-23CF-44E3-9099-C40C66FF867C}">
                  <a14:compatExt spid="_x0000_s85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314325</xdr:colOff>
          <xdr:row>263</xdr:row>
          <xdr:rowOff>85725</xdr:rowOff>
        </xdr:from>
        <xdr:to>
          <xdr:col>15</xdr:col>
          <xdr:colOff>733425</xdr:colOff>
          <xdr:row>264</xdr:row>
          <xdr:rowOff>161925</xdr:rowOff>
        </xdr:to>
        <xdr:sp macro="" textlink="">
          <xdr:nvSpPr>
            <xdr:cNvPr id="8592" name="Object 400" hidden="1">
              <a:extLst>
                <a:ext uri="{63B3BB69-23CF-44E3-9099-C40C66FF867C}">
                  <a14:compatExt spid="_x0000_s85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304800</xdr:colOff>
          <xdr:row>266</xdr:row>
          <xdr:rowOff>85725</xdr:rowOff>
        </xdr:from>
        <xdr:to>
          <xdr:col>15</xdr:col>
          <xdr:colOff>733425</xdr:colOff>
          <xdr:row>267</xdr:row>
          <xdr:rowOff>161925</xdr:rowOff>
        </xdr:to>
        <xdr:sp macro="" textlink="">
          <xdr:nvSpPr>
            <xdr:cNvPr id="8593" name="Object 401" hidden="1">
              <a:extLst>
                <a:ext uri="{63B3BB69-23CF-44E3-9099-C40C66FF867C}">
                  <a14:compatExt spid="_x0000_s85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304800</xdr:colOff>
          <xdr:row>266</xdr:row>
          <xdr:rowOff>76200</xdr:rowOff>
        </xdr:from>
        <xdr:to>
          <xdr:col>18</xdr:col>
          <xdr:colOff>733425</xdr:colOff>
          <xdr:row>267</xdr:row>
          <xdr:rowOff>161925</xdr:rowOff>
        </xdr:to>
        <xdr:sp macro="" textlink="">
          <xdr:nvSpPr>
            <xdr:cNvPr id="8594" name="Object 402" hidden="1">
              <a:extLst>
                <a:ext uri="{63B3BB69-23CF-44E3-9099-C40C66FF867C}">
                  <a14:compatExt spid="_x0000_s85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428625</xdr:colOff>
          <xdr:row>283</xdr:row>
          <xdr:rowOff>152400</xdr:rowOff>
        </xdr:from>
        <xdr:to>
          <xdr:col>2</xdr:col>
          <xdr:colOff>609600</xdr:colOff>
          <xdr:row>284</xdr:row>
          <xdr:rowOff>104775</xdr:rowOff>
        </xdr:to>
        <xdr:sp macro="" textlink="">
          <xdr:nvSpPr>
            <xdr:cNvPr id="8595" name="Object 403" hidden="1">
              <a:extLst>
                <a:ext uri="{63B3BB69-23CF-44E3-9099-C40C66FF867C}">
                  <a14:compatExt spid="_x0000_s85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257175</xdr:colOff>
          <xdr:row>283</xdr:row>
          <xdr:rowOff>85725</xdr:rowOff>
        </xdr:from>
        <xdr:to>
          <xdr:col>3</xdr:col>
          <xdr:colOff>676275</xdr:colOff>
          <xdr:row>284</xdr:row>
          <xdr:rowOff>161925</xdr:rowOff>
        </xdr:to>
        <xdr:sp macro="" textlink="">
          <xdr:nvSpPr>
            <xdr:cNvPr id="8596" name="Object 404" hidden="1">
              <a:extLst>
                <a:ext uri="{63B3BB69-23CF-44E3-9099-C40C66FF867C}">
                  <a14:compatExt spid="_x0000_s85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295275</xdr:colOff>
          <xdr:row>286</xdr:row>
          <xdr:rowOff>104775</xdr:rowOff>
        </xdr:from>
        <xdr:to>
          <xdr:col>2</xdr:col>
          <xdr:colOff>733425</xdr:colOff>
          <xdr:row>287</xdr:row>
          <xdr:rowOff>228600</xdr:rowOff>
        </xdr:to>
        <xdr:sp macro="" textlink="">
          <xdr:nvSpPr>
            <xdr:cNvPr id="8597" name="Object 405" hidden="1">
              <a:extLst>
                <a:ext uri="{63B3BB69-23CF-44E3-9099-C40C66FF867C}">
                  <a14:compatExt spid="_x0000_s85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295275</xdr:colOff>
          <xdr:row>286</xdr:row>
          <xdr:rowOff>104775</xdr:rowOff>
        </xdr:from>
        <xdr:to>
          <xdr:col>3</xdr:col>
          <xdr:colOff>733425</xdr:colOff>
          <xdr:row>287</xdr:row>
          <xdr:rowOff>228600</xdr:rowOff>
        </xdr:to>
        <xdr:sp macro="" textlink="">
          <xdr:nvSpPr>
            <xdr:cNvPr id="8598" name="Object 406" hidden="1">
              <a:extLst>
                <a:ext uri="{63B3BB69-23CF-44E3-9099-C40C66FF867C}">
                  <a14:compatExt spid="_x0000_s85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283</xdr:row>
          <xdr:rowOff>85725</xdr:rowOff>
        </xdr:from>
        <xdr:to>
          <xdr:col>4</xdr:col>
          <xdr:colOff>733425</xdr:colOff>
          <xdr:row>284</xdr:row>
          <xdr:rowOff>161925</xdr:rowOff>
        </xdr:to>
        <xdr:sp macro="" textlink="">
          <xdr:nvSpPr>
            <xdr:cNvPr id="8599" name="Object 407" hidden="1">
              <a:extLst>
                <a:ext uri="{63B3BB69-23CF-44E3-9099-C40C66FF867C}">
                  <a14:compatExt spid="_x0000_s85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286</xdr:row>
          <xdr:rowOff>85725</xdr:rowOff>
        </xdr:from>
        <xdr:to>
          <xdr:col>4</xdr:col>
          <xdr:colOff>733425</xdr:colOff>
          <xdr:row>287</xdr:row>
          <xdr:rowOff>161925</xdr:rowOff>
        </xdr:to>
        <xdr:sp macro="" textlink="">
          <xdr:nvSpPr>
            <xdr:cNvPr id="8600" name="Object 408" hidden="1">
              <a:extLst>
                <a:ext uri="{63B3BB69-23CF-44E3-9099-C40C66FF867C}">
                  <a14:compatExt spid="_x0000_s86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304800</xdr:colOff>
          <xdr:row>286</xdr:row>
          <xdr:rowOff>76200</xdr:rowOff>
        </xdr:from>
        <xdr:to>
          <xdr:col>7</xdr:col>
          <xdr:colOff>733425</xdr:colOff>
          <xdr:row>287</xdr:row>
          <xdr:rowOff>161925</xdr:rowOff>
        </xdr:to>
        <xdr:sp macro="" textlink="">
          <xdr:nvSpPr>
            <xdr:cNvPr id="8601" name="Object 409" hidden="1">
              <a:extLst>
                <a:ext uri="{63B3BB69-23CF-44E3-9099-C40C66FF867C}">
                  <a14:compatExt spid="_x0000_s86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428625</xdr:colOff>
          <xdr:row>283</xdr:row>
          <xdr:rowOff>152400</xdr:rowOff>
        </xdr:from>
        <xdr:to>
          <xdr:col>13</xdr:col>
          <xdr:colOff>609600</xdr:colOff>
          <xdr:row>284</xdr:row>
          <xdr:rowOff>104775</xdr:rowOff>
        </xdr:to>
        <xdr:sp macro="" textlink="">
          <xdr:nvSpPr>
            <xdr:cNvPr id="8602" name="Object 410" hidden="1">
              <a:extLst>
                <a:ext uri="{63B3BB69-23CF-44E3-9099-C40C66FF867C}">
                  <a14:compatExt spid="_x0000_s86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257175</xdr:colOff>
          <xdr:row>283</xdr:row>
          <xdr:rowOff>85725</xdr:rowOff>
        </xdr:from>
        <xdr:to>
          <xdr:col>14</xdr:col>
          <xdr:colOff>676275</xdr:colOff>
          <xdr:row>284</xdr:row>
          <xdr:rowOff>161925</xdr:rowOff>
        </xdr:to>
        <xdr:sp macro="" textlink="">
          <xdr:nvSpPr>
            <xdr:cNvPr id="8603" name="Object 411" hidden="1">
              <a:extLst>
                <a:ext uri="{63B3BB69-23CF-44E3-9099-C40C66FF867C}">
                  <a14:compatExt spid="_x0000_s86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295275</xdr:colOff>
          <xdr:row>286</xdr:row>
          <xdr:rowOff>104775</xdr:rowOff>
        </xdr:from>
        <xdr:to>
          <xdr:col>13</xdr:col>
          <xdr:colOff>733425</xdr:colOff>
          <xdr:row>287</xdr:row>
          <xdr:rowOff>228600</xdr:rowOff>
        </xdr:to>
        <xdr:sp macro="" textlink="">
          <xdr:nvSpPr>
            <xdr:cNvPr id="8604" name="Object 412" hidden="1">
              <a:extLst>
                <a:ext uri="{63B3BB69-23CF-44E3-9099-C40C66FF867C}">
                  <a14:compatExt spid="_x0000_s86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295275</xdr:colOff>
          <xdr:row>286</xdr:row>
          <xdr:rowOff>104775</xdr:rowOff>
        </xdr:from>
        <xdr:to>
          <xdr:col>14</xdr:col>
          <xdr:colOff>733425</xdr:colOff>
          <xdr:row>287</xdr:row>
          <xdr:rowOff>228600</xdr:rowOff>
        </xdr:to>
        <xdr:sp macro="" textlink="">
          <xdr:nvSpPr>
            <xdr:cNvPr id="8605" name="Object 413" hidden="1">
              <a:extLst>
                <a:ext uri="{63B3BB69-23CF-44E3-9099-C40C66FF867C}">
                  <a14:compatExt spid="_x0000_s86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314325</xdr:colOff>
          <xdr:row>283</xdr:row>
          <xdr:rowOff>85725</xdr:rowOff>
        </xdr:from>
        <xdr:to>
          <xdr:col>15</xdr:col>
          <xdr:colOff>733425</xdr:colOff>
          <xdr:row>284</xdr:row>
          <xdr:rowOff>161925</xdr:rowOff>
        </xdr:to>
        <xdr:sp macro="" textlink="">
          <xdr:nvSpPr>
            <xdr:cNvPr id="8606" name="Object 414" hidden="1">
              <a:extLst>
                <a:ext uri="{63B3BB69-23CF-44E3-9099-C40C66FF867C}">
                  <a14:compatExt spid="_x0000_s86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304800</xdr:colOff>
          <xdr:row>286</xdr:row>
          <xdr:rowOff>85725</xdr:rowOff>
        </xdr:from>
        <xdr:to>
          <xdr:col>15</xdr:col>
          <xdr:colOff>733425</xdr:colOff>
          <xdr:row>287</xdr:row>
          <xdr:rowOff>161925</xdr:rowOff>
        </xdr:to>
        <xdr:sp macro="" textlink="">
          <xdr:nvSpPr>
            <xdr:cNvPr id="8607" name="Object 415" hidden="1">
              <a:extLst>
                <a:ext uri="{63B3BB69-23CF-44E3-9099-C40C66FF867C}">
                  <a14:compatExt spid="_x0000_s86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304800</xdr:colOff>
          <xdr:row>286</xdr:row>
          <xdr:rowOff>76200</xdr:rowOff>
        </xdr:from>
        <xdr:to>
          <xdr:col>18</xdr:col>
          <xdr:colOff>733425</xdr:colOff>
          <xdr:row>287</xdr:row>
          <xdr:rowOff>161925</xdr:rowOff>
        </xdr:to>
        <xdr:sp macro="" textlink="">
          <xdr:nvSpPr>
            <xdr:cNvPr id="8608" name="Object 416" hidden="1">
              <a:extLst>
                <a:ext uri="{63B3BB69-23CF-44E3-9099-C40C66FF867C}">
                  <a14:compatExt spid="_x0000_s86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428625</xdr:colOff>
          <xdr:row>303</xdr:row>
          <xdr:rowOff>152400</xdr:rowOff>
        </xdr:from>
        <xdr:to>
          <xdr:col>2</xdr:col>
          <xdr:colOff>609600</xdr:colOff>
          <xdr:row>304</xdr:row>
          <xdr:rowOff>104775</xdr:rowOff>
        </xdr:to>
        <xdr:sp macro="" textlink="">
          <xdr:nvSpPr>
            <xdr:cNvPr id="8609" name="Object 417" hidden="1">
              <a:extLst>
                <a:ext uri="{63B3BB69-23CF-44E3-9099-C40C66FF867C}">
                  <a14:compatExt spid="_x0000_s86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257175</xdr:colOff>
          <xdr:row>303</xdr:row>
          <xdr:rowOff>85725</xdr:rowOff>
        </xdr:from>
        <xdr:to>
          <xdr:col>3</xdr:col>
          <xdr:colOff>676275</xdr:colOff>
          <xdr:row>304</xdr:row>
          <xdr:rowOff>161925</xdr:rowOff>
        </xdr:to>
        <xdr:sp macro="" textlink="">
          <xdr:nvSpPr>
            <xdr:cNvPr id="8610" name="Object 418" hidden="1">
              <a:extLst>
                <a:ext uri="{63B3BB69-23CF-44E3-9099-C40C66FF867C}">
                  <a14:compatExt spid="_x0000_s86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295275</xdr:colOff>
          <xdr:row>306</xdr:row>
          <xdr:rowOff>104775</xdr:rowOff>
        </xdr:from>
        <xdr:to>
          <xdr:col>2</xdr:col>
          <xdr:colOff>733425</xdr:colOff>
          <xdr:row>307</xdr:row>
          <xdr:rowOff>228600</xdr:rowOff>
        </xdr:to>
        <xdr:sp macro="" textlink="">
          <xdr:nvSpPr>
            <xdr:cNvPr id="8611" name="Object 419" hidden="1">
              <a:extLst>
                <a:ext uri="{63B3BB69-23CF-44E3-9099-C40C66FF867C}">
                  <a14:compatExt spid="_x0000_s86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295275</xdr:colOff>
          <xdr:row>306</xdr:row>
          <xdr:rowOff>104775</xdr:rowOff>
        </xdr:from>
        <xdr:to>
          <xdr:col>3</xdr:col>
          <xdr:colOff>733425</xdr:colOff>
          <xdr:row>307</xdr:row>
          <xdr:rowOff>228600</xdr:rowOff>
        </xdr:to>
        <xdr:sp macro="" textlink="">
          <xdr:nvSpPr>
            <xdr:cNvPr id="8612" name="Object 420" hidden="1">
              <a:extLst>
                <a:ext uri="{63B3BB69-23CF-44E3-9099-C40C66FF867C}">
                  <a14:compatExt spid="_x0000_s86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303</xdr:row>
          <xdr:rowOff>85725</xdr:rowOff>
        </xdr:from>
        <xdr:to>
          <xdr:col>4</xdr:col>
          <xdr:colOff>733425</xdr:colOff>
          <xdr:row>304</xdr:row>
          <xdr:rowOff>161925</xdr:rowOff>
        </xdr:to>
        <xdr:sp macro="" textlink="">
          <xdr:nvSpPr>
            <xdr:cNvPr id="8613" name="Object 421" hidden="1">
              <a:extLst>
                <a:ext uri="{63B3BB69-23CF-44E3-9099-C40C66FF867C}">
                  <a14:compatExt spid="_x0000_s86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306</xdr:row>
          <xdr:rowOff>85725</xdr:rowOff>
        </xdr:from>
        <xdr:to>
          <xdr:col>4</xdr:col>
          <xdr:colOff>733425</xdr:colOff>
          <xdr:row>307</xdr:row>
          <xdr:rowOff>161925</xdr:rowOff>
        </xdr:to>
        <xdr:sp macro="" textlink="">
          <xdr:nvSpPr>
            <xdr:cNvPr id="8614" name="Object 422" hidden="1">
              <a:extLst>
                <a:ext uri="{63B3BB69-23CF-44E3-9099-C40C66FF867C}">
                  <a14:compatExt spid="_x0000_s86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304800</xdr:colOff>
          <xdr:row>306</xdr:row>
          <xdr:rowOff>76200</xdr:rowOff>
        </xdr:from>
        <xdr:to>
          <xdr:col>7</xdr:col>
          <xdr:colOff>733425</xdr:colOff>
          <xdr:row>307</xdr:row>
          <xdr:rowOff>161925</xdr:rowOff>
        </xdr:to>
        <xdr:sp macro="" textlink="">
          <xdr:nvSpPr>
            <xdr:cNvPr id="8615" name="Object 423" hidden="1">
              <a:extLst>
                <a:ext uri="{63B3BB69-23CF-44E3-9099-C40C66FF867C}">
                  <a14:compatExt spid="_x0000_s86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428625</xdr:colOff>
          <xdr:row>303</xdr:row>
          <xdr:rowOff>152400</xdr:rowOff>
        </xdr:from>
        <xdr:to>
          <xdr:col>13</xdr:col>
          <xdr:colOff>609600</xdr:colOff>
          <xdr:row>304</xdr:row>
          <xdr:rowOff>104775</xdr:rowOff>
        </xdr:to>
        <xdr:sp macro="" textlink="">
          <xdr:nvSpPr>
            <xdr:cNvPr id="8616" name="Object 424" hidden="1">
              <a:extLst>
                <a:ext uri="{63B3BB69-23CF-44E3-9099-C40C66FF867C}">
                  <a14:compatExt spid="_x0000_s86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257175</xdr:colOff>
          <xdr:row>303</xdr:row>
          <xdr:rowOff>85725</xdr:rowOff>
        </xdr:from>
        <xdr:to>
          <xdr:col>14</xdr:col>
          <xdr:colOff>676275</xdr:colOff>
          <xdr:row>304</xdr:row>
          <xdr:rowOff>161925</xdr:rowOff>
        </xdr:to>
        <xdr:sp macro="" textlink="">
          <xdr:nvSpPr>
            <xdr:cNvPr id="8617" name="Object 425" hidden="1">
              <a:extLst>
                <a:ext uri="{63B3BB69-23CF-44E3-9099-C40C66FF867C}">
                  <a14:compatExt spid="_x0000_s86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295275</xdr:colOff>
          <xdr:row>306</xdr:row>
          <xdr:rowOff>104775</xdr:rowOff>
        </xdr:from>
        <xdr:to>
          <xdr:col>13</xdr:col>
          <xdr:colOff>733425</xdr:colOff>
          <xdr:row>307</xdr:row>
          <xdr:rowOff>228600</xdr:rowOff>
        </xdr:to>
        <xdr:sp macro="" textlink="">
          <xdr:nvSpPr>
            <xdr:cNvPr id="8618" name="Object 426" hidden="1">
              <a:extLst>
                <a:ext uri="{63B3BB69-23CF-44E3-9099-C40C66FF867C}">
                  <a14:compatExt spid="_x0000_s86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295275</xdr:colOff>
          <xdr:row>306</xdr:row>
          <xdr:rowOff>104775</xdr:rowOff>
        </xdr:from>
        <xdr:to>
          <xdr:col>14</xdr:col>
          <xdr:colOff>733425</xdr:colOff>
          <xdr:row>307</xdr:row>
          <xdr:rowOff>228600</xdr:rowOff>
        </xdr:to>
        <xdr:sp macro="" textlink="">
          <xdr:nvSpPr>
            <xdr:cNvPr id="8619" name="Object 427" hidden="1">
              <a:extLst>
                <a:ext uri="{63B3BB69-23CF-44E3-9099-C40C66FF867C}">
                  <a14:compatExt spid="_x0000_s86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314325</xdr:colOff>
          <xdr:row>303</xdr:row>
          <xdr:rowOff>85725</xdr:rowOff>
        </xdr:from>
        <xdr:to>
          <xdr:col>15</xdr:col>
          <xdr:colOff>733425</xdr:colOff>
          <xdr:row>304</xdr:row>
          <xdr:rowOff>161925</xdr:rowOff>
        </xdr:to>
        <xdr:sp macro="" textlink="">
          <xdr:nvSpPr>
            <xdr:cNvPr id="8620" name="Object 428" hidden="1">
              <a:extLst>
                <a:ext uri="{63B3BB69-23CF-44E3-9099-C40C66FF867C}">
                  <a14:compatExt spid="_x0000_s86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304800</xdr:colOff>
          <xdr:row>306</xdr:row>
          <xdr:rowOff>85725</xdr:rowOff>
        </xdr:from>
        <xdr:to>
          <xdr:col>15</xdr:col>
          <xdr:colOff>733425</xdr:colOff>
          <xdr:row>307</xdr:row>
          <xdr:rowOff>161925</xdr:rowOff>
        </xdr:to>
        <xdr:sp macro="" textlink="">
          <xdr:nvSpPr>
            <xdr:cNvPr id="8621" name="Object 429" hidden="1">
              <a:extLst>
                <a:ext uri="{63B3BB69-23CF-44E3-9099-C40C66FF867C}">
                  <a14:compatExt spid="_x0000_s86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304800</xdr:colOff>
          <xdr:row>306</xdr:row>
          <xdr:rowOff>76200</xdr:rowOff>
        </xdr:from>
        <xdr:to>
          <xdr:col>18</xdr:col>
          <xdr:colOff>733425</xdr:colOff>
          <xdr:row>307</xdr:row>
          <xdr:rowOff>161925</xdr:rowOff>
        </xdr:to>
        <xdr:sp macro="" textlink="">
          <xdr:nvSpPr>
            <xdr:cNvPr id="8622" name="Object 430" hidden="1">
              <a:extLst>
                <a:ext uri="{63B3BB69-23CF-44E3-9099-C40C66FF867C}">
                  <a14:compatExt spid="_x0000_s86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428625</xdr:colOff>
          <xdr:row>323</xdr:row>
          <xdr:rowOff>152400</xdr:rowOff>
        </xdr:from>
        <xdr:to>
          <xdr:col>2</xdr:col>
          <xdr:colOff>609600</xdr:colOff>
          <xdr:row>324</xdr:row>
          <xdr:rowOff>104775</xdr:rowOff>
        </xdr:to>
        <xdr:sp macro="" textlink="">
          <xdr:nvSpPr>
            <xdr:cNvPr id="8623" name="Object 431" hidden="1">
              <a:extLst>
                <a:ext uri="{63B3BB69-23CF-44E3-9099-C40C66FF867C}">
                  <a14:compatExt spid="_x0000_s86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257175</xdr:colOff>
          <xdr:row>323</xdr:row>
          <xdr:rowOff>85725</xdr:rowOff>
        </xdr:from>
        <xdr:to>
          <xdr:col>3</xdr:col>
          <xdr:colOff>676275</xdr:colOff>
          <xdr:row>324</xdr:row>
          <xdr:rowOff>161925</xdr:rowOff>
        </xdr:to>
        <xdr:sp macro="" textlink="">
          <xdr:nvSpPr>
            <xdr:cNvPr id="8624" name="Object 432" hidden="1">
              <a:extLst>
                <a:ext uri="{63B3BB69-23CF-44E3-9099-C40C66FF867C}">
                  <a14:compatExt spid="_x0000_s86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295275</xdr:colOff>
          <xdr:row>326</xdr:row>
          <xdr:rowOff>104775</xdr:rowOff>
        </xdr:from>
        <xdr:to>
          <xdr:col>2</xdr:col>
          <xdr:colOff>733425</xdr:colOff>
          <xdr:row>327</xdr:row>
          <xdr:rowOff>228600</xdr:rowOff>
        </xdr:to>
        <xdr:sp macro="" textlink="">
          <xdr:nvSpPr>
            <xdr:cNvPr id="8625" name="Object 433" hidden="1">
              <a:extLst>
                <a:ext uri="{63B3BB69-23CF-44E3-9099-C40C66FF867C}">
                  <a14:compatExt spid="_x0000_s86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295275</xdr:colOff>
          <xdr:row>326</xdr:row>
          <xdr:rowOff>104775</xdr:rowOff>
        </xdr:from>
        <xdr:to>
          <xdr:col>3</xdr:col>
          <xdr:colOff>733425</xdr:colOff>
          <xdr:row>327</xdr:row>
          <xdr:rowOff>228600</xdr:rowOff>
        </xdr:to>
        <xdr:sp macro="" textlink="">
          <xdr:nvSpPr>
            <xdr:cNvPr id="8626" name="Object 434" hidden="1">
              <a:extLst>
                <a:ext uri="{63B3BB69-23CF-44E3-9099-C40C66FF867C}">
                  <a14:compatExt spid="_x0000_s86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323</xdr:row>
          <xdr:rowOff>85725</xdr:rowOff>
        </xdr:from>
        <xdr:to>
          <xdr:col>4</xdr:col>
          <xdr:colOff>733425</xdr:colOff>
          <xdr:row>324</xdr:row>
          <xdr:rowOff>161925</xdr:rowOff>
        </xdr:to>
        <xdr:sp macro="" textlink="">
          <xdr:nvSpPr>
            <xdr:cNvPr id="8627" name="Object 435" hidden="1">
              <a:extLst>
                <a:ext uri="{63B3BB69-23CF-44E3-9099-C40C66FF867C}">
                  <a14:compatExt spid="_x0000_s86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326</xdr:row>
          <xdr:rowOff>85725</xdr:rowOff>
        </xdr:from>
        <xdr:to>
          <xdr:col>4</xdr:col>
          <xdr:colOff>733425</xdr:colOff>
          <xdr:row>327</xdr:row>
          <xdr:rowOff>161925</xdr:rowOff>
        </xdr:to>
        <xdr:sp macro="" textlink="">
          <xdr:nvSpPr>
            <xdr:cNvPr id="8628" name="Object 436" hidden="1">
              <a:extLst>
                <a:ext uri="{63B3BB69-23CF-44E3-9099-C40C66FF867C}">
                  <a14:compatExt spid="_x0000_s86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304800</xdr:colOff>
          <xdr:row>326</xdr:row>
          <xdr:rowOff>76200</xdr:rowOff>
        </xdr:from>
        <xdr:to>
          <xdr:col>7</xdr:col>
          <xdr:colOff>733425</xdr:colOff>
          <xdr:row>327</xdr:row>
          <xdr:rowOff>161925</xdr:rowOff>
        </xdr:to>
        <xdr:sp macro="" textlink="">
          <xdr:nvSpPr>
            <xdr:cNvPr id="8629" name="Object 437" hidden="1">
              <a:extLst>
                <a:ext uri="{63B3BB69-23CF-44E3-9099-C40C66FF867C}">
                  <a14:compatExt spid="_x0000_s86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428625</xdr:colOff>
          <xdr:row>323</xdr:row>
          <xdr:rowOff>152400</xdr:rowOff>
        </xdr:from>
        <xdr:to>
          <xdr:col>13</xdr:col>
          <xdr:colOff>609600</xdr:colOff>
          <xdr:row>324</xdr:row>
          <xdr:rowOff>104775</xdr:rowOff>
        </xdr:to>
        <xdr:sp macro="" textlink="">
          <xdr:nvSpPr>
            <xdr:cNvPr id="8630" name="Object 438" hidden="1">
              <a:extLst>
                <a:ext uri="{63B3BB69-23CF-44E3-9099-C40C66FF867C}">
                  <a14:compatExt spid="_x0000_s86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257175</xdr:colOff>
          <xdr:row>323</xdr:row>
          <xdr:rowOff>85725</xdr:rowOff>
        </xdr:from>
        <xdr:to>
          <xdr:col>14</xdr:col>
          <xdr:colOff>676275</xdr:colOff>
          <xdr:row>324</xdr:row>
          <xdr:rowOff>161925</xdr:rowOff>
        </xdr:to>
        <xdr:sp macro="" textlink="">
          <xdr:nvSpPr>
            <xdr:cNvPr id="8631" name="Object 439" hidden="1">
              <a:extLst>
                <a:ext uri="{63B3BB69-23CF-44E3-9099-C40C66FF867C}">
                  <a14:compatExt spid="_x0000_s86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295275</xdr:colOff>
          <xdr:row>326</xdr:row>
          <xdr:rowOff>104775</xdr:rowOff>
        </xdr:from>
        <xdr:to>
          <xdr:col>13</xdr:col>
          <xdr:colOff>733425</xdr:colOff>
          <xdr:row>327</xdr:row>
          <xdr:rowOff>228600</xdr:rowOff>
        </xdr:to>
        <xdr:sp macro="" textlink="">
          <xdr:nvSpPr>
            <xdr:cNvPr id="8632" name="Object 440" hidden="1">
              <a:extLst>
                <a:ext uri="{63B3BB69-23CF-44E3-9099-C40C66FF867C}">
                  <a14:compatExt spid="_x0000_s86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295275</xdr:colOff>
          <xdr:row>326</xdr:row>
          <xdr:rowOff>104775</xdr:rowOff>
        </xdr:from>
        <xdr:to>
          <xdr:col>14</xdr:col>
          <xdr:colOff>733425</xdr:colOff>
          <xdr:row>327</xdr:row>
          <xdr:rowOff>228600</xdr:rowOff>
        </xdr:to>
        <xdr:sp macro="" textlink="">
          <xdr:nvSpPr>
            <xdr:cNvPr id="8633" name="Object 441" hidden="1">
              <a:extLst>
                <a:ext uri="{63B3BB69-23CF-44E3-9099-C40C66FF867C}">
                  <a14:compatExt spid="_x0000_s86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314325</xdr:colOff>
          <xdr:row>323</xdr:row>
          <xdr:rowOff>85725</xdr:rowOff>
        </xdr:from>
        <xdr:to>
          <xdr:col>15</xdr:col>
          <xdr:colOff>733425</xdr:colOff>
          <xdr:row>324</xdr:row>
          <xdr:rowOff>161925</xdr:rowOff>
        </xdr:to>
        <xdr:sp macro="" textlink="">
          <xdr:nvSpPr>
            <xdr:cNvPr id="8634" name="Object 442" hidden="1">
              <a:extLst>
                <a:ext uri="{63B3BB69-23CF-44E3-9099-C40C66FF867C}">
                  <a14:compatExt spid="_x0000_s86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304800</xdr:colOff>
          <xdr:row>326</xdr:row>
          <xdr:rowOff>85725</xdr:rowOff>
        </xdr:from>
        <xdr:to>
          <xdr:col>15</xdr:col>
          <xdr:colOff>733425</xdr:colOff>
          <xdr:row>327</xdr:row>
          <xdr:rowOff>161925</xdr:rowOff>
        </xdr:to>
        <xdr:sp macro="" textlink="">
          <xdr:nvSpPr>
            <xdr:cNvPr id="8635" name="Object 443" hidden="1">
              <a:extLst>
                <a:ext uri="{63B3BB69-23CF-44E3-9099-C40C66FF867C}">
                  <a14:compatExt spid="_x0000_s86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304800</xdr:colOff>
          <xdr:row>326</xdr:row>
          <xdr:rowOff>76200</xdr:rowOff>
        </xdr:from>
        <xdr:to>
          <xdr:col>18</xdr:col>
          <xdr:colOff>733425</xdr:colOff>
          <xdr:row>327</xdr:row>
          <xdr:rowOff>161925</xdr:rowOff>
        </xdr:to>
        <xdr:sp macro="" textlink="">
          <xdr:nvSpPr>
            <xdr:cNvPr id="8636" name="Object 444" hidden="1">
              <a:extLst>
                <a:ext uri="{63B3BB69-23CF-44E3-9099-C40C66FF867C}">
                  <a14:compatExt spid="_x0000_s86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428625</xdr:colOff>
          <xdr:row>343</xdr:row>
          <xdr:rowOff>152400</xdr:rowOff>
        </xdr:from>
        <xdr:to>
          <xdr:col>2</xdr:col>
          <xdr:colOff>609600</xdr:colOff>
          <xdr:row>344</xdr:row>
          <xdr:rowOff>104775</xdr:rowOff>
        </xdr:to>
        <xdr:sp macro="" textlink="">
          <xdr:nvSpPr>
            <xdr:cNvPr id="8637" name="Object 445" hidden="1">
              <a:extLst>
                <a:ext uri="{63B3BB69-23CF-44E3-9099-C40C66FF867C}">
                  <a14:compatExt spid="_x0000_s86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257175</xdr:colOff>
          <xdr:row>343</xdr:row>
          <xdr:rowOff>85725</xdr:rowOff>
        </xdr:from>
        <xdr:to>
          <xdr:col>3</xdr:col>
          <xdr:colOff>676275</xdr:colOff>
          <xdr:row>344</xdr:row>
          <xdr:rowOff>161925</xdr:rowOff>
        </xdr:to>
        <xdr:sp macro="" textlink="">
          <xdr:nvSpPr>
            <xdr:cNvPr id="8638" name="Object 446" hidden="1">
              <a:extLst>
                <a:ext uri="{63B3BB69-23CF-44E3-9099-C40C66FF867C}">
                  <a14:compatExt spid="_x0000_s86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295275</xdr:colOff>
          <xdr:row>346</xdr:row>
          <xdr:rowOff>104775</xdr:rowOff>
        </xdr:from>
        <xdr:to>
          <xdr:col>2</xdr:col>
          <xdr:colOff>733425</xdr:colOff>
          <xdr:row>347</xdr:row>
          <xdr:rowOff>228600</xdr:rowOff>
        </xdr:to>
        <xdr:sp macro="" textlink="">
          <xdr:nvSpPr>
            <xdr:cNvPr id="8639" name="Object 447" hidden="1">
              <a:extLst>
                <a:ext uri="{63B3BB69-23CF-44E3-9099-C40C66FF867C}">
                  <a14:compatExt spid="_x0000_s86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295275</xdr:colOff>
          <xdr:row>346</xdr:row>
          <xdr:rowOff>104775</xdr:rowOff>
        </xdr:from>
        <xdr:to>
          <xdr:col>3</xdr:col>
          <xdr:colOff>733425</xdr:colOff>
          <xdr:row>347</xdr:row>
          <xdr:rowOff>228600</xdr:rowOff>
        </xdr:to>
        <xdr:sp macro="" textlink="">
          <xdr:nvSpPr>
            <xdr:cNvPr id="8640" name="Object 448" hidden="1">
              <a:extLst>
                <a:ext uri="{63B3BB69-23CF-44E3-9099-C40C66FF867C}">
                  <a14:compatExt spid="_x0000_s86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343</xdr:row>
          <xdr:rowOff>85725</xdr:rowOff>
        </xdr:from>
        <xdr:to>
          <xdr:col>4</xdr:col>
          <xdr:colOff>733425</xdr:colOff>
          <xdr:row>344</xdr:row>
          <xdr:rowOff>161925</xdr:rowOff>
        </xdr:to>
        <xdr:sp macro="" textlink="">
          <xdr:nvSpPr>
            <xdr:cNvPr id="8641" name="Object 449" hidden="1">
              <a:extLst>
                <a:ext uri="{63B3BB69-23CF-44E3-9099-C40C66FF867C}">
                  <a14:compatExt spid="_x0000_s86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346</xdr:row>
          <xdr:rowOff>85725</xdr:rowOff>
        </xdr:from>
        <xdr:to>
          <xdr:col>4</xdr:col>
          <xdr:colOff>733425</xdr:colOff>
          <xdr:row>347</xdr:row>
          <xdr:rowOff>161925</xdr:rowOff>
        </xdr:to>
        <xdr:sp macro="" textlink="">
          <xdr:nvSpPr>
            <xdr:cNvPr id="8642" name="Object 450" hidden="1">
              <a:extLst>
                <a:ext uri="{63B3BB69-23CF-44E3-9099-C40C66FF867C}">
                  <a14:compatExt spid="_x0000_s86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304800</xdr:colOff>
          <xdr:row>346</xdr:row>
          <xdr:rowOff>76200</xdr:rowOff>
        </xdr:from>
        <xdr:to>
          <xdr:col>7</xdr:col>
          <xdr:colOff>733425</xdr:colOff>
          <xdr:row>347</xdr:row>
          <xdr:rowOff>161925</xdr:rowOff>
        </xdr:to>
        <xdr:sp macro="" textlink="">
          <xdr:nvSpPr>
            <xdr:cNvPr id="8643" name="Object 451" hidden="1">
              <a:extLst>
                <a:ext uri="{63B3BB69-23CF-44E3-9099-C40C66FF867C}">
                  <a14:compatExt spid="_x0000_s86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428625</xdr:colOff>
          <xdr:row>343</xdr:row>
          <xdr:rowOff>152400</xdr:rowOff>
        </xdr:from>
        <xdr:to>
          <xdr:col>13</xdr:col>
          <xdr:colOff>609600</xdr:colOff>
          <xdr:row>344</xdr:row>
          <xdr:rowOff>104775</xdr:rowOff>
        </xdr:to>
        <xdr:sp macro="" textlink="">
          <xdr:nvSpPr>
            <xdr:cNvPr id="8644" name="Object 452" hidden="1">
              <a:extLst>
                <a:ext uri="{63B3BB69-23CF-44E3-9099-C40C66FF867C}">
                  <a14:compatExt spid="_x0000_s86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257175</xdr:colOff>
          <xdr:row>343</xdr:row>
          <xdr:rowOff>85725</xdr:rowOff>
        </xdr:from>
        <xdr:to>
          <xdr:col>14</xdr:col>
          <xdr:colOff>676275</xdr:colOff>
          <xdr:row>344</xdr:row>
          <xdr:rowOff>161925</xdr:rowOff>
        </xdr:to>
        <xdr:sp macro="" textlink="">
          <xdr:nvSpPr>
            <xdr:cNvPr id="8645" name="Object 453" hidden="1">
              <a:extLst>
                <a:ext uri="{63B3BB69-23CF-44E3-9099-C40C66FF867C}">
                  <a14:compatExt spid="_x0000_s86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295275</xdr:colOff>
          <xdr:row>346</xdr:row>
          <xdr:rowOff>104775</xdr:rowOff>
        </xdr:from>
        <xdr:to>
          <xdr:col>13</xdr:col>
          <xdr:colOff>733425</xdr:colOff>
          <xdr:row>347</xdr:row>
          <xdr:rowOff>228600</xdr:rowOff>
        </xdr:to>
        <xdr:sp macro="" textlink="">
          <xdr:nvSpPr>
            <xdr:cNvPr id="8646" name="Object 454" hidden="1">
              <a:extLst>
                <a:ext uri="{63B3BB69-23CF-44E3-9099-C40C66FF867C}">
                  <a14:compatExt spid="_x0000_s86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295275</xdr:colOff>
          <xdr:row>346</xdr:row>
          <xdr:rowOff>104775</xdr:rowOff>
        </xdr:from>
        <xdr:to>
          <xdr:col>14</xdr:col>
          <xdr:colOff>733425</xdr:colOff>
          <xdr:row>347</xdr:row>
          <xdr:rowOff>228600</xdr:rowOff>
        </xdr:to>
        <xdr:sp macro="" textlink="">
          <xdr:nvSpPr>
            <xdr:cNvPr id="8647" name="Object 455" hidden="1">
              <a:extLst>
                <a:ext uri="{63B3BB69-23CF-44E3-9099-C40C66FF867C}">
                  <a14:compatExt spid="_x0000_s86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314325</xdr:colOff>
          <xdr:row>343</xdr:row>
          <xdr:rowOff>85725</xdr:rowOff>
        </xdr:from>
        <xdr:to>
          <xdr:col>15</xdr:col>
          <xdr:colOff>733425</xdr:colOff>
          <xdr:row>344</xdr:row>
          <xdr:rowOff>161925</xdr:rowOff>
        </xdr:to>
        <xdr:sp macro="" textlink="">
          <xdr:nvSpPr>
            <xdr:cNvPr id="8648" name="Object 456" hidden="1">
              <a:extLst>
                <a:ext uri="{63B3BB69-23CF-44E3-9099-C40C66FF867C}">
                  <a14:compatExt spid="_x0000_s86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304800</xdr:colOff>
          <xdr:row>346</xdr:row>
          <xdr:rowOff>85725</xdr:rowOff>
        </xdr:from>
        <xdr:to>
          <xdr:col>15</xdr:col>
          <xdr:colOff>733425</xdr:colOff>
          <xdr:row>347</xdr:row>
          <xdr:rowOff>161925</xdr:rowOff>
        </xdr:to>
        <xdr:sp macro="" textlink="">
          <xdr:nvSpPr>
            <xdr:cNvPr id="8649" name="Object 457" hidden="1">
              <a:extLst>
                <a:ext uri="{63B3BB69-23CF-44E3-9099-C40C66FF867C}">
                  <a14:compatExt spid="_x0000_s86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304800</xdr:colOff>
          <xdr:row>346</xdr:row>
          <xdr:rowOff>76200</xdr:rowOff>
        </xdr:from>
        <xdr:to>
          <xdr:col>18</xdr:col>
          <xdr:colOff>733425</xdr:colOff>
          <xdr:row>347</xdr:row>
          <xdr:rowOff>161925</xdr:rowOff>
        </xdr:to>
        <xdr:sp macro="" textlink="">
          <xdr:nvSpPr>
            <xdr:cNvPr id="8650" name="Object 458" hidden="1">
              <a:extLst>
                <a:ext uri="{63B3BB69-23CF-44E3-9099-C40C66FF867C}">
                  <a14:compatExt spid="_x0000_s86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304800</xdr:colOff>
          <xdr:row>45</xdr:row>
          <xdr:rowOff>76200</xdr:rowOff>
        </xdr:from>
        <xdr:to>
          <xdr:col>32</xdr:col>
          <xdr:colOff>714375</xdr:colOff>
          <xdr:row>46</xdr:row>
          <xdr:rowOff>142875</xdr:rowOff>
        </xdr:to>
        <xdr:sp macro="" textlink="">
          <xdr:nvSpPr>
            <xdr:cNvPr id="8651" name="Object 459" hidden="1">
              <a:extLst>
                <a:ext uri="{63B3BB69-23CF-44E3-9099-C40C66FF867C}">
                  <a14:compatExt spid="_x0000_s86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304800</xdr:colOff>
          <xdr:row>45</xdr:row>
          <xdr:rowOff>76200</xdr:rowOff>
        </xdr:from>
        <xdr:to>
          <xdr:col>36</xdr:col>
          <xdr:colOff>714375</xdr:colOff>
          <xdr:row>46</xdr:row>
          <xdr:rowOff>142875</xdr:rowOff>
        </xdr:to>
        <xdr:sp macro="" textlink="">
          <xdr:nvSpPr>
            <xdr:cNvPr id="8652" name="Object 460" hidden="1">
              <a:extLst>
                <a:ext uri="{63B3BB69-23CF-44E3-9099-C40C66FF867C}">
                  <a14:compatExt spid="_x0000_s86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257175</xdr:colOff>
          <xdr:row>477</xdr:row>
          <xdr:rowOff>85725</xdr:rowOff>
        </xdr:from>
        <xdr:to>
          <xdr:col>3</xdr:col>
          <xdr:colOff>676275</xdr:colOff>
          <xdr:row>478</xdr:row>
          <xdr:rowOff>161925</xdr:rowOff>
        </xdr:to>
        <xdr:sp macro="" textlink="">
          <xdr:nvSpPr>
            <xdr:cNvPr id="8653" name="Object 461" hidden="1">
              <a:extLst>
                <a:ext uri="{63B3BB69-23CF-44E3-9099-C40C66FF867C}">
                  <a14:compatExt spid="_x0000_s86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477</xdr:row>
          <xdr:rowOff>85725</xdr:rowOff>
        </xdr:from>
        <xdr:to>
          <xdr:col>4</xdr:col>
          <xdr:colOff>752475</xdr:colOff>
          <xdr:row>478</xdr:row>
          <xdr:rowOff>161925</xdr:rowOff>
        </xdr:to>
        <xdr:sp macro="" textlink="">
          <xdr:nvSpPr>
            <xdr:cNvPr id="8654" name="Object 462" hidden="1">
              <a:extLst>
                <a:ext uri="{63B3BB69-23CF-44E3-9099-C40C66FF867C}">
                  <a14:compatExt spid="_x0000_s86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295275</xdr:colOff>
          <xdr:row>477</xdr:row>
          <xdr:rowOff>104775</xdr:rowOff>
        </xdr:from>
        <xdr:to>
          <xdr:col>3</xdr:col>
          <xdr:colOff>752475</xdr:colOff>
          <xdr:row>478</xdr:row>
          <xdr:rowOff>200025</xdr:rowOff>
        </xdr:to>
        <xdr:sp macro="" textlink="">
          <xdr:nvSpPr>
            <xdr:cNvPr id="8655" name="Object 463" hidden="1">
              <a:extLst>
                <a:ext uri="{63B3BB69-23CF-44E3-9099-C40C66FF867C}">
                  <a14:compatExt spid="_x0000_s86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477</xdr:row>
          <xdr:rowOff>85725</xdr:rowOff>
        </xdr:from>
        <xdr:to>
          <xdr:col>4</xdr:col>
          <xdr:colOff>752475</xdr:colOff>
          <xdr:row>478</xdr:row>
          <xdr:rowOff>161925</xdr:rowOff>
        </xdr:to>
        <xdr:sp macro="" textlink="">
          <xdr:nvSpPr>
            <xdr:cNvPr id="8656" name="Object 464" hidden="1">
              <a:extLst>
                <a:ext uri="{63B3BB69-23CF-44E3-9099-C40C66FF867C}">
                  <a14:compatExt spid="_x0000_s86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428625</xdr:colOff>
          <xdr:row>474</xdr:row>
          <xdr:rowOff>152400</xdr:rowOff>
        </xdr:from>
        <xdr:to>
          <xdr:col>2</xdr:col>
          <xdr:colOff>619125</xdr:colOff>
          <xdr:row>475</xdr:row>
          <xdr:rowOff>114300</xdr:rowOff>
        </xdr:to>
        <xdr:sp macro="" textlink="">
          <xdr:nvSpPr>
            <xdr:cNvPr id="8657" name="Object 465" hidden="1">
              <a:extLst>
                <a:ext uri="{63B3BB69-23CF-44E3-9099-C40C66FF867C}">
                  <a14:compatExt spid="_x0000_s86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257175</xdr:colOff>
          <xdr:row>474</xdr:row>
          <xdr:rowOff>85725</xdr:rowOff>
        </xdr:from>
        <xdr:to>
          <xdr:col>3</xdr:col>
          <xdr:colOff>676275</xdr:colOff>
          <xdr:row>475</xdr:row>
          <xdr:rowOff>180975</xdr:rowOff>
        </xdr:to>
        <xdr:sp macro="" textlink="">
          <xdr:nvSpPr>
            <xdr:cNvPr id="8658" name="Object 466" hidden="1">
              <a:extLst>
                <a:ext uri="{63B3BB69-23CF-44E3-9099-C40C66FF867C}">
                  <a14:compatExt spid="_x0000_s86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295275</xdr:colOff>
          <xdr:row>477</xdr:row>
          <xdr:rowOff>104775</xdr:rowOff>
        </xdr:from>
        <xdr:to>
          <xdr:col>2</xdr:col>
          <xdr:colOff>714375</xdr:colOff>
          <xdr:row>478</xdr:row>
          <xdr:rowOff>200025</xdr:rowOff>
        </xdr:to>
        <xdr:sp macro="" textlink="">
          <xdr:nvSpPr>
            <xdr:cNvPr id="8659" name="Object 467" hidden="1">
              <a:extLst>
                <a:ext uri="{63B3BB69-23CF-44E3-9099-C40C66FF867C}">
                  <a14:compatExt spid="_x0000_s86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474</xdr:row>
          <xdr:rowOff>85725</xdr:rowOff>
        </xdr:from>
        <xdr:to>
          <xdr:col>4</xdr:col>
          <xdr:colOff>752475</xdr:colOff>
          <xdr:row>475</xdr:row>
          <xdr:rowOff>180975</xdr:rowOff>
        </xdr:to>
        <xdr:sp macro="" textlink="">
          <xdr:nvSpPr>
            <xdr:cNvPr id="8660" name="Object 468" hidden="1">
              <a:extLst>
                <a:ext uri="{63B3BB69-23CF-44E3-9099-C40C66FF867C}">
                  <a14:compatExt spid="_x0000_s86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428625</xdr:colOff>
          <xdr:row>474</xdr:row>
          <xdr:rowOff>152400</xdr:rowOff>
        </xdr:from>
        <xdr:to>
          <xdr:col>8</xdr:col>
          <xdr:colOff>619125</xdr:colOff>
          <xdr:row>475</xdr:row>
          <xdr:rowOff>114300</xdr:rowOff>
        </xdr:to>
        <xdr:sp macro="" textlink="">
          <xdr:nvSpPr>
            <xdr:cNvPr id="8661" name="Object 469" hidden="1">
              <a:extLst>
                <a:ext uri="{63B3BB69-23CF-44E3-9099-C40C66FF867C}">
                  <a14:compatExt spid="_x0000_s86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257175</xdr:colOff>
          <xdr:row>474</xdr:row>
          <xdr:rowOff>85725</xdr:rowOff>
        </xdr:from>
        <xdr:to>
          <xdr:col>9</xdr:col>
          <xdr:colOff>676275</xdr:colOff>
          <xdr:row>475</xdr:row>
          <xdr:rowOff>180975</xdr:rowOff>
        </xdr:to>
        <xdr:sp macro="" textlink="">
          <xdr:nvSpPr>
            <xdr:cNvPr id="8662" name="Object 470" hidden="1">
              <a:extLst>
                <a:ext uri="{63B3BB69-23CF-44E3-9099-C40C66FF867C}">
                  <a14:compatExt spid="_x0000_s86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295275</xdr:colOff>
          <xdr:row>477</xdr:row>
          <xdr:rowOff>104775</xdr:rowOff>
        </xdr:from>
        <xdr:to>
          <xdr:col>8</xdr:col>
          <xdr:colOff>714375</xdr:colOff>
          <xdr:row>478</xdr:row>
          <xdr:rowOff>200025</xdr:rowOff>
        </xdr:to>
        <xdr:sp macro="" textlink="">
          <xdr:nvSpPr>
            <xdr:cNvPr id="8663" name="Object 471" hidden="1">
              <a:extLst>
                <a:ext uri="{63B3BB69-23CF-44E3-9099-C40C66FF867C}">
                  <a14:compatExt spid="_x0000_s86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295275</xdr:colOff>
          <xdr:row>477</xdr:row>
          <xdr:rowOff>104775</xdr:rowOff>
        </xdr:from>
        <xdr:to>
          <xdr:col>9</xdr:col>
          <xdr:colOff>714375</xdr:colOff>
          <xdr:row>478</xdr:row>
          <xdr:rowOff>200025</xdr:rowOff>
        </xdr:to>
        <xdr:sp macro="" textlink="">
          <xdr:nvSpPr>
            <xdr:cNvPr id="8664" name="Object 472" hidden="1">
              <a:extLst>
                <a:ext uri="{63B3BB69-23CF-44E3-9099-C40C66FF867C}">
                  <a14:compatExt spid="_x0000_s86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333375</xdr:colOff>
          <xdr:row>474</xdr:row>
          <xdr:rowOff>85725</xdr:rowOff>
        </xdr:from>
        <xdr:to>
          <xdr:col>10</xdr:col>
          <xdr:colOff>752475</xdr:colOff>
          <xdr:row>475</xdr:row>
          <xdr:rowOff>180975</xdr:rowOff>
        </xdr:to>
        <xdr:sp macro="" textlink="">
          <xdr:nvSpPr>
            <xdr:cNvPr id="8665" name="Object 473" hidden="1">
              <a:extLst>
                <a:ext uri="{63B3BB69-23CF-44E3-9099-C40C66FF867C}">
                  <a14:compatExt spid="_x0000_s86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304800</xdr:colOff>
          <xdr:row>477</xdr:row>
          <xdr:rowOff>85725</xdr:rowOff>
        </xdr:from>
        <xdr:to>
          <xdr:col>10</xdr:col>
          <xdr:colOff>714375</xdr:colOff>
          <xdr:row>478</xdr:row>
          <xdr:rowOff>180975</xdr:rowOff>
        </xdr:to>
        <xdr:sp macro="" textlink="">
          <xdr:nvSpPr>
            <xdr:cNvPr id="8666" name="Object 474" hidden="1">
              <a:extLst>
                <a:ext uri="{63B3BB69-23CF-44E3-9099-C40C66FF867C}">
                  <a14:compatExt spid="_x0000_s86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428625</xdr:colOff>
          <xdr:row>474</xdr:row>
          <xdr:rowOff>152400</xdr:rowOff>
        </xdr:from>
        <xdr:to>
          <xdr:col>14</xdr:col>
          <xdr:colOff>619125</xdr:colOff>
          <xdr:row>475</xdr:row>
          <xdr:rowOff>114300</xdr:rowOff>
        </xdr:to>
        <xdr:sp macro="" textlink="">
          <xdr:nvSpPr>
            <xdr:cNvPr id="8667" name="Object 475" hidden="1">
              <a:extLst>
                <a:ext uri="{63B3BB69-23CF-44E3-9099-C40C66FF867C}">
                  <a14:compatExt spid="_x0000_s86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257175</xdr:colOff>
          <xdr:row>474</xdr:row>
          <xdr:rowOff>85725</xdr:rowOff>
        </xdr:from>
        <xdr:to>
          <xdr:col>15</xdr:col>
          <xdr:colOff>676275</xdr:colOff>
          <xdr:row>475</xdr:row>
          <xdr:rowOff>180975</xdr:rowOff>
        </xdr:to>
        <xdr:sp macro="" textlink="">
          <xdr:nvSpPr>
            <xdr:cNvPr id="8668" name="Object 476" hidden="1">
              <a:extLst>
                <a:ext uri="{63B3BB69-23CF-44E3-9099-C40C66FF867C}">
                  <a14:compatExt spid="_x0000_s86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295275</xdr:colOff>
          <xdr:row>477</xdr:row>
          <xdr:rowOff>104775</xdr:rowOff>
        </xdr:from>
        <xdr:to>
          <xdr:col>14</xdr:col>
          <xdr:colOff>714375</xdr:colOff>
          <xdr:row>478</xdr:row>
          <xdr:rowOff>200025</xdr:rowOff>
        </xdr:to>
        <xdr:sp macro="" textlink="">
          <xdr:nvSpPr>
            <xdr:cNvPr id="8669" name="Object 477" hidden="1">
              <a:extLst>
                <a:ext uri="{63B3BB69-23CF-44E3-9099-C40C66FF867C}">
                  <a14:compatExt spid="_x0000_s86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295275</xdr:colOff>
          <xdr:row>477</xdr:row>
          <xdr:rowOff>104775</xdr:rowOff>
        </xdr:from>
        <xdr:to>
          <xdr:col>15</xdr:col>
          <xdr:colOff>714375</xdr:colOff>
          <xdr:row>478</xdr:row>
          <xdr:rowOff>200025</xdr:rowOff>
        </xdr:to>
        <xdr:sp macro="" textlink="">
          <xdr:nvSpPr>
            <xdr:cNvPr id="8670" name="Object 478" hidden="1">
              <a:extLst>
                <a:ext uri="{63B3BB69-23CF-44E3-9099-C40C66FF867C}">
                  <a14:compatExt spid="_x0000_s86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314325</xdr:colOff>
          <xdr:row>474</xdr:row>
          <xdr:rowOff>85725</xdr:rowOff>
        </xdr:from>
        <xdr:to>
          <xdr:col>16</xdr:col>
          <xdr:colOff>752475</xdr:colOff>
          <xdr:row>475</xdr:row>
          <xdr:rowOff>180975</xdr:rowOff>
        </xdr:to>
        <xdr:sp macro="" textlink="">
          <xdr:nvSpPr>
            <xdr:cNvPr id="8671" name="Object 479" hidden="1">
              <a:extLst>
                <a:ext uri="{63B3BB69-23CF-44E3-9099-C40C66FF867C}">
                  <a14:compatExt spid="_x0000_s86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304800</xdr:colOff>
          <xdr:row>477</xdr:row>
          <xdr:rowOff>85725</xdr:rowOff>
        </xdr:from>
        <xdr:to>
          <xdr:col>16</xdr:col>
          <xdr:colOff>714375</xdr:colOff>
          <xdr:row>478</xdr:row>
          <xdr:rowOff>180975</xdr:rowOff>
        </xdr:to>
        <xdr:sp macro="" textlink="">
          <xdr:nvSpPr>
            <xdr:cNvPr id="8672" name="Object 480" hidden="1">
              <a:extLst>
                <a:ext uri="{63B3BB69-23CF-44E3-9099-C40C66FF867C}">
                  <a14:compatExt spid="_x0000_s86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428625</xdr:colOff>
          <xdr:row>474</xdr:row>
          <xdr:rowOff>152400</xdr:rowOff>
        </xdr:from>
        <xdr:to>
          <xdr:col>20</xdr:col>
          <xdr:colOff>619125</xdr:colOff>
          <xdr:row>475</xdr:row>
          <xdr:rowOff>114300</xdr:rowOff>
        </xdr:to>
        <xdr:sp macro="" textlink="">
          <xdr:nvSpPr>
            <xdr:cNvPr id="8673" name="Object 481" hidden="1">
              <a:extLst>
                <a:ext uri="{63B3BB69-23CF-44E3-9099-C40C66FF867C}">
                  <a14:compatExt spid="_x0000_s86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257175</xdr:colOff>
          <xdr:row>474</xdr:row>
          <xdr:rowOff>85725</xdr:rowOff>
        </xdr:from>
        <xdr:to>
          <xdr:col>21</xdr:col>
          <xdr:colOff>676275</xdr:colOff>
          <xdr:row>475</xdr:row>
          <xdr:rowOff>180975</xdr:rowOff>
        </xdr:to>
        <xdr:sp macro="" textlink="">
          <xdr:nvSpPr>
            <xdr:cNvPr id="8674" name="Object 482" hidden="1">
              <a:extLst>
                <a:ext uri="{63B3BB69-23CF-44E3-9099-C40C66FF867C}">
                  <a14:compatExt spid="_x0000_s86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295275</xdr:colOff>
          <xdr:row>477</xdr:row>
          <xdr:rowOff>104775</xdr:rowOff>
        </xdr:from>
        <xdr:to>
          <xdr:col>20</xdr:col>
          <xdr:colOff>714375</xdr:colOff>
          <xdr:row>478</xdr:row>
          <xdr:rowOff>200025</xdr:rowOff>
        </xdr:to>
        <xdr:sp macro="" textlink="">
          <xdr:nvSpPr>
            <xdr:cNvPr id="8675" name="Object 483" hidden="1">
              <a:extLst>
                <a:ext uri="{63B3BB69-23CF-44E3-9099-C40C66FF867C}">
                  <a14:compatExt spid="_x0000_s86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295275</xdr:colOff>
          <xdr:row>477</xdr:row>
          <xdr:rowOff>104775</xdr:rowOff>
        </xdr:from>
        <xdr:to>
          <xdr:col>21</xdr:col>
          <xdr:colOff>714375</xdr:colOff>
          <xdr:row>478</xdr:row>
          <xdr:rowOff>200025</xdr:rowOff>
        </xdr:to>
        <xdr:sp macro="" textlink="">
          <xdr:nvSpPr>
            <xdr:cNvPr id="8676" name="Object 484" hidden="1">
              <a:extLst>
                <a:ext uri="{63B3BB69-23CF-44E3-9099-C40C66FF867C}">
                  <a14:compatExt spid="_x0000_s86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314325</xdr:colOff>
          <xdr:row>474</xdr:row>
          <xdr:rowOff>85725</xdr:rowOff>
        </xdr:from>
        <xdr:to>
          <xdr:col>22</xdr:col>
          <xdr:colOff>752475</xdr:colOff>
          <xdr:row>475</xdr:row>
          <xdr:rowOff>180975</xdr:rowOff>
        </xdr:to>
        <xdr:sp macro="" textlink="">
          <xdr:nvSpPr>
            <xdr:cNvPr id="8677" name="Object 485" hidden="1">
              <a:extLst>
                <a:ext uri="{63B3BB69-23CF-44E3-9099-C40C66FF867C}">
                  <a14:compatExt spid="_x0000_s86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304800</xdr:colOff>
          <xdr:row>477</xdr:row>
          <xdr:rowOff>85725</xdr:rowOff>
        </xdr:from>
        <xdr:to>
          <xdr:col>22</xdr:col>
          <xdr:colOff>714375</xdr:colOff>
          <xdr:row>478</xdr:row>
          <xdr:rowOff>180975</xdr:rowOff>
        </xdr:to>
        <xdr:sp macro="" textlink="">
          <xdr:nvSpPr>
            <xdr:cNvPr id="8678" name="Object 486" hidden="1">
              <a:extLst>
                <a:ext uri="{63B3BB69-23CF-44E3-9099-C40C66FF867C}">
                  <a14:compatExt spid="_x0000_s86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428625</xdr:colOff>
          <xdr:row>474</xdr:row>
          <xdr:rowOff>152400</xdr:rowOff>
        </xdr:from>
        <xdr:to>
          <xdr:col>26</xdr:col>
          <xdr:colOff>619125</xdr:colOff>
          <xdr:row>475</xdr:row>
          <xdr:rowOff>114300</xdr:rowOff>
        </xdr:to>
        <xdr:sp macro="" textlink="">
          <xdr:nvSpPr>
            <xdr:cNvPr id="8679" name="Object 487" hidden="1">
              <a:extLst>
                <a:ext uri="{63B3BB69-23CF-44E3-9099-C40C66FF867C}">
                  <a14:compatExt spid="_x0000_s86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257175</xdr:colOff>
          <xdr:row>474</xdr:row>
          <xdr:rowOff>85725</xdr:rowOff>
        </xdr:from>
        <xdr:to>
          <xdr:col>27</xdr:col>
          <xdr:colOff>676275</xdr:colOff>
          <xdr:row>475</xdr:row>
          <xdr:rowOff>180975</xdr:rowOff>
        </xdr:to>
        <xdr:sp macro="" textlink="">
          <xdr:nvSpPr>
            <xdr:cNvPr id="8680" name="Object 488" hidden="1">
              <a:extLst>
                <a:ext uri="{63B3BB69-23CF-44E3-9099-C40C66FF867C}">
                  <a14:compatExt spid="_x0000_s86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295275</xdr:colOff>
          <xdr:row>477</xdr:row>
          <xdr:rowOff>104775</xdr:rowOff>
        </xdr:from>
        <xdr:to>
          <xdr:col>26</xdr:col>
          <xdr:colOff>714375</xdr:colOff>
          <xdr:row>478</xdr:row>
          <xdr:rowOff>200025</xdr:rowOff>
        </xdr:to>
        <xdr:sp macro="" textlink="">
          <xdr:nvSpPr>
            <xdr:cNvPr id="8681" name="Object 489" hidden="1">
              <a:extLst>
                <a:ext uri="{63B3BB69-23CF-44E3-9099-C40C66FF867C}">
                  <a14:compatExt spid="_x0000_s86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295275</xdr:colOff>
          <xdr:row>477</xdr:row>
          <xdr:rowOff>104775</xdr:rowOff>
        </xdr:from>
        <xdr:to>
          <xdr:col>27</xdr:col>
          <xdr:colOff>714375</xdr:colOff>
          <xdr:row>478</xdr:row>
          <xdr:rowOff>200025</xdr:rowOff>
        </xdr:to>
        <xdr:sp macro="" textlink="">
          <xdr:nvSpPr>
            <xdr:cNvPr id="8682" name="Object 490" hidden="1">
              <a:extLst>
                <a:ext uri="{63B3BB69-23CF-44E3-9099-C40C66FF867C}">
                  <a14:compatExt spid="_x0000_s86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314325</xdr:colOff>
          <xdr:row>474</xdr:row>
          <xdr:rowOff>85725</xdr:rowOff>
        </xdr:from>
        <xdr:to>
          <xdr:col>28</xdr:col>
          <xdr:colOff>752475</xdr:colOff>
          <xdr:row>475</xdr:row>
          <xdr:rowOff>180975</xdr:rowOff>
        </xdr:to>
        <xdr:sp macro="" textlink="">
          <xdr:nvSpPr>
            <xdr:cNvPr id="8683" name="Object 491" hidden="1">
              <a:extLst>
                <a:ext uri="{63B3BB69-23CF-44E3-9099-C40C66FF867C}">
                  <a14:compatExt spid="_x0000_s86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304800</xdr:colOff>
          <xdr:row>477</xdr:row>
          <xdr:rowOff>85725</xdr:rowOff>
        </xdr:from>
        <xdr:to>
          <xdr:col>28</xdr:col>
          <xdr:colOff>714375</xdr:colOff>
          <xdr:row>478</xdr:row>
          <xdr:rowOff>180975</xdr:rowOff>
        </xdr:to>
        <xdr:sp macro="" textlink="">
          <xdr:nvSpPr>
            <xdr:cNvPr id="8684" name="Object 492" hidden="1">
              <a:extLst>
                <a:ext uri="{63B3BB69-23CF-44E3-9099-C40C66FF867C}">
                  <a14:compatExt spid="_x0000_s86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428625</xdr:colOff>
          <xdr:row>474</xdr:row>
          <xdr:rowOff>152400</xdr:rowOff>
        </xdr:from>
        <xdr:to>
          <xdr:col>32</xdr:col>
          <xdr:colOff>619125</xdr:colOff>
          <xdr:row>475</xdr:row>
          <xdr:rowOff>114300</xdr:rowOff>
        </xdr:to>
        <xdr:sp macro="" textlink="">
          <xdr:nvSpPr>
            <xdr:cNvPr id="8685" name="Object 493" hidden="1">
              <a:extLst>
                <a:ext uri="{63B3BB69-23CF-44E3-9099-C40C66FF867C}">
                  <a14:compatExt spid="_x0000_s86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257175</xdr:colOff>
          <xdr:row>474</xdr:row>
          <xdr:rowOff>85725</xdr:rowOff>
        </xdr:from>
        <xdr:to>
          <xdr:col>33</xdr:col>
          <xdr:colOff>676275</xdr:colOff>
          <xdr:row>475</xdr:row>
          <xdr:rowOff>180975</xdr:rowOff>
        </xdr:to>
        <xdr:sp macro="" textlink="">
          <xdr:nvSpPr>
            <xdr:cNvPr id="8686" name="Object 494" hidden="1">
              <a:extLst>
                <a:ext uri="{63B3BB69-23CF-44E3-9099-C40C66FF867C}">
                  <a14:compatExt spid="_x0000_s86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295275</xdr:colOff>
          <xdr:row>477</xdr:row>
          <xdr:rowOff>104775</xdr:rowOff>
        </xdr:from>
        <xdr:to>
          <xdr:col>32</xdr:col>
          <xdr:colOff>714375</xdr:colOff>
          <xdr:row>478</xdr:row>
          <xdr:rowOff>200025</xdr:rowOff>
        </xdr:to>
        <xdr:sp macro="" textlink="">
          <xdr:nvSpPr>
            <xdr:cNvPr id="8687" name="Object 495" hidden="1">
              <a:extLst>
                <a:ext uri="{63B3BB69-23CF-44E3-9099-C40C66FF867C}">
                  <a14:compatExt spid="_x0000_s86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295275</xdr:colOff>
          <xdr:row>477</xdr:row>
          <xdr:rowOff>104775</xdr:rowOff>
        </xdr:from>
        <xdr:to>
          <xdr:col>33</xdr:col>
          <xdr:colOff>714375</xdr:colOff>
          <xdr:row>478</xdr:row>
          <xdr:rowOff>200025</xdr:rowOff>
        </xdr:to>
        <xdr:sp macro="" textlink="">
          <xdr:nvSpPr>
            <xdr:cNvPr id="8688" name="Object 496" hidden="1">
              <a:extLst>
                <a:ext uri="{63B3BB69-23CF-44E3-9099-C40C66FF867C}">
                  <a14:compatExt spid="_x0000_s86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314325</xdr:colOff>
          <xdr:row>474</xdr:row>
          <xdr:rowOff>85725</xdr:rowOff>
        </xdr:from>
        <xdr:to>
          <xdr:col>34</xdr:col>
          <xdr:colOff>752475</xdr:colOff>
          <xdr:row>475</xdr:row>
          <xdr:rowOff>180975</xdr:rowOff>
        </xdr:to>
        <xdr:sp macro="" textlink="">
          <xdr:nvSpPr>
            <xdr:cNvPr id="8689" name="Object 497" hidden="1">
              <a:extLst>
                <a:ext uri="{63B3BB69-23CF-44E3-9099-C40C66FF867C}">
                  <a14:compatExt spid="_x0000_s86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304800</xdr:colOff>
          <xdr:row>477</xdr:row>
          <xdr:rowOff>85725</xdr:rowOff>
        </xdr:from>
        <xdr:to>
          <xdr:col>34</xdr:col>
          <xdr:colOff>714375</xdr:colOff>
          <xdr:row>478</xdr:row>
          <xdr:rowOff>180975</xdr:rowOff>
        </xdr:to>
        <xdr:sp macro="" textlink="">
          <xdr:nvSpPr>
            <xdr:cNvPr id="8690" name="Object 498" hidden="1">
              <a:extLst>
                <a:ext uri="{63B3BB69-23CF-44E3-9099-C40C66FF867C}">
                  <a14:compatExt spid="_x0000_s86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428625</xdr:colOff>
          <xdr:row>474</xdr:row>
          <xdr:rowOff>152400</xdr:rowOff>
        </xdr:from>
        <xdr:to>
          <xdr:col>38</xdr:col>
          <xdr:colOff>619125</xdr:colOff>
          <xdr:row>475</xdr:row>
          <xdr:rowOff>114300</xdr:rowOff>
        </xdr:to>
        <xdr:sp macro="" textlink="">
          <xdr:nvSpPr>
            <xdr:cNvPr id="8691" name="Object 499" hidden="1">
              <a:extLst>
                <a:ext uri="{63B3BB69-23CF-44E3-9099-C40C66FF867C}">
                  <a14:compatExt spid="_x0000_s86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257175</xdr:colOff>
          <xdr:row>474</xdr:row>
          <xdr:rowOff>85725</xdr:rowOff>
        </xdr:from>
        <xdr:to>
          <xdr:col>39</xdr:col>
          <xdr:colOff>647700</xdr:colOff>
          <xdr:row>475</xdr:row>
          <xdr:rowOff>180975</xdr:rowOff>
        </xdr:to>
        <xdr:sp macro="" textlink="">
          <xdr:nvSpPr>
            <xdr:cNvPr id="8692" name="Object 500" hidden="1">
              <a:extLst>
                <a:ext uri="{63B3BB69-23CF-44E3-9099-C40C66FF867C}">
                  <a14:compatExt spid="_x0000_s86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295275</xdr:colOff>
          <xdr:row>477</xdr:row>
          <xdr:rowOff>104775</xdr:rowOff>
        </xdr:from>
        <xdr:to>
          <xdr:col>38</xdr:col>
          <xdr:colOff>714375</xdr:colOff>
          <xdr:row>478</xdr:row>
          <xdr:rowOff>200025</xdr:rowOff>
        </xdr:to>
        <xdr:sp macro="" textlink="">
          <xdr:nvSpPr>
            <xdr:cNvPr id="8693" name="Object 501" hidden="1">
              <a:extLst>
                <a:ext uri="{63B3BB69-23CF-44E3-9099-C40C66FF867C}">
                  <a14:compatExt spid="_x0000_s86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295275</xdr:colOff>
          <xdr:row>477</xdr:row>
          <xdr:rowOff>104775</xdr:rowOff>
        </xdr:from>
        <xdr:to>
          <xdr:col>39</xdr:col>
          <xdr:colOff>714375</xdr:colOff>
          <xdr:row>478</xdr:row>
          <xdr:rowOff>200025</xdr:rowOff>
        </xdr:to>
        <xdr:sp macro="" textlink="">
          <xdr:nvSpPr>
            <xdr:cNvPr id="8694" name="Object 502" hidden="1">
              <a:extLst>
                <a:ext uri="{63B3BB69-23CF-44E3-9099-C40C66FF867C}">
                  <a14:compatExt spid="_x0000_s86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314325</xdr:colOff>
          <xdr:row>474</xdr:row>
          <xdr:rowOff>85725</xdr:rowOff>
        </xdr:from>
        <xdr:to>
          <xdr:col>40</xdr:col>
          <xdr:colOff>752475</xdr:colOff>
          <xdr:row>475</xdr:row>
          <xdr:rowOff>180975</xdr:rowOff>
        </xdr:to>
        <xdr:sp macro="" textlink="">
          <xdr:nvSpPr>
            <xdr:cNvPr id="8695" name="Object 503" hidden="1">
              <a:extLst>
                <a:ext uri="{63B3BB69-23CF-44E3-9099-C40C66FF867C}">
                  <a14:compatExt spid="_x0000_s86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304800</xdr:colOff>
          <xdr:row>477</xdr:row>
          <xdr:rowOff>85725</xdr:rowOff>
        </xdr:from>
        <xdr:to>
          <xdr:col>40</xdr:col>
          <xdr:colOff>714375</xdr:colOff>
          <xdr:row>478</xdr:row>
          <xdr:rowOff>180975</xdr:rowOff>
        </xdr:to>
        <xdr:sp macro="" textlink="">
          <xdr:nvSpPr>
            <xdr:cNvPr id="8696" name="Object 504" hidden="1">
              <a:extLst>
                <a:ext uri="{63B3BB69-23CF-44E3-9099-C40C66FF867C}">
                  <a14:compatExt spid="_x0000_s86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16104</xdr:colOff>
      <xdr:row>5</xdr:row>
      <xdr:rowOff>452</xdr:rowOff>
    </xdr:from>
    <xdr:to>
      <xdr:col>8</xdr:col>
      <xdr:colOff>634004</xdr:colOff>
      <xdr:row>36</xdr:row>
      <xdr:rowOff>47625</xdr:rowOff>
    </xdr:to>
    <xdr:graphicFrame macro="">
      <xdr:nvGraphicFramePr>
        <xdr:cNvPr id="2" name="1 Gráfico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79375</xdr:colOff>
      <xdr:row>42</xdr:row>
      <xdr:rowOff>31750</xdr:rowOff>
    </xdr:from>
    <xdr:to>
      <xdr:col>13</xdr:col>
      <xdr:colOff>655375</xdr:colOff>
      <xdr:row>68</xdr:row>
      <xdr:rowOff>118750</xdr:rowOff>
    </xdr:to>
    <xdr:graphicFrame macro="">
      <xdr:nvGraphicFramePr>
        <xdr:cNvPr id="5" name="4 Gráfico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14</xdr:col>
      <xdr:colOff>254000</xdr:colOff>
      <xdr:row>1</xdr:row>
      <xdr:rowOff>15875</xdr:rowOff>
    </xdr:from>
    <xdr:to>
      <xdr:col>19</xdr:col>
      <xdr:colOff>558800</xdr:colOff>
      <xdr:row>19</xdr:row>
      <xdr:rowOff>53975</xdr:rowOff>
    </xdr:to>
    <xdr:pic>
      <xdr:nvPicPr>
        <xdr:cNvPr id="4" name="3 Imagen" descr="alero1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366375" y="206375"/>
          <a:ext cx="4114800" cy="3467100"/>
        </a:xfrm>
        <a:prstGeom prst="rect">
          <a:avLst/>
        </a:prstGeom>
      </xdr:spPr>
    </xdr:pic>
    <xdr:clientData/>
  </xdr:twoCellAnchor>
  <xdr:twoCellAnchor editAs="oneCell">
    <xdr:from>
      <xdr:col>14</xdr:col>
      <xdr:colOff>635000</xdr:colOff>
      <xdr:row>19</xdr:row>
      <xdr:rowOff>63500</xdr:rowOff>
    </xdr:from>
    <xdr:to>
      <xdr:col>19</xdr:col>
      <xdr:colOff>177800</xdr:colOff>
      <xdr:row>36</xdr:row>
      <xdr:rowOff>63500</xdr:rowOff>
    </xdr:to>
    <xdr:pic>
      <xdr:nvPicPr>
        <xdr:cNvPr id="6" name="5 Imagen" descr="partesol1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747375" y="3683000"/>
          <a:ext cx="3352800" cy="3238500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65</xdr:row>
      <xdr:rowOff>50800</xdr:rowOff>
    </xdr:from>
    <xdr:to>
      <xdr:col>6</xdr:col>
      <xdr:colOff>389142</xdr:colOff>
      <xdr:row>66</xdr:row>
      <xdr:rowOff>110326</xdr:rowOff>
    </xdr:to>
    <xdr:sp macro="" textlink="">
      <xdr:nvSpPr>
        <xdr:cNvPr id="7" name="1 CuadroTexto"/>
        <xdr:cNvSpPr txBox="1"/>
      </xdr:nvSpPr>
      <xdr:spPr>
        <a:xfrm>
          <a:off x="3759200" y="11633200"/>
          <a:ext cx="986042" cy="237326"/>
        </a:xfrm>
        <a:prstGeom prst="rect">
          <a:avLst/>
        </a:prstGeom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s-MX" sz="1100"/>
            <a:t>Diciembre</a:t>
          </a:r>
        </a:p>
      </xdr:txBody>
    </xdr:sp>
    <xdr:clientData/>
  </xdr:twoCellAnchor>
  <xdr:twoCellAnchor>
    <xdr:from>
      <xdr:col>3</xdr:col>
      <xdr:colOff>25400</xdr:colOff>
      <xdr:row>65</xdr:row>
      <xdr:rowOff>50800</xdr:rowOff>
    </xdr:from>
    <xdr:to>
      <xdr:col>4</xdr:col>
      <xdr:colOff>185942</xdr:colOff>
      <xdr:row>66</xdr:row>
      <xdr:rowOff>110326</xdr:rowOff>
    </xdr:to>
    <xdr:sp macro="" textlink="">
      <xdr:nvSpPr>
        <xdr:cNvPr id="12" name="1 CuadroTexto"/>
        <xdr:cNvSpPr txBox="1"/>
      </xdr:nvSpPr>
      <xdr:spPr>
        <a:xfrm>
          <a:off x="1905000" y="11633200"/>
          <a:ext cx="986042" cy="237326"/>
        </a:xfrm>
        <a:prstGeom prst="rect">
          <a:avLst/>
        </a:prstGeom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s-MX" sz="1100"/>
            <a:t>Julio</a:t>
          </a:r>
        </a:p>
      </xdr:txBody>
    </xdr:sp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0.49936</cdr:x>
      <cdr:y>0.02399</cdr:y>
    </cdr:from>
    <cdr:to>
      <cdr:x>0.54433</cdr:x>
      <cdr:y>0.06399</cdr:y>
    </cdr:to>
    <cdr:sp macro="" textlink="">
      <cdr:nvSpPr>
        <cdr:cNvPr id="2" name="1 CuadroTexto"/>
        <cdr:cNvSpPr txBox="1"/>
      </cdr:nvSpPr>
      <cdr:spPr>
        <a:xfrm xmlns:a="http://schemas.openxmlformats.org/drawingml/2006/main">
          <a:off x="3172506" y="146959"/>
          <a:ext cx="285749" cy="2449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s-MX" sz="1100"/>
            <a:t>N</a:t>
          </a:r>
        </a:p>
      </cdr:txBody>
    </cdr:sp>
  </cdr:relSizeAnchor>
  <cdr:relSizeAnchor xmlns:cdr="http://schemas.openxmlformats.org/drawingml/2006/chartDrawing">
    <cdr:from>
      <cdr:x>0.93532</cdr:x>
      <cdr:y>0.50833</cdr:y>
    </cdr:from>
    <cdr:to>
      <cdr:x>0.97483</cdr:x>
      <cdr:y>0.56165</cdr:y>
    </cdr:to>
    <cdr:sp macro="" textlink="">
      <cdr:nvSpPr>
        <cdr:cNvPr id="3" name="1 CuadroTexto"/>
        <cdr:cNvSpPr txBox="1"/>
      </cdr:nvSpPr>
      <cdr:spPr>
        <a:xfrm xmlns:a="http://schemas.openxmlformats.org/drawingml/2006/main">
          <a:off x="5942241" y="3113316"/>
          <a:ext cx="251050" cy="3265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100"/>
            <a:t>E</a:t>
          </a:r>
        </a:p>
      </cdr:txBody>
    </cdr:sp>
  </cdr:relSizeAnchor>
  <cdr:relSizeAnchor xmlns:cdr="http://schemas.openxmlformats.org/drawingml/2006/chartDrawing">
    <cdr:from>
      <cdr:x>0.02142</cdr:x>
      <cdr:y>0.50878</cdr:y>
    </cdr:from>
    <cdr:to>
      <cdr:x>0.06093</cdr:x>
      <cdr:y>0.5621</cdr:y>
    </cdr:to>
    <cdr:sp macro="" textlink="">
      <cdr:nvSpPr>
        <cdr:cNvPr id="4" name="1 CuadroTexto"/>
        <cdr:cNvSpPr txBox="1"/>
      </cdr:nvSpPr>
      <cdr:spPr>
        <a:xfrm xmlns:a="http://schemas.openxmlformats.org/drawingml/2006/main">
          <a:off x="136071" y="3116035"/>
          <a:ext cx="251050" cy="3265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100"/>
            <a:t>O</a:t>
          </a:r>
        </a:p>
      </cdr:txBody>
    </cdr:sp>
  </cdr:relSizeAnchor>
  <cdr:relSizeAnchor xmlns:cdr="http://schemas.openxmlformats.org/drawingml/2006/chartDrawing">
    <cdr:from>
      <cdr:x>0.49689</cdr:x>
      <cdr:y>0.93535</cdr:y>
    </cdr:from>
    <cdr:to>
      <cdr:x>0.53641</cdr:x>
      <cdr:y>0.98867</cdr:y>
    </cdr:to>
    <cdr:sp macro="" textlink="">
      <cdr:nvSpPr>
        <cdr:cNvPr id="5" name="1 CuadroTexto"/>
        <cdr:cNvSpPr txBox="1"/>
      </cdr:nvSpPr>
      <cdr:spPr>
        <a:xfrm xmlns:a="http://schemas.openxmlformats.org/drawingml/2006/main">
          <a:off x="3156857" y="5728607"/>
          <a:ext cx="251050" cy="3265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100"/>
            <a:t>S</a:t>
          </a:r>
        </a:p>
      </cdr:txBody>
    </cdr:sp>
  </cdr:relSizeAnchor>
  <cdr:relSizeAnchor xmlns:cdr="http://schemas.openxmlformats.org/drawingml/2006/chartDrawing">
    <cdr:from>
      <cdr:x>0.49936</cdr:x>
      <cdr:y>0.02399</cdr:y>
    </cdr:from>
    <cdr:to>
      <cdr:x>0.54433</cdr:x>
      <cdr:y>0.06399</cdr:y>
    </cdr:to>
    <cdr:sp macro="" textlink="">
      <cdr:nvSpPr>
        <cdr:cNvPr id="6" name="1 CuadroTexto"/>
        <cdr:cNvSpPr txBox="1"/>
      </cdr:nvSpPr>
      <cdr:spPr>
        <a:xfrm xmlns:a="http://schemas.openxmlformats.org/drawingml/2006/main">
          <a:off x="3172506" y="146959"/>
          <a:ext cx="285749" cy="2449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s-MX" sz="1100"/>
            <a:t>N</a:t>
          </a:r>
        </a:p>
      </cdr:txBody>
    </cdr:sp>
  </cdr:relSizeAnchor>
  <cdr:relSizeAnchor xmlns:cdr="http://schemas.openxmlformats.org/drawingml/2006/chartDrawing">
    <cdr:from>
      <cdr:x>0.02142</cdr:x>
      <cdr:y>0.50878</cdr:y>
    </cdr:from>
    <cdr:to>
      <cdr:x>0.06093</cdr:x>
      <cdr:y>0.5621</cdr:y>
    </cdr:to>
    <cdr:sp macro="" textlink="">
      <cdr:nvSpPr>
        <cdr:cNvPr id="8" name="1 CuadroTexto"/>
        <cdr:cNvSpPr txBox="1"/>
      </cdr:nvSpPr>
      <cdr:spPr>
        <a:xfrm xmlns:a="http://schemas.openxmlformats.org/drawingml/2006/main">
          <a:off x="136071" y="3116035"/>
          <a:ext cx="251050" cy="3265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100"/>
            <a:t>O</a:t>
          </a:r>
        </a:p>
      </cdr:txBody>
    </cdr:sp>
  </cdr:relSizeAnchor>
  <cdr:relSizeAnchor xmlns:cdr="http://schemas.openxmlformats.org/drawingml/2006/chartDrawing">
    <cdr:from>
      <cdr:x>0.49689</cdr:x>
      <cdr:y>0.93535</cdr:y>
    </cdr:from>
    <cdr:to>
      <cdr:x>0.53641</cdr:x>
      <cdr:y>0.98867</cdr:y>
    </cdr:to>
    <cdr:sp macro="" textlink="">
      <cdr:nvSpPr>
        <cdr:cNvPr id="9" name="1 CuadroTexto"/>
        <cdr:cNvSpPr txBox="1"/>
      </cdr:nvSpPr>
      <cdr:spPr>
        <a:xfrm xmlns:a="http://schemas.openxmlformats.org/drawingml/2006/main">
          <a:off x="3156857" y="5728607"/>
          <a:ext cx="251050" cy="3265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100"/>
            <a:t>S</a:t>
          </a:r>
        </a:p>
      </cdr:txBody>
    </cdr:sp>
  </cdr:relSizeAnchor>
  <cdr:relSizeAnchor xmlns:cdr="http://schemas.openxmlformats.org/drawingml/2006/chartDrawing">
    <cdr:from>
      <cdr:x>0.494</cdr:x>
      <cdr:y>0.86936</cdr:y>
    </cdr:from>
    <cdr:to>
      <cdr:x>0.54048</cdr:x>
      <cdr:y>0.90358</cdr:y>
    </cdr:to>
    <cdr:sp macro="" textlink="">
      <cdr:nvSpPr>
        <cdr:cNvPr id="10" name="9 CuadroTexto"/>
        <cdr:cNvSpPr txBox="1"/>
      </cdr:nvSpPr>
      <cdr:spPr>
        <a:xfrm xmlns:a="http://schemas.openxmlformats.org/drawingml/2006/main">
          <a:off x="3138486" y="5324477"/>
          <a:ext cx="295275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s-MX" sz="1100"/>
            <a:t>10°</a:t>
          </a:r>
        </a:p>
      </cdr:txBody>
    </cdr:sp>
  </cdr:relSizeAnchor>
  <cdr:relSizeAnchor xmlns:cdr="http://schemas.openxmlformats.org/drawingml/2006/chartDrawing">
    <cdr:from>
      <cdr:x>0.49025</cdr:x>
      <cdr:y>0.82426</cdr:y>
    </cdr:from>
    <cdr:to>
      <cdr:x>0.53673</cdr:x>
      <cdr:y>0.85848</cdr:y>
    </cdr:to>
    <cdr:sp macro="" textlink="">
      <cdr:nvSpPr>
        <cdr:cNvPr id="11" name="1 CuadroTexto"/>
        <cdr:cNvSpPr txBox="1"/>
      </cdr:nvSpPr>
      <cdr:spPr>
        <a:xfrm xmlns:a="http://schemas.openxmlformats.org/drawingml/2006/main">
          <a:off x="3114675" y="5048250"/>
          <a:ext cx="295275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100"/>
            <a:t>20°</a:t>
          </a:r>
        </a:p>
      </cdr:txBody>
    </cdr:sp>
  </cdr:relSizeAnchor>
  <cdr:relSizeAnchor xmlns:cdr="http://schemas.openxmlformats.org/drawingml/2006/chartDrawing">
    <cdr:from>
      <cdr:x>0.49175</cdr:x>
      <cdr:y>0.77449</cdr:y>
    </cdr:from>
    <cdr:to>
      <cdr:x>0.53823</cdr:x>
      <cdr:y>0.80871</cdr:y>
    </cdr:to>
    <cdr:sp macro="" textlink="">
      <cdr:nvSpPr>
        <cdr:cNvPr id="12" name="1 CuadroTexto"/>
        <cdr:cNvSpPr txBox="1"/>
      </cdr:nvSpPr>
      <cdr:spPr>
        <a:xfrm xmlns:a="http://schemas.openxmlformats.org/drawingml/2006/main">
          <a:off x="3124200" y="4743450"/>
          <a:ext cx="295275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100"/>
            <a:t>30°</a:t>
          </a:r>
        </a:p>
      </cdr:txBody>
    </cdr:sp>
  </cdr:relSizeAnchor>
  <cdr:relSizeAnchor xmlns:cdr="http://schemas.openxmlformats.org/drawingml/2006/chartDrawing">
    <cdr:from>
      <cdr:x>0.49175</cdr:x>
      <cdr:y>0.72473</cdr:y>
    </cdr:from>
    <cdr:to>
      <cdr:x>0.53823</cdr:x>
      <cdr:y>0.75894</cdr:y>
    </cdr:to>
    <cdr:sp macro="" textlink="">
      <cdr:nvSpPr>
        <cdr:cNvPr id="13" name="1 CuadroTexto"/>
        <cdr:cNvSpPr txBox="1"/>
      </cdr:nvSpPr>
      <cdr:spPr>
        <a:xfrm xmlns:a="http://schemas.openxmlformats.org/drawingml/2006/main">
          <a:off x="3124200" y="4438650"/>
          <a:ext cx="295275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100"/>
            <a:t>40°</a:t>
          </a:r>
        </a:p>
      </cdr:txBody>
    </cdr:sp>
  </cdr:relSizeAnchor>
  <cdr:relSizeAnchor xmlns:cdr="http://schemas.openxmlformats.org/drawingml/2006/chartDrawing">
    <cdr:from>
      <cdr:x>0.48726</cdr:x>
      <cdr:y>0.67963</cdr:y>
    </cdr:from>
    <cdr:to>
      <cdr:x>0.53373</cdr:x>
      <cdr:y>0.71384</cdr:y>
    </cdr:to>
    <cdr:sp macro="" textlink="">
      <cdr:nvSpPr>
        <cdr:cNvPr id="14" name="1 CuadroTexto"/>
        <cdr:cNvSpPr txBox="1"/>
      </cdr:nvSpPr>
      <cdr:spPr>
        <a:xfrm xmlns:a="http://schemas.openxmlformats.org/drawingml/2006/main">
          <a:off x="3095625" y="4162425"/>
          <a:ext cx="295275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100"/>
            <a:t>50°</a:t>
          </a:r>
        </a:p>
      </cdr:txBody>
    </cdr:sp>
  </cdr:relSizeAnchor>
  <cdr:relSizeAnchor xmlns:cdr="http://schemas.openxmlformats.org/drawingml/2006/chartDrawing">
    <cdr:from>
      <cdr:x>0.48876</cdr:x>
      <cdr:y>0.62986</cdr:y>
    </cdr:from>
    <cdr:to>
      <cdr:x>0.53523</cdr:x>
      <cdr:y>0.66407</cdr:y>
    </cdr:to>
    <cdr:sp macro="" textlink="">
      <cdr:nvSpPr>
        <cdr:cNvPr id="15" name="1 CuadroTexto"/>
        <cdr:cNvSpPr txBox="1"/>
      </cdr:nvSpPr>
      <cdr:spPr>
        <a:xfrm xmlns:a="http://schemas.openxmlformats.org/drawingml/2006/main">
          <a:off x="3105150" y="3857625"/>
          <a:ext cx="295275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100"/>
            <a:t>60°</a:t>
          </a:r>
        </a:p>
      </cdr:txBody>
    </cdr:sp>
  </cdr:relSizeAnchor>
  <cdr:relSizeAnchor xmlns:cdr="http://schemas.openxmlformats.org/drawingml/2006/chartDrawing">
    <cdr:from>
      <cdr:x>0.48876</cdr:x>
      <cdr:y>0.58476</cdr:y>
    </cdr:from>
    <cdr:to>
      <cdr:x>0.53523</cdr:x>
      <cdr:y>0.61897</cdr:y>
    </cdr:to>
    <cdr:sp macro="" textlink="">
      <cdr:nvSpPr>
        <cdr:cNvPr id="16" name="1 CuadroTexto"/>
        <cdr:cNvSpPr txBox="1"/>
      </cdr:nvSpPr>
      <cdr:spPr>
        <a:xfrm xmlns:a="http://schemas.openxmlformats.org/drawingml/2006/main">
          <a:off x="3105150" y="3581400"/>
          <a:ext cx="295275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100"/>
            <a:t>70°</a:t>
          </a:r>
        </a:p>
      </cdr:txBody>
    </cdr:sp>
  </cdr:relSizeAnchor>
  <cdr:relSizeAnchor xmlns:cdr="http://schemas.openxmlformats.org/drawingml/2006/chartDrawing">
    <cdr:from>
      <cdr:x>0.48726</cdr:x>
      <cdr:y>0.53499</cdr:y>
    </cdr:from>
    <cdr:to>
      <cdr:x>0.53373</cdr:x>
      <cdr:y>0.56921</cdr:y>
    </cdr:to>
    <cdr:sp macro="" textlink="">
      <cdr:nvSpPr>
        <cdr:cNvPr id="17" name="1 CuadroTexto"/>
        <cdr:cNvSpPr txBox="1"/>
      </cdr:nvSpPr>
      <cdr:spPr>
        <a:xfrm xmlns:a="http://schemas.openxmlformats.org/drawingml/2006/main">
          <a:off x="3095625" y="3276600"/>
          <a:ext cx="295275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100"/>
            <a:t>80°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304800</xdr:colOff>
          <xdr:row>83</xdr:row>
          <xdr:rowOff>76200</xdr:rowOff>
        </xdr:from>
        <xdr:to>
          <xdr:col>21</xdr:col>
          <xdr:colOff>714375</xdr:colOff>
          <xdr:row>84</xdr:row>
          <xdr:rowOff>161925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304800</xdr:colOff>
          <xdr:row>83</xdr:row>
          <xdr:rowOff>76200</xdr:rowOff>
        </xdr:from>
        <xdr:to>
          <xdr:col>25</xdr:col>
          <xdr:colOff>714375</xdr:colOff>
          <xdr:row>84</xdr:row>
          <xdr:rowOff>161925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200025</xdr:colOff>
          <xdr:row>73</xdr:row>
          <xdr:rowOff>114300</xdr:rowOff>
        </xdr:from>
        <xdr:to>
          <xdr:col>43</xdr:col>
          <xdr:colOff>647700</xdr:colOff>
          <xdr:row>80</xdr:row>
          <xdr:rowOff>123825</xdr:rowOff>
        </xdr:to>
        <xdr:sp macro="" textlink="">
          <xdr:nvSpPr>
            <xdr:cNvPr id="3075" name="Object 3" hidden="1">
              <a:extLst>
                <a:ext uri="{63B3BB69-23CF-44E3-9099-C40C66FF867C}">
                  <a14:compatExt spid="_x0000_s3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304800</xdr:colOff>
          <xdr:row>73</xdr:row>
          <xdr:rowOff>47625</xdr:rowOff>
        </xdr:from>
        <xdr:to>
          <xdr:col>46</xdr:col>
          <xdr:colOff>676275</xdr:colOff>
          <xdr:row>75</xdr:row>
          <xdr:rowOff>114300</xdr:rowOff>
        </xdr:to>
        <xdr:sp macro="" textlink="">
          <xdr:nvSpPr>
            <xdr:cNvPr id="3076" name="Object 4" hidden="1">
              <a:extLst>
                <a:ext uri="{63B3BB69-23CF-44E3-9099-C40C66FF867C}">
                  <a14:compatExt spid="_x0000_s3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219075</xdr:colOff>
          <xdr:row>76</xdr:row>
          <xdr:rowOff>76200</xdr:rowOff>
        </xdr:from>
        <xdr:to>
          <xdr:col>48</xdr:col>
          <xdr:colOff>123825</xdr:colOff>
          <xdr:row>77</xdr:row>
          <xdr:rowOff>161925</xdr:rowOff>
        </xdr:to>
        <xdr:sp macro="" textlink="">
          <xdr:nvSpPr>
            <xdr:cNvPr id="3077" name="Object 5" hidden="1">
              <a:extLst>
                <a:ext uri="{63B3BB69-23CF-44E3-9099-C40C66FF867C}">
                  <a14:compatExt spid="_x0000_s3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219075</xdr:colOff>
          <xdr:row>78</xdr:row>
          <xdr:rowOff>161925</xdr:rowOff>
        </xdr:from>
        <xdr:to>
          <xdr:col>46</xdr:col>
          <xdr:colOff>990600</xdr:colOff>
          <xdr:row>81</xdr:row>
          <xdr:rowOff>38100</xdr:rowOff>
        </xdr:to>
        <xdr:sp macro="" textlink="">
          <xdr:nvSpPr>
            <xdr:cNvPr id="3078" name="Object 6" hidden="1">
              <a:extLst>
                <a:ext uri="{63B3BB69-23CF-44E3-9099-C40C66FF867C}">
                  <a14:compatExt spid="_x0000_s3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428625</xdr:colOff>
          <xdr:row>82</xdr:row>
          <xdr:rowOff>152400</xdr:rowOff>
        </xdr:from>
        <xdr:to>
          <xdr:col>41</xdr:col>
          <xdr:colOff>609600</xdr:colOff>
          <xdr:row>83</xdr:row>
          <xdr:rowOff>114300</xdr:rowOff>
        </xdr:to>
        <xdr:sp macro="" textlink="">
          <xdr:nvSpPr>
            <xdr:cNvPr id="3079" name="Object 7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257175</xdr:colOff>
          <xdr:row>82</xdr:row>
          <xdr:rowOff>85725</xdr:rowOff>
        </xdr:from>
        <xdr:to>
          <xdr:col>42</xdr:col>
          <xdr:colOff>676275</xdr:colOff>
          <xdr:row>83</xdr:row>
          <xdr:rowOff>180975</xdr:rowOff>
        </xdr:to>
        <xdr:sp macro="" textlink="">
          <xdr:nvSpPr>
            <xdr:cNvPr id="3080" name="Object 8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295275</xdr:colOff>
          <xdr:row>85</xdr:row>
          <xdr:rowOff>104775</xdr:rowOff>
        </xdr:from>
        <xdr:to>
          <xdr:col>41</xdr:col>
          <xdr:colOff>714375</xdr:colOff>
          <xdr:row>86</xdr:row>
          <xdr:rowOff>200025</xdr:rowOff>
        </xdr:to>
        <xdr:sp macro="" textlink="">
          <xdr:nvSpPr>
            <xdr:cNvPr id="3081" name="Object 9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295275</xdr:colOff>
          <xdr:row>85</xdr:row>
          <xdr:rowOff>104775</xdr:rowOff>
        </xdr:from>
        <xdr:to>
          <xdr:col>42</xdr:col>
          <xdr:colOff>714375</xdr:colOff>
          <xdr:row>86</xdr:row>
          <xdr:rowOff>200025</xdr:rowOff>
        </xdr:to>
        <xdr:sp macro="" textlink="">
          <xdr:nvSpPr>
            <xdr:cNvPr id="3082" name="Object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314325</xdr:colOff>
          <xdr:row>82</xdr:row>
          <xdr:rowOff>85725</xdr:rowOff>
        </xdr:from>
        <xdr:to>
          <xdr:col>43</xdr:col>
          <xdr:colOff>733425</xdr:colOff>
          <xdr:row>83</xdr:row>
          <xdr:rowOff>180975</xdr:rowOff>
        </xdr:to>
        <xdr:sp macro="" textlink="">
          <xdr:nvSpPr>
            <xdr:cNvPr id="3083" name="Object 11" hidden="1">
              <a:extLst>
                <a:ext uri="{63B3BB69-23CF-44E3-9099-C40C66FF867C}">
                  <a14:compatExt spid="_x0000_s30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304800</xdr:colOff>
          <xdr:row>85</xdr:row>
          <xdr:rowOff>85725</xdr:rowOff>
        </xdr:from>
        <xdr:to>
          <xdr:col>43</xdr:col>
          <xdr:colOff>714375</xdr:colOff>
          <xdr:row>86</xdr:row>
          <xdr:rowOff>180975</xdr:rowOff>
        </xdr:to>
        <xdr:sp macro="" textlink="">
          <xdr:nvSpPr>
            <xdr:cNvPr id="3084" name="Object 12" hidden="1">
              <a:extLst>
                <a:ext uri="{63B3BB69-23CF-44E3-9099-C40C66FF867C}">
                  <a14:compatExt spid="_x0000_s3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304800</xdr:colOff>
          <xdr:row>85</xdr:row>
          <xdr:rowOff>76200</xdr:rowOff>
        </xdr:from>
        <xdr:to>
          <xdr:col>46</xdr:col>
          <xdr:colOff>714375</xdr:colOff>
          <xdr:row>86</xdr:row>
          <xdr:rowOff>161925</xdr:rowOff>
        </xdr:to>
        <xdr:sp macro="" textlink="">
          <xdr:nvSpPr>
            <xdr:cNvPr id="3085" name="Object 13" hidden="1">
              <a:extLst>
                <a:ext uri="{63B3BB69-23CF-44E3-9099-C40C66FF867C}">
                  <a14:compatExt spid="_x0000_s3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428625</xdr:colOff>
          <xdr:row>82</xdr:row>
          <xdr:rowOff>152400</xdr:rowOff>
        </xdr:from>
        <xdr:to>
          <xdr:col>52</xdr:col>
          <xdr:colOff>609600</xdr:colOff>
          <xdr:row>83</xdr:row>
          <xdr:rowOff>114300</xdr:rowOff>
        </xdr:to>
        <xdr:sp macro="" textlink="">
          <xdr:nvSpPr>
            <xdr:cNvPr id="3086" name="Object 14" hidden="1">
              <a:extLst>
                <a:ext uri="{63B3BB69-23CF-44E3-9099-C40C66FF867C}">
                  <a14:compatExt spid="_x0000_s3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257175</xdr:colOff>
          <xdr:row>82</xdr:row>
          <xdr:rowOff>85725</xdr:rowOff>
        </xdr:from>
        <xdr:to>
          <xdr:col>53</xdr:col>
          <xdr:colOff>676275</xdr:colOff>
          <xdr:row>83</xdr:row>
          <xdr:rowOff>180975</xdr:rowOff>
        </xdr:to>
        <xdr:sp macro="" textlink="">
          <xdr:nvSpPr>
            <xdr:cNvPr id="3087" name="Object 15" hidden="1">
              <a:extLst>
                <a:ext uri="{63B3BB69-23CF-44E3-9099-C40C66FF867C}">
                  <a14:compatExt spid="_x0000_s30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295275</xdr:colOff>
          <xdr:row>85</xdr:row>
          <xdr:rowOff>104775</xdr:rowOff>
        </xdr:from>
        <xdr:to>
          <xdr:col>52</xdr:col>
          <xdr:colOff>714375</xdr:colOff>
          <xdr:row>86</xdr:row>
          <xdr:rowOff>200025</xdr:rowOff>
        </xdr:to>
        <xdr:sp macro="" textlink="">
          <xdr:nvSpPr>
            <xdr:cNvPr id="3088" name="Object 16" hidden="1">
              <a:extLst>
                <a:ext uri="{63B3BB69-23CF-44E3-9099-C40C66FF867C}">
                  <a14:compatExt spid="_x0000_s30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295275</xdr:colOff>
          <xdr:row>85</xdr:row>
          <xdr:rowOff>104775</xdr:rowOff>
        </xdr:from>
        <xdr:to>
          <xdr:col>53</xdr:col>
          <xdr:colOff>714375</xdr:colOff>
          <xdr:row>86</xdr:row>
          <xdr:rowOff>200025</xdr:rowOff>
        </xdr:to>
        <xdr:sp macro="" textlink="">
          <xdr:nvSpPr>
            <xdr:cNvPr id="3089" name="Object 17" hidden="1">
              <a:extLst>
                <a:ext uri="{63B3BB69-23CF-44E3-9099-C40C66FF867C}">
                  <a14:compatExt spid="_x0000_s3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333375</xdr:colOff>
          <xdr:row>82</xdr:row>
          <xdr:rowOff>85725</xdr:rowOff>
        </xdr:from>
        <xdr:to>
          <xdr:col>54</xdr:col>
          <xdr:colOff>733425</xdr:colOff>
          <xdr:row>83</xdr:row>
          <xdr:rowOff>180975</xdr:rowOff>
        </xdr:to>
        <xdr:sp macro="" textlink="">
          <xdr:nvSpPr>
            <xdr:cNvPr id="3090" name="Object 18" hidden="1">
              <a:extLst>
                <a:ext uri="{63B3BB69-23CF-44E3-9099-C40C66FF867C}">
                  <a14:compatExt spid="_x0000_s3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304800</xdr:colOff>
          <xdr:row>85</xdr:row>
          <xdr:rowOff>85725</xdr:rowOff>
        </xdr:from>
        <xdr:to>
          <xdr:col>54</xdr:col>
          <xdr:colOff>714375</xdr:colOff>
          <xdr:row>86</xdr:row>
          <xdr:rowOff>180975</xdr:rowOff>
        </xdr:to>
        <xdr:sp macro="" textlink="">
          <xdr:nvSpPr>
            <xdr:cNvPr id="3091" name="Object 19" hidden="1">
              <a:extLst>
                <a:ext uri="{63B3BB69-23CF-44E3-9099-C40C66FF867C}">
                  <a14:compatExt spid="_x0000_s30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304800</xdr:colOff>
          <xdr:row>85</xdr:row>
          <xdr:rowOff>76200</xdr:rowOff>
        </xdr:from>
        <xdr:to>
          <xdr:col>57</xdr:col>
          <xdr:colOff>714375</xdr:colOff>
          <xdr:row>86</xdr:row>
          <xdr:rowOff>161925</xdr:rowOff>
        </xdr:to>
        <xdr:sp macro="" textlink="">
          <xdr:nvSpPr>
            <xdr:cNvPr id="3092" name="Object 20" hidden="1">
              <a:extLst>
                <a:ext uri="{63B3BB69-23CF-44E3-9099-C40C66FF867C}">
                  <a14:compatExt spid="_x0000_s30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63</xdr:col>
          <xdr:colOff>428625</xdr:colOff>
          <xdr:row>82</xdr:row>
          <xdr:rowOff>152400</xdr:rowOff>
        </xdr:from>
        <xdr:to>
          <xdr:col>63</xdr:col>
          <xdr:colOff>609600</xdr:colOff>
          <xdr:row>83</xdr:row>
          <xdr:rowOff>114300</xdr:rowOff>
        </xdr:to>
        <xdr:sp macro="" textlink="">
          <xdr:nvSpPr>
            <xdr:cNvPr id="3093" name="Object 21" hidden="1">
              <a:extLst>
                <a:ext uri="{63B3BB69-23CF-44E3-9099-C40C66FF867C}">
                  <a14:compatExt spid="_x0000_s30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64</xdr:col>
          <xdr:colOff>257175</xdr:colOff>
          <xdr:row>82</xdr:row>
          <xdr:rowOff>85725</xdr:rowOff>
        </xdr:from>
        <xdr:to>
          <xdr:col>64</xdr:col>
          <xdr:colOff>676275</xdr:colOff>
          <xdr:row>83</xdr:row>
          <xdr:rowOff>180975</xdr:rowOff>
        </xdr:to>
        <xdr:sp macro="" textlink="">
          <xdr:nvSpPr>
            <xdr:cNvPr id="3094" name="Object 22" hidden="1">
              <a:extLst>
                <a:ext uri="{63B3BB69-23CF-44E3-9099-C40C66FF867C}">
                  <a14:compatExt spid="_x0000_s3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63</xdr:col>
          <xdr:colOff>295275</xdr:colOff>
          <xdr:row>85</xdr:row>
          <xdr:rowOff>104775</xdr:rowOff>
        </xdr:from>
        <xdr:to>
          <xdr:col>63</xdr:col>
          <xdr:colOff>714375</xdr:colOff>
          <xdr:row>86</xdr:row>
          <xdr:rowOff>200025</xdr:rowOff>
        </xdr:to>
        <xdr:sp macro="" textlink="">
          <xdr:nvSpPr>
            <xdr:cNvPr id="3095" name="Object 23" hidden="1">
              <a:extLst>
                <a:ext uri="{63B3BB69-23CF-44E3-9099-C40C66FF867C}">
                  <a14:compatExt spid="_x0000_s3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64</xdr:col>
          <xdr:colOff>295275</xdr:colOff>
          <xdr:row>85</xdr:row>
          <xdr:rowOff>104775</xdr:rowOff>
        </xdr:from>
        <xdr:to>
          <xdr:col>64</xdr:col>
          <xdr:colOff>714375</xdr:colOff>
          <xdr:row>86</xdr:row>
          <xdr:rowOff>200025</xdr:rowOff>
        </xdr:to>
        <xdr:sp macro="" textlink="">
          <xdr:nvSpPr>
            <xdr:cNvPr id="3096" name="Object 24" hidden="1">
              <a:extLst>
                <a:ext uri="{63B3BB69-23CF-44E3-9099-C40C66FF867C}">
                  <a14:compatExt spid="_x0000_s3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314325</xdr:colOff>
          <xdr:row>82</xdr:row>
          <xdr:rowOff>85725</xdr:rowOff>
        </xdr:from>
        <xdr:to>
          <xdr:col>65</xdr:col>
          <xdr:colOff>733425</xdr:colOff>
          <xdr:row>83</xdr:row>
          <xdr:rowOff>180975</xdr:rowOff>
        </xdr:to>
        <xdr:sp macro="" textlink="">
          <xdr:nvSpPr>
            <xdr:cNvPr id="3097" name="Object 25" hidden="1">
              <a:extLst>
                <a:ext uri="{63B3BB69-23CF-44E3-9099-C40C66FF867C}">
                  <a14:compatExt spid="_x0000_s3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304800</xdr:colOff>
          <xdr:row>85</xdr:row>
          <xdr:rowOff>85725</xdr:rowOff>
        </xdr:from>
        <xdr:to>
          <xdr:col>65</xdr:col>
          <xdr:colOff>714375</xdr:colOff>
          <xdr:row>86</xdr:row>
          <xdr:rowOff>180975</xdr:rowOff>
        </xdr:to>
        <xdr:sp macro="" textlink="">
          <xdr:nvSpPr>
            <xdr:cNvPr id="3098" name="Object 26" hidden="1">
              <a:extLst>
                <a:ext uri="{63B3BB69-23CF-44E3-9099-C40C66FF867C}">
                  <a14:compatExt spid="_x0000_s3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304800</xdr:colOff>
          <xdr:row>85</xdr:row>
          <xdr:rowOff>76200</xdr:rowOff>
        </xdr:from>
        <xdr:to>
          <xdr:col>68</xdr:col>
          <xdr:colOff>714375</xdr:colOff>
          <xdr:row>86</xdr:row>
          <xdr:rowOff>161925</xdr:rowOff>
        </xdr:to>
        <xdr:sp macro="" textlink="">
          <xdr:nvSpPr>
            <xdr:cNvPr id="3099" name="Object 27" hidden="1">
              <a:extLst>
                <a:ext uri="{63B3BB69-23CF-44E3-9099-C40C66FF867C}">
                  <a14:compatExt spid="_x0000_s3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428625</xdr:colOff>
          <xdr:row>82</xdr:row>
          <xdr:rowOff>152400</xdr:rowOff>
        </xdr:from>
        <xdr:to>
          <xdr:col>74</xdr:col>
          <xdr:colOff>609600</xdr:colOff>
          <xdr:row>83</xdr:row>
          <xdr:rowOff>114300</xdr:rowOff>
        </xdr:to>
        <xdr:sp macro="" textlink="">
          <xdr:nvSpPr>
            <xdr:cNvPr id="3100" name="Object 28" hidden="1">
              <a:extLst>
                <a:ext uri="{63B3BB69-23CF-44E3-9099-C40C66FF867C}">
                  <a14:compatExt spid="_x0000_s3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257175</xdr:colOff>
          <xdr:row>82</xdr:row>
          <xdr:rowOff>85725</xdr:rowOff>
        </xdr:from>
        <xdr:to>
          <xdr:col>75</xdr:col>
          <xdr:colOff>676275</xdr:colOff>
          <xdr:row>83</xdr:row>
          <xdr:rowOff>180975</xdr:rowOff>
        </xdr:to>
        <xdr:sp macro="" textlink="">
          <xdr:nvSpPr>
            <xdr:cNvPr id="3101" name="Object 29" hidden="1">
              <a:extLst>
                <a:ext uri="{63B3BB69-23CF-44E3-9099-C40C66FF867C}">
                  <a14:compatExt spid="_x0000_s3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295275</xdr:colOff>
          <xdr:row>85</xdr:row>
          <xdr:rowOff>104775</xdr:rowOff>
        </xdr:from>
        <xdr:to>
          <xdr:col>74</xdr:col>
          <xdr:colOff>714375</xdr:colOff>
          <xdr:row>86</xdr:row>
          <xdr:rowOff>200025</xdr:rowOff>
        </xdr:to>
        <xdr:sp macro="" textlink="">
          <xdr:nvSpPr>
            <xdr:cNvPr id="3102" name="Object 30" hidden="1">
              <a:extLst>
                <a:ext uri="{63B3BB69-23CF-44E3-9099-C40C66FF867C}">
                  <a14:compatExt spid="_x0000_s3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295275</xdr:colOff>
          <xdr:row>85</xdr:row>
          <xdr:rowOff>104775</xdr:rowOff>
        </xdr:from>
        <xdr:to>
          <xdr:col>75</xdr:col>
          <xdr:colOff>714375</xdr:colOff>
          <xdr:row>86</xdr:row>
          <xdr:rowOff>200025</xdr:rowOff>
        </xdr:to>
        <xdr:sp macro="" textlink="">
          <xdr:nvSpPr>
            <xdr:cNvPr id="3103" name="Object 31" hidden="1">
              <a:extLst>
                <a:ext uri="{63B3BB69-23CF-44E3-9099-C40C66FF867C}">
                  <a14:compatExt spid="_x0000_s3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314325</xdr:colOff>
          <xdr:row>82</xdr:row>
          <xdr:rowOff>85725</xdr:rowOff>
        </xdr:from>
        <xdr:to>
          <xdr:col>76</xdr:col>
          <xdr:colOff>733425</xdr:colOff>
          <xdr:row>83</xdr:row>
          <xdr:rowOff>180975</xdr:rowOff>
        </xdr:to>
        <xdr:sp macro="" textlink="">
          <xdr:nvSpPr>
            <xdr:cNvPr id="3104" name="Object 32" hidden="1">
              <a:extLst>
                <a:ext uri="{63B3BB69-23CF-44E3-9099-C40C66FF867C}">
                  <a14:compatExt spid="_x0000_s3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304800</xdr:colOff>
          <xdr:row>85</xdr:row>
          <xdr:rowOff>85725</xdr:rowOff>
        </xdr:from>
        <xdr:to>
          <xdr:col>76</xdr:col>
          <xdr:colOff>714375</xdr:colOff>
          <xdr:row>86</xdr:row>
          <xdr:rowOff>180975</xdr:rowOff>
        </xdr:to>
        <xdr:sp macro="" textlink="">
          <xdr:nvSpPr>
            <xdr:cNvPr id="3105" name="Object 33" hidden="1">
              <a:extLst>
                <a:ext uri="{63B3BB69-23CF-44E3-9099-C40C66FF867C}">
                  <a14:compatExt spid="_x0000_s3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79</xdr:col>
          <xdr:colOff>304800</xdr:colOff>
          <xdr:row>85</xdr:row>
          <xdr:rowOff>76200</xdr:rowOff>
        </xdr:from>
        <xdr:to>
          <xdr:col>79</xdr:col>
          <xdr:colOff>714375</xdr:colOff>
          <xdr:row>86</xdr:row>
          <xdr:rowOff>161925</xdr:rowOff>
        </xdr:to>
        <xdr:sp macro="" textlink="">
          <xdr:nvSpPr>
            <xdr:cNvPr id="3106" name="Object 34" hidden="1">
              <a:extLst>
                <a:ext uri="{63B3BB69-23CF-44E3-9099-C40C66FF867C}">
                  <a14:compatExt spid="_x0000_s3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85</xdr:col>
          <xdr:colOff>428625</xdr:colOff>
          <xdr:row>82</xdr:row>
          <xdr:rowOff>152400</xdr:rowOff>
        </xdr:from>
        <xdr:to>
          <xdr:col>85</xdr:col>
          <xdr:colOff>609600</xdr:colOff>
          <xdr:row>83</xdr:row>
          <xdr:rowOff>114300</xdr:rowOff>
        </xdr:to>
        <xdr:sp macro="" textlink="">
          <xdr:nvSpPr>
            <xdr:cNvPr id="3107" name="Object 35" hidden="1">
              <a:extLst>
                <a:ext uri="{63B3BB69-23CF-44E3-9099-C40C66FF867C}">
                  <a14:compatExt spid="_x0000_s3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86</xdr:col>
          <xdr:colOff>257175</xdr:colOff>
          <xdr:row>82</xdr:row>
          <xdr:rowOff>85725</xdr:rowOff>
        </xdr:from>
        <xdr:to>
          <xdr:col>86</xdr:col>
          <xdr:colOff>676275</xdr:colOff>
          <xdr:row>83</xdr:row>
          <xdr:rowOff>180975</xdr:rowOff>
        </xdr:to>
        <xdr:sp macro="" textlink="">
          <xdr:nvSpPr>
            <xdr:cNvPr id="3108" name="Object 36" hidden="1">
              <a:extLst>
                <a:ext uri="{63B3BB69-23CF-44E3-9099-C40C66FF867C}">
                  <a14:compatExt spid="_x0000_s3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85</xdr:col>
          <xdr:colOff>295275</xdr:colOff>
          <xdr:row>85</xdr:row>
          <xdr:rowOff>104775</xdr:rowOff>
        </xdr:from>
        <xdr:to>
          <xdr:col>85</xdr:col>
          <xdr:colOff>714375</xdr:colOff>
          <xdr:row>86</xdr:row>
          <xdr:rowOff>200025</xdr:rowOff>
        </xdr:to>
        <xdr:sp macro="" textlink="">
          <xdr:nvSpPr>
            <xdr:cNvPr id="3109" name="Object 37" hidden="1">
              <a:extLst>
                <a:ext uri="{63B3BB69-23CF-44E3-9099-C40C66FF867C}">
                  <a14:compatExt spid="_x0000_s3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86</xdr:col>
          <xdr:colOff>295275</xdr:colOff>
          <xdr:row>85</xdr:row>
          <xdr:rowOff>104775</xdr:rowOff>
        </xdr:from>
        <xdr:to>
          <xdr:col>86</xdr:col>
          <xdr:colOff>714375</xdr:colOff>
          <xdr:row>86</xdr:row>
          <xdr:rowOff>200025</xdr:rowOff>
        </xdr:to>
        <xdr:sp macro="" textlink="">
          <xdr:nvSpPr>
            <xdr:cNvPr id="3110" name="Object 38" hidden="1">
              <a:extLst>
                <a:ext uri="{63B3BB69-23CF-44E3-9099-C40C66FF867C}">
                  <a14:compatExt spid="_x0000_s3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87</xdr:col>
          <xdr:colOff>314325</xdr:colOff>
          <xdr:row>82</xdr:row>
          <xdr:rowOff>85725</xdr:rowOff>
        </xdr:from>
        <xdr:to>
          <xdr:col>87</xdr:col>
          <xdr:colOff>733425</xdr:colOff>
          <xdr:row>83</xdr:row>
          <xdr:rowOff>180975</xdr:rowOff>
        </xdr:to>
        <xdr:sp macro="" textlink="">
          <xdr:nvSpPr>
            <xdr:cNvPr id="3111" name="Object 39" hidden="1">
              <a:extLst>
                <a:ext uri="{63B3BB69-23CF-44E3-9099-C40C66FF867C}">
                  <a14:compatExt spid="_x0000_s3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87</xdr:col>
          <xdr:colOff>304800</xdr:colOff>
          <xdr:row>85</xdr:row>
          <xdr:rowOff>85725</xdr:rowOff>
        </xdr:from>
        <xdr:to>
          <xdr:col>87</xdr:col>
          <xdr:colOff>714375</xdr:colOff>
          <xdr:row>86</xdr:row>
          <xdr:rowOff>180975</xdr:rowOff>
        </xdr:to>
        <xdr:sp macro="" textlink="">
          <xdr:nvSpPr>
            <xdr:cNvPr id="3112" name="Object 40" hidden="1">
              <a:extLst>
                <a:ext uri="{63B3BB69-23CF-44E3-9099-C40C66FF867C}">
                  <a14:compatExt spid="_x0000_s3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90</xdr:col>
          <xdr:colOff>304800</xdr:colOff>
          <xdr:row>85</xdr:row>
          <xdr:rowOff>76200</xdr:rowOff>
        </xdr:from>
        <xdr:to>
          <xdr:col>90</xdr:col>
          <xdr:colOff>714375</xdr:colOff>
          <xdr:row>86</xdr:row>
          <xdr:rowOff>161925</xdr:rowOff>
        </xdr:to>
        <xdr:sp macro="" textlink="">
          <xdr:nvSpPr>
            <xdr:cNvPr id="3113" name="Object 41" hidden="1">
              <a:extLst>
                <a:ext uri="{63B3BB69-23CF-44E3-9099-C40C66FF867C}">
                  <a14:compatExt spid="_x0000_s3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96</xdr:col>
          <xdr:colOff>428625</xdr:colOff>
          <xdr:row>82</xdr:row>
          <xdr:rowOff>152400</xdr:rowOff>
        </xdr:from>
        <xdr:to>
          <xdr:col>96</xdr:col>
          <xdr:colOff>609600</xdr:colOff>
          <xdr:row>83</xdr:row>
          <xdr:rowOff>114300</xdr:rowOff>
        </xdr:to>
        <xdr:sp macro="" textlink="">
          <xdr:nvSpPr>
            <xdr:cNvPr id="3114" name="Object 42" hidden="1">
              <a:extLst>
                <a:ext uri="{63B3BB69-23CF-44E3-9099-C40C66FF867C}">
                  <a14:compatExt spid="_x0000_s3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97</xdr:col>
          <xdr:colOff>257175</xdr:colOff>
          <xdr:row>82</xdr:row>
          <xdr:rowOff>85725</xdr:rowOff>
        </xdr:from>
        <xdr:to>
          <xdr:col>97</xdr:col>
          <xdr:colOff>676275</xdr:colOff>
          <xdr:row>83</xdr:row>
          <xdr:rowOff>180975</xdr:rowOff>
        </xdr:to>
        <xdr:sp macro="" textlink="">
          <xdr:nvSpPr>
            <xdr:cNvPr id="3115" name="Object 43" hidden="1">
              <a:extLst>
                <a:ext uri="{63B3BB69-23CF-44E3-9099-C40C66FF867C}">
                  <a14:compatExt spid="_x0000_s3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96</xdr:col>
          <xdr:colOff>295275</xdr:colOff>
          <xdr:row>85</xdr:row>
          <xdr:rowOff>104775</xdr:rowOff>
        </xdr:from>
        <xdr:to>
          <xdr:col>96</xdr:col>
          <xdr:colOff>714375</xdr:colOff>
          <xdr:row>86</xdr:row>
          <xdr:rowOff>200025</xdr:rowOff>
        </xdr:to>
        <xdr:sp macro="" textlink="">
          <xdr:nvSpPr>
            <xdr:cNvPr id="3116" name="Object 44" hidden="1">
              <a:extLst>
                <a:ext uri="{63B3BB69-23CF-44E3-9099-C40C66FF867C}">
                  <a14:compatExt spid="_x0000_s3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97</xdr:col>
          <xdr:colOff>295275</xdr:colOff>
          <xdr:row>85</xdr:row>
          <xdr:rowOff>104775</xdr:rowOff>
        </xdr:from>
        <xdr:to>
          <xdr:col>97</xdr:col>
          <xdr:colOff>714375</xdr:colOff>
          <xdr:row>86</xdr:row>
          <xdr:rowOff>200025</xdr:rowOff>
        </xdr:to>
        <xdr:sp macro="" textlink="">
          <xdr:nvSpPr>
            <xdr:cNvPr id="3117" name="Object 45" hidden="1">
              <a:extLst>
                <a:ext uri="{63B3BB69-23CF-44E3-9099-C40C66FF867C}">
                  <a14:compatExt spid="_x0000_s3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98</xdr:col>
          <xdr:colOff>314325</xdr:colOff>
          <xdr:row>82</xdr:row>
          <xdr:rowOff>85725</xdr:rowOff>
        </xdr:from>
        <xdr:to>
          <xdr:col>98</xdr:col>
          <xdr:colOff>733425</xdr:colOff>
          <xdr:row>83</xdr:row>
          <xdr:rowOff>180975</xdr:rowOff>
        </xdr:to>
        <xdr:sp macro="" textlink="">
          <xdr:nvSpPr>
            <xdr:cNvPr id="3118" name="Object 46" hidden="1">
              <a:extLst>
                <a:ext uri="{63B3BB69-23CF-44E3-9099-C40C66FF867C}">
                  <a14:compatExt spid="_x0000_s3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98</xdr:col>
          <xdr:colOff>304800</xdr:colOff>
          <xdr:row>85</xdr:row>
          <xdr:rowOff>85725</xdr:rowOff>
        </xdr:from>
        <xdr:to>
          <xdr:col>98</xdr:col>
          <xdr:colOff>714375</xdr:colOff>
          <xdr:row>86</xdr:row>
          <xdr:rowOff>180975</xdr:rowOff>
        </xdr:to>
        <xdr:sp macro="" textlink="">
          <xdr:nvSpPr>
            <xdr:cNvPr id="3119" name="Object 47" hidden="1">
              <a:extLst>
                <a:ext uri="{63B3BB69-23CF-44E3-9099-C40C66FF867C}">
                  <a14:compatExt spid="_x0000_s3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101</xdr:col>
          <xdr:colOff>304800</xdr:colOff>
          <xdr:row>85</xdr:row>
          <xdr:rowOff>76200</xdr:rowOff>
        </xdr:from>
        <xdr:to>
          <xdr:col>101</xdr:col>
          <xdr:colOff>714375</xdr:colOff>
          <xdr:row>86</xdr:row>
          <xdr:rowOff>161925</xdr:rowOff>
        </xdr:to>
        <xdr:sp macro="" textlink="">
          <xdr:nvSpPr>
            <xdr:cNvPr id="3120" name="Object 48" hidden="1">
              <a:extLst>
                <a:ext uri="{63B3BB69-23CF-44E3-9099-C40C66FF867C}">
                  <a14:compatExt spid="_x0000_s3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107</xdr:col>
          <xdr:colOff>428625</xdr:colOff>
          <xdr:row>82</xdr:row>
          <xdr:rowOff>152400</xdr:rowOff>
        </xdr:from>
        <xdr:to>
          <xdr:col>107</xdr:col>
          <xdr:colOff>609600</xdr:colOff>
          <xdr:row>83</xdr:row>
          <xdr:rowOff>114300</xdr:rowOff>
        </xdr:to>
        <xdr:sp macro="" textlink="">
          <xdr:nvSpPr>
            <xdr:cNvPr id="3121" name="Object 49" hidden="1">
              <a:extLst>
                <a:ext uri="{63B3BB69-23CF-44E3-9099-C40C66FF867C}">
                  <a14:compatExt spid="_x0000_s3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108</xdr:col>
          <xdr:colOff>257175</xdr:colOff>
          <xdr:row>82</xdr:row>
          <xdr:rowOff>85725</xdr:rowOff>
        </xdr:from>
        <xdr:to>
          <xdr:col>108</xdr:col>
          <xdr:colOff>647700</xdr:colOff>
          <xdr:row>83</xdr:row>
          <xdr:rowOff>180975</xdr:rowOff>
        </xdr:to>
        <xdr:sp macro="" textlink="">
          <xdr:nvSpPr>
            <xdr:cNvPr id="3122" name="Object 50" hidden="1">
              <a:extLst>
                <a:ext uri="{63B3BB69-23CF-44E3-9099-C40C66FF867C}">
                  <a14:compatExt spid="_x0000_s3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107</xdr:col>
          <xdr:colOff>295275</xdr:colOff>
          <xdr:row>85</xdr:row>
          <xdr:rowOff>104775</xdr:rowOff>
        </xdr:from>
        <xdr:to>
          <xdr:col>107</xdr:col>
          <xdr:colOff>714375</xdr:colOff>
          <xdr:row>86</xdr:row>
          <xdr:rowOff>200025</xdr:rowOff>
        </xdr:to>
        <xdr:sp macro="" textlink="">
          <xdr:nvSpPr>
            <xdr:cNvPr id="3123" name="Object 51" hidden="1">
              <a:extLst>
                <a:ext uri="{63B3BB69-23CF-44E3-9099-C40C66FF867C}">
                  <a14:compatExt spid="_x0000_s3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108</xdr:col>
          <xdr:colOff>295275</xdr:colOff>
          <xdr:row>85</xdr:row>
          <xdr:rowOff>104775</xdr:rowOff>
        </xdr:from>
        <xdr:to>
          <xdr:col>108</xdr:col>
          <xdr:colOff>714375</xdr:colOff>
          <xdr:row>86</xdr:row>
          <xdr:rowOff>200025</xdr:rowOff>
        </xdr:to>
        <xdr:sp macro="" textlink="">
          <xdr:nvSpPr>
            <xdr:cNvPr id="3124" name="Object 52" hidden="1">
              <a:extLst>
                <a:ext uri="{63B3BB69-23CF-44E3-9099-C40C66FF867C}">
                  <a14:compatExt spid="_x0000_s3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109</xdr:col>
          <xdr:colOff>314325</xdr:colOff>
          <xdr:row>82</xdr:row>
          <xdr:rowOff>85725</xdr:rowOff>
        </xdr:from>
        <xdr:to>
          <xdr:col>109</xdr:col>
          <xdr:colOff>733425</xdr:colOff>
          <xdr:row>83</xdr:row>
          <xdr:rowOff>180975</xdr:rowOff>
        </xdr:to>
        <xdr:sp macro="" textlink="">
          <xdr:nvSpPr>
            <xdr:cNvPr id="3125" name="Object 53" hidden="1">
              <a:extLst>
                <a:ext uri="{63B3BB69-23CF-44E3-9099-C40C66FF867C}">
                  <a14:compatExt spid="_x0000_s3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109</xdr:col>
          <xdr:colOff>304800</xdr:colOff>
          <xdr:row>85</xdr:row>
          <xdr:rowOff>85725</xdr:rowOff>
        </xdr:from>
        <xdr:to>
          <xdr:col>109</xdr:col>
          <xdr:colOff>714375</xdr:colOff>
          <xdr:row>86</xdr:row>
          <xdr:rowOff>180975</xdr:rowOff>
        </xdr:to>
        <xdr:sp macro="" textlink="">
          <xdr:nvSpPr>
            <xdr:cNvPr id="3126" name="Object 54" hidden="1">
              <a:extLst>
                <a:ext uri="{63B3BB69-23CF-44E3-9099-C40C66FF867C}">
                  <a14:compatExt spid="_x0000_s3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112</xdr:col>
          <xdr:colOff>304800</xdr:colOff>
          <xdr:row>85</xdr:row>
          <xdr:rowOff>76200</xdr:rowOff>
        </xdr:from>
        <xdr:to>
          <xdr:col>112</xdr:col>
          <xdr:colOff>714375</xdr:colOff>
          <xdr:row>86</xdr:row>
          <xdr:rowOff>161925</xdr:rowOff>
        </xdr:to>
        <xdr:sp macro="" textlink="">
          <xdr:nvSpPr>
            <xdr:cNvPr id="3127" name="Object 55" hidden="1">
              <a:extLst>
                <a:ext uri="{63B3BB69-23CF-44E3-9099-C40C66FF867C}">
                  <a14:compatExt spid="_x0000_s3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428625</xdr:colOff>
          <xdr:row>114</xdr:row>
          <xdr:rowOff>152400</xdr:rowOff>
        </xdr:from>
        <xdr:to>
          <xdr:col>41</xdr:col>
          <xdr:colOff>609600</xdr:colOff>
          <xdr:row>115</xdr:row>
          <xdr:rowOff>114300</xdr:rowOff>
        </xdr:to>
        <xdr:sp macro="" textlink="">
          <xdr:nvSpPr>
            <xdr:cNvPr id="3128" name="Object 56" hidden="1">
              <a:extLst>
                <a:ext uri="{63B3BB69-23CF-44E3-9099-C40C66FF867C}">
                  <a14:compatExt spid="_x0000_s31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257175</xdr:colOff>
          <xdr:row>114</xdr:row>
          <xdr:rowOff>85725</xdr:rowOff>
        </xdr:from>
        <xdr:to>
          <xdr:col>42</xdr:col>
          <xdr:colOff>647700</xdr:colOff>
          <xdr:row>115</xdr:row>
          <xdr:rowOff>180975</xdr:rowOff>
        </xdr:to>
        <xdr:sp macro="" textlink="">
          <xdr:nvSpPr>
            <xdr:cNvPr id="3129" name="Object 57" hidden="1">
              <a:extLst>
                <a:ext uri="{63B3BB69-23CF-44E3-9099-C40C66FF867C}">
                  <a14:compatExt spid="_x0000_s3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295275</xdr:colOff>
          <xdr:row>117</xdr:row>
          <xdr:rowOff>104775</xdr:rowOff>
        </xdr:from>
        <xdr:to>
          <xdr:col>41</xdr:col>
          <xdr:colOff>714375</xdr:colOff>
          <xdr:row>118</xdr:row>
          <xdr:rowOff>200025</xdr:rowOff>
        </xdr:to>
        <xdr:sp macro="" textlink="">
          <xdr:nvSpPr>
            <xdr:cNvPr id="3130" name="Object 58" hidden="1">
              <a:extLst>
                <a:ext uri="{63B3BB69-23CF-44E3-9099-C40C66FF867C}">
                  <a14:compatExt spid="_x0000_s3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295275</xdr:colOff>
          <xdr:row>117</xdr:row>
          <xdr:rowOff>104775</xdr:rowOff>
        </xdr:from>
        <xdr:to>
          <xdr:col>42</xdr:col>
          <xdr:colOff>714375</xdr:colOff>
          <xdr:row>118</xdr:row>
          <xdr:rowOff>200025</xdr:rowOff>
        </xdr:to>
        <xdr:sp macro="" textlink="">
          <xdr:nvSpPr>
            <xdr:cNvPr id="3131" name="Object 59" hidden="1">
              <a:extLst>
                <a:ext uri="{63B3BB69-23CF-44E3-9099-C40C66FF867C}">
                  <a14:compatExt spid="_x0000_s31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314325</xdr:colOff>
          <xdr:row>114</xdr:row>
          <xdr:rowOff>85725</xdr:rowOff>
        </xdr:from>
        <xdr:to>
          <xdr:col>43</xdr:col>
          <xdr:colOff>733425</xdr:colOff>
          <xdr:row>115</xdr:row>
          <xdr:rowOff>180975</xdr:rowOff>
        </xdr:to>
        <xdr:sp macro="" textlink="">
          <xdr:nvSpPr>
            <xdr:cNvPr id="3132" name="Object 60" hidden="1">
              <a:extLst>
                <a:ext uri="{63B3BB69-23CF-44E3-9099-C40C66FF867C}">
                  <a14:compatExt spid="_x0000_s31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304800</xdr:colOff>
          <xdr:row>117</xdr:row>
          <xdr:rowOff>85725</xdr:rowOff>
        </xdr:from>
        <xdr:to>
          <xdr:col>43</xdr:col>
          <xdr:colOff>714375</xdr:colOff>
          <xdr:row>118</xdr:row>
          <xdr:rowOff>180975</xdr:rowOff>
        </xdr:to>
        <xdr:sp macro="" textlink="">
          <xdr:nvSpPr>
            <xdr:cNvPr id="3133" name="Object 61" hidden="1">
              <a:extLst>
                <a:ext uri="{63B3BB69-23CF-44E3-9099-C40C66FF867C}">
                  <a14:compatExt spid="_x0000_s31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304800</xdr:colOff>
          <xdr:row>117</xdr:row>
          <xdr:rowOff>76200</xdr:rowOff>
        </xdr:from>
        <xdr:to>
          <xdr:col>46</xdr:col>
          <xdr:colOff>714375</xdr:colOff>
          <xdr:row>118</xdr:row>
          <xdr:rowOff>161925</xdr:rowOff>
        </xdr:to>
        <xdr:sp macro="" textlink="">
          <xdr:nvSpPr>
            <xdr:cNvPr id="3134" name="Object 62" hidden="1">
              <a:extLst>
                <a:ext uri="{63B3BB69-23CF-44E3-9099-C40C66FF867C}">
                  <a14:compatExt spid="_x0000_s3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428625</xdr:colOff>
          <xdr:row>114</xdr:row>
          <xdr:rowOff>152400</xdr:rowOff>
        </xdr:from>
        <xdr:to>
          <xdr:col>52</xdr:col>
          <xdr:colOff>609600</xdr:colOff>
          <xdr:row>115</xdr:row>
          <xdr:rowOff>114300</xdr:rowOff>
        </xdr:to>
        <xdr:sp macro="" textlink="">
          <xdr:nvSpPr>
            <xdr:cNvPr id="3135" name="Object 63" hidden="1">
              <a:extLst>
                <a:ext uri="{63B3BB69-23CF-44E3-9099-C40C66FF867C}">
                  <a14:compatExt spid="_x0000_s31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257175</xdr:colOff>
          <xdr:row>114</xdr:row>
          <xdr:rowOff>85725</xdr:rowOff>
        </xdr:from>
        <xdr:to>
          <xdr:col>53</xdr:col>
          <xdr:colOff>647700</xdr:colOff>
          <xdr:row>115</xdr:row>
          <xdr:rowOff>180975</xdr:rowOff>
        </xdr:to>
        <xdr:sp macro="" textlink="">
          <xdr:nvSpPr>
            <xdr:cNvPr id="3136" name="Object 64" hidden="1">
              <a:extLst>
                <a:ext uri="{63B3BB69-23CF-44E3-9099-C40C66FF867C}">
                  <a14:compatExt spid="_x0000_s31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295275</xdr:colOff>
          <xdr:row>117</xdr:row>
          <xdr:rowOff>104775</xdr:rowOff>
        </xdr:from>
        <xdr:to>
          <xdr:col>52</xdr:col>
          <xdr:colOff>714375</xdr:colOff>
          <xdr:row>118</xdr:row>
          <xdr:rowOff>200025</xdr:rowOff>
        </xdr:to>
        <xdr:sp macro="" textlink="">
          <xdr:nvSpPr>
            <xdr:cNvPr id="3137" name="Object 65" hidden="1">
              <a:extLst>
                <a:ext uri="{63B3BB69-23CF-44E3-9099-C40C66FF867C}">
                  <a14:compatExt spid="_x0000_s31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295275</xdr:colOff>
          <xdr:row>117</xdr:row>
          <xdr:rowOff>104775</xdr:rowOff>
        </xdr:from>
        <xdr:to>
          <xdr:col>53</xdr:col>
          <xdr:colOff>714375</xdr:colOff>
          <xdr:row>118</xdr:row>
          <xdr:rowOff>200025</xdr:rowOff>
        </xdr:to>
        <xdr:sp macro="" textlink="">
          <xdr:nvSpPr>
            <xdr:cNvPr id="3138" name="Object 66" hidden="1">
              <a:extLst>
                <a:ext uri="{63B3BB69-23CF-44E3-9099-C40C66FF867C}">
                  <a14:compatExt spid="_x0000_s3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314325</xdr:colOff>
          <xdr:row>114</xdr:row>
          <xdr:rowOff>85725</xdr:rowOff>
        </xdr:from>
        <xdr:to>
          <xdr:col>54</xdr:col>
          <xdr:colOff>733425</xdr:colOff>
          <xdr:row>115</xdr:row>
          <xdr:rowOff>180975</xdr:rowOff>
        </xdr:to>
        <xdr:sp macro="" textlink="">
          <xdr:nvSpPr>
            <xdr:cNvPr id="3139" name="Object 67" hidden="1">
              <a:extLst>
                <a:ext uri="{63B3BB69-23CF-44E3-9099-C40C66FF867C}">
                  <a14:compatExt spid="_x0000_s31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304800</xdr:colOff>
          <xdr:row>117</xdr:row>
          <xdr:rowOff>85725</xdr:rowOff>
        </xdr:from>
        <xdr:to>
          <xdr:col>54</xdr:col>
          <xdr:colOff>714375</xdr:colOff>
          <xdr:row>118</xdr:row>
          <xdr:rowOff>180975</xdr:rowOff>
        </xdr:to>
        <xdr:sp macro="" textlink="">
          <xdr:nvSpPr>
            <xdr:cNvPr id="3140" name="Object 68" hidden="1">
              <a:extLst>
                <a:ext uri="{63B3BB69-23CF-44E3-9099-C40C66FF867C}">
                  <a14:compatExt spid="_x0000_s31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304800</xdr:colOff>
          <xdr:row>117</xdr:row>
          <xdr:rowOff>76200</xdr:rowOff>
        </xdr:from>
        <xdr:to>
          <xdr:col>57</xdr:col>
          <xdr:colOff>714375</xdr:colOff>
          <xdr:row>118</xdr:row>
          <xdr:rowOff>161925</xdr:rowOff>
        </xdr:to>
        <xdr:sp macro="" textlink="">
          <xdr:nvSpPr>
            <xdr:cNvPr id="3141" name="Object 69" hidden="1">
              <a:extLst>
                <a:ext uri="{63B3BB69-23CF-44E3-9099-C40C66FF867C}">
                  <a14:compatExt spid="_x0000_s31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63</xdr:col>
          <xdr:colOff>428625</xdr:colOff>
          <xdr:row>114</xdr:row>
          <xdr:rowOff>152400</xdr:rowOff>
        </xdr:from>
        <xdr:to>
          <xdr:col>63</xdr:col>
          <xdr:colOff>609600</xdr:colOff>
          <xdr:row>115</xdr:row>
          <xdr:rowOff>114300</xdr:rowOff>
        </xdr:to>
        <xdr:sp macro="" textlink="">
          <xdr:nvSpPr>
            <xdr:cNvPr id="3142" name="Object 70" hidden="1">
              <a:extLst>
                <a:ext uri="{63B3BB69-23CF-44E3-9099-C40C66FF867C}">
                  <a14:compatExt spid="_x0000_s3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64</xdr:col>
          <xdr:colOff>257175</xdr:colOff>
          <xdr:row>114</xdr:row>
          <xdr:rowOff>85725</xdr:rowOff>
        </xdr:from>
        <xdr:to>
          <xdr:col>64</xdr:col>
          <xdr:colOff>647700</xdr:colOff>
          <xdr:row>115</xdr:row>
          <xdr:rowOff>180975</xdr:rowOff>
        </xdr:to>
        <xdr:sp macro="" textlink="">
          <xdr:nvSpPr>
            <xdr:cNvPr id="3143" name="Object 71" hidden="1">
              <a:extLst>
                <a:ext uri="{63B3BB69-23CF-44E3-9099-C40C66FF867C}">
                  <a14:compatExt spid="_x0000_s3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63</xdr:col>
          <xdr:colOff>295275</xdr:colOff>
          <xdr:row>117</xdr:row>
          <xdr:rowOff>104775</xdr:rowOff>
        </xdr:from>
        <xdr:to>
          <xdr:col>63</xdr:col>
          <xdr:colOff>714375</xdr:colOff>
          <xdr:row>118</xdr:row>
          <xdr:rowOff>200025</xdr:rowOff>
        </xdr:to>
        <xdr:sp macro="" textlink="">
          <xdr:nvSpPr>
            <xdr:cNvPr id="3144" name="Object 72" hidden="1">
              <a:extLst>
                <a:ext uri="{63B3BB69-23CF-44E3-9099-C40C66FF867C}">
                  <a14:compatExt spid="_x0000_s3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64</xdr:col>
          <xdr:colOff>295275</xdr:colOff>
          <xdr:row>117</xdr:row>
          <xdr:rowOff>104775</xdr:rowOff>
        </xdr:from>
        <xdr:to>
          <xdr:col>64</xdr:col>
          <xdr:colOff>714375</xdr:colOff>
          <xdr:row>118</xdr:row>
          <xdr:rowOff>200025</xdr:rowOff>
        </xdr:to>
        <xdr:sp macro="" textlink="">
          <xdr:nvSpPr>
            <xdr:cNvPr id="3145" name="Object 73" hidden="1">
              <a:extLst>
                <a:ext uri="{63B3BB69-23CF-44E3-9099-C40C66FF867C}">
                  <a14:compatExt spid="_x0000_s3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314325</xdr:colOff>
          <xdr:row>114</xdr:row>
          <xdr:rowOff>85725</xdr:rowOff>
        </xdr:from>
        <xdr:to>
          <xdr:col>65</xdr:col>
          <xdr:colOff>733425</xdr:colOff>
          <xdr:row>115</xdr:row>
          <xdr:rowOff>180975</xdr:rowOff>
        </xdr:to>
        <xdr:sp macro="" textlink="">
          <xdr:nvSpPr>
            <xdr:cNvPr id="3146" name="Object 74" hidden="1">
              <a:extLst>
                <a:ext uri="{63B3BB69-23CF-44E3-9099-C40C66FF867C}">
                  <a14:compatExt spid="_x0000_s3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304800</xdr:colOff>
          <xdr:row>117</xdr:row>
          <xdr:rowOff>85725</xdr:rowOff>
        </xdr:from>
        <xdr:to>
          <xdr:col>65</xdr:col>
          <xdr:colOff>714375</xdr:colOff>
          <xdr:row>118</xdr:row>
          <xdr:rowOff>180975</xdr:rowOff>
        </xdr:to>
        <xdr:sp macro="" textlink="">
          <xdr:nvSpPr>
            <xdr:cNvPr id="3147" name="Object 75" hidden="1">
              <a:extLst>
                <a:ext uri="{63B3BB69-23CF-44E3-9099-C40C66FF867C}">
                  <a14:compatExt spid="_x0000_s31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304800</xdr:colOff>
          <xdr:row>117</xdr:row>
          <xdr:rowOff>76200</xdr:rowOff>
        </xdr:from>
        <xdr:to>
          <xdr:col>68</xdr:col>
          <xdr:colOff>714375</xdr:colOff>
          <xdr:row>118</xdr:row>
          <xdr:rowOff>161925</xdr:rowOff>
        </xdr:to>
        <xdr:sp macro="" textlink="">
          <xdr:nvSpPr>
            <xdr:cNvPr id="3148" name="Object 76" hidden="1">
              <a:extLst>
                <a:ext uri="{63B3BB69-23CF-44E3-9099-C40C66FF867C}">
                  <a14:compatExt spid="_x0000_s3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428625</xdr:colOff>
          <xdr:row>114</xdr:row>
          <xdr:rowOff>152400</xdr:rowOff>
        </xdr:from>
        <xdr:to>
          <xdr:col>74</xdr:col>
          <xdr:colOff>609600</xdr:colOff>
          <xdr:row>115</xdr:row>
          <xdr:rowOff>114300</xdr:rowOff>
        </xdr:to>
        <xdr:sp macro="" textlink="">
          <xdr:nvSpPr>
            <xdr:cNvPr id="3149" name="Object 77" hidden="1">
              <a:extLst>
                <a:ext uri="{63B3BB69-23CF-44E3-9099-C40C66FF867C}">
                  <a14:compatExt spid="_x0000_s3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257175</xdr:colOff>
          <xdr:row>114</xdr:row>
          <xdr:rowOff>85725</xdr:rowOff>
        </xdr:from>
        <xdr:to>
          <xdr:col>75</xdr:col>
          <xdr:colOff>647700</xdr:colOff>
          <xdr:row>115</xdr:row>
          <xdr:rowOff>180975</xdr:rowOff>
        </xdr:to>
        <xdr:sp macro="" textlink="">
          <xdr:nvSpPr>
            <xdr:cNvPr id="3150" name="Object 78" hidden="1">
              <a:extLst>
                <a:ext uri="{63B3BB69-23CF-44E3-9099-C40C66FF867C}">
                  <a14:compatExt spid="_x0000_s3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295275</xdr:colOff>
          <xdr:row>117</xdr:row>
          <xdr:rowOff>104775</xdr:rowOff>
        </xdr:from>
        <xdr:to>
          <xdr:col>74</xdr:col>
          <xdr:colOff>714375</xdr:colOff>
          <xdr:row>118</xdr:row>
          <xdr:rowOff>200025</xdr:rowOff>
        </xdr:to>
        <xdr:sp macro="" textlink="">
          <xdr:nvSpPr>
            <xdr:cNvPr id="3151" name="Object 79" hidden="1">
              <a:extLst>
                <a:ext uri="{63B3BB69-23CF-44E3-9099-C40C66FF867C}">
                  <a14:compatExt spid="_x0000_s31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295275</xdr:colOff>
          <xdr:row>117</xdr:row>
          <xdr:rowOff>104775</xdr:rowOff>
        </xdr:from>
        <xdr:to>
          <xdr:col>75</xdr:col>
          <xdr:colOff>714375</xdr:colOff>
          <xdr:row>118</xdr:row>
          <xdr:rowOff>200025</xdr:rowOff>
        </xdr:to>
        <xdr:sp macro="" textlink="">
          <xdr:nvSpPr>
            <xdr:cNvPr id="3152" name="Object 80" hidden="1">
              <a:extLst>
                <a:ext uri="{63B3BB69-23CF-44E3-9099-C40C66FF867C}">
                  <a14:compatExt spid="_x0000_s3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314325</xdr:colOff>
          <xdr:row>114</xdr:row>
          <xdr:rowOff>85725</xdr:rowOff>
        </xdr:from>
        <xdr:to>
          <xdr:col>76</xdr:col>
          <xdr:colOff>733425</xdr:colOff>
          <xdr:row>115</xdr:row>
          <xdr:rowOff>180975</xdr:rowOff>
        </xdr:to>
        <xdr:sp macro="" textlink="">
          <xdr:nvSpPr>
            <xdr:cNvPr id="3153" name="Object 81" hidden="1">
              <a:extLst>
                <a:ext uri="{63B3BB69-23CF-44E3-9099-C40C66FF867C}">
                  <a14:compatExt spid="_x0000_s31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304800</xdr:colOff>
          <xdr:row>117</xdr:row>
          <xdr:rowOff>85725</xdr:rowOff>
        </xdr:from>
        <xdr:to>
          <xdr:col>76</xdr:col>
          <xdr:colOff>714375</xdr:colOff>
          <xdr:row>118</xdr:row>
          <xdr:rowOff>180975</xdr:rowOff>
        </xdr:to>
        <xdr:sp macro="" textlink="">
          <xdr:nvSpPr>
            <xdr:cNvPr id="3154" name="Object 82" hidden="1">
              <a:extLst>
                <a:ext uri="{63B3BB69-23CF-44E3-9099-C40C66FF867C}">
                  <a14:compatExt spid="_x0000_s3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79</xdr:col>
          <xdr:colOff>304800</xdr:colOff>
          <xdr:row>117</xdr:row>
          <xdr:rowOff>76200</xdr:rowOff>
        </xdr:from>
        <xdr:to>
          <xdr:col>79</xdr:col>
          <xdr:colOff>714375</xdr:colOff>
          <xdr:row>118</xdr:row>
          <xdr:rowOff>161925</xdr:rowOff>
        </xdr:to>
        <xdr:sp macro="" textlink="">
          <xdr:nvSpPr>
            <xdr:cNvPr id="3155" name="Object 83" hidden="1">
              <a:extLst>
                <a:ext uri="{63B3BB69-23CF-44E3-9099-C40C66FF867C}">
                  <a14:compatExt spid="_x0000_s31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85</xdr:col>
          <xdr:colOff>428625</xdr:colOff>
          <xdr:row>114</xdr:row>
          <xdr:rowOff>152400</xdr:rowOff>
        </xdr:from>
        <xdr:to>
          <xdr:col>85</xdr:col>
          <xdr:colOff>609600</xdr:colOff>
          <xdr:row>115</xdr:row>
          <xdr:rowOff>114300</xdr:rowOff>
        </xdr:to>
        <xdr:sp macro="" textlink="">
          <xdr:nvSpPr>
            <xdr:cNvPr id="3156" name="Object 84" hidden="1">
              <a:extLst>
                <a:ext uri="{63B3BB69-23CF-44E3-9099-C40C66FF867C}">
                  <a14:compatExt spid="_x0000_s31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86</xdr:col>
          <xdr:colOff>257175</xdr:colOff>
          <xdr:row>114</xdr:row>
          <xdr:rowOff>85725</xdr:rowOff>
        </xdr:from>
        <xdr:to>
          <xdr:col>86</xdr:col>
          <xdr:colOff>647700</xdr:colOff>
          <xdr:row>115</xdr:row>
          <xdr:rowOff>180975</xdr:rowOff>
        </xdr:to>
        <xdr:sp macro="" textlink="">
          <xdr:nvSpPr>
            <xdr:cNvPr id="3157" name="Object 85" hidden="1">
              <a:extLst>
                <a:ext uri="{63B3BB69-23CF-44E3-9099-C40C66FF867C}">
                  <a14:compatExt spid="_x0000_s31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85</xdr:col>
          <xdr:colOff>295275</xdr:colOff>
          <xdr:row>117</xdr:row>
          <xdr:rowOff>104775</xdr:rowOff>
        </xdr:from>
        <xdr:to>
          <xdr:col>85</xdr:col>
          <xdr:colOff>714375</xdr:colOff>
          <xdr:row>118</xdr:row>
          <xdr:rowOff>200025</xdr:rowOff>
        </xdr:to>
        <xdr:sp macro="" textlink="">
          <xdr:nvSpPr>
            <xdr:cNvPr id="3158" name="Object 86" hidden="1">
              <a:extLst>
                <a:ext uri="{63B3BB69-23CF-44E3-9099-C40C66FF867C}">
                  <a14:compatExt spid="_x0000_s3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86</xdr:col>
          <xdr:colOff>295275</xdr:colOff>
          <xdr:row>117</xdr:row>
          <xdr:rowOff>104775</xdr:rowOff>
        </xdr:from>
        <xdr:to>
          <xdr:col>86</xdr:col>
          <xdr:colOff>714375</xdr:colOff>
          <xdr:row>118</xdr:row>
          <xdr:rowOff>200025</xdr:rowOff>
        </xdr:to>
        <xdr:sp macro="" textlink="">
          <xdr:nvSpPr>
            <xdr:cNvPr id="3159" name="Object 87" hidden="1">
              <a:extLst>
                <a:ext uri="{63B3BB69-23CF-44E3-9099-C40C66FF867C}">
                  <a14:compatExt spid="_x0000_s31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87</xdr:col>
          <xdr:colOff>314325</xdr:colOff>
          <xdr:row>114</xdr:row>
          <xdr:rowOff>85725</xdr:rowOff>
        </xdr:from>
        <xdr:to>
          <xdr:col>87</xdr:col>
          <xdr:colOff>733425</xdr:colOff>
          <xdr:row>115</xdr:row>
          <xdr:rowOff>180975</xdr:rowOff>
        </xdr:to>
        <xdr:sp macro="" textlink="">
          <xdr:nvSpPr>
            <xdr:cNvPr id="3160" name="Object 88" hidden="1">
              <a:extLst>
                <a:ext uri="{63B3BB69-23CF-44E3-9099-C40C66FF867C}">
                  <a14:compatExt spid="_x0000_s31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87</xdr:col>
          <xdr:colOff>304800</xdr:colOff>
          <xdr:row>117</xdr:row>
          <xdr:rowOff>85725</xdr:rowOff>
        </xdr:from>
        <xdr:to>
          <xdr:col>87</xdr:col>
          <xdr:colOff>714375</xdr:colOff>
          <xdr:row>118</xdr:row>
          <xdr:rowOff>180975</xdr:rowOff>
        </xdr:to>
        <xdr:sp macro="" textlink="">
          <xdr:nvSpPr>
            <xdr:cNvPr id="3161" name="Object 89" hidden="1">
              <a:extLst>
                <a:ext uri="{63B3BB69-23CF-44E3-9099-C40C66FF867C}">
                  <a14:compatExt spid="_x0000_s31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90</xdr:col>
          <xdr:colOff>304800</xdr:colOff>
          <xdr:row>117</xdr:row>
          <xdr:rowOff>76200</xdr:rowOff>
        </xdr:from>
        <xdr:to>
          <xdr:col>90</xdr:col>
          <xdr:colOff>714375</xdr:colOff>
          <xdr:row>118</xdr:row>
          <xdr:rowOff>161925</xdr:rowOff>
        </xdr:to>
        <xdr:sp macro="" textlink="">
          <xdr:nvSpPr>
            <xdr:cNvPr id="3162" name="Object 90" hidden="1">
              <a:extLst>
                <a:ext uri="{63B3BB69-23CF-44E3-9099-C40C66FF867C}">
                  <a14:compatExt spid="_x0000_s3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96</xdr:col>
          <xdr:colOff>428625</xdr:colOff>
          <xdr:row>114</xdr:row>
          <xdr:rowOff>152400</xdr:rowOff>
        </xdr:from>
        <xdr:to>
          <xdr:col>96</xdr:col>
          <xdr:colOff>609600</xdr:colOff>
          <xdr:row>115</xdr:row>
          <xdr:rowOff>114300</xdr:rowOff>
        </xdr:to>
        <xdr:sp macro="" textlink="">
          <xdr:nvSpPr>
            <xdr:cNvPr id="3163" name="Object 91" hidden="1">
              <a:extLst>
                <a:ext uri="{63B3BB69-23CF-44E3-9099-C40C66FF867C}">
                  <a14:compatExt spid="_x0000_s31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97</xdr:col>
          <xdr:colOff>257175</xdr:colOff>
          <xdr:row>114</xdr:row>
          <xdr:rowOff>85725</xdr:rowOff>
        </xdr:from>
        <xdr:to>
          <xdr:col>97</xdr:col>
          <xdr:colOff>647700</xdr:colOff>
          <xdr:row>115</xdr:row>
          <xdr:rowOff>180975</xdr:rowOff>
        </xdr:to>
        <xdr:sp macro="" textlink="">
          <xdr:nvSpPr>
            <xdr:cNvPr id="3164" name="Object 92" hidden="1">
              <a:extLst>
                <a:ext uri="{63B3BB69-23CF-44E3-9099-C40C66FF867C}">
                  <a14:compatExt spid="_x0000_s31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96</xdr:col>
          <xdr:colOff>295275</xdr:colOff>
          <xdr:row>117</xdr:row>
          <xdr:rowOff>104775</xdr:rowOff>
        </xdr:from>
        <xdr:to>
          <xdr:col>96</xdr:col>
          <xdr:colOff>714375</xdr:colOff>
          <xdr:row>118</xdr:row>
          <xdr:rowOff>200025</xdr:rowOff>
        </xdr:to>
        <xdr:sp macro="" textlink="">
          <xdr:nvSpPr>
            <xdr:cNvPr id="3165" name="Object 93" hidden="1">
              <a:extLst>
                <a:ext uri="{63B3BB69-23CF-44E3-9099-C40C66FF867C}">
                  <a14:compatExt spid="_x0000_s31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97</xdr:col>
          <xdr:colOff>295275</xdr:colOff>
          <xdr:row>117</xdr:row>
          <xdr:rowOff>104775</xdr:rowOff>
        </xdr:from>
        <xdr:to>
          <xdr:col>97</xdr:col>
          <xdr:colOff>714375</xdr:colOff>
          <xdr:row>118</xdr:row>
          <xdr:rowOff>200025</xdr:rowOff>
        </xdr:to>
        <xdr:sp macro="" textlink="">
          <xdr:nvSpPr>
            <xdr:cNvPr id="3166" name="Object 94" hidden="1">
              <a:extLst>
                <a:ext uri="{63B3BB69-23CF-44E3-9099-C40C66FF867C}">
                  <a14:compatExt spid="_x0000_s3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98</xdr:col>
          <xdr:colOff>314325</xdr:colOff>
          <xdr:row>114</xdr:row>
          <xdr:rowOff>85725</xdr:rowOff>
        </xdr:from>
        <xdr:to>
          <xdr:col>98</xdr:col>
          <xdr:colOff>733425</xdr:colOff>
          <xdr:row>115</xdr:row>
          <xdr:rowOff>180975</xdr:rowOff>
        </xdr:to>
        <xdr:sp macro="" textlink="">
          <xdr:nvSpPr>
            <xdr:cNvPr id="3167" name="Object 95" hidden="1">
              <a:extLst>
                <a:ext uri="{63B3BB69-23CF-44E3-9099-C40C66FF867C}">
                  <a14:compatExt spid="_x0000_s31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98</xdr:col>
          <xdr:colOff>304800</xdr:colOff>
          <xdr:row>117</xdr:row>
          <xdr:rowOff>85725</xdr:rowOff>
        </xdr:from>
        <xdr:to>
          <xdr:col>98</xdr:col>
          <xdr:colOff>714375</xdr:colOff>
          <xdr:row>118</xdr:row>
          <xdr:rowOff>180975</xdr:rowOff>
        </xdr:to>
        <xdr:sp macro="" textlink="">
          <xdr:nvSpPr>
            <xdr:cNvPr id="3168" name="Object 96" hidden="1">
              <a:extLst>
                <a:ext uri="{63B3BB69-23CF-44E3-9099-C40C66FF867C}">
                  <a14:compatExt spid="_x0000_s31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101</xdr:col>
          <xdr:colOff>304800</xdr:colOff>
          <xdr:row>117</xdr:row>
          <xdr:rowOff>76200</xdr:rowOff>
        </xdr:from>
        <xdr:to>
          <xdr:col>101</xdr:col>
          <xdr:colOff>714375</xdr:colOff>
          <xdr:row>118</xdr:row>
          <xdr:rowOff>161925</xdr:rowOff>
        </xdr:to>
        <xdr:sp macro="" textlink="">
          <xdr:nvSpPr>
            <xdr:cNvPr id="3169" name="Object 97" hidden="1">
              <a:extLst>
                <a:ext uri="{63B3BB69-23CF-44E3-9099-C40C66FF867C}">
                  <a14:compatExt spid="_x0000_s3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107</xdr:col>
          <xdr:colOff>428625</xdr:colOff>
          <xdr:row>114</xdr:row>
          <xdr:rowOff>152400</xdr:rowOff>
        </xdr:from>
        <xdr:to>
          <xdr:col>107</xdr:col>
          <xdr:colOff>609600</xdr:colOff>
          <xdr:row>115</xdr:row>
          <xdr:rowOff>114300</xdr:rowOff>
        </xdr:to>
        <xdr:sp macro="" textlink="">
          <xdr:nvSpPr>
            <xdr:cNvPr id="3170" name="Object 98" hidden="1">
              <a:extLst>
                <a:ext uri="{63B3BB69-23CF-44E3-9099-C40C66FF867C}">
                  <a14:compatExt spid="_x0000_s3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108</xdr:col>
          <xdr:colOff>257175</xdr:colOff>
          <xdr:row>114</xdr:row>
          <xdr:rowOff>85725</xdr:rowOff>
        </xdr:from>
        <xdr:to>
          <xdr:col>108</xdr:col>
          <xdr:colOff>647700</xdr:colOff>
          <xdr:row>115</xdr:row>
          <xdr:rowOff>180975</xdr:rowOff>
        </xdr:to>
        <xdr:sp macro="" textlink="">
          <xdr:nvSpPr>
            <xdr:cNvPr id="3171" name="Object 99" hidden="1">
              <a:extLst>
                <a:ext uri="{63B3BB69-23CF-44E3-9099-C40C66FF867C}">
                  <a14:compatExt spid="_x0000_s3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107</xdr:col>
          <xdr:colOff>295275</xdr:colOff>
          <xdr:row>117</xdr:row>
          <xdr:rowOff>104775</xdr:rowOff>
        </xdr:from>
        <xdr:to>
          <xdr:col>107</xdr:col>
          <xdr:colOff>714375</xdr:colOff>
          <xdr:row>118</xdr:row>
          <xdr:rowOff>200025</xdr:rowOff>
        </xdr:to>
        <xdr:sp macro="" textlink="">
          <xdr:nvSpPr>
            <xdr:cNvPr id="3172" name="Object 100" hidden="1">
              <a:extLst>
                <a:ext uri="{63B3BB69-23CF-44E3-9099-C40C66FF867C}">
                  <a14:compatExt spid="_x0000_s3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108</xdr:col>
          <xdr:colOff>295275</xdr:colOff>
          <xdr:row>117</xdr:row>
          <xdr:rowOff>104775</xdr:rowOff>
        </xdr:from>
        <xdr:to>
          <xdr:col>108</xdr:col>
          <xdr:colOff>714375</xdr:colOff>
          <xdr:row>118</xdr:row>
          <xdr:rowOff>200025</xdr:rowOff>
        </xdr:to>
        <xdr:sp macro="" textlink="">
          <xdr:nvSpPr>
            <xdr:cNvPr id="3173" name="Object 101" hidden="1">
              <a:extLst>
                <a:ext uri="{63B3BB69-23CF-44E3-9099-C40C66FF867C}">
                  <a14:compatExt spid="_x0000_s3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109</xdr:col>
          <xdr:colOff>314325</xdr:colOff>
          <xdr:row>114</xdr:row>
          <xdr:rowOff>85725</xdr:rowOff>
        </xdr:from>
        <xdr:to>
          <xdr:col>109</xdr:col>
          <xdr:colOff>733425</xdr:colOff>
          <xdr:row>115</xdr:row>
          <xdr:rowOff>180975</xdr:rowOff>
        </xdr:to>
        <xdr:sp macro="" textlink="">
          <xdr:nvSpPr>
            <xdr:cNvPr id="3174" name="Object 102" hidden="1">
              <a:extLst>
                <a:ext uri="{63B3BB69-23CF-44E3-9099-C40C66FF867C}">
                  <a14:compatExt spid="_x0000_s3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109</xdr:col>
          <xdr:colOff>304800</xdr:colOff>
          <xdr:row>117</xdr:row>
          <xdr:rowOff>85725</xdr:rowOff>
        </xdr:from>
        <xdr:to>
          <xdr:col>109</xdr:col>
          <xdr:colOff>714375</xdr:colOff>
          <xdr:row>118</xdr:row>
          <xdr:rowOff>180975</xdr:rowOff>
        </xdr:to>
        <xdr:sp macro="" textlink="">
          <xdr:nvSpPr>
            <xdr:cNvPr id="3175" name="Object 103" hidden="1">
              <a:extLst>
                <a:ext uri="{63B3BB69-23CF-44E3-9099-C40C66FF867C}">
                  <a14:compatExt spid="_x0000_s3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112</xdr:col>
          <xdr:colOff>304800</xdr:colOff>
          <xdr:row>117</xdr:row>
          <xdr:rowOff>76200</xdr:rowOff>
        </xdr:from>
        <xdr:to>
          <xdr:col>112</xdr:col>
          <xdr:colOff>714375</xdr:colOff>
          <xdr:row>118</xdr:row>
          <xdr:rowOff>161925</xdr:rowOff>
        </xdr:to>
        <xdr:sp macro="" textlink="">
          <xdr:nvSpPr>
            <xdr:cNvPr id="3176" name="Object 104" hidden="1">
              <a:extLst>
                <a:ext uri="{63B3BB69-23CF-44E3-9099-C40C66FF867C}">
                  <a14:compatExt spid="_x0000_s3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257175</xdr:colOff>
          <xdr:row>211</xdr:row>
          <xdr:rowOff>85725</xdr:rowOff>
        </xdr:from>
        <xdr:to>
          <xdr:col>42</xdr:col>
          <xdr:colOff>676275</xdr:colOff>
          <xdr:row>212</xdr:row>
          <xdr:rowOff>161925</xdr:rowOff>
        </xdr:to>
        <xdr:sp macro="" textlink="">
          <xdr:nvSpPr>
            <xdr:cNvPr id="3177" name="Object 105" hidden="1">
              <a:extLst>
                <a:ext uri="{63B3BB69-23CF-44E3-9099-C40C66FF867C}">
                  <a14:compatExt spid="_x0000_s3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314325</xdr:colOff>
          <xdr:row>211</xdr:row>
          <xdr:rowOff>85725</xdr:rowOff>
        </xdr:from>
        <xdr:to>
          <xdr:col>43</xdr:col>
          <xdr:colOff>733425</xdr:colOff>
          <xdr:row>212</xdr:row>
          <xdr:rowOff>161925</xdr:rowOff>
        </xdr:to>
        <xdr:sp macro="" textlink="">
          <xdr:nvSpPr>
            <xdr:cNvPr id="3178" name="Object 106" hidden="1">
              <a:extLst>
                <a:ext uri="{63B3BB69-23CF-44E3-9099-C40C66FF867C}">
                  <a14:compatExt spid="_x0000_s3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257175</xdr:colOff>
          <xdr:row>211</xdr:row>
          <xdr:rowOff>85725</xdr:rowOff>
        </xdr:from>
        <xdr:to>
          <xdr:col>45</xdr:col>
          <xdr:colOff>676275</xdr:colOff>
          <xdr:row>212</xdr:row>
          <xdr:rowOff>161925</xdr:rowOff>
        </xdr:to>
        <xdr:sp macro="" textlink="">
          <xdr:nvSpPr>
            <xdr:cNvPr id="3179" name="Object 107" hidden="1">
              <a:extLst>
                <a:ext uri="{63B3BB69-23CF-44E3-9099-C40C66FF867C}">
                  <a14:compatExt spid="_x0000_s31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314325</xdr:colOff>
          <xdr:row>211</xdr:row>
          <xdr:rowOff>85725</xdr:rowOff>
        </xdr:from>
        <xdr:to>
          <xdr:col>46</xdr:col>
          <xdr:colOff>733425</xdr:colOff>
          <xdr:row>212</xdr:row>
          <xdr:rowOff>161925</xdr:rowOff>
        </xdr:to>
        <xdr:sp macro="" textlink="">
          <xdr:nvSpPr>
            <xdr:cNvPr id="3180" name="Object 108" hidden="1">
              <a:extLst>
                <a:ext uri="{63B3BB69-23CF-44E3-9099-C40C66FF867C}">
                  <a14:compatExt spid="_x0000_s31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257175</xdr:colOff>
          <xdr:row>211</xdr:row>
          <xdr:rowOff>85725</xdr:rowOff>
        </xdr:from>
        <xdr:to>
          <xdr:col>48</xdr:col>
          <xdr:colOff>676275</xdr:colOff>
          <xdr:row>212</xdr:row>
          <xdr:rowOff>161925</xdr:rowOff>
        </xdr:to>
        <xdr:sp macro="" textlink="">
          <xdr:nvSpPr>
            <xdr:cNvPr id="3181" name="Object 109" hidden="1">
              <a:extLst>
                <a:ext uri="{63B3BB69-23CF-44E3-9099-C40C66FF867C}">
                  <a14:compatExt spid="_x0000_s31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314325</xdr:colOff>
          <xdr:row>211</xdr:row>
          <xdr:rowOff>85725</xdr:rowOff>
        </xdr:from>
        <xdr:to>
          <xdr:col>49</xdr:col>
          <xdr:colOff>733425</xdr:colOff>
          <xdr:row>212</xdr:row>
          <xdr:rowOff>161925</xdr:rowOff>
        </xdr:to>
        <xdr:sp macro="" textlink="">
          <xdr:nvSpPr>
            <xdr:cNvPr id="3182" name="Object 110" hidden="1">
              <a:extLst>
                <a:ext uri="{63B3BB69-23CF-44E3-9099-C40C66FF867C}">
                  <a14:compatExt spid="_x0000_s3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257175</xdr:colOff>
          <xdr:row>211</xdr:row>
          <xdr:rowOff>85725</xdr:rowOff>
        </xdr:from>
        <xdr:to>
          <xdr:col>51</xdr:col>
          <xdr:colOff>676275</xdr:colOff>
          <xdr:row>212</xdr:row>
          <xdr:rowOff>161925</xdr:rowOff>
        </xdr:to>
        <xdr:sp macro="" textlink="">
          <xdr:nvSpPr>
            <xdr:cNvPr id="3183" name="Object 111" hidden="1">
              <a:extLst>
                <a:ext uri="{63B3BB69-23CF-44E3-9099-C40C66FF867C}">
                  <a14:compatExt spid="_x0000_s31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314325</xdr:colOff>
          <xdr:row>211</xdr:row>
          <xdr:rowOff>85725</xdr:rowOff>
        </xdr:from>
        <xdr:to>
          <xdr:col>52</xdr:col>
          <xdr:colOff>733425</xdr:colOff>
          <xdr:row>212</xdr:row>
          <xdr:rowOff>161925</xdr:rowOff>
        </xdr:to>
        <xdr:sp macro="" textlink="">
          <xdr:nvSpPr>
            <xdr:cNvPr id="3184" name="Object 112" hidden="1">
              <a:extLst>
                <a:ext uri="{63B3BB69-23CF-44E3-9099-C40C66FF867C}">
                  <a14:compatExt spid="_x0000_s31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257175</xdr:colOff>
          <xdr:row>211</xdr:row>
          <xdr:rowOff>85725</xdr:rowOff>
        </xdr:from>
        <xdr:to>
          <xdr:col>54</xdr:col>
          <xdr:colOff>676275</xdr:colOff>
          <xdr:row>212</xdr:row>
          <xdr:rowOff>161925</xdr:rowOff>
        </xdr:to>
        <xdr:sp macro="" textlink="">
          <xdr:nvSpPr>
            <xdr:cNvPr id="3185" name="Object 113" hidden="1">
              <a:extLst>
                <a:ext uri="{63B3BB69-23CF-44E3-9099-C40C66FF867C}">
                  <a14:compatExt spid="_x0000_s31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55</xdr:col>
          <xdr:colOff>314325</xdr:colOff>
          <xdr:row>211</xdr:row>
          <xdr:rowOff>85725</xdr:rowOff>
        </xdr:from>
        <xdr:to>
          <xdr:col>55</xdr:col>
          <xdr:colOff>733425</xdr:colOff>
          <xdr:row>212</xdr:row>
          <xdr:rowOff>161925</xdr:rowOff>
        </xdr:to>
        <xdr:sp macro="" textlink="">
          <xdr:nvSpPr>
            <xdr:cNvPr id="3186" name="Object 114" hidden="1">
              <a:extLst>
                <a:ext uri="{63B3BB69-23CF-44E3-9099-C40C66FF867C}">
                  <a14:compatExt spid="_x0000_s3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257175</xdr:colOff>
          <xdr:row>211</xdr:row>
          <xdr:rowOff>85725</xdr:rowOff>
        </xdr:from>
        <xdr:to>
          <xdr:col>57</xdr:col>
          <xdr:colOff>676275</xdr:colOff>
          <xdr:row>212</xdr:row>
          <xdr:rowOff>161925</xdr:rowOff>
        </xdr:to>
        <xdr:sp macro="" textlink="">
          <xdr:nvSpPr>
            <xdr:cNvPr id="3187" name="Object 115" hidden="1">
              <a:extLst>
                <a:ext uri="{63B3BB69-23CF-44E3-9099-C40C66FF867C}">
                  <a14:compatExt spid="_x0000_s31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58</xdr:col>
          <xdr:colOff>314325</xdr:colOff>
          <xdr:row>211</xdr:row>
          <xdr:rowOff>85725</xdr:rowOff>
        </xdr:from>
        <xdr:to>
          <xdr:col>58</xdr:col>
          <xdr:colOff>733425</xdr:colOff>
          <xdr:row>212</xdr:row>
          <xdr:rowOff>161925</xdr:rowOff>
        </xdr:to>
        <xdr:sp macro="" textlink="">
          <xdr:nvSpPr>
            <xdr:cNvPr id="3188" name="Object 116" hidden="1">
              <a:extLst>
                <a:ext uri="{63B3BB69-23CF-44E3-9099-C40C66FF867C}">
                  <a14:compatExt spid="_x0000_s31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60</xdr:col>
          <xdr:colOff>257175</xdr:colOff>
          <xdr:row>211</xdr:row>
          <xdr:rowOff>85725</xdr:rowOff>
        </xdr:from>
        <xdr:to>
          <xdr:col>60</xdr:col>
          <xdr:colOff>676275</xdr:colOff>
          <xdr:row>212</xdr:row>
          <xdr:rowOff>161925</xdr:rowOff>
        </xdr:to>
        <xdr:sp macro="" textlink="">
          <xdr:nvSpPr>
            <xdr:cNvPr id="3189" name="Object 117" hidden="1">
              <a:extLst>
                <a:ext uri="{63B3BB69-23CF-44E3-9099-C40C66FF867C}">
                  <a14:compatExt spid="_x0000_s31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314325</xdr:colOff>
          <xdr:row>211</xdr:row>
          <xdr:rowOff>85725</xdr:rowOff>
        </xdr:from>
        <xdr:to>
          <xdr:col>61</xdr:col>
          <xdr:colOff>733425</xdr:colOff>
          <xdr:row>212</xdr:row>
          <xdr:rowOff>161925</xdr:rowOff>
        </xdr:to>
        <xdr:sp macro="" textlink="">
          <xdr:nvSpPr>
            <xdr:cNvPr id="3190" name="Object 118" hidden="1">
              <a:extLst>
                <a:ext uri="{63B3BB69-23CF-44E3-9099-C40C66FF867C}">
                  <a14:compatExt spid="_x0000_s3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295275</xdr:colOff>
          <xdr:row>211</xdr:row>
          <xdr:rowOff>104775</xdr:rowOff>
        </xdr:from>
        <xdr:to>
          <xdr:col>42</xdr:col>
          <xdr:colOff>733425</xdr:colOff>
          <xdr:row>212</xdr:row>
          <xdr:rowOff>190500</xdr:rowOff>
        </xdr:to>
        <xdr:sp macro="" textlink="">
          <xdr:nvSpPr>
            <xdr:cNvPr id="3191" name="Object 119" hidden="1">
              <a:extLst>
                <a:ext uri="{63B3BB69-23CF-44E3-9099-C40C66FF867C}">
                  <a14:compatExt spid="_x0000_s31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304800</xdr:colOff>
          <xdr:row>211</xdr:row>
          <xdr:rowOff>85725</xdr:rowOff>
        </xdr:from>
        <xdr:to>
          <xdr:col>43</xdr:col>
          <xdr:colOff>733425</xdr:colOff>
          <xdr:row>212</xdr:row>
          <xdr:rowOff>161925</xdr:rowOff>
        </xdr:to>
        <xdr:sp macro="" textlink="">
          <xdr:nvSpPr>
            <xdr:cNvPr id="3192" name="Object 120" hidden="1">
              <a:extLst>
                <a:ext uri="{63B3BB69-23CF-44E3-9099-C40C66FF867C}">
                  <a14:compatExt spid="_x0000_s31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295275</xdr:colOff>
          <xdr:row>211</xdr:row>
          <xdr:rowOff>104775</xdr:rowOff>
        </xdr:from>
        <xdr:to>
          <xdr:col>45</xdr:col>
          <xdr:colOff>733425</xdr:colOff>
          <xdr:row>212</xdr:row>
          <xdr:rowOff>190500</xdr:rowOff>
        </xdr:to>
        <xdr:sp macro="" textlink="">
          <xdr:nvSpPr>
            <xdr:cNvPr id="3193" name="Object 121" hidden="1">
              <a:extLst>
                <a:ext uri="{63B3BB69-23CF-44E3-9099-C40C66FF867C}">
                  <a14:compatExt spid="_x0000_s3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304800</xdr:colOff>
          <xdr:row>211</xdr:row>
          <xdr:rowOff>85725</xdr:rowOff>
        </xdr:from>
        <xdr:to>
          <xdr:col>46</xdr:col>
          <xdr:colOff>733425</xdr:colOff>
          <xdr:row>212</xdr:row>
          <xdr:rowOff>161925</xdr:rowOff>
        </xdr:to>
        <xdr:sp macro="" textlink="">
          <xdr:nvSpPr>
            <xdr:cNvPr id="3194" name="Object 122" hidden="1">
              <a:extLst>
                <a:ext uri="{63B3BB69-23CF-44E3-9099-C40C66FF867C}">
                  <a14:compatExt spid="_x0000_s3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295275</xdr:colOff>
          <xdr:row>211</xdr:row>
          <xdr:rowOff>104775</xdr:rowOff>
        </xdr:from>
        <xdr:to>
          <xdr:col>48</xdr:col>
          <xdr:colOff>733425</xdr:colOff>
          <xdr:row>212</xdr:row>
          <xdr:rowOff>190500</xdr:rowOff>
        </xdr:to>
        <xdr:sp macro="" textlink="">
          <xdr:nvSpPr>
            <xdr:cNvPr id="3195" name="Object 123" hidden="1">
              <a:extLst>
                <a:ext uri="{63B3BB69-23CF-44E3-9099-C40C66FF867C}">
                  <a14:compatExt spid="_x0000_s3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304800</xdr:colOff>
          <xdr:row>211</xdr:row>
          <xdr:rowOff>85725</xdr:rowOff>
        </xdr:from>
        <xdr:to>
          <xdr:col>49</xdr:col>
          <xdr:colOff>733425</xdr:colOff>
          <xdr:row>212</xdr:row>
          <xdr:rowOff>161925</xdr:rowOff>
        </xdr:to>
        <xdr:sp macro="" textlink="">
          <xdr:nvSpPr>
            <xdr:cNvPr id="3196" name="Object 124" hidden="1">
              <a:extLst>
                <a:ext uri="{63B3BB69-23CF-44E3-9099-C40C66FF867C}">
                  <a14:compatExt spid="_x0000_s3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295275</xdr:colOff>
          <xdr:row>211</xdr:row>
          <xdr:rowOff>104775</xdr:rowOff>
        </xdr:from>
        <xdr:to>
          <xdr:col>51</xdr:col>
          <xdr:colOff>733425</xdr:colOff>
          <xdr:row>212</xdr:row>
          <xdr:rowOff>190500</xdr:rowOff>
        </xdr:to>
        <xdr:sp macro="" textlink="">
          <xdr:nvSpPr>
            <xdr:cNvPr id="3197" name="Object 125" hidden="1">
              <a:extLst>
                <a:ext uri="{63B3BB69-23CF-44E3-9099-C40C66FF867C}">
                  <a14:compatExt spid="_x0000_s31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304800</xdr:colOff>
          <xdr:row>211</xdr:row>
          <xdr:rowOff>85725</xdr:rowOff>
        </xdr:from>
        <xdr:to>
          <xdr:col>52</xdr:col>
          <xdr:colOff>733425</xdr:colOff>
          <xdr:row>212</xdr:row>
          <xdr:rowOff>161925</xdr:rowOff>
        </xdr:to>
        <xdr:sp macro="" textlink="">
          <xdr:nvSpPr>
            <xdr:cNvPr id="3198" name="Object 126" hidden="1">
              <a:extLst>
                <a:ext uri="{63B3BB69-23CF-44E3-9099-C40C66FF867C}">
                  <a14:compatExt spid="_x0000_s3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295275</xdr:colOff>
          <xdr:row>211</xdr:row>
          <xdr:rowOff>104775</xdr:rowOff>
        </xdr:from>
        <xdr:to>
          <xdr:col>54</xdr:col>
          <xdr:colOff>733425</xdr:colOff>
          <xdr:row>212</xdr:row>
          <xdr:rowOff>190500</xdr:rowOff>
        </xdr:to>
        <xdr:sp macro="" textlink="">
          <xdr:nvSpPr>
            <xdr:cNvPr id="3199" name="Object 127" hidden="1">
              <a:extLst>
                <a:ext uri="{63B3BB69-23CF-44E3-9099-C40C66FF867C}">
                  <a14:compatExt spid="_x0000_s31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55</xdr:col>
          <xdr:colOff>304800</xdr:colOff>
          <xdr:row>211</xdr:row>
          <xdr:rowOff>85725</xdr:rowOff>
        </xdr:from>
        <xdr:to>
          <xdr:col>55</xdr:col>
          <xdr:colOff>733425</xdr:colOff>
          <xdr:row>212</xdr:row>
          <xdr:rowOff>161925</xdr:rowOff>
        </xdr:to>
        <xdr:sp macro="" textlink="">
          <xdr:nvSpPr>
            <xdr:cNvPr id="3200" name="Object 128" hidden="1">
              <a:extLst>
                <a:ext uri="{63B3BB69-23CF-44E3-9099-C40C66FF867C}">
                  <a14:compatExt spid="_x0000_s3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295275</xdr:colOff>
          <xdr:row>211</xdr:row>
          <xdr:rowOff>104775</xdr:rowOff>
        </xdr:from>
        <xdr:to>
          <xdr:col>57</xdr:col>
          <xdr:colOff>733425</xdr:colOff>
          <xdr:row>212</xdr:row>
          <xdr:rowOff>190500</xdr:rowOff>
        </xdr:to>
        <xdr:sp macro="" textlink="">
          <xdr:nvSpPr>
            <xdr:cNvPr id="3201" name="Object 129" hidden="1">
              <a:extLst>
                <a:ext uri="{63B3BB69-23CF-44E3-9099-C40C66FF867C}">
                  <a14:compatExt spid="_x0000_s3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58</xdr:col>
          <xdr:colOff>304800</xdr:colOff>
          <xdr:row>211</xdr:row>
          <xdr:rowOff>85725</xdr:rowOff>
        </xdr:from>
        <xdr:to>
          <xdr:col>58</xdr:col>
          <xdr:colOff>733425</xdr:colOff>
          <xdr:row>212</xdr:row>
          <xdr:rowOff>161925</xdr:rowOff>
        </xdr:to>
        <xdr:sp macro="" textlink="">
          <xdr:nvSpPr>
            <xdr:cNvPr id="3202" name="Object 130" hidden="1">
              <a:extLst>
                <a:ext uri="{63B3BB69-23CF-44E3-9099-C40C66FF867C}">
                  <a14:compatExt spid="_x0000_s3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60</xdr:col>
          <xdr:colOff>295275</xdr:colOff>
          <xdr:row>211</xdr:row>
          <xdr:rowOff>104775</xdr:rowOff>
        </xdr:from>
        <xdr:to>
          <xdr:col>60</xdr:col>
          <xdr:colOff>733425</xdr:colOff>
          <xdr:row>212</xdr:row>
          <xdr:rowOff>190500</xdr:rowOff>
        </xdr:to>
        <xdr:sp macro="" textlink="">
          <xdr:nvSpPr>
            <xdr:cNvPr id="3203" name="Object 131" hidden="1">
              <a:extLst>
                <a:ext uri="{63B3BB69-23CF-44E3-9099-C40C66FF867C}">
                  <a14:compatExt spid="_x0000_s32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304800</xdr:colOff>
          <xdr:row>211</xdr:row>
          <xdr:rowOff>85725</xdr:rowOff>
        </xdr:from>
        <xdr:to>
          <xdr:col>61</xdr:col>
          <xdr:colOff>733425</xdr:colOff>
          <xdr:row>212</xdr:row>
          <xdr:rowOff>161925</xdr:rowOff>
        </xdr:to>
        <xdr:sp macro="" textlink="">
          <xdr:nvSpPr>
            <xdr:cNvPr id="3204" name="Object 132" hidden="1">
              <a:extLst>
                <a:ext uri="{63B3BB69-23CF-44E3-9099-C40C66FF867C}">
                  <a14:compatExt spid="_x0000_s3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257175</xdr:colOff>
          <xdr:row>239</xdr:row>
          <xdr:rowOff>85725</xdr:rowOff>
        </xdr:from>
        <xdr:to>
          <xdr:col>42</xdr:col>
          <xdr:colOff>676275</xdr:colOff>
          <xdr:row>240</xdr:row>
          <xdr:rowOff>180975</xdr:rowOff>
        </xdr:to>
        <xdr:sp macro="" textlink="">
          <xdr:nvSpPr>
            <xdr:cNvPr id="3205" name="Object 133" hidden="1">
              <a:extLst>
                <a:ext uri="{63B3BB69-23CF-44E3-9099-C40C66FF867C}">
                  <a14:compatExt spid="_x0000_s3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314325</xdr:colOff>
          <xdr:row>239</xdr:row>
          <xdr:rowOff>85725</xdr:rowOff>
        </xdr:from>
        <xdr:to>
          <xdr:col>43</xdr:col>
          <xdr:colOff>714375</xdr:colOff>
          <xdr:row>240</xdr:row>
          <xdr:rowOff>180975</xdr:rowOff>
        </xdr:to>
        <xdr:sp macro="" textlink="">
          <xdr:nvSpPr>
            <xdr:cNvPr id="3206" name="Object 134" hidden="1">
              <a:extLst>
                <a:ext uri="{63B3BB69-23CF-44E3-9099-C40C66FF867C}">
                  <a14:compatExt spid="_x0000_s3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295275</xdr:colOff>
          <xdr:row>239</xdr:row>
          <xdr:rowOff>104775</xdr:rowOff>
        </xdr:from>
        <xdr:to>
          <xdr:col>42</xdr:col>
          <xdr:colOff>714375</xdr:colOff>
          <xdr:row>240</xdr:row>
          <xdr:rowOff>200025</xdr:rowOff>
        </xdr:to>
        <xdr:sp macro="" textlink="">
          <xdr:nvSpPr>
            <xdr:cNvPr id="3207" name="Object 135" hidden="1">
              <a:extLst>
                <a:ext uri="{63B3BB69-23CF-44E3-9099-C40C66FF867C}">
                  <a14:compatExt spid="_x0000_s32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304800</xdr:colOff>
          <xdr:row>239</xdr:row>
          <xdr:rowOff>85725</xdr:rowOff>
        </xdr:from>
        <xdr:to>
          <xdr:col>43</xdr:col>
          <xdr:colOff>714375</xdr:colOff>
          <xdr:row>240</xdr:row>
          <xdr:rowOff>180975</xdr:rowOff>
        </xdr:to>
        <xdr:sp macro="" textlink="">
          <xdr:nvSpPr>
            <xdr:cNvPr id="3208" name="Object 136" hidden="1">
              <a:extLst>
                <a:ext uri="{63B3BB69-23CF-44E3-9099-C40C66FF867C}">
                  <a14:compatExt spid="_x0000_s3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257175</xdr:colOff>
          <xdr:row>239</xdr:row>
          <xdr:rowOff>85725</xdr:rowOff>
        </xdr:from>
        <xdr:to>
          <xdr:col>44</xdr:col>
          <xdr:colOff>676275</xdr:colOff>
          <xdr:row>240</xdr:row>
          <xdr:rowOff>180975</xdr:rowOff>
        </xdr:to>
        <xdr:sp macro="" textlink="">
          <xdr:nvSpPr>
            <xdr:cNvPr id="3209" name="Object 137" hidden="1">
              <a:extLst>
                <a:ext uri="{63B3BB69-23CF-44E3-9099-C40C66FF867C}">
                  <a14:compatExt spid="_x0000_s3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314325</xdr:colOff>
          <xdr:row>239</xdr:row>
          <xdr:rowOff>85725</xdr:rowOff>
        </xdr:from>
        <xdr:to>
          <xdr:col>45</xdr:col>
          <xdr:colOff>714375</xdr:colOff>
          <xdr:row>240</xdr:row>
          <xdr:rowOff>180975</xdr:rowOff>
        </xdr:to>
        <xdr:sp macro="" textlink="">
          <xdr:nvSpPr>
            <xdr:cNvPr id="3210" name="Object 138" hidden="1">
              <a:extLst>
                <a:ext uri="{63B3BB69-23CF-44E3-9099-C40C66FF867C}">
                  <a14:compatExt spid="_x0000_s3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295275</xdr:colOff>
          <xdr:row>239</xdr:row>
          <xdr:rowOff>104775</xdr:rowOff>
        </xdr:from>
        <xdr:to>
          <xdr:col>44</xdr:col>
          <xdr:colOff>714375</xdr:colOff>
          <xdr:row>240</xdr:row>
          <xdr:rowOff>200025</xdr:rowOff>
        </xdr:to>
        <xdr:sp macro="" textlink="">
          <xdr:nvSpPr>
            <xdr:cNvPr id="3211" name="Object 139" hidden="1">
              <a:extLst>
                <a:ext uri="{63B3BB69-23CF-44E3-9099-C40C66FF867C}">
                  <a14:compatExt spid="_x0000_s32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304800</xdr:colOff>
          <xdr:row>239</xdr:row>
          <xdr:rowOff>85725</xdr:rowOff>
        </xdr:from>
        <xdr:to>
          <xdr:col>45</xdr:col>
          <xdr:colOff>714375</xdr:colOff>
          <xdr:row>240</xdr:row>
          <xdr:rowOff>180975</xdr:rowOff>
        </xdr:to>
        <xdr:sp macro="" textlink="">
          <xdr:nvSpPr>
            <xdr:cNvPr id="3212" name="Object 140" hidden="1">
              <a:extLst>
                <a:ext uri="{63B3BB69-23CF-44E3-9099-C40C66FF867C}">
                  <a14:compatExt spid="_x0000_s32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257175</xdr:colOff>
          <xdr:row>239</xdr:row>
          <xdr:rowOff>85725</xdr:rowOff>
        </xdr:from>
        <xdr:to>
          <xdr:col>46</xdr:col>
          <xdr:colOff>676275</xdr:colOff>
          <xdr:row>240</xdr:row>
          <xdr:rowOff>180975</xdr:rowOff>
        </xdr:to>
        <xdr:sp macro="" textlink="">
          <xdr:nvSpPr>
            <xdr:cNvPr id="3213" name="Object 141" hidden="1">
              <a:extLst>
                <a:ext uri="{63B3BB69-23CF-44E3-9099-C40C66FF867C}">
                  <a14:compatExt spid="_x0000_s32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314325</xdr:colOff>
          <xdr:row>239</xdr:row>
          <xdr:rowOff>85725</xdr:rowOff>
        </xdr:from>
        <xdr:to>
          <xdr:col>47</xdr:col>
          <xdr:colOff>714375</xdr:colOff>
          <xdr:row>240</xdr:row>
          <xdr:rowOff>180975</xdr:rowOff>
        </xdr:to>
        <xdr:sp macro="" textlink="">
          <xdr:nvSpPr>
            <xdr:cNvPr id="3214" name="Object 142" hidden="1">
              <a:extLst>
                <a:ext uri="{63B3BB69-23CF-44E3-9099-C40C66FF867C}">
                  <a14:compatExt spid="_x0000_s32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295275</xdr:colOff>
          <xdr:row>239</xdr:row>
          <xdr:rowOff>104775</xdr:rowOff>
        </xdr:from>
        <xdr:to>
          <xdr:col>46</xdr:col>
          <xdr:colOff>714375</xdr:colOff>
          <xdr:row>240</xdr:row>
          <xdr:rowOff>200025</xdr:rowOff>
        </xdr:to>
        <xdr:sp macro="" textlink="">
          <xdr:nvSpPr>
            <xdr:cNvPr id="3215" name="Object 143" hidden="1">
              <a:extLst>
                <a:ext uri="{63B3BB69-23CF-44E3-9099-C40C66FF867C}">
                  <a14:compatExt spid="_x0000_s32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304800</xdr:colOff>
          <xdr:row>239</xdr:row>
          <xdr:rowOff>85725</xdr:rowOff>
        </xdr:from>
        <xdr:to>
          <xdr:col>47</xdr:col>
          <xdr:colOff>714375</xdr:colOff>
          <xdr:row>240</xdr:row>
          <xdr:rowOff>180975</xdr:rowOff>
        </xdr:to>
        <xdr:sp macro="" textlink="">
          <xdr:nvSpPr>
            <xdr:cNvPr id="3216" name="Object 144" hidden="1">
              <a:extLst>
                <a:ext uri="{63B3BB69-23CF-44E3-9099-C40C66FF867C}">
                  <a14:compatExt spid="_x0000_s32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257175</xdr:colOff>
          <xdr:row>239</xdr:row>
          <xdr:rowOff>85725</xdr:rowOff>
        </xdr:from>
        <xdr:to>
          <xdr:col>48</xdr:col>
          <xdr:colOff>676275</xdr:colOff>
          <xdr:row>240</xdr:row>
          <xdr:rowOff>180975</xdr:rowOff>
        </xdr:to>
        <xdr:sp macro="" textlink="">
          <xdr:nvSpPr>
            <xdr:cNvPr id="3217" name="Object 145" hidden="1">
              <a:extLst>
                <a:ext uri="{63B3BB69-23CF-44E3-9099-C40C66FF867C}">
                  <a14:compatExt spid="_x0000_s3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314325</xdr:colOff>
          <xdr:row>239</xdr:row>
          <xdr:rowOff>85725</xdr:rowOff>
        </xdr:from>
        <xdr:to>
          <xdr:col>49</xdr:col>
          <xdr:colOff>714375</xdr:colOff>
          <xdr:row>240</xdr:row>
          <xdr:rowOff>180975</xdr:rowOff>
        </xdr:to>
        <xdr:sp macro="" textlink="">
          <xdr:nvSpPr>
            <xdr:cNvPr id="3218" name="Object 146" hidden="1">
              <a:extLst>
                <a:ext uri="{63B3BB69-23CF-44E3-9099-C40C66FF867C}">
                  <a14:compatExt spid="_x0000_s3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295275</xdr:colOff>
          <xdr:row>239</xdr:row>
          <xdr:rowOff>104775</xdr:rowOff>
        </xdr:from>
        <xdr:to>
          <xdr:col>48</xdr:col>
          <xdr:colOff>714375</xdr:colOff>
          <xdr:row>240</xdr:row>
          <xdr:rowOff>200025</xdr:rowOff>
        </xdr:to>
        <xdr:sp macro="" textlink="">
          <xdr:nvSpPr>
            <xdr:cNvPr id="3219" name="Object 147" hidden="1">
              <a:extLst>
                <a:ext uri="{63B3BB69-23CF-44E3-9099-C40C66FF867C}">
                  <a14:compatExt spid="_x0000_s32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304800</xdr:colOff>
          <xdr:row>239</xdr:row>
          <xdr:rowOff>85725</xdr:rowOff>
        </xdr:from>
        <xdr:to>
          <xdr:col>49</xdr:col>
          <xdr:colOff>714375</xdr:colOff>
          <xdr:row>240</xdr:row>
          <xdr:rowOff>180975</xdr:rowOff>
        </xdr:to>
        <xdr:sp macro="" textlink="">
          <xdr:nvSpPr>
            <xdr:cNvPr id="3220" name="Object 148" hidden="1">
              <a:extLst>
                <a:ext uri="{63B3BB69-23CF-44E3-9099-C40C66FF867C}">
                  <a14:compatExt spid="_x0000_s32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257175</xdr:colOff>
          <xdr:row>239</xdr:row>
          <xdr:rowOff>85725</xdr:rowOff>
        </xdr:from>
        <xdr:to>
          <xdr:col>50</xdr:col>
          <xdr:colOff>676275</xdr:colOff>
          <xdr:row>240</xdr:row>
          <xdr:rowOff>180975</xdr:rowOff>
        </xdr:to>
        <xdr:sp macro="" textlink="">
          <xdr:nvSpPr>
            <xdr:cNvPr id="3221" name="Object 149" hidden="1">
              <a:extLst>
                <a:ext uri="{63B3BB69-23CF-44E3-9099-C40C66FF867C}">
                  <a14:compatExt spid="_x0000_s32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314325</xdr:colOff>
          <xdr:row>239</xdr:row>
          <xdr:rowOff>85725</xdr:rowOff>
        </xdr:from>
        <xdr:to>
          <xdr:col>51</xdr:col>
          <xdr:colOff>714375</xdr:colOff>
          <xdr:row>240</xdr:row>
          <xdr:rowOff>180975</xdr:rowOff>
        </xdr:to>
        <xdr:sp macro="" textlink="">
          <xdr:nvSpPr>
            <xdr:cNvPr id="3222" name="Object 150" hidden="1">
              <a:extLst>
                <a:ext uri="{63B3BB69-23CF-44E3-9099-C40C66FF867C}">
                  <a14:compatExt spid="_x0000_s32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295275</xdr:colOff>
          <xdr:row>239</xdr:row>
          <xdr:rowOff>104775</xdr:rowOff>
        </xdr:from>
        <xdr:to>
          <xdr:col>50</xdr:col>
          <xdr:colOff>714375</xdr:colOff>
          <xdr:row>240</xdr:row>
          <xdr:rowOff>200025</xdr:rowOff>
        </xdr:to>
        <xdr:sp macro="" textlink="">
          <xdr:nvSpPr>
            <xdr:cNvPr id="3223" name="Object 151" hidden="1">
              <a:extLst>
                <a:ext uri="{63B3BB69-23CF-44E3-9099-C40C66FF867C}">
                  <a14:compatExt spid="_x0000_s32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304800</xdr:colOff>
          <xdr:row>239</xdr:row>
          <xdr:rowOff>85725</xdr:rowOff>
        </xdr:from>
        <xdr:to>
          <xdr:col>51</xdr:col>
          <xdr:colOff>714375</xdr:colOff>
          <xdr:row>240</xdr:row>
          <xdr:rowOff>180975</xdr:rowOff>
        </xdr:to>
        <xdr:sp macro="" textlink="">
          <xdr:nvSpPr>
            <xdr:cNvPr id="3224" name="Object 152" hidden="1">
              <a:extLst>
                <a:ext uri="{63B3BB69-23CF-44E3-9099-C40C66FF867C}">
                  <a14:compatExt spid="_x0000_s32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257175</xdr:colOff>
          <xdr:row>239</xdr:row>
          <xdr:rowOff>85725</xdr:rowOff>
        </xdr:from>
        <xdr:to>
          <xdr:col>52</xdr:col>
          <xdr:colOff>676275</xdr:colOff>
          <xdr:row>240</xdr:row>
          <xdr:rowOff>180975</xdr:rowOff>
        </xdr:to>
        <xdr:sp macro="" textlink="">
          <xdr:nvSpPr>
            <xdr:cNvPr id="3225" name="Object 153" hidden="1">
              <a:extLst>
                <a:ext uri="{63B3BB69-23CF-44E3-9099-C40C66FF867C}">
                  <a14:compatExt spid="_x0000_s32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314325</xdr:colOff>
          <xdr:row>239</xdr:row>
          <xdr:rowOff>85725</xdr:rowOff>
        </xdr:from>
        <xdr:to>
          <xdr:col>53</xdr:col>
          <xdr:colOff>714375</xdr:colOff>
          <xdr:row>240</xdr:row>
          <xdr:rowOff>180975</xdr:rowOff>
        </xdr:to>
        <xdr:sp macro="" textlink="">
          <xdr:nvSpPr>
            <xdr:cNvPr id="3226" name="Object 154" hidden="1">
              <a:extLst>
                <a:ext uri="{63B3BB69-23CF-44E3-9099-C40C66FF867C}">
                  <a14:compatExt spid="_x0000_s3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295275</xdr:colOff>
          <xdr:row>239</xdr:row>
          <xdr:rowOff>104775</xdr:rowOff>
        </xdr:from>
        <xdr:to>
          <xdr:col>52</xdr:col>
          <xdr:colOff>714375</xdr:colOff>
          <xdr:row>240</xdr:row>
          <xdr:rowOff>200025</xdr:rowOff>
        </xdr:to>
        <xdr:sp macro="" textlink="">
          <xdr:nvSpPr>
            <xdr:cNvPr id="3227" name="Object 155" hidden="1">
              <a:extLst>
                <a:ext uri="{63B3BB69-23CF-44E3-9099-C40C66FF867C}">
                  <a14:compatExt spid="_x0000_s32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304800</xdr:colOff>
          <xdr:row>239</xdr:row>
          <xdr:rowOff>85725</xdr:rowOff>
        </xdr:from>
        <xdr:to>
          <xdr:col>53</xdr:col>
          <xdr:colOff>714375</xdr:colOff>
          <xdr:row>240</xdr:row>
          <xdr:rowOff>180975</xdr:rowOff>
        </xdr:to>
        <xdr:sp macro="" textlink="">
          <xdr:nvSpPr>
            <xdr:cNvPr id="3228" name="Object 156" hidden="1">
              <a:extLst>
                <a:ext uri="{63B3BB69-23CF-44E3-9099-C40C66FF867C}">
                  <a14:compatExt spid="_x0000_s32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257175</xdr:colOff>
          <xdr:row>239</xdr:row>
          <xdr:rowOff>85725</xdr:rowOff>
        </xdr:from>
        <xdr:to>
          <xdr:col>54</xdr:col>
          <xdr:colOff>676275</xdr:colOff>
          <xdr:row>240</xdr:row>
          <xdr:rowOff>180975</xdr:rowOff>
        </xdr:to>
        <xdr:sp macro="" textlink="">
          <xdr:nvSpPr>
            <xdr:cNvPr id="3229" name="Object 157" hidden="1">
              <a:extLst>
                <a:ext uri="{63B3BB69-23CF-44E3-9099-C40C66FF867C}">
                  <a14:compatExt spid="_x0000_s32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55</xdr:col>
          <xdr:colOff>314325</xdr:colOff>
          <xdr:row>239</xdr:row>
          <xdr:rowOff>85725</xdr:rowOff>
        </xdr:from>
        <xdr:to>
          <xdr:col>55</xdr:col>
          <xdr:colOff>714375</xdr:colOff>
          <xdr:row>240</xdr:row>
          <xdr:rowOff>180975</xdr:rowOff>
        </xdr:to>
        <xdr:sp macro="" textlink="">
          <xdr:nvSpPr>
            <xdr:cNvPr id="3230" name="Object 158" hidden="1">
              <a:extLst>
                <a:ext uri="{63B3BB69-23CF-44E3-9099-C40C66FF867C}">
                  <a14:compatExt spid="_x0000_s3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295275</xdr:colOff>
          <xdr:row>239</xdr:row>
          <xdr:rowOff>104775</xdr:rowOff>
        </xdr:from>
        <xdr:to>
          <xdr:col>54</xdr:col>
          <xdr:colOff>714375</xdr:colOff>
          <xdr:row>240</xdr:row>
          <xdr:rowOff>200025</xdr:rowOff>
        </xdr:to>
        <xdr:sp macro="" textlink="">
          <xdr:nvSpPr>
            <xdr:cNvPr id="3231" name="Object 159" hidden="1">
              <a:extLst>
                <a:ext uri="{63B3BB69-23CF-44E3-9099-C40C66FF867C}">
                  <a14:compatExt spid="_x0000_s32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55</xdr:col>
          <xdr:colOff>304800</xdr:colOff>
          <xdr:row>239</xdr:row>
          <xdr:rowOff>85725</xdr:rowOff>
        </xdr:from>
        <xdr:to>
          <xdr:col>55</xdr:col>
          <xdr:colOff>714375</xdr:colOff>
          <xdr:row>240</xdr:row>
          <xdr:rowOff>180975</xdr:rowOff>
        </xdr:to>
        <xdr:sp macro="" textlink="">
          <xdr:nvSpPr>
            <xdr:cNvPr id="3232" name="Object 160" hidden="1">
              <a:extLst>
                <a:ext uri="{63B3BB69-23CF-44E3-9099-C40C66FF867C}">
                  <a14:compatExt spid="_x0000_s32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56</xdr:col>
          <xdr:colOff>257175</xdr:colOff>
          <xdr:row>239</xdr:row>
          <xdr:rowOff>85725</xdr:rowOff>
        </xdr:from>
        <xdr:to>
          <xdr:col>56</xdr:col>
          <xdr:colOff>676275</xdr:colOff>
          <xdr:row>240</xdr:row>
          <xdr:rowOff>180975</xdr:rowOff>
        </xdr:to>
        <xdr:sp macro="" textlink="">
          <xdr:nvSpPr>
            <xdr:cNvPr id="3233" name="Object 161" hidden="1">
              <a:extLst>
                <a:ext uri="{63B3BB69-23CF-44E3-9099-C40C66FF867C}">
                  <a14:compatExt spid="_x0000_s32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314325</xdr:colOff>
          <xdr:row>239</xdr:row>
          <xdr:rowOff>85725</xdr:rowOff>
        </xdr:from>
        <xdr:to>
          <xdr:col>57</xdr:col>
          <xdr:colOff>714375</xdr:colOff>
          <xdr:row>240</xdr:row>
          <xdr:rowOff>180975</xdr:rowOff>
        </xdr:to>
        <xdr:sp macro="" textlink="">
          <xdr:nvSpPr>
            <xdr:cNvPr id="3234" name="Object 162" hidden="1">
              <a:extLst>
                <a:ext uri="{63B3BB69-23CF-44E3-9099-C40C66FF867C}">
                  <a14:compatExt spid="_x0000_s3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56</xdr:col>
          <xdr:colOff>295275</xdr:colOff>
          <xdr:row>239</xdr:row>
          <xdr:rowOff>104775</xdr:rowOff>
        </xdr:from>
        <xdr:to>
          <xdr:col>56</xdr:col>
          <xdr:colOff>714375</xdr:colOff>
          <xdr:row>240</xdr:row>
          <xdr:rowOff>200025</xdr:rowOff>
        </xdr:to>
        <xdr:sp macro="" textlink="">
          <xdr:nvSpPr>
            <xdr:cNvPr id="3235" name="Object 163" hidden="1">
              <a:extLst>
                <a:ext uri="{63B3BB69-23CF-44E3-9099-C40C66FF867C}">
                  <a14:compatExt spid="_x0000_s32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304800</xdr:colOff>
          <xdr:row>239</xdr:row>
          <xdr:rowOff>85725</xdr:rowOff>
        </xdr:from>
        <xdr:to>
          <xdr:col>57</xdr:col>
          <xdr:colOff>714375</xdr:colOff>
          <xdr:row>240</xdr:row>
          <xdr:rowOff>180975</xdr:rowOff>
        </xdr:to>
        <xdr:sp macro="" textlink="">
          <xdr:nvSpPr>
            <xdr:cNvPr id="3236" name="Object 164" hidden="1">
              <a:extLst>
                <a:ext uri="{63B3BB69-23CF-44E3-9099-C40C66FF867C}">
                  <a14:compatExt spid="_x0000_s32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58</xdr:col>
          <xdr:colOff>257175</xdr:colOff>
          <xdr:row>239</xdr:row>
          <xdr:rowOff>85725</xdr:rowOff>
        </xdr:from>
        <xdr:to>
          <xdr:col>58</xdr:col>
          <xdr:colOff>676275</xdr:colOff>
          <xdr:row>240</xdr:row>
          <xdr:rowOff>180975</xdr:rowOff>
        </xdr:to>
        <xdr:sp macro="" textlink="">
          <xdr:nvSpPr>
            <xdr:cNvPr id="3237" name="Object 165" hidden="1">
              <a:extLst>
                <a:ext uri="{63B3BB69-23CF-44E3-9099-C40C66FF867C}">
                  <a14:compatExt spid="_x0000_s32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59</xdr:col>
          <xdr:colOff>314325</xdr:colOff>
          <xdr:row>239</xdr:row>
          <xdr:rowOff>85725</xdr:rowOff>
        </xdr:from>
        <xdr:to>
          <xdr:col>59</xdr:col>
          <xdr:colOff>714375</xdr:colOff>
          <xdr:row>240</xdr:row>
          <xdr:rowOff>180975</xdr:rowOff>
        </xdr:to>
        <xdr:sp macro="" textlink="">
          <xdr:nvSpPr>
            <xdr:cNvPr id="3238" name="Object 166" hidden="1">
              <a:extLst>
                <a:ext uri="{63B3BB69-23CF-44E3-9099-C40C66FF867C}">
                  <a14:compatExt spid="_x0000_s3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58</xdr:col>
          <xdr:colOff>295275</xdr:colOff>
          <xdr:row>239</xdr:row>
          <xdr:rowOff>104775</xdr:rowOff>
        </xdr:from>
        <xdr:to>
          <xdr:col>58</xdr:col>
          <xdr:colOff>714375</xdr:colOff>
          <xdr:row>240</xdr:row>
          <xdr:rowOff>200025</xdr:rowOff>
        </xdr:to>
        <xdr:sp macro="" textlink="">
          <xdr:nvSpPr>
            <xdr:cNvPr id="3239" name="Object 167" hidden="1">
              <a:extLst>
                <a:ext uri="{63B3BB69-23CF-44E3-9099-C40C66FF867C}">
                  <a14:compatExt spid="_x0000_s32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59</xdr:col>
          <xdr:colOff>304800</xdr:colOff>
          <xdr:row>239</xdr:row>
          <xdr:rowOff>85725</xdr:rowOff>
        </xdr:from>
        <xdr:to>
          <xdr:col>59</xdr:col>
          <xdr:colOff>714375</xdr:colOff>
          <xdr:row>240</xdr:row>
          <xdr:rowOff>180975</xdr:rowOff>
        </xdr:to>
        <xdr:sp macro="" textlink="">
          <xdr:nvSpPr>
            <xdr:cNvPr id="3240" name="Object 168" hidden="1">
              <a:extLst>
                <a:ext uri="{63B3BB69-23CF-44E3-9099-C40C66FF867C}">
                  <a14:compatExt spid="_x0000_s32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60</xdr:col>
          <xdr:colOff>257175</xdr:colOff>
          <xdr:row>239</xdr:row>
          <xdr:rowOff>85725</xdr:rowOff>
        </xdr:from>
        <xdr:to>
          <xdr:col>60</xdr:col>
          <xdr:colOff>676275</xdr:colOff>
          <xdr:row>240</xdr:row>
          <xdr:rowOff>180975</xdr:rowOff>
        </xdr:to>
        <xdr:sp macro="" textlink="">
          <xdr:nvSpPr>
            <xdr:cNvPr id="3241" name="Object 169" hidden="1">
              <a:extLst>
                <a:ext uri="{63B3BB69-23CF-44E3-9099-C40C66FF867C}">
                  <a14:compatExt spid="_x0000_s3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314325</xdr:colOff>
          <xdr:row>239</xdr:row>
          <xdr:rowOff>85725</xdr:rowOff>
        </xdr:from>
        <xdr:to>
          <xdr:col>61</xdr:col>
          <xdr:colOff>714375</xdr:colOff>
          <xdr:row>240</xdr:row>
          <xdr:rowOff>180975</xdr:rowOff>
        </xdr:to>
        <xdr:sp macro="" textlink="">
          <xdr:nvSpPr>
            <xdr:cNvPr id="3242" name="Object 170" hidden="1">
              <a:extLst>
                <a:ext uri="{63B3BB69-23CF-44E3-9099-C40C66FF867C}">
                  <a14:compatExt spid="_x0000_s3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60</xdr:col>
          <xdr:colOff>295275</xdr:colOff>
          <xdr:row>239</xdr:row>
          <xdr:rowOff>104775</xdr:rowOff>
        </xdr:from>
        <xdr:to>
          <xdr:col>60</xdr:col>
          <xdr:colOff>714375</xdr:colOff>
          <xdr:row>240</xdr:row>
          <xdr:rowOff>200025</xdr:rowOff>
        </xdr:to>
        <xdr:sp macro="" textlink="">
          <xdr:nvSpPr>
            <xdr:cNvPr id="3243" name="Object 171" hidden="1">
              <a:extLst>
                <a:ext uri="{63B3BB69-23CF-44E3-9099-C40C66FF867C}">
                  <a14:compatExt spid="_x0000_s32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304800</xdr:colOff>
          <xdr:row>239</xdr:row>
          <xdr:rowOff>85725</xdr:rowOff>
        </xdr:from>
        <xdr:to>
          <xdr:col>61</xdr:col>
          <xdr:colOff>714375</xdr:colOff>
          <xdr:row>240</xdr:row>
          <xdr:rowOff>180975</xdr:rowOff>
        </xdr:to>
        <xdr:sp macro="" textlink="">
          <xdr:nvSpPr>
            <xdr:cNvPr id="3244" name="Object 172" hidden="1">
              <a:extLst>
                <a:ext uri="{63B3BB69-23CF-44E3-9099-C40C66FF867C}">
                  <a14:compatExt spid="_x0000_s32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62</xdr:col>
          <xdr:colOff>257175</xdr:colOff>
          <xdr:row>239</xdr:row>
          <xdr:rowOff>85725</xdr:rowOff>
        </xdr:from>
        <xdr:to>
          <xdr:col>62</xdr:col>
          <xdr:colOff>676275</xdr:colOff>
          <xdr:row>240</xdr:row>
          <xdr:rowOff>180975</xdr:rowOff>
        </xdr:to>
        <xdr:sp macro="" textlink="">
          <xdr:nvSpPr>
            <xdr:cNvPr id="3245" name="Object 173" hidden="1">
              <a:extLst>
                <a:ext uri="{63B3BB69-23CF-44E3-9099-C40C66FF867C}">
                  <a14:compatExt spid="_x0000_s32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63</xdr:col>
          <xdr:colOff>314325</xdr:colOff>
          <xdr:row>239</xdr:row>
          <xdr:rowOff>85725</xdr:rowOff>
        </xdr:from>
        <xdr:to>
          <xdr:col>63</xdr:col>
          <xdr:colOff>714375</xdr:colOff>
          <xdr:row>240</xdr:row>
          <xdr:rowOff>180975</xdr:rowOff>
        </xdr:to>
        <xdr:sp macro="" textlink="">
          <xdr:nvSpPr>
            <xdr:cNvPr id="3246" name="Object 174" hidden="1">
              <a:extLst>
                <a:ext uri="{63B3BB69-23CF-44E3-9099-C40C66FF867C}">
                  <a14:compatExt spid="_x0000_s3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62</xdr:col>
          <xdr:colOff>295275</xdr:colOff>
          <xdr:row>239</xdr:row>
          <xdr:rowOff>104775</xdr:rowOff>
        </xdr:from>
        <xdr:to>
          <xdr:col>62</xdr:col>
          <xdr:colOff>714375</xdr:colOff>
          <xdr:row>240</xdr:row>
          <xdr:rowOff>200025</xdr:rowOff>
        </xdr:to>
        <xdr:sp macro="" textlink="">
          <xdr:nvSpPr>
            <xdr:cNvPr id="3247" name="Object 175" hidden="1">
              <a:extLst>
                <a:ext uri="{63B3BB69-23CF-44E3-9099-C40C66FF867C}">
                  <a14:compatExt spid="_x0000_s32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63</xdr:col>
          <xdr:colOff>304800</xdr:colOff>
          <xdr:row>239</xdr:row>
          <xdr:rowOff>85725</xdr:rowOff>
        </xdr:from>
        <xdr:to>
          <xdr:col>63</xdr:col>
          <xdr:colOff>714375</xdr:colOff>
          <xdr:row>240</xdr:row>
          <xdr:rowOff>180975</xdr:rowOff>
        </xdr:to>
        <xdr:sp macro="" textlink="">
          <xdr:nvSpPr>
            <xdr:cNvPr id="3248" name="Object 176" hidden="1">
              <a:extLst>
                <a:ext uri="{63B3BB69-23CF-44E3-9099-C40C66FF867C}">
                  <a14:compatExt spid="_x0000_s32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64</xdr:col>
          <xdr:colOff>257175</xdr:colOff>
          <xdr:row>239</xdr:row>
          <xdr:rowOff>85725</xdr:rowOff>
        </xdr:from>
        <xdr:to>
          <xdr:col>64</xdr:col>
          <xdr:colOff>676275</xdr:colOff>
          <xdr:row>240</xdr:row>
          <xdr:rowOff>180975</xdr:rowOff>
        </xdr:to>
        <xdr:sp macro="" textlink="">
          <xdr:nvSpPr>
            <xdr:cNvPr id="3249" name="Object 177" hidden="1">
              <a:extLst>
                <a:ext uri="{63B3BB69-23CF-44E3-9099-C40C66FF867C}">
                  <a14:compatExt spid="_x0000_s32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314325</xdr:colOff>
          <xdr:row>239</xdr:row>
          <xdr:rowOff>85725</xdr:rowOff>
        </xdr:from>
        <xdr:to>
          <xdr:col>65</xdr:col>
          <xdr:colOff>714375</xdr:colOff>
          <xdr:row>240</xdr:row>
          <xdr:rowOff>180975</xdr:rowOff>
        </xdr:to>
        <xdr:sp macro="" textlink="">
          <xdr:nvSpPr>
            <xdr:cNvPr id="3250" name="Object 178" hidden="1">
              <a:extLst>
                <a:ext uri="{63B3BB69-23CF-44E3-9099-C40C66FF867C}">
                  <a14:compatExt spid="_x0000_s3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64</xdr:col>
          <xdr:colOff>295275</xdr:colOff>
          <xdr:row>239</xdr:row>
          <xdr:rowOff>104775</xdr:rowOff>
        </xdr:from>
        <xdr:to>
          <xdr:col>64</xdr:col>
          <xdr:colOff>714375</xdr:colOff>
          <xdr:row>240</xdr:row>
          <xdr:rowOff>200025</xdr:rowOff>
        </xdr:to>
        <xdr:sp macro="" textlink="">
          <xdr:nvSpPr>
            <xdr:cNvPr id="3251" name="Object 179" hidden="1">
              <a:extLst>
                <a:ext uri="{63B3BB69-23CF-44E3-9099-C40C66FF867C}">
                  <a14:compatExt spid="_x0000_s32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304800</xdr:colOff>
          <xdr:row>239</xdr:row>
          <xdr:rowOff>85725</xdr:rowOff>
        </xdr:from>
        <xdr:to>
          <xdr:col>65</xdr:col>
          <xdr:colOff>714375</xdr:colOff>
          <xdr:row>240</xdr:row>
          <xdr:rowOff>180975</xdr:rowOff>
        </xdr:to>
        <xdr:sp macro="" textlink="">
          <xdr:nvSpPr>
            <xdr:cNvPr id="3252" name="Object 180" hidden="1">
              <a:extLst>
                <a:ext uri="{63B3BB69-23CF-44E3-9099-C40C66FF867C}">
                  <a14:compatExt spid="_x0000_s32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257175</xdr:colOff>
          <xdr:row>239</xdr:row>
          <xdr:rowOff>85725</xdr:rowOff>
        </xdr:from>
        <xdr:to>
          <xdr:col>66</xdr:col>
          <xdr:colOff>676275</xdr:colOff>
          <xdr:row>240</xdr:row>
          <xdr:rowOff>180975</xdr:rowOff>
        </xdr:to>
        <xdr:sp macro="" textlink="">
          <xdr:nvSpPr>
            <xdr:cNvPr id="3253" name="Object 181" hidden="1">
              <a:extLst>
                <a:ext uri="{63B3BB69-23CF-44E3-9099-C40C66FF867C}">
                  <a14:compatExt spid="_x0000_s32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67</xdr:col>
          <xdr:colOff>314325</xdr:colOff>
          <xdr:row>239</xdr:row>
          <xdr:rowOff>85725</xdr:rowOff>
        </xdr:from>
        <xdr:to>
          <xdr:col>67</xdr:col>
          <xdr:colOff>714375</xdr:colOff>
          <xdr:row>240</xdr:row>
          <xdr:rowOff>180975</xdr:rowOff>
        </xdr:to>
        <xdr:sp macro="" textlink="">
          <xdr:nvSpPr>
            <xdr:cNvPr id="3254" name="Object 182" hidden="1">
              <a:extLst>
                <a:ext uri="{63B3BB69-23CF-44E3-9099-C40C66FF867C}">
                  <a14:compatExt spid="_x0000_s3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295275</xdr:colOff>
          <xdr:row>239</xdr:row>
          <xdr:rowOff>104775</xdr:rowOff>
        </xdr:from>
        <xdr:to>
          <xdr:col>66</xdr:col>
          <xdr:colOff>714375</xdr:colOff>
          <xdr:row>240</xdr:row>
          <xdr:rowOff>200025</xdr:rowOff>
        </xdr:to>
        <xdr:sp macro="" textlink="">
          <xdr:nvSpPr>
            <xdr:cNvPr id="3255" name="Object 183" hidden="1">
              <a:extLst>
                <a:ext uri="{63B3BB69-23CF-44E3-9099-C40C66FF867C}">
                  <a14:compatExt spid="_x0000_s32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67</xdr:col>
          <xdr:colOff>304800</xdr:colOff>
          <xdr:row>239</xdr:row>
          <xdr:rowOff>85725</xdr:rowOff>
        </xdr:from>
        <xdr:to>
          <xdr:col>67</xdr:col>
          <xdr:colOff>714375</xdr:colOff>
          <xdr:row>240</xdr:row>
          <xdr:rowOff>180975</xdr:rowOff>
        </xdr:to>
        <xdr:sp macro="" textlink="">
          <xdr:nvSpPr>
            <xdr:cNvPr id="3256" name="Object 184" hidden="1">
              <a:extLst>
                <a:ext uri="{63B3BB69-23CF-44E3-9099-C40C66FF867C}">
                  <a14:compatExt spid="_x0000_s32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257175</xdr:colOff>
          <xdr:row>239</xdr:row>
          <xdr:rowOff>85725</xdr:rowOff>
        </xdr:from>
        <xdr:to>
          <xdr:col>68</xdr:col>
          <xdr:colOff>676275</xdr:colOff>
          <xdr:row>240</xdr:row>
          <xdr:rowOff>180975</xdr:rowOff>
        </xdr:to>
        <xdr:sp macro="" textlink="">
          <xdr:nvSpPr>
            <xdr:cNvPr id="3257" name="Object 185" hidden="1">
              <a:extLst>
                <a:ext uri="{63B3BB69-23CF-44E3-9099-C40C66FF867C}">
                  <a14:compatExt spid="_x0000_s32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69</xdr:col>
          <xdr:colOff>314325</xdr:colOff>
          <xdr:row>239</xdr:row>
          <xdr:rowOff>85725</xdr:rowOff>
        </xdr:from>
        <xdr:to>
          <xdr:col>69</xdr:col>
          <xdr:colOff>714375</xdr:colOff>
          <xdr:row>240</xdr:row>
          <xdr:rowOff>180975</xdr:rowOff>
        </xdr:to>
        <xdr:sp macro="" textlink="">
          <xdr:nvSpPr>
            <xdr:cNvPr id="3258" name="Object 186" hidden="1">
              <a:extLst>
                <a:ext uri="{63B3BB69-23CF-44E3-9099-C40C66FF867C}">
                  <a14:compatExt spid="_x0000_s3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295275</xdr:colOff>
          <xdr:row>239</xdr:row>
          <xdr:rowOff>104775</xdr:rowOff>
        </xdr:from>
        <xdr:to>
          <xdr:col>68</xdr:col>
          <xdr:colOff>714375</xdr:colOff>
          <xdr:row>240</xdr:row>
          <xdr:rowOff>200025</xdr:rowOff>
        </xdr:to>
        <xdr:sp macro="" textlink="">
          <xdr:nvSpPr>
            <xdr:cNvPr id="3259" name="Object 187" hidden="1">
              <a:extLst>
                <a:ext uri="{63B3BB69-23CF-44E3-9099-C40C66FF867C}">
                  <a14:compatExt spid="_x0000_s32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69</xdr:col>
          <xdr:colOff>304800</xdr:colOff>
          <xdr:row>239</xdr:row>
          <xdr:rowOff>85725</xdr:rowOff>
        </xdr:from>
        <xdr:to>
          <xdr:col>69</xdr:col>
          <xdr:colOff>714375</xdr:colOff>
          <xdr:row>240</xdr:row>
          <xdr:rowOff>180975</xdr:rowOff>
        </xdr:to>
        <xdr:sp macro="" textlink="">
          <xdr:nvSpPr>
            <xdr:cNvPr id="3260" name="Object 188" hidden="1">
              <a:extLst>
                <a:ext uri="{63B3BB69-23CF-44E3-9099-C40C66FF867C}">
                  <a14:compatExt spid="_x0000_s32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70</xdr:col>
          <xdr:colOff>257175</xdr:colOff>
          <xdr:row>239</xdr:row>
          <xdr:rowOff>85725</xdr:rowOff>
        </xdr:from>
        <xdr:to>
          <xdr:col>70</xdr:col>
          <xdr:colOff>676275</xdr:colOff>
          <xdr:row>240</xdr:row>
          <xdr:rowOff>180975</xdr:rowOff>
        </xdr:to>
        <xdr:sp macro="" textlink="">
          <xdr:nvSpPr>
            <xdr:cNvPr id="3261" name="Object 189" hidden="1">
              <a:extLst>
                <a:ext uri="{63B3BB69-23CF-44E3-9099-C40C66FF867C}">
                  <a14:compatExt spid="_x0000_s32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71</xdr:col>
          <xdr:colOff>314325</xdr:colOff>
          <xdr:row>239</xdr:row>
          <xdr:rowOff>85725</xdr:rowOff>
        </xdr:from>
        <xdr:to>
          <xdr:col>71</xdr:col>
          <xdr:colOff>714375</xdr:colOff>
          <xdr:row>240</xdr:row>
          <xdr:rowOff>180975</xdr:rowOff>
        </xdr:to>
        <xdr:sp macro="" textlink="">
          <xdr:nvSpPr>
            <xdr:cNvPr id="3262" name="Object 190" hidden="1">
              <a:extLst>
                <a:ext uri="{63B3BB69-23CF-44E3-9099-C40C66FF867C}">
                  <a14:compatExt spid="_x0000_s3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70</xdr:col>
          <xdr:colOff>295275</xdr:colOff>
          <xdr:row>239</xdr:row>
          <xdr:rowOff>104775</xdr:rowOff>
        </xdr:from>
        <xdr:to>
          <xdr:col>70</xdr:col>
          <xdr:colOff>714375</xdr:colOff>
          <xdr:row>240</xdr:row>
          <xdr:rowOff>200025</xdr:rowOff>
        </xdr:to>
        <xdr:sp macro="" textlink="">
          <xdr:nvSpPr>
            <xdr:cNvPr id="3263" name="Object 191" hidden="1">
              <a:extLst>
                <a:ext uri="{63B3BB69-23CF-44E3-9099-C40C66FF867C}">
                  <a14:compatExt spid="_x0000_s32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71</xdr:col>
          <xdr:colOff>304800</xdr:colOff>
          <xdr:row>239</xdr:row>
          <xdr:rowOff>85725</xdr:rowOff>
        </xdr:from>
        <xdr:to>
          <xdr:col>71</xdr:col>
          <xdr:colOff>714375</xdr:colOff>
          <xdr:row>240</xdr:row>
          <xdr:rowOff>180975</xdr:rowOff>
        </xdr:to>
        <xdr:sp macro="" textlink="">
          <xdr:nvSpPr>
            <xdr:cNvPr id="3264" name="Object 192" hidden="1">
              <a:extLst>
                <a:ext uri="{63B3BB69-23CF-44E3-9099-C40C66FF867C}">
                  <a14:compatExt spid="_x0000_s32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</xdr:col>
          <xdr:colOff>257175</xdr:colOff>
          <xdr:row>239</xdr:row>
          <xdr:rowOff>85725</xdr:rowOff>
        </xdr:from>
        <xdr:to>
          <xdr:col>72</xdr:col>
          <xdr:colOff>676275</xdr:colOff>
          <xdr:row>240</xdr:row>
          <xdr:rowOff>180975</xdr:rowOff>
        </xdr:to>
        <xdr:sp macro="" textlink="">
          <xdr:nvSpPr>
            <xdr:cNvPr id="3265" name="Object 193" hidden="1">
              <a:extLst>
                <a:ext uri="{63B3BB69-23CF-44E3-9099-C40C66FF867C}">
                  <a14:compatExt spid="_x0000_s3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73</xdr:col>
          <xdr:colOff>314325</xdr:colOff>
          <xdr:row>239</xdr:row>
          <xdr:rowOff>85725</xdr:rowOff>
        </xdr:from>
        <xdr:to>
          <xdr:col>73</xdr:col>
          <xdr:colOff>714375</xdr:colOff>
          <xdr:row>240</xdr:row>
          <xdr:rowOff>180975</xdr:rowOff>
        </xdr:to>
        <xdr:sp macro="" textlink="">
          <xdr:nvSpPr>
            <xdr:cNvPr id="3266" name="Object 194" hidden="1">
              <a:extLst>
                <a:ext uri="{63B3BB69-23CF-44E3-9099-C40C66FF867C}">
                  <a14:compatExt spid="_x0000_s3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</xdr:col>
          <xdr:colOff>295275</xdr:colOff>
          <xdr:row>239</xdr:row>
          <xdr:rowOff>104775</xdr:rowOff>
        </xdr:from>
        <xdr:to>
          <xdr:col>72</xdr:col>
          <xdr:colOff>714375</xdr:colOff>
          <xdr:row>240</xdr:row>
          <xdr:rowOff>200025</xdr:rowOff>
        </xdr:to>
        <xdr:sp macro="" textlink="">
          <xdr:nvSpPr>
            <xdr:cNvPr id="3267" name="Object 195" hidden="1">
              <a:extLst>
                <a:ext uri="{63B3BB69-23CF-44E3-9099-C40C66FF867C}">
                  <a14:compatExt spid="_x0000_s32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73</xdr:col>
          <xdr:colOff>304800</xdr:colOff>
          <xdr:row>239</xdr:row>
          <xdr:rowOff>85725</xdr:rowOff>
        </xdr:from>
        <xdr:to>
          <xdr:col>73</xdr:col>
          <xdr:colOff>714375</xdr:colOff>
          <xdr:row>240</xdr:row>
          <xdr:rowOff>180975</xdr:rowOff>
        </xdr:to>
        <xdr:sp macro="" textlink="">
          <xdr:nvSpPr>
            <xdr:cNvPr id="3268" name="Object 196" hidden="1">
              <a:extLst>
                <a:ext uri="{63B3BB69-23CF-44E3-9099-C40C66FF867C}">
                  <a14:compatExt spid="_x0000_s32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257175</xdr:colOff>
          <xdr:row>239</xdr:row>
          <xdr:rowOff>85725</xdr:rowOff>
        </xdr:from>
        <xdr:to>
          <xdr:col>74</xdr:col>
          <xdr:colOff>676275</xdr:colOff>
          <xdr:row>240</xdr:row>
          <xdr:rowOff>180975</xdr:rowOff>
        </xdr:to>
        <xdr:sp macro="" textlink="">
          <xdr:nvSpPr>
            <xdr:cNvPr id="3269" name="Object 197" hidden="1">
              <a:extLst>
                <a:ext uri="{63B3BB69-23CF-44E3-9099-C40C66FF867C}">
                  <a14:compatExt spid="_x0000_s32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314325</xdr:colOff>
          <xdr:row>239</xdr:row>
          <xdr:rowOff>85725</xdr:rowOff>
        </xdr:from>
        <xdr:to>
          <xdr:col>75</xdr:col>
          <xdr:colOff>714375</xdr:colOff>
          <xdr:row>240</xdr:row>
          <xdr:rowOff>180975</xdr:rowOff>
        </xdr:to>
        <xdr:sp macro="" textlink="">
          <xdr:nvSpPr>
            <xdr:cNvPr id="3270" name="Object 198" hidden="1">
              <a:extLst>
                <a:ext uri="{63B3BB69-23CF-44E3-9099-C40C66FF867C}">
                  <a14:compatExt spid="_x0000_s3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295275</xdr:colOff>
          <xdr:row>239</xdr:row>
          <xdr:rowOff>104775</xdr:rowOff>
        </xdr:from>
        <xdr:to>
          <xdr:col>74</xdr:col>
          <xdr:colOff>714375</xdr:colOff>
          <xdr:row>240</xdr:row>
          <xdr:rowOff>200025</xdr:rowOff>
        </xdr:to>
        <xdr:sp macro="" textlink="">
          <xdr:nvSpPr>
            <xdr:cNvPr id="3271" name="Object 199" hidden="1">
              <a:extLst>
                <a:ext uri="{63B3BB69-23CF-44E3-9099-C40C66FF867C}">
                  <a14:compatExt spid="_x0000_s32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304800</xdr:colOff>
          <xdr:row>239</xdr:row>
          <xdr:rowOff>85725</xdr:rowOff>
        </xdr:from>
        <xdr:to>
          <xdr:col>75</xdr:col>
          <xdr:colOff>714375</xdr:colOff>
          <xdr:row>240</xdr:row>
          <xdr:rowOff>180975</xdr:rowOff>
        </xdr:to>
        <xdr:sp macro="" textlink="">
          <xdr:nvSpPr>
            <xdr:cNvPr id="3272" name="Object 200" hidden="1">
              <a:extLst>
                <a:ext uri="{63B3BB69-23CF-44E3-9099-C40C66FF867C}">
                  <a14:compatExt spid="_x0000_s32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257175</xdr:colOff>
          <xdr:row>239</xdr:row>
          <xdr:rowOff>85725</xdr:rowOff>
        </xdr:from>
        <xdr:to>
          <xdr:col>76</xdr:col>
          <xdr:colOff>676275</xdr:colOff>
          <xdr:row>240</xdr:row>
          <xdr:rowOff>180975</xdr:rowOff>
        </xdr:to>
        <xdr:sp macro="" textlink="">
          <xdr:nvSpPr>
            <xdr:cNvPr id="3273" name="Object 201" hidden="1">
              <a:extLst>
                <a:ext uri="{63B3BB69-23CF-44E3-9099-C40C66FF867C}">
                  <a14:compatExt spid="_x0000_s32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314325</xdr:colOff>
          <xdr:row>239</xdr:row>
          <xdr:rowOff>85725</xdr:rowOff>
        </xdr:from>
        <xdr:to>
          <xdr:col>77</xdr:col>
          <xdr:colOff>714375</xdr:colOff>
          <xdr:row>240</xdr:row>
          <xdr:rowOff>180975</xdr:rowOff>
        </xdr:to>
        <xdr:sp macro="" textlink="">
          <xdr:nvSpPr>
            <xdr:cNvPr id="3274" name="Object 202" hidden="1">
              <a:extLst>
                <a:ext uri="{63B3BB69-23CF-44E3-9099-C40C66FF867C}">
                  <a14:compatExt spid="_x0000_s3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295275</xdr:colOff>
          <xdr:row>239</xdr:row>
          <xdr:rowOff>104775</xdr:rowOff>
        </xdr:from>
        <xdr:to>
          <xdr:col>76</xdr:col>
          <xdr:colOff>714375</xdr:colOff>
          <xdr:row>240</xdr:row>
          <xdr:rowOff>200025</xdr:rowOff>
        </xdr:to>
        <xdr:sp macro="" textlink="">
          <xdr:nvSpPr>
            <xdr:cNvPr id="3275" name="Object 203" hidden="1">
              <a:extLst>
                <a:ext uri="{63B3BB69-23CF-44E3-9099-C40C66FF867C}">
                  <a14:compatExt spid="_x0000_s32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304800</xdr:colOff>
          <xdr:row>239</xdr:row>
          <xdr:rowOff>85725</xdr:rowOff>
        </xdr:from>
        <xdr:to>
          <xdr:col>77</xdr:col>
          <xdr:colOff>714375</xdr:colOff>
          <xdr:row>240</xdr:row>
          <xdr:rowOff>180975</xdr:rowOff>
        </xdr:to>
        <xdr:sp macro="" textlink="">
          <xdr:nvSpPr>
            <xdr:cNvPr id="3276" name="Object 204" hidden="1">
              <a:extLst>
                <a:ext uri="{63B3BB69-23CF-44E3-9099-C40C66FF867C}">
                  <a14:compatExt spid="_x0000_s32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257175</xdr:colOff>
          <xdr:row>239</xdr:row>
          <xdr:rowOff>85725</xdr:rowOff>
        </xdr:from>
        <xdr:to>
          <xdr:col>78</xdr:col>
          <xdr:colOff>676275</xdr:colOff>
          <xdr:row>240</xdr:row>
          <xdr:rowOff>180975</xdr:rowOff>
        </xdr:to>
        <xdr:sp macro="" textlink="">
          <xdr:nvSpPr>
            <xdr:cNvPr id="3277" name="Object 205" hidden="1">
              <a:extLst>
                <a:ext uri="{63B3BB69-23CF-44E3-9099-C40C66FF867C}">
                  <a14:compatExt spid="_x0000_s32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79</xdr:col>
          <xdr:colOff>314325</xdr:colOff>
          <xdr:row>239</xdr:row>
          <xdr:rowOff>85725</xdr:rowOff>
        </xdr:from>
        <xdr:to>
          <xdr:col>79</xdr:col>
          <xdr:colOff>714375</xdr:colOff>
          <xdr:row>240</xdr:row>
          <xdr:rowOff>180975</xdr:rowOff>
        </xdr:to>
        <xdr:sp macro="" textlink="">
          <xdr:nvSpPr>
            <xdr:cNvPr id="3278" name="Object 206" hidden="1">
              <a:extLst>
                <a:ext uri="{63B3BB69-23CF-44E3-9099-C40C66FF867C}">
                  <a14:compatExt spid="_x0000_s3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295275</xdr:colOff>
          <xdr:row>239</xdr:row>
          <xdr:rowOff>104775</xdr:rowOff>
        </xdr:from>
        <xdr:to>
          <xdr:col>78</xdr:col>
          <xdr:colOff>714375</xdr:colOff>
          <xdr:row>240</xdr:row>
          <xdr:rowOff>200025</xdr:rowOff>
        </xdr:to>
        <xdr:sp macro="" textlink="">
          <xdr:nvSpPr>
            <xdr:cNvPr id="3279" name="Object 207" hidden="1">
              <a:extLst>
                <a:ext uri="{63B3BB69-23CF-44E3-9099-C40C66FF867C}">
                  <a14:compatExt spid="_x0000_s32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79</xdr:col>
          <xdr:colOff>304800</xdr:colOff>
          <xdr:row>239</xdr:row>
          <xdr:rowOff>85725</xdr:rowOff>
        </xdr:from>
        <xdr:to>
          <xdr:col>79</xdr:col>
          <xdr:colOff>714375</xdr:colOff>
          <xdr:row>240</xdr:row>
          <xdr:rowOff>180975</xdr:rowOff>
        </xdr:to>
        <xdr:sp macro="" textlink="">
          <xdr:nvSpPr>
            <xdr:cNvPr id="3280" name="Object 208" hidden="1">
              <a:extLst>
                <a:ext uri="{63B3BB69-23CF-44E3-9099-C40C66FF867C}">
                  <a14:compatExt spid="_x0000_s32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80</xdr:col>
          <xdr:colOff>257175</xdr:colOff>
          <xdr:row>239</xdr:row>
          <xdr:rowOff>85725</xdr:rowOff>
        </xdr:from>
        <xdr:to>
          <xdr:col>80</xdr:col>
          <xdr:colOff>676275</xdr:colOff>
          <xdr:row>240</xdr:row>
          <xdr:rowOff>180975</xdr:rowOff>
        </xdr:to>
        <xdr:sp macro="" textlink="">
          <xdr:nvSpPr>
            <xdr:cNvPr id="3281" name="Object 209" hidden="1">
              <a:extLst>
                <a:ext uri="{63B3BB69-23CF-44E3-9099-C40C66FF867C}">
                  <a14:compatExt spid="_x0000_s32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81</xdr:col>
          <xdr:colOff>314325</xdr:colOff>
          <xdr:row>239</xdr:row>
          <xdr:rowOff>85725</xdr:rowOff>
        </xdr:from>
        <xdr:to>
          <xdr:col>81</xdr:col>
          <xdr:colOff>714375</xdr:colOff>
          <xdr:row>240</xdr:row>
          <xdr:rowOff>180975</xdr:rowOff>
        </xdr:to>
        <xdr:sp macro="" textlink="">
          <xdr:nvSpPr>
            <xdr:cNvPr id="3282" name="Object 210" hidden="1">
              <a:extLst>
                <a:ext uri="{63B3BB69-23CF-44E3-9099-C40C66FF867C}">
                  <a14:compatExt spid="_x0000_s3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80</xdr:col>
          <xdr:colOff>295275</xdr:colOff>
          <xdr:row>239</xdr:row>
          <xdr:rowOff>104775</xdr:rowOff>
        </xdr:from>
        <xdr:to>
          <xdr:col>80</xdr:col>
          <xdr:colOff>714375</xdr:colOff>
          <xdr:row>240</xdr:row>
          <xdr:rowOff>200025</xdr:rowOff>
        </xdr:to>
        <xdr:sp macro="" textlink="">
          <xdr:nvSpPr>
            <xdr:cNvPr id="3283" name="Object 211" hidden="1">
              <a:extLst>
                <a:ext uri="{63B3BB69-23CF-44E3-9099-C40C66FF867C}">
                  <a14:compatExt spid="_x0000_s32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81</xdr:col>
          <xdr:colOff>304800</xdr:colOff>
          <xdr:row>239</xdr:row>
          <xdr:rowOff>85725</xdr:rowOff>
        </xdr:from>
        <xdr:to>
          <xdr:col>81</xdr:col>
          <xdr:colOff>714375</xdr:colOff>
          <xdr:row>240</xdr:row>
          <xdr:rowOff>180975</xdr:rowOff>
        </xdr:to>
        <xdr:sp macro="" textlink="">
          <xdr:nvSpPr>
            <xdr:cNvPr id="3284" name="Object 212" hidden="1">
              <a:extLst>
                <a:ext uri="{63B3BB69-23CF-44E3-9099-C40C66FF867C}">
                  <a14:compatExt spid="_x0000_s32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257175</xdr:colOff>
          <xdr:row>239</xdr:row>
          <xdr:rowOff>85725</xdr:rowOff>
        </xdr:from>
        <xdr:to>
          <xdr:col>82</xdr:col>
          <xdr:colOff>676275</xdr:colOff>
          <xdr:row>240</xdr:row>
          <xdr:rowOff>180975</xdr:rowOff>
        </xdr:to>
        <xdr:sp macro="" textlink="">
          <xdr:nvSpPr>
            <xdr:cNvPr id="3285" name="Object 213" hidden="1">
              <a:extLst>
                <a:ext uri="{63B3BB69-23CF-44E3-9099-C40C66FF867C}">
                  <a14:compatExt spid="_x0000_s32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83</xdr:col>
          <xdr:colOff>314325</xdr:colOff>
          <xdr:row>239</xdr:row>
          <xdr:rowOff>85725</xdr:rowOff>
        </xdr:from>
        <xdr:to>
          <xdr:col>83</xdr:col>
          <xdr:colOff>714375</xdr:colOff>
          <xdr:row>240</xdr:row>
          <xdr:rowOff>180975</xdr:rowOff>
        </xdr:to>
        <xdr:sp macro="" textlink="">
          <xdr:nvSpPr>
            <xdr:cNvPr id="3286" name="Object 214" hidden="1">
              <a:extLst>
                <a:ext uri="{63B3BB69-23CF-44E3-9099-C40C66FF867C}">
                  <a14:compatExt spid="_x0000_s3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295275</xdr:colOff>
          <xdr:row>239</xdr:row>
          <xdr:rowOff>104775</xdr:rowOff>
        </xdr:from>
        <xdr:to>
          <xdr:col>82</xdr:col>
          <xdr:colOff>714375</xdr:colOff>
          <xdr:row>240</xdr:row>
          <xdr:rowOff>200025</xdr:rowOff>
        </xdr:to>
        <xdr:sp macro="" textlink="">
          <xdr:nvSpPr>
            <xdr:cNvPr id="3287" name="Object 215" hidden="1">
              <a:extLst>
                <a:ext uri="{63B3BB69-23CF-44E3-9099-C40C66FF867C}">
                  <a14:compatExt spid="_x0000_s32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83</xdr:col>
          <xdr:colOff>304800</xdr:colOff>
          <xdr:row>239</xdr:row>
          <xdr:rowOff>85725</xdr:rowOff>
        </xdr:from>
        <xdr:to>
          <xdr:col>83</xdr:col>
          <xdr:colOff>714375</xdr:colOff>
          <xdr:row>240</xdr:row>
          <xdr:rowOff>180975</xdr:rowOff>
        </xdr:to>
        <xdr:sp macro="" textlink="">
          <xdr:nvSpPr>
            <xdr:cNvPr id="3288" name="Object 216" hidden="1">
              <a:extLst>
                <a:ext uri="{63B3BB69-23CF-44E3-9099-C40C66FF867C}">
                  <a14:compatExt spid="_x0000_s32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257175</xdr:colOff>
          <xdr:row>239</xdr:row>
          <xdr:rowOff>85725</xdr:rowOff>
        </xdr:from>
        <xdr:to>
          <xdr:col>84</xdr:col>
          <xdr:colOff>676275</xdr:colOff>
          <xdr:row>240</xdr:row>
          <xdr:rowOff>180975</xdr:rowOff>
        </xdr:to>
        <xdr:sp macro="" textlink="">
          <xdr:nvSpPr>
            <xdr:cNvPr id="3289" name="Object 217" hidden="1">
              <a:extLst>
                <a:ext uri="{63B3BB69-23CF-44E3-9099-C40C66FF867C}">
                  <a14:compatExt spid="_x0000_s3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85</xdr:col>
          <xdr:colOff>314325</xdr:colOff>
          <xdr:row>239</xdr:row>
          <xdr:rowOff>85725</xdr:rowOff>
        </xdr:from>
        <xdr:to>
          <xdr:col>85</xdr:col>
          <xdr:colOff>714375</xdr:colOff>
          <xdr:row>240</xdr:row>
          <xdr:rowOff>180975</xdr:rowOff>
        </xdr:to>
        <xdr:sp macro="" textlink="">
          <xdr:nvSpPr>
            <xdr:cNvPr id="3290" name="Object 218" hidden="1">
              <a:extLst>
                <a:ext uri="{63B3BB69-23CF-44E3-9099-C40C66FF867C}">
                  <a14:compatExt spid="_x0000_s3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295275</xdr:colOff>
          <xdr:row>239</xdr:row>
          <xdr:rowOff>104775</xdr:rowOff>
        </xdr:from>
        <xdr:to>
          <xdr:col>84</xdr:col>
          <xdr:colOff>714375</xdr:colOff>
          <xdr:row>240</xdr:row>
          <xdr:rowOff>200025</xdr:rowOff>
        </xdr:to>
        <xdr:sp macro="" textlink="">
          <xdr:nvSpPr>
            <xdr:cNvPr id="3291" name="Object 219" hidden="1">
              <a:extLst>
                <a:ext uri="{63B3BB69-23CF-44E3-9099-C40C66FF867C}">
                  <a14:compatExt spid="_x0000_s32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85</xdr:col>
          <xdr:colOff>304800</xdr:colOff>
          <xdr:row>239</xdr:row>
          <xdr:rowOff>85725</xdr:rowOff>
        </xdr:from>
        <xdr:to>
          <xdr:col>85</xdr:col>
          <xdr:colOff>714375</xdr:colOff>
          <xdr:row>240</xdr:row>
          <xdr:rowOff>180975</xdr:rowOff>
        </xdr:to>
        <xdr:sp macro="" textlink="">
          <xdr:nvSpPr>
            <xdr:cNvPr id="3292" name="Object 220" hidden="1">
              <a:extLst>
                <a:ext uri="{63B3BB69-23CF-44E3-9099-C40C66FF867C}">
                  <a14:compatExt spid="_x0000_s32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86</xdr:col>
          <xdr:colOff>257175</xdr:colOff>
          <xdr:row>239</xdr:row>
          <xdr:rowOff>85725</xdr:rowOff>
        </xdr:from>
        <xdr:to>
          <xdr:col>86</xdr:col>
          <xdr:colOff>676275</xdr:colOff>
          <xdr:row>240</xdr:row>
          <xdr:rowOff>180975</xdr:rowOff>
        </xdr:to>
        <xdr:sp macro="" textlink="">
          <xdr:nvSpPr>
            <xdr:cNvPr id="3293" name="Object 221" hidden="1">
              <a:extLst>
                <a:ext uri="{63B3BB69-23CF-44E3-9099-C40C66FF867C}">
                  <a14:compatExt spid="_x0000_s3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87</xdr:col>
          <xdr:colOff>314325</xdr:colOff>
          <xdr:row>239</xdr:row>
          <xdr:rowOff>85725</xdr:rowOff>
        </xdr:from>
        <xdr:to>
          <xdr:col>87</xdr:col>
          <xdr:colOff>714375</xdr:colOff>
          <xdr:row>240</xdr:row>
          <xdr:rowOff>180975</xdr:rowOff>
        </xdr:to>
        <xdr:sp macro="" textlink="">
          <xdr:nvSpPr>
            <xdr:cNvPr id="3294" name="Object 222" hidden="1">
              <a:extLst>
                <a:ext uri="{63B3BB69-23CF-44E3-9099-C40C66FF867C}">
                  <a14:compatExt spid="_x0000_s3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86</xdr:col>
          <xdr:colOff>295275</xdr:colOff>
          <xdr:row>239</xdr:row>
          <xdr:rowOff>104775</xdr:rowOff>
        </xdr:from>
        <xdr:to>
          <xdr:col>86</xdr:col>
          <xdr:colOff>714375</xdr:colOff>
          <xdr:row>240</xdr:row>
          <xdr:rowOff>200025</xdr:rowOff>
        </xdr:to>
        <xdr:sp macro="" textlink="">
          <xdr:nvSpPr>
            <xdr:cNvPr id="3295" name="Object 223" hidden="1">
              <a:extLst>
                <a:ext uri="{63B3BB69-23CF-44E3-9099-C40C66FF867C}">
                  <a14:compatExt spid="_x0000_s32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87</xdr:col>
          <xdr:colOff>304800</xdr:colOff>
          <xdr:row>239</xdr:row>
          <xdr:rowOff>85725</xdr:rowOff>
        </xdr:from>
        <xdr:to>
          <xdr:col>87</xdr:col>
          <xdr:colOff>714375</xdr:colOff>
          <xdr:row>240</xdr:row>
          <xdr:rowOff>180975</xdr:rowOff>
        </xdr:to>
        <xdr:sp macro="" textlink="">
          <xdr:nvSpPr>
            <xdr:cNvPr id="3296" name="Object 224" hidden="1">
              <a:extLst>
                <a:ext uri="{63B3BB69-23CF-44E3-9099-C40C66FF867C}">
                  <a14:compatExt spid="_x0000_s32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88</xdr:col>
          <xdr:colOff>257175</xdr:colOff>
          <xdr:row>239</xdr:row>
          <xdr:rowOff>85725</xdr:rowOff>
        </xdr:from>
        <xdr:to>
          <xdr:col>88</xdr:col>
          <xdr:colOff>676275</xdr:colOff>
          <xdr:row>240</xdr:row>
          <xdr:rowOff>180975</xdr:rowOff>
        </xdr:to>
        <xdr:sp macro="" textlink="">
          <xdr:nvSpPr>
            <xdr:cNvPr id="3297" name="Object 225" hidden="1">
              <a:extLst>
                <a:ext uri="{63B3BB69-23CF-44E3-9099-C40C66FF867C}">
                  <a14:compatExt spid="_x0000_s32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</xdr:col>
          <xdr:colOff>314325</xdr:colOff>
          <xdr:row>239</xdr:row>
          <xdr:rowOff>85725</xdr:rowOff>
        </xdr:from>
        <xdr:to>
          <xdr:col>89</xdr:col>
          <xdr:colOff>714375</xdr:colOff>
          <xdr:row>240</xdr:row>
          <xdr:rowOff>180975</xdr:rowOff>
        </xdr:to>
        <xdr:sp macro="" textlink="">
          <xdr:nvSpPr>
            <xdr:cNvPr id="3298" name="Object 226" hidden="1">
              <a:extLst>
                <a:ext uri="{63B3BB69-23CF-44E3-9099-C40C66FF867C}">
                  <a14:compatExt spid="_x0000_s3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88</xdr:col>
          <xdr:colOff>295275</xdr:colOff>
          <xdr:row>239</xdr:row>
          <xdr:rowOff>104775</xdr:rowOff>
        </xdr:from>
        <xdr:to>
          <xdr:col>88</xdr:col>
          <xdr:colOff>714375</xdr:colOff>
          <xdr:row>240</xdr:row>
          <xdr:rowOff>200025</xdr:rowOff>
        </xdr:to>
        <xdr:sp macro="" textlink="">
          <xdr:nvSpPr>
            <xdr:cNvPr id="3299" name="Object 227" hidden="1">
              <a:extLst>
                <a:ext uri="{63B3BB69-23CF-44E3-9099-C40C66FF867C}">
                  <a14:compatExt spid="_x0000_s32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</xdr:col>
          <xdr:colOff>304800</xdr:colOff>
          <xdr:row>239</xdr:row>
          <xdr:rowOff>85725</xdr:rowOff>
        </xdr:from>
        <xdr:to>
          <xdr:col>89</xdr:col>
          <xdr:colOff>714375</xdr:colOff>
          <xdr:row>240</xdr:row>
          <xdr:rowOff>180975</xdr:rowOff>
        </xdr:to>
        <xdr:sp macro="" textlink="">
          <xdr:nvSpPr>
            <xdr:cNvPr id="3300" name="Object 228" hidden="1">
              <a:extLst>
                <a:ext uri="{63B3BB69-23CF-44E3-9099-C40C66FF867C}">
                  <a14:compatExt spid="_x0000_s33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257175</xdr:colOff>
          <xdr:row>250</xdr:row>
          <xdr:rowOff>85725</xdr:rowOff>
        </xdr:from>
        <xdr:to>
          <xdr:col>42</xdr:col>
          <xdr:colOff>676275</xdr:colOff>
          <xdr:row>251</xdr:row>
          <xdr:rowOff>161925</xdr:rowOff>
        </xdr:to>
        <xdr:sp macro="" textlink="">
          <xdr:nvSpPr>
            <xdr:cNvPr id="3301" name="Object 229" hidden="1">
              <a:extLst>
                <a:ext uri="{63B3BB69-23CF-44E3-9099-C40C66FF867C}">
                  <a14:compatExt spid="_x0000_s33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314325</xdr:colOff>
          <xdr:row>250</xdr:row>
          <xdr:rowOff>85725</xdr:rowOff>
        </xdr:from>
        <xdr:to>
          <xdr:col>43</xdr:col>
          <xdr:colOff>733425</xdr:colOff>
          <xdr:row>251</xdr:row>
          <xdr:rowOff>161925</xdr:rowOff>
        </xdr:to>
        <xdr:sp macro="" textlink="">
          <xdr:nvSpPr>
            <xdr:cNvPr id="3302" name="Object 230" hidden="1">
              <a:extLst>
                <a:ext uri="{63B3BB69-23CF-44E3-9099-C40C66FF867C}">
                  <a14:compatExt spid="_x0000_s3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295275</xdr:colOff>
          <xdr:row>250</xdr:row>
          <xdr:rowOff>104775</xdr:rowOff>
        </xdr:from>
        <xdr:to>
          <xdr:col>42</xdr:col>
          <xdr:colOff>733425</xdr:colOff>
          <xdr:row>251</xdr:row>
          <xdr:rowOff>228600</xdr:rowOff>
        </xdr:to>
        <xdr:sp macro="" textlink="">
          <xdr:nvSpPr>
            <xdr:cNvPr id="3303" name="Object 231" hidden="1">
              <a:extLst>
                <a:ext uri="{63B3BB69-23CF-44E3-9099-C40C66FF867C}">
                  <a14:compatExt spid="_x0000_s33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304800</xdr:colOff>
          <xdr:row>250</xdr:row>
          <xdr:rowOff>85725</xdr:rowOff>
        </xdr:from>
        <xdr:to>
          <xdr:col>43</xdr:col>
          <xdr:colOff>733425</xdr:colOff>
          <xdr:row>251</xdr:row>
          <xdr:rowOff>161925</xdr:rowOff>
        </xdr:to>
        <xdr:sp macro="" textlink="">
          <xdr:nvSpPr>
            <xdr:cNvPr id="3304" name="Object 232" hidden="1">
              <a:extLst>
                <a:ext uri="{63B3BB69-23CF-44E3-9099-C40C66FF867C}">
                  <a14:compatExt spid="_x0000_s33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257175</xdr:colOff>
          <xdr:row>250</xdr:row>
          <xdr:rowOff>85725</xdr:rowOff>
        </xdr:from>
        <xdr:to>
          <xdr:col>44</xdr:col>
          <xdr:colOff>676275</xdr:colOff>
          <xdr:row>251</xdr:row>
          <xdr:rowOff>161925</xdr:rowOff>
        </xdr:to>
        <xdr:sp macro="" textlink="">
          <xdr:nvSpPr>
            <xdr:cNvPr id="3305" name="Object 233" hidden="1">
              <a:extLst>
                <a:ext uri="{63B3BB69-23CF-44E3-9099-C40C66FF867C}">
                  <a14:compatExt spid="_x0000_s33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314325</xdr:colOff>
          <xdr:row>250</xdr:row>
          <xdr:rowOff>85725</xdr:rowOff>
        </xdr:from>
        <xdr:to>
          <xdr:col>45</xdr:col>
          <xdr:colOff>733425</xdr:colOff>
          <xdr:row>251</xdr:row>
          <xdr:rowOff>161925</xdr:rowOff>
        </xdr:to>
        <xdr:sp macro="" textlink="">
          <xdr:nvSpPr>
            <xdr:cNvPr id="3306" name="Object 234" hidden="1">
              <a:extLst>
                <a:ext uri="{63B3BB69-23CF-44E3-9099-C40C66FF867C}">
                  <a14:compatExt spid="_x0000_s3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295275</xdr:colOff>
          <xdr:row>250</xdr:row>
          <xdr:rowOff>104775</xdr:rowOff>
        </xdr:from>
        <xdr:to>
          <xdr:col>44</xdr:col>
          <xdr:colOff>733425</xdr:colOff>
          <xdr:row>251</xdr:row>
          <xdr:rowOff>228600</xdr:rowOff>
        </xdr:to>
        <xdr:sp macro="" textlink="">
          <xdr:nvSpPr>
            <xdr:cNvPr id="3307" name="Object 235" hidden="1">
              <a:extLst>
                <a:ext uri="{63B3BB69-23CF-44E3-9099-C40C66FF867C}">
                  <a14:compatExt spid="_x0000_s33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304800</xdr:colOff>
          <xdr:row>250</xdr:row>
          <xdr:rowOff>85725</xdr:rowOff>
        </xdr:from>
        <xdr:to>
          <xdr:col>45</xdr:col>
          <xdr:colOff>733425</xdr:colOff>
          <xdr:row>251</xdr:row>
          <xdr:rowOff>161925</xdr:rowOff>
        </xdr:to>
        <xdr:sp macro="" textlink="">
          <xdr:nvSpPr>
            <xdr:cNvPr id="3308" name="Object 236" hidden="1">
              <a:extLst>
                <a:ext uri="{63B3BB69-23CF-44E3-9099-C40C66FF867C}">
                  <a14:compatExt spid="_x0000_s33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257175</xdr:colOff>
          <xdr:row>250</xdr:row>
          <xdr:rowOff>85725</xdr:rowOff>
        </xdr:from>
        <xdr:to>
          <xdr:col>46</xdr:col>
          <xdr:colOff>676275</xdr:colOff>
          <xdr:row>251</xdr:row>
          <xdr:rowOff>161925</xdr:rowOff>
        </xdr:to>
        <xdr:sp macro="" textlink="">
          <xdr:nvSpPr>
            <xdr:cNvPr id="3309" name="Object 237" hidden="1">
              <a:extLst>
                <a:ext uri="{63B3BB69-23CF-44E3-9099-C40C66FF867C}">
                  <a14:compatExt spid="_x0000_s33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314325</xdr:colOff>
          <xdr:row>250</xdr:row>
          <xdr:rowOff>85725</xdr:rowOff>
        </xdr:from>
        <xdr:to>
          <xdr:col>47</xdr:col>
          <xdr:colOff>733425</xdr:colOff>
          <xdr:row>251</xdr:row>
          <xdr:rowOff>161925</xdr:rowOff>
        </xdr:to>
        <xdr:sp macro="" textlink="">
          <xdr:nvSpPr>
            <xdr:cNvPr id="3310" name="Object 238" hidden="1">
              <a:extLst>
                <a:ext uri="{63B3BB69-23CF-44E3-9099-C40C66FF867C}">
                  <a14:compatExt spid="_x0000_s3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295275</xdr:colOff>
          <xdr:row>250</xdr:row>
          <xdr:rowOff>104775</xdr:rowOff>
        </xdr:from>
        <xdr:to>
          <xdr:col>46</xdr:col>
          <xdr:colOff>733425</xdr:colOff>
          <xdr:row>251</xdr:row>
          <xdr:rowOff>228600</xdr:rowOff>
        </xdr:to>
        <xdr:sp macro="" textlink="">
          <xdr:nvSpPr>
            <xdr:cNvPr id="3311" name="Object 239" hidden="1">
              <a:extLst>
                <a:ext uri="{63B3BB69-23CF-44E3-9099-C40C66FF867C}">
                  <a14:compatExt spid="_x0000_s33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304800</xdr:colOff>
          <xdr:row>250</xdr:row>
          <xdr:rowOff>85725</xdr:rowOff>
        </xdr:from>
        <xdr:to>
          <xdr:col>47</xdr:col>
          <xdr:colOff>733425</xdr:colOff>
          <xdr:row>251</xdr:row>
          <xdr:rowOff>161925</xdr:rowOff>
        </xdr:to>
        <xdr:sp macro="" textlink="">
          <xdr:nvSpPr>
            <xdr:cNvPr id="3312" name="Object 240" hidden="1">
              <a:extLst>
                <a:ext uri="{63B3BB69-23CF-44E3-9099-C40C66FF867C}">
                  <a14:compatExt spid="_x0000_s33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257175</xdr:colOff>
          <xdr:row>250</xdr:row>
          <xdr:rowOff>85725</xdr:rowOff>
        </xdr:from>
        <xdr:to>
          <xdr:col>48</xdr:col>
          <xdr:colOff>676275</xdr:colOff>
          <xdr:row>251</xdr:row>
          <xdr:rowOff>161925</xdr:rowOff>
        </xdr:to>
        <xdr:sp macro="" textlink="">
          <xdr:nvSpPr>
            <xdr:cNvPr id="3313" name="Object 241" hidden="1">
              <a:extLst>
                <a:ext uri="{63B3BB69-23CF-44E3-9099-C40C66FF867C}">
                  <a14:compatExt spid="_x0000_s3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314325</xdr:colOff>
          <xdr:row>250</xdr:row>
          <xdr:rowOff>85725</xdr:rowOff>
        </xdr:from>
        <xdr:to>
          <xdr:col>49</xdr:col>
          <xdr:colOff>733425</xdr:colOff>
          <xdr:row>251</xdr:row>
          <xdr:rowOff>161925</xdr:rowOff>
        </xdr:to>
        <xdr:sp macro="" textlink="">
          <xdr:nvSpPr>
            <xdr:cNvPr id="3314" name="Object 242" hidden="1">
              <a:extLst>
                <a:ext uri="{63B3BB69-23CF-44E3-9099-C40C66FF867C}">
                  <a14:compatExt spid="_x0000_s3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295275</xdr:colOff>
          <xdr:row>250</xdr:row>
          <xdr:rowOff>104775</xdr:rowOff>
        </xdr:from>
        <xdr:to>
          <xdr:col>48</xdr:col>
          <xdr:colOff>733425</xdr:colOff>
          <xdr:row>251</xdr:row>
          <xdr:rowOff>228600</xdr:rowOff>
        </xdr:to>
        <xdr:sp macro="" textlink="">
          <xdr:nvSpPr>
            <xdr:cNvPr id="3315" name="Object 243" hidden="1">
              <a:extLst>
                <a:ext uri="{63B3BB69-23CF-44E3-9099-C40C66FF867C}">
                  <a14:compatExt spid="_x0000_s33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304800</xdr:colOff>
          <xdr:row>250</xdr:row>
          <xdr:rowOff>85725</xdr:rowOff>
        </xdr:from>
        <xdr:to>
          <xdr:col>49</xdr:col>
          <xdr:colOff>733425</xdr:colOff>
          <xdr:row>251</xdr:row>
          <xdr:rowOff>161925</xdr:rowOff>
        </xdr:to>
        <xdr:sp macro="" textlink="">
          <xdr:nvSpPr>
            <xdr:cNvPr id="3316" name="Object 244" hidden="1">
              <a:extLst>
                <a:ext uri="{63B3BB69-23CF-44E3-9099-C40C66FF867C}">
                  <a14:compatExt spid="_x0000_s33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257175</xdr:colOff>
          <xdr:row>250</xdr:row>
          <xdr:rowOff>85725</xdr:rowOff>
        </xdr:from>
        <xdr:to>
          <xdr:col>50</xdr:col>
          <xdr:colOff>676275</xdr:colOff>
          <xdr:row>251</xdr:row>
          <xdr:rowOff>161925</xdr:rowOff>
        </xdr:to>
        <xdr:sp macro="" textlink="">
          <xdr:nvSpPr>
            <xdr:cNvPr id="3317" name="Object 245" hidden="1">
              <a:extLst>
                <a:ext uri="{63B3BB69-23CF-44E3-9099-C40C66FF867C}">
                  <a14:compatExt spid="_x0000_s33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314325</xdr:colOff>
          <xdr:row>250</xdr:row>
          <xdr:rowOff>85725</xdr:rowOff>
        </xdr:from>
        <xdr:to>
          <xdr:col>51</xdr:col>
          <xdr:colOff>733425</xdr:colOff>
          <xdr:row>251</xdr:row>
          <xdr:rowOff>161925</xdr:rowOff>
        </xdr:to>
        <xdr:sp macro="" textlink="">
          <xdr:nvSpPr>
            <xdr:cNvPr id="3318" name="Object 246" hidden="1">
              <a:extLst>
                <a:ext uri="{63B3BB69-23CF-44E3-9099-C40C66FF867C}">
                  <a14:compatExt spid="_x0000_s3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295275</xdr:colOff>
          <xdr:row>250</xdr:row>
          <xdr:rowOff>104775</xdr:rowOff>
        </xdr:from>
        <xdr:to>
          <xdr:col>50</xdr:col>
          <xdr:colOff>733425</xdr:colOff>
          <xdr:row>251</xdr:row>
          <xdr:rowOff>228600</xdr:rowOff>
        </xdr:to>
        <xdr:sp macro="" textlink="">
          <xdr:nvSpPr>
            <xdr:cNvPr id="3319" name="Object 247" hidden="1">
              <a:extLst>
                <a:ext uri="{63B3BB69-23CF-44E3-9099-C40C66FF867C}">
                  <a14:compatExt spid="_x0000_s33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304800</xdr:colOff>
          <xdr:row>250</xdr:row>
          <xdr:rowOff>85725</xdr:rowOff>
        </xdr:from>
        <xdr:to>
          <xdr:col>51</xdr:col>
          <xdr:colOff>733425</xdr:colOff>
          <xdr:row>251</xdr:row>
          <xdr:rowOff>161925</xdr:rowOff>
        </xdr:to>
        <xdr:sp macro="" textlink="">
          <xdr:nvSpPr>
            <xdr:cNvPr id="3320" name="Object 248" hidden="1">
              <a:extLst>
                <a:ext uri="{63B3BB69-23CF-44E3-9099-C40C66FF867C}">
                  <a14:compatExt spid="_x0000_s33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257175</xdr:colOff>
          <xdr:row>250</xdr:row>
          <xdr:rowOff>85725</xdr:rowOff>
        </xdr:from>
        <xdr:to>
          <xdr:col>52</xdr:col>
          <xdr:colOff>676275</xdr:colOff>
          <xdr:row>251</xdr:row>
          <xdr:rowOff>161925</xdr:rowOff>
        </xdr:to>
        <xdr:sp macro="" textlink="">
          <xdr:nvSpPr>
            <xdr:cNvPr id="3321" name="Object 249" hidden="1">
              <a:extLst>
                <a:ext uri="{63B3BB69-23CF-44E3-9099-C40C66FF867C}">
                  <a14:compatExt spid="_x0000_s33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314325</xdr:colOff>
          <xdr:row>250</xdr:row>
          <xdr:rowOff>85725</xdr:rowOff>
        </xdr:from>
        <xdr:to>
          <xdr:col>53</xdr:col>
          <xdr:colOff>733425</xdr:colOff>
          <xdr:row>251</xdr:row>
          <xdr:rowOff>161925</xdr:rowOff>
        </xdr:to>
        <xdr:sp macro="" textlink="">
          <xdr:nvSpPr>
            <xdr:cNvPr id="3322" name="Object 250" hidden="1">
              <a:extLst>
                <a:ext uri="{63B3BB69-23CF-44E3-9099-C40C66FF867C}">
                  <a14:compatExt spid="_x0000_s3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295275</xdr:colOff>
          <xdr:row>250</xdr:row>
          <xdr:rowOff>104775</xdr:rowOff>
        </xdr:from>
        <xdr:to>
          <xdr:col>52</xdr:col>
          <xdr:colOff>733425</xdr:colOff>
          <xdr:row>251</xdr:row>
          <xdr:rowOff>228600</xdr:rowOff>
        </xdr:to>
        <xdr:sp macro="" textlink="">
          <xdr:nvSpPr>
            <xdr:cNvPr id="3323" name="Object 251" hidden="1">
              <a:extLst>
                <a:ext uri="{63B3BB69-23CF-44E3-9099-C40C66FF867C}">
                  <a14:compatExt spid="_x0000_s33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304800</xdr:colOff>
          <xdr:row>250</xdr:row>
          <xdr:rowOff>85725</xdr:rowOff>
        </xdr:from>
        <xdr:to>
          <xdr:col>53</xdr:col>
          <xdr:colOff>733425</xdr:colOff>
          <xdr:row>251</xdr:row>
          <xdr:rowOff>161925</xdr:rowOff>
        </xdr:to>
        <xdr:sp macro="" textlink="">
          <xdr:nvSpPr>
            <xdr:cNvPr id="3324" name="Object 252" hidden="1">
              <a:extLst>
                <a:ext uri="{63B3BB69-23CF-44E3-9099-C40C66FF867C}">
                  <a14:compatExt spid="_x0000_s33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257175</xdr:colOff>
          <xdr:row>250</xdr:row>
          <xdr:rowOff>85725</xdr:rowOff>
        </xdr:from>
        <xdr:to>
          <xdr:col>54</xdr:col>
          <xdr:colOff>676275</xdr:colOff>
          <xdr:row>251</xdr:row>
          <xdr:rowOff>161925</xdr:rowOff>
        </xdr:to>
        <xdr:sp macro="" textlink="">
          <xdr:nvSpPr>
            <xdr:cNvPr id="3325" name="Object 253" hidden="1">
              <a:extLst>
                <a:ext uri="{63B3BB69-23CF-44E3-9099-C40C66FF867C}">
                  <a14:compatExt spid="_x0000_s33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55</xdr:col>
          <xdr:colOff>314325</xdr:colOff>
          <xdr:row>250</xdr:row>
          <xdr:rowOff>85725</xdr:rowOff>
        </xdr:from>
        <xdr:to>
          <xdr:col>55</xdr:col>
          <xdr:colOff>733425</xdr:colOff>
          <xdr:row>251</xdr:row>
          <xdr:rowOff>161925</xdr:rowOff>
        </xdr:to>
        <xdr:sp macro="" textlink="">
          <xdr:nvSpPr>
            <xdr:cNvPr id="3326" name="Object 254" hidden="1">
              <a:extLst>
                <a:ext uri="{63B3BB69-23CF-44E3-9099-C40C66FF867C}">
                  <a14:compatExt spid="_x0000_s3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295275</xdr:colOff>
          <xdr:row>250</xdr:row>
          <xdr:rowOff>104775</xdr:rowOff>
        </xdr:from>
        <xdr:to>
          <xdr:col>54</xdr:col>
          <xdr:colOff>733425</xdr:colOff>
          <xdr:row>251</xdr:row>
          <xdr:rowOff>228600</xdr:rowOff>
        </xdr:to>
        <xdr:sp macro="" textlink="">
          <xdr:nvSpPr>
            <xdr:cNvPr id="3327" name="Object 255" hidden="1">
              <a:extLst>
                <a:ext uri="{63B3BB69-23CF-44E3-9099-C40C66FF867C}">
                  <a14:compatExt spid="_x0000_s33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55</xdr:col>
          <xdr:colOff>304800</xdr:colOff>
          <xdr:row>250</xdr:row>
          <xdr:rowOff>85725</xdr:rowOff>
        </xdr:from>
        <xdr:to>
          <xdr:col>55</xdr:col>
          <xdr:colOff>733425</xdr:colOff>
          <xdr:row>251</xdr:row>
          <xdr:rowOff>161925</xdr:rowOff>
        </xdr:to>
        <xdr:sp macro="" textlink="">
          <xdr:nvSpPr>
            <xdr:cNvPr id="3328" name="Object 256" hidden="1">
              <a:extLst>
                <a:ext uri="{63B3BB69-23CF-44E3-9099-C40C66FF867C}">
                  <a14:compatExt spid="_x0000_s33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56</xdr:col>
          <xdr:colOff>257175</xdr:colOff>
          <xdr:row>250</xdr:row>
          <xdr:rowOff>85725</xdr:rowOff>
        </xdr:from>
        <xdr:to>
          <xdr:col>56</xdr:col>
          <xdr:colOff>676275</xdr:colOff>
          <xdr:row>251</xdr:row>
          <xdr:rowOff>161925</xdr:rowOff>
        </xdr:to>
        <xdr:sp macro="" textlink="">
          <xdr:nvSpPr>
            <xdr:cNvPr id="3329" name="Object 257" hidden="1">
              <a:extLst>
                <a:ext uri="{63B3BB69-23CF-44E3-9099-C40C66FF867C}">
                  <a14:compatExt spid="_x0000_s33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314325</xdr:colOff>
          <xdr:row>250</xdr:row>
          <xdr:rowOff>85725</xdr:rowOff>
        </xdr:from>
        <xdr:to>
          <xdr:col>57</xdr:col>
          <xdr:colOff>733425</xdr:colOff>
          <xdr:row>251</xdr:row>
          <xdr:rowOff>161925</xdr:rowOff>
        </xdr:to>
        <xdr:sp macro="" textlink="">
          <xdr:nvSpPr>
            <xdr:cNvPr id="3330" name="Object 258" hidden="1">
              <a:extLst>
                <a:ext uri="{63B3BB69-23CF-44E3-9099-C40C66FF867C}">
                  <a14:compatExt spid="_x0000_s3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56</xdr:col>
          <xdr:colOff>295275</xdr:colOff>
          <xdr:row>250</xdr:row>
          <xdr:rowOff>104775</xdr:rowOff>
        </xdr:from>
        <xdr:to>
          <xdr:col>56</xdr:col>
          <xdr:colOff>733425</xdr:colOff>
          <xdr:row>251</xdr:row>
          <xdr:rowOff>228600</xdr:rowOff>
        </xdr:to>
        <xdr:sp macro="" textlink="">
          <xdr:nvSpPr>
            <xdr:cNvPr id="3331" name="Object 259" hidden="1">
              <a:extLst>
                <a:ext uri="{63B3BB69-23CF-44E3-9099-C40C66FF867C}">
                  <a14:compatExt spid="_x0000_s33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304800</xdr:colOff>
          <xdr:row>250</xdr:row>
          <xdr:rowOff>85725</xdr:rowOff>
        </xdr:from>
        <xdr:to>
          <xdr:col>57</xdr:col>
          <xdr:colOff>733425</xdr:colOff>
          <xdr:row>251</xdr:row>
          <xdr:rowOff>161925</xdr:rowOff>
        </xdr:to>
        <xdr:sp macro="" textlink="">
          <xdr:nvSpPr>
            <xdr:cNvPr id="3332" name="Object 260" hidden="1">
              <a:extLst>
                <a:ext uri="{63B3BB69-23CF-44E3-9099-C40C66FF867C}">
                  <a14:compatExt spid="_x0000_s33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58</xdr:col>
          <xdr:colOff>257175</xdr:colOff>
          <xdr:row>250</xdr:row>
          <xdr:rowOff>85725</xdr:rowOff>
        </xdr:from>
        <xdr:to>
          <xdr:col>58</xdr:col>
          <xdr:colOff>676275</xdr:colOff>
          <xdr:row>251</xdr:row>
          <xdr:rowOff>161925</xdr:rowOff>
        </xdr:to>
        <xdr:sp macro="" textlink="">
          <xdr:nvSpPr>
            <xdr:cNvPr id="3333" name="Object 261" hidden="1">
              <a:extLst>
                <a:ext uri="{63B3BB69-23CF-44E3-9099-C40C66FF867C}">
                  <a14:compatExt spid="_x0000_s33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59</xdr:col>
          <xdr:colOff>314325</xdr:colOff>
          <xdr:row>250</xdr:row>
          <xdr:rowOff>85725</xdr:rowOff>
        </xdr:from>
        <xdr:to>
          <xdr:col>59</xdr:col>
          <xdr:colOff>733425</xdr:colOff>
          <xdr:row>251</xdr:row>
          <xdr:rowOff>161925</xdr:rowOff>
        </xdr:to>
        <xdr:sp macro="" textlink="">
          <xdr:nvSpPr>
            <xdr:cNvPr id="3334" name="Object 262" hidden="1">
              <a:extLst>
                <a:ext uri="{63B3BB69-23CF-44E3-9099-C40C66FF867C}">
                  <a14:compatExt spid="_x0000_s3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58</xdr:col>
          <xdr:colOff>295275</xdr:colOff>
          <xdr:row>250</xdr:row>
          <xdr:rowOff>104775</xdr:rowOff>
        </xdr:from>
        <xdr:to>
          <xdr:col>58</xdr:col>
          <xdr:colOff>733425</xdr:colOff>
          <xdr:row>251</xdr:row>
          <xdr:rowOff>228600</xdr:rowOff>
        </xdr:to>
        <xdr:sp macro="" textlink="">
          <xdr:nvSpPr>
            <xdr:cNvPr id="3335" name="Object 263" hidden="1">
              <a:extLst>
                <a:ext uri="{63B3BB69-23CF-44E3-9099-C40C66FF867C}">
                  <a14:compatExt spid="_x0000_s33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59</xdr:col>
          <xdr:colOff>304800</xdr:colOff>
          <xdr:row>250</xdr:row>
          <xdr:rowOff>85725</xdr:rowOff>
        </xdr:from>
        <xdr:to>
          <xdr:col>59</xdr:col>
          <xdr:colOff>733425</xdr:colOff>
          <xdr:row>251</xdr:row>
          <xdr:rowOff>161925</xdr:rowOff>
        </xdr:to>
        <xdr:sp macro="" textlink="">
          <xdr:nvSpPr>
            <xdr:cNvPr id="3336" name="Object 264" hidden="1">
              <a:extLst>
                <a:ext uri="{63B3BB69-23CF-44E3-9099-C40C66FF867C}">
                  <a14:compatExt spid="_x0000_s33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60</xdr:col>
          <xdr:colOff>257175</xdr:colOff>
          <xdr:row>250</xdr:row>
          <xdr:rowOff>85725</xdr:rowOff>
        </xdr:from>
        <xdr:to>
          <xdr:col>60</xdr:col>
          <xdr:colOff>676275</xdr:colOff>
          <xdr:row>251</xdr:row>
          <xdr:rowOff>161925</xdr:rowOff>
        </xdr:to>
        <xdr:sp macro="" textlink="">
          <xdr:nvSpPr>
            <xdr:cNvPr id="3337" name="Object 265" hidden="1">
              <a:extLst>
                <a:ext uri="{63B3BB69-23CF-44E3-9099-C40C66FF867C}">
                  <a14:compatExt spid="_x0000_s33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314325</xdr:colOff>
          <xdr:row>250</xdr:row>
          <xdr:rowOff>85725</xdr:rowOff>
        </xdr:from>
        <xdr:to>
          <xdr:col>61</xdr:col>
          <xdr:colOff>733425</xdr:colOff>
          <xdr:row>251</xdr:row>
          <xdr:rowOff>161925</xdr:rowOff>
        </xdr:to>
        <xdr:sp macro="" textlink="">
          <xdr:nvSpPr>
            <xdr:cNvPr id="3338" name="Object 266" hidden="1">
              <a:extLst>
                <a:ext uri="{63B3BB69-23CF-44E3-9099-C40C66FF867C}">
                  <a14:compatExt spid="_x0000_s3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60</xdr:col>
          <xdr:colOff>295275</xdr:colOff>
          <xdr:row>250</xdr:row>
          <xdr:rowOff>104775</xdr:rowOff>
        </xdr:from>
        <xdr:to>
          <xdr:col>60</xdr:col>
          <xdr:colOff>733425</xdr:colOff>
          <xdr:row>251</xdr:row>
          <xdr:rowOff>228600</xdr:rowOff>
        </xdr:to>
        <xdr:sp macro="" textlink="">
          <xdr:nvSpPr>
            <xdr:cNvPr id="3339" name="Object 267" hidden="1">
              <a:extLst>
                <a:ext uri="{63B3BB69-23CF-44E3-9099-C40C66FF867C}">
                  <a14:compatExt spid="_x0000_s33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304800</xdr:colOff>
          <xdr:row>250</xdr:row>
          <xdr:rowOff>85725</xdr:rowOff>
        </xdr:from>
        <xdr:to>
          <xdr:col>61</xdr:col>
          <xdr:colOff>733425</xdr:colOff>
          <xdr:row>251</xdr:row>
          <xdr:rowOff>161925</xdr:rowOff>
        </xdr:to>
        <xdr:sp macro="" textlink="">
          <xdr:nvSpPr>
            <xdr:cNvPr id="3340" name="Object 268" hidden="1">
              <a:extLst>
                <a:ext uri="{63B3BB69-23CF-44E3-9099-C40C66FF867C}">
                  <a14:compatExt spid="_x0000_s33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62</xdr:col>
          <xdr:colOff>257175</xdr:colOff>
          <xdr:row>250</xdr:row>
          <xdr:rowOff>85725</xdr:rowOff>
        </xdr:from>
        <xdr:to>
          <xdr:col>62</xdr:col>
          <xdr:colOff>676275</xdr:colOff>
          <xdr:row>251</xdr:row>
          <xdr:rowOff>161925</xdr:rowOff>
        </xdr:to>
        <xdr:sp macro="" textlink="">
          <xdr:nvSpPr>
            <xdr:cNvPr id="3341" name="Object 269" hidden="1">
              <a:extLst>
                <a:ext uri="{63B3BB69-23CF-44E3-9099-C40C66FF867C}">
                  <a14:compatExt spid="_x0000_s33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63</xdr:col>
          <xdr:colOff>314325</xdr:colOff>
          <xdr:row>250</xdr:row>
          <xdr:rowOff>85725</xdr:rowOff>
        </xdr:from>
        <xdr:to>
          <xdr:col>63</xdr:col>
          <xdr:colOff>733425</xdr:colOff>
          <xdr:row>251</xdr:row>
          <xdr:rowOff>161925</xdr:rowOff>
        </xdr:to>
        <xdr:sp macro="" textlink="">
          <xdr:nvSpPr>
            <xdr:cNvPr id="3342" name="Object 270" hidden="1">
              <a:extLst>
                <a:ext uri="{63B3BB69-23CF-44E3-9099-C40C66FF867C}">
                  <a14:compatExt spid="_x0000_s3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62</xdr:col>
          <xdr:colOff>295275</xdr:colOff>
          <xdr:row>250</xdr:row>
          <xdr:rowOff>104775</xdr:rowOff>
        </xdr:from>
        <xdr:to>
          <xdr:col>62</xdr:col>
          <xdr:colOff>733425</xdr:colOff>
          <xdr:row>251</xdr:row>
          <xdr:rowOff>228600</xdr:rowOff>
        </xdr:to>
        <xdr:sp macro="" textlink="">
          <xdr:nvSpPr>
            <xdr:cNvPr id="3343" name="Object 271" hidden="1">
              <a:extLst>
                <a:ext uri="{63B3BB69-23CF-44E3-9099-C40C66FF867C}">
                  <a14:compatExt spid="_x0000_s33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63</xdr:col>
          <xdr:colOff>304800</xdr:colOff>
          <xdr:row>250</xdr:row>
          <xdr:rowOff>85725</xdr:rowOff>
        </xdr:from>
        <xdr:to>
          <xdr:col>63</xdr:col>
          <xdr:colOff>733425</xdr:colOff>
          <xdr:row>251</xdr:row>
          <xdr:rowOff>161925</xdr:rowOff>
        </xdr:to>
        <xdr:sp macro="" textlink="">
          <xdr:nvSpPr>
            <xdr:cNvPr id="3344" name="Object 272" hidden="1">
              <a:extLst>
                <a:ext uri="{63B3BB69-23CF-44E3-9099-C40C66FF867C}">
                  <a14:compatExt spid="_x0000_s33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64</xdr:col>
          <xdr:colOff>257175</xdr:colOff>
          <xdr:row>250</xdr:row>
          <xdr:rowOff>85725</xdr:rowOff>
        </xdr:from>
        <xdr:to>
          <xdr:col>64</xdr:col>
          <xdr:colOff>676275</xdr:colOff>
          <xdr:row>251</xdr:row>
          <xdr:rowOff>161925</xdr:rowOff>
        </xdr:to>
        <xdr:sp macro="" textlink="">
          <xdr:nvSpPr>
            <xdr:cNvPr id="3345" name="Object 273" hidden="1">
              <a:extLst>
                <a:ext uri="{63B3BB69-23CF-44E3-9099-C40C66FF867C}">
                  <a14:compatExt spid="_x0000_s33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314325</xdr:colOff>
          <xdr:row>250</xdr:row>
          <xdr:rowOff>85725</xdr:rowOff>
        </xdr:from>
        <xdr:to>
          <xdr:col>65</xdr:col>
          <xdr:colOff>733425</xdr:colOff>
          <xdr:row>251</xdr:row>
          <xdr:rowOff>161925</xdr:rowOff>
        </xdr:to>
        <xdr:sp macro="" textlink="">
          <xdr:nvSpPr>
            <xdr:cNvPr id="3346" name="Object 274" hidden="1">
              <a:extLst>
                <a:ext uri="{63B3BB69-23CF-44E3-9099-C40C66FF867C}">
                  <a14:compatExt spid="_x0000_s3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64</xdr:col>
          <xdr:colOff>295275</xdr:colOff>
          <xdr:row>250</xdr:row>
          <xdr:rowOff>104775</xdr:rowOff>
        </xdr:from>
        <xdr:to>
          <xdr:col>64</xdr:col>
          <xdr:colOff>733425</xdr:colOff>
          <xdr:row>251</xdr:row>
          <xdr:rowOff>228600</xdr:rowOff>
        </xdr:to>
        <xdr:sp macro="" textlink="">
          <xdr:nvSpPr>
            <xdr:cNvPr id="3347" name="Object 275" hidden="1">
              <a:extLst>
                <a:ext uri="{63B3BB69-23CF-44E3-9099-C40C66FF867C}">
                  <a14:compatExt spid="_x0000_s33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304800</xdr:colOff>
          <xdr:row>250</xdr:row>
          <xdr:rowOff>85725</xdr:rowOff>
        </xdr:from>
        <xdr:to>
          <xdr:col>65</xdr:col>
          <xdr:colOff>733425</xdr:colOff>
          <xdr:row>251</xdr:row>
          <xdr:rowOff>161925</xdr:rowOff>
        </xdr:to>
        <xdr:sp macro="" textlink="">
          <xdr:nvSpPr>
            <xdr:cNvPr id="3348" name="Object 276" hidden="1">
              <a:extLst>
                <a:ext uri="{63B3BB69-23CF-44E3-9099-C40C66FF867C}">
                  <a14:compatExt spid="_x0000_s33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257175</xdr:colOff>
          <xdr:row>250</xdr:row>
          <xdr:rowOff>85725</xdr:rowOff>
        </xdr:from>
        <xdr:to>
          <xdr:col>66</xdr:col>
          <xdr:colOff>676275</xdr:colOff>
          <xdr:row>251</xdr:row>
          <xdr:rowOff>161925</xdr:rowOff>
        </xdr:to>
        <xdr:sp macro="" textlink="">
          <xdr:nvSpPr>
            <xdr:cNvPr id="3349" name="Object 277" hidden="1">
              <a:extLst>
                <a:ext uri="{63B3BB69-23CF-44E3-9099-C40C66FF867C}">
                  <a14:compatExt spid="_x0000_s33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67</xdr:col>
          <xdr:colOff>314325</xdr:colOff>
          <xdr:row>250</xdr:row>
          <xdr:rowOff>85725</xdr:rowOff>
        </xdr:from>
        <xdr:to>
          <xdr:col>67</xdr:col>
          <xdr:colOff>733425</xdr:colOff>
          <xdr:row>251</xdr:row>
          <xdr:rowOff>161925</xdr:rowOff>
        </xdr:to>
        <xdr:sp macro="" textlink="">
          <xdr:nvSpPr>
            <xdr:cNvPr id="3350" name="Object 278" hidden="1">
              <a:extLst>
                <a:ext uri="{63B3BB69-23CF-44E3-9099-C40C66FF867C}">
                  <a14:compatExt spid="_x0000_s33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295275</xdr:colOff>
          <xdr:row>250</xdr:row>
          <xdr:rowOff>104775</xdr:rowOff>
        </xdr:from>
        <xdr:to>
          <xdr:col>66</xdr:col>
          <xdr:colOff>733425</xdr:colOff>
          <xdr:row>251</xdr:row>
          <xdr:rowOff>228600</xdr:rowOff>
        </xdr:to>
        <xdr:sp macro="" textlink="">
          <xdr:nvSpPr>
            <xdr:cNvPr id="3351" name="Object 279" hidden="1">
              <a:extLst>
                <a:ext uri="{63B3BB69-23CF-44E3-9099-C40C66FF867C}">
                  <a14:compatExt spid="_x0000_s33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67</xdr:col>
          <xdr:colOff>304800</xdr:colOff>
          <xdr:row>250</xdr:row>
          <xdr:rowOff>85725</xdr:rowOff>
        </xdr:from>
        <xdr:to>
          <xdr:col>67</xdr:col>
          <xdr:colOff>733425</xdr:colOff>
          <xdr:row>251</xdr:row>
          <xdr:rowOff>161925</xdr:rowOff>
        </xdr:to>
        <xdr:sp macro="" textlink="">
          <xdr:nvSpPr>
            <xdr:cNvPr id="3352" name="Object 280" hidden="1">
              <a:extLst>
                <a:ext uri="{63B3BB69-23CF-44E3-9099-C40C66FF867C}">
                  <a14:compatExt spid="_x0000_s33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257175</xdr:colOff>
          <xdr:row>250</xdr:row>
          <xdr:rowOff>85725</xdr:rowOff>
        </xdr:from>
        <xdr:to>
          <xdr:col>68</xdr:col>
          <xdr:colOff>676275</xdr:colOff>
          <xdr:row>251</xdr:row>
          <xdr:rowOff>161925</xdr:rowOff>
        </xdr:to>
        <xdr:sp macro="" textlink="">
          <xdr:nvSpPr>
            <xdr:cNvPr id="3353" name="Object 281" hidden="1">
              <a:extLst>
                <a:ext uri="{63B3BB69-23CF-44E3-9099-C40C66FF867C}">
                  <a14:compatExt spid="_x0000_s33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69</xdr:col>
          <xdr:colOff>314325</xdr:colOff>
          <xdr:row>250</xdr:row>
          <xdr:rowOff>85725</xdr:rowOff>
        </xdr:from>
        <xdr:to>
          <xdr:col>69</xdr:col>
          <xdr:colOff>733425</xdr:colOff>
          <xdr:row>251</xdr:row>
          <xdr:rowOff>161925</xdr:rowOff>
        </xdr:to>
        <xdr:sp macro="" textlink="">
          <xdr:nvSpPr>
            <xdr:cNvPr id="3354" name="Object 282" hidden="1">
              <a:extLst>
                <a:ext uri="{63B3BB69-23CF-44E3-9099-C40C66FF867C}">
                  <a14:compatExt spid="_x0000_s33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295275</xdr:colOff>
          <xdr:row>250</xdr:row>
          <xdr:rowOff>104775</xdr:rowOff>
        </xdr:from>
        <xdr:to>
          <xdr:col>68</xdr:col>
          <xdr:colOff>733425</xdr:colOff>
          <xdr:row>251</xdr:row>
          <xdr:rowOff>228600</xdr:rowOff>
        </xdr:to>
        <xdr:sp macro="" textlink="">
          <xdr:nvSpPr>
            <xdr:cNvPr id="3355" name="Object 283" hidden="1">
              <a:extLst>
                <a:ext uri="{63B3BB69-23CF-44E3-9099-C40C66FF867C}">
                  <a14:compatExt spid="_x0000_s33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69</xdr:col>
          <xdr:colOff>304800</xdr:colOff>
          <xdr:row>250</xdr:row>
          <xdr:rowOff>85725</xdr:rowOff>
        </xdr:from>
        <xdr:to>
          <xdr:col>69</xdr:col>
          <xdr:colOff>733425</xdr:colOff>
          <xdr:row>251</xdr:row>
          <xdr:rowOff>161925</xdr:rowOff>
        </xdr:to>
        <xdr:sp macro="" textlink="">
          <xdr:nvSpPr>
            <xdr:cNvPr id="3356" name="Object 284" hidden="1">
              <a:extLst>
                <a:ext uri="{63B3BB69-23CF-44E3-9099-C40C66FF867C}">
                  <a14:compatExt spid="_x0000_s33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70</xdr:col>
          <xdr:colOff>257175</xdr:colOff>
          <xdr:row>250</xdr:row>
          <xdr:rowOff>85725</xdr:rowOff>
        </xdr:from>
        <xdr:to>
          <xdr:col>70</xdr:col>
          <xdr:colOff>676275</xdr:colOff>
          <xdr:row>251</xdr:row>
          <xdr:rowOff>161925</xdr:rowOff>
        </xdr:to>
        <xdr:sp macro="" textlink="">
          <xdr:nvSpPr>
            <xdr:cNvPr id="3357" name="Object 285" hidden="1">
              <a:extLst>
                <a:ext uri="{63B3BB69-23CF-44E3-9099-C40C66FF867C}">
                  <a14:compatExt spid="_x0000_s33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71</xdr:col>
          <xdr:colOff>314325</xdr:colOff>
          <xdr:row>250</xdr:row>
          <xdr:rowOff>85725</xdr:rowOff>
        </xdr:from>
        <xdr:to>
          <xdr:col>71</xdr:col>
          <xdr:colOff>733425</xdr:colOff>
          <xdr:row>251</xdr:row>
          <xdr:rowOff>161925</xdr:rowOff>
        </xdr:to>
        <xdr:sp macro="" textlink="">
          <xdr:nvSpPr>
            <xdr:cNvPr id="3358" name="Object 286" hidden="1">
              <a:extLst>
                <a:ext uri="{63B3BB69-23CF-44E3-9099-C40C66FF867C}">
                  <a14:compatExt spid="_x0000_s33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70</xdr:col>
          <xdr:colOff>295275</xdr:colOff>
          <xdr:row>250</xdr:row>
          <xdr:rowOff>104775</xdr:rowOff>
        </xdr:from>
        <xdr:to>
          <xdr:col>70</xdr:col>
          <xdr:colOff>733425</xdr:colOff>
          <xdr:row>251</xdr:row>
          <xdr:rowOff>228600</xdr:rowOff>
        </xdr:to>
        <xdr:sp macro="" textlink="">
          <xdr:nvSpPr>
            <xdr:cNvPr id="3359" name="Object 287" hidden="1">
              <a:extLst>
                <a:ext uri="{63B3BB69-23CF-44E3-9099-C40C66FF867C}">
                  <a14:compatExt spid="_x0000_s33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71</xdr:col>
          <xdr:colOff>304800</xdr:colOff>
          <xdr:row>250</xdr:row>
          <xdr:rowOff>85725</xdr:rowOff>
        </xdr:from>
        <xdr:to>
          <xdr:col>71</xdr:col>
          <xdr:colOff>733425</xdr:colOff>
          <xdr:row>251</xdr:row>
          <xdr:rowOff>161925</xdr:rowOff>
        </xdr:to>
        <xdr:sp macro="" textlink="">
          <xdr:nvSpPr>
            <xdr:cNvPr id="3360" name="Object 288" hidden="1">
              <a:extLst>
                <a:ext uri="{63B3BB69-23CF-44E3-9099-C40C66FF867C}">
                  <a14:compatExt spid="_x0000_s33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</xdr:col>
          <xdr:colOff>257175</xdr:colOff>
          <xdr:row>250</xdr:row>
          <xdr:rowOff>85725</xdr:rowOff>
        </xdr:from>
        <xdr:to>
          <xdr:col>72</xdr:col>
          <xdr:colOff>676275</xdr:colOff>
          <xdr:row>251</xdr:row>
          <xdr:rowOff>161925</xdr:rowOff>
        </xdr:to>
        <xdr:sp macro="" textlink="">
          <xdr:nvSpPr>
            <xdr:cNvPr id="3361" name="Object 289" hidden="1">
              <a:extLst>
                <a:ext uri="{63B3BB69-23CF-44E3-9099-C40C66FF867C}">
                  <a14:compatExt spid="_x0000_s33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73</xdr:col>
          <xdr:colOff>314325</xdr:colOff>
          <xdr:row>250</xdr:row>
          <xdr:rowOff>85725</xdr:rowOff>
        </xdr:from>
        <xdr:to>
          <xdr:col>73</xdr:col>
          <xdr:colOff>733425</xdr:colOff>
          <xdr:row>251</xdr:row>
          <xdr:rowOff>161925</xdr:rowOff>
        </xdr:to>
        <xdr:sp macro="" textlink="">
          <xdr:nvSpPr>
            <xdr:cNvPr id="3362" name="Object 290" hidden="1">
              <a:extLst>
                <a:ext uri="{63B3BB69-23CF-44E3-9099-C40C66FF867C}">
                  <a14:compatExt spid="_x0000_s33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</xdr:col>
          <xdr:colOff>295275</xdr:colOff>
          <xdr:row>250</xdr:row>
          <xdr:rowOff>104775</xdr:rowOff>
        </xdr:from>
        <xdr:to>
          <xdr:col>72</xdr:col>
          <xdr:colOff>733425</xdr:colOff>
          <xdr:row>251</xdr:row>
          <xdr:rowOff>228600</xdr:rowOff>
        </xdr:to>
        <xdr:sp macro="" textlink="">
          <xdr:nvSpPr>
            <xdr:cNvPr id="3363" name="Object 291" hidden="1">
              <a:extLst>
                <a:ext uri="{63B3BB69-23CF-44E3-9099-C40C66FF867C}">
                  <a14:compatExt spid="_x0000_s33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73</xdr:col>
          <xdr:colOff>304800</xdr:colOff>
          <xdr:row>250</xdr:row>
          <xdr:rowOff>85725</xdr:rowOff>
        </xdr:from>
        <xdr:to>
          <xdr:col>73</xdr:col>
          <xdr:colOff>733425</xdr:colOff>
          <xdr:row>251</xdr:row>
          <xdr:rowOff>161925</xdr:rowOff>
        </xdr:to>
        <xdr:sp macro="" textlink="">
          <xdr:nvSpPr>
            <xdr:cNvPr id="3364" name="Object 292" hidden="1">
              <a:extLst>
                <a:ext uri="{63B3BB69-23CF-44E3-9099-C40C66FF867C}">
                  <a14:compatExt spid="_x0000_s33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257175</xdr:colOff>
          <xdr:row>250</xdr:row>
          <xdr:rowOff>85725</xdr:rowOff>
        </xdr:from>
        <xdr:to>
          <xdr:col>74</xdr:col>
          <xdr:colOff>676275</xdr:colOff>
          <xdr:row>251</xdr:row>
          <xdr:rowOff>161925</xdr:rowOff>
        </xdr:to>
        <xdr:sp macro="" textlink="">
          <xdr:nvSpPr>
            <xdr:cNvPr id="3365" name="Object 293" hidden="1">
              <a:extLst>
                <a:ext uri="{63B3BB69-23CF-44E3-9099-C40C66FF867C}">
                  <a14:compatExt spid="_x0000_s33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314325</xdr:colOff>
          <xdr:row>250</xdr:row>
          <xdr:rowOff>85725</xdr:rowOff>
        </xdr:from>
        <xdr:to>
          <xdr:col>75</xdr:col>
          <xdr:colOff>733425</xdr:colOff>
          <xdr:row>251</xdr:row>
          <xdr:rowOff>161925</xdr:rowOff>
        </xdr:to>
        <xdr:sp macro="" textlink="">
          <xdr:nvSpPr>
            <xdr:cNvPr id="3366" name="Object 294" hidden="1">
              <a:extLst>
                <a:ext uri="{63B3BB69-23CF-44E3-9099-C40C66FF867C}">
                  <a14:compatExt spid="_x0000_s33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295275</xdr:colOff>
          <xdr:row>250</xdr:row>
          <xdr:rowOff>104775</xdr:rowOff>
        </xdr:from>
        <xdr:to>
          <xdr:col>74</xdr:col>
          <xdr:colOff>733425</xdr:colOff>
          <xdr:row>251</xdr:row>
          <xdr:rowOff>228600</xdr:rowOff>
        </xdr:to>
        <xdr:sp macro="" textlink="">
          <xdr:nvSpPr>
            <xdr:cNvPr id="3367" name="Object 295" hidden="1">
              <a:extLst>
                <a:ext uri="{63B3BB69-23CF-44E3-9099-C40C66FF867C}">
                  <a14:compatExt spid="_x0000_s33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304800</xdr:colOff>
          <xdr:row>250</xdr:row>
          <xdr:rowOff>85725</xdr:rowOff>
        </xdr:from>
        <xdr:to>
          <xdr:col>75</xdr:col>
          <xdr:colOff>733425</xdr:colOff>
          <xdr:row>251</xdr:row>
          <xdr:rowOff>161925</xdr:rowOff>
        </xdr:to>
        <xdr:sp macro="" textlink="">
          <xdr:nvSpPr>
            <xdr:cNvPr id="3368" name="Object 296" hidden="1">
              <a:extLst>
                <a:ext uri="{63B3BB69-23CF-44E3-9099-C40C66FF867C}">
                  <a14:compatExt spid="_x0000_s33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257175</xdr:colOff>
          <xdr:row>250</xdr:row>
          <xdr:rowOff>85725</xdr:rowOff>
        </xdr:from>
        <xdr:to>
          <xdr:col>76</xdr:col>
          <xdr:colOff>676275</xdr:colOff>
          <xdr:row>251</xdr:row>
          <xdr:rowOff>161925</xdr:rowOff>
        </xdr:to>
        <xdr:sp macro="" textlink="">
          <xdr:nvSpPr>
            <xdr:cNvPr id="3369" name="Object 297" hidden="1">
              <a:extLst>
                <a:ext uri="{63B3BB69-23CF-44E3-9099-C40C66FF867C}">
                  <a14:compatExt spid="_x0000_s33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314325</xdr:colOff>
          <xdr:row>250</xdr:row>
          <xdr:rowOff>85725</xdr:rowOff>
        </xdr:from>
        <xdr:to>
          <xdr:col>77</xdr:col>
          <xdr:colOff>733425</xdr:colOff>
          <xdr:row>251</xdr:row>
          <xdr:rowOff>161925</xdr:rowOff>
        </xdr:to>
        <xdr:sp macro="" textlink="">
          <xdr:nvSpPr>
            <xdr:cNvPr id="3370" name="Object 298" hidden="1">
              <a:extLst>
                <a:ext uri="{63B3BB69-23CF-44E3-9099-C40C66FF867C}">
                  <a14:compatExt spid="_x0000_s3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295275</xdr:colOff>
          <xdr:row>250</xdr:row>
          <xdr:rowOff>104775</xdr:rowOff>
        </xdr:from>
        <xdr:to>
          <xdr:col>76</xdr:col>
          <xdr:colOff>733425</xdr:colOff>
          <xdr:row>251</xdr:row>
          <xdr:rowOff>228600</xdr:rowOff>
        </xdr:to>
        <xdr:sp macro="" textlink="">
          <xdr:nvSpPr>
            <xdr:cNvPr id="3371" name="Object 299" hidden="1">
              <a:extLst>
                <a:ext uri="{63B3BB69-23CF-44E3-9099-C40C66FF867C}">
                  <a14:compatExt spid="_x0000_s33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304800</xdr:colOff>
          <xdr:row>250</xdr:row>
          <xdr:rowOff>85725</xdr:rowOff>
        </xdr:from>
        <xdr:to>
          <xdr:col>77</xdr:col>
          <xdr:colOff>733425</xdr:colOff>
          <xdr:row>251</xdr:row>
          <xdr:rowOff>161925</xdr:rowOff>
        </xdr:to>
        <xdr:sp macro="" textlink="">
          <xdr:nvSpPr>
            <xdr:cNvPr id="3372" name="Object 300" hidden="1">
              <a:extLst>
                <a:ext uri="{63B3BB69-23CF-44E3-9099-C40C66FF867C}">
                  <a14:compatExt spid="_x0000_s33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257175</xdr:colOff>
          <xdr:row>250</xdr:row>
          <xdr:rowOff>85725</xdr:rowOff>
        </xdr:from>
        <xdr:to>
          <xdr:col>78</xdr:col>
          <xdr:colOff>676275</xdr:colOff>
          <xdr:row>251</xdr:row>
          <xdr:rowOff>161925</xdr:rowOff>
        </xdr:to>
        <xdr:sp macro="" textlink="">
          <xdr:nvSpPr>
            <xdr:cNvPr id="3373" name="Object 301" hidden="1">
              <a:extLst>
                <a:ext uri="{63B3BB69-23CF-44E3-9099-C40C66FF867C}">
                  <a14:compatExt spid="_x0000_s33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79</xdr:col>
          <xdr:colOff>314325</xdr:colOff>
          <xdr:row>250</xdr:row>
          <xdr:rowOff>85725</xdr:rowOff>
        </xdr:from>
        <xdr:to>
          <xdr:col>79</xdr:col>
          <xdr:colOff>733425</xdr:colOff>
          <xdr:row>251</xdr:row>
          <xdr:rowOff>161925</xdr:rowOff>
        </xdr:to>
        <xdr:sp macro="" textlink="">
          <xdr:nvSpPr>
            <xdr:cNvPr id="3374" name="Object 302" hidden="1">
              <a:extLst>
                <a:ext uri="{63B3BB69-23CF-44E3-9099-C40C66FF867C}">
                  <a14:compatExt spid="_x0000_s33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295275</xdr:colOff>
          <xdr:row>250</xdr:row>
          <xdr:rowOff>104775</xdr:rowOff>
        </xdr:from>
        <xdr:to>
          <xdr:col>78</xdr:col>
          <xdr:colOff>733425</xdr:colOff>
          <xdr:row>251</xdr:row>
          <xdr:rowOff>228600</xdr:rowOff>
        </xdr:to>
        <xdr:sp macro="" textlink="">
          <xdr:nvSpPr>
            <xdr:cNvPr id="3375" name="Object 303" hidden="1">
              <a:extLst>
                <a:ext uri="{63B3BB69-23CF-44E3-9099-C40C66FF867C}">
                  <a14:compatExt spid="_x0000_s33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79</xdr:col>
          <xdr:colOff>304800</xdr:colOff>
          <xdr:row>250</xdr:row>
          <xdr:rowOff>85725</xdr:rowOff>
        </xdr:from>
        <xdr:to>
          <xdr:col>79</xdr:col>
          <xdr:colOff>733425</xdr:colOff>
          <xdr:row>251</xdr:row>
          <xdr:rowOff>161925</xdr:rowOff>
        </xdr:to>
        <xdr:sp macro="" textlink="">
          <xdr:nvSpPr>
            <xdr:cNvPr id="3376" name="Object 304" hidden="1">
              <a:extLst>
                <a:ext uri="{63B3BB69-23CF-44E3-9099-C40C66FF867C}">
                  <a14:compatExt spid="_x0000_s33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80</xdr:col>
          <xdr:colOff>257175</xdr:colOff>
          <xdr:row>250</xdr:row>
          <xdr:rowOff>85725</xdr:rowOff>
        </xdr:from>
        <xdr:to>
          <xdr:col>80</xdr:col>
          <xdr:colOff>676275</xdr:colOff>
          <xdr:row>251</xdr:row>
          <xdr:rowOff>161925</xdr:rowOff>
        </xdr:to>
        <xdr:sp macro="" textlink="">
          <xdr:nvSpPr>
            <xdr:cNvPr id="3377" name="Object 305" hidden="1">
              <a:extLst>
                <a:ext uri="{63B3BB69-23CF-44E3-9099-C40C66FF867C}">
                  <a14:compatExt spid="_x0000_s33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81</xdr:col>
          <xdr:colOff>314325</xdr:colOff>
          <xdr:row>250</xdr:row>
          <xdr:rowOff>85725</xdr:rowOff>
        </xdr:from>
        <xdr:to>
          <xdr:col>81</xdr:col>
          <xdr:colOff>733425</xdr:colOff>
          <xdr:row>251</xdr:row>
          <xdr:rowOff>161925</xdr:rowOff>
        </xdr:to>
        <xdr:sp macro="" textlink="">
          <xdr:nvSpPr>
            <xdr:cNvPr id="3378" name="Object 306" hidden="1">
              <a:extLst>
                <a:ext uri="{63B3BB69-23CF-44E3-9099-C40C66FF867C}">
                  <a14:compatExt spid="_x0000_s33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80</xdr:col>
          <xdr:colOff>295275</xdr:colOff>
          <xdr:row>250</xdr:row>
          <xdr:rowOff>104775</xdr:rowOff>
        </xdr:from>
        <xdr:to>
          <xdr:col>80</xdr:col>
          <xdr:colOff>733425</xdr:colOff>
          <xdr:row>251</xdr:row>
          <xdr:rowOff>228600</xdr:rowOff>
        </xdr:to>
        <xdr:sp macro="" textlink="">
          <xdr:nvSpPr>
            <xdr:cNvPr id="3379" name="Object 307" hidden="1">
              <a:extLst>
                <a:ext uri="{63B3BB69-23CF-44E3-9099-C40C66FF867C}">
                  <a14:compatExt spid="_x0000_s33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81</xdr:col>
          <xdr:colOff>304800</xdr:colOff>
          <xdr:row>250</xdr:row>
          <xdr:rowOff>85725</xdr:rowOff>
        </xdr:from>
        <xdr:to>
          <xdr:col>81</xdr:col>
          <xdr:colOff>733425</xdr:colOff>
          <xdr:row>251</xdr:row>
          <xdr:rowOff>161925</xdr:rowOff>
        </xdr:to>
        <xdr:sp macro="" textlink="">
          <xdr:nvSpPr>
            <xdr:cNvPr id="3380" name="Object 308" hidden="1">
              <a:extLst>
                <a:ext uri="{63B3BB69-23CF-44E3-9099-C40C66FF867C}">
                  <a14:compatExt spid="_x0000_s33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257175</xdr:colOff>
          <xdr:row>250</xdr:row>
          <xdr:rowOff>85725</xdr:rowOff>
        </xdr:from>
        <xdr:to>
          <xdr:col>82</xdr:col>
          <xdr:colOff>676275</xdr:colOff>
          <xdr:row>251</xdr:row>
          <xdr:rowOff>161925</xdr:rowOff>
        </xdr:to>
        <xdr:sp macro="" textlink="">
          <xdr:nvSpPr>
            <xdr:cNvPr id="3381" name="Object 309" hidden="1">
              <a:extLst>
                <a:ext uri="{63B3BB69-23CF-44E3-9099-C40C66FF867C}">
                  <a14:compatExt spid="_x0000_s33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83</xdr:col>
          <xdr:colOff>314325</xdr:colOff>
          <xdr:row>250</xdr:row>
          <xdr:rowOff>85725</xdr:rowOff>
        </xdr:from>
        <xdr:to>
          <xdr:col>83</xdr:col>
          <xdr:colOff>733425</xdr:colOff>
          <xdr:row>251</xdr:row>
          <xdr:rowOff>161925</xdr:rowOff>
        </xdr:to>
        <xdr:sp macro="" textlink="">
          <xdr:nvSpPr>
            <xdr:cNvPr id="3382" name="Object 310" hidden="1">
              <a:extLst>
                <a:ext uri="{63B3BB69-23CF-44E3-9099-C40C66FF867C}">
                  <a14:compatExt spid="_x0000_s33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295275</xdr:colOff>
          <xdr:row>250</xdr:row>
          <xdr:rowOff>104775</xdr:rowOff>
        </xdr:from>
        <xdr:to>
          <xdr:col>82</xdr:col>
          <xdr:colOff>733425</xdr:colOff>
          <xdr:row>251</xdr:row>
          <xdr:rowOff>228600</xdr:rowOff>
        </xdr:to>
        <xdr:sp macro="" textlink="">
          <xdr:nvSpPr>
            <xdr:cNvPr id="3383" name="Object 311" hidden="1">
              <a:extLst>
                <a:ext uri="{63B3BB69-23CF-44E3-9099-C40C66FF867C}">
                  <a14:compatExt spid="_x0000_s33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83</xdr:col>
          <xdr:colOff>304800</xdr:colOff>
          <xdr:row>250</xdr:row>
          <xdr:rowOff>85725</xdr:rowOff>
        </xdr:from>
        <xdr:to>
          <xdr:col>83</xdr:col>
          <xdr:colOff>733425</xdr:colOff>
          <xdr:row>251</xdr:row>
          <xdr:rowOff>161925</xdr:rowOff>
        </xdr:to>
        <xdr:sp macro="" textlink="">
          <xdr:nvSpPr>
            <xdr:cNvPr id="3384" name="Object 312" hidden="1">
              <a:extLst>
                <a:ext uri="{63B3BB69-23CF-44E3-9099-C40C66FF867C}">
                  <a14:compatExt spid="_x0000_s33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257175</xdr:colOff>
          <xdr:row>250</xdr:row>
          <xdr:rowOff>85725</xdr:rowOff>
        </xdr:from>
        <xdr:to>
          <xdr:col>84</xdr:col>
          <xdr:colOff>676275</xdr:colOff>
          <xdr:row>251</xdr:row>
          <xdr:rowOff>161925</xdr:rowOff>
        </xdr:to>
        <xdr:sp macro="" textlink="">
          <xdr:nvSpPr>
            <xdr:cNvPr id="3385" name="Object 313" hidden="1">
              <a:extLst>
                <a:ext uri="{63B3BB69-23CF-44E3-9099-C40C66FF867C}">
                  <a14:compatExt spid="_x0000_s33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85</xdr:col>
          <xdr:colOff>314325</xdr:colOff>
          <xdr:row>250</xdr:row>
          <xdr:rowOff>85725</xdr:rowOff>
        </xdr:from>
        <xdr:to>
          <xdr:col>85</xdr:col>
          <xdr:colOff>733425</xdr:colOff>
          <xdr:row>251</xdr:row>
          <xdr:rowOff>161925</xdr:rowOff>
        </xdr:to>
        <xdr:sp macro="" textlink="">
          <xdr:nvSpPr>
            <xdr:cNvPr id="3386" name="Object 314" hidden="1">
              <a:extLst>
                <a:ext uri="{63B3BB69-23CF-44E3-9099-C40C66FF867C}">
                  <a14:compatExt spid="_x0000_s3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295275</xdr:colOff>
          <xdr:row>250</xdr:row>
          <xdr:rowOff>104775</xdr:rowOff>
        </xdr:from>
        <xdr:to>
          <xdr:col>84</xdr:col>
          <xdr:colOff>733425</xdr:colOff>
          <xdr:row>251</xdr:row>
          <xdr:rowOff>228600</xdr:rowOff>
        </xdr:to>
        <xdr:sp macro="" textlink="">
          <xdr:nvSpPr>
            <xdr:cNvPr id="3387" name="Object 315" hidden="1">
              <a:extLst>
                <a:ext uri="{63B3BB69-23CF-44E3-9099-C40C66FF867C}">
                  <a14:compatExt spid="_x0000_s33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85</xdr:col>
          <xdr:colOff>304800</xdr:colOff>
          <xdr:row>250</xdr:row>
          <xdr:rowOff>85725</xdr:rowOff>
        </xdr:from>
        <xdr:to>
          <xdr:col>85</xdr:col>
          <xdr:colOff>733425</xdr:colOff>
          <xdr:row>251</xdr:row>
          <xdr:rowOff>161925</xdr:rowOff>
        </xdr:to>
        <xdr:sp macro="" textlink="">
          <xdr:nvSpPr>
            <xdr:cNvPr id="3388" name="Object 316" hidden="1">
              <a:extLst>
                <a:ext uri="{63B3BB69-23CF-44E3-9099-C40C66FF867C}">
                  <a14:compatExt spid="_x0000_s33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86</xdr:col>
          <xdr:colOff>257175</xdr:colOff>
          <xdr:row>250</xdr:row>
          <xdr:rowOff>85725</xdr:rowOff>
        </xdr:from>
        <xdr:to>
          <xdr:col>86</xdr:col>
          <xdr:colOff>676275</xdr:colOff>
          <xdr:row>251</xdr:row>
          <xdr:rowOff>161925</xdr:rowOff>
        </xdr:to>
        <xdr:sp macro="" textlink="">
          <xdr:nvSpPr>
            <xdr:cNvPr id="3389" name="Object 317" hidden="1">
              <a:extLst>
                <a:ext uri="{63B3BB69-23CF-44E3-9099-C40C66FF867C}">
                  <a14:compatExt spid="_x0000_s33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87</xdr:col>
          <xdr:colOff>314325</xdr:colOff>
          <xdr:row>250</xdr:row>
          <xdr:rowOff>85725</xdr:rowOff>
        </xdr:from>
        <xdr:to>
          <xdr:col>87</xdr:col>
          <xdr:colOff>733425</xdr:colOff>
          <xdr:row>251</xdr:row>
          <xdr:rowOff>161925</xdr:rowOff>
        </xdr:to>
        <xdr:sp macro="" textlink="">
          <xdr:nvSpPr>
            <xdr:cNvPr id="3390" name="Object 318" hidden="1">
              <a:extLst>
                <a:ext uri="{63B3BB69-23CF-44E3-9099-C40C66FF867C}">
                  <a14:compatExt spid="_x0000_s33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86</xdr:col>
          <xdr:colOff>295275</xdr:colOff>
          <xdr:row>250</xdr:row>
          <xdr:rowOff>104775</xdr:rowOff>
        </xdr:from>
        <xdr:to>
          <xdr:col>86</xdr:col>
          <xdr:colOff>733425</xdr:colOff>
          <xdr:row>251</xdr:row>
          <xdr:rowOff>228600</xdr:rowOff>
        </xdr:to>
        <xdr:sp macro="" textlink="">
          <xdr:nvSpPr>
            <xdr:cNvPr id="3391" name="Object 319" hidden="1">
              <a:extLst>
                <a:ext uri="{63B3BB69-23CF-44E3-9099-C40C66FF867C}">
                  <a14:compatExt spid="_x0000_s33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87</xdr:col>
          <xdr:colOff>304800</xdr:colOff>
          <xdr:row>250</xdr:row>
          <xdr:rowOff>85725</xdr:rowOff>
        </xdr:from>
        <xdr:to>
          <xdr:col>87</xdr:col>
          <xdr:colOff>733425</xdr:colOff>
          <xdr:row>251</xdr:row>
          <xdr:rowOff>161925</xdr:rowOff>
        </xdr:to>
        <xdr:sp macro="" textlink="">
          <xdr:nvSpPr>
            <xdr:cNvPr id="3392" name="Object 320" hidden="1">
              <a:extLst>
                <a:ext uri="{63B3BB69-23CF-44E3-9099-C40C66FF867C}">
                  <a14:compatExt spid="_x0000_s33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88</xdr:col>
          <xdr:colOff>257175</xdr:colOff>
          <xdr:row>250</xdr:row>
          <xdr:rowOff>85725</xdr:rowOff>
        </xdr:from>
        <xdr:to>
          <xdr:col>88</xdr:col>
          <xdr:colOff>676275</xdr:colOff>
          <xdr:row>251</xdr:row>
          <xdr:rowOff>161925</xdr:rowOff>
        </xdr:to>
        <xdr:sp macro="" textlink="">
          <xdr:nvSpPr>
            <xdr:cNvPr id="3393" name="Object 321" hidden="1">
              <a:extLst>
                <a:ext uri="{63B3BB69-23CF-44E3-9099-C40C66FF867C}">
                  <a14:compatExt spid="_x0000_s3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</xdr:col>
          <xdr:colOff>314325</xdr:colOff>
          <xdr:row>250</xdr:row>
          <xdr:rowOff>85725</xdr:rowOff>
        </xdr:from>
        <xdr:to>
          <xdr:col>89</xdr:col>
          <xdr:colOff>733425</xdr:colOff>
          <xdr:row>251</xdr:row>
          <xdr:rowOff>161925</xdr:rowOff>
        </xdr:to>
        <xdr:sp macro="" textlink="">
          <xdr:nvSpPr>
            <xdr:cNvPr id="3394" name="Object 322" hidden="1">
              <a:extLst>
                <a:ext uri="{63B3BB69-23CF-44E3-9099-C40C66FF867C}">
                  <a14:compatExt spid="_x0000_s33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88</xdr:col>
          <xdr:colOff>295275</xdr:colOff>
          <xdr:row>250</xdr:row>
          <xdr:rowOff>104775</xdr:rowOff>
        </xdr:from>
        <xdr:to>
          <xdr:col>88</xdr:col>
          <xdr:colOff>733425</xdr:colOff>
          <xdr:row>251</xdr:row>
          <xdr:rowOff>228600</xdr:rowOff>
        </xdr:to>
        <xdr:sp macro="" textlink="">
          <xdr:nvSpPr>
            <xdr:cNvPr id="3395" name="Object 323" hidden="1">
              <a:extLst>
                <a:ext uri="{63B3BB69-23CF-44E3-9099-C40C66FF867C}">
                  <a14:compatExt spid="_x0000_s33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</xdr:col>
          <xdr:colOff>304800</xdr:colOff>
          <xdr:row>250</xdr:row>
          <xdr:rowOff>85725</xdr:rowOff>
        </xdr:from>
        <xdr:to>
          <xdr:col>89</xdr:col>
          <xdr:colOff>733425</xdr:colOff>
          <xdr:row>251</xdr:row>
          <xdr:rowOff>161925</xdr:rowOff>
        </xdr:to>
        <xdr:sp macro="" textlink="">
          <xdr:nvSpPr>
            <xdr:cNvPr id="3396" name="Object 324" hidden="1">
              <a:extLst>
                <a:ext uri="{63B3BB69-23CF-44E3-9099-C40C66FF867C}">
                  <a14:compatExt spid="_x0000_s33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428625</xdr:colOff>
          <xdr:row>171</xdr:row>
          <xdr:rowOff>152400</xdr:rowOff>
        </xdr:from>
        <xdr:to>
          <xdr:col>28</xdr:col>
          <xdr:colOff>609600</xdr:colOff>
          <xdr:row>172</xdr:row>
          <xdr:rowOff>114300</xdr:rowOff>
        </xdr:to>
        <xdr:sp macro="" textlink="">
          <xdr:nvSpPr>
            <xdr:cNvPr id="3397" name="Object 325" hidden="1">
              <a:extLst>
                <a:ext uri="{63B3BB69-23CF-44E3-9099-C40C66FF867C}">
                  <a14:compatExt spid="_x0000_s33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257175</xdr:colOff>
          <xdr:row>171</xdr:row>
          <xdr:rowOff>85725</xdr:rowOff>
        </xdr:from>
        <xdr:to>
          <xdr:col>29</xdr:col>
          <xdr:colOff>647700</xdr:colOff>
          <xdr:row>172</xdr:row>
          <xdr:rowOff>180975</xdr:rowOff>
        </xdr:to>
        <xdr:sp macro="" textlink="">
          <xdr:nvSpPr>
            <xdr:cNvPr id="3398" name="Object 326" hidden="1">
              <a:extLst>
                <a:ext uri="{63B3BB69-23CF-44E3-9099-C40C66FF867C}">
                  <a14:compatExt spid="_x0000_s33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295275</xdr:colOff>
          <xdr:row>174</xdr:row>
          <xdr:rowOff>104775</xdr:rowOff>
        </xdr:from>
        <xdr:to>
          <xdr:col>28</xdr:col>
          <xdr:colOff>714375</xdr:colOff>
          <xdr:row>175</xdr:row>
          <xdr:rowOff>200025</xdr:rowOff>
        </xdr:to>
        <xdr:sp macro="" textlink="">
          <xdr:nvSpPr>
            <xdr:cNvPr id="3399" name="Object 327" hidden="1">
              <a:extLst>
                <a:ext uri="{63B3BB69-23CF-44E3-9099-C40C66FF867C}">
                  <a14:compatExt spid="_x0000_s33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295275</xdr:colOff>
          <xdr:row>174</xdr:row>
          <xdr:rowOff>104775</xdr:rowOff>
        </xdr:from>
        <xdr:to>
          <xdr:col>29</xdr:col>
          <xdr:colOff>714375</xdr:colOff>
          <xdr:row>175</xdr:row>
          <xdr:rowOff>200025</xdr:rowOff>
        </xdr:to>
        <xdr:sp macro="" textlink="">
          <xdr:nvSpPr>
            <xdr:cNvPr id="3400" name="Object 328" hidden="1">
              <a:extLst>
                <a:ext uri="{63B3BB69-23CF-44E3-9099-C40C66FF867C}">
                  <a14:compatExt spid="_x0000_s34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314325</xdr:colOff>
          <xdr:row>171</xdr:row>
          <xdr:rowOff>85725</xdr:rowOff>
        </xdr:from>
        <xdr:to>
          <xdr:col>30</xdr:col>
          <xdr:colOff>733425</xdr:colOff>
          <xdr:row>172</xdr:row>
          <xdr:rowOff>180975</xdr:rowOff>
        </xdr:to>
        <xdr:sp macro="" textlink="">
          <xdr:nvSpPr>
            <xdr:cNvPr id="3401" name="Object 329" hidden="1">
              <a:extLst>
                <a:ext uri="{63B3BB69-23CF-44E3-9099-C40C66FF867C}">
                  <a14:compatExt spid="_x0000_s34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304800</xdr:colOff>
          <xdr:row>174</xdr:row>
          <xdr:rowOff>85725</xdr:rowOff>
        </xdr:from>
        <xdr:to>
          <xdr:col>30</xdr:col>
          <xdr:colOff>714375</xdr:colOff>
          <xdr:row>175</xdr:row>
          <xdr:rowOff>180975</xdr:rowOff>
        </xdr:to>
        <xdr:sp macro="" textlink="">
          <xdr:nvSpPr>
            <xdr:cNvPr id="3402" name="Object 330" hidden="1">
              <a:extLst>
                <a:ext uri="{63B3BB69-23CF-44E3-9099-C40C66FF867C}">
                  <a14:compatExt spid="_x0000_s34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304800</xdr:colOff>
          <xdr:row>174</xdr:row>
          <xdr:rowOff>76200</xdr:rowOff>
        </xdr:from>
        <xdr:to>
          <xdr:col>33</xdr:col>
          <xdr:colOff>714375</xdr:colOff>
          <xdr:row>175</xdr:row>
          <xdr:rowOff>161925</xdr:rowOff>
        </xdr:to>
        <xdr:sp macro="" textlink="">
          <xdr:nvSpPr>
            <xdr:cNvPr id="3403" name="Object 331" hidden="1">
              <a:extLst>
                <a:ext uri="{63B3BB69-23CF-44E3-9099-C40C66FF867C}">
                  <a14:compatExt spid="_x0000_s34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304800</xdr:colOff>
          <xdr:row>238</xdr:row>
          <xdr:rowOff>76200</xdr:rowOff>
        </xdr:from>
        <xdr:to>
          <xdr:col>29</xdr:col>
          <xdr:colOff>714375</xdr:colOff>
          <xdr:row>239</xdr:row>
          <xdr:rowOff>161925</xdr:rowOff>
        </xdr:to>
        <xdr:sp macro="" textlink="">
          <xdr:nvSpPr>
            <xdr:cNvPr id="3404" name="Object 332" hidden="1">
              <a:extLst>
                <a:ext uri="{63B3BB69-23CF-44E3-9099-C40C66FF867C}">
                  <a14:compatExt spid="_x0000_s34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428625</xdr:colOff>
          <xdr:row>183</xdr:row>
          <xdr:rowOff>152400</xdr:rowOff>
        </xdr:from>
        <xdr:to>
          <xdr:col>2</xdr:col>
          <xdr:colOff>609600</xdr:colOff>
          <xdr:row>184</xdr:row>
          <xdr:rowOff>104775</xdr:rowOff>
        </xdr:to>
        <xdr:sp macro="" textlink="">
          <xdr:nvSpPr>
            <xdr:cNvPr id="3405" name="Object 333" hidden="1">
              <a:extLst>
                <a:ext uri="{63B3BB69-23CF-44E3-9099-C40C66FF867C}">
                  <a14:compatExt spid="_x0000_s34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257175</xdr:colOff>
          <xdr:row>183</xdr:row>
          <xdr:rowOff>85725</xdr:rowOff>
        </xdr:from>
        <xdr:to>
          <xdr:col>3</xdr:col>
          <xdr:colOff>676275</xdr:colOff>
          <xdr:row>184</xdr:row>
          <xdr:rowOff>161925</xdr:rowOff>
        </xdr:to>
        <xdr:sp macro="" textlink="">
          <xdr:nvSpPr>
            <xdr:cNvPr id="3406" name="Object 334" hidden="1">
              <a:extLst>
                <a:ext uri="{63B3BB69-23CF-44E3-9099-C40C66FF867C}">
                  <a14:compatExt spid="_x0000_s34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295275</xdr:colOff>
          <xdr:row>186</xdr:row>
          <xdr:rowOff>104775</xdr:rowOff>
        </xdr:from>
        <xdr:to>
          <xdr:col>2</xdr:col>
          <xdr:colOff>733425</xdr:colOff>
          <xdr:row>187</xdr:row>
          <xdr:rowOff>228600</xdr:rowOff>
        </xdr:to>
        <xdr:sp macro="" textlink="">
          <xdr:nvSpPr>
            <xdr:cNvPr id="3407" name="Object 335" hidden="1">
              <a:extLst>
                <a:ext uri="{63B3BB69-23CF-44E3-9099-C40C66FF867C}">
                  <a14:compatExt spid="_x0000_s34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295275</xdr:colOff>
          <xdr:row>186</xdr:row>
          <xdr:rowOff>104775</xdr:rowOff>
        </xdr:from>
        <xdr:to>
          <xdr:col>3</xdr:col>
          <xdr:colOff>733425</xdr:colOff>
          <xdr:row>187</xdr:row>
          <xdr:rowOff>228600</xdr:rowOff>
        </xdr:to>
        <xdr:sp macro="" textlink="">
          <xdr:nvSpPr>
            <xdr:cNvPr id="3408" name="Object 336" hidden="1">
              <a:extLst>
                <a:ext uri="{63B3BB69-23CF-44E3-9099-C40C66FF867C}">
                  <a14:compatExt spid="_x0000_s34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183</xdr:row>
          <xdr:rowOff>85725</xdr:rowOff>
        </xdr:from>
        <xdr:to>
          <xdr:col>4</xdr:col>
          <xdr:colOff>733425</xdr:colOff>
          <xdr:row>184</xdr:row>
          <xdr:rowOff>161925</xdr:rowOff>
        </xdr:to>
        <xdr:sp macro="" textlink="">
          <xdr:nvSpPr>
            <xdr:cNvPr id="3409" name="Object 337" hidden="1">
              <a:extLst>
                <a:ext uri="{63B3BB69-23CF-44E3-9099-C40C66FF867C}">
                  <a14:compatExt spid="_x0000_s34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186</xdr:row>
          <xdr:rowOff>85725</xdr:rowOff>
        </xdr:from>
        <xdr:to>
          <xdr:col>4</xdr:col>
          <xdr:colOff>733425</xdr:colOff>
          <xdr:row>187</xdr:row>
          <xdr:rowOff>161925</xdr:rowOff>
        </xdr:to>
        <xdr:sp macro="" textlink="">
          <xdr:nvSpPr>
            <xdr:cNvPr id="3410" name="Object 338" hidden="1">
              <a:extLst>
                <a:ext uri="{63B3BB69-23CF-44E3-9099-C40C66FF867C}">
                  <a14:compatExt spid="_x0000_s34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304800</xdr:colOff>
          <xdr:row>186</xdr:row>
          <xdr:rowOff>76200</xdr:rowOff>
        </xdr:from>
        <xdr:to>
          <xdr:col>7</xdr:col>
          <xdr:colOff>733425</xdr:colOff>
          <xdr:row>187</xdr:row>
          <xdr:rowOff>161925</xdr:rowOff>
        </xdr:to>
        <xdr:sp macro="" textlink="">
          <xdr:nvSpPr>
            <xdr:cNvPr id="3411" name="Object 339" hidden="1">
              <a:extLst>
                <a:ext uri="{63B3BB69-23CF-44E3-9099-C40C66FF867C}">
                  <a14:compatExt spid="_x0000_s34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428625</xdr:colOff>
          <xdr:row>183</xdr:row>
          <xdr:rowOff>152400</xdr:rowOff>
        </xdr:from>
        <xdr:to>
          <xdr:col>13</xdr:col>
          <xdr:colOff>609600</xdr:colOff>
          <xdr:row>184</xdr:row>
          <xdr:rowOff>104775</xdr:rowOff>
        </xdr:to>
        <xdr:sp macro="" textlink="">
          <xdr:nvSpPr>
            <xdr:cNvPr id="3412" name="Object 340" hidden="1">
              <a:extLst>
                <a:ext uri="{63B3BB69-23CF-44E3-9099-C40C66FF867C}">
                  <a14:compatExt spid="_x0000_s34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257175</xdr:colOff>
          <xdr:row>183</xdr:row>
          <xdr:rowOff>85725</xdr:rowOff>
        </xdr:from>
        <xdr:to>
          <xdr:col>14</xdr:col>
          <xdr:colOff>676275</xdr:colOff>
          <xdr:row>184</xdr:row>
          <xdr:rowOff>161925</xdr:rowOff>
        </xdr:to>
        <xdr:sp macro="" textlink="">
          <xdr:nvSpPr>
            <xdr:cNvPr id="3413" name="Object 341" hidden="1">
              <a:extLst>
                <a:ext uri="{63B3BB69-23CF-44E3-9099-C40C66FF867C}">
                  <a14:compatExt spid="_x0000_s34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295275</xdr:colOff>
          <xdr:row>186</xdr:row>
          <xdr:rowOff>104775</xdr:rowOff>
        </xdr:from>
        <xdr:to>
          <xdr:col>13</xdr:col>
          <xdr:colOff>733425</xdr:colOff>
          <xdr:row>187</xdr:row>
          <xdr:rowOff>228600</xdr:rowOff>
        </xdr:to>
        <xdr:sp macro="" textlink="">
          <xdr:nvSpPr>
            <xdr:cNvPr id="3414" name="Object 342" hidden="1">
              <a:extLst>
                <a:ext uri="{63B3BB69-23CF-44E3-9099-C40C66FF867C}">
                  <a14:compatExt spid="_x0000_s3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295275</xdr:colOff>
          <xdr:row>186</xdr:row>
          <xdr:rowOff>104775</xdr:rowOff>
        </xdr:from>
        <xdr:to>
          <xdr:col>14</xdr:col>
          <xdr:colOff>733425</xdr:colOff>
          <xdr:row>187</xdr:row>
          <xdr:rowOff>228600</xdr:rowOff>
        </xdr:to>
        <xdr:sp macro="" textlink="">
          <xdr:nvSpPr>
            <xdr:cNvPr id="3415" name="Object 343" hidden="1">
              <a:extLst>
                <a:ext uri="{63B3BB69-23CF-44E3-9099-C40C66FF867C}">
                  <a14:compatExt spid="_x0000_s34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314325</xdr:colOff>
          <xdr:row>183</xdr:row>
          <xdr:rowOff>85725</xdr:rowOff>
        </xdr:from>
        <xdr:to>
          <xdr:col>15</xdr:col>
          <xdr:colOff>733425</xdr:colOff>
          <xdr:row>184</xdr:row>
          <xdr:rowOff>161925</xdr:rowOff>
        </xdr:to>
        <xdr:sp macro="" textlink="">
          <xdr:nvSpPr>
            <xdr:cNvPr id="3416" name="Object 344" hidden="1">
              <a:extLst>
                <a:ext uri="{63B3BB69-23CF-44E3-9099-C40C66FF867C}">
                  <a14:compatExt spid="_x0000_s34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304800</xdr:colOff>
          <xdr:row>186</xdr:row>
          <xdr:rowOff>85725</xdr:rowOff>
        </xdr:from>
        <xdr:to>
          <xdr:col>15</xdr:col>
          <xdr:colOff>733425</xdr:colOff>
          <xdr:row>187</xdr:row>
          <xdr:rowOff>161925</xdr:rowOff>
        </xdr:to>
        <xdr:sp macro="" textlink="">
          <xdr:nvSpPr>
            <xdr:cNvPr id="3417" name="Object 345" hidden="1">
              <a:extLst>
                <a:ext uri="{63B3BB69-23CF-44E3-9099-C40C66FF867C}">
                  <a14:compatExt spid="_x0000_s3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304800</xdr:colOff>
          <xdr:row>186</xdr:row>
          <xdr:rowOff>76200</xdr:rowOff>
        </xdr:from>
        <xdr:to>
          <xdr:col>18</xdr:col>
          <xdr:colOff>733425</xdr:colOff>
          <xdr:row>187</xdr:row>
          <xdr:rowOff>161925</xdr:rowOff>
        </xdr:to>
        <xdr:sp macro="" textlink="">
          <xdr:nvSpPr>
            <xdr:cNvPr id="3418" name="Object 346" hidden="1">
              <a:extLst>
                <a:ext uri="{63B3BB69-23CF-44E3-9099-C40C66FF867C}">
                  <a14:compatExt spid="_x0000_s34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428625</xdr:colOff>
          <xdr:row>203</xdr:row>
          <xdr:rowOff>152400</xdr:rowOff>
        </xdr:from>
        <xdr:to>
          <xdr:col>2</xdr:col>
          <xdr:colOff>609600</xdr:colOff>
          <xdr:row>204</xdr:row>
          <xdr:rowOff>104775</xdr:rowOff>
        </xdr:to>
        <xdr:sp macro="" textlink="">
          <xdr:nvSpPr>
            <xdr:cNvPr id="3419" name="Object 347" hidden="1">
              <a:extLst>
                <a:ext uri="{63B3BB69-23CF-44E3-9099-C40C66FF867C}">
                  <a14:compatExt spid="_x0000_s34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257175</xdr:colOff>
          <xdr:row>203</xdr:row>
          <xdr:rowOff>85725</xdr:rowOff>
        </xdr:from>
        <xdr:to>
          <xdr:col>3</xdr:col>
          <xdr:colOff>676275</xdr:colOff>
          <xdr:row>204</xdr:row>
          <xdr:rowOff>161925</xdr:rowOff>
        </xdr:to>
        <xdr:sp macro="" textlink="">
          <xdr:nvSpPr>
            <xdr:cNvPr id="3420" name="Object 348" hidden="1">
              <a:extLst>
                <a:ext uri="{63B3BB69-23CF-44E3-9099-C40C66FF867C}">
                  <a14:compatExt spid="_x0000_s34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295275</xdr:colOff>
          <xdr:row>206</xdr:row>
          <xdr:rowOff>104775</xdr:rowOff>
        </xdr:from>
        <xdr:to>
          <xdr:col>2</xdr:col>
          <xdr:colOff>733425</xdr:colOff>
          <xdr:row>207</xdr:row>
          <xdr:rowOff>228600</xdr:rowOff>
        </xdr:to>
        <xdr:sp macro="" textlink="">
          <xdr:nvSpPr>
            <xdr:cNvPr id="3421" name="Object 349" hidden="1">
              <a:extLst>
                <a:ext uri="{63B3BB69-23CF-44E3-9099-C40C66FF867C}">
                  <a14:compatExt spid="_x0000_s34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295275</xdr:colOff>
          <xdr:row>206</xdr:row>
          <xdr:rowOff>104775</xdr:rowOff>
        </xdr:from>
        <xdr:to>
          <xdr:col>3</xdr:col>
          <xdr:colOff>733425</xdr:colOff>
          <xdr:row>207</xdr:row>
          <xdr:rowOff>228600</xdr:rowOff>
        </xdr:to>
        <xdr:sp macro="" textlink="">
          <xdr:nvSpPr>
            <xdr:cNvPr id="3422" name="Object 350" hidden="1">
              <a:extLst>
                <a:ext uri="{63B3BB69-23CF-44E3-9099-C40C66FF867C}">
                  <a14:compatExt spid="_x0000_s34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203</xdr:row>
          <xdr:rowOff>85725</xdr:rowOff>
        </xdr:from>
        <xdr:to>
          <xdr:col>4</xdr:col>
          <xdr:colOff>733425</xdr:colOff>
          <xdr:row>204</xdr:row>
          <xdr:rowOff>161925</xdr:rowOff>
        </xdr:to>
        <xdr:sp macro="" textlink="">
          <xdr:nvSpPr>
            <xdr:cNvPr id="3423" name="Object 351" hidden="1">
              <a:extLst>
                <a:ext uri="{63B3BB69-23CF-44E3-9099-C40C66FF867C}">
                  <a14:compatExt spid="_x0000_s34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206</xdr:row>
          <xdr:rowOff>85725</xdr:rowOff>
        </xdr:from>
        <xdr:to>
          <xdr:col>4</xdr:col>
          <xdr:colOff>733425</xdr:colOff>
          <xdr:row>207</xdr:row>
          <xdr:rowOff>161925</xdr:rowOff>
        </xdr:to>
        <xdr:sp macro="" textlink="">
          <xdr:nvSpPr>
            <xdr:cNvPr id="3424" name="Object 352" hidden="1">
              <a:extLst>
                <a:ext uri="{63B3BB69-23CF-44E3-9099-C40C66FF867C}">
                  <a14:compatExt spid="_x0000_s34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304800</xdr:colOff>
          <xdr:row>206</xdr:row>
          <xdr:rowOff>76200</xdr:rowOff>
        </xdr:from>
        <xdr:to>
          <xdr:col>7</xdr:col>
          <xdr:colOff>733425</xdr:colOff>
          <xdr:row>207</xdr:row>
          <xdr:rowOff>161925</xdr:rowOff>
        </xdr:to>
        <xdr:sp macro="" textlink="">
          <xdr:nvSpPr>
            <xdr:cNvPr id="3425" name="Object 353" hidden="1">
              <a:extLst>
                <a:ext uri="{63B3BB69-23CF-44E3-9099-C40C66FF867C}">
                  <a14:compatExt spid="_x0000_s34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428625</xdr:colOff>
          <xdr:row>203</xdr:row>
          <xdr:rowOff>152400</xdr:rowOff>
        </xdr:from>
        <xdr:to>
          <xdr:col>13</xdr:col>
          <xdr:colOff>609600</xdr:colOff>
          <xdr:row>204</xdr:row>
          <xdr:rowOff>104775</xdr:rowOff>
        </xdr:to>
        <xdr:sp macro="" textlink="">
          <xdr:nvSpPr>
            <xdr:cNvPr id="3426" name="Object 354" hidden="1">
              <a:extLst>
                <a:ext uri="{63B3BB69-23CF-44E3-9099-C40C66FF867C}">
                  <a14:compatExt spid="_x0000_s34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257175</xdr:colOff>
          <xdr:row>203</xdr:row>
          <xdr:rowOff>85725</xdr:rowOff>
        </xdr:from>
        <xdr:to>
          <xdr:col>14</xdr:col>
          <xdr:colOff>676275</xdr:colOff>
          <xdr:row>204</xdr:row>
          <xdr:rowOff>161925</xdr:rowOff>
        </xdr:to>
        <xdr:sp macro="" textlink="">
          <xdr:nvSpPr>
            <xdr:cNvPr id="3427" name="Object 355" hidden="1">
              <a:extLst>
                <a:ext uri="{63B3BB69-23CF-44E3-9099-C40C66FF867C}">
                  <a14:compatExt spid="_x0000_s34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295275</xdr:colOff>
          <xdr:row>206</xdr:row>
          <xdr:rowOff>104775</xdr:rowOff>
        </xdr:from>
        <xdr:to>
          <xdr:col>13</xdr:col>
          <xdr:colOff>733425</xdr:colOff>
          <xdr:row>207</xdr:row>
          <xdr:rowOff>228600</xdr:rowOff>
        </xdr:to>
        <xdr:sp macro="" textlink="">
          <xdr:nvSpPr>
            <xdr:cNvPr id="3428" name="Object 356" hidden="1">
              <a:extLst>
                <a:ext uri="{63B3BB69-23CF-44E3-9099-C40C66FF867C}">
                  <a14:compatExt spid="_x0000_s34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295275</xdr:colOff>
          <xdr:row>206</xdr:row>
          <xdr:rowOff>104775</xdr:rowOff>
        </xdr:from>
        <xdr:to>
          <xdr:col>14</xdr:col>
          <xdr:colOff>733425</xdr:colOff>
          <xdr:row>207</xdr:row>
          <xdr:rowOff>228600</xdr:rowOff>
        </xdr:to>
        <xdr:sp macro="" textlink="">
          <xdr:nvSpPr>
            <xdr:cNvPr id="3429" name="Object 357" hidden="1">
              <a:extLst>
                <a:ext uri="{63B3BB69-23CF-44E3-9099-C40C66FF867C}">
                  <a14:compatExt spid="_x0000_s34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314325</xdr:colOff>
          <xdr:row>203</xdr:row>
          <xdr:rowOff>85725</xdr:rowOff>
        </xdr:from>
        <xdr:to>
          <xdr:col>15</xdr:col>
          <xdr:colOff>733425</xdr:colOff>
          <xdr:row>204</xdr:row>
          <xdr:rowOff>161925</xdr:rowOff>
        </xdr:to>
        <xdr:sp macro="" textlink="">
          <xdr:nvSpPr>
            <xdr:cNvPr id="3430" name="Object 358" hidden="1">
              <a:extLst>
                <a:ext uri="{63B3BB69-23CF-44E3-9099-C40C66FF867C}">
                  <a14:compatExt spid="_x0000_s34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304800</xdr:colOff>
          <xdr:row>206</xdr:row>
          <xdr:rowOff>85725</xdr:rowOff>
        </xdr:from>
        <xdr:to>
          <xdr:col>15</xdr:col>
          <xdr:colOff>733425</xdr:colOff>
          <xdr:row>207</xdr:row>
          <xdr:rowOff>161925</xdr:rowOff>
        </xdr:to>
        <xdr:sp macro="" textlink="">
          <xdr:nvSpPr>
            <xdr:cNvPr id="3431" name="Object 359" hidden="1">
              <a:extLst>
                <a:ext uri="{63B3BB69-23CF-44E3-9099-C40C66FF867C}">
                  <a14:compatExt spid="_x0000_s34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304800</xdr:colOff>
          <xdr:row>206</xdr:row>
          <xdr:rowOff>76200</xdr:rowOff>
        </xdr:from>
        <xdr:to>
          <xdr:col>18</xdr:col>
          <xdr:colOff>733425</xdr:colOff>
          <xdr:row>207</xdr:row>
          <xdr:rowOff>161925</xdr:rowOff>
        </xdr:to>
        <xdr:sp macro="" textlink="">
          <xdr:nvSpPr>
            <xdr:cNvPr id="3432" name="Object 360" hidden="1">
              <a:extLst>
                <a:ext uri="{63B3BB69-23CF-44E3-9099-C40C66FF867C}">
                  <a14:compatExt spid="_x0000_s34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428625</xdr:colOff>
          <xdr:row>223</xdr:row>
          <xdr:rowOff>152400</xdr:rowOff>
        </xdr:from>
        <xdr:to>
          <xdr:col>2</xdr:col>
          <xdr:colOff>609600</xdr:colOff>
          <xdr:row>224</xdr:row>
          <xdr:rowOff>104775</xdr:rowOff>
        </xdr:to>
        <xdr:sp macro="" textlink="">
          <xdr:nvSpPr>
            <xdr:cNvPr id="3433" name="Object 361" hidden="1">
              <a:extLst>
                <a:ext uri="{63B3BB69-23CF-44E3-9099-C40C66FF867C}">
                  <a14:compatExt spid="_x0000_s34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257175</xdr:colOff>
          <xdr:row>223</xdr:row>
          <xdr:rowOff>85725</xdr:rowOff>
        </xdr:from>
        <xdr:to>
          <xdr:col>3</xdr:col>
          <xdr:colOff>676275</xdr:colOff>
          <xdr:row>224</xdr:row>
          <xdr:rowOff>161925</xdr:rowOff>
        </xdr:to>
        <xdr:sp macro="" textlink="">
          <xdr:nvSpPr>
            <xdr:cNvPr id="3434" name="Object 362" hidden="1">
              <a:extLst>
                <a:ext uri="{63B3BB69-23CF-44E3-9099-C40C66FF867C}">
                  <a14:compatExt spid="_x0000_s34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295275</xdr:colOff>
          <xdr:row>226</xdr:row>
          <xdr:rowOff>104775</xdr:rowOff>
        </xdr:from>
        <xdr:to>
          <xdr:col>2</xdr:col>
          <xdr:colOff>733425</xdr:colOff>
          <xdr:row>227</xdr:row>
          <xdr:rowOff>228600</xdr:rowOff>
        </xdr:to>
        <xdr:sp macro="" textlink="">
          <xdr:nvSpPr>
            <xdr:cNvPr id="3435" name="Object 363" hidden="1">
              <a:extLst>
                <a:ext uri="{63B3BB69-23CF-44E3-9099-C40C66FF867C}">
                  <a14:compatExt spid="_x0000_s34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295275</xdr:colOff>
          <xdr:row>226</xdr:row>
          <xdr:rowOff>104775</xdr:rowOff>
        </xdr:from>
        <xdr:to>
          <xdr:col>3</xdr:col>
          <xdr:colOff>733425</xdr:colOff>
          <xdr:row>227</xdr:row>
          <xdr:rowOff>228600</xdr:rowOff>
        </xdr:to>
        <xdr:sp macro="" textlink="">
          <xdr:nvSpPr>
            <xdr:cNvPr id="3436" name="Object 364" hidden="1">
              <a:extLst>
                <a:ext uri="{63B3BB69-23CF-44E3-9099-C40C66FF867C}">
                  <a14:compatExt spid="_x0000_s34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223</xdr:row>
          <xdr:rowOff>85725</xdr:rowOff>
        </xdr:from>
        <xdr:to>
          <xdr:col>4</xdr:col>
          <xdr:colOff>733425</xdr:colOff>
          <xdr:row>224</xdr:row>
          <xdr:rowOff>161925</xdr:rowOff>
        </xdr:to>
        <xdr:sp macro="" textlink="">
          <xdr:nvSpPr>
            <xdr:cNvPr id="3437" name="Object 365" hidden="1">
              <a:extLst>
                <a:ext uri="{63B3BB69-23CF-44E3-9099-C40C66FF867C}">
                  <a14:compatExt spid="_x0000_s34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226</xdr:row>
          <xdr:rowOff>85725</xdr:rowOff>
        </xdr:from>
        <xdr:to>
          <xdr:col>4</xdr:col>
          <xdr:colOff>733425</xdr:colOff>
          <xdr:row>227</xdr:row>
          <xdr:rowOff>161925</xdr:rowOff>
        </xdr:to>
        <xdr:sp macro="" textlink="">
          <xdr:nvSpPr>
            <xdr:cNvPr id="3438" name="Object 366" hidden="1">
              <a:extLst>
                <a:ext uri="{63B3BB69-23CF-44E3-9099-C40C66FF867C}">
                  <a14:compatExt spid="_x0000_s34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304800</xdr:colOff>
          <xdr:row>226</xdr:row>
          <xdr:rowOff>76200</xdr:rowOff>
        </xdr:from>
        <xdr:to>
          <xdr:col>7</xdr:col>
          <xdr:colOff>733425</xdr:colOff>
          <xdr:row>227</xdr:row>
          <xdr:rowOff>161925</xdr:rowOff>
        </xdr:to>
        <xdr:sp macro="" textlink="">
          <xdr:nvSpPr>
            <xdr:cNvPr id="3439" name="Object 367" hidden="1">
              <a:extLst>
                <a:ext uri="{63B3BB69-23CF-44E3-9099-C40C66FF867C}">
                  <a14:compatExt spid="_x0000_s34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428625</xdr:colOff>
          <xdr:row>223</xdr:row>
          <xdr:rowOff>152400</xdr:rowOff>
        </xdr:from>
        <xdr:to>
          <xdr:col>13</xdr:col>
          <xdr:colOff>609600</xdr:colOff>
          <xdr:row>224</xdr:row>
          <xdr:rowOff>104775</xdr:rowOff>
        </xdr:to>
        <xdr:sp macro="" textlink="">
          <xdr:nvSpPr>
            <xdr:cNvPr id="3440" name="Object 368" hidden="1">
              <a:extLst>
                <a:ext uri="{63B3BB69-23CF-44E3-9099-C40C66FF867C}">
                  <a14:compatExt spid="_x0000_s34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257175</xdr:colOff>
          <xdr:row>223</xdr:row>
          <xdr:rowOff>85725</xdr:rowOff>
        </xdr:from>
        <xdr:to>
          <xdr:col>14</xdr:col>
          <xdr:colOff>676275</xdr:colOff>
          <xdr:row>224</xdr:row>
          <xdr:rowOff>161925</xdr:rowOff>
        </xdr:to>
        <xdr:sp macro="" textlink="">
          <xdr:nvSpPr>
            <xdr:cNvPr id="3441" name="Object 369" hidden="1">
              <a:extLst>
                <a:ext uri="{63B3BB69-23CF-44E3-9099-C40C66FF867C}">
                  <a14:compatExt spid="_x0000_s3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295275</xdr:colOff>
          <xdr:row>226</xdr:row>
          <xdr:rowOff>104775</xdr:rowOff>
        </xdr:from>
        <xdr:to>
          <xdr:col>13</xdr:col>
          <xdr:colOff>733425</xdr:colOff>
          <xdr:row>227</xdr:row>
          <xdr:rowOff>228600</xdr:rowOff>
        </xdr:to>
        <xdr:sp macro="" textlink="">
          <xdr:nvSpPr>
            <xdr:cNvPr id="3442" name="Object 370" hidden="1">
              <a:extLst>
                <a:ext uri="{63B3BB69-23CF-44E3-9099-C40C66FF867C}">
                  <a14:compatExt spid="_x0000_s3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295275</xdr:colOff>
          <xdr:row>226</xdr:row>
          <xdr:rowOff>104775</xdr:rowOff>
        </xdr:from>
        <xdr:to>
          <xdr:col>14</xdr:col>
          <xdr:colOff>733425</xdr:colOff>
          <xdr:row>227</xdr:row>
          <xdr:rowOff>228600</xdr:rowOff>
        </xdr:to>
        <xdr:sp macro="" textlink="">
          <xdr:nvSpPr>
            <xdr:cNvPr id="3443" name="Object 371" hidden="1">
              <a:extLst>
                <a:ext uri="{63B3BB69-23CF-44E3-9099-C40C66FF867C}">
                  <a14:compatExt spid="_x0000_s34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314325</xdr:colOff>
          <xdr:row>223</xdr:row>
          <xdr:rowOff>85725</xdr:rowOff>
        </xdr:from>
        <xdr:to>
          <xdr:col>15</xdr:col>
          <xdr:colOff>733425</xdr:colOff>
          <xdr:row>224</xdr:row>
          <xdr:rowOff>161925</xdr:rowOff>
        </xdr:to>
        <xdr:sp macro="" textlink="">
          <xdr:nvSpPr>
            <xdr:cNvPr id="3444" name="Object 372" hidden="1">
              <a:extLst>
                <a:ext uri="{63B3BB69-23CF-44E3-9099-C40C66FF867C}">
                  <a14:compatExt spid="_x0000_s34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304800</xdr:colOff>
          <xdr:row>226</xdr:row>
          <xdr:rowOff>85725</xdr:rowOff>
        </xdr:from>
        <xdr:to>
          <xdr:col>15</xdr:col>
          <xdr:colOff>733425</xdr:colOff>
          <xdr:row>227</xdr:row>
          <xdr:rowOff>161925</xdr:rowOff>
        </xdr:to>
        <xdr:sp macro="" textlink="">
          <xdr:nvSpPr>
            <xdr:cNvPr id="3445" name="Object 373" hidden="1">
              <a:extLst>
                <a:ext uri="{63B3BB69-23CF-44E3-9099-C40C66FF867C}">
                  <a14:compatExt spid="_x0000_s34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304800</xdr:colOff>
          <xdr:row>226</xdr:row>
          <xdr:rowOff>76200</xdr:rowOff>
        </xdr:from>
        <xdr:to>
          <xdr:col>18</xdr:col>
          <xdr:colOff>733425</xdr:colOff>
          <xdr:row>227</xdr:row>
          <xdr:rowOff>161925</xdr:rowOff>
        </xdr:to>
        <xdr:sp macro="" textlink="">
          <xdr:nvSpPr>
            <xdr:cNvPr id="3446" name="Object 374" hidden="1">
              <a:extLst>
                <a:ext uri="{63B3BB69-23CF-44E3-9099-C40C66FF867C}">
                  <a14:compatExt spid="_x0000_s34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428625</xdr:colOff>
          <xdr:row>243</xdr:row>
          <xdr:rowOff>152400</xdr:rowOff>
        </xdr:from>
        <xdr:to>
          <xdr:col>2</xdr:col>
          <xdr:colOff>609600</xdr:colOff>
          <xdr:row>244</xdr:row>
          <xdr:rowOff>104775</xdr:rowOff>
        </xdr:to>
        <xdr:sp macro="" textlink="">
          <xdr:nvSpPr>
            <xdr:cNvPr id="3447" name="Object 375" hidden="1">
              <a:extLst>
                <a:ext uri="{63B3BB69-23CF-44E3-9099-C40C66FF867C}">
                  <a14:compatExt spid="_x0000_s34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257175</xdr:colOff>
          <xdr:row>243</xdr:row>
          <xdr:rowOff>85725</xdr:rowOff>
        </xdr:from>
        <xdr:to>
          <xdr:col>3</xdr:col>
          <xdr:colOff>676275</xdr:colOff>
          <xdr:row>244</xdr:row>
          <xdr:rowOff>161925</xdr:rowOff>
        </xdr:to>
        <xdr:sp macro="" textlink="">
          <xdr:nvSpPr>
            <xdr:cNvPr id="3448" name="Object 376" hidden="1">
              <a:extLst>
                <a:ext uri="{63B3BB69-23CF-44E3-9099-C40C66FF867C}">
                  <a14:compatExt spid="_x0000_s34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295275</xdr:colOff>
          <xdr:row>246</xdr:row>
          <xdr:rowOff>104775</xdr:rowOff>
        </xdr:from>
        <xdr:to>
          <xdr:col>2</xdr:col>
          <xdr:colOff>733425</xdr:colOff>
          <xdr:row>247</xdr:row>
          <xdr:rowOff>228600</xdr:rowOff>
        </xdr:to>
        <xdr:sp macro="" textlink="">
          <xdr:nvSpPr>
            <xdr:cNvPr id="3449" name="Object 377" hidden="1">
              <a:extLst>
                <a:ext uri="{63B3BB69-23CF-44E3-9099-C40C66FF867C}">
                  <a14:compatExt spid="_x0000_s34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295275</xdr:colOff>
          <xdr:row>246</xdr:row>
          <xdr:rowOff>104775</xdr:rowOff>
        </xdr:from>
        <xdr:to>
          <xdr:col>3</xdr:col>
          <xdr:colOff>733425</xdr:colOff>
          <xdr:row>247</xdr:row>
          <xdr:rowOff>228600</xdr:rowOff>
        </xdr:to>
        <xdr:sp macro="" textlink="">
          <xdr:nvSpPr>
            <xdr:cNvPr id="3450" name="Object 378" hidden="1">
              <a:extLst>
                <a:ext uri="{63B3BB69-23CF-44E3-9099-C40C66FF867C}">
                  <a14:compatExt spid="_x0000_s34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243</xdr:row>
          <xdr:rowOff>85725</xdr:rowOff>
        </xdr:from>
        <xdr:to>
          <xdr:col>4</xdr:col>
          <xdr:colOff>733425</xdr:colOff>
          <xdr:row>244</xdr:row>
          <xdr:rowOff>161925</xdr:rowOff>
        </xdr:to>
        <xdr:sp macro="" textlink="">
          <xdr:nvSpPr>
            <xdr:cNvPr id="3451" name="Object 379" hidden="1">
              <a:extLst>
                <a:ext uri="{63B3BB69-23CF-44E3-9099-C40C66FF867C}">
                  <a14:compatExt spid="_x0000_s34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246</xdr:row>
          <xdr:rowOff>85725</xdr:rowOff>
        </xdr:from>
        <xdr:to>
          <xdr:col>4</xdr:col>
          <xdr:colOff>733425</xdr:colOff>
          <xdr:row>247</xdr:row>
          <xdr:rowOff>161925</xdr:rowOff>
        </xdr:to>
        <xdr:sp macro="" textlink="">
          <xdr:nvSpPr>
            <xdr:cNvPr id="3452" name="Object 380" hidden="1">
              <a:extLst>
                <a:ext uri="{63B3BB69-23CF-44E3-9099-C40C66FF867C}">
                  <a14:compatExt spid="_x0000_s34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304800</xdr:colOff>
          <xdr:row>246</xdr:row>
          <xdr:rowOff>76200</xdr:rowOff>
        </xdr:from>
        <xdr:to>
          <xdr:col>7</xdr:col>
          <xdr:colOff>733425</xdr:colOff>
          <xdr:row>247</xdr:row>
          <xdr:rowOff>161925</xdr:rowOff>
        </xdr:to>
        <xdr:sp macro="" textlink="">
          <xdr:nvSpPr>
            <xdr:cNvPr id="3453" name="Object 381" hidden="1">
              <a:extLst>
                <a:ext uri="{63B3BB69-23CF-44E3-9099-C40C66FF867C}">
                  <a14:compatExt spid="_x0000_s34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428625</xdr:colOff>
          <xdr:row>243</xdr:row>
          <xdr:rowOff>152400</xdr:rowOff>
        </xdr:from>
        <xdr:to>
          <xdr:col>13</xdr:col>
          <xdr:colOff>609600</xdr:colOff>
          <xdr:row>244</xdr:row>
          <xdr:rowOff>104775</xdr:rowOff>
        </xdr:to>
        <xdr:sp macro="" textlink="">
          <xdr:nvSpPr>
            <xdr:cNvPr id="3454" name="Object 382" hidden="1">
              <a:extLst>
                <a:ext uri="{63B3BB69-23CF-44E3-9099-C40C66FF867C}">
                  <a14:compatExt spid="_x0000_s34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257175</xdr:colOff>
          <xdr:row>243</xdr:row>
          <xdr:rowOff>85725</xdr:rowOff>
        </xdr:from>
        <xdr:to>
          <xdr:col>14</xdr:col>
          <xdr:colOff>676275</xdr:colOff>
          <xdr:row>244</xdr:row>
          <xdr:rowOff>161925</xdr:rowOff>
        </xdr:to>
        <xdr:sp macro="" textlink="">
          <xdr:nvSpPr>
            <xdr:cNvPr id="3455" name="Object 383" hidden="1">
              <a:extLst>
                <a:ext uri="{63B3BB69-23CF-44E3-9099-C40C66FF867C}">
                  <a14:compatExt spid="_x0000_s34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295275</xdr:colOff>
          <xdr:row>246</xdr:row>
          <xdr:rowOff>104775</xdr:rowOff>
        </xdr:from>
        <xdr:to>
          <xdr:col>13</xdr:col>
          <xdr:colOff>733425</xdr:colOff>
          <xdr:row>247</xdr:row>
          <xdr:rowOff>228600</xdr:rowOff>
        </xdr:to>
        <xdr:sp macro="" textlink="">
          <xdr:nvSpPr>
            <xdr:cNvPr id="3456" name="Object 384" hidden="1">
              <a:extLst>
                <a:ext uri="{63B3BB69-23CF-44E3-9099-C40C66FF867C}">
                  <a14:compatExt spid="_x0000_s34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295275</xdr:colOff>
          <xdr:row>246</xdr:row>
          <xdr:rowOff>104775</xdr:rowOff>
        </xdr:from>
        <xdr:to>
          <xdr:col>14</xdr:col>
          <xdr:colOff>733425</xdr:colOff>
          <xdr:row>247</xdr:row>
          <xdr:rowOff>228600</xdr:rowOff>
        </xdr:to>
        <xdr:sp macro="" textlink="">
          <xdr:nvSpPr>
            <xdr:cNvPr id="3457" name="Object 385" hidden="1">
              <a:extLst>
                <a:ext uri="{63B3BB69-23CF-44E3-9099-C40C66FF867C}">
                  <a14:compatExt spid="_x0000_s34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314325</xdr:colOff>
          <xdr:row>243</xdr:row>
          <xdr:rowOff>85725</xdr:rowOff>
        </xdr:from>
        <xdr:to>
          <xdr:col>15</xdr:col>
          <xdr:colOff>733425</xdr:colOff>
          <xdr:row>244</xdr:row>
          <xdr:rowOff>161925</xdr:rowOff>
        </xdr:to>
        <xdr:sp macro="" textlink="">
          <xdr:nvSpPr>
            <xdr:cNvPr id="3458" name="Object 386" hidden="1">
              <a:extLst>
                <a:ext uri="{63B3BB69-23CF-44E3-9099-C40C66FF867C}">
                  <a14:compatExt spid="_x0000_s3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304800</xdr:colOff>
          <xdr:row>246</xdr:row>
          <xdr:rowOff>85725</xdr:rowOff>
        </xdr:from>
        <xdr:to>
          <xdr:col>15</xdr:col>
          <xdr:colOff>733425</xdr:colOff>
          <xdr:row>247</xdr:row>
          <xdr:rowOff>161925</xdr:rowOff>
        </xdr:to>
        <xdr:sp macro="" textlink="">
          <xdr:nvSpPr>
            <xdr:cNvPr id="3459" name="Object 387" hidden="1">
              <a:extLst>
                <a:ext uri="{63B3BB69-23CF-44E3-9099-C40C66FF867C}">
                  <a14:compatExt spid="_x0000_s34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304800</xdr:colOff>
          <xdr:row>246</xdr:row>
          <xdr:rowOff>76200</xdr:rowOff>
        </xdr:from>
        <xdr:to>
          <xdr:col>18</xdr:col>
          <xdr:colOff>733425</xdr:colOff>
          <xdr:row>247</xdr:row>
          <xdr:rowOff>161925</xdr:rowOff>
        </xdr:to>
        <xdr:sp macro="" textlink="">
          <xdr:nvSpPr>
            <xdr:cNvPr id="3460" name="Object 388" hidden="1">
              <a:extLst>
                <a:ext uri="{63B3BB69-23CF-44E3-9099-C40C66FF867C}">
                  <a14:compatExt spid="_x0000_s34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428625</xdr:colOff>
          <xdr:row>263</xdr:row>
          <xdr:rowOff>152400</xdr:rowOff>
        </xdr:from>
        <xdr:to>
          <xdr:col>2</xdr:col>
          <xdr:colOff>609600</xdr:colOff>
          <xdr:row>264</xdr:row>
          <xdr:rowOff>104775</xdr:rowOff>
        </xdr:to>
        <xdr:sp macro="" textlink="">
          <xdr:nvSpPr>
            <xdr:cNvPr id="3461" name="Object 389" hidden="1">
              <a:extLst>
                <a:ext uri="{63B3BB69-23CF-44E3-9099-C40C66FF867C}">
                  <a14:compatExt spid="_x0000_s34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257175</xdr:colOff>
          <xdr:row>263</xdr:row>
          <xdr:rowOff>85725</xdr:rowOff>
        </xdr:from>
        <xdr:to>
          <xdr:col>3</xdr:col>
          <xdr:colOff>676275</xdr:colOff>
          <xdr:row>264</xdr:row>
          <xdr:rowOff>161925</xdr:rowOff>
        </xdr:to>
        <xdr:sp macro="" textlink="">
          <xdr:nvSpPr>
            <xdr:cNvPr id="3462" name="Object 390" hidden="1">
              <a:extLst>
                <a:ext uri="{63B3BB69-23CF-44E3-9099-C40C66FF867C}">
                  <a14:compatExt spid="_x0000_s34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295275</xdr:colOff>
          <xdr:row>266</xdr:row>
          <xdr:rowOff>104775</xdr:rowOff>
        </xdr:from>
        <xdr:to>
          <xdr:col>2</xdr:col>
          <xdr:colOff>733425</xdr:colOff>
          <xdr:row>267</xdr:row>
          <xdr:rowOff>228600</xdr:rowOff>
        </xdr:to>
        <xdr:sp macro="" textlink="">
          <xdr:nvSpPr>
            <xdr:cNvPr id="3463" name="Object 391" hidden="1">
              <a:extLst>
                <a:ext uri="{63B3BB69-23CF-44E3-9099-C40C66FF867C}">
                  <a14:compatExt spid="_x0000_s34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295275</xdr:colOff>
          <xdr:row>266</xdr:row>
          <xdr:rowOff>104775</xdr:rowOff>
        </xdr:from>
        <xdr:to>
          <xdr:col>3</xdr:col>
          <xdr:colOff>733425</xdr:colOff>
          <xdr:row>267</xdr:row>
          <xdr:rowOff>228600</xdr:rowOff>
        </xdr:to>
        <xdr:sp macro="" textlink="">
          <xdr:nvSpPr>
            <xdr:cNvPr id="3464" name="Object 392" hidden="1">
              <a:extLst>
                <a:ext uri="{63B3BB69-23CF-44E3-9099-C40C66FF867C}">
                  <a14:compatExt spid="_x0000_s34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263</xdr:row>
          <xdr:rowOff>85725</xdr:rowOff>
        </xdr:from>
        <xdr:to>
          <xdr:col>4</xdr:col>
          <xdr:colOff>733425</xdr:colOff>
          <xdr:row>264</xdr:row>
          <xdr:rowOff>161925</xdr:rowOff>
        </xdr:to>
        <xdr:sp macro="" textlink="">
          <xdr:nvSpPr>
            <xdr:cNvPr id="3465" name="Object 393" hidden="1">
              <a:extLst>
                <a:ext uri="{63B3BB69-23CF-44E3-9099-C40C66FF867C}">
                  <a14:compatExt spid="_x0000_s34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266</xdr:row>
          <xdr:rowOff>85725</xdr:rowOff>
        </xdr:from>
        <xdr:to>
          <xdr:col>4</xdr:col>
          <xdr:colOff>733425</xdr:colOff>
          <xdr:row>267</xdr:row>
          <xdr:rowOff>161925</xdr:rowOff>
        </xdr:to>
        <xdr:sp macro="" textlink="">
          <xdr:nvSpPr>
            <xdr:cNvPr id="3466" name="Object 394" hidden="1">
              <a:extLst>
                <a:ext uri="{63B3BB69-23CF-44E3-9099-C40C66FF867C}">
                  <a14:compatExt spid="_x0000_s34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304800</xdr:colOff>
          <xdr:row>266</xdr:row>
          <xdr:rowOff>76200</xdr:rowOff>
        </xdr:from>
        <xdr:to>
          <xdr:col>7</xdr:col>
          <xdr:colOff>733425</xdr:colOff>
          <xdr:row>267</xdr:row>
          <xdr:rowOff>161925</xdr:rowOff>
        </xdr:to>
        <xdr:sp macro="" textlink="">
          <xdr:nvSpPr>
            <xdr:cNvPr id="3467" name="Object 395" hidden="1">
              <a:extLst>
                <a:ext uri="{63B3BB69-23CF-44E3-9099-C40C66FF867C}">
                  <a14:compatExt spid="_x0000_s34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428625</xdr:colOff>
          <xdr:row>263</xdr:row>
          <xdr:rowOff>152400</xdr:rowOff>
        </xdr:from>
        <xdr:to>
          <xdr:col>13</xdr:col>
          <xdr:colOff>609600</xdr:colOff>
          <xdr:row>264</xdr:row>
          <xdr:rowOff>104775</xdr:rowOff>
        </xdr:to>
        <xdr:sp macro="" textlink="">
          <xdr:nvSpPr>
            <xdr:cNvPr id="3468" name="Object 396" hidden="1">
              <a:extLst>
                <a:ext uri="{63B3BB69-23CF-44E3-9099-C40C66FF867C}">
                  <a14:compatExt spid="_x0000_s34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257175</xdr:colOff>
          <xdr:row>263</xdr:row>
          <xdr:rowOff>85725</xdr:rowOff>
        </xdr:from>
        <xdr:to>
          <xdr:col>14</xdr:col>
          <xdr:colOff>676275</xdr:colOff>
          <xdr:row>264</xdr:row>
          <xdr:rowOff>161925</xdr:rowOff>
        </xdr:to>
        <xdr:sp macro="" textlink="">
          <xdr:nvSpPr>
            <xdr:cNvPr id="3469" name="Object 397" hidden="1">
              <a:extLst>
                <a:ext uri="{63B3BB69-23CF-44E3-9099-C40C66FF867C}">
                  <a14:compatExt spid="_x0000_s34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295275</xdr:colOff>
          <xdr:row>266</xdr:row>
          <xdr:rowOff>104775</xdr:rowOff>
        </xdr:from>
        <xdr:to>
          <xdr:col>13</xdr:col>
          <xdr:colOff>733425</xdr:colOff>
          <xdr:row>267</xdr:row>
          <xdr:rowOff>228600</xdr:rowOff>
        </xdr:to>
        <xdr:sp macro="" textlink="">
          <xdr:nvSpPr>
            <xdr:cNvPr id="3470" name="Object 398" hidden="1">
              <a:extLst>
                <a:ext uri="{63B3BB69-23CF-44E3-9099-C40C66FF867C}">
                  <a14:compatExt spid="_x0000_s34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295275</xdr:colOff>
          <xdr:row>266</xdr:row>
          <xdr:rowOff>104775</xdr:rowOff>
        </xdr:from>
        <xdr:to>
          <xdr:col>14</xdr:col>
          <xdr:colOff>733425</xdr:colOff>
          <xdr:row>267</xdr:row>
          <xdr:rowOff>228600</xdr:rowOff>
        </xdr:to>
        <xdr:sp macro="" textlink="">
          <xdr:nvSpPr>
            <xdr:cNvPr id="3471" name="Object 399" hidden="1">
              <a:extLst>
                <a:ext uri="{63B3BB69-23CF-44E3-9099-C40C66FF867C}">
                  <a14:compatExt spid="_x0000_s34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314325</xdr:colOff>
          <xdr:row>263</xdr:row>
          <xdr:rowOff>85725</xdr:rowOff>
        </xdr:from>
        <xdr:to>
          <xdr:col>15</xdr:col>
          <xdr:colOff>733425</xdr:colOff>
          <xdr:row>264</xdr:row>
          <xdr:rowOff>161925</xdr:rowOff>
        </xdr:to>
        <xdr:sp macro="" textlink="">
          <xdr:nvSpPr>
            <xdr:cNvPr id="3472" name="Object 400" hidden="1">
              <a:extLst>
                <a:ext uri="{63B3BB69-23CF-44E3-9099-C40C66FF867C}">
                  <a14:compatExt spid="_x0000_s34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304800</xdr:colOff>
          <xdr:row>266</xdr:row>
          <xdr:rowOff>85725</xdr:rowOff>
        </xdr:from>
        <xdr:to>
          <xdr:col>15</xdr:col>
          <xdr:colOff>733425</xdr:colOff>
          <xdr:row>267</xdr:row>
          <xdr:rowOff>161925</xdr:rowOff>
        </xdr:to>
        <xdr:sp macro="" textlink="">
          <xdr:nvSpPr>
            <xdr:cNvPr id="3473" name="Object 401" hidden="1">
              <a:extLst>
                <a:ext uri="{63B3BB69-23CF-44E3-9099-C40C66FF867C}">
                  <a14:compatExt spid="_x0000_s34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304800</xdr:colOff>
          <xdr:row>266</xdr:row>
          <xdr:rowOff>76200</xdr:rowOff>
        </xdr:from>
        <xdr:to>
          <xdr:col>18</xdr:col>
          <xdr:colOff>733425</xdr:colOff>
          <xdr:row>267</xdr:row>
          <xdr:rowOff>161925</xdr:rowOff>
        </xdr:to>
        <xdr:sp macro="" textlink="">
          <xdr:nvSpPr>
            <xdr:cNvPr id="3474" name="Object 402" hidden="1">
              <a:extLst>
                <a:ext uri="{63B3BB69-23CF-44E3-9099-C40C66FF867C}">
                  <a14:compatExt spid="_x0000_s34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428625</xdr:colOff>
          <xdr:row>283</xdr:row>
          <xdr:rowOff>152400</xdr:rowOff>
        </xdr:from>
        <xdr:to>
          <xdr:col>2</xdr:col>
          <xdr:colOff>609600</xdr:colOff>
          <xdr:row>284</xdr:row>
          <xdr:rowOff>104775</xdr:rowOff>
        </xdr:to>
        <xdr:sp macro="" textlink="">
          <xdr:nvSpPr>
            <xdr:cNvPr id="3475" name="Object 403" hidden="1">
              <a:extLst>
                <a:ext uri="{63B3BB69-23CF-44E3-9099-C40C66FF867C}">
                  <a14:compatExt spid="_x0000_s34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257175</xdr:colOff>
          <xdr:row>283</xdr:row>
          <xdr:rowOff>85725</xdr:rowOff>
        </xdr:from>
        <xdr:to>
          <xdr:col>3</xdr:col>
          <xdr:colOff>676275</xdr:colOff>
          <xdr:row>284</xdr:row>
          <xdr:rowOff>161925</xdr:rowOff>
        </xdr:to>
        <xdr:sp macro="" textlink="">
          <xdr:nvSpPr>
            <xdr:cNvPr id="3476" name="Object 404" hidden="1">
              <a:extLst>
                <a:ext uri="{63B3BB69-23CF-44E3-9099-C40C66FF867C}">
                  <a14:compatExt spid="_x0000_s34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295275</xdr:colOff>
          <xdr:row>286</xdr:row>
          <xdr:rowOff>104775</xdr:rowOff>
        </xdr:from>
        <xdr:to>
          <xdr:col>2</xdr:col>
          <xdr:colOff>733425</xdr:colOff>
          <xdr:row>287</xdr:row>
          <xdr:rowOff>228600</xdr:rowOff>
        </xdr:to>
        <xdr:sp macro="" textlink="">
          <xdr:nvSpPr>
            <xdr:cNvPr id="3477" name="Object 405" hidden="1">
              <a:extLst>
                <a:ext uri="{63B3BB69-23CF-44E3-9099-C40C66FF867C}">
                  <a14:compatExt spid="_x0000_s34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295275</xdr:colOff>
          <xdr:row>286</xdr:row>
          <xdr:rowOff>104775</xdr:rowOff>
        </xdr:from>
        <xdr:to>
          <xdr:col>3</xdr:col>
          <xdr:colOff>733425</xdr:colOff>
          <xdr:row>287</xdr:row>
          <xdr:rowOff>228600</xdr:rowOff>
        </xdr:to>
        <xdr:sp macro="" textlink="">
          <xdr:nvSpPr>
            <xdr:cNvPr id="3478" name="Object 406" hidden="1">
              <a:extLst>
                <a:ext uri="{63B3BB69-23CF-44E3-9099-C40C66FF867C}">
                  <a14:compatExt spid="_x0000_s34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283</xdr:row>
          <xdr:rowOff>85725</xdr:rowOff>
        </xdr:from>
        <xdr:to>
          <xdr:col>4</xdr:col>
          <xdr:colOff>733425</xdr:colOff>
          <xdr:row>284</xdr:row>
          <xdr:rowOff>161925</xdr:rowOff>
        </xdr:to>
        <xdr:sp macro="" textlink="">
          <xdr:nvSpPr>
            <xdr:cNvPr id="3479" name="Object 407" hidden="1">
              <a:extLst>
                <a:ext uri="{63B3BB69-23CF-44E3-9099-C40C66FF867C}">
                  <a14:compatExt spid="_x0000_s34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286</xdr:row>
          <xdr:rowOff>85725</xdr:rowOff>
        </xdr:from>
        <xdr:to>
          <xdr:col>4</xdr:col>
          <xdr:colOff>733425</xdr:colOff>
          <xdr:row>287</xdr:row>
          <xdr:rowOff>161925</xdr:rowOff>
        </xdr:to>
        <xdr:sp macro="" textlink="">
          <xdr:nvSpPr>
            <xdr:cNvPr id="3480" name="Object 408" hidden="1">
              <a:extLst>
                <a:ext uri="{63B3BB69-23CF-44E3-9099-C40C66FF867C}">
                  <a14:compatExt spid="_x0000_s34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304800</xdr:colOff>
          <xdr:row>286</xdr:row>
          <xdr:rowOff>76200</xdr:rowOff>
        </xdr:from>
        <xdr:to>
          <xdr:col>7</xdr:col>
          <xdr:colOff>733425</xdr:colOff>
          <xdr:row>287</xdr:row>
          <xdr:rowOff>161925</xdr:rowOff>
        </xdr:to>
        <xdr:sp macro="" textlink="">
          <xdr:nvSpPr>
            <xdr:cNvPr id="3481" name="Object 409" hidden="1">
              <a:extLst>
                <a:ext uri="{63B3BB69-23CF-44E3-9099-C40C66FF867C}">
                  <a14:compatExt spid="_x0000_s34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428625</xdr:colOff>
          <xdr:row>283</xdr:row>
          <xdr:rowOff>152400</xdr:rowOff>
        </xdr:from>
        <xdr:to>
          <xdr:col>13</xdr:col>
          <xdr:colOff>609600</xdr:colOff>
          <xdr:row>284</xdr:row>
          <xdr:rowOff>104775</xdr:rowOff>
        </xdr:to>
        <xdr:sp macro="" textlink="">
          <xdr:nvSpPr>
            <xdr:cNvPr id="3482" name="Object 410" hidden="1">
              <a:extLst>
                <a:ext uri="{63B3BB69-23CF-44E3-9099-C40C66FF867C}">
                  <a14:compatExt spid="_x0000_s34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257175</xdr:colOff>
          <xdr:row>283</xdr:row>
          <xdr:rowOff>85725</xdr:rowOff>
        </xdr:from>
        <xdr:to>
          <xdr:col>14</xdr:col>
          <xdr:colOff>676275</xdr:colOff>
          <xdr:row>284</xdr:row>
          <xdr:rowOff>161925</xdr:rowOff>
        </xdr:to>
        <xdr:sp macro="" textlink="">
          <xdr:nvSpPr>
            <xdr:cNvPr id="3483" name="Object 411" hidden="1">
              <a:extLst>
                <a:ext uri="{63B3BB69-23CF-44E3-9099-C40C66FF867C}">
                  <a14:compatExt spid="_x0000_s34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295275</xdr:colOff>
          <xdr:row>286</xdr:row>
          <xdr:rowOff>104775</xdr:rowOff>
        </xdr:from>
        <xdr:to>
          <xdr:col>13</xdr:col>
          <xdr:colOff>733425</xdr:colOff>
          <xdr:row>287</xdr:row>
          <xdr:rowOff>228600</xdr:rowOff>
        </xdr:to>
        <xdr:sp macro="" textlink="">
          <xdr:nvSpPr>
            <xdr:cNvPr id="3484" name="Object 412" hidden="1">
              <a:extLst>
                <a:ext uri="{63B3BB69-23CF-44E3-9099-C40C66FF867C}">
                  <a14:compatExt spid="_x0000_s34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295275</xdr:colOff>
          <xdr:row>286</xdr:row>
          <xdr:rowOff>104775</xdr:rowOff>
        </xdr:from>
        <xdr:to>
          <xdr:col>14</xdr:col>
          <xdr:colOff>733425</xdr:colOff>
          <xdr:row>287</xdr:row>
          <xdr:rowOff>228600</xdr:rowOff>
        </xdr:to>
        <xdr:sp macro="" textlink="">
          <xdr:nvSpPr>
            <xdr:cNvPr id="3485" name="Object 413" hidden="1">
              <a:extLst>
                <a:ext uri="{63B3BB69-23CF-44E3-9099-C40C66FF867C}">
                  <a14:compatExt spid="_x0000_s34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314325</xdr:colOff>
          <xdr:row>283</xdr:row>
          <xdr:rowOff>85725</xdr:rowOff>
        </xdr:from>
        <xdr:to>
          <xdr:col>15</xdr:col>
          <xdr:colOff>733425</xdr:colOff>
          <xdr:row>284</xdr:row>
          <xdr:rowOff>161925</xdr:rowOff>
        </xdr:to>
        <xdr:sp macro="" textlink="">
          <xdr:nvSpPr>
            <xdr:cNvPr id="3486" name="Object 414" hidden="1">
              <a:extLst>
                <a:ext uri="{63B3BB69-23CF-44E3-9099-C40C66FF867C}">
                  <a14:compatExt spid="_x0000_s34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304800</xdr:colOff>
          <xdr:row>286</xdr:row>
          <xdr:rowOff>85725</xdr:rowOff>
        </xdr:from>
        <xdr:to>
          <xdr:col>15</xdr:col>
          <xdr:colOff>733425</xdr:colOff>
          <xdr:row>287</xdr:row>
          <xdr:rowOff>161925</xdr:rowOff>
        </xdr:to>
        <xdr:sp macro="" textlink="">
          <xdr:nvSpPr>
            <xdr:cNvPr id="3487" name="Object 415" hidden="1">
              <a:extLst>
                <a:ext uri="{63B3BB69-23CF-44E3-9099-C40C66FF867C}">
                  <a14:compatExt spid="_x0000_s34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304800</xdr:colOff>
          <xdr:row>286</xdr:row>
          <xdr:rowOff>76200</xdr:rowOff>
        </xdr:from>
        <xdr:to>
          <xdr:col>18</xdr:col>
          <xdr:colOff>733425</xdr:colOff>
          <xdr:row>287</xdr:row>
          <xdr:rowOff>161925</xdr:rowOff>
        </xdr:to>
        <xdr:sp macro="" textlink="">
          <xdr:nvSpPr>
            <xdr:cNvPr id="3488" name="Object 416" hidden="1">
              <a:extLst>
                <a:ext uri="{63B3BB69-23CF-44E3-9099-C40C66FF867C}">
                  <a14:compatExt spid="_x0000_s34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428625</xdr:colOff>
          <xdr:row>303</xdr:row>
          <xdr:rowOff>152400</xdr:rowOff>
        </xdr:from>
        <xdr:to>
          <xdr:col>2</xdr:col>
          <xdr:colOff>609600</xdr:colOff>
          <xdr:row>304</xdr:row>
          <xdr:rowOff>104775</xdr:rowOff>
        </xdr:to>
        <xdr:sp macro="" textlink="">
          <xdr:nvSpPr>
            <xdr:cNvPr id="3489" name="Object 417" hidden="1">
              <a:extLst>
                <a:ext uri="{63B3BB69-23CF-44E3-9099-C40C66FF867C}">
                  <a14:compatExt spid="_x0000_s3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257175</xdr:colOff>
          <xdr:row>303</xdr:row>
          <xdr:rowOff>85725</xdr:rowOff>
        </xdr:from>
        <xdr:to>
          <xdr:col>3</xdr:col>
          <xdr:colOff>676275</xdr:colOff>
          <xdr:row>304</xdr:row>
          <xdr:rowOff>161925</xdr:rowOff>
        </xdr:to>
        <xdr:sp macro="" textlink="">
          <xdr:nvSpPr>
            <xdr:cNvPr id="3490" name="Object 418" hidden="1">
              <a:extLst>
                <a:ext uri="{63B3BB69-23CF-44E3-9099-C40C66FF867C}">
                  <a14:compatExt spid="_x0000_s34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295275</xdr:colOff>
          <xdr:row>306</xdr:row>
          <xdr:rowOff>104775</xdr:rowOff>
        </xdr:from>
        <xdr:to>
          <xdr:col>2</xdr:col>
          <xdr:colOff>733425</xdr:colOff>
          <xdr:row>307</xdr:row>
          <xdr:rowOff>228600</xdr:rowOff>
        </xdr:to>
        <xdr:sp macro="" textlink="">
          <xdr:nvSpPr>
            <xdr:cNvPr id="3491" name="Object 419" hidden="1">
              <a:extLst>
                <a:ext uri="{63B3BB69-23CF-44E3-9099-C40C66FF867C}">
                  <a14:compatExt spid="_x0000_s34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295275</xdr:colOff>
          <xdr:row>306</xdr:row>
          <xdr:rowOff>104775</xdr:rowOff>
        </xdr:from>
        <xdr:to>
          <xdr:col>3</xdr:col>
          <xdr:colOff>733425</xdr:colOff>
          <xdr:row>307</xdr:row>
          <xdr:rowOff>228600</xdr:rowOff>
        </xdr:to>
        <xdr:sp macro="" textlink="">
          <xdr:nvSpPr>
            <xdr:cNvPr id="3492" name="Object 420" hidden="1">
              <a:extLst>
                <a:ext uri="{63B3BB69-23CF-44E3-9099-C40C66FF867C}">
                  <a14:compatExt spid="_x0000_s34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303</xdr:row>
          <xdr:rowOff>85725</xdr:rowOff>
        </xdr:from>
        <xdr:to>
          <xdr:col>4</xdr:col>
          <xdr:colOff>733425</xdr:colOff>
          <xdr:row>304</xdr:row>
          <xdr:rowOff>161925</xdr:rowOff>
        </xdr:to>
        <xdr:sp macro="" textlink="">
          <xdr:nvSpPr>
            <xdr:cNvPr id="3493" name="Object 421" hidden="1">
              <a:extLst>
                <a:ext uri="{63B3BB69-23CF-44E3-9099-C40C66FF867C}">
                  <a14:compatExt spid="_x0000_s34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306</xdr:row>
          <xdr:rowOff>85725</xdr:rowOff>
        </xdr:from>
        <xdr:to>
          <xdr:col>4</xdr:col>
          <xdr:colOff>733425</xdr:colOff>
          <xdr:row>307</xdr:row>
          <xdr:rowOff>161925</xdr:rowOff>
        </xdr:to>
        <xdr:sp macro="" textlink="">
          <xdr:nvSpPr>
            <xdr:cNvPr id="3494" name="Object 422" hidden="1">
              <a:extLst>
                <a:ext uri="{63B3BB69-23CF-44E3-9099-C40C66FF867C}">
                  <a14:compatExt spid="_x0000_s34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304800</xdr:colOff>
          <xdr:row>306</xdr:row>
          <xdr:rowOff>76200</xdr:rowOff>
        </xdr:from>
        <xdr:to>
          <xdr:col>7</xdr:col>
          <xdr:colOff>733425</xdr:colOff>
          <xdr:row>307</xdr:row>
          <xdr:rowOff>161925</xdr:rowOff>
        </xdr:to>
        <xdr:sp macro="" textlink="">
          <xdr:nvSpPr>
            <xdr:cNvPr id="3495" name="Object 423" hidden="1">
              <a:extLst>
                <a:ext uri="{63B3BB69-23CF-44E3-9099-C40C66FF867C}">
                  <a14:compatExt spid="_x0000_s34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428625</xdr:colOff>
          <xdr:row>303</xdr:row>
          <xdr:rowOff>152400</xdr:rowOff>
        </xdr:from>
        <xdr:to>
          <xdr:col>13</xdr:col>
          <xdr:colOff>609600</xdr:colOff>
          <xdr:row>304</xdr:row>
          <xdr:rowOff>104775</xdr:rowOff>
        </xdr:to>
        <xdr:sp macro="" textlink="">
          <xdr:nvSpPr>
            <xdr:cNvPr id="3496" name="Object 424" hidden="1">
              <a:extLst>
                <a:ext uri="{63B3BB69-23CF-44E3-9099-C40C66FF867C}">
                  <a14:compatExt spid="_x0000_s34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257175</xdr:colOff>
          <xdr:row>303</xdr:row>
          <xdr:rowOff>85725</xdr:rowOff>
        </xdr:from>
        <xdr:to>
          <xdr:col>14</xdr:col>
          <xdr:colOff>676275</xdr:colOff>
          <xdr:row>304</xdr:row>
          <xdr:rowOff>161925</xdr:rowOff>
        </xdr:to>
        <xdr:sp macro="" textlink="">
          <xdr:nvSpPr>
            <xdr:cNvPr id="3497" name="Object 425" hidden="1">
              <a:extLst>
                <a:ext uri="{63B3BB69-23CF-44E3-9099-C40C66FF867C}">
                  <a14:compatExt spid="_x0000_s34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295275</xdr:colOff>
          <xdr:row>306</xdr:row>
          <xdr:rowOff>104775</xdr:rowOff>
        </xdr:from>
        <xdr:to>
          <xdr:col>13</xdr:col>
          <xdr:colOff>733425</xdr:colOff>
          <xdr:row>307</xdr:row>
          <xdr:rowOff>228600</xdr:rowOff>
        </xdr:to>
        <xdr:sp macro="" textlink="">
          <xdr:nvSpPr>
            <xdr:cNvPr id="3498" name="Object 426" hidden="1">
              <a:extLst>
                <a:ext uri="{63B3BB69-23CF-44E3-9099-C40C66FF867C}">
                  <a14:compatExt spid="_x0000_s34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295275</xdr:colOff>
          <xdr:row>306</xdr:row>
          <xdr:rowOff>104775</xdr:rowOff>
        </xdr:from>
        <xdr:to>
          <xdr:col>14</xdr:col>
          <xdr:colOff>733425</xdr:colOff>
          <xdr:row>307</xdr:row>
          <xdr:rowOff>228600</xdr:rowOff>
        </xdr:to>
        <xdr:sp macro="" textlink="">
          <xdr:nvSpPr>
            <xdr:cNvPr id="3499" name="Object 427" hidden="1">
              <a:extLst>
                <a:ext uri="{63B3BB69-23CF-44E3-9099-C40C66FF867C}">
                  <a14:compatExt spid="_x0000_s34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314325</xdr:colOff>
          <xdr:row>303</xdr:row>
          <xdr:rowOff>85725</xdr:rowOff>
        </xdr:from>
        <xdr:to>
          <xdr:col>15</xdr:col>
          <xdr:colOff>733425</xdr:colOff>
          <xdr:row>304</xdr:row>
          <xdr:rowOff>161925</xdr:rowOff>
        </xdr:to>
        <xdr:sp macro="" textlink="">
          <xdr:nvSpPr>
            <xdr:cNvPr id="3500" name="Object 428" hidden="1">
              <a:extLst>
                <a:ext uri="{63B3BB69-23CF-44E3-9099-C40C66FF867C}">
                  <a14:compatExt spid="_x0000_s35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304800</xdr:colOff>
          <xdr:row>306</xdr:row>
          <xdr:rowOff>85725</xdr:rowOff>
        </xdr:from>
        <xdr:to>
          <xdr:col>15</xdr:col>
          <xdr:colOff>733425</xdr:colOff>
          <xdr:row>307</xdr:row>
          <xdr:rowOff>161925</xdr:rowOff>
        </xdr:to>
        <xdr:sp macro="" textlink="">
          <xdr:nvSpPr>
            <xdr:cNvPr id="3501" name="Object 429" hidden="1">
              <a:extLst>
                <a:ext uri="{63B3BB69-23CF-44E3-9099-C40C66FF867C}">
                  <a14:compatExt spid="_x0000_s35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304800</xdr:colOff>
          <xdr:row>306</xdr:row>
          <xdr:rowOff>76200</xdr:rowOff>
        </xdr:from>
        <xdr:to>
          <xdr:col>18</xdr:col>
          <xdr:colOff>733425</xdr:colOff>
          <xdr:row>307</xdr:row>
          <xdr:rowOff>161925</xdr:rowOff>
        </xdr:to>
        <xdr:sp macro="" textlink="">
          <xdr:nvSpPr>
            <xdr:cNvPr id="3502" name="Object 430" hidden="1">
              <a:extLst>
                <a:ext uri="{63B3BB69-23CF-44E3-9099-C40C66FF867C}">
                  <a14:compatExt spid="_x0000_s35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428625</xdr:colOff>
          <xdr:row>323</xdr:row>
          <xdr:rowOff>152400</xdr:rowOff>
        </xdr:from>
        <xdr:to>
          <xdr:col>2</xdr:col>
          <xdr:colOff>609600</xdr:colOff>
          <xdr:row>324</xdr:row>
          <xdr:rowOff>104775</xdr:rowOff>
        </xdr:to>
        <xdr:sp macro="" textlink="">
          <xdr:nvSpPr>
            <xdr:cNvPr id="3503" name="Object 431" hidden="1">
              <a:extLst>
                <a:ext uri="{63B3BB69-23CF-44E3-9099-C40C66FF867C}">
                  <a14:compatExt spid="_x0000_s35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257175</xdr:colOff>
          <xdr:row>323</xdr:row>
          <xdr:rowOff>85725</xdr:rowOff>
        </xdr:from>
        <xdr:to>
          <xdr:col>3</xdr:col>
          <xdr:colOff>676275</xdr:colOff>
          <xdr:row>324</xdr:row>
          <xdr:rowOff>161925</xdr:rowOff>
        </xdr:to>
        <xdr:sp macro="" textlink="">
          <xdr:nvSpPr>
            <xdr:cNvPr id="3504" name="Object 432" hidden="1">
              <a:extLst>
                <a:ext uri="{63B3BB69-23CF-44E3-9099-C40C66FF867C}">
                  <a14:compatExt spid="_x0000_s35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295275</xdr:colOff>
          <xdr:row>326</xdr:row>
          <xdr:rowOff>104775</xdr:rowOff>
        </xdr:from>
        <xdr:to>
          <xdr:col>2</xdr:col>
          <xdr:colOff>733425</xdr:colOff>
          <xdr:row>327</xdr:row>
          <xdr:rowOff>228600</xdr:rowOff>
        </xdr:to>
        <xdr:sp macro="" textlink="">
          <xdr:nvSpPr>
            <xdr:cNvPr id="3505" name="Object 433" hidden="1">
              <a:extLst>
                <a:ext uri="{63B3BB69-23CF-44E3-9099-C40C66FF867C}">
                  <a14:compatExt spid="_x0000_s35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295275</xdr:colOff>
          <xdr:row>326</xdr:row>
          <xdr:rowOff>104775</xdr:rowOff>
        </xdr:from>
        <xdr:to>
          <xdr:col>3</xdr:col>
          <xdr:colOff>733425</xdr:colOff>
          <xdr:row>327</xdr:row>
          <xdr:rowOff>228600</xdr:rowOff>
        </xdr:to>
        <xdr:sp macro="" textlink="">
          <xdr:nvSpPr>
            <xdr:cNvPr id="3506" name="Object 434" hidden="1">
              <a:extLst>
                <a:ext uri="{63B3BB69-23CF-44E3-9099-C40C66FF867C}">
                  <a14:compatExt spid="_x0000_s35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323</xdr:row>
          <xdr:rowOff>85725</xdr:rowOff>
        </xdr:from>
        <xdr:to>
          <xdr:col>4</xdr:col>
          <xdr:colOff>733425</xdr:colOff>
          <xdr:row>324</xdr:row>
          <xdr:rowOff>161925</xdr:rowOff>
        </xdr:to>
        <xdr:sp macro="" textlink="">
          <xdr:nvSpPr>
            <xdr:cNvPr id="3507" name="Object 435" hidden="1">
              <a:extLst>
                <a:ext uri="{63B3BB69-23CF-44E3-9099-C40C66FF867C}">
                  <a14:compatExt spid="_x0000_s35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326</xdr:row>
          <xdr:rowOff>85725</xdr:rowOff>
        </xdr:from>
        <xdr:to>
          <xdr:col>4</xdr:col>
          <xdr:colOff>733425</xdr:colOff>
          <xdr:row>327</xdr:row>
          <xdr:rowOff>161925</xdr:rowOff>
        </xdr:to>
        <xdr:sp macro="" textlink="">
          <xdr:nvSpPr>
            <xdr:cNvPr id="3508" name="Object 436" hidden="1">
              <a:extLst>
                <a:ext uri="{63B3BB69-23CF-44E3-9099-C40C66FF867C}">
                  <a14:compatExt spid="_x0000_s35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304800</xdr:colOff>
          <xdr:row>326</xdr:row>
          <xdr:rowOff>76200</xdr:rowOff>
        </xdr:from>
        <xdr:to>
          <xdr:col>7</xdr:col>
          <xdr:colOff>733425</xdr:colOff>
          <xdr:row>327</xdr:row>
          <xdr:rowOff>161925</xdr:rowOff>
        </xdr:to>
        <xdr:sp macro="" textlink="">
          <xdr:nvSpPr>
            <xdr:cNvPr id="3509" name="Object 437" hidden="1">
              <a:extLst>
                <a:ext uri="{63B3BB69-23CF-44E3-9099-C40C66FF867C}">
                  <a14:compatExt spid="_x0000_s35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428625</xdr:colOff>
          <xdr:row>323</xdr:row>
          <xdr:rowOff>152400</xdr:rowOff>
        </xdr:from>
        <xdr:to>
          <xdr:col>13</xdr:col>
          <xdr:colOff>609600</xdr:colOff>
          <xdr:row>324</xdr:row>
          <xdr:rowOff>104775</xdr:rowOff>
        </xdr:to>
        <xdr:sp macro="" textlink="">
          <xdr:nvSpPr>
            <xdr:cNvPr id="3510" name="Object 438" hidden="1">
              <a:extLst>
                <a:ext uri="{63B3BB69-23CF-44E3-9099-C40C66FF867C}">
                  <a14:compatExt spid="_x0000_s35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257175</xdr:colOff>
          <xdr:row>323</xdr:row>
          <xdr:rowOff>85725</xdr:rowOff>
        </xdr:from>
        <xdr:to>
          <xdr:col>14</xdr:col>
          <xdr:colOff>676275</xdr:colOff>
          <xdr:row>324</xdr:row>
          <xdr:rowOff>161925</xdr:rowOff>
        </xdr:to>
        <xdr:sp macro="" textlink="">
          <xdr:nvSpPr>
            <xdr:cNvPr id="3511" name="Object 439" hidden="1">
              <a:extLst>
                <a:ext uri="{63B3BB69-23CF-44E3-9099-C40C66FF867C}">
                  <a14:compatExt spid="_x0000_s35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295275</xdr:colOff>
          <xdr:row>326</xdr:row>
          <xdr:rowOff>104775</xdr:rowOff>
        </xdr:from>
        <xdr:to>
          <xdr:col>13</xdr:col>
          <xdr:colOff>733425</xdr:colOff>
          <xdr:row>327</xdr:row>
          <xdr:rowOff>228600</xdr:rowOff>
        </xdr:to>
        <xdr:sp macro="" textlink="">
          <xdr:nvSpPr>
            <xdr:cNvPr id="3512" name="Object 440" hidden="1">
              <a:extLst>
                <a:ext uri="{63B3BB69-23CF-44E3-9099-C40C66FF867C}">
                  <a14:compatExt spid="_x0000_s35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295275</xdr:colOff>
          <xdr:row>326</xdr:row>
          <xdr:rowOff>104775</xdr:rowOff>
        </xdr:from>
        <xdr:to>
          <xdr:col>14</xdr:col>
          <xdr:colOff>733425</xdr:colOff>
          <xdr:row>327</xdr:row>
          <xdr:rowOff>228600</xdr:rowOff>
        </xdr:to>
        <xdr:sp macro="" textlink="">
          <xdr:nvSpPr>
            <xdr:cNvPr id="3513" name="Object 441" hidden="1">
              <a:extLst>
                <a:ext uri="{63B3BB69-23CF-44E3-9099-C40C66FF867C}">
                  <a14:compatExt spid="_x0000_s3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314325</xdr:colOff>
          <xdr:row>323</xdr:row>
          <xdr:rowOff>85725</xdr:rowOff>
        </xdr:from>
        <xdr:to>
          <xdr:col>15</xdr:col>
          <xdr:colOff>733425</xdr:colOff>
          <xdr:row>324</xdr:row>
          <xdr:rowOff>161925</xdr:rowOff>
        </xdr:to>
        <xdr:sp macro="" textlink="">
          <xdr:nvSpPr>
            <xdr:cNvPr id="3514" name="Object 442" hidden="1">
              <a:extLst>
                <a:ext uri="{63B3BB69-23CF-44E3-9099-C40C66FF867C}">
                  <a14:compatExt spid="_x0000_s35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304800</xdr:colOff>
          <xdr:row>326</xdr:row>
          <xdr:rowOff>85725</xdr:rowOff>
        </xdr:from>
        <xdr:to>
          <xdr:col>15</xdr:col>
          <xdr:colOff>733425</xdr:colOff>
          <xdr:row>327</xdr:row>
          <xdr:rowOff>161925</xdr:rowOff>
        </xdr:to>
        <xdr:sp macro="" textlink="">
          <xdr:nvSpPr>
            <xdr:cNvPr id="3515" name="Object 443" hidden="1">
              <a:extLst>
                <a:ext uri="{63B3BB69-23CF-44E3-9099-C40C66FF867C}">
                  <a14:compatExt spid="_x0000_s35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304800</xdr:colOff>
          <xdr:row>326</xdr:row>
          <xdr:rowOff>76200</xdr:rowOff>
        </xdr:from>
        <xdr:to>
          <xdr:col>18</xdr:col>
          <xdr:colOff>733425</xdr:colOff>
          <xdr:row>327</xdr:row>
          <xdr:rowOff>161925</xdr:rowOff>
        </xdr:to>
        <xdr:sp macro="" textlink="">
          <xdr:nvSpPr>
            <xdr:cNvPr id="3516" name="Object 444" hidden="1">
              <a:extLst>
                <a:ext uri="{63B3BB69-23CF-44E3-9099-C40C66FF867C}">
                  <a14:compatExt spid="_x0000_s35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428625</xdr:colOff>
          <xdr:row>343</xdr:row>
          <xdr:rowOff>152400</xdr:rowOff>
        </xdr:from>
        <xdr:to>
          <xdr:col>2</xdr:col>
          <xdr:colOff>609600</xdr:colOff>
          <xdr:row>344</xdr:row>
          <xdr:rowOff>104775</xdr:rowOff>
        </xdr:to>
        <xdr:sp macro="" textlink="">
          <xdr:nvSpPr>
            <xdr:cNvPr id="3517" name="Object 445" hidden="1">
              <a:extLst>
                <a:ext uri="{63B3BB69-23CF-44E3-9099-C40C66FF867C}">
                  <a14:compatExt spid="_x0000_s35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257175</xdr:colOff>
          <xdr:row>343</xdr:row>
          <xdr:rowOff>85725</xdr:rowOff>
        </xdr:from>
        <xdr:to>
          <xdr:col>3</xdr:col>
          <xdr:colOff>676275</xdr:colOff>
          <xdr:row>344</xdr:row>
          <xdr:rowOff>161925</xdr:rowOff>
        </xdr:to>
        <xdr:sp macro="" textlink="">
          <xdr:nvSpPr>
            <xdr:cNvPr id="3518" name="Object 446" hidden="1">
              <a:extLst>
                <a:ext uri="{63B3BB69-23CF-44E3-9099-C40C66FF867C}">
                  <a14:compatExt spid="_x0000_s35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295275</xdr:colOff>
          <xdr:row>346</xdr:row>
          <xdr:rowOff>104775</xdr:rowOff>
        </xdr:from>
        <xdr:to>
          <xdr:col>2</xdr:col>
          <xdr:colOff>733425</xdr:colOff>
          <xdr:row>347</xdr:row>
          <xdr:rowOff>228600</xdr:rowOff>
        </xdr:to>
        <xdr:sp macro="" textlink="">
          <xdr:nvSpPr>
            <xdr:cNvPr id="3519" name="Object 447" hidden="1">
              <a:extLst>
                <a:ext uri="{63B3BB69-23CF-44E3-9099-C40C66FF867C}">
                  <a14:compatExt spid="_x0000_s35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295275</xdr:colOff>
          <xdr:row>346</xdr:row>
          <xdr:rowOff>104775</xdr:rowOff>
        </xdr:from>
        <xdr:to>
          <xdr:col>3</xdr:col>
          <xdr:colOff>733425</xdr:colOff>
          <xdr:row>347</xdr:row>
          <xdr:rowOff>228600</xdr:rowOff>
        </xdr:to>
        <xdr:sp macro="" textlink="">
          <xdr:nvSpPr>
            <xdr:cNvPr id="3520" name="Object 448" hidden="1">
              <a:extLst>
                <a:ext uri="{63B3BB69-23CF-44E3-9099-C40C66FF867C}">
                  <a14:compatExt spid="_x0000_s35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343</xdr:row>
          <xdr:rowOff>85725</xdr:rowOff>
        </xdr:from>
        <xdr:to>
          <xdr:col>4</xdr:col>
          <xdr:colOff>733425</xdr:colOff>
          <xdr:row>344</xdr:row>
          <xdr:rowOff>161925</xdr:rowOff>
        </xdr:to>
        <xdr:sp macro="" textlink="">
          <xdr:nvSpPr>
            <xdr:cNvPr id="3521" name="Object 449" hidden="1">
              <a:extLst>
                <a:ext uri="{63B3BB69-23CF-44E3-9099-C40C66FF867C}">
                  <a14:compatExt spid="_x0000_s35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346</xdr:row>
          <xdr:rowOff>85725</xdr:rowOff>
        </xdr:from>
        <xdr:to>
          <xdr:col>4</xdr:col>
          <xdr:colOff>733425</xdr:colOff>
          <xdr:row>347</xdr:row>
          <xdr:rowOff>161925</xdr:rowOff>
        </xdr:to>
        <xdr:sp macro="" textlink="">
          <xdr:nvSpPr>
            <xdr:cNvPr id="3522" name="Object 450" hidden="1">
              <a:extLst>
                <a:ext uri="{63B3BB69-23CF-44E3-9099-C40C66FF867C}">
                  <a14:compatExt spid="_x0000_s35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304800</xdr:colOff>
          <xdr:row>346</xdr:row>
          <xdr:rowOff>76200</xdr:rowOff>
        </xdr:from>
        <xdr:to>
          <xdr:col>7</xdr:col>
          <xdr:colOff>733425</xdr:colOff>
          <xdr:row>347</xdr:row>
          <xdr:rowOff>161925</xdr:rowOff>
        </xdr:to>
        <xdr:sp macro="" textlink="">
          <xdr:nvSpPr>
            <xdr:cNvPr id="3523" name="Object 451" hidden="1">
              <a:extLst>
                <a:ext uri="{63B3BB69-23CF-44E3-9099-C40C66FF867C}">
                  <a14:compatExt spid="_x0000_s35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428625</xdr:colOff>
          <xdr:row>343</xdr:row>
          <xdr:rowOff>152400</xdr:rowOff>
        </xdr:from>
        <xdr:to>
          <xdr:col>13</xdr:col>
          <xdr:colOff>609600</xdr:colOff>
          <xdr:row>344</xdr:row>
          <xdr:rowOff>104775</xdr:rowOff>
        </xdr:to>
        <xdr:sp macro="" textlink="">
          <xdr:nvSpPr>
            <xdr:cNvPr id="3524" name="Object 452" hidden="1">
              <a:extLst>
                <a:ext uri="{63B3BB69-23CF-44E3-9099-C40C66FF867C}">
                  <a14:compatExt spid="_x0000_s35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257175</xdr:colOff>
          <xdr:row>343</xdr:row>
          <xdr:rowOff>85725</xdr:rowOff>
        </xdr:from>
        <xdr:to>
          <xdr:col>14</xdr:col>
          <xdr:colOff>676275</xdr:colOff>
          <xdr:row>344</xdr:row>
          <xdr:rowOff>161925</xdr:rowOff>
        </xdr:to>
        <xdr:sp macro="" textlink="">
          <xdr:nvSpPr>
            <xdr:cNvPr id="3525" name="Object 453" hidden="1">
              <a:extLst>
                <a:ext uri="{63B3BB69-23CF-44E3-9099-C40C66FF867C}">
                  <a14:compatExt spid="_x0000_s35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295275</xdr:colOff>
          <xdr:row>346</xdr:row>
          <xdr:rowOff>104775</xdr:rowOff>
        </xdr:from>
        <xdr:to>
          <xdr:col>13</xdr:col>
          <xdr:colOff>733425</xdr:colOff>
          <xdr:row>347</xdr:row>
          <xdr:rowOff>228600</xdr:rowOff>
        </xdr:to>
        <xdr:sp macro="" textlink="">
          <xdr:nvSpPr>
            <xdr:cNvPr id="3526" name="Object 454" hidden="1">
              <a:extLst>
                <a:ext uri="{63B3BB69-23CF-44E3-9099-C40C66FF867C}">
                  <a14:compatExt spid="_x0000_s35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295275</xdr:colOff>
          <xdr:row>346</xdr:row>
          <xdr:rowOff>104775</xdr:rowOff>
        </xdr:from>
        <xdr:to>
          <xdr:col>14</xdr:col>
          <xdr:colOff>733425</xdr:colOff>
          <xdr:row>347</xdr:row>
          <xdr:rowOff>228600</xdr:rowOff>
        </xdr:to>
        <xdr:sp macro="" textlink="">
          <xdr:nvSpPr>
            <xdr:cNvPr id="3527" name="Object 455" hidden="1">
              <a:extLst>
                <a:ext uri="{63B3BB69-23CF-44E3-9099-C40C66FF867C}">
                  <a14:compatExt spid="_x0000_s35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314325</xdr:colOff>
          <xdr:row>343</xdr:row>
          <xdr:rowOff>85725</xdr:rowOff>
        </xdr:from>
        <xdr:to>
          <xdr:col>15</xdr:col>
          <xdr:colOff>733425</xdr:colOff>
          <xdr:row>344</xdr:row>
          <xdr:rowOff>161925</xdr:rowOff>
        </xdr:to>
        <xdr:sp macro="" textlink="">
          <xdr:nvSpPr>
            <xdr:cNvPr id="3528" name="Object 456" hidden="1">
              <a:extLst>
                <a:ext uri="{63B3BB69-23CF-44E3-9099-C40C66FF867C}">
                  <a14:compatExt spid="_x0000_s35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304800</xdr:colOff>
          <xdr:row>346</xdr:row>
          <xdr:rowOff>85725</xdr:rowOff>
        </xdr:from>
        <xdr:to>
          <xdr:col>15</xdr:col>
          <xdr:colOff>733425</xdr:colOff>
          <xdr:row>347</xdr:row>
          <xdr:rowOff>161925</xdr:rowOff>
        </xdr:to>
        <xdr:sp macro="" textlink="">
          <xdr:nvSpPr>
            <xdr:cNvPr id="3529" name="Object 457" hidden="1">
              <a:extLst>
                <a:ext uri="{63B3BB69-23CF-44E3-9099-C40C66FF867C}">
                  <a14:compatExt spid="_x0000_s35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304800</xdr:colOff>
          <xdr:row>346</xdr:row>
          <xdr:rowOff>76200</xdr:rowOff>
        </xdr:from>
        <xdr:to>
          <xdr:col>18</xdr:col>
          <xdr:colOff>733425</xdr:colOff>
          <xdr:row>347</xdr:row>
          <xdr:rowOff>161925</xdr:rowOff>
        </xdr:to>
        <xdr:sp macro="" textlink="">
          <xdr:nvSpPr>
            <xdr:cNvPr id="3530" name="Object 458" hidden="1">
              <a:extLst>
                <a:ext uri="{63B3BB69-23CF-44E3-9099-C40C66FF867C}">
                  <a14:compatExt spid="_x0000_s35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304800</xdr:colOff>
          <xdr:row>45</xdr:row>
          <xdr:rowOff>76200</xdr:rowOff>
        </xdr:from>
        <xdr:to>
          <xdr:col>32</xdr:col>
          <xdr:colOff>714375</xdr:colOff>
          <xdr:row>46</xdr:row>
          <xdr:rowOff>142875</xdr:rowOff>
        </xdr:to>
        <xdr:sp macro="" textlink="">
          <xdr:nvSpPr>
            <xdr:cNvPr id="3531" name="Object 459" hidden="1">
              <a:extLst>
                <a:ext uri="{63B3BB69-23CF-44E3-9099-C40C66FF867C}">
                  <a14:compatExt spid="_x0000_s35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304800</xdr:colOff>
          <xdr:row>45</xdr:row>
          <xdr:rowOff>76200</xdr:rowOff>
        </xdr:from>
        <xdr:to>
          <xdr:col>36</xdr:col>
          <xdr:colOff>714375</xdr:colOff>
          <xdr:row>46</xdr:row>
          <xdr:rowOff>142875</xdr:rowOff>
        </xdr:to>
        <xdr:sp macro="" textlink="">
          <xdr:nvSpPr>
            <xdr:cNvPr id="3532" name="Object 460" hidden="1">
              <a:extLst>
                <a:ext uri="{63B3BB69-23CF-44E3-9099-C40C66FF867C}">
                  <a14:compatExt spid="_x0000_s35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202408</xdr:colOff>
      <xdr:row>12</xdr:row>
      <xdr:rowOff>180295</xdr:rowOff>
    </xdr:from>
    <xdr:to>
      <xdr:col>11</xdr:col>
      <xdr:colOff>369095</xdr:colOff>
      <xdr:row>30</xdr:row>
      <xdr:rowOff>23813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202408</xdr:colOff>
      <xdr:row>12</xdr:row>
      <xdr:rowOff>180295</xdr:rowOff>
    </xdr:from>
    <xdr:to>
      <xdr:col>11</xdr:col>
      <xdr:colOff>369095</xdr:colOff>
      <xdr:row>30</xdr:row>
      <xdr:rowOff>23813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428625</xdr:colOff>
          <xdr:row>1</xdr:row>
          <xdr:rowOff>152400</xdr:rowOff>
        </xdr:from>
        <xdr:to>
          <xdr:col>3</xdr:col>
          <xdr:colOff>600075</xdr:colOff>
          <xdr:row>2</xdr:row>
          <xdr:rowOff>114300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257175</xdr:colOff>
          <xdr:row>1</xdr:row>
          <xdr:rowOff>85725</xdr:rowOff>
        </xdr:from>
        <xdr:to>
          <xdr:col>4</xdr:col>
          <xdr:colOff>647700</xdr:colOff>
          <xdr:row>2</xdr:row>
          <xdr:rowOff>180975</xdr:rowOff>
        </xdr:to>
        <xdr:sp macro="" textlink="">
          <xdr:nvSpPr>
            <xdr:cNvPr id="5122" name="Object 2" hidden="1">
              <a:extLst>
                <a:ext uri="{63B3BB69-23CF-44E3-9099-C40C66FF867C}">
                  <a14:compatExt spid="_x0000_s5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314325</xdr:colOff>
          <xdr:row>1</xdr:row>
          <xdr:rowOff>85725</xdr:rowOff>
        </xdr:from>
        <xdr:to>
          <xdr:col>5</xdr:col>
          <xdr:colOff>714375</xdr:colOff>
          <xdr:row>2</xdr:row>
          <xdr:rowOff>180975</xdr:rowOff>
        </xdr:to>
        <xdr:sp macro="" textlink="">
          <xdr:nvSpPr>
            <xdr:cNvPr id="5123" name="Object 3" hidden="1">
              <a:extLst>
                <a:ext uri="{63B3BB69-23CF-44E3-9099-C40C66FF867C}">
                  <a14:compatExt spid="_x0000_s5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428625</xdr:colOff>
          <xdr:row>1</xdr:row>
          <xdr:rowOff>152400</xdr:rowOff>
        </xdr:from>
        <xdr:to>
          <xdr:col>14</xdr:col>
          <xdr:colOff>600075</xdr:colOff>
          <xdr:row>2</xdr:row>
          <xdr:rowOff>114300</xdr:rowOff>
        </xdr:to>
        <xdr:sp macro="" textlink="">
          <xdr:nvSpPr>
            <xdr:cNvPr id="5124" name="Object 4" hidden="1">
              <a:extLst>
                <a:ext uri="{63B3BB69-23CF-44E3-9099-C40C66FF867C}">
                  <a14:compatExt spid="_x0000_s5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257175</xdr:colOff>
          <xdr:row>1</xdr:row>
          <xdr:rowOff>85725</xdr:rowOff>
        </xdr:from>
        <xdr:to>
          <xdr:col>15</xdr:col>
          <xdr:colOff>647700</xdr:colOff>
          <xdr:row>2</xdr:row>
          <xdr:rowOff>180975</xdr:rowOff>
        </xdr:to>
        <xdr:sp macro="" textlink="">
          <xdr:nvSpPr>
            <xdr:cNvPr id="5125" name="Object 5" hidden="1">
              <a:extLst>
                <a:ext uri="{63B3BB69-23CF-44E3-9099-C40C66FF867C}">
                  <a14:compatExt spid="_x0000_s5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314325</xdr:colOff>
          <xdr:row>1</xdr:row>
          <xdr:rowOff>85725</xdr:rowOff>
        </xdr:from>
        <xdr:to>
          <xdr:col>16</xdr:col>
          <xdr:colOff>714375</xdr:colOff>
          <xdr:row>2</xdr:row>
          <xdr:rowOff>180975</xdr:rowOff>
        </xdr:to>
        <xdr:sp macro="" textlink="">
          <xdr:nvSpPr>
            <xdr:cNvPr id="5126" name="Object 6" hidden="1">
              <a:extLst>
                <a:ext uri="{63B3BB69-23CF-44E3-9099-C40C66FF867C}">
                  <a14:compatExt spid="_x0000_s5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428625</xdr:colOff>
          <xdr:row>1</xdr:row>
          <xdr:rowOff>152400</xdr:rowOff>
        </xdr:from>
        <xdr:to>
          <xdr:col>25</xdr:col>
          <xdr:colOff>600075</xdr:colOff>
          <xdr:row>2</xdr:row>
          <xdr:rowOff>114300</xdr:rowOff>
        </xdr:to>
        <xdr:sp macro="" textlink="">
          <xdr:nvSpPr>
            <xdr:cNvPr id="5127" name="Object 7" hidden="1">
              <a:extLst>
                <a:ext uri="{63B3BB69-23CF-44E3-9099-C40C66FF867C}">
                  <a14:compatExt spid="_x0000_s5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257175</xdr:colOff>
          <xdr:row>1</xdr:row>
          <xdr:rowOff>85725</xdr:rowOff>
        </xdr:from>
        <xdr:to>
          <xdr:col>26</xdr:col>
          <xdr:colOff>647700</xdr:colOff>
          <xdr:row>2</xdr:row>
          <xdr:rowOff>180975</xdr:rowOff>
        </xdr:to>
        <xdr:sp macro="" textlink="">
          <xdr:nvSpPr>
            <xdr:cNvPr id="5128" name="Object 8" hidden="1">
              <a:extLst>
                <a:ext uri="{63B3BB69-23CF-44E3-9099-C40C66FF867C}">
                  <a14:compatExt spid="_x0000_s51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314325</xdr:colOff>
          <xdr:row>1</xdr:row>
          <xdr:rowOff>85725</xdr:rowOff>
        </xdr:from>
        <xdr:to>
          <xdr:col>27</xdr:col>
          <xdr:colOff>714375</xdr:colOff>
          <xdr:row>2</xdr:row>
          <xdr:rowOff>180975</xdr:rowOff>
        </xdr:to>
        <xdr:sp macro="" textlink="">
          <xdr:nvSpPr>
            <xdr:cNvPr id="5129" name="Object 9" hidden="1">
              <a:extLst>
                <a:ext uri="{63B3BB69-23CF-44E3-9099-C40C66FF867C}">
                  <a14:compatExt spid="_x0000_s5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428625</xdr:colOff>
          <xdr:row>1</xdr:row>
          <xdr:rowOff>152400</xdr:rowOff>
        </xdr:from>
        <xdr:to>
          <xdr:col>36</xdr:col>
          <xdr:colOff>600075</xdr:colOff>
          <xdr:row>2</xdr:row>
          <xdr:rowOff>114300</xdr:rowOff>
        </xdr:to>
        <xdr:sp macro="" textlink="">
          <xdr:nvSpPr>
            <xdr:cNvPr id="5130" name="Object 10" hidden="1">
              <a:extLst>
                <a:ext uri="{63B3BB69-23CF-44E3-9099-C40C66FF867C}">
                  <a14:compatExt spid="_x0000_s5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257175</xdr:colOff>
          <xdr:row>1</xdr:row>
          <xdr:rowOff>85725</xdr:rowOff>
        </xdr:from>
        <xdr:to>
          <xdr:col>37</xdr:col>
          <xdr:colOff>647700</xdr:colOff>
          <xdr:row>2</xdr:row>
          <xdr:rowOff>180975</xdr:rowOff>
        </xdr:to>
        <xdr:sp macro="" textlink="">
          <xdr:nvSpPr>
            <xdr:cNvPr id="5131" name="Object 11" hidden="1">
              <a:extLst>
                <a:ext uri="{63B3BB69-23CF-44E3-9099-C40C66FF867C}">
                  <a14:compatExt spid="_x0000_s51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314325</xdr:colOff>
          <xdr:row>1</xdr:row>
          <xdr:rowOff>85725</xdr:rowOff>
        </xdr:from>
        <xdr:to>
          <xdr:col>38</xdr:col>
          <xdr:colOff>714375</xdr:colOff>
          <xdr:row>2</xdr:row>
          <xdr:rowOff>180975</xdr:rowOff>
        </xdr:to>
        <xdr:sp macro="" textlink="">
          <xdr:nvSpPr>
            <xdr:cNvPr id="5132" name="Object 12" hidden="1">
              <a:extLst>
                <a:ext uri="{63B3BB69-23CF-44E3-9099-C40C66FF867C}">
                  <a14:compatExt spid="_x0000_s51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428625</xdr:colOff>
          <xdr:row>1</xdr:row>
          <xdr:rowOff>152400</xdr:rowOff>
        </xdr:from>
        <xdr:to>
          <xdr:col>47</xdr:col>
          <xdr:colOff>600075</xdr:colOff>
          <xdr:row>2</xdr:row>
          <xdr:rowOff>114300</xdr:rowOff>
        </xdr:to>
        <xdr:sp macro="" textlink="">
          <xdr:nvSpPr>
            <xdr:cNvPr id="5133" name="Object 13" hidden="1">
              <a:extLst>
                <a:ext uri="{63B3BB69-23CF-44E3-9099-C40C66FF867C}">
                  <a14:compatExt spid="_x0000_s51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257175</xdr:colOff>
          <xdr:row>1</xdr:row>
          <xdr:rowOff>85725</xdr:rowOff>
        </xdr:from>
        <xdr:to>
          <xdr:col>48</xdr:col>
          <xdr:colOff>647700</xdr:colOff>
          <xdr:row>2</xdr:row>
          <xdr:rowOff>180975</xdr:rowOff>
        </xdr:to>
        <xdr:sp macro="" textlink="">
          <xdr:nvSpPr>
            <xdr:cNvPr id="5134" name="Object 14" hidden="1">
              <a:extLst>
                <a:ext uri="{63B3BB69-23CF-44E3-9099-C40C66FF867C}">
                  <a14:compatExt spid="_x0000_s5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314325</xdr:colOff>
          <xdr:row>1</xdr:row>
          <xdr:rowOff>85725</xdr:rowOff>
        </xdr:from>
        <xdr:to>
          <xdr:col>49</xdr:col>
          <xdr:colOff>714375</xdr:colOff>
          <xdr:row>2</xdr:row>
          <xdr:rowOff>180975</xdr:rowOff>
        </xdr:to>
        <xdr:sp macro="" textlink="">
          <xdr:nvSpPr>
            <xdr:cNvPr id="5135" name="Object 15" hidden="1">
              <a:extLst>
                <a:ext uri="{63B3BB69-23CF-44E3-9099-C40C66FF867C}">
                  <a14:compatExt spid="_x0000_s51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58</xdr:col>
          <xdr:colOff>428625</xdr:colOff>
          <xdr:row>1</xdr:row>
          <xdr:rowOff>152400</xdr:rowOff>
        </xdr:from>
        <xdr:to>
          <xdr:col>58</xdr:col>
          <xdr:colOff>600075</xdr:colOff>
          <xdr:row>2</xdr:row>
          <xdr:rowOff>114300</xdr:rowOff>
        </xdr:to>
        <xdr:sp macro="" textlink="">
          <xdr:nvSpPr>
            <xdr:cNvPr id="5136" name="Object 16" hidden="1">
              <a:extLst>
                <a:ext uri="{63B3BB69-23CF-44E3-9099-C40C66FF867C}">
                  <a14:compatExt spid="_x0000_s51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59</xdr:col>
          <xdr:colOff>257175</xdr:colOff>
          <xdr:row>1</xdr:row>
          <xdr:rowOff>85725</xdr:rowOff>
        </xdr:from>
        <xdr:to>
          <xdr:col>59</xdr:col>
          <xdr:colOff>647700</xdr:colOff>
          <xdr:row>2</xdr:row>
          <xdr:rowOff>180975</xdr:rowOff>
        </xdr:to>
        <xdr:sp macro="" textlink="">
          <xdr:nvSpPr>
            <xdr:cNvPr id="5137" name="Object 17" hidden="1">
              <a:extLst>
                <a:ext uri="{63B3BB69-23CF-44E3-9099-C40C66FF867C}">
                  <a14:compatExt spid="_x0000_s51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60</xdr:col>
          <xdr:colOff>314325</xdr:colOff>
          <xdr:row>1</xdr:row>
          <xdr:rowOff>85725</xdr:rowOff>
        </xdr:from>
        <xdr:to>
          <xdr:col>60</xdr:col>
          <xdr:colOff>714375</xdr:colOff>
          <xdr:row>2</xdr:row>
          <xdr:rowOff>180975</xdr:rowOff>
        </xdr:to>
        <xdr:sp macro="" textlink="">
          <xdr:nvSpPr>
            <xdr:cNvPr id="5138" name="Object 18" hidden="1">
              <a:extLst>
                <a:ext uri="{63B3BB69-23CF-44E3-9099-C40C66FF867C}">
                  <a14:compatExt spid="_x0000_s5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428625</xdr:colOff>
          <xdr:row>33</xdr:row>
          <xdr:rowOff>152400</xdr:rowOff>
        </xdr:from>
        <xdr:to>
          <xdr:col>3</xdr:col>
          <xdr:colOff>600075</xdr:colOff>
          <xdr:row>34</xdr:row>
          <xdr:rowOff>114300</xdr:rowOff>
        </xdr:to>
        <xdr:sp macro="" textlink="">
          <xdr:nvSpPr>
            <xdr:cNvPr id="5139" name="Object 19" hidden="1">
              <a:extLst>
                <a:ext uri="{63B3BB69-23CF-44E3-9099-C40C66FF867C}">
                  <a14:compatExt spid="_x0000_s51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257175</xdr:colOff>
          <xdr:row>33</xdr:row>
          <xdr:rowOff>85725</xdr:rowOff>
        </xdr:from>
        <xdr:to>
          <xdr:col>4</xdr:col>
          <xdr:colOff>647700</xdr:colOff>
          <xdr:row>34</xdr:row>
          <xdr:rowOff>180975</xdr:rowOff>
        </xdr:to>
        <xdr:sp macro="" textlink="">
          <xdr:nvSpPr>
            <xdr:cNvPr id="5140" name="Object 20" hidden="1">
              <a:extLst>
                <a:ext uri="{63B3BB69-23CF-44E3-9099-C40C66FF867C}">
                  <a14:compatExt spid="_x0000_s51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314325</xdr:colOff>
          <xdr:row>33</xdr:row>
          <xdr:rowOff>85725</xdr:rowOff>
        </xdr:from>
        <xdr:to>
          <xdr:col>5</xdr:col>
          <xdr:colOff>714375</xdr:colOff>
          <xdr:row>34</xdr:row>
          <xdr:rowOff>180975</xdr:rowOff>
        </xdr:to>
        <xdr:sp macro="" textlink="">
          <xdr:nvSpPr>
            <xdr:cNvPr id="5141" name="Object 21" hidden="1">
              <a:extLst>
                <a:ext uri="{63B3BB69-23CF-44E3-9099-C40C66FF867C}">
                  <a14:compatExt spid="_x0000_s51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428625</xdr:colOff>
          <xdr:row>33</xdr:row>
          <xdr:rowOff>152400</xdr:rowOff>
        </xdr:from>
        <xdr:to>
          <xdr:col>14</xdr:col>
          <xdr:colOff>600075</xdr:colOff>
          <xdr:row>34</xdr:row>
          <xdr:rowOff>114300</xdr:rowOff>
        </xdr:to>
        <xdr:sp macro="" textlink="">
          <xdr:nvSpPr>
            <xdr:cNvPr id="5142" name="Object 22" hidden="1">
              <a:extLst>
                <a:ext uri="{63B3BB69-23CF-44E3-9099-C40C66FF867C}">
                  <a14:compatExt spid="_x0000_s5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257175</xdr:colOff>
          <xdr:row>33</xdr:row>
          <xdr:rowOff>85725</xdr:rowOff>
        </xdr:from>
        <xdr:to>
          <xdr:col>15</xdr:col>
          <xdr:colOff>647700</xdr:colOff>
          <xdr:row>34</xdr:row>
          <xdr:rowOff>180975</xdr:rowOff>
        </xdr:to>
        <xdr:sp macro="" textlink="">
          <xdr:nvSpPr>
            <xdr:cNvPr id="5143" name="Object 23" hidden="1">
              <a:extLst>
                <a:ext uri="{63B3BB69-23CF-44E3-9099-C40C66FF867C}">
                  <a14:compatExt spid="_x0000_s5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314325</xdr:colOff>
          <xdr:row>33</xdr:row>
          <xdr:rowOff>85725</xdr:rowOff>
        </xdr:from>
        <xdr:to>
          <xdr:col>16</xdr:col>
          <xdr:colOff>714375</xdr:colOff>
          <xdr:row>34</xdr:row>
          <xdr:rowOff>180975</xdr:rowOff>
        </xdr:to>
        <xdr:sp macro="" textlink="">
          <xdr:nvSpPr>
            <xdr:cNvPr id="5144" name="Object 24" hidden="1">
              <a:extLst>
                <a:ext uri="{63B3BB69-23CF-44E3-9099-C40C66FF867C}">
                  <a14:compatExt spid="_x0000_s5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428625</xdr:colOff>
          <xdr:row>33</xdr:row>
          <xdr:rowOff>152400</xdr:rowOff>
        </xdr:from>
        <xdr:to>
          <xdr:col>25</xdr:col>
          <xdr:colOff>600075</xdr:colOff>
          <xdr:row>34</xdr:row>
          <xdr:rowOff>114300</xdr:rowOff>
        </xdr:to>
        <xdr:sp macro="" textlink="">
          <xdr:nvSpPr>
            <xdr:cNvPr id="5145" name="Object 25" hidden="1">
              <a:extLst>
                <a:ext uri="{63B3BB69-23CF-44E3-9099-C40C66FF867C}">
                  <a14:compatExt spid="_x0000_s5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257175</xdr:colOff>
          <xdr:row>33</xdr:row>
          <xdr:rowOff>85725</xdr:rowOff>
        </xdr:from>
        <xdr:to>
          <xdr:col>26</xdr:col>
          <xdr:colOff>647700</xdr:colOff>
          <xdr:row>34</xdr:row>
          <xdr:rowOff>180975</xdr:rowOff>
        </xdr:to>
        <xdr:sp macro="" textlink="">
          <xdr:nvSpPr>
            <xdr:cNvPr id="5146" name="Object 26" hidden="1">
              <a:extLst>
                <a:ext uri="{63B3BB69-23CF-44E3-9099-C40C66FF867C}">
                  <a14:compatExt spid="_x0000_s5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314325</xdr:colOff>
          <xdr:row>33</xdr:row>
          <xdr:rowOff>85725</xdr:rowOff>
        </xdr:from>
        <xdr:to>
          <xdr:col>27</xdr:col>
          <xdr:colOff>714375</xdr:colOff>
          <xdr:row>34</xdr:row>
          <xdr:rowOff>180975</xdr:rowOff>
        </xdr:to>
        <xdr:sp macro="" textlink="">
          <xdr:nvSpPr>
            <xdr:cNvPr id="5147" name="Object 27" hidden="1">
              <a:extLst>
                <a:ext uri="{63B3BB69-23CF-44E3-9099-C40C66FF867C}">
                  <a14:compatExt spid="_x0000_s51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428625</xdr:colOff>
          <xdr:row>33</xdr:row>
          <xdr:rowOff>152400</xdr:rowOff>
        </xdr:from>
        <xdr:to>
          <xdr:col>36</xdr:col>
          <xdr:colOff>600075</xdr:colOff>
          <xdr:row>34</xdr:row>
          <xdr:rowOff>114300</xdr:rowOff>
        </xdr:to>
        <xdr:sp macro="" textlink="">
          <xdr:nvSpPr>
            <xdr:cNvPr id="5148" name="Object 28" hidden="1">
              <a:extLst>
                <a:ext uri="{63B3BB69-23CF-44E3-9099-C40C66FF867C}">
                  <a14:compatExt spid="_x0000_s5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257175</xdr:colOff>
          <xdr:row>33</xdr:row>
          <xdr:rowOff>85725</xdr:rowOff>
        </xdr:from>
        <xdr:to>
          <xdr:col>37</xdr:col>
          <xdr:colOff>647700</xdr:colOff>
          <xdr:row>34</xdr:row>
          <xdr:rowOff>180975</xdr:rowOff>
        </xdr:to>
        <xdr:sp macro="" textlink="">
          <xdr:nvSpPr>
            <xdr:cNvPr id="5149" name="Object 29" hidden="1">
              <a:extLst>
                <a:ext uri="{63B3BB69-23CF-44E3-9099-C40C66FF867C}">
                  <a14:compatExt spid="_x0000_s5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314325</xdr:colOff>
          <xdr:row>33</xdr:row>
          <xdr:rowOff>85725</xdr:rowOff>
        </xdr:from>
        <xdr:to>
          <xdr:col>38</xdr:col>
          <xdr:colOff>714375</xdr:colOff>
          <xdr:row>34</xdr:row>
          <xdr:rowOff>180975</xdr:rowOff>
        </xdr:to>
        <xdr:sp macro="" textlink="">
          <xdr:nvSpPr>
            <xdr:cNvPr id="5150" name="Object 30" hidden="1">
              <a:extLst>
                <a:ext uri="{63B3BB69-23CF-44E3-9099-C40C66FF867C}">
                  <a14:compatExt spid="_x0000_s5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428625</xdr:colOff>
          <xdr:row>33</xdr:row>
          <xdr:rowOff>152400</xdr:rowOff>
        </xdr:from>
        <xdr:to>
          <xdr:col>47</xdr:col>
          <xdr:colOff>600075</xdr:colOff>
          <xdr:row>34</xdr:row>
          <xdr:rowOff>114300</xdr:rowOff>
        </xdr:to>
        <xdr:sp macro="" textlink="">
          <xdr:nvSpPr>
            <xdr:cNvPr id="5151" name="Object 31" hidden="1">
              <a:extLst>
                <a:ext uri="{63B3BB69-23CF-44E3-9099-C40C66FF867C}">
                  <a14:compatExt spid="_x0000_s51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257175</xdr:colOff>
          <xdr:row>33</xdr:row>
          <xdr:rowOff>85725</xdr:rowOff>
        </xdr:from>
        <xdr:to>
          <xdr:col>48</xdr:col>
          <xdr:colOff>647700</xdr:colOff>
          <xdr:row>34</xdr:row>
          <xdr:rowOff>180975</xdr:rowOff>
        </xdr:to>
        <xdr:sp macro="" textlink="">
          <xdr:nvSpPr>
            <xdr:cNvPr id="5152" name="Object 32" hidden="1">
              <a:extLst>
                <a:ext uri="{63B3BB69-23CF-44E3-9099-C40C66FF867C}">
                  <a14:compatExt spid="_x0000_s5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314325</xdr:colOff>
          <xdr:row>33</xdr:row>
          <xdr:rowOff>85725</xdr:rowOff>
        </xdr:from>
        <xdr:to>
          <xdr:col>49</xdr:col>
          <xdr:colOff>714375</xdr:colOff>
          <xdr:row>34</xdr:row>
          <xdr:rowOff>180975</xdr:rowOff>
        </xdr:to>
        <xdr:sp macro="" textlink="">
          <xdr:nvSpPr>
            <xdr:cNvPr id="5153" name="Object 33" hidden="1">
              <a:extLst>
                <a:ext uri="{63B3BB69-23CF-44E3-9099-C40C66FF867C}">
                  <a14:compatExt spid="_x0000_s51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58</xdr:col>
          <xdr:colOff>428625</xdr:colOff>
          <xdr:row>33</xdr:row>
          <xdr:rowOff>152400</xdr:rowOff>
        </xdr:from>
        <xdr:to>
          <xdr:col>58</xdr:col>
          <xdr:colOff>600075</xdr:colOff>
          <xdr:row>34</xdr:row>
          <xdr:rowOff>114300</xdr:rowOff>
        </xdr:to>
        <xdr:sp macro="" textlink="">
          <xdr:nvSpPr>
            <xdr:cNvPr id="5154" name="Object 34" hidden="1">
              <a:extLst>
                <a:ext uri="{63B3BB69-23CF-44E3-9099-C40C66FF867C}">
                  <a14:compatExt spid="_x0000_s5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59</xdr:col>
          <xdr:colOff>257175</xdr:colOff>
          <xdr:row>33</xdr:row>
          <xdr:rowOff>85725</xdr:rowOff>
        </xdr:from>
        <xdr:to>
          <xdr:col>59</xdr:col>
          <xdr:colOff>647700</xdr:colOff>
          <xdr:row>34</xdr:row>
          <xdr:rowOff>180975</xdr:rowOff>
        </xdr:to>
        <xdr:sp macro="" textlink="">
          <xdr:nvSpPr>
            <xdr:cNvPr id="5155" name="Object 35" hidden="1">
              <a:extLst>
                <a:ext uri="{63B3BB69-23CF-44E3-9099-C40C66FF867C}">
                  <a14:compatExt spid="_x0000_s51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60</xdr:col>
          <xdr:colOff>314325</xdr:colOff>
          <xdr:row>33</xdr:row>
          <xdr:rowOff>85725</xdr:rowOff>
        </xdr:from>
        <xdr:to>
          <xdr:col>60</xdr:col>
          <xdr:colOff>714375</xdr:colOff>
          <xdr:row>34</xdr:row>
          <xdr:rowOff>180975</xdr:rowOff>
        </xdr:to>
        <xdr:sp macro="" textlink="">
          <xdr:nvSpPr>
            <xdr:cNvPr id="5156" name="Object 36" hidden="1">
              <a:extLst>
                <a:ext uri="{63B3BB69-23CF-44E3-9099-C40C66FF867C}">
                  <a14:compatExt spid="_x0000_s51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295275</xdr:colOff>
          <xdr:row>4</xdr:row>
          <xdr:rowOff>104775</xdr:rowOff>
        </xdr:from>
        <xdr:to>
          <xdr:col>3</xdr:col>
          <xdr:colOff>714375</xdr:colOff>
          <xdr:row>5</xdr:row>
          <xdr:rowOff>200025</xdr:rowOff>
        </xdr:to>
        <xdr:sp macro="" textlink="">
          <xdr:nvSpPr>
            <xdr:cNvPr id="5157" name="Object 37" hidden="1">
              <a:extLst>
                <a:ext uri="{63B3BB69-23CF-44E3-9099-C40C66FF867C}">
                  <a14:compatExt spid="_x0000_s51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4</xdr:row>
          <xdr:rowOff>104775</xdr:rowOff>
        </xdr:from>
        <xdr:to>
          <xdr:col>4</xdr:col>
          <xdr:colOff>714375</xdr:colOff>
          <xdr:row>5</xdr:row>
          <xdr:rowOff>200025</xdr:rowOff>
        </xdr:to>
        <xdr:sp macro="" textlink="">
          <xdr:nvSpPr>
            <xdr:cNvPr id="5158" name="Object 38" hidden="1">
              <a:extLst>
                <a:ext uri="{63B3BB69-23CF-44E3-9099-C40C66FF867C}">
                  <a14:compatExt spid="_x0000_s5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304800</xdr:colOff>
          <xdr:row>4</xdr:row>
          <xdr:rowOff>85725</xdr:rowOff>
        </xdr:from>
        <xdr:to>
          <xdr:col>5</xdr:col>
          <xdr:colOff>714375</xdr:colOff>
          <xdr:row>5</xdr:row>
          <xdr:rowOff>180975</xdr:rowOff>
        </xdr:to>
        <xdr:sp macro="" textlink="">
          <xdr:nvSpPr>
            <xdr:cNvPr id="5159" name="Object 39" hidden="1">
              <a:extLst>
                <a:ext uri="{63B3BB69-23CF-44E3-9099-C40C66FF867C}">
                  <a14:compatExt spid="_x0000_s51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295275</xdr:colOff>
          <xdr:row>4</xdr:row>
          <xdr:rowOff>104775</xdr:rowOff>
        </xdr:from>
        <xdr:to>
          <xdr:col>14</xdr:col>
          <xdr:colOff>714375</xdr:colOff>
          <xdr:row>5</xdr:row>
          <xdr:rowOff>200025</xdr:rowOff>
        </xdr:to>
        <xdr:sp macro="" textlink="">
          <xdr:nvSpPr>
            <xdr:cNvPr id="5160" name="Object 40" hidden="1">
              <a:extLst>
                <a:ext uri="{63B3BB69-23CF-44E3-9099-C40C66FF867C}">
                  <a14:compatExt spid="_x0000_s51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295275</xdr:colOff>
          <xdr:row>4</xdr:row>
          <xdr:rowOff>104775</xdr:rowOff>
        </xdr:from>
        <xdr:to>
          <xdr:col>15</xdr:col>
          <xdr:colOff>714375</xdr:colOff>
          <xdr:row>5</xdr:row>
          <xdr:rowOff>200025</xdr:rowOff>
        </xdr:to>
        <xdr:sp macro="" textlink="">
          <xdr:nvSpPr>
            <xdr:cNvPr id="5161" name="Object 41" hidden="1">
              <a:extLst>
                <a:ext uri="{63B3BB69-23CF-44E3-9099-C40C66FF867C}">
                  <a14:compatExt spid="_x0000_s51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304800</xdr:colOff>
          <xdr:row>4</xdr:row>
          <xdr:rowOff>85725</xdr:rowOff>
        </xdr:from>
        <xdr:to>
          <xdr:col>16</xdr:col>
          <xdr:colOff>714375</xdr:colOff>
          <xdr:row>5</xdr:row>
          <xdr:rowOff>180975</xdr:rowOff>
        </xdr:to>
        <xdr:sp macro="" textlink="">
          <xdr:nvSpPr>
            <xdr:cNvPr id="5162" name="Object 42" hidden="1">
              <a:extLst>
                <a:ext uri="{63B3BB69-23CF-44E3-9099-C40C66FF867C}">
                  <a14:compatExt spid="_x0000_s5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295275</xdr:colOff>
          <xdr:row>4</xdr:row>
          <xdr:rowOff>104775</xdr:rowOff>
        </xdr:from>
        <xdr:to>
          <xdr:col>25</xdr:col>
          <xdr:colOff>714375</xdr:colOff>
          <xdr:row>5</xdr:row>
          <xdr:rowOff>200025</xdr:rowOff>
        </xdr:to>
        <xdr:sp macro="" textlink="">
          <xdr:nvSpPr>
            <xdr:cNvPr id="5163" name="Object 43" hidden="1">
              <a:extLst>
                <a:ext uri="{63B3BB69-23CF-44E3-9099-C40C66FF867C}">
                  <a14:compatExt spid="_x0000_s51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295275</xdr:colOff>
          <xdr:row>4</xdr:row>
          <xdr:rowOff>104775</xdr:rowOff>
        </xdr:from>
        <xdr:to>
          <xdr:col>26</xdr:col>
          <xdr:colOff>714375</xdr:colOff>
          <xdr:row>5</xdr:row>
          <xdr:rowOff>200025</xdr:rowOff>
        </xdr:to>
        <xdr:sp macro="" textlink="">
          <xdr:nvSpPr>
            <xdr:cNvPr id="5164" name="Object 44" hidden="1">
              <a:extLst>
                <a:ext uri="{63B3BB69-23CF-44E3-9099-C40C66FF867C}">
                  <a14:compatExt spid="_x0000_s51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304800</xdr:colOff>
          <xdr:row>4</xdr:row>
          <xdr:rowOff>85725</xdr:rowOff>
        </xdr:from>
        <xdr:to>
          <xdr:col>27</xdr:col>
          <xdr:colOff>714375</xdr:colOff>
          <xdr:row>5</xdr:row>
          <xdr:rowOff>180975</xdr:rowOff>
        </xdr:to>
        <xdr:sp macro="" textlink="">
          <xdr:nvSpPr>
            <xdr:cNvPr id="5165" name="Object 45" hidden="1">
              <a:extLst>
                <a:ext uri="{63B3BB69-23CF-44E3-9099-C40C66FF867C}">
                  <a14:compatExt spid="_x0000_s51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295275</xdr:colOff>
          <xdr:row>4</xdr:row>
          <xdr:rowOff>104775</xdr:rowOff>
        </xdr:from>
        <xdr:to>
          <xdr:col>36</xdr:col>
          <xdr:colOff>714375</xdr:colOff>
          <xdr:row>5</xdr:row>
          <xdr:rowOff>200025</xdr:rowOff>
        </xdr:to>
        <xdr:sp macro="" textlink="">
          <xdr:nvSpPr>
            <xdr:cNvPr id="5166" name="Object 46" hidden="1">
              <a:extLst>
                <a:ext uri="{63B3BB69-23CF-44E3-9099-C40C66FF867C}">
                  <a14:compatExt spid="_x0000_s5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295275</xdr:colOff>
          <xdr:row>4</xdr:row>
          <xdr:rowOff>104775</xdr:rowOff>
        </xdr:from>
        <xdr:to>
          <xdr:col>37</xdr:col>
          <xdr:colOff>714375</xdr:colOff>
          <xdr:row>5</xdr:row>
          <xdr:rowOff>200025</xdr:rowOff>
        </xdr:to>
        <xdr:sp macro="" textlink="">
          <xdr:nvSpPr>
            <xdr:cNvPr id="5167" name="Object 47" hidden="1">
              <a:extLst>
                <a:ext uri="{63B3BB69-23CF-44E3-9099-C40C66FF867C}">
                  <a14:compatExt spid="_x0000_s51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304800</xdr:colOff>
          <xdr:row>4</xdr:row>
          <xdr:rowOff>85725</xdr:rowOff>
        </xdr:from>
        <xdr:to>
          <xdr:col>38</xdr:col>
          <xdr:colOff>714375</xdr:colOff>
          <xdr:row>5</xdr:row>
          <xdr:rowOff>180975</xdr:rowOff>
        </xdr:to>
        <xdr:sp macro="" textlink="">
          <xdr:nvSpPr>
            <xdr:cNvPr id="5168" name="Object 48" hidden="1">
              <a:extLst>
                <a:ext uri="{63B3BB69-23CF-44E3-9099-C40C66FF867C}">
                  <a14:compatExt spid="_x0000_s51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295275</xdr:colOff>
          <xdr:row>4</xdr:row>
          <xdr:rowOff>104775</xdr:rowOff>
        </xdr:from>
        <xdr:to>
          <xdr:col>47</xdr:col>
          <xdr:colOff>714375</xdr:colOff>
          <xdr:row>5</xdr:row>
          <xdr:rowOff>200025</xdr:rowOff>
        </xdr:to>
        <xdr:sp macro="" textlink="">
          <xdr:nvSpPr>
            <xdr:cNvPr id="5169" name="Object 49" hidden="1">
              <a:extLst>
                <a:ext uri="{63B3BB69-23CF-44E3-9099-C40C66FF867C}">
                  <a14:compatExt spid="_x0000_s5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295275</xdr:colOff>
          <xdr:row>4</xdr:row>
          <xdr:rowOff>104775</xdr:rowOff>
        </xdr:from>
        <xdr:to>
          <xdr:col>48</xdr:col>
          <xdr:colOff>714375</xdr:colOff>
          <xdr:row>5</xdr:row>
          <xdr:rowOff>200025</xdr:rowOff>
        </xdr:to>
        <xdr:sp macro="" textlink="">
          <xdr:nvSpPr>
            <xdr:cNvPr id="5170" name="Object 50" hidden="1">
              <a:extLst>
                <a:ext uri="{63B3BB69-23CF-44E3-9099-C40C66FF867C}">
                  <a14:compatExt spid="_x0000_s5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304800</xdr:colOff>
          <xdr:row>4</xdr:row>
          <xdr:rowOff>85725</xdr:rowOff>
        </xdr:from>
        <xdr:to>
          <xdr:col>49</xdr:col>
          <xdr:colOff>714375</xdr:colOff>
          <xdr:row>5</xdr:row>
          <xdr:rowOff>180975</xdr:rowOff>
        </xdr:to>
        <xdr:sp macro="" textlink="">
          <xdr:nvSpPr>
            <xdr:cNvPr id="5171" name="Object 51" hidden="1">
              <a:extLst>
                <a:ext uri="{63B3BB69-23CF-44E3-9099-C40C66FF867C}">
                  <a14:compatExt spid="_x0000_s5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58</xdr:col>
          <xdr:colOff>295275</xdr:colOff>
          <xdr:row>4</xdr:row>
          <xdr:rowOff>104775</xdr:rowOff>
        </xdr:from>
        <xdr:to>
          <xdr:col>58</xdr:col>
          <xdr:colOff>714375</xdr:colOff>
          <xdr:row>5</xdr:row>
          <xdr:rowOff>200025</xdr:rowOff>
        </xdr:to>
        <xdr:sp macro="" textlink="">
          <xdr:nvSpPr>
            <xdr:cNvPr id="5172" name="Object 52" hidden="1">
              <a:extLst>
                <a:ext uri="{63B3BB69-23CF-44E3-9099-C40C66FF867C}">
                  <a14:compatExt spid="_x0000_s5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59</xdr:col>
          <xdr:colOff>295275</xdr:colOff>
          <xdr:row>4</xdr:row>
          <xdr:rowOff>104775</xdr:rowOff>
        </xdr:from>
        <xdr:to>
          <xdr:col>59</xdr:col>
          <xdr:colOff>714375</xdr:colOff>
          <xdr:row>5</xdr:row>
          <xdr:rowOff>200025</xdr:rowOff>
        </xdr:to>
        <xdr:sp macro="" textlink="">
          <xdr:nvSpPr>
            <xdr:cNvPr id="5173" name="Object 53" hidden="1">
              <a:extLst>
                <a:ext uri="{63B3BB69-23CF-44E3-9099-C40C66FF867C}">
                  <a14:compatExt spid="_x0000_s5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60</xdr:col>
          <xdr:colOff>304800</xdr:colOff>
          <xdr:row>4</xdr:row>
          <xdr:rowOff>85725</xdr:rowOff>
        </xdr:from>
        <xdr:to>
          <xdr:col>60</xdr:col>
          <xdr:colOff>714375</xdr:colOff>
          <xdr:row>5</xdr:row>
          <xdr:rowOff>180975</xdr:rowOff>
        </xdr:to>
        <xdr:sp macro="" textlink="">
          <xdr:nvSpPr>
            <xdr:cNvPr id="5174" name="Object 54" hidden="1">
              <a:extLst>
                <a:ext uri="{63B3BB69-23CF-44E3-9099-C40C66FF867C}">
                  <a14:compatExt spid="_x0000_s5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295275</xdr:colOff>
          <xdr:row>36</xdr:row>
          <xdr:rowOff>104775</xdr:rowOff>
        </xdr:from>
        <xdr:to>
          <xdr:col>3</xdr:col>
          <xdr:colOff>714375</xdr:colOff>
          <xdr:row>37</xdr:row>
          <xdr:rowOff>200025</xdr:rowOff>
        </xdr:to>
        <xdr:sp macro="" textlink="">
          <xdr:nvSpPr>
            <xdr:cNvPr id="5175" name="Object 55" hidden="1">
              <a:extLst>
                <a:ext uri="{63B3BB69-23CF-44E3-9099-C40C66FF867C}">
                  <a14:compatExt spid="_x0000_s5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36</xdr:row>
          <xdr:rowOff>104775</xdr:rowOff>
        </xdr:from>
        <xdr:to>
          <xdr:col>4</xdr:col>
          <xdr:colOff>714375</xdr:colOff>
          <xdr:row>37</xdr:row>
          <xdr:rowOff>200025</xdr:rowOff>
        </xdr:to>
        <xdr:sp macro="" textlink="">
          <xdr:nvSpPr>
            <xdr:cNvPr id="5176" name="Object 56" hidden="1">
              <a:extLst>
                <a:ext uri="{63B3BB69-23CF-44E3-9099-C40C66FF867C}">
                  <a14:compatExt spid="_x0000_s5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304800</xdr:colOff>
          <xdr:row>36</xdr:row>
          <xdr:rowOff>85725</xdr:rowOff>
        </xdr:from>
        <xdr:to>
          <xdr:col>5</xdr:col>
          <xdr:colOff>714375</xdr:colOff>
          <xdr:row>37</xdr:row>
          <xdr:rowOff>180975</xdr:rowOff>
        </xdr:to>
        <xdr:sp macro="" textlink="">
          <xdr:nvSpPr>
            <xdr:cNvPr id="5177" name="Object 57" hidden="1">
              <a:extLst>
                <a:ext uri="{63B3BB69-23CF-44E3-9099-C40C66FF867C}">
                  <a14:compatExt spid="_x0000_s5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295275</xdr:colOff>
          <xdr:row>36</xdr:row>
          <xdr:rowOff>104775</xdr:rowOff>
        </xdr:from>
        <xdr:to>
          <xdr:col>14</xdr:col>
          <xdr:colOff>714375</xdr:colOff>
          <xdr:row>37</xdr:row>
          <xdr:rowOff>200025</xdr:rowOff>
        </xdr:to>
        <xdr:sp macro="" textlink="">
          <xdr:nvSpPr>
            <xdr:cNvPr id="5178" name="Object 58" hidden="1">
              <a:extLst>
                <a:ext uri="{63B3BB69-23CF-44E3-9099-C40C66FF867C}">
                  <a14:compatExt spid="_x0000_s5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295275</xdr:colOff>
          <xdr:row>36</xdr:row>
          <xdr:rowOff>104775</xdr:rowOff>
        </xdr:from>
        <xdr:to>
          <xdr:col>15</xdr:col>
          <xdr:colOff>714375</xdr:colOff>
          <xdr:row>37</xdr:row>
          <xdr:rowOff>200025</xdr:rowOff>
        </xdr:to>
        <xdr:sp macro="" textlink="">
          <xdr:nvSpPr>
            <xdr:cNvPr id="5179" name="Object 59" hidden="1">
              <a:extLst>
                <a:ext uri="{63B3BB69-23CF-44E3-9099-C40C66FF867C}">
                  <a14:compatExt spid="_x0000_s51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304800</xdr:colOff>
          <xdr:row>36</xdr:row>
          <xdr:rowOff>85725</xdr:rowOff>
        </xdr:from>
        <xdr:to>
          <xdr:col>16</xdr:col>
          <xdr:colOff>714375</xdr:colOff>
          <xdr:row>37</xdr:row>
          <xdr:rowOff>180975</xdr:rowOff>
        </xdr:to>
        <xdr:sp macro="" textlink="">
          <xdr:nvSpPr>
            <xdr:cNvPr id="5180" name="Object 60" hidden="1">
              <a:extLst>
                <a:ext uri="{63B3BB69-23CF-44E3-9099-C40C66FF867C}">
                  <a14:compatExt spid="_x0000_s51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295275</xdr:colOff>
          <xdr:row>36</xdr:row>
          <xdr:rowOff>104775</xdr:rowOff>
        </xdr:from>
        <xdr:to>
          <xdr:col>25</xdr:col>
          <xdr:colOff>714375</xdr:colOff>
          <xdr:row>37</xdr:row>
          <xdr:rowOff>200025</xdr:rowOff>
        </xdr:to>
        <xdr:sp macro="" textlink="">
          <xdr:nvSpPr>
            <xdr:cNvPr id="5181" name="Object 61" hidden="1">
              <a:extLst>
                <a:ext uri="{63B3BB69-23CF-44E3-9099-C40C66FF867C}">
                  <a14:compatExt spid="_x0000_s51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295275</xdr:colOff>
          <xdr:row>36</xdr:row>
          <xdr:rowOff>104775</xdr:rowOff>
        </xdr:from>
        <xdr:to>
          <xdr:col>26</xdr:col>
          <xdr:colOff>714375</xdr:colOff>
          <xdr:row>37</xdr:row>
          <xdr:rowOff>200025</xdr:rowOff>
        </xdr:to>
        <xdr:sp macro="" textlink="">
          <xdr:nvSpPr>
            <xdr:cNvPr id="5182" name="Object 62" hidden="1">
              <a:extLst>
                <a:ext uri="{63B3BB69-23CF-44E3-9099-C40C66FF867C}">
                  <a14:compatExt spid="_x0000_s5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304800</xdr:colOff>
          <xdr:row>36</xdr:row>
          <xdr:rowOff>85725</xdr:rowOff>
        </xdr:from>
        <xdr:to>
          <xdr:col>27</xdr:col>
          <xdr:colOff>714375</xdr:colOff>
          <xdr:row>37</xdr:row>
          <xdr:rowOff>180975</xdr:rowOff>
        </xdr:to>
        <xdr:sp macro="" textlink="">
          <xdr:nvSpPr>
            <xdr:cNvPr id="5183" name="Object 63" hidden="1">
              <a:extLst>
                <a:ext uri="{63B3BB69-23CF-44E3-9099-C40C66FF867C}">
                  <a14:compatExt spid="_x0000_s51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295275</xdr:colOff>
          <xdr:row>36</xdr:row>
          <xdr:rowOff>104775</xdr:rowOff>
        </xdr:from>
        <xdr:to>
          <xdr:col>36</xdr:col>
          <xdr:colOff>714375</xdr:colOff>
          <xdr:row>37</xdr:row>
          <xdr:rowOff>200025</xdr:rowOff>
        </xdr:to>
        <xdr:sp macro="" textlink="">
          <xdr:nvSpPr>
            <xdr:cNvPr id="5184" name="Object 64" hidden="1">
              <a:extLst>
                <a:ext uri="{63B3BB69-23CF-44E3-9099-C40C66FF867C}">
                  <a14:compatExt spid="_x0000_s51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295275</xdr:colOff>
          <xdr:row>36</xdr:row>
          <xdr:rowOff>104775</xdr:rowOff>
        </xdr:from>
        <xdr:to>
          <xdr:col>37</xdr:col>
          <xdr:colOff>714375</xdr:colOff>
          <xdr:row>37</xdr:row>
          <xdr:rowOff>200025</xdr:rowOff>
        </xdr:to>
        <xdr:sp macro="" textlink="">
          <xdr:nvSpPr>
            <xdr:cNvPr id="5185" name="Object 65" hidden="1">
              <a:extLst>
                <a:ext uri="{63B3BB69-23CF-44E3-9099-C40C66FF867C}">
                  <a14:compatExt spid="_x0000_s51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304800</xdr:colOff>
          <xdr:row>36</xdr:row>
          <xdr:rowOff>85725</xdr:rowOff>
        </xdr:from>
        <xdr:to>
          <xdr:col>38</xdr:col>
          <xdr:colOff>714375</xdr:colOff>
          <xdr:row>37</xdr:row>
          <xdr:rowOff>180975</xdr:rowOff>
        </xdr:to>
        <xdr:sp macro="" textlink="">
          <xdr:nvSpPr>
            <xdr:cNvPr id="5186" name="Object 66" hidden="1">
              <a:extLst>
                <a:ext uri="{63B3BB69-23CF-44E3-9099-C40C66FF867C}">
                  <a14:compatExt spid="_x0000_s5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295275</xdr:colOff>
          <xdr:row>36</xdr:row>
          <xdr:rowOff>104775</xdr:rowOff>
        </xdr:from>
        <xdr:to>
          <xdr:col>47</xdr:col>
          <xdr:colOff>714375</xdr:colOff>
          <xdr:row>37</xdr:row>
          <xdr:rowOff>200025</xdr:rowOff>
        </xdr:to>
        <xdr:sp macro="" textlink="">
          <xdr:nvSpPr>
            <xdr:cNvPr id="5187" name="Object 67" hidden="1">
              <a:extLst>
                <a:ext uri="{63B3BB69-23CF-44E3-9099-C40C66FF867C}">
                  <a14:compatExt spid="_x0000_s51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295275</xdr:colOff>
          <xdr:row>36</xdr:row>
          <xdr:rowOff>104775</xdr:rowOff>
        </xdr:from>
        <xdr:to>
          <xdr:col>48</xdr:col>
          <xdr:colOff>714375</xdr:colOff>
          <xdr:row>37</xdr:row>
          <xdr:rowOff>200025</xdr:rowOff>
        </xdr:to>
        <xdr:sp macro="" textlink="">
          <xdr:nvSpPr>
            <xdr:cNvPr id="5188" name="Object 68" hidden="1">
              <a:extLst>
                <a:ext uri="{63B3BB69-23CF-44E3-9099-C40C66FF867C}">
                  <a14:compatExt spid="_x0000_s51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304800</xdr:colOff>
          <xdr:row>36</xdr:row>
          <xdr:rowOff>85725</xdr:rowOff>
        </xdr:from>
        <xdr:to>
          <xdr:col>49</xdr:col>
          <xdr:colOff>714375</xdr:colOff>
          <xdr:row>37</xdr:row>
          <xdr:rowOff>180975</xdr:rowOff>
        </xdr:to>
        <xdr:sp macro="" textlink="">
          <xdr:nvSpPr>
            <xdr:cNvPr id="5189" name="Object 69" hidden="1">
              <a:extLst>
                <a:ext uri="{63B3BB69-23CF-44E3-9099-C40C66FF867C}">
                  <a14:compatExt spid="_x0000_s51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58</xdr:col>
          <xdr:colOff>295275</xdr:colOff>
          <xdr:row>36</xdr:row>
          <xdr:rowOff>104775</xdr:rowOff>
        </xdr:from>
        <xdr:to>
          <xdr:col>58</xdr:col>
          <xdr:colOff>714375</xdr:colOff>
          <xdr:row>37</xdr:row>
          <xdr:rowOff>200025</xdr:rowOff>
        </xdr:to>
        <xdr:sp macro="" textlink="">
          <xdr:nvSpPr>
            <xdr:cNvPr id="5190" name="Object 70" hidden="1">
              <a:extLst>
                <a:ext uri="{63B3BB69-23CF-44E3-9099-C40C66FF867C}">
                  <a14:compatExt spid="_x0000_s5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59</xdr:col>
          <xdr:colOff>295275</xdr:colOff>
          <xdr:row>36</xdr:row>
          <xdr:rowOff>104775</xdr:rowOff>
        </xdr:from>
        <xdr:to>
          <xdr:col>59</xdr:col>
          <xdr:colOff>714375</xdr:colOff>
          <xdr:row>37</xdr:row>
          <xdr:rowOff>200025</xdr:rowOff>
        </xdr:to>
        <xdr:sp macro="" textlink="">
          <xdr:nvSpPr>
            <xdr:cNvPr id="5191" name="Object 71" hidden="1">
              <a:extLst>
                <a:ext uri="{63B3BB69-23CF-44E3-9099-C40C66FF867C}">
                  <a14:compatExt spid="_x0000_s51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60</xdr:col>
          <xdr:colOff>304800</xdr:colOff>
          <xdr:row>36</xdr:row>
          <xdr:rowOff>85725</xdr:rowOff>
        </xdr:from>
        <xdr:to>
          <xdr:col>60</xdr:col>
          <xdr:colOff>714375</xdr:colOff>
          <xdr:row>37</xdr:row>
          <xdr:rowOff>180975</xdr:rowOff>
        </xdr:to>
        <xdr:sp macro="" textlink="">
          <xdr:nvSpPr>
            <xdr:cNvPr id="5192" name="Object 72" hidden="1">
              <a:extLst>
                <a:ext uri="{63B3BB69-23CF-44E3-9099-C40C66FF867C}">
                  <a14:compatExt spid="_x0000_s51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428625</xdr:colOff>
          <xdr:row>4</xdr:row>
          <xdr:rowOff>114300</xdr:rowOff>
        </xdr:from>
        <xdr:to>
          <xdr:col>6</xdr:col>
          <xdr:colOff>619125</xdr:colOff>
          <xdr:row>5</xdr:row>
          <xdr:rowOff>123825</xdr:rowOff>
        </xdr:to>
        <xdr:sp macro="" textlink="">
          <xdr:nvSpPr>
            <xdr:cNvPr id="5205" name="Object 85" hidden="1">
              <a:extLst>
                <a:ext uri="{63B3BB69-23CF-44E3-9099-C40C66FF867C}">
                  <a14:compatExt spid="_x0000_s5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123825</xdr:colOff>
          <xdr:row>4</xdr:row>
          <xdr:rowOff>114300</xdr:rowOff>
        </xdr:from>
        <xdr:to>
          <xdr:col>7</xdr:col>
          <xdr:colOff>942975</xdr:colOff>
          <xdr:row>5</xdr:row>
          <xdr:rowOff>180975</xdr:rowOff>
        </xdr:to>
        <xdr:sp macro="" textlink="">
          <xdr:nvSpPr>
            <xdr:cNvPr id="5217" name="Object 97" hidden="1">
              <a:extLst>
                <a:ext uri="{63B3BB69-23CF-44E3-9099-C40C66FF867C}">
                  <a14:compatExt spid="_x0000_s5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295275</xdr:colOff>
          <xdr:row>1</xdr:row>
          <xdr:rowOff>104775</xdr:rowOff>
        </xdr:from>
        <xdr:to>
          <xdr:col>6</xdr:col>
          <xdr:colOff>771525</xdr:colOff>
          <xdr:row>2</xdr:row>
          <xdr:rowOff>200025</xdr:rowOff>
        </xdr:to>
        <xdr:sp macro="" textlink="">
          <xdr:nvSpPr>
            <xdr:cNvPr id="5218" name="Object 98" hidden="1">
              <a:extLst>
                <a:ext uri="{63B3BB69-23CF-44E3-9099-C40C66FF867C}">
                  <a14:compatExt spid="_x0000_s5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428625</xdr:colOff>
          <xdr:row>4</xdr:row>
          <xdr:rowOff>114300</xdr:rowOff>
        </xdr:from>
        <xdr:to>
          <xdr:col>17</xdr:col>
          <xdr:colOff>619125</xdr:colOff>
          <xdr:row>5</xdr:row>
          <xdr:rowOff>123825</xdr:rowOff>
        </xdr:to>
        <xdr:sp macro="" textlink="">
          <xdr:nvSpPr>
            <xdr:cNvPr id="5219" name="Object 99" hidden="1">
              <a:extLst>
                <a:ext uri="{63B3BB69-23CF-44E3-9099-C40C66FF867C}">
                  <a14:compatExt spid="_x0000_s52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123825</xdr:colOff>
          <xdr:row>4</xdr:row>
          <xdr:rowOff>114300</xdr:rowOff>
        </xdr:from>
        <xdr:to>
          <xdr:col>18</xdr:col>
          <xdr:colOff>942975</xdr:colOff>
          <xdr:row>5</xdr:row>
          <xdr:rowOff>180975</xdr:rowOff>
        </xdr:to>
        <xdr:sp macro="" textlink="">
          <xdr:nvSpPr>
            <xdr:cNvPr id="5220" name="Object 100" hidden="1">
              <a:extLst>
                <a:ext uri="{63B3BB69-23CF-44E3-9099-C40C66FF867C}">
                  <a14:compatExt spid="_x0000_s52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295275</xdr:colOff>
          <xdr:row>1</xdr:row>
          <xdr:rowOff>104775</xdr:rowOff>
        </xdr:from>
        <xdr:to>
          <xdr:col>17</xdr:col>
          <xdr:colOff>771525</xdr:colOff>
          <xdr:row>2</xdr:row>
          <xdr:rowOff>200025</xdr:rowOff>
        </xdr:to>
        <xdr:sp macro="" textlink="">
          <xdr:nvSpPr>
            <xdr:cNvPr id="5221" name="Object 101" hidden="1">
              <a:extLst>
                <a:ext uri="{63B3BB69-23CF-44E3-9099-C40C66FF867C}">
                  <a14:compatExt spid="_x0000_s52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428625</xdr:colOff>
          <xdr:row>4</xdr:row>
          <xdr:rowOff>114300</xdr:rowOff>
        </xdr:from>
        <xdr:to>
          <xdr:col>28</xdr:col>
          <xdr:colOff>619125</xdr:colOff>
          <xdr:row>5</xdr:row>
          <xdr:rowOff>123825</xdr:rowOff>
        </xdr:to>
        <xdr:sp macro="" textlink="">
          <xdr:nvSpPr>
            <xdr:cNvPr id="5222" name="Object 102" hidden="1">
              <a:extLst>
                <a:ext uri="{63B3BB69-23CF-44E3-9099-C40C66FF867C}">
                  <a14:compatExt spid="_x0000_s52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123825</xdr:colOff>
          <xdr:row>4</xdr:row>
          <xdr:rowOff>114300</xdr:rowOff>
        </xdr:from>
        <xdr:to>
          <xdr:col>29</xdr:col>
          <xdr:colOff>942975</xdr:colOff>
          <xdr:row>5</xdr:row>
          <xdr:rowOff>180975</xdr:rowOff>
        </xdr:to>
        <xdr:sp macro="" textlink="">
          <xdr:nvSpPr>
            <xdr:cNvPr id="5223" name="Object 103" hidden="1">
              <a:extLst>
                <a:ext uri="{63B3BB69-23CF-44E3-9099-C40C66FF867C}">
                  <a14:compatExt spid="_x0000_s52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295275</xdr:colOff>
          <xdr:row>1</xdr:row>
          <xdr:rowOff>104775</xdr:rowOff>
        </xdr:from>
        <xdr:to>
          <xdr:col>28</xdr:col>
          <xdr:colOff>771525</xdr:colOff>
          <xdr:row>2</xdr:row>
          <xdr:rowOff>200025</xdr:rowOff>
        </xdr:to>
        <xdr:sp macro="" textlink="">
          <xdr:nvSpPr>
            <xdr:cNvPr id="5224" name="Object 104" hidden="1">
              <a:extLst>
                <a:ext uri="{63B3BB69-23CF-44E3-9099-C40C66FF867C}">
                  <a14:compatExt spid="_x0000_s52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428625</xdr:colOff>
          <xdr:row>4</xdr:row>
          <xdr:rowOff>114300</xdr:rowOff>
        </xdr:from>
        <xdr:to>
          <xdr:col>39</xdr:col>
          <xdr:colOff>619125</xdr:colOff>
          <xdr:row>5</xdr:row>
          <xdr:rowOff>123825</xdr:rowOff>
        </xdr:to>
        <xdr:sp macro="" textlink="">
          <xdr:nvSpPr>
            <xdr:cNvPr id="5230" name="Object 110" hidden="1">
              <a:extLst>
                <a:ext uri="{63B3BB69-23CF-44E3-9099-C40C66FF867C}">
                  <a14:compatExt spid="_x0000_s5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123825</xdr:colOff>
          <xdr:row>4</xdr:row>
          <xdr:rowOff>114300</xdr:rowOff>
        </xdr:from>
        <xdr:to>
          <xdr:col>40</xdr:col>
          <xdr:colOff>942975</xdr:colOff>
          <xdr:row>5</xdr:row>
          <xdr:rowOff>180975</xdr:rowOff>
        </xdr:to>
        <xdr:sp macro="" textlink="">
          <xdr:nvSpPr>
            <xdr:cNvPr id="5231" name="Object 111" hidden="1">
              <a:extLst>
                <a:ext uri="{63B3BB69-23CF-44E3-9099-C40C66FF867C}">
                  <a14:compatExt spid="_x0000_s52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295275</xdr:colOff>
          <xdr:row>1</xdr:row>
          <xdr:rowOff>104775</xdr:rowOff>
        </xdr:from>
        <xdr:to>
          <xdr:col>39</xdr:col>
          <xdr:colOff>771525</xdr:colOff>
          <xdr:row>2</xdr:row>
          <xdr:rowOff>200025</xdr:rowOff>
        </xdr:to>
        <xdr:sp macro="" textlink="">
          <xdr:nvSpPr>
            <xdr:cNvPr id="5232" name="Object 112" hidden="1">
              <a:extLst>
                <a:ext uri="{63B3BB69-23CF-44E3-9099-C40C66FF867C}">
                  <a14:compatExt spid="_x0000_s52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428625</xdr:colOff>
          <xdr:row>4</xdr:row>
          <xdr:rowOff>114300</xdr:rowOff>
        </xdr:from>
        <xdr:to>
          <xdr:col>50</xdr:col>
          <xdr:colOff>619125</xdr:colOff>
          <xdr:row>5</xdr:row>
          <xdr:rowOff>123825</xdr:rowOff>
        </xdr:to>
        <xdr:sp macro="" textlink="">
          <xdr:nvSpPr>
            <xdr:cNvPr id="5233" name="Object 113" hidden="1">
              <a:extLst>
                <a:ext uri="{63B3BB69-23CF-44E3-9099-C40C66FF867C}">
                  <a14:compatExt spid="_x0000_s52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123825</xdr:colOff>
          <xdr:row>4</xdr:row>
          <xdr:rowOff>114300</xdr:rowOff>
        </xdr:from>
        <xdr:to>
          <xdr:col>51</xdr:col>
          <xdr:colOff>942975</xdr:colOff>
          <xdr:row>5</xdr:row>
          <xdr:rowOff>180975</xdr:rowOff>
        </xdr:to>
        <xdr:sp macro="" textlink="">
          <xdr:nvSpPr>
            <xdr:cNvPr id="5234" name="Object 114" hidden="1">
              <a:extLst>
                <a:ext uri="{63B3BB69-23CF-44E3-9099-C40C66FF867C}">
                  <a14:compatExt spid="_x0000_s5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295275</xdr:colOff>
          <xdr:row>1</xdr:row>
          <xdr:rowOff>104775</xdr:rowOff>
        </xdr:from>
        <xdr:to>
          <xdr:col>50</xdr:col>
          <xdr:colOff>771525</xdr:colOff>
          <xdr:row>2</xdr:row>
          <xdr:rowOff>200025</xdr:rowOff>
        </xdr:to>
        <xdr:sp macro="" textlink="">
          <xdr:nvSpPr>
            <xdr:cNvPr id="5235" name="Object 115" hidden="1">
              <a:extLst>
                <a:ext uri="{63B3BB69-23CF-44E3-9099-C40C66FF867C}">
                  <a14:compatExt spid="_x0000_s52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428625</xdr:colOff>
          <xdr:row>4</xdr:row>
          <xdr:rowOff>114300</xdr:rowOff>
        </xdr:from>
        <xdr:to>
          <xdr:col>61</xdr:col>
          <xdr:colOff>619125</xdr:colOff>
          <xdr:row>5</xdr:row>
          <xdr:rowOff>123825</xdr:rowOff>
        </xdr:to>
        <xdr:sp macro="" textlink="">
          <xdr:nvSpPr>
            <xdr:cNvPr id="5236" name="Object 116" hidden="1">
              <a:extLst>
                <a:ext uri="{63B3BB69-23CF-44E3-9099-C40C66FF867C}">
                  <a14:compatExt spid="_x0000_s52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62</xdr:col>
          <xdr:colOff>123825</xdr:colOff>
          <xdr:row>4</xdr:row>
          <xdr:rowOff>114300</xdr:rowOff>
        </xdr:from>
        <xdr:to>
          <xdr:col>62</xdr:col>
          <xdr:colOff>942975</xdr:colOff>
          <xdr:row>5</xdr:row>
          <xdr:rowOff>180975</xdr:rowOff>
        </xdr:to>
        <xdr:sp macro="" textlink="">
          <xdr:nvSpPr>
            <xdr:cNvPr id="5237" name="Object 117" hidden="1">
              <a:extLst>
                <a:ext uri="{63B3BB69-23CF-44E3-9099-C40C66FF867C}">
                  <a14:compatExt spid="_x0000_s52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295275</xdr:colOff>
          <xdr:row>1</xdr:row>
          <xdr:rowOff>104775</xdr:rowOff>
        </xdr:from>
        <xdr:to>
          <xdr:col>61</xdr:col>
          <xdr:colOff>771525</xdr:colOff>
          <xdr:row>2</xdr:row>
          <xdr:rowOff>200025</xdr:rowOff>
        </xdr:to>
        <xdr:sp macro="" textlink="">
          <xdr:nvSpPr>
            <xdr:cNvPr id="5238" name="Object 118" hidden="1">
              <a:extLst>
                <a:ext uri="{63B3BB69-23CF-44E3-9099-C40C66FF867C}">
                  <a14:compatExt spid="_x0000_s5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428625</xdr:colOff>
          <xdr:row>36</xdr:row>
          <xdr:rowOff>114300</xdr:rowOff>
        </xdr:from>
        <xdr:to>
          <xdr:col>6</xdr:col>
          <xdr:colOff>619125</xdr:colOff>
          <xdr:row>37</xdr:row>
          <xdr:rowOff>123825</xdr:rowOff>
        </xdr:to>
        <xdr:sp macro="" textlink="">
          <xdr:nvSpPr>
            <xdr:cNvPr id="5239" name="Object 119" hidden="1">
              <a:extLst>
                <a:ext uri="{63B3BB69-23CF-44E3-9099-C40C66FF867C}">
                  <a14:compatExt spid="_x0000_s52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123825</xdr:colOff>
          <xdr:row>36</xdr:row>
          <xdr:rowOff>114300</xdr:rowOff>
        </xdr:from>
        <xdr:to>
          <xdr:col>7</xdr:col>
          <xdr:colOff>942975</xdr:colOff>
          <xdr:row>37</xdr:row>
          <xdr:rowOff>180975</xdr:rowOff>
        </xdr:to>
        <xdr:sp macro="" textlink="">
          <xdr:nvSpPr>
            <xdr:cNvPr id="5240" name="Object 120" hidden="1">
              <a:extLst>
                <a:ext uri="{63B3BB69-23CF-44E3-9099-C40C66FF867C}">
                  <a14:compatExt spid="_x0000_s52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295275</xdr:colOff>
          <xdr:row>33</xdr:row>
          <xdr:rowOff>104775</xdr:rowOff>
        </xdr:from>
        <xdr:to>
          <xdr:col>6</xdr:col>
          <xdr:colOff>771525</xdr:colOff>
          <xdr:row>34</xdr:row>
          <xdr:rowOff>200025</xdr:rowOff>
        </xdr:to>
        <xdr:sp macro="" textlink="">
          <xdr:nvSpPr>
            <xdr:cNvPr id="5241" name="Object 121" hidden="1">
              <a:extLst>
                <a:ext uri="{63B3BB69-23CF-44E3-9099-C40C66FF867C}">
                  <a14:compatExt spid="_x0000_s5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428625</xdr:colOff>
          <xdr:row>36</xdr:row>
          <xdr:rowOff>114300</xdr:rowOff>
        </xdr:from>
        <xdr:to>
          <xdr:col>17</xdr:col>
          <xdr:colOff>619125</xdr:colOff>
          <xdr:row>37</xdr:row>
          <xdr:rowOff>123825</xdr:rowOff>
        </xdr:to>
        <xdr:sp macro="" textlink="">
          <xdr:nvSpPr>
            <xdr:cNvPr id="5242" name="Object 122" hidden="1">
              <a:extLst>
                <a:ext uri="{63B3BB69-23CF-44E3-9099-C40C66FF867C}">
                  <a14:compatExt spid="_x0000_s5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123825</xdr:colOff>
          <xdr:row>36</xdr:row>
          <xdr:rowOff>114300</xdr:rowOff>
        </xdr:from>
        <xdr:to>
          <xdr:col>18</xdr:col>
          <xdr:colOff>942975</xdr:colOff>
          <xdr:row>37</xdr:row>
          <xdr:rowOff>180975</xdr:rowOff>
        </xdr:to>
        <xdr:sp macro="" textlink="">
          <xdr:nvSpPr>
            <xdr:cNvPr id="5243" name="Object 123" hidden="1">
              <a:extLst>
                <a:ext uri="{63B3BB69-23CF-44E3-9099-C40C66FF867C}">
                  <a14:compatExt spid="_x0000_s52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295275</xdr:colOff>
          <xdr:row>33</xdr:row>
          <xdr:rowOff>104775</xdr:rowOff>
        </xdr:from>
        <xdr:to>
          <xdr:col>17</xdr:col>
          <xdr:colOff>771525</xdr:colOff>
          <xdr:row>34</xdr:row>
          <xdr:rowOff>200025</xdr:rowOff>
        </xdr:to>
        <xdr:sp macro="" textlink="">
          <xdr:nvSpPr>
            <xdr:cNvPr id="5244" name="Object 124" hidden="1">
              <a:extLst>
                <a:ext uri="{63B3BB69-23CF-44E3-9099-C40C66FF867C}">
                  <a14:compatExt spid="_x0000_s52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428625</xdr:colOff>
          <xdr:row>36</xdr:row>
          <xdr:rowOff>114300</xdr:rowOff>
        </xdr:from>
        <xdr:to>
          <xdr:col>28</xdr:col>
          <xdr:colOff>619125</xdr:colOff>
          <xdr:row>37</xdr:row>
          <xdr:rowOff>123825</xdr:rowOff>
        </xdr:to>
        <xdr:sp macro="" textlink="">
          <xdr:nvSpPr>
            <xdr:cNvPr id="5245" name="Object 125" hidden="1">
              <a:extLst>
                <a:ext uri="{63B3BB69-23CF-44E3-9099-C40C66FF867C}">
                  <a14:compatExt spid="_x0000_s52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123825</xdr:colOff>
          <xdr:row>36</xdr:row>
          <xdr:rowOff>114300</xdr:rowOff>
        </xdr:from>
        <xdr:to>
          <xdr:col>29</xdr:col>
          <xdr:colOff>942975</xdr:colOff>
          <xdr:row>37</xdr:row>
          <xdr:rowOff>180975</xdr:rowOff>
        </xdr:to>
        <xdr:sp macro="" textlink="">
          <xdr:nvSpPr>
            <xdr:cNvPr id="5246" name="Object 126" hidden="1">
              <a:extLst>
                <a:ext uri="{63B3BB69-23CF-44E3-9099-C40C66FF867C}">
                  <a14:compatExt spid="_x0000_s5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295275</xdr:colOff>
          <xdr:row>33</xdr:row>
          <xdr:rowOff>104775</xdr:rowOff>
        </xdr:from>
        <xdr:to>
          <xdr:col>28</xdr:col>
          <xdr:colOff>771525</xdr:colOff>
          <xdr:row>34</xdr:row>
          <xdr:rowOff>200025</xdr:rowOff>
        </xdr:to>
        <xdr:sp macro="" textlink="">
          <xdr:nvSpPr>
            <xdr:cNvPr id="5247" name="Object 127" hidden="1">
              <a:extLst>
                <a:ext uri="{63B3BB69-23CF-44E3-9099-C40C66FF867C}">
                  <a14:compatExt spid="_x0000_s52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428625</xdr:colOff>
          <xdr:row>36</xdr:row>
          <xdr:rowOff>114300</xdr:rowOff>
        </xdr:from>
        <xdr:to>
          <xdr:col>39</xdr:col>
          <xdr:colOff>619125</xdr:colOff>
          <xdr:row>37</xdr:row>
          <xdr:rowOff>123825</xdr:rowOff>
        </xdr:to>
        <xdr:sp macro="" textlink="">
          <xdr:nvSpPr>
            <xdr:cNvPr id="5248" name="Object 128" hidden="1">
              <a:extLst>
                <a:ext uri="{63B3BB69-23CF-44E3-9099-C40C66FF867C}">
                  <a14:compatExt spid="_x0000_s52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123825</xdr:colOff>
          <xdr:row>36</xdr:row>
          <xdr:rowOff>114300</xdr:rowOff>
        </xdr:from>
        <xdr:to>
          <xdr:col>40</xdr:col>
          <xdr:colOff>942975</xdr:colOff>
          <xdr:row>37</xdr:row>
          <xdr:rowOff>180975</xdr:rowOff>
        </xdr:to>
        <xdr:sp macro="" textlink="">
          <xdr:nvSpPr>
            <xdr:cNvPr id="5249" name="Object 129" hidden="1">
              <a:extLst>
                <a:ext uri="{63B3BB69-23CF-44E3-9099-C40C66FF867C}">
                  <a14:compatExt spid="_x0000_s52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295275</xdr:colOff>
          <xdr:row>33</xdr:row>
          <xdr:rowOff>104775</xdr:rowOff>
        </xdr:from>
        <xdr:to>
          <xdr:col>39</xdr:col>
          <xdr:colOff>771525</xdr:colOff>
          <xdr:row>34</xdr:row>
          <xdr:rowOff>200025</xdr:rowOff>
        </xdr:to>
        <xdr:sp macro="" textlink="">
          <xdr:nvSpPr>
            <xdr:cNvPr id="5250" name="Object 130" hidden="1">
              <a:extLst>
                <a:ext uri="{63B3BB69-23CF-44E3-9099-C40C66FF867C}">
                  <a14:compatExt spid="_x0000_s5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428625</xdr:colOff>
          <xdr:row>36</xdr:row>
          <xdr:rowOff>114300</xdr:rowOff>
        </xdr:from>
        <xdr:to>
          <xdr:col>50</xdr:col>
          <xdr:colOff>619125</xdr:colOff>
          <xdr:row>37</xdr:row>
          <xdr:rowOff>123825</xdr:rowOff>
        </xdr:to>
        <xdr:sp macro="" textlink="">
          <xdr:nvSpPr>
            <xdr:cNvPr id="5251" name="Object 131" hidden="1">
              <a:extLst>
                <a:ext uri="{63B3BB69-23CF-44E3-9099-C40C66FF867C}">
                  <a14:compatExt spid="_x0000_s52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123825</xdr:colOff>
          <xdr:row>36</xdr:row>
          <xdr:rowOff>114300</xdr:rowOff>
        </xdr:from>
        <xdr:to>
          <xdr:col>51</xdr:col>
          <xdr:colOff>942975</xdr:colOff>
          <xdr:row>37</xdr:row>
          <xdr:rowOff>180975</xdr:rowOff>
        </xdr:to>
        <xdr:sp macro="" textlink="">
          <xdr:nvSpPr>
            <xdr:cNvPr id="5252" name="Object 132" hidden="1">
              <a:extLst>
                <a:ext uri="{63B3BB69-23CF-44E3-9099-C40C66FF867C}">
                  <a14:compatExt spid="_x0000_s52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295275</xdr:colOff>
          <xdr:row>33</xdr:row>
          <xdr:rowOff>104775</xdr:rowOff>
        </xdr:from>
        <xdr:to>
          <xdr:col>50</xdr:col>
          <xdr:colOff>771525</xdr:colOff>
          <xdr:row>34</xdr:row>
          <xdr:rowOff>200025</xdr:rowOff>
        </xdr:to>
        <xdr:sp macro="" textlink="">
          <xdr:nvSpPr>
            <xdr:cNvPr id="5253" name="Object 133" hidden="1">
              <a:extLst>
                <a:ext uri="{63B3BB69-23CF-44E3-9099-C40C66FF867C}">
                  <a14:compatExt spid="_x0000_s52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428625</xdr:colOff>
          <xdr:row>36</xdr:row>
          <xdr:rowOff>114300</xdr:rowOff>
        </xdr:from>
        <xdr:to>
          <xdr:col>61</xdr:col>
          <xdr:colOff>619125</xdr:colOff>
          <xdr:row>37</xdr:row>
          <xdr:rowOff>123825</xdr:rowOff>
        </xdr:to>
        <xdr:sp macro="" textlink="">
          <xdr:nvSpPr>
            <xdr:cNvPr id="5254" name="Object 134" hidden="1">
              <a:extLst>
                <a:ext uri="{63B3BB69-23CF-44E3-9099-C40C66FF867C}">
                  <a14:compatExt spid="_x0000_s5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62</xdr:col>
          <xdr:colOff>123825</xdr:colOff>
          <xdr:row>36</xdr:row>
          <xdr:rowOff>114300</xdr:rowOff>
        </xdr:from>
        <xdr:to>
          <xdr:col>62</xdr:col>
          <xdr:colOff>942975</xdr:colOff>
          <xdr:row>37</xdr:row>
          <xdr:rowOff>180975</xdr:rowOff>
        </xdr:to>
        <xdr:sp macro="" textlink="">
          <xdr:nvSpPr>
            <xdr:cNvPr id="5255" name="Object 135" hidden="1">
              <a:extLst>
                <a:ext uri="{63B3BB69-23CF-44E3-9099-C40C66FF867C}">
                  <a14:compatExt spid="_x0000_s52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295275</xdr:colOff>
          <xdr:row>33</xdr:row>
          <xdr:rowOff>104775</xdr:rowOff>
        </xdr:from>
        <xdr:to>
          <xdr:col>61</xdr:col>
          <xdr:colOff>771525</xdr:colOff>
          <xdr:row>34</xdr:row>
          <xdr:rowOff>200025</xdr:rowOff>
        </xdr:to>
        <xdr:sp macro="" textlink="">
          <xdr:nvSpPr>
            <xdr:cNvPr id="5256" name="Object 136" hidden="1">
              <a:extLst>
                <a:ext uri="{63B3BB69-23CF-44E3-9099-C40C66FF867C}">
                  <a14:compatExt spid="_x0000_s52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428625</xdr:colOff>
          <xdr:row>4</xdr:row>
          <xdr:rowOff>114300</xdr:rowOff>
        </xdr:from>
        <xdr:to>
          <xdr:col>8</xdr:col>
          <xdr:colOff>619125</xdr:colOff>
          <xdr:row>5</xdr:row>
          <xdr:rowOff>114300</xdr:rowOff>
        </xdr:to>
        <xdr:sp macro="" textlink="">
          <xdr:nvSpPr>
            <xdr:cNvPr id="5257" name="Object 137" hidden="1">
              <a:extLst>
                <a:ext uri="{63B3BB69-23CF-44E3-9099-C40C66FF867C}">
                  <a14:compatExt spid="_x0000_s52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</xdr:row>
          <xdr:rowOff>114300</xdr:rowOff>
        </xdr:from>
        <xdr:to>
          <xdr:col>9</xdr:col>
          <xdr:colOff>942975</xdr:colOff>
          <xdr:row>5</xdr:row>
          <xdr:rowOff>180975</xdr:rowOff>
        </xdr:to>
        <xdr:sp macro="" textlink="">
          <xdr:nvSpPr>
            <xdr:cNvPr id="5258" name="Object 138" hidden="1">
              <a:extLst>
                <a:ext uri="{63B3BB69-23CF-44E3-9099-C40C66FF867C}">
                  <a14:compatExt spid="_x0000_s5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428625</xdr:colOff>
          <xdr:row>4</xdr:row>
          <xdr:rowOff>114300</xdr:rowOff>
        </xdr:from>
        <xdr:to>
          <xdr:col>19</xdr:col>
          <xdr:colOff>619125</xdr:colOff>
          <xdr:row>5</xdr:row>
          <xdr:rowOff>114300</xdr:rowOff>
        </xdr:to>
        <xdr:sp macro="" textlink="">
          <xdr:nvSpPr>
            <xdr:cNvPr id="5259" name="Object 139" hidden="1">
              <a:extLst>
                <a:ext uri="{63B3BB69-23CF-44E3-9099-C40C66FF867C}">
                  <a14:compatExt spid="_x0000_s52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123825</xdr:colOff>
          <xdr:row>4</xdr:row>
          <xdr:rowOff>114300</xdr:rowOff>
        </xdr:from>
        <xdr:to>
          <xdr:col>20</xdr:col>
          <xdr:colOff>942975</xdr:colOff>
          <xdr:row>5</xdr:row>
          <xdr:rowOff>180975</xdr:rowOff>
        </xdr:to>
        <xdr:sp macro="" textlink="">
          <xdr:nvSpPr>
            <xdr:cNvPr id="5260" name="Object 140" hidden="1">
              <a:extLst>
                <a:ext uri="{63B3BB69-23CF-44E3-9099-C40C66FF867C}">
                  <a14:compatExt spid="_x0000_s52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428625</xdr:colOff>
          <xdr:row>4</xdr:row>
          <xdr:rowOff>114300</xdr:rowOff>
        </xdr:from>
        <xdr:to>
          <xdr:col>30</xdr:col>
          <xdr:colOff>619125</xdr:colOff>
          <xdr:row>5</xdr:row>
          <xdr:rowOff>114300</xdr:rowOff>
        </xdr:to>
        <xdr:sp macro="" textlink="">
          <xdr:nvSpPr>
            <xdr:cNvPr id="5261" name="Object 141" hidden="1">
              <a:extLst>
                <a:ext uri="{63B3BB69-23CF-44E3-9099-C40C66FF867C}">
                  <a14:compatExt spid="_x0000_s52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123825</xdr:colOff>
          <xdr:row>4</xdr:row>
          <xdr:rowOff>114300</xdr:rowOff>
        </xdr:from>
        <xdr:to>
          <xdr:col>31</xdr:col>
          <xdr:colOff>942975</xdr:colOff>
          <xdr:row>5</xdr:row>
          <xdr:rowOff>180975</xdr:rowOff>
        </xdr:to>
        <xdr:sp macro="" textlink="">
          <xdr:nvSpPr>
            <xdr:cNvPr id="5262" name="Object 142" hidden="1">
              <a:extLst>
                <a:ext uri="{63B3BB69-23CF-44E3-9099-C40C66FF867C}">
                  <a14:compatExt spid="_x0000_s5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428625</xdr:colOff>
          <xdr:row>4</xdr:row>
          <xdr:rowOff>114300</xdr:rowOff>
        </xdr:from>
        <xdr:to>
          <xdr:col>41</xdr:col>
          <xdr:colOff>619125</xdr:colOff>
          <xdr:row>5</xdr:row>
          <xdr:rowOff>114300</xdr:rowOff>
        </xdr:to>
        <xdr:sp macro="" textlink="">
          <xdr:nvSpPr>
            <xdr:cNvPr id="5263" name="Object 143" hidden="1">
              <a:extLst>
                <a:ext uri="{63B3BB69-23CF-44E3-9099-C40C66FF867C}">
                  <a14:compatExt spid="_x0000_s52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123825</xdr:colOff>
          <xdr:row>4</xdr:row>
          <xdr:rowOff>114300</xdr:rowOff>
        </xdr:from>
        <xdr:to>
          <xdr:col>42</xdr:col>
          <xdr:colOff>942975</xdr:colOff>
          <xdr:row>5</xdr:row>
          <xdr:rowOff>180975</xdr:rowOff>
        </xdr:to>
        <xdr:sp macro="" textlink="">
          <xdr:nvSpPr>
            <xdr:cNvPr id="5264" name="Object 144" hidden="1">
              <a:extLst>
                <a:ext uri="{63B3BB69-23CF-44E3-9099-C40C66FF867C}">
                  <a14:compatExt spid="_x0000_s52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428625</xdr:colOff>
          <xdr:row>4</xdr:row>
          <xdr:rowOff>114300</xdr:rowOff>
        </xdr:from>
        <xdr:to>
          <xdr:col>52</xdr:col>
          <xdr:colOff>619125</xdr:colOff>
          <xdr:row>5</xdr:row>
          <xdr:rowOff>114300</xdr:rowOff>
        </xdr:to>
        <xdr:sp macro="" textlink="">
          <xdr:nvSpPr>
            <xdr:cNvPr id="5265" name="Object 145" hidden="1">
              <a:extLst>
                <a:ext uri="{63B3BB69-23CF-44E3-9099-C40C66FF867C}">
                  <a14:compatExt spid="_x0000_s5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123825</xdr:colOff>
          <xdr:row>4</xdr:row>
          <xdr:rowOff>114300</xdr:rowOff>
        </xdr:from>
        <xdr:to>
          <xdr:col>53</xdr:col>
          <xdr:colOff>942975</xdr:colOff>
          <xdr:row>5</xdr:row>
          <xdr:rowOff>180975</xdr:rowOff>
        </xdr:to>
        <xdr:sp macro="" textlink="">
          <xdr:nvSpPr>
            <xdr:cNvPr id="5266" name="Object 146" hidden="1">
              <a:extLst>
                <a:ext uri="{63B3BB69-23CF-44E3-9099-C40C66FF867C}">
                  <a14:compatExt spid="_x0000_s5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63</xdr:col>
          <xdr:colOff>428625</xdr:colOff>
          <xdr:row>4</xdr:row>
          <xdr:rowOff>114300</xdr:rowOff>
        </xdr:from>
        <xdr:to>
          <xdr:col>63</xdr:col>
          <xdr:colOff>619125</xdr:colOff>
          <xdr:row>5</xdr:row>
          <xdr:rowOff>114300</xdr:rowOff>
        </xdr:to>
        <xdr:sp macro="" textlink="">
          <xdr:nvSpPr>
            <xdr:cNvPr id="5267" name="Object 147" hidden="1">
              <a:extLst>
                <a:ext uri="{63B3BB69-23CF-44E3-9099-C40C66FF867C}">
                  <a14:compatExt spid="_x0000_s52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64</xdr:col>
          <xdr:colOff>123825</xdr:colOff>
          <xdr:row>4</xdr:row>
          <xdr:rowOff>114300</xdr:rowOff>
        </xdr:from>
        <xdr:to>
          <xdr:col>64</xdr:col>
          <xdr:colOff>942975</xdr:colOff>
          <xdr:row>5</xdr:row>
          <xdr:rowOff>180975</xdr:rowOff>
        </xdr:to>
        <xdr:sp macro="" textlink="">
          <xdr:nvSpPr>
            <xdr:cNvPr id="5268" name="Object 148" hidden="1">
              <a:extLst>
                <a:ext uri="{63B3BB69-23CF-44E3-9099-C40C66FF867C}">
                  <a14:compatExt spid="_x0000_s52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63</xdr:col>
          <xdr:colOff>428625</xdr:colOff>
          <xdr:row>36</xdr:row>
          <xdr:rowOff>114300</xdr:rowOff>
        </xdr:from>
        <xdr:to>
          <xdr:col>63</xdr:col>
          <xdr:colOff>619125</xdr:colOff>
          <xdr:row>37</xdr:row>
          <xdr:rowOff>114300</xdr:rowOff>
        </xdr:to>
        <xdr:sp macro="" textlink="">
          <xdr:nvSpPr>
            <xdr:cNvPr id="5269" name="Object 149" hidden="1">
              <a:extLst>
                <a:ext uri="{63B3BB69-23CF-44E3-9099-C40C66FF867C}">
                  <a14:compatExt spid="_x0000_s52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64</xdr:col>
          <xdr:colOff>123825</xdr:colOff>
          <xdr:row>36</xdr:row>
          <xdr:rowOff>114300</xdr:rowOff>
        </xdr:from>
        <xdr:to>
          <xdr:col>64</xdr:col>
          <xdr:colOff>942975</xdr:colOff>
          <xdr:row>37</xdr:row>
          <xdr:rowOff>180975</xdr:rowOff>
        </xdr:to>
        <xdr:sp macro="" textlink="">
          <xdr:nvSpPr>
            <xdr:cNvPr id="5270" name="Object 150" hidden="1">
              <a:extLst>
                <a:ext uri="{63B3BB69-23CF-44E3-9099-C40C66FF867C}">
                  <a14:compatExt spid="_x0000_s5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428625</xdr:colOff>
          <xdr:row>36</xdr:row>
          <xdr:rowOff>114300</xdr:rowOff>
        </xdr:from>
        <xdr:to>
          <xdr:col>52</xdr:col>
          <xdr:colOff>619125</xdr:colOff>
          <xdr:row>37</xdr:row>
          <xdr:rowOff>114300</xdr:rowOff>
        </xdr:to>
        <xdr:sp macro="" textlink="">
          <xdr:nvSpPr>
            <xdr:cNvPr id="5271" name="Object 151" hidden="1">
              <a:extLst>
                <a:ext uri="{63B3BB69-23CF-44E3-9099-C40C66FF867C}">
                  <a14:compatExt spid="_x0000_s52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123825</xdr:colOff>
          <xdr:row>36</xdr:row>
          <xdr:rowOff>114300</xdr:rowOff>
        </xdr:from>
        <xdr:to>
          <xdr:col>53</xdr:col>
          <xdr:colOff>942975</xdr:colOff>
          <xdr:row>37</xdr:row>
          <xdr:rowOff>180975</xdr:rowOff>
        </xdr:to>
        <xdr:sp macro="" textlink="">
          <xdr:nvSpPr>
            <xdr:cNvPr id="5272" name="Object 152" hidden="1">
              <a:extLst>
                <a:ext uri="{63B3BB69-23CF-44E3-9099-C40C66FF867C}">
                  <a14:compatExt spid="_x0000_s52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428625</xdr:colOff>
          <xdr:row>36</xdr:row>
          <xdr:rowOff>114300</xdr:rowOff>
        </xdr:from>
        <xdr:to>
          <xdr:col>41</xdr:col>
          <xdr:colOff>619125</xdr:colOff>
          <xdr:row>37</xdr:row>
          <xdr:rowOff>114300</xdr:rowOff>
        </xdr:to>
        <xdr:sp macro="" textlink="">
          <xdr:nvSpPr>
            <xdr:cNvPr id="5273" name="Object 153" hidden="1">
              <a:extLst>
                <a:ext uri="{63B3BB69-23CF-44E3-9099-C40C66FF867C}">
                  <a14:compatExt spid="_x0000_s52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123825</xdr:colOff>
          <xdr:row>36</xdr:row>
          <xdr:rowOff>114300</xdr:rowOff>
        </xdr:from>
        <xdr:to>
          <xdr:col>42</xdr:col>
          <xdr:colOff>942975</xdr:colOff>
          <xdr:row>37</xdr:row>
          <xdr:rowOff>180975</xdr:rowOff>
        </xdr:to>
        <xdr:sp macro="" textlink="">
          <xdr:nvSpPr>
            <xdr:cNvPr id="5274" name="Object 154" hidden="1">
              <a:extLst>
                <a:ext uri="{63B3BB69-23CF-44E3-9099-C40C66FF867C}">
                  <a14:compatExt spid="_x0000_s5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428625</xdr:colOff>
          <xdr:row>36</xdr:row>
          <xdr:rowOff>114300</xdr:rowOff>
        </xdr:from>
        <xdr:to>
          <xdr:col>30</xdr:col>
          <xdr:colOff>619125</xdr:colOff>
          <xdr:row>37</xdr:row>
          <xdr:rowOff>114300</xdr:rowOff>
        </xdr:to>
        <xdr:sp macro="" textlink="">
          <xdr:nvSpPr>
            <xdr:cNvPr id="5275" name="Object 155" hidden="1">
              <a:extLst>
                <a:ext uri="{63B3BB69-23CF-44E3-9099-C40C66FF867C}">
                  <a14:compatExt spid="_x0000_s52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123825</xdr:colOff>
          <xdr:row>36</xdr:row>
          <xdr:rowOff>114300</xdr:rowOff>
        </xdr:from>
        <xdr:to>
          <xdr:col>31</xdr:col>
          <xdr:colOff>942975</xdr:colOff>
          <xdr:row>37</xdr:row>
          <xdr:rowOff>180975</xdr:rowOff>
        </xdr:to>
        <xdr:sp macro="" textlink="">
          <xdr:nvSpPr>
            <xdr:cNvPr id="5276" name="Object 156" hidden="1">
              <a:extLst>
                <a:ext uri="{63B3BB69-23CF-44E3-9099-C40C66FF867C}">
                  <a14:compatExt spid="_x0000_s52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428625</xdr:colOff>
          <xdr:row>36</xdr:row>
          <xdr:rowOff>114300</xdr:rowOff>
        </xdr:from>
        <xdr:to>
          <xdr:col>19</xdr:col>
          <xdr:colOff>619125</xdr:colOff>
          <xdr:row>37</xdr:row>
          <xdr:rowOff>114300</xdr:rowOff>
        </xdr:to>
        <xdr:sp macro="" textlink="">
          <xdr:nvSpPr>
            <xdr:cNvPr id="5277" name="Object 157" hidden="1">
              <a:extLst>
                <a:ext uri="{63B3BB69-23CF-44E3-9099-C40C66FF867C}">
                  <a14:compatExt spid="_x0000_s52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123825</xdr:colOff>
          <xdr:row>36</xdr:row>
          <xdr:rowOff>114300</xdr:rowOff>
        </xdr:from>
        <xdr:to>
          <xdr:col>20</xdr:col>
          <xdr:colOff>942975</xdr:colOff>
          <xdr:row>37</xdr:row>
          <xdr:rowOff>180975</xdr:rowOff>
        </xdr:to>
        <xdr:sp macro="" textlink="">
          <xdr:nvSpPr>
            <xdr:cNvPr id="5278" name="Object 158" hidden="1">
              <a:extLst>
                <a:ext uri="{63B3BB69-23CF-44E3-9099-C40C66FF867C}">
                  <a14:compatExt spid="_x0000_s5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428625</xdr:colOff>
          <xdr:row>36</xdr:row>
          <xdr:rowOff>114300</xdr:rowOff>
        </xdr:from>
        <xdr:to>
          <xdr:col>8</xdr:col>
          <xdr:colOff>619125</xdr:colOff>
          <xdr:row>37</xdr:row>
          <xdr:rowOff>114300</xdr:rowOff>
        </xdr:to>
        <xdr:sp macro="" textlink="">
          <xdr:nvSpPr>
            <xdr:cNvPr id="5279" name="Object 159" hidden="1">
              <a:extLst>
                <a:ext uri="{63B3BB69-23CF-44E3-9099-C40C66FF867C}">
                  <a14:compatExt spid="_x0000_s52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36</xdr:row>
          <xdr:rowOff>114300</xdr:rowOff>
        </xdr:from>
        <xdr:to>
          <xdr:col>9</xdr:col>
          <xdr:colOff>942975</xdr:colOff>
          <xdr:row>37</xdr:row>
          <xdr:rowOff>180975</xdr:rowOff>
        </xdr:to>
        <xdr:sp macro="" textlink="">
          <xdr:nvSpPr>
            <xdr:cNvPr id="5280" name="Object 160" hidden="1">
              <a:extLst>
                <a:ext uri="{63B3BB69-23CF-44E3-9099-C40C66FF867C}">
                  <a14:compatExt spid="_x0000_s52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200025</xdr:colOff>
          <xdr:row>3</xdr:row>
          <xdr:rowOff>114300</xdr:rowOff>
        </xdr:from>
        <xdr:to>
          <xdr:col>7</xdr:col>
          <xdr:colOff>647700</xdr:colOff>
          <xdr:row>10</xdr:row>
          <xdr:rowOff>114300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304800</xdr:colOff>
          <xdr:row>3</xdr:row>
          <xdr:rowOff>47625</xdr:rowOff>
        </xdr:from>
        <xdr:to>
          <xdr:col>10</xdr:col>
          <xdr:colOff>647700</xdr:colOff>
          <xdr:row>5</xdr:row>
          <xdr:rowOff>114300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219075</xdr:colOff>
          <xdr:row>6</xdr:row>
          <xdr:rowOff>76200</xdr:rowOff>
        </xdr:from>
        <xdr:to>
          <xdr:col>12</xdr:col>
          <xdr:colOff>114300</xdr:colOff>
          <xdr:row>7</xdr:row>
          <xdr:rowOff>161925</xdr:rowOff>
        </xdr:to>
        <xdr:sp macro="" textlink="">
          <xdr:nvSpPr>
            <xdr:cNvPr id="2051" name="Object 3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219075</xdr:colOff>
          <xdr:row>8</xdr:row>
          <xdr:rowOff>161925</xdr:rowOff>
        </xdr:from>
        <xdr:to>
          <xdr:col>10</xdr:col>
          <xdr:colOff>981075</xdr:colOff>
          <xdr:row>11</xdr:row>
          <xdr:rowOff>9525</xdr:rowOff>
        </xdr:to>
        <xdr:sp macro="" textlink="">
          <xdr:nvSpPr>
            <xdr:cNvPr id="2052" name="Object 4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428625</xdr:colOff>
          <xdr:row>12</xdr:row>
          <xdr:rowOff>152400</xdr:rowOff>
        </xdr:from>
        <xdr:to>
          <xdr:col>5</xdr:col>
          <xdr:colOff>600075</xdr:colOff>
          <xdr:row>13</xdr:row>
          <xdr:rowOff>114300</xdr:rowOff>
        </xdr:to>
        <xdr:sp macro="" textlink="">
          <xdr:nvSpPr>
            <xdr:cNvPr id="2053" name="Object 5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257175</xdr:colOff>
          <xdr:row>12</xdr:row>
          <xdr:rowOff>85725</xdr:rowOff>
        </xdr:from>
        <xdr:to>
          <xdr:col>6</xdr:col>
          <xdr:colOff>647700</xdr:colOff>
          <xdr:row>13</xdr:row>
          <xdr:rowOff>180975</xdr:rowOff>
        </xdr:to>
        <xdr:sp macro="" textlink="">
          <xdr:nvSpPr>
            <xdr:cNvPr id="2054" name="Object 6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295275</xdr:colOff>
          <xdr:row>15</xdr:row>
          <xdr:rowOff>104775</xdr:rowOff>
        </xdr:from>
        <xdr:to>
          <xdr:col>5</xdr:col>
          <xdr:colOff>714375</xdr:colOff>
          <xdr:row>16</xdr:row>
          <xdr:rowOff>200025</xdr:rowOff>
        </xdr:to>
        <xdr:sp macro="" textlink="">
          <xdr:nvSpPr>
            <xdr:cNvPr id="2055" name="Object 7" hidden="1">
              <a:extLst>
                <a:ext uri="{63B3BB69-23CF-44E3-9099-C40C66FF867C}">
                  <a14:compatExt spid="_x0000_s2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295275</xdr:colOff>
          <xdr:row>15</xdr:row>
          <xdr:rowOff>104775</xdr:rowOff>
        </xdr:from>
        <xdr:to>
          <xdr:col>6</xdr:col>
          <xdr:colOff>714375</xdr:colOff>
          <xdr:row>16</xdr:row>
          <xdr:rowOff>200025</xdr:rowOff>
        </xdr:to>
        <xdr:sp macro="" textlink="">
          <xdr:nvSpPr>
            <xdr:cNvPr id="2056" name="Object 8" hidden="1">
              <a:extLst>
                <a:ext uri="{63B3BB69-23CF-44E3-9099-C40C66FF867C}">
                  <a14:compatExt spid="_x0000_s2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314325</xdr:colOff>
          <xdr:row>12</xdr:row>
          <xdr:rowOff>85725</xdr:rowOff>
        </xdr:from>
        <xdr:to>
          <xdr:col>7</xdr:col>
          <xdr:colOff>714375</xdr:colOff>
          <xdr:row>13</xdr:row>
          <xdr:rowOff>180975</xdr:rowOff>
        </xdr:to>
        <xdr:sp macro="" textlink="">
          <xdr:nvSpPr>
            <xdr:cNvPr id="2057" name="Object 9" hidden="1">
              <a:extLst>
                <a:ext uri="{63B3BB69-23CF-44E3-9099-C40C66FF867C}">
                  <a14:compatExt spid="_x0000_s2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304800</xdr:colOff>
          <xdr:row>15</xdr:row>
          <xdr:rowOff>85725</xdr:rowOff>
        </xdr:from>
        <xdr:to>
          <xdr:col>7</xdr:col>
          <xdr:colOff>714375</xdr:colOff>
          <xdr:row>16</xdr:row>
          <xdr:rowOff>180975</xdr:rowOff>
        </xdr:to>
        <xdr:sp macro="" textlink="">
          <xdr:nvSpPr>
            <xdr:cNvPr id="2058" name="Object 10" hidden="1">
              <a:extLst>
                <a:ext uri="{63B3BB69-23CF-44E3-9099-C40C66FF867C}">
                  <a14:compatExt spid="_x0000_s2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64</xdr:col>
          <xdr:colOff>428625</xdr:colOff>
          <xdr:row>12</xdr:row>
          <xdr:rowOff>152400</xdr:rowOff>
        </xdr:from>
        <xdr:to>
          <xdr:col>64</xdr:col>
          <xdr:colOff>600075</xdr:colOff>
          <xdr:row>13</xdr:row>
          <xdr:rowOff>114300</xdr:rowOff>
        </xdr:to>
        <xdr:sp macro="" textlink="">
          <xdr:nvSpPr>
            <xdr:cNvPr id="2059" name="Object 11" hidden="1">
              <a:extLst>
                <a:ext uri="{63B3BB69-23CF-44E3-9099-C40C66FF867C}">
                  <a14:compatExt spid="_x0000_s2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257175</xdr:colOff>
          <xdr:row>12</xdr:row>
          <xdr:rowOff>85725</xdr:rowOff>
        </xdr:from>
        <xdr:to>
          <xdr:col>65</xdr:col>
          <xdr:colOff>647700</xdr:colOff>
          <xdr:row>13</xdr:row>
          <xdr:rowOff>180975</xdr:rowOff>
        </xdr:to>
        <xdr:sp macro="" textlink="">
          <xdr:nvSpPr>
            <xdr:cNvPr id="2060" name="Object 12" hidden="1">
              <a:extLst>
                <a:ext uri="{63B3BB69-23CF-44E3-9099-C40C66FF867C}">
                  <a14:compatExt spid="_x0000_s2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64</xdr:col>
          <xdr:colOff>295275</xdr:colOff>
          <xdr:row>15</xdr:row>
          <xdr:rowOff>104775</xdr:rowOff>
        </xdr:from>
        <xdr:to>
          <xdr:col>64</xdr:col>
          <xdr:colOff>714375</xdr:colOff>
          <xdr:row>16</xdr:row>
          <xdr:rowOff>200025</xdr:rowOff>
        </xdr:to>
        <xdr:sp macro="" textlink="">
          <xdr:nvSpPr>
            <xdr:cNvPr id="2061" name="Object 13" hidden="1">
              <a:extLst>
                <a:ext uri="{63B3BB69-23CF-44E3-9099-C40C66FF867C}">
                  <a14:compatExt spid="_x0000_s2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295275</xdr:colOff>
          <xdr:row>15</xdr:row>
          <xdr:rowOff>104775</xdr:rowOff>
        </xdr:from>
        <xdr:to>
          <xdr:col>65</xdr:col>
          <xdr:colOff>714375</xdr:colOff>
          <xdr:row>16</xdr:row>
          <xdr:rowOff>200025</xdr:rowOff>
        </xdr:to>
        <xdr:sp macro="" textlink="">
          <xdr:nvSpPr>
            <xdr:cNvPr id="2062" name="Object 14" hidden="1">
              <a:extLst>
                <a:ext uri="{63B3BB69-23CF-44E3-9099-C40C66FF867C}">
                  <a14:compatExt spid="_x0000_s2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333375</xdr:colOff>
          <xdr:row>12</xdr:row>
          <xdr:rowOff>85725</xdr:rowOff>
        </xdr:from>
        <xdr:to>
          <xdr:col>66</xdr:col>
          <xdr:colOff>752475</xdr:colOff>
          <xdr:row>13</xdr:row>
          <xdr:rowOff>180975</xdr:rowOff>
        </xdr:to>
        <xdr:sp macro="" textlink="">
          <xdr:nvSpPr>
            <xdr:cNvPr id="2063" name="Object 15" hidden="1">
              <a:extLst>
                <a:ext uri="{63B3BB69-23CF-44E3-9099-C40C66FF867C}">
                  <a14:compatExt spid="_x0000_s20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304800</xdr:colOff>
          <xdr:row>15</xdr:row>
          <xdr:rowOff>85725</xdr:rowOff>
        </xdr:from>
        <xdr:to>
          <xdr:col>66</xdr:col>
          <xdr:colOff>714375</xdr:colOff>
          <xdr:row>16</xdr:row>
          <xdr:rowOff>180975</xdr:rowOff>
        </xdr:to>
        <xdr:sp macro="" textlink="">
          <xdr:nvSpPr>
            <xdr:cNvPr id="2064" name="Object 16" hidden="1">
              <a:extLst>
                <a:ext uri="{63B3BB69-23CF-44E3-9099-C40C66FF867C}">
                  <a14:compatExt spid="_x0000_s2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123</xdr:col>
          <xdr:colOff>428625</xdr:colOff>
          <xdr:row>12</xdr:row>
          <xdr:rowOff>152400</xdr:rowOff>
        </xdr:from>
        <xdr:to>
          <xdr:col>123</xdr:col>
          <xdr:colOff>600075</xdr:colOff>
          <xdr:row>13</xdr:row>
          <xdr:rowOff>114300</xdr:rowOff>
        </xdr:to>
        <xdr:sp macro="" textlink="">
          <xdr:nvSpPr>
            <xdr:cNvPr id="2066" name="Object 18" hidden="1">
              <a:extLst>
                <a:ext uri="{63B3BB69-23CF-44E3-9099-C40C66FF867C}">
                  <a14:compatExt spid="_x0000_s2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124</xdr:col>
          <xdr:colOff>257175</xdr:colOff>
          <xdr:row>12</xdr:row>
          <xdr:rowOff>85725</xdr:rowOff>
        </xdr:from>
        <xdr:to>
          <xdr:col>124</xdr:col>
          <xdr:colOff>647700</xdr:colOff>
          <xdr:row>13</xdr:row>
          <xdr:rowOff>180975</xdr:rowOff>
        </xdr:to>
        <xdr:sp macro="" textlink="">
          <xdr:nvSpPr>
            <xdr:cNvPr id="2067" name="Object 19" hidden="1">
              <a:extLst>
                <a:ext uri="{63B3BB69-23CF-44E3-9099-C40C66FF867C}">
                  <a14:compatExt spid="_x0000_s20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123</xdr:col>
          <xdr:colOff>295275</xdr:colOff>
          <xdr:row>15</xdr:row>
          <xdr:rowOff>104775</xdr:rowOff>
        </xdr:from>
        <xdr:to>
          <xdr:col>123</xdr:col>
          <xdr:colOff>714375</xdr:colOff>
          <xdr:row>16</xdr:row>
          <xdr:rowOff>200025</xdr:rowOff>
        </xdr:to>
        <xdr:sp macro="" textlink="">
          <xdr:nvSpPr>
            <xdr:cNvPr id="2068" name="Object 20" hidden="1">
              <a:extLst>
                <a:ext uri="{63B3BB69-23CF-44E3-9099-C40C66FF867C}">
                  <a14:compatExt spid="_x0000_s20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124</xdr:col>
          <xdr:colOff>295275</xdr:colOff>
          <xdr:row>15</xdr:row>
          <xdr:rowOff>104775</xdr:rowOff>
        </xdr:from>
        <xdr:to>
          <xdr:col>124</xdr:col>
          <xdr:colOff>714375</xdr:colOff>
          <xdr:row>16</xdr:row>
          <xdr:rowOff>200025</xdr:rowOff>
        </xdr:to>
        <xdr:sp macro="" textlink="">
          <xdr:nvSpPr>
            <xdr:cNvPr id="2069" name="Object 21" hidden="1">
              <a:extLst>
                <a:ext uri="{63B3BB69-23CF-44E3-9099-C40C66FF867C}">
                  <a14:compatExt spid="_x0000_s2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125</xdr:col>
          <xdr:colOff>314325</xdr:colOff>
          <xdr:row>12</xdr:row>
          <xdr:rowOff>85725</xdr:rowOff>
        </xdr:from>
        <xdr:to>
          <xdr:col>125</xdr:col>
          <xdr:colOff>714375</xdr:colOff>
          <xdr:row>13</xdr:row>
          <xdr:rowOff>180975</xdr:rowOff>
        </xdr:to>
        <xdr:sp macro="" textlink="">
          <xdr:nvSpPr>
            <xdr:cNvPr id="2070" name="Object 22" hidden="1">
              <a:extLst>
                <a:ext uri="{63B3BB69-23CF-44E3-9099-C40C66FF867C}">
                  <a14:compatExt spid="_x0000_s2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125</xdr:col>
          <xdr:colOff>304800</xdr:colOff>
          <xdr:row>15</xdr:row>
          <xdr:rowOff>85725</xdr:rowOff>
        </xdr:from>
        <xdr:to>
          <xdr:col>125</xdr:col>
          <xdr:colOff>714375</xdr:colOff>
          <xdr:row>16</xdr:row>
          <xdr:rowOff>180975</xdr:rowOff>
        </xdr:to>
        <xdr:sp macro="" textlink="">
          <xdr:nvSpPr>
            <xdr:cNvPr id="2071" name="Object 23" hidden="1">
              <a:extLst>
                <a:ext uri="{63B3BB69-23CF-44E3-9099-C40C66FF867C}">
                  <a14:compatExt spid="_x0000_s2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182</xdr:col>
          <xdr:colOff>428625</xdr:colOff>
          <xdr:row>12</xdr:row>
          <xdr:rowOff>152400</xdr:rowOff>
        </xdr:from>
        <xdr:to>
          <xdr:col>182</xdr:col>
          <xdr:colOff>600075</xdr:colOff>
          <xdr:row>13</xdr:row>
          <xdr:rowOff>114300</xdr:rowOff>
        </xdr:to>
        <xdr:sp macro="" textlink="">
          <xdr:nvSpPr>
            <xdr:cNvPr id="2073" name="Object 25" hidden="1">
              <a:extLst>
                <a:ext uri="{63B3BB69-23CF-44E3-9099-C40C66FF867C}">
                  <a14:compatExt spid="_x0000_s2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183</xdr:col>
          <xdr:colOff>257175</xdr:colOff>
          <xdr:row>12</xdr:row>
          <xdr:rowOff>85725</xdr:rowOff>
        </xdr:from>
        <xdr:to>
          <xdr:col>183</xdr:col>
          <xdr:colOff>647700</xdr:colOff>
          <xdr:row>13</xdr:row>
          <xdr:rowOff>180975</xdr:rowOff>
        </xdr:to>
        <xdr:sp macro="" textlink="">
          <xdr:nvSpPr>
            <xdr:cNvPr id="2074" name="Object 26" hidden="1">
              <a:extLst>
                <a:ext uri="{63B3BB69-23CF-44E3-9099-C40C66FF867C}">
                  <a14:compatExt spid="_x0000_s2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182</xdr:col>
          <xdr:colOff>295275</xdr:colOff>
          <xdr:row>15</xdr:row>
          <xdr:rowOff>104775</xdr:rowOff>
        </xdr:from>
        <xdr:to>
          <xdr:col>182</xdr:col>
          <xdr:colOff>714375</xdr:colOff>
          <xdr:row>16</xdr:row>
          <xdr:rowOff>200025</xdr:rowOff>
        </xdr:to>
        <xdr:sp macro="" textlink="">
          <xdr:nvSpPr>
            <xdr:cNvPr id="2075" name="Object 27" hidden="1">
              <a:extLst>
                <a:ext uri="{63B3BB69-23CF-44E3-9099-C40C66FF867C}">
                  <a14:compatExt spid="_x0000_s2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183</xdr:col>
          <xdr:colOff>295275</xdr:colOff>
          <xdr:row>15</xdr:row>
          <xdr:rowOff>104775</xdr:rowOff>
        </xdr:from>
        <xdr:to>
          <xdr:col>183</xdr:col>
          <xdr:colOff>714375</xdr:colOff>
          <xdr:row>16</xdr:row>
          <xdr:rowOff>200025</xdr:rowOff>
        </xdr:to>
        <xdr:sp macro="" textlink="">
          <xdr:nvSpPr>
            <xdr:cNvPr id="2076" name="Object 28" hidden="1">
              <a:extLst>
                <a:ext uri="{63B3BB69-23CF-44E3-9099-C40C66FF867C}">
                  <a14:compatExt spid="_x0000_s2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184</xdr:col>
          <xdr:colOff>314325</xdr:colOff>
          <xdr:row>12</xdr:row>
          <xdr:rowOff>85725</xdr:rowOff>
        </xdr:from>
        <xdr:to>
          <xdr:col>184</xdr:col>
          <xdr:colOff>714375</xdr:colOff>
          <xdr:row>13</xdr:row>
          <xdr:rowOff>180975</xdr:rowOff>
        </xdr:to>
        <xdr:sp macro="" textlink="">
          <xdr:nvSpPr>
            <xdr:cNvPr id="2077" name="Object 29" hidden="1">
              <a:extLst>
                <a:ext uri="{63B3BB69-23CF-44E3-9099-C40C66FF867C}">
                  <a14:compatExt spid="_x0000_s2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184</xdr:col>
          <xdr:colOff>304800</xdr:colOff>
          <xdr:row>15</xdr:row>
          <xdr:rowOff>85725</xdr:rowOff>
        </xdr:from>
        <xdr:to>
          <xdr:col>184</xdr:col>
          <xdr:colOff>714375</xdr:colOff>
          <xdr:row>16</xdr:row>
          <xdr:rowOff>180975</xdr:rowOff>
        </xdr:to>
        <xdr:sp macro="" textlink="">
          <xdr:nvSpPr>
            <xdr:cNvPr id="2078" name="Object 30" hidden="1">
              <a:extLst>
                <a:ext uri="{63B3BB69-23CF-44E3-9099-C40C66FF867C}">
                  <a14:compatExt spid="_x0000_s2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428625</xdr:colOff>
          <xdr:row>12</xdr:row>
          <xdr:rowOff>152400</xdr:rowOff>
        </xdr:from>
        <xdr:to>
          <xdr:col>241</xdr:col>
          <xdr:colOff>600075</xdr:colOff>
          <xdr:row>13</xdr:row>
          <xdr:rowOff>114300</xdr:rowOff>
        </xdr:to>
        <xdr:sp macro="" textlink="">
          <xdr:nvSpPr>
            <xdr:cNvPr id="2080" name="Object 32" hidden="1">
              <a:extLst>
                <a:ext uri="{63B3BB69-23CF-44E3-9099-C40C66FF867C}">
                  <a14:compatExt spid="_x0000_s2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242</xdr:col>
          <xdr:colOff>257175</xdr:colOff>
          <xdr:row>12</xdr:row>
          <xdr:rowOff>85725</xdr:rowOff>
        </xdr:from>
        <xdr:to>
          <xdr:col>242</xdr:col>
          <xdr:colOff>647700</xdr:colOff>
          <xdr:row>13</xdr:row>
          <xdr:rowOff>180975</xdr:rowOff>
        </xdr:to>
        <xdr:sp macro="" textlink="">
          <xdr:nvSpPr>
            <xdr:cNvPr id="2081" name="Object 33" hidden="1">
              <a:extLst>
                <a:ext uri="{63B3BB69-23CF-44E3-9099-C40C66FF867C}">
                  <a14:compatExt spid="_x0000_s2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295275</xdr:colOff>
          <xdr:row>15</xdr:row>
          <xdr:rowOff>104775</xdr:rowOff>
        </xdr:from>
        <xdr:to>
          <xdr:col>241</xdr:col>
          <xdr:colOff>714375</xdr:colOff>
          <xdr:row>16</xdr:row>
          <xdr:rowOff>200025</xdr:rowOff>
        </xdr:to>
        <xdr:sp macro="" textlink="">
          <xdr:nvSpPr>
            <xdr:cNvPr id="2082" name="Object 34" hidden="1">
              <a:extLst>
                <a:ext uri="{63B3BB69-23CF-44E3-9099-C40C66FF867C}">
                  <a14:compatExt spid="_x0000_s2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242</xdr:col>
          <xdr:colOff>295275</xdr:colOff>
          <xdr:row>15</xdr:row>
          <xdr:rowOff>104775</xdr:rowOff>
        </xdr:from>
        <xdr:to>
          <xdr:col>242</xdr:col>
          <xdr:colOff>714375</xdr:colOff>
          <xdr:row>16</xdr:row>
          <xdr:rowOff>200025</xdr:rowOff>
        </xdr:to>
        <xdr:sp macro="" textlink="">
          <xdr:nvSpPr>
            <xdr:cNvPr id="2083" name="Object 35" hidden="1">
              <a:extLst>
                <a:ext uri="{63B3BB69-23CF-44E3-9099-C40C66FF867C}">
                  <a14:compatExt spid="_x0000_s20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243</xdr:col>
          <xdr:colOff>314325</xdr:colOff>
          <xdr:row>12</xdr:row>
          <xdr:rowOff>85725</xdr:rowOff>
        </xdr:from>
        <xdr:to>
          <xdr:col>243</xdr:col>
          <xdr:colOff>714375</xdr:colOff>
          <xdr:row>13</xdr:row>
          <xdr:rowOff>180975</xdr:rowOff>
        </xdr:to>
        <xdr:sp macro="" textlink="">
          <xdr:nvSpPr>
            <xdr:cNvPr id="2084" name="Object 36" hidden="1">
              <a:extLst>
                <a:ext uri="{63B3BB69-23CF-44E3-9099-C40C66FF867C}">
                  <a14:compatExt spid="_x0000_s2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243</xdr:col>
          <xdr:colOff>304800</xdr:colOff>
          <xdr:row>15</xdr:row>
          <xdr:rowOff>85725</xdr:rowOff>
        </xdr:from>
        <xdr:to>
          <xdr:col>243</xdr:col>
          <xdr:colOff>714375</xdr:colOff>
          <xdr:row>16</xdr:row>
          <xdr:rowOff>180975</xdr:rowOff>
        </xdr:to>
        <xdr:sp macro="" textlink="">
          <xdr:nvSpPr>
            <xdr:cNvPr id="2085" name="Object 37" hidden="1">
              <a:extLst>
                <a:ext uri="{63B3BB69-23CF-44E3-9099-C40C66FF867C}">
                  <a14:compatExt spid="_x0000_s2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300</xdr:col>
          <xdr:colOff>428625</xdr:colOff>
          <xdr:row>12</xdr:row>
          <xdr:rowOff>152400</xdr:rowOff>
        </xdr:from>
        <xdr:to>
          <xdr:col>300</xdr:col>
          <xdr:colOff>600075</xdr:colOff>
          <xdr:row>13</xdr:row>
          <xdr:rowOff>114300</xdr:rowOff>
        </xdr:to>
        <xdr:sp macro="" textlink="">
          <xdr:nvSpPr>
            <xdr:cNvPr id="2087" name="Object 39" hidden="1">
              <a:extLst>
                <a:ext uri="{63B3BB69-23CF-44E3-9099-C40C66FF867C}">
                  <a14:compatExt spid="_x0000_s20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301</xdr:col>
          <xdr:colOff>257175</xdr:colOff>
          <xdr:row>12</xdr:row>
          <xdr:rowOff>85725</xdr:rowOff>
        </xdr:from>
        <xdr:to>
          <xdr:col>301</xdr:col>
          <xdr:colOff>647700</xdr:colOff>
          <xdr:row>13</xdr:row>
          <xdr:rowOff>180975</xdr:rowOff>
        </xdr:to>
        <xdr:sp macro="" textlink="">
          <xdr:nvSpPr>
            <xdr:cNvPr id="2088" name="Object 40" hidden="1">
              <a:extLst>
                <a:ext uri="{63B3BB69-23CF-44E3-9099-C40C66FF867C}">
                  <a14:compatExt spid="_x0000_s20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300</xdr:col>
          <xdr:colOff>295275</xdr:colOff>
          <xdr:row>15</xdr:row>
          <xdr:rowOff>104775</xdr:rowOff>
        </xdr:from>
        <xdr:to>
          <xdr:col>300</xdr:col>
          <xdr:colOff>714375</xdr:colOff>
          <xdr:row>16</xdr:row>
          <xdr:rowOff>200025</xdr:rowOff>
        </xdr:to>
        <xdr:sp macro="" textlink="">
          <xdr:nvSpPr>
            <xdr:cNvPr id="2089" name="Object 41" hidden="1">
              <a:extLst>
                <a:ext uri="{63B3BB69-23CF-44E3-9099-C40C66FF867C}">
                  <a14:compatExt spid="_x0000_s2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301</xdr:col>
          <xdr:colOff>295275</xdr:colOff>
          <xdr:row>15</xdr:row>
          <xdr:rowOff>104775</xdr:rowOff>
        </xdr:from>
        <xdr:to>
          <xdr:col>301</xdr:col>
          <xdr:colOff>714375</xdr:colOff>
          <xdr:row>16</xdr:row>
          <xdr:rowOff>200025</xdr:rowOff>
        </xdr:to>
        <xdr:sp macro="" textlink="">
          <xdr:nvSpPr>
            <xdr:cNvPr id="2090" name="Object 42" hidden="1">
              <a:extLst>
                <a:ext uri="{63B3BB69-23CF-44E3-9099-C40C66FF867C}">
                  <a14:compatExt spid="_x0000_s2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302</xdr:col>
          <xdr:colOff>314325</xdr:colOff>
          <xdr:row>12</xdr:row>
          <xdr:rowOff>85725</xdr:rowOff>
        </xdr:from>
        <xdr:to>
          <xdr:col>302</xdr:col>
          <xdr:colOff>714375</xdr:colOff>
          <xdr:row>13</xdr:row>
          <xdr:rowOff>180975</xdr:rowOff>
        </xdr:to>
        <xdr:sp macro="" textlink="">
          <xdr:nvSpPr>
            <xdr:cNvPr id="2091" name="Object 43" hidden="1">
              <a:extLst>
                <a:ext uri="{63B3BB69-23CF-44E3-9099-C40C66FF867C}">
                  <a14:compatExt spid="_x0000_s20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302</xdr:col>
          <xdr:colOff>304800</xdr:colOff>
          <xdr:row>15</xdr:row>
          <xdr:rowOff>85725</xdr:rowOff>
        </xdr:from>
        <xdr:to>
          <xdr:col>302</xdr:col>
          <xdr:colOff>714375</xdr:colOff>
          <xdr:row>16</xdr:row>
          <xdr:rowOff>180975</xdr:rowOff>
        </xdr:to>
        <xdr:sp macro="" textlink="">
          <xdr:nvSpPr>
            <xdr:cNvPr id="2092" name="Object 44" hidden="1">
              <a:extLst>
                <a:ext uri="{63B3BB69-23CF-44E3-9099-C40C66FF867C}">
                  <a14:compatExt spid="_x0000_s20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428625</xdr:colOff>
          <xdr:row>43</xdr:row>
          <xdr:rowOff>152400</xdr:rowOff>
        </xdr:from>
        <xdr:to>
          <xdr:col>5</xdr:col>
          <xdr:colOff>600075</xdr:colOff>
          <xdr:row>44</xdr:row>
          <xdr:rowOff>114300</xdr:rowOff>
        </xdr:to>
        <xdr:sp macro="" textlink="">
          <xdr:nvSpPr>
            <xdr:cNvPr id="2094" name="Object 46" hidden="1">
              <a:extLst>
                <a:ext uri="{63B3BB69-23CF-44E3-9099-C40C66FF867C}">
                  <a14:compatExt spid="_x0000_s2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257175</xdr:colOff>
          <xdr:row>43</xdr:row>
          <xdr:rowOff>85725</xdr:rowOff>
        </xdr:from>
        <xdr:to>
          <xdr:col>6</xdr:col>
          <xdr:colOff>647700</xdr:colOff>
          <xdr:row>44</xdr:row>
          <xdr:rowOff>180975</xdr:rowOff>
        </xdr:to>
        <xdr:sp macro="" textlink="">
          <xdr:nvSpPr>
            <xdr:cNvPr id="2095" name="Object 47" hidden="1">
              <a:extLst>
                <a:ext uri="{63B3BB69-23CF-44E3-9099-C40C66FF867C}">
                  <a14:compatExt spid="_x0000_s2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295275</xdr:colOff>
          <xdr:row>46</xdr:row>
          <xdr:rowOff>104775</xdr:rowOff>
        </xdr:from>
        <xdr:to>
          <xdr:col>5</xdr:col>
          <xdr:colOff>714375</xdr:colOff>
          <xdr:row>47</xdr:row>
          <xdr:rowOff>200025</xdr:rowOff>
        </xdr:to>
        <xdr:sp macro="" textlink="">
          <xdr:nvSpPr>
            <xdr:cNvPr id="2096" name="Object 48" hidden="1">
              <a:extLst>
                <a:ext uri="{63B3BB69-23CF-44E3-9099-C40C66FF867C}">
                  <a14:compatExt spid="_x0000_s2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295275</xdr:colOff>
          <xdr:row>46</xdr:row>
          <xdr:rowOff>104775</xdr:rowOff>
        </xdr:from>
        <xdr:to>
          <xdr:col>6</xdr:col>
          <xdr:colOff>714375</xdr:colOff>
          <xdr:row>47</xdr:row>
          <xdr:rowOff>200025</xdr:rowOff>
        </xdr:to>
        <xdr:sp macro="" textlink="">
          <xdr:nvSpPr>
            <xdr:cNvPr id="2097" name="Object 49" hidden="1">
              <a:extLst>
                <a:ext uri="{63B3BB69-23CF-44E3-9099-C40C66FF867C}">
                  <a14:compatExt spid="_x0000_s2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314325</xdr:colOff>
          <xdr:row>43</xdr:row>
          <xdr:rowOff>85725</xdr:rowOff>
        </xdr:from>
        <xdr:to>
          <xdr:col>7</xdr:col>
          <xdr:colOff>714375</xdr:colOff>
          <xdr:row>44</xdr:row>
          <xdr:rowOff>180975</xdr:rowOff>
        </xdr:to>
        <xdr:sp macro="" textlink="">
          <xdr:nvSpPr>
            <xdr:cNvPr id="2098" name="Object 50" hidden="1">
              <a:extLst>
                <a:ext uri="{63B3BB69-23CF-44E3-9099-C40C66FF867C}">
                  <a14:compatExt spid="_x0000_s2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304800</xdr:colOff>
          <xdr:row>46</xdr:row>
          <xdr:rowOff>85725</xdr:rowOff>
        </xdr:from>
        <xdr:to>
          <xdr:col>7</xdr:col>
          <xdr:colOff>714375</xdr:colOff>
          <xdr:row>47</xdr:row>
          <xdr:rowOff>180975</xdr:rowOff>
        </xdr:to>
        <xdr:sp macro="" textlink="">
          <xdr:nvSpPr>
            <xdr:cNvPr id="2099" name="Object 51" hidden="1">
              <a:extLst>
                <a:ext uri="{63B3BB69-23CF-44E3-9099-C40C66FF867C}">
                  <a14:compatExt spid="_x0000_s2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64</xdr:col>
          <xdr:colOff>428625</xdr:colOff>
          <xdr:row>43</xdr:row>
          <xdr:rowOff>152400</xdr:rowOff>
        </xdr:from>
        <xdr:to>
          <xdr:col>64</xdr:col>
          <xdr:colOff>600075</xdr:colOff>
          <xdr:row>44</xdr:row>
          <xdr:rowOff>114300</xdr:rowOff>
        </xdr:to>
        <xdr:sp macro="" textlink="">
          <xdr:nvSpPr>
            <xdr:cNvPr id="2101" name="Object 53" hidden="1">
              <a:extLst>
                <a:ext uri="{63B3BB69-23CF-44E3-9099-C40C66FF867C}">
                  <a14:compatExt spid="_x0000_s2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257175</xdr:colOff>
          <xdr:row>43</xdr:row>
          <xdr:rowOff>85725</xdr:rowOff>
        </xdr:from>
        <xdr:to>
          <xdr:col>65</xdr:col>
          <xdr:colOff>647700</xdr:colOff>
          <xdr:row>44</xdr:row>
          <xdr:rowOff>180975</xdr:rowOff>
        </xdr:to>
        <xdr:sp macro="" textlink="">
          <xdr:nvSpPr>
            <xdr:cNvPr id="2102" name="Object 54" hidden="1">
              <a:extLst>
                <a:ext uri="{63B3BB69-23CF-44E3-9099-C40C66FF867C}">
                  <a14:compatExt spid="_x0000_s2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64</xdr:col>
          <xdr:colOff>295275</xdr:colOff>
          <xdr:row>46</xdr:row>
          <xdr:rowOff>104775</xdr:rowOff>
        </xdr:from>
        <xdr:to>
          <xdr:col>64</xdr:col>
          <xdr:colOff>714375</xdr:colOff>
          <xdr:row>47</xdr:row>
          <xdr:rowOff>200025</xdr:rowOff>
        </xdr:to>
        <xdr:sp macro="" textlink="">
          <xdr:nvSpPr>
            <xdr:cNvPr id="2103" name="Object 55" hidden="1">
              <a:extLst>
                <a:ext uri="{63B3BB69-23CF-44E3-9099-C40C66FF867C}">
                  <a14:compatExt spid="_x0000_s2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295275</xdr:colOff>
          <xdr:row>46</xdr:row>
          <xdr:rowOff>104775</xdr:rowOff>
        </xdr:from>
        <xdr:to>
          <xdr:col>65</xdr:col>
          <xdr:colOff>714375</xdr:colOff>
          <xdr:row>47</xdr:row>
          <xdr:rowOff>200025</xdr:rowOff>
        </xdr:to>
        <xdr:sp macro="" textlink="">
          <xdr:nvSpPr>
            <xdr:cNvPr id="2104" name="Object 56" hidden="1">
              <a:extLst>
                <a:ext uri="{63B3BB69-23CF-44E3-9099-C40C66FF867C}">
                  <a14:compatExt spid="_x0000_s2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314325</xdr:colOff>
          <xdr:row>43</xdr:row>
          <xdr:rowOff>85725</xdr:rowOff>
        </xdr:from>
        <xdr:to>
          <xdr:col>66</xdr:col>
          <xdr:colOff>714375</xdr:colOff>
          <xdr:row>44</xdr:row>
          <xdr:rowOff>180975</xdr:rowOff>
        </xdr:to>
        <xdr:sp macro="" textlink="">
          <xdr:nvSpPr>
            <xdr:cNvPr id="2105" name="Object 57" hidden="1">
              <a:extLst>
                <a:ext uri="{63B3BB69-23CF-44E3-9099-C40C66FF867C}">
                  <a14:compatExt spid="_x0000_s2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304800</xdr:colOff>
          <xdr:row>46</xdr:row>
          <xdr:rowOff>85725</xdr:rowOff>
        </xdr:from>
        <xdr:to>
          <xdr:col>66</xdr:col>
          <xdr:colOff>714375</xdr:colOff>
          <xdr:row>47</xdr:row>
          <xdr:rowOff>180975</xdr:rowOff>
        </xdr:to>
        <xdr:sp macro="" textlink="">
          <xdr:nvSpPr>
            <xdr:cNvPr id="2106" name="Object 58" hidden="1">
              <a:extLst>
                <a:ext uri="{63B3BB69-23CF-44E3-9099-C40C66FF867C}">
                  <a14:compatExt spid="_x0000_s2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123</xdr:col>
          <xdr:colOff>428625</xdr:colOff>
          <xdr:row>43</xdr:row>
          <xdr:rowOff>152400</xdr:rowOff>
        </xdr:from>
        <xdr:to>
          <xdr:col>123</xdr:col>
          <xdr:colOff>600075</xdr:colOff>
          <xdr:row>44</xdr:row>
          <xdr:rowOff>114300</xdr:rowOff>
        </xdr:to>
        <xdr:sp macro="" textlink="">
          <xdr:nvSpPr>
            <xdr:cNvPr id="2108" name="Object 60" hidden="1">
              <a:extLst>
                <a:ext uri="{63B3BB69-23CF-44E3-9099-C40C66FF867C}">
                  <a14:compatExt spid="_x0000_s2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124</xdr:col>
          <xdr:colOff>257175</xdr:colOff>
          <xdr:row>43</xdr:row>
          <xdr:rowOff>85725</xdr:rowOff>
        </xdr:from>
        <xdr:to>
          <xdr:col>124</xdr:col>
          <xdr:colOff>647700</xdr:colOff>
          <xdr:row>44</xdr:row>
          <xdr:rowOff>180975</xdr:rowOff>
        </xdr:to>
        <xdr:sp macro="" textlink="">
          <xdr:nvSpPr>
            <xdr:cNvPr id="2109" name="Object 61" hidden="1">
              <a:extLst>
                <a:ext uri="{63B3BB69-23CF-44E3-9099-C40C66FF867C}">
                  <a14:compatExt spid="_x0000_s2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123</xdr:col>
          <xdr:colOff>295275</xdr:colOff>
          <xdr:row>46</xdr:row>
          <xdr:rowOff>104775</xdr:rowOff>
        </xdr:from>
        <xdr:to>
          <xdr:col>123</xdr:col>
          <xdr:colOff>714375</xdr:colOff>
          <xdr:row>47</xdr:row>
          <xdr:rowOff>200025</xdr:rowOff>
        </xdr:to>
        <xdr:sp macro="" textlink="">
          <xdr:nvSpPr>
            <xdr:cNvPr id="2110" name="Object 62" hidden="1">
              <a:extLst>
                <a:ext uri="{63B3BB69-23CF-44E3-9099-C40C66FF867C}">
                  <a14:compatExt spid="_x0000_s2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124</xdr:col>
          <xdr:colOff>295275</xdr:colOff>
          <xdr:row>46</xdr:row>
          <xdr:rowOff>104775</xdr:rowOff>
        </xdr:from>
        <xdr:to>
          <xdr:col>124</xdr:col>
          <xdr:colOff>714375</xdr:colOff>
          <xdr:row>47</xdr:row>
          <xdr:rowOff>200025</xdr:rowOff>
        </xdr:to>
        <xdr:sp macro="" textlink="">
          <xdr:nvSpPr>
            <xdr:cNvPr id="2111" name="Object 63" hidden="1">
              <a:extLst>
                <a:ext uri="{63B3BB69-23CF-44E3-9099-C40C66FF867C}">
                  <a14:compatExt spid="_x0000_s2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125</xdr:col>
          <xdr:colOff>314325</xdr:colOff>
          <xdr:row>43</xdr:row>
          <xdr:rowOff>85725</xdr:rowOff>
        </xdr:from>
        <xdr:to>
          <xdr:col>125</xdr:col>
          <xdr:colOff>714375</xdr:colOff>
          <xdr:row>44</xdr:row>
          <xdr:rowOff>180975</xdr:rowOff>
        </xdr:to>
        <xdr:sp macro="" textlink="">
          <xdr:nvSpPr>
            <xdr:cNvPr id="2112" name="Object 64" hidden="1">
              <a:extLst>
                <a:ext uri="{63B3BB69-23CF-44E3-9099-C40C66FF867C}">
                  <a14:compatExt spid="_x0000_s2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125</xdr:col>
          <xdr:colOff>304800</xdr:colOff>
          <xdr:row>46</xdr:row>
          <xdr:rowOff>85725</xdr:rowOff>
        </xdr:from>
        <xdr:to>
          <xdr:col>125</xdr:col>
          <xdr:colOff>714375</xdr:colOff>
          <xdr:row>47</xdr:row>
          <xdr:rowOff>180975</xdr:rowOff>
        </xdr:to>
        <xdr:sp macro="" textlink="">
          <xdr:nvSpPr>
            <xdr:cNvPr id="2113" name="Object 65" hidden="1">
              <a:extLst>
                <a:ext uri="{63B3BB69-23CF-44E3-9099-C40C66FF867C}">
                  <a14:compatExt spid="_x0000_s2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182</xdr:col>
          <xdr:colOff>428625</xdr:colOff>
          <xdr:row>43</xdr:row>
          <xdr:rowOff>152400</xdr:rowOff>
        </xdr:from>
        <xdr:to>
          <xdr:col>182</xdr:col>
          <xdr:colOff>600075</xdr:colOff>
          <xdr:row>44</xdr:row>
          <xdr:rowOff>114300</xdr:rowOff>
        </xdr:to>
        <xdr:sp macro="" textlink="">
          <xdr:nvSpPr>
            <xdr:cNvPr id="2115" name="Object 67" hidden="1">
              <a:extLst>
                <a:ext uri="{63B3BB69-23CF-44E3-9099-C40C66FF867C}">
                  <a14:compatExt spid="_x0000_s2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183</xdr:col>
          <xdr:colOff>257175</xdr:colOff>
          <xdr:row>43</xdr:row>
          <xdr:rowOff>85725</xdr:rowOff>
        </xdr:from>
        <xdr:to>
          <xdr:col>183</xdr:col>
          <xdr:colOff>647700</xdr:colOff>
          <xdr:row>44</xdr:row>
          <xdr:rowOff>180975</xdr:rowOff>
        </xdr:to>
        <xdr:sp macro="" textlink="">
          <xdr:nvSpPr>
            <xdr:cNvPr id="2116" name="Object 68" hidden="1">
              <a:extLst>
                <a:ext uri="{63B3BB69-23CF-44E3-9099-C40C66FF867C}">
                  <a14:compatExt spid="_x0000_s2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182</xdr:col>
          <xdr:colOff>295275</xdr:colOff>
          <xdr:row>46</xdr:row>
          <xdr:rowOff>104775</xdr:rowOff>
        </xdr:from>
        <xdr:to>
          <xdr:col>182</xdr:col>
          <xdr:colOff>714375</xdr:colOff>
          <xdr:row>47</xdr:row>
          <xdr:rowOff>200025</xdr:rowOff>
        </xdr:to>
        <xdr:sp macro="" textlink="">
          <xdr:nvSpPr>
            <xdr:cNvPr id="2117" name="Object 69" hidden="1">
              <a:extLst>
                <a:ext uri="{63B3BB69-23CF-44E3-9099-C40C66FF867C}">
                  <a14:compatExt spid="_x0000_s2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183</xdr:col>
          <xdr:colOff>295275</xdr:colOff>
          <xdr:row>46</xdr:row>
          <xdr:rowOff>104775</xdr:rowOff>
        </xdr:from>
        <xdr:to>
          <xdr:col>183</xdr:col>
          <xdr:colOff>714375</xdr:colOff>
          <xdr:row>47</xdr:row>
          <xdr:rowOff>200025</xdr:rowOff>
        </xdr:to>
        <xdr:sp macro="" textlink="">
          <xdr:nvSpPr>
            <xdr:cNvPr id="2118" name="Object 70" hidden="1">
              <a:extLst>
                <a:ext uri="{63B3BB69-23CF-44E3-9099-C40C66FF867C}">
                  <a14:compatExt spid="_x0000_s2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184</xdr:col>
          <xdr:colOff>314325</xdr:colOff>
          <xdr:row>43</xdr:row>
          <xdr:rowOff>85725</xdr:rowOff>
        </xdr:from>
        <xdr:to>
          <xdr:col>184</xdr:col>
          <xdr:colOff>714375</xdr:colOff>
          <xdr:row>44</xdr:row>
          <xdr:rowOff>180975</xdr:rowOff>
        </xdr:to>
        <xdr:sp macro="" textlink="">
          <xdr:nvSpPr>
            <xdr:cNvPr id="2119" name="Object 71" hidden="1">
              <a:extLst>
                <a:ext uri="{63B3BB69-23CF-44E3-9099-C40C66FF867C}">
                  <a14:compatExt spid="_x0000_s2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184</xdr:col>
          <xdr:colOff>304800</xdr:colOff>
          <xdr:row>46</xdr:row>
          <xdr:rowOff>85725</xdr:rowOff>
        </xdr:from>
        <xdr:to>
          <xdr:col>184</xdr:col>
          <xdr:colOff>714375</xdr:colOff>
          <xdr:row>47</xdr:row>
          <xdr:rowOff>180975</xdr:rowOff>
        </xdr:to>
        <xdr:sp macro="" textlink="">
          <xdr:nvSpPr>
            <xdr:cNvPr id="2120" name="Object 72" hidden="1">
              <a:extLst>
                <a:ext uri="{63B3BB69-23CF-44E3-9099-C40C66FF867C}">
                  <a14:compatExt spid="_x0000_s2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428625</xdr:colOff>
          <xdr:row>43</xdr:row>
          <xdr:rowOff>152400</xdr:rowOff>
        </xdr:from>
        <xdr:to>
          <xdr:col>241</xdr:col>
          <xdr:colOff>600075</xdr:colOff>
          <xdr:row>44</xdr:row>
          <xdr:rowOff>114300</xdr:rowOff>
        </xdr:to>
        <xdr:sp macro="" textlink="">
          <xdr:nvSpPr>
            <xdr:cNvPr id="2122" name="Object 74" hidden="1">
              <a:extLst>
                <a:ext uri="{63B3BB69-23CF-44E3-9099-C40C66FF867C}">
                  <a14:compatExt spid="_x0000_s2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242</xdr:col>
          <xdr:colOff>257175</xdr:colOff>
          <xdr:row>43</xdr:row>
          <xdr:rowOff>85725</xdr:rowOff>
        </xdr:from>
        <xdr:to>
          <xdr:col>242</xdr:col>
          <xdr:colOff>647700</xdr:colOff>
          <xdr:row>44</xdr:row>
          <xdr:rowOff>180975</xdr:rowOff>
        </xdr:to>
        <xdr:sp macro="" textlink="">
          <xdr:nvSpPr>
            <xdr:cNvPr id="2123" name="Object 75" hidden="1">
              <a:extLst>
                <a:ext uri="{63B3BB69-23CF-44E3-9099-C40C66FF867C}">
                  <a14:compatExt spid="_x0000_s2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295275</xdr:colOff>
          <xdr:row>46</xdr:row>
          <xdr:rowOff>104775</xdr:rowOff>
        </xdr:from>
        <xdr:to>
          <xdr:col>241</xdr:col>
          <xdr:colOff>714375</xdr:colOff>
          <xdr:row>47</xdr:row>
          <xdr:rowOff>200025</xdr:rowOff>
        </xdr:to>
        <xdr:sp macro="" textlink="">
          <xdr:nvSpPr>
            <xdr:cNvPr id="2124" name="Object 76" hidden="1">
              <a:extLst>
                <a:ext uri="{63B3BB69-23CF-44E3-9099-C40C66FF867C}">
                  <a14:compatExt spid="_x0000_s2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242</xdr:col>
          <xdr:colOff>295275</xdr:colOff>
          <xdr:row>46</xdr:row>
          <xdr:rowOff>104775</xdr:rowOff>
        </xdr:from>
        <xdr:to>
          <xdr:col>242</xdr:col>
          <xdr:colOff>714375</xdr:colOff>
          <xdr:row>47</xdr:row>
          <xdr:rowOff>200025</xdr:rowOff>
        </xdr:to>
        <xdr:sp macro="" textlink="">
          <xdr:nvSpPr>
            <xdr:cNvPr id="2125" name="Object 77" hidden="1">
              <a:extLst>
                <a:ext uri="{63B3BB69-23CF-44E3-9099-C40C66FF867C}">
                  <a14:compatExt spid="_x0000_s2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243</xdr:col>
          <xdr:colOff>314325</xdr:colOff>
          <xdr:row>43</xdr:row>
          <xdr:rowOff>85725</xdr:rowOff>
        </xdr:from>
        <xdr:to>
          <xdr:col>243</xdr:col>
          <xdr:colOff>714375</xdr:colOff>
          <xdr:row>44</xdr:row>
          <xdr:rowOff>180975</xdr:rowOff>
        </xdr:to>
        <xdr:sp macro="" textlink="">
          <xdr:nvSpPr>
            <xdr:cNvPr id="2126" name="Object 78" hidden="1">
              <a:extLst>
                <a:ext uri="{63B3BB69-23CF-44E3-9099-C40C66FF867C}">
                  <a14:compatExt spid="_x0000_s2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243</xdr:col>
          <xdr:colOff>304800</xdr:colOff>
          <xdr:row>46</xdr:row>
          <xdr:rowOff>85725</xdr:rowOff>
        </xdr:from>
        <xdr:to>
          <xdr:col>243</xdr:col>
          <xdr:colOff>714375</xdr:colOff>
          <xdr:row>47</xdr:row>
          <xdr:rowOff>180975</xdr:rowOff>
        </xdr:to>
        <xdr:sp macro="" textlink="">
          <xdr:nvSpPr>
            <xdr:cNvPr id="2127" name="Object 79" hidden="1">
              <a:extLst>
                <a:ext uri="{63B3BB69-23CF-44E3-9099-C40C66FF867C}">
                  <a14:compatExt spid="_x0000_s2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300</xdr:col>
          <xdr:colOff>428625</xdr:colOff>
          <xdr:row>43</xdr:row>
          <xdr:rowOff>152400</xdr:rowOff>
        </xdr:from>
        <xdr:to>
          <xdr:col>300</xdr:col>
          <xdr:colOff>600075</xdr:colOff>
          <xdr:row>44</xdr:row>
          <xdr:rowOff>114300</xdr:rowOff>
        </xdr:to>
        <xdr:sp macro="" textlink="">
          <xdr:nvSpPr>
            <xdr:cNvPr id="2129" name="Object 81" hidden="1">
              <a:extLst>
                <a:ext uri="{63B3BB69-23CF-44E3-9099-C40C66FF867C}">
                  <a14:compatExt spid="_x0000_s2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301</xdr:col>
          <xdr:colOff>257175</xdr:colOff>
          <xdr:row>43</xdr:row>
          <xdr:rowOff>85725</xdr:rowOff>
        </xdr:from>
        <xdr:to>
          <xdr:col>301</xdr:col>
          <xdr:colOff>647700</xdr:colOff>
          <xdr:row>44</xdr:row>
          <xdr:rowOff>180975</xdr:rowOff>
        </xdr:to>
        <xdr:sp macro="" textlink="">
          <xdr:nvSpPr>
            <xdr:cNvPr id="2130" name="Object 82" hidden="1">
              <a:extLst>
                <a:ext uri="{63B3BB69-23CF-44E3-9099-C40C66FF867C}">
                  <a14:compatExt spid="_x0000_s2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300</xdr:col>
          <xdr:colOff>295275</xdr:colOff>
          <xdr:row>46</xdr:row>
          <xdr:rowOff>104775</xdr:rowOff>
        </xdr:from>
        <xdr:to>
          <xdr:col>300</xdr:col>
          <xdr:colOff>714375</xdr:colOff>
          <xdr:row>47</xdr:row>
          <xdr:rowOff>200025</xdr:rowOff>
        </xdr:to>
        <xdr:sp macro="" textlink="">
          <xdr:nvSpPr>
            <xdr:cNvPr id="2131" name="Object 83" hidden="1">
              <a:extLst>
                <a:ext uri="{63B3BB69-23CF-44E3-9099-C40C66FF867C}">
                  <a14:compatExt spid="_x0000_s21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301</xdr:col>
          <xdr:colOff>295275</xdr:colOff>
          <xdr:row>46</xdr:row>
          <xdr:rowOff>104775</xdr:rowOff>
        </xdr:from>
        <xdr:to>
          <xdr:col>301</xdr:col>
          <xdr:colOff>714375</xdr:colOff>
          <xdr:row>47</xdr:row>
          <xdr:rowOff>200025</xdr:rowOff>
        </xdr:to>
        <xdr:sp macro="" textlink="">
          <xdr:nvSpPr>
            <xdr:cNvPr id="2132" name="Object 84" hidden="1">
              <a:extLst>
                <a:ext uri="{63B3BB69-23CF-44E3-9099-C40C66FF867C}">
                  <a14:compatExt spid="_x0000_s21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302</xdr:col>
          <xdr:colOff>314325</xdr:colOff>
          <xdr:row>43</xdr:row>
          <xdr:rowOff>85725</xdr:rowOff>
        </xdr:from>
        <xdr:to>
          <xdr:col>302</xdr:col>
          <xdr:colOff>714375</xdr:colOff>
          <xdr:row>44</xdr:row>
          <xdr:rowOff>180975</xdr:rowOff>
        </xdr:to>
        <xdr:sp macro="" textlink="">
          <xdr:nvSpPr>
            <xdr:cNvPr id="2133" name="Object 85" hidden="1">
              <a:extLst>
                <a:ext uri="{63B3BB69-23CF-44E3-9099-C40C66FF867C}">
                  <a14:compatExt spid="_x0000_s21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302</xdr:col>
          <xdr:colOff>304800</xdr:colOff>
          <xdr:row>46</xdr:row>
          <xdr:rowOff>85725</xdr:rowOff>
        </xdr:from>
        <xdr:to>
          <xdr:col>302</xdr:col>
          <xdr:colOff>714375</xdr:colOff>
          <xdr:row>47</xdr:row>
          <xdr:rowOff>180975</xdr:rowOff>
        </xdr:to>
        <xdr:sp macro="" textlink="">
          <xdr:nvSpPr>
            <xdr:cNvPr id="2134" name="Object 86" hidden="1">
              <a:extLst>
                <a:ext uri="{63B3BB69-23CF-44E3-9099-C40C66FF867C}">
                  <a14:compatExt spid="_x0000_s2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76200</xdr:colOff>
          <xdr:row>15</xdr:row>
          <xdr:rowOff>123825</xdr:rowOff>
        </xdr:from>
        <xdr:to>
          <xdr:col>9</xdr:col>
          <xdr:colOff>923925</xdr:colOff>
          <xdr:row>16</xdr:row>
          <xdr:rowOff>200025</xdr:rowOff>
        </xdr:to>
        <xdr:sp macro="" textlink="">
          <xdr:nvSpPr>
            <xdr:cNvPr id="2136" name="Object 88" hidden="1">
              <a:extLst>
                <a:ext uri="{63B3BB69-23CF-44E3-9099-C40C66FF867C}">
                  <a14:compatExt spid="_x0000_s21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219075</xdr:colOff>
          <xdr:row>12</xdr:row>
          <xdr:rowOff>85725</xdr:rowOff>
        </xdr:from>
        <xdr:to>
          <xdr:col>8</xdr:col>
          <xdr:colOff>876300</xdr:colOff>
          <xdr:row>13</xdr:row>
          <xdr:rowOff>180975</xdr:rowOff>
        </xdr:to>
        <xdr:sp macro="" textlink="">
          <xdr:nvSpPr>
            <xdr:cNvPr id="2137" name="Object 89" hidden="1">
              <a:extLst>
                <a:ext uri="{63B3BB69-23CF-44E3-9099-C40C66FF867C}">
                  <a14:compatExt spid="_x0000_s21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390525</xdr:colOff>
          <xdr:row>12</xdr:row>
          <xdr:rowOff>28575</xdr:rowOff>
        </xdr:from>
        <xdr:to>
          <xdr:col>10</xdr:col>
          <xdr:colOff>619125</xdr:colOff>
          <xdr:row>13</xdr:row>
          <xdr:rowOff>200025</xdr:rowOff>
        </xdr:to>
        <xdr:sp macro="" textlink="">
          <xdr:nvSpPr>
            <xdr:cNvPr id="2138" name="Object 90" hidden="1">
              <a:extLst>
                <a:ext uri="{63B3BB69-23CF-44E3-9099-C40C66FF867C}">
                  <a14:compatExt spid="_x0000_s2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104775</xdr:colOff>
          <xdr:row>12</xdr:row>
          <xdr:rowOff>66675</xdr:rowOff>
        </xdr:from>
        <xdr:to>
          <xdr:col>11</xdr:col>
          <xdr:colOff>923925</xdr:colOff>
          <xdr:row>13</xdr:row>
          <xdr:rowOff>114300</xdr:rowOff>
        </xdr:to>
        <xdr:sp macro="" textlink="">
          <xdr:nvSpPr>
            <xdr:cNvPr id="2139" name="Object 91" hidden="1">
              <a:extLst>
                <a:ext uri="{63B3BB69-23CF-44E3-9099-C40C66FF867C}">
                  <a14:compatExt spid="_x0000_s21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428625</xdr:colOff>
          <xdr:row>15</xdr:row>
          <xdr:rowOff>161925</xdr:rowOff>
        </xdr:from>
        <xdr:to>
          <xdr:col>13</xdr:col>
          <xdr:colOff>600075</xdr:colOff>
          <xdr:row>16</xdr:row>
          <xdr:rowOff>114300</xdr:rowOff>
        </xdr:to>
        <xdr:sp macro="" textlink="">
          <xdr:nvSpPr>
            <xdr:cNvPr id="2140" name="Object 92" hidden="1">
              <a:extLst>
                <a:ext uri="{63B3BB69-23CF-44E3-9099-C40C66FF867C}">
                  <a14:compatExt spid="_x0000_s21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142875</xdr:colOff>
          <xdr:row>15</xdr:row>
          <xdr:rowOff>142875</xdr:rowOff>
        </xdr:from>
        <xdr:to>
          <xdr:col>15</xdr:col>
          <xdr:colOff>809625</xdr:colOff>
          <xdr:row>16</xdr:row>
          <xdr:rowOff>180975</xdr:rowOff>
        </xdr:to>
        <xdr:sp macro="" textlink="">
          <xdr:nvSpPr>
            <xdr:cNvPr id="2141" name="Object 93" hidden="1">
              <a:extLst>
                <a:ext uri="{63B3BB69-23CF-44E3-9099-C40C66FF867C}">
                  <a14:compatExt spid="_x0000_s21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419100</xdr:colOff>
          <xdr:row>79</xdr:row>
          <xdr:rowOff>38100</xdr:rowOff>
        </xdr:from>
        <xdr:to>
          <xdr:col>7</xdr:col>
          <xdr:colOff>619125</xdr:colOff>
          <xdr:row>79</xdr:row>
          <xdr:rowOff>295275</xdr:rowOff>
        </xdr:to>
        <xdr:sp macro="" textlink="">
          <xdr:nvSpPr>
            <xdr:cNvPr id="2142" name="Object 94" hidden="1">
              <a:extLst>
                <a:ext uri="{63B3BB69-23CF-44E3-9099-C40C66FF867C}">
                  <a14:compatExt spid="_x0000_s2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428625</xdr:colOff>
          <xdr:row>79</xdr:row>
          <xdr:rowOff>38100</xdr:rowOff>
        </xdr:from>
        <xdr:to>
          <xdr:col>8</xdr:col>
          <xdr:colOff>600075</xdr:colOff>
          <xdr:row>79</xdr:row>
          <xdr:rowOff>295275</xdr:rowOff>
        </xdr:to>
        <xdr:sp macro="" textlink="">
          <xdr:nvSpPr>
            <xdr:cNvPr id="2143" name="Object 95" hidden="1">
              <a:extLst>
                <a:ext uri="{63B3BB69-23CF-44E3-9099-C40C66FF867C}">
                  <a14:compatExt spid="_x0000_s2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419100</xdr:colOff>
          <xdr:row>79</xdr:row>
          <xdr:rowOff>38100</xdr:rowOff>
        </xdr:from>
        <xdr:to>
          <xdr:col>9</xdr:col>
          <xdr:colOff>581025</xdr:colOff>
          <xdr:row>79</xdr:row>
          <xdr:rowOff>295275</xdr:rowOff>
        </xdr:to>
        <xdr:sp macro="" textlink="">
          <xdr:nvSpPr>
            <xdr:cNvPr id="2144" name="Object 96" hidden="1">
              <a:extLst>
                <a:ext uri="{63B3BB69-23CF-44E3-9099-C40C66FF867C}">
                  <a14:compatExt spid="_x0000_s2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409575</xdr:colOff>
          <xdr:row>79</xdr:row>
          <xdr:rowOff>47625</xdr:rowOff>
        </xdr:from>
        <xdr:to>
          <xdr:col>10</xdr:col>
          <xdr:colOff>600075</xdr:colOff>
          <xdr:row>80</xdr:row>
          <xdr:rowOff>0</xdr:rowOff>
        </xdr:to>
        <xdr:sp macro="" textlink="">
          <xdr:nvSpPr>
            <xdr:cNvPr id="2145" name="Object 97" hidden="1">
              <a:extLst>
                <a:ext uri="{63B3BB69-23CF-44E3-9099-C40C66FF867C}">
                  <a14:compatExt spid="_x0000_s2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419100</xdr:colOff>
          <xdr:row>79</xdr:row>
          <xdr:rowOff>38100</xdr:rowOff>
        </xdr:from>
        <xdr:to>
          <xdr:col>13</xdr:col>
          <xdr:colOff>619125</xdr:colOff>
          <xdr:row>79</xdr:row>
          <xdr:rowOff>295275</xdr:rowOff>
        </xdr:to>
        <xdr:sp macro="" textlink="">
          <xdr:nvSpPr>
            <xdr:cNvPr id="2146" name="Object 98" hidden="1">
              <a:extLst>
                <a:ext uri="{63B3BB69-23CF-44E3-9099-C40C66FF867C}">
                  <a14:compatExt spid="_x0000_s2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428625</xdr:colOff>
          <xdr:row>79</xdr:row>
          <xdr:rowOff>38100</xdr:rowOff>
        </xdr:from>
        <xdr:to>
          <xdr:col>14</xdr:col>
          <xdr:colOff>600075</xdr:colOff>
          <xdr:row>79</xdr:row>
          <xdr:rowOff>295275</xdr:rowOff>
        </xdr:to>
        <xdr:sp macro="" textlink="">
          <xdr:nvSpPr>
            <xdr:cNvPr id="2147" name="Object 99" hidden="1">
              <a:extLst>
                <a:ext uri="{63B3BB69-23CF-44E3-9099-C40C66FF867C}">
                  <a14:compatExt spid="_x0000_s21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419100</xdr:colOff>
          <xdr:row>79</xdr:row>
          <xdr:rowOff>38100</xdr:rowOff>
        </xdr:from>
        <xdr:to>
          <xdr:col>15</xdr:col>
          <xdr:colOff>581025</xdr:colOff>
          <xdr:row>79</xdr:row>
          <xdr:rowOff>295275</xdr:rowOff>
        </xdr:to>
        <xdr:sp macro="" textlink="">
          <xdr:nvSpPr>
            <xdr:cNvPr id="2148" name="Object 100" hidden="1">
              <a:extLst>
                <a:ext uri="{63B3BB69-23CF-44E3-9099-C40C66FF867C}">
                  <a14:compatExt spid="_x0000_s2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409575</xdr:colOff>
          <xdr:row>79</xdr:row>
          <xdr:rowOff>47625</xdr:rowOff>
        </xdr:from>
        <xdr:to>
          <xdr:col>16</xdr:col>
          <xdr:colOff>600075</xdr:colOff>
          <xdr:row>80</xdr:row>
          <xdr:rowOff>0</xdr:rowOff>
        </xdr:to>
        <xdr:sp macro="" textlink="">
          <xdr:nvSpPr>
            <xdr:cNvPr id="2149" name="Object 101" hidden="1">
              <a:extLst>
                <a:ext uri="{63B3BB69-23CF-44E3-9099-C40C66FF867C}">
                  <a14:compatExt spid="_x0000_s2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419100</xdr:colOff>
          <xdr:row>79</xdr:row>
          <xdr:rowOff>38100</xdr:rowOff>
        </xdr:from>
        <xdr:to>
          <xdr:col>19</xdr:col>
          <xdr:colOff>676275</xdr:colOff>
          <xdr:row>79</xdr:row>
          <xdr:rowOff>295275</xdr:rowOff>
        </xdr:to>
        <xdr:sp macro="" textlink="">
          <xdr:nvSpPr>
            <xdr:cNvPr id="2150" name="Object 102" hidden="1">
              <a:extLst>
                <a:ext uri="{63B3BB69-23CF-44E3-9099-C40C66FF867C}">
                  <a14:compatExt spid="_x0000_s2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381000</xdr:colOff>
          <xdr:row>79</xdr:row>
          <xdr:rowOff>38100</xdr:rowOff>
        </xdr:from>
        <xdr:to>
          <xdr:col>21</xdr:col>
          <xdr:colOff>638175</xdr:colOff>
          <xdr:row>79</xdr:row>
          <xdr:rowOff>295275</xdr:rowOff>
        </xdr:to>
        <xdr:sp macro="" textlink="">
          <xdr:nvSpPr>
            <xdr:cNvPr id="2151" name="Object 103" hidden="1">
              <a:extLst>
                <a:ext uri="{63B3BB69-23CF-44E3-9099-C40C66FF867C}">
                  <a14:compatExt spid="_x0000_s21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390525</xdr:colOff>
          <xdr:row>79</xdr:row>
          <xdr:rowOff>38100</xdr:rowOff>
        </xdr:from>
        <xdr:to>
          <xdr:col>22</xdr:col>
          <xdr:colOff>647700</xdr:colOff>
          <xdr:row>79</xdr:row>
          <xdr:rowOff>295275</xdr:rowOff>
        </xdr:to>
        <xdr:sp macro="" textlink="">
          <xdr:nvSpPr>
            <xdr:cNvPr id="2152" name="Object 104" hidden="1">
              <a:extLst>
                <a:ext uri="{63B3BB69-23CF-44E3-9099-C40C66FF867C}">
                  <a14:compatExt spid="_x0000_s2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381000</xdr:colOff>
          <xdr:row>79</xdr:row>
          <xdr:rowOff>38100</xdr:rowOff>
        </xdr:from>
        <xdr:to>
          <xdr:col>23</xdr:col>
          <xdr:colOff>638175</xdr:colOff>
          <xdr:row>79</xdr:row>
          <xdr:rowOff>295275</xdr:rowOff>
        </xdr:to>
        <xdr:sp macro="" textlink="">
          <xdr:nvSpPr>
            <xdr:cNvPr id="2153" name="Object 105" hidden="1">
              <a:extLst>
                <a:ext uri="{63B3BB69-23CF-44E3-9099-C40C66FF867C}">
                  <a14:compatExt spid="_x0000_s21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352425</xdr:colOff>
          <xdr:row>79</xdr:row>
          <xdr:rowOff>38100</xdr:rowOff>
        </xdr:from>
        <xdr:to>
          <xdr:col>24</xdr:col>
          <xdr:colOff>619125</xdr:colOff>
          <xdr:row>79</xdr:row>
          <xdr:rowOff>295275</xdr:rowOff>
        </xdr:to>
        <xdr:sp macro="" textlink="">
          <xdr:nvSpPr>
            <xdr:cNvPr id="2154" name="Object 106" hidden="1">
              <a:extLst>
                <a:ext uri="{63B3BB69-23CF-44E3-9099-C40C66FF867C}">
                  <a14:compatExt spid="_x0000_s2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381000</xdr:colOff>
          <xdr:row>79</xdr:row>
          <xdr:rowOff>28575</xdr:rowOff>
        </xdr:from>
        <xdr:to>
          <xdr:col>20</xdr:col>
          <xdr:colOff>638175</xdr:colOff>
          <xdr:row>79</xdr:row>
          <xdr:rowOff>295275</xdr:rowOff>
        </xdr:to>
        <xdr:sp macro="" textlink="">
          <xdr:nvSpPr>
            <xdr:cNvPr id="2155" name="Object 107" hidden="1">
              <a:extLst>
                <a:ext uri="{63B3BB69-23CF-44E3-9099-C40C66FF867C}">
                  <a14:compatExt spid="_x0000_s21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419100</xdr:colOff>
          <xdr:row>79</xdr:row>
          <xdr:rowOff>38100</xdr:rowOff>
        </xdr:from>
        <xdr:to>
          <xdr:col>27</xdr:col>
          <xdr:colOff>647700</xdr:colOff>
          <xdr:row>79</xdr:row>
          <xdr:rowOff>295275</xdr:rowOff>
        </xdr:to>
        <xdr:sp macro="" textlink="">
          <xdr:nvSpPr>
            <xdr:cNvPr id="2156" name="Object 108" hidden="1">
              <a:extLst>
                <a:ext uri="{63B3BB69-23CF-44E3-9099-C40C66FF867C}">
                  <a14:compatExt spid="_x0000_s21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381000</xdr:colOff>
          <xdr:row>79</xdr:row>
          <xdr:rowOff>38100</xdr:rowOff>
        </xdr:from>
        <xdr:to>
          <xdr:col>29</xdr:col>
          <xdr:colOff>638175</xdr:colOff>
          <xdr:row>79</xdr:row>
          <xdr:rowOff>295275</xdr:rowOff>
        </xdr:to>
        <xdr:sp macro="" textlink="">
          <xdr:nvSpPr>
            <xdr:cNvPr id="2157" name="Object 109" hidden="1">
              <a:extLst>
                <a:ext uri="{63B3BB69-23CF-44E3-9099-C40C66FF867C}">
                  <a14:compatExt spid="_x0000_s21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390525</xdr:colOff>
          <xdr:row>79</xdr:row>
          <xdr:rowOff>38100</xdr:rowOff>
        </xdr:from>
        <xdr:to>
          <xdr:col>30</xdr:col>
          <xdr:colOff>647700</xdr:colOff>
          <xdr:row>79</xdr:row>
          <xdr:rowOff>295275</xdr:rowOff>
        </xdr:to>
        <xdr:sp macro="" textlink="">
          <xdr:nvSpPr>
            <xdr:cNvPr id="2158" name="Object 110" hidden="1">
              <a:extLst>
                <a:ext uri="{63B3BB69-23CF-44E3-9099-C40C66FF867C}">
                  <a14:compatExt spid="_x0000_s2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381000</xdr:colOff>
          <xdr:row>79</xdr:row>
          <xdr:rowOff>38100</xdr:rowOff>
        </xdr:from>
        <xdr:to>
          <xdr:col>31</xdr:col>
          <xdr:colOff>638175</xdr:colOff>
          <xdr:row>79</xdr:row>
          <xdr:rowOff>295275</xdr:rowOff>
        </xdr:to>
        <xdr:sp macro="" textlink="">
          <xdr:nvSpPr>
            <xdr:cNvPr id="2159" name="Object 111" hidden="1">
              <a:extLst>
                <a:ext uri="{63B3BB69-23CF-44E3-9099-C40C66FF867C}">
                  <a14:compatExt spid="_x0000_s21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352425</xdr:colOff>
          <xdr:row>79</xdr:row>
          <xdr:rowOff>38100</xdr:rowOff>
        </xdr:from>
        <xdr:to>
          <xdr:col>32</xdr:col>
          <xdr:colOff>619125</xdr:colOff>
          <xdr:row>79</xdr:row>
          <xdr:rowOff>295275</xdr:rowOff>
        </xdr:to>
        <xdr:sp macro="" textlink="">
          <xdr:nvSpPr>
            <xdr:cNvPr id="2160" name="Object 112" hidden="1">
              <a:extLst>
                <a:ext uri="{63B3BB69-23CF-44E3-9099-C40C66FF867C}">
                  <a14:compatExt spid="_x0000_s21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381000</xdr:colOff>
          <xdr:row>79</xdr:row>
          <xdr:rowOff>28575</xdr:rowOff>
        </xdr:from>
        <xdr:to>
          <xdr:col>28</xdr:col>
          <xdr:colOff>638175</xdr:colOff>
          <xdr:row>79</xdr:row>
          <xdr:rowOff>266700</xdr:rowOff>
        </xdr:to>
        <xdr:sp macro="" textlink="">
          <xdr:nvSpPr>
            <xdr:cNvPr id="2161" name="Object 113" hidden="1">
              <a:extLst>
                <a:ext uri="{63B3BB69-23CF-44E3-9099-C40C66FF867C}">
                  <a14:compatExt spid="_x0000_s21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123825</xdr:colOff>
          <xdr:row>15</xdr:row>
          <xdr:rowOff>114300</xdr:rowOff>
        </xdr:from>
        <xdr:to>
          <xdr:col>22</xdr:col>
          <xdr:colOff>923925</xdr:colOff>
          <xdr:row>16</xdr:row>
          <xdr:rowOff>142875</xdr:rowOff>
        </xdr:to>
        <xdr:sp macro="" textlink="">
          <xdr:nvSpPr>
            <xdr:cNvPr id="2162" name="Object 114" hidden="1">
              <a:extLst>
                <a:ext uri="{63B3BB69-23CF-44E3-9099-C40C66FF867C}">
                  <a14:compatExt spid="_x0000_s2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257175</xdr:colOff>
          <xdr:row>15</xdr:row>
          <xdr:rowOff>114300</xdr:rowOff>
        </xdr:from>
        <xdr:to>
          <xdr:col>23</xdr:col>
          <xdr:colOff>762000</xdr:colOff>
          <xdr:row>16</xdr:row>
          <xdr:rowOff>142875</xdr:rowOff>
        </xdr:to>
        <xdr:sp macro="" textlink="">
          <xdr:nvSpPr>
            <xdr:cNvPr id="2163" name="Object 115" hidden="1">
              <a:extLst>
                <a:ext uri="{63B3BB69-23CF-44E3-9099-C40C66FF867C}">
                  <a14:compatExt spid="_x0000_s21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123825</xdr:colOff>
          <xdr:row>15</xdr:row>
          <xdr:rowOff>114300</xdr:rowOff>
        </xdr:from>
        <xdr:to>
          <xdr:col>28</xdr:col>
          <xdr:colOff>923925</xdr:colOff>
          <xdr:row>16</xdr:row>
          <xdr:rowOff>142875</xdr:rowOff>
        </xdr:to>
        <xdr:sp macro="" textlink="">
          <xdr:nvSpPr>
            <xdr:cNvPr id="2164" name="Object 116" hidden="1">
              <a:extLst>
                <a:ext uri="{63B3BB69-23CF-44E3-9099-C40C66FF867C}">
                  <a14:compatExt spid="_x0000_s21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257175</xdr:colOff>
          <xdr:row>15</xdr:row>
          <xdr:rowOff>114300</xdr:rowOff>
        </xdr:from>
        <xdr:to>
          <xdr:col>29</xdr:col>
          <xdr:colOff>762000</xdr:colOff>
          <xdr:row>16</xdr:row>
          <xdr:rowOff>142875</xdr:rowOff>
        </xdr:to>
        <xdr:sp macro="" textlink="">
          <xdr:nvSpPr>
            <xdr:cNvPr id="2165" name="Object 117" hidden="1">
              <a:extLst>
                <a:ext uri="{63B3BB69-23CF-44E3-9099-C40C66FF867C}">
                  <a14:compatExt spid="_x0000_s21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257175</xdr:colOff>
          <xdr:row>15</xdr:row>
          <xdr:rowOff>114300</xdr:rowOff>
        </xdr:from>
        <xdr:to>
          <xdr:col>30</xdr:col>
          <xdr:colOff>752475</xdr:colOff>
          <xdr:row>16</xdr:row>
          <xdr:rowOff>142875</xdr:rowOff>
        </xdr:to>
        <xdr:sp macro="" textlink="">
          <xdr:nvSpPr>
            <xdr:cNvPr id="2166" name="Object 118" hidden="1">
              <a:extLst>
                <a:ext uri="{63B3BB69-23CF-44E3-9099-C40C66FF867C}">
                  <a14:compatExt spid="_x0000_s2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123825</xdr:colOff>
          <xdr:row>15</xdr:row>
          <xdr:rowOff>114300</xdr:rowOff>
        </xdr:from>
        <xdr:to>
          <xdr:col>31</xdr:col>
          <xdr:colOff>904875</xdr:colOff>
          <xdr:row>16</xdr:row>
          <xdr:rowOff>142875</xdr:rowOff>
        </xdr:to>
        <xdr:sp macro="" textlink="">
          <xdr:nvSpPr>
            <xdr:cNvPr id="2167" name="Object 119" hidden="1">
              <a:extLst>
                <a:ext uri="{63B3BB69-23CF-44E3-9099-C40C66FF867C}">
                  <a14:compatExt spid="_x0000_s21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304800</xdr:colOff>
          <xdr:row>12</xdr:row>
          <xdr:rowOff>85725</xdr:rowOff>
        </xdr:from>
        <xdr:to>
          <xdr:col>12</xdr:col>
          <xdr:colOff>876300</xdr:colOff>
          <xdr:row>13</xdr:row>
          <xdr:rowOff>180975</xdr:rowOff>
        </xdr:to>
        <xdr:sp macro="" textlink="">
          <xdr:nvSpPr>
            <xdr:cNvPr id="2168" name="Object 120" hidden="1">
              <a:extLst>
                <a:ext uri="{63B3BB69-23CF-44E3-9099-C40C66FF867C}">
                  <a14:compatExt spid="_x0000_s21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295275</xdr:colOff>
          <xdr:row>12</xdr:row>
          <xdr:rowOff>104775</xdr:rowOff>
        </xdr:from>
        <xdr:to>
          <xdr:col>13</xdr:col>
          <xdr:colOff>752475</xdr:colOff>
          <xdr:row>13</xdr:row>
          <xdr:rowOff>200025</xdr:rowOff>
        </xdr:to>
        <xdr:sp macro="" textlink="">
          <xdr:nvSpPr>
            <xdr:cNvPr id="2169" name="Object 121" hidden="1">
              <a:extLst>
                <a:ext uri="{63B3BB69-23CF-44E3-9099-C40C66FF867C}">
                  <a14:compatExt spid="_x0000_s2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314325</xdr:colOff>
          <xdr:row>15</xdr:row>
          <xdr:rowOff>142875</xdr:rowOff>
        </xdr:from>
        <xdr:to>
          <xdr:col>32</xdr:col>
          <xdr:colOff>723900</xdr:colOff>
          <xdr:row>16</xdr:row>
          <xdr:rowOff>85725</xdr:rowOff>
        </xdr:to>
        <xdr:sp macro="" textlink="">
          <xdr:nvSpPr>
            <xdr:cNvPr id="2170" name="Object 122" hidden="1">
              <a:extLst>
                <a:ext uri="{63B3BB69-23CF-44E3-9099-C40C66FF867C}">
                  <a14:compatExt spid="_x0000_s2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381000</xdr:colOff>
          <xdr:row>15</xdr:row>
          <xdr:rowOff>142875</xdr:rowOff>
        </xdr:from>
        <xdr:to>
          <xdr:col>35</xdr:col>
          <xdr:colOff>638175</xdr:colOff>
          <xdr:row>16</xdr:row>
          <xdr:rowOff>142875</xdr:rowOff>
        </xdr:to>
        <xdr:sp macro="" textlink="">
          <xdr:nvSpPr>
            <xdr:cNvPr id="2171" name="Object 123" hidden="1">
              <a:extLst>
                <a:ext uri="{63B3BB69-23CF-44E3-9099-C40C66FF867C}">
                  <a14:compatExt spid="_x0000_s2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381000</xdr:colOff>
          <xdr:row>15</xdr:row>
          <xdr:rowOff>142875</xdr:rowOff>
        </xdr:from>
        <xdr:to>
          <xdr:col>36</xdr:col>
          <xdr:colOff>638175</xdr:colOff>
          <xdr:row>16</xdr:row>
          <xdr:rowOff>142875</xdr:rowOff>
        </xdr:to>
        <xdr:sp macro="" textlink="">
          <xdr:nvSpPr>
            <xdr:cNvPr id="2172" name="Object 124" hidden="1">
              <a:extLst>
                <a:ext uri="{63B3BB69-23CF-44E3-9099-C40C66FF867C}">
                  <a14:compatExt spid="_x0000_s2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381000</xdr:colOff>
          <xdr:row>15</xdr:row>
          <xdr:rowOff>142875</xdr:rowOff>
        </xdr:from>
        <xdr:to>
          <xdr:col>37</xdr:col>
          <xdr:colOff>638175</xdr:colOff>
          <xdr:row>16</xdr:row>
          <xdr:rowOff>142875</xdr:rowOff>
        </xdr:to>
        <xdr:sp macro="" textlink="">
          <xdr:nvSpPr>
            <xdr:cNvPr id="2173" name="Object 125" hidden="1">
              <a:extLst>
                <a:ext uri="{63B3BB69-23CF-44E3-9099-C40C66FF867C}">
                  <a14:compatExt spid="_x0000_s2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390525</xdr:colOff>
          <xdr:row>15</xdr:row>
          <xdr:rowOff>142875</xdr:rowOff>
        </xdr:from>
        <xdr:to>
          <xdr:col>38</xdr:col>
          <xdr:colOff>647700</xdr:colOff>
          <xdr:row>16</xdr:row>
          <xdr:rowOff>142875</xdr:rowOff>
        </xdr:to>
        <xdr:sp macro="" textlink="">
          <xdr:nvSpPr>
            <xdr:cNvPr id="2174" name="Object 126" hidden="1">
              <a:extLst>
                <a:ext uri="{63B3BB69-23CF-44E3-9099-C40C66FF867C}">
                  <a14:compatExt spid="_x0000_s2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381000</xdr:colOff>
          <xdr:row>15</xdr:row>
          <xdr:rowOff>142875</xdr:rowOff>
        </xdr:from>
        <xdr:to>
          <xdr:col>39</xdr:col>
          <xdr:colOff>638175</xdr:colOff>
          <xdr:row>16</xdr:row>
          <xdr:rowOff>142875</xdr:rowOff>
        </xdr:to>
        <xdr:sp macro="" textlink="">
          <xdr:nvSpPr>
            <xdr:cNvPr id="2175" name="Object 127" hidden="1">
              <a:extLst>
                <a:ext uri="{63B3BB69-23CF-44E3-9099-C40C66FF867C}">
                  <a14:compatExt spid="_x0000_s2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352425</xdr:colOff>
          <xdr:row>15</xdr:row>
          <xdr:rowOff>142875</xdr:rowOff>
        </xdr:from>
        <xdr:to>
          <xdr:col>40</xdr:col>
          <xdr:colOff>619125</xdr:colOff>
          <xdr:row>16</xdr:row>
          <xdr:rowOff>142875</xdr:rowOff>
        </xdr:to>
        <xdr:sp macro="" textlink="">
          <xdr:nvSpPr>
            <xdr:cNvPr id="2176" name="Object 128" hidden="1">
              <a:extLst>
                <a:ext uri="{63B3BB69-23CF-44E3-9099-C40C66FF867C}">
                  <a14:compatExt spid="_x0000_s2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428625</xdr:colOff>
          <xdr:row>15</xdr:row>
          <xdr:rowOff>142875</xdr:rowOff>
        </xdr:from>
        <xdr:to>
          <xdr:col>41</xdr:col>
          <xdr:colOff>619125</xdr:colOff>
          <xdr:row>16</xdr:row>
          <xdr:rowOff>142875</xdr:rowOff>
        </xdr:to>
        <xdr:sp macro="" textlink="">
          <xdr:nvSpPr>
            <xdr:cNvPr id="2177" name="Object 129" hidden="1">
              <a:extLst>
                <a:ext uri="{63B3BB69-23CF-44E3-9099-C40C66FF867C}">
                  <a14:compatExt spid="_x0000_s2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390525</xdr:colOff>
          <xdr:row>15</xdr:row>
          <xdr:rowOff>142875</xdr:rowOff>
        </xdr:from>
        <xdr:to>
          <xdr:col>42</xdr:col>
          <xdr:colOff>619125</xdr:colOff>
          <xdr:row>16</xdr:row>
          <xdr:rowOff>142875</xdr:rowOff>
        </xdr:to>
        <xdr:sp macro="" textlink="">
          <xdr:nvSpPr>
            <xdr:cNvPr id="2178" name="Object 130" hidden="1">
              <a:extLst>
                <a:ext uri="{63B3BB69-23CF-44E3-9099-C40C66FF867C}">
                  <a14:compatExt spid="_x0000_s2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219075</xdr:colOff>
          <xdr:row>15</xdr:row>
          <xdr:rowOff>114300</xdr:rowOff>
        </xdr:from>
        <xdr:to>
          <xdr:col>43</xdr:col>
          <xdr:colOff>838200</xdr:colOff>
          <xdr:row>16</xdr:row>
          <xdr:rowOff>142875</xdr:rowOff>
        </xdr:to>
        <xdr:sp macro="" textlink="">
          <xdr:nvSpPr>
            <xdr:cNvPr id="2179" name="Object 131" hidden="1">
              <a:extLst>
                <a:ext uri="{63B3BB69-23CF-44E3-9099-C40C66FF867C}">
                  <a14:compatExt spid="_x0000_s21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381000</xdr:colOff>
          <xdr:row>15</xdr:row>
          <xdr:rowOff>142875</xdr:rowOff>
        </xdr:from>
        <xdr:to>
          <xdr:col>44</xdr:col>
          <xdr:colOff>638175</xdr:colOff>
          <xdr:row>16</xdr:row>
          <xdr:rowOff>142875</xdr:rowOff>
        </xdr:to>
        <xdr:sp macro="" textlink="">
          <xdr:nvSpPr>
            <xdr:cNvPr id="2189" name="Object 141" hidden="1">
              <a:extLst>
                <a:ext uri="{63B3BB69-23CF-44E3-9099-C40C66FF867C}">
                  <a14:compatExt spid="_x0000_s21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381000</xdr:colOff>
          <xdr:row>15</xdr:row>
          <xdr:rowOff>142875</xdr:rowOff>
        </xdr:from>
        <xdr:to>
          <xdr:col>45</xdr:col>
          <xdr:colOff>638175</xdr:colOff>
          <xdr:row>16</xdr:row>
          <xdr:rowOff>142875</xdr:rowOff>
        </xdr:to>
        <xdr:sp macro="" textlink="">
          <xdr:nvSpPr>
            <xdr:cNvPr id="2190" name="Object 142" hidden="1">
              <a:extLst>
                <a:ext uri="{63B3BB69-23CF-44E3-9099-C40C66FF867C}">
                  <a14:compatExt spid="_x0000_s2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381000</xdr:colOff>
          <xdr:row>15</xdr:row>
          <xdr:rowOff>142875</xdr:rowOff>
        </xdr:from>
        <xdr:to>
          <xdr:col>46</xdr:col>
          <xdr:colOff>638175</xdr:colOff>
          <xdr:row>16</xdr:row>
          <xdr:rowOff>142875</xdr:rowOff>
        </xdr:to>
        <xdr:sp macro="" textlink="">
          <xdr:nvSpPr>
            <xdr:cNvPr id="2191" name="Object 143" hidden="1">
              <a:extLst>
                <a:ext uri="{63B3BB69-23CF-44E3-9099-C40C66FF867C}">
                  <a14:compatExt spid="_x0000_s21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390525</xdr:colOff>
          <xdr:row>15</xdr:row>
          <xdr:rowOff>142875</xdr:rowOff>
        </xdr:from>
        <xdr:to>
          <xdr:col>47</xdr:col>
          <xdr:colOff>647700</xdr:colOff>
          <xdr:row>16</xdr:row>
          <xdr:rowOff>142875</xdr:rowOff>
        </xdr:to>
        <xdr:sp macro="" textlink="">
          <xdr:nvSpPr>
            <xdr:cNvPr id="2192" name="Object 144" hidden="1">
              <a:extLst>
                <a:ext uri="{63B3BB69-23CF-44E3-9099-C40C66FF867C}">
                  <a14:compatExt spid="_x0000_s21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381000</xdr:colOff>
          <xdr:row>15</xdr:row>
          <xdr:rowOff>142875</xdr:rowOff>
        </xdr:from>
        <xdr:to>
          <xdr:col>48</xdr:col>
          <xdr:colOff>638175</xdr:colOff>
          <xdr:row>16</xdr:row>
          <xdr:rowOff>142875</xdr:rowOff>
        </xdr:to>
        <xdr:sp macro="" textlink="">
          <xdr:nvSpPr>
            <xdr:cNvPr id="2193" name="Object 145" hidden="1">
              <a:extLst>
                <a:ext uri="{63B3BB69-23CF-44E3-9099-C40C66FF867C}">
                  <a14:compatExt spid="_x0000_s2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352425</xdr:colOff>
          <xdr:row>15</xdr:row>
          <xdr:rowOff>142875</xdr:rowOff>
        </xdr:from>
        <xdr:to>
          <xdr:col>49</xdr:col>
          <xdr:colOff>619125</xdr:colOff>
          <xdr:row>16</xdr:row>
          <xdr:rowOff>142875</xdr:rowOff>
        </xdr:to>
        <xdr:sp macro="" textlink="">
          <xdr:nvSpPr>
            <xdr:cNvPr id="2194" name="Object 146" hidden="1">
              <a:extLst>
                <a:ext uri="{63B3BB69-23CF-44E3-9099-C40C66FF867C}">
                  <a14:compatExt spid="_x0000_s2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428625</xdr:colOff>
          <xdr:row>15</xdr:row>
          <xdr:rowOff>142875</xdr:rowOff>
        </xdr:from>
        <xdr:to>
          <xdr:col>50</xdr:col>
          <xdr:colOff>619125</xdr:colOff>
          <xdr:row>16</xdr:row>
          <xdr:rowOff>142875</xdr:rowOff>
        </xdr:to>
        <xdr:sp macro="" textlink="">
          <xdr:nvSpPr>
            <xdr:cNvPr id="2195" name="Object 147" hidden="1">
              <a:extLst>
                <a:ext uri="{63B3BB69-23CF-44E3-9099-C40C66FF867C}">
                  <a14:compatExt spid="_x0000_s2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390525</xdr:colOff>
          <xdr:row>15</xdr:row>
          <xdr:rowOff>142875</xdr:rowOff>
        </xdr:from>
        <xdr:to>
          <xdr:col>51</xdr:col>
          <xdr:colOff>619125</xdr:colOff>
          <xdr:row>16</xdr:row>
          <xdr:rowOff>142875</xdr:rowOff>
        </xdr:to>
        <xdr:sp macro="" textlink="">
          <xdr:nvSpPr>
            <xdr:cNvPr id="2196" name="Object 148" hidden="1">
              <a:extLst>
                <a:ext uri="{63B3BB69-23CF-44E3-9099-C40C66FF867C}">
                  <a14:compatExt spid="_x0000_s2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76200</xdr:colOff>
          <xdr:row>15</xdr:row>
          <xdr:rowOff>114300</xdr:rowOff>
        </xdr:from>
        <xdr:to>
          <xdr:col>52</xdr:col>
          <xdr:colOff>1000125</xdr:colOff>
          <xdr:row>16</xdr:row>
          <xdr:rowOff>180975</xdr:rowOff>
        </xdr:to>
        <xdr:sp macro="" textlink="">
          <xdr:nvSpPr>
            <xdr:cNvPr id="2197" name="Object 149" hidden="1">
              <a:extLst>
                <a:ext uri="{63B3BB69-23CF-44E3-9099-C40C66FF867C}">
                  <a14:compatExt spid="_x0000_s21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390525</xdr:colOff>
          <xdr:row>15</xdr:row>
          <xdr:rowOff>142875</xdr:rowOff>
        </xdr:from>
        <xdr:to>
          <xdr:col>53</xdr:col>
          <xdr:colOff>619125</xdr:colOff>
          <xdr:row>16</xdr:row>
          <xdr:rowOff>142875</xdr:rowOff>
        </xdr:to>
        <xdr:sp macro="" textlink="">
          <xdr:nvSpPr>
            <xdr:cNvPr id="2198" name="Object 150" hidden="1">
              <a:extLst>
                <a:ext uri="{63B3BB69-23CF-44E3-9099-C40C66FF867C}">
                  <a14:compatExt spid="_x0000_s2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76200</xdr:colOff>
          <xdr:row>15</xdr:row>
          <xdr:rowOff>114300</xdr:rowOff>
        </xdr:from>
        <xdr:to>
          <xdr:col>54</xdr:col>
          <xdr:colOff>1000125</xdr:colOff>
          <xdr:row>16</xdr:row>
          <xdr:rowOff>180975</xdr:rowOff>
        </xdr:to>
        <xdr:sp macro="" textlink="">
          <xdr:nvSpPr>
            <xdr:cNvPr id="2199" name="Object 151" hidden="1">
              <a:extLst>
                <a:ext uri="{63B3BB69-23CF-44E3-9099-C40C66FF867C}">
                  <a14:compatExt spid="_x0000_s21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55</xdr:col>
          <xdr:colOff>76200</xdr:colOff>
          <xdr:row>15</xdr:row>
          <xdr:rowOff>114300</xdr:rowOff>
        </xdr:from>
        <xdr:to>
          <xdr:col>55</xdr:col>
          <xdr:colOff>1000125</xdr:colOff>
          <xdr:row>16</xdr:row>
          <xdr:rowOff>180975</xdr:rowOff>
        </xdr:to>
        <xdr:sp macro="" textlink="">
          <xdr:nvSpPr>
            <xdr:cNvPr id="2200" name="Object 152" hidden="1">
              <a:extLst>
                <a:ext uri="{63B3BB69-23CF-44E3-9099-C40C66FF867C}">
                  <a14:compatExt spid="_x0000_s2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56</xdr:col>
          <xdr:colOff>200025</xdr:colOff>
          <xdr:row>15</xdr:row>
          <xdr:rowOff>114300</xdr:rowOff>
        </xdr:from>
        <xdr:to>
          <xdr:col>56</xdr:col>
          <xdr:colOff>809625</xdr:colOff>
          <xdr:row>16</xdr:row>
          <xdr:rowOff>142875</xdr:rowOff>
        </xdr:to>
        <xdr:sp macro="" textlink="">
          <xdr:nvSpPr>
            <xdr:cNvPr id="2201" name="Object 153" hidden="1">
              <a:extLst>
                <a:ext uri="{63B3BB69-23CF-44E3-9099-C40C66FF867C}">
                  <a14:compatExt spid="_x0000_s2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200025</xdr:colOff>
          <xdr:row>15</xdr:row>
          <xdr:rowOff>114300</xdr:rowOff>
        </xdr:from>
        <xdr:to>
          <xdr:col>57</xdr:col>
          <xdr:colOff>800100</xdr:colOff>
          <xdr:row>16</xdr:row>
          <xdr:rowOff>142875</xdr:rowOff>
        </xdr:to>
        <xdr:sp macro="" textlink="">
          <xdr:nvSpPr>
            <xdr:cNvPr id="2202" name="Object 154" hidden="1">
              <a:extLst>
                <a:ext uri="{63B3BB69-23CF-44E3-9099-C40C66FF867C}">
                  <a14:compatExt spid="_x0000_s2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76200</xdr:colOff>
          <xdr:row>15</xdr:row>
          <xdr:rowOff>123825</xdr:rowOff>
        </xdr:from>
        <xdr:to>
          <xdr:col>68</xdr:col>
          <xdr:colOff>923925</xdr:colOff>
          <xdr:row>16</xdr:row>
          <xdr:rowOff>200025</xdr:rowOff>
        </xdr:to>
        <xdr:sp macro="" textlink="">
          <xdr:nvSpPr>
            <xdr:cNvPr id="2203" name="Object 155" hidden="1">
              <a:extLst>
                <a:ext uri="{63B3BB69-23CF-44E3-9099-C40C66FF867C}">
                  <a14:compatExt spid="_x0000_s22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67</xdr:col>
          <xdr:colOff>219075</xdr:colOff>
          <xdr:row>12</xdr:row>
          <xdr:rowOff>85725</xdr:rowOff>
        </xdr:from>
        <xdr:to>
          <xdr:col>67</xdr:col>
          <xdr:colOff>876300</xdr:colOff>
          <xdr:row>13</xdr:row>
          <xdr:rowOff>180975</xdr:rowOff>
        </xdr:to>
        <xdr:sp macro="" textlink="">
          <xdr:nvSpPr>
            <xdr:cNvPr id="2204" name="Object 156" hidden="1">
              <a:extLst>
                <a:ext uri="{63B3BB69-23CF-44E3-9099-C40C66FF867C}">
                  <a14:compatExt spid="_x0000_s2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69</xdr:col>
          <xdr:colOff>390525</xdr:colOff>
          <xdr:row>12</xdr:row>
          <xdr:rowOff>28575</xdr:rowOff>
        </xdr:from>
        <xdr:to>
          <xdr:col>69</xdr:col>
          <xdr:colOff>619125</xdr:colOff>
          <xdr:row>13</xdr:row>
          <xdr:rowOff>200025</xdr:rowOff>
        </xdr:to>
        <xdr:sp macro="" textlink="">
          <xdr:nvSpPr>
            <xdr:cNvPr id="2205" name="Object 157" hidden="1">
              <a:extLst>
                <a:ext uri="{63B3BB69-23CF-44E3-9099-C40C66FF867C}">
                  <a14:compatExt spid="_x0000_s2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70</xdr:col>
          <xdr:colOff>104775</xdr:colOff>
          <xdr:row>12</xdr:row>
          <xdr:rowOff>66675</xdr:rowOff>
        </xdr:from>
        <xdr:to>
          <xdr:col>70</xdr:col>
          <xdr:colOff>923925</xdr:colOff>
          <xdr:row>13</xdr:row>
          <xdr:rowOff>114300</xdr:rowOff>
        </xdr:to>
        <xdr:sp macro="" textlink="">
          <xdr:nvSpPr>
            <xdr:cNvPr id="2206" name="Object 158" hidden="1">
              <a:extLst>
                <a:ext uri="{63B3BB69-23CF-44E3-9099-C40C66FF867C}">
                  <a14:compatExt spid="_x0000_s2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</xdr:col>
          <xdr:colOff>428625</xdr:colOff>
          <xdr:row>15</xdr:row>
          <xdr:rowOff>161925</xdr:rowOff>
        </xdr:from>
        <xdr:to>
          <xdr:col>72</xdr:col>
          <xdr:colOff>600075</xdr:colOff>
          <xdr:row>16</xdr:row>
          <xdr:rowOff>114300</xdr:rowOff>
        </xdr:to>
        <xdr:sp macro="" textlink="">
          <xdr:nvSpPr>
            <xdr:cNvPr id="2207" name="Object 159" hidden="1">
              <a:extLst>
                <a:ext uri="{63B3BB69-23CF-44E3-9099-C40C66FF867C}">
                  <a14:compatExt spid="_x0000_s22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142875</xdr:colOff>
          <xdr:row>15</xdr:row>
          <xdr:rowOff>142875</xdr:rowOff>
        </xdr:from>
        <xdr:to>
          <xdr:col>74</xdr:col>
          <xdr:colOff>809625</xdr:colOff>
          <xdr:row>16</xdr:row>
          <xdr:rowOff>180975</xdr:rowOff>
        </xdr:to>
        <xdr:sp macro="" textlink="">
          <xdr:nvSpPr>
            <xdr:cNvPr id="2208" name="Object 160" hidden="1">
              <a:extLst>
                <a:ext uri="{63B3BB69-23CF-44E3-9099-C40C66FF867C}">
                  <a14:compatExt spid="_x0000_s2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81</xdr:col>
          <xdr:colOff>123825</xdr:colOff>
          <xdr:row>15</xdr:row>
          <xdr:rowOff>114300</xdr:rowOff>
        </xdr:from>
        <xdr:to>
          <xdr:col>81</xdr:col>
          <xdr:colOff>923925</xdr:colOff>
          <xdr:row>16</xdr:row>
          <xdr:rowOff>142875</xdr:rowOff>
        </xdr:to>
        <xdr:sp macro="" textlink="">
          <xdr:nvSpPr>
            <xdr:cNvPr id="2209" name="Object 161" hidden="1">
              <a:extLst>
                <a:ext uri="{63B3BB69-23CF-44E3-9099-C40C66FF867C}">
                  <a14:compatExt spid="_x0000_s2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257175</xdr:colOff>
          <xdr:row>15</xdr:row>
          <xdr:rowOff>114300</xdr:rowOff>
        </xdr:from>
        <xdr:to>
          <xdr:col>82</xdr:col>
          <xdr:colOff>762000</xdr:colOff>
          <xdr:row>16</xdr:row>
          <xdr:rowOff>142875</xdr:rowOff>
        </xdr:to>
        <xdr:sp macro="" textlink="">
          <xdr:nvSpPr>
            <xdr:cNvPr id="2210" name="Object 162" hidden="1">
              <a:extLst>
                <a:ext uri="{63B3BB69-23CF-44E3-9099-C40C66FF867C}">
                  <a14:compatExt spid="_x0000_s2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87</xdr:col>
          <xdr:colOff>123825</xdr:colOff>
          <xdr:row>15</xdr:row>
          <xdr:rowOff>114300</xdr:rowOff>
        </xdr:from>
        <xdr:to>
          <xdr:col>87</xdr:col>
          <xdr:colOff>923925</xdr:colOff>
          <xdr:row>16</xdr:row>
          <xdr:rowOff>142875</xdr:rowOff>
        </xdr:to>
        <xdr:sp macro="" textlink="">
          <xdr:nvSpPr>
            <xdr:cNvPr id="2211" name="Object 163" hidden="1">
              <a:extLst>
                <a:ext uri="{63B3BB69-23CF-44E3-9099-C40C66FF867C}">
                  <a14:compatExt spid="_x0000_s22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88</xdr:col>
          <xdr:colOff>257175</xdr:colOff>
          <xdr:row>15</xdr:row>
          <xdr:rowOff>114300</xdr:rowOff>
        </xdr:from>
        <xdr:to>
          <xdr:col>88</xdr:col>
          <xdr:colOff>762000</xdr:colOff>
          <xdr:row>16</xdr:row>
          <xdr:rowOff>142875</xdr:rowOff>
        </xdr:to>
        <xdr:sp macro="" textlink="">
          <xdr:nvSpPr>
            <xdr:cNvPr id="2212" name="Object 164" hidden="1">
              <a:extLst>
                <a:ext uri="{63B3BB69-23CF-44E3-9099-C40C66FF867C}">
                  <a14:compatExt spid="_x0000_s22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</xdr:col>
          <xdr:colOff>257175</xdr:colOff>
          <xdr:row>15</xdr:row>
          <xdr:rowOff>114300</xdr:rowOff>
        </xdr:from>
        <xdr:to>
          <xdr:col>89</xdr:col>
          <xdr:colOff>752475</xdr:colOff>
          <xdr:row>16</xdr:row>
          <xdr:rowOff>142875</xdr:rowOff>
        </xdr:to>
        <xdr:sp macro="" textlink="">
          <xdr:nvSpPr>
            <xdr:cNvPr id="2213" name="Object 165" hidden="1">
              <a:extLst>
                <a:ext uri="{63B3BB69-23CF-44E3-9099-C40C66FF867C}">
                  <a14:compatExt spid="_x0000_s22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90</xdr:col>
          <xdr:colOff>123825</xdr:colOff>
          <xdr:row>15</xdr:row>
          <xdr:rowOff>114300</xdr:rowOff>
        </xdr:from>
        <xdr:to>
          <xdr:col>90</xdr:col>
          <xdr:colOff>904875</xdr:colOff>
          <xdr:row>16</xdr:row>
          <xdr:rowOff>142875</xdr:rowOff>
        </xdr:to>
        <xdr:sp macro="" textlink="">
          <xdr:nvSpPr>
            <xdr:cNvPr id="2214" name="Object 166" hidden="1">
              <a:extLst>
                <a:ext uri="{63B3BB69-23CF-44E3-9099-C40C66FF867C}">
                  <a14:compatExt spid="_x0000_s22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71</xdr:col>
          <xdr:colOff>304800</xdr:colOff>
          <xdr:row>12</xdr:row>
          <xdr:rowOff>85725</xdr:rowOff>
        </xdr:from>
        <xdr:to>
          <xdr:col>71</xdr:col>
          <xdr:colOff>876300</xdr:colOff>
          <xdr:row>13</xdr:row>
          <xdr:rowOff>180975</xdr:rowOff>
        </xdr:to>
        <xdr:sp macro="" textlink="">
          <xdr:nvSpPr>
            <xdr:cNvPr id="2215" name="Object 167" hidden="1">
              <a:extLst>
                <a:ext uri="{63B3BB69-23CF-44E3-9099-C40C66FF867C}">
                  <a14:compatExt spid="_x0000_s22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</xdr:col>
          <xdr:colOff>295275</xdr:colOff>
          <xdr:row>12</xdr:row>
          <xdr:rowOff>104775</xdr:rowOff>
        </xdr:from>
        <xdr:to>
          <xdr:col>72</xdr:col>
          <xdr:colOff>752475</xdr:colOff>
          <xdr:row>13</xdr:row>
          <xdr:rowOff>200025</xdr:rowOff>
        </xdr:to>
        <xdr:sp macro="" textlink="">
          <xdr:nvSpPr>
            <xdr:cNvPr id="2216" name="Object 168" hidden="1">
              <a:extLst>
                <a:ext uri="{63B3BB69-23CF-44E3-9099-C40C66FF867C}">
                  <a14:compatExt spid="_x0000_s22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91</xdr:col>
          <xdr:colOff>314325</xdr:colOff>
          <xdr:row>15</xdr:row>
          <xdr:rowOff>142875</xdr:rowOff>
        </xdr:from>
        <xdr:to>
          <xdr:col>91</xdr:col>
          <xdr:colOff>723900</xdr:colOff>
          <xdr:row>16</xdr:row>
          <xdr:rowOff>85725</xdr:rowOff>
        </xdr:to>
        <xdr:sp macro="" textlink="">
          <xdr:nvSpPr>
            <xdr:cNvPr id="2217" name="Object 169" hidden="1">
              <a:extLst>
                <a:ext uri="{63B3BB69-23CF-44E3-9099-C40C66FF867C}">
                  <a14:compatExt spid="_x0000_s2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94</xdr:col>
          <xdr:colOff>381000</xdr:colOff>
          <xdr:row>15</xdr:row>
          <xdr:rowOff>142875</xdr:rowOff>
        </xdr:from>
        <xdr:to>
          <xdr:col>94</xdr:col>
          <xdr:colOff>638175</xdr:colOff>
          <xdr:row>16</xdr:row>
          <xdr:rowOff>142875</xdr:rowOff>
        </xdr:to>
        <xdr:sp macro="" textlink="">
          <xdr:nvSpPr>
            <xdr:cNvPr id="2218" name="Object 170" hidden="1">
              <a:extLst>
                <a:ext uri="{63B3BB69-23CF-44E3-9099-C40C66FF867C}">
                  <a14:compatExt spid="_x0000_s2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95</xdr:col>
          <xdr:colOff>381000</xdr:colOff>
          <xdr:row>15</xdr:row>
          <xdr:rowOff>142875</xdr:rowOff>
        </xdr:from>
        <xdr:to>
          <xdr:col>95</xdr:col>
          <xdr:colOff>638175</xdr:colOff>
          <xdr:row>16</xdr:row>
          <xdr:rowOff>142875</xdr:rowOff>
        </xdr:to>
        <xdr:sp macro="" textlink="">
          <xdr:nvSpPr>
            <xdr:cNvPr id="2219" name="Object 171" hidden="1">
              <a:extLst>
                <a:ext uri="{63B3BB69-23CF-44E3-9099-C40C66FF867C}">
                  <a14:compatExt spid="_x0000_s22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96</xdr:col>
          <xdr:colOff>381000</xdr:colOff>
          <xdr:row>15</xdr:row>
          <xdr:rowOff>142875</xdr:rowOff>
        </xdr:from>
        <xdr:to>
          <xdr:col>96</xdr:col>
          <xdr:colOff>638175</xdr:colOff>
          <xdr:row>16</xdr:row>
          <xdr:rowOff>142875</xdr:rowOff>
        </xdr:to>
        <xdr:sp macro="" textlink="">
          <xdr:nvSpPr>
            <xdr:cNvPr id="2220" name="Object 172" hidden="1">
              <a:extLst>
                <a:ext uri="{63B3BB69-23CF-44E3-9099-C40C66FF867C}">
                  <a14:compatExt spid="_x0000_s22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97</xdr:col>
          <xdr:colOff>390525</xdr:colOff>
          <xdr:row>15</xdr:row>
          <xdr:rowOff>142875</xdr:rowOff>
        </xdr:from>
        <xdr:to>
          <xdr:col>97</xdr:col>
          <xdr:colOff>647700</xdr:colOff>
          <xdr:row>16</xdr:row>
          <xdr:rowOff>142875</xdr:rowOff>
        </xdr:to>
        <xdr:sp macro="" textlink="">
          <xdr:nvSpPr>
            <xdr:cNvPr id="2221" name="Object 173" hidden="1">
              <a:extLst>
                <a:ext uri="{63B3BB69-23CF-44E3-9099-C40C66FF867C}">
                  <a14:compatExt spid="_x0000_s22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98</xdr:col>
          <xdr:colOff>381000</xdr:colOff>
          <xdr:row>15</xdr:row>
          <xdr:rowOff>142875</xdr:rowOff>
        </xdr:from>
        <xdr:to>
          <xdr:col>98</xdr:col>
          <xdr:colOff>638175</xdr:colOff>
          <xdr:row>16</xdr:row>
          <xdr:rowOff>142875</xdr:rowOff>
        </xdr:to>
        <xdr:sp macro="" textlink="">
          <xdr:nvSpPr>
            <xdr:cNvPr id="2222" name="Object 174" hidden="1">
              <a:extLst>
                <a:ext uri="{63B3BB69-23CF-44E3-9099-C40C66FF867C}">
                  <a14:compatExt spid="_x0000_s22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99</xdr:col>
          <xdr:colOff>352425</xdr:colOff>
          <xdr:row>15</xdr:row>
          <xdr:rowOff>142875</xdr:rowOff>
        </xdr:from>
        <xdr:to>
          <xdr:col>99</xdr:col>
          <xdr:colOff>619125</xdr:colOff>
          <xdr:row>16</xdr:row>
          <xdr:rowOff>142875</xdr:rowOff>
        </xdr:to>
        <xdr:sp macro="" textlink="">
          <xdr:nvSpPr>
            <xdr:cNvPr id="2223" name="Object 175" hidden="1">
              <a:extLst>
                <a:ext uri="{63B3BB69-23CF-44E3-9099-C40C66FF867C}">
                  <a14:compatExt spid="_x0000_s22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100</xdr:col>
          <xdr:colOff>428625</xdr:colOff>
          <xdr:row>15</xdr:row>
          <xdr:rowOff>142875</xdr:rowOff>
        </xdr:from>
        <xdr:to>
          <xdr:col>100</xdr:col>
          <xdr:colOff>619125</xdr:colOff>
          <xdr:row>16</xdr:row>
          <xdr:rowOff>142875</xdr:rowOff>
        </xdr:to>
        <xdr:sp macro="" textlink="">
          <xdr:nvSpPr>
            <xdr:cNvPr id="2224" name="Object 176" hidden="1">
              <a:extLst>
                <a:ext uri="{63B3BB69-23CF-44E3-9099-C40C66FF867C}">
                  <a14:compatExt spid="_x0000_s22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101</xdr:col>
          <xdr:colOff>390525</xdr:colOff>
          <xdr:row>15</xdr:row>
          <xdr:rowOff>142875</xdr:rowOff>
        </xdr:from>
        <xdr:to>
          <xdr:col>101</xdr:col>
          <xdr:colOff>619125</xdr:colOff>
          <xdr:row>16</xdr:row>
          <xdr:rowOff>142875</xdr:rowOff>
        </xdr:to>
        <xdr:sp macro="" textlink="">
          <xdr:nvSpPr>
            <xdr:cNvPr id="2225" name="Object 177" hidden="1">
              <a:extLst>
                <a:ext uri="{63B3BB69-23CF-44E3-9099-C40C66FF867C}">
                  <a14:compatExt spid="_x0000_s22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102</xdr:col>
          <xdr:colOff>219075</xdr:colOff>
          <xdr:row>15</xdr:row>
          <xdr:rowOff>114300</xdr:rowOff>
        </xdr:from>
        <xdr:to>
          <xdr:col>102</xdr:col>
          <xdr:colOff>838200</xdr:colOff>
          <xdr:row>16</xdr:row>
          <xdr:rowOff>142875</xdr:rowOff>
        </xdr:to>
        <xdr:sp macro="" textlink="">
          <xdr:nvSpPr>
            <xdr:cNvPr id="2226" name="Object 178" hidden="1">
              <a:extLst>
                <a:ext uri="{63B3BB69-23CF-44E3-9099-C40C66FF867C}">
                  <a14:compatExt spid="_x0000_s2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103</xdr:col>
          <xdr:colOff>381000</xdr:colOff>
          <xdr:row>15</xdr:row>
          <xdr:rowOff>142875</xdr:rowOff>
        </xdr:from>
        <xdr:to>
          <xdr:col>103</xdr:col>
          <xdr:colOff>638175</xdr:colOff>
          <xdr:row>16</xdr:row>
          <xdr:rowOff>142875</xdr:rowOff>
        </xdr:to>
        <xdr:sp macro="" textlink="">
          <xdr:nvSpPr>
            <xdr:cNvPr id="2227" name="Object 179" hidden="1">
              <a:extLst>
                <a:ext uri="{63B3BB69-23CF-44E3-9099-C40C66FF867C}">
                  <a14:compatExt spid="_x0000_s22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104</xdr:col>
          <xdr:colOff>381000</xdr:colOff>
          <xdr:row>15</xdr:row>
          <xdr:rowOff>142875</xdr:rowOff>
        </xdr:from>
        <xdr:to>
          <xdr:col>104</xdr:col>
          <xdr:colOff>638175</xdr:colOff>
          <xdr:row>16</xdr:row>
          <xdr:rowOff>142875</xdr:rowOff>
        </xdr:to>
        <xdr:sp macro="" textlink="">
          <xdr:nvSpPr>
            <xdr:cNvPr id="2228" name="Object 180" hidden="1">
              <a:extLst>
                <a:ext uri="{63B3BB69-23CF-44E3-9099-C40C66FF867C}">
                  <a14:compatExt spid="_x0000_s22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105</xdr:col>
          <xdr:colOff>381000</xdr:colOff>
          <xdr:row>15</xdr:row>
          <xdr:rowOff>142875</xdr:rowOff>
        </xdr:from>
        <xdr:to>
          <xdr:col>105</xdr:col>
          <xdr:colOff>638175</xdr:colOff>
          <xdr:row>16</xdr:row>
          <xdr:rowOff>142875</xdr:rowOff>
        </xdr:to>
        <xdr:sp macro="" textlink="">
          <xdr:nvSpPr>
            <xdr:cNvPr id="2229" name="Object 181" hidden="1">
              <a:extLst>
                <a:ext uri="{63B3BB69-23CF-44E3-9099-C40C66FF867C}">
                  <a14:compatExt spid="_x0000_s22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106</xdr:col>
          <xdr:colOff>390525</xdr:colOff>
          <xdr:row>15</xdr:row>
          <xdr:rowOff>142875</xdr:rowOff>
        </xdr:from>
        <xdr:to>
          <xdr:col>106</xdr:col>
          <xdr:colOff>647700</xdr:colOff>
          <xdr:row>16</xdr:row>
          <xdr:rowOff>142875</xdr:rowOff>
        </xdr:to>
        <xdr:sp macro="" textlink="">
          <xdr:nvSpPr>
            <xdr:cNvPr id="2230" name="Object 182" hidden="1">
              <a:extLst>
                <a:ext uri="{63B3BB69-23CF-44E3-9099-C40C66FF867C}">
                  <a14:compatExt spid="_x0000_s2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107</xdr:col>
          <xdr:colOff>381000</xdr:colOff>
          <xdr:row>15</xdr:row>
          <xdr:rowOff>142875</xdr:rowOff>
        </xdr:from>
        <xdr:to>
          <xdr:col>107</xdr:col>
          <xdr:colOff>638175</xdr:colOff>
          <xdr:row>16</xdr:row>
          <xdr:rowOff>142875</xdr:rowOff>
        </xdr:to>
        <xdr:sp macro="" textlink="">
          <xdr:nvSpPr>
            <xdr:cNvPr id="2231" name="Object 183" hidden="1">
              <a:extLst>
                <a:ext uri="{63B3BB69-23CF-44E3-9099-C40C66FF867C}">
                  <a14:compatExt spid="_x0000_s22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108</xdr:col>
          <xdr:colOff>352425</xdr:colOff>
          <xdr:row>15</xdr:row>
          <xdr:rowOff>142875</xdr:rowOff>
        </xdr:from>
        <xdr:to>
          <xdr:col>108</xdr:col>
          <xdr:colOff>619125</xdr:colOff>
          <xdr:row>16</xdr:row>
          <xdr:rowOff>142875</xdr:rowOff>
        </xdr:to>
        <xdr:sp macro="" textlink="">
          <xdr:nvSpPr>
            <xdr:cNvPr id="2232" name="Object 184" hidden="1">
              <a:extLst>
                <a:ext uri="{63B3BB69-23CF-44E3-9099-C40C66FF867C}">
                  <a14:compatExt spid="_x0000_s22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109</xdr:col>
          <xdr:colOff>428625</xdr:colOff>
          <xdr:row>15</xdr:row>
          <xdr:rowOff>142875</xdr:rowOff>
        </xdr:from>
        <xdr:to>
          <xdr:col>109</xdr:col>
          <xdr:colOff>619125</xdr:colOff>
          <xdr:row>16</xdr:row>
          <xdr:rowOff>142875</xdr:rowOff>
        </xdr:to>
        <xdr:sp macro="" textlink="">
          <xdr:nvSpPr>
            <xdr:cNvPr id="2233" name="Object 185" hidden="1">
              <a:extLst>
                <a:ext uri="{63B3BB69-23CF-44E3-9099-C40C66FF867C}">
                  <a14:compatExt spid="_x0000_s22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110</xdr:col>
          <xdr:colOff>390525</xdr:colOff>
          <xdr:row>15</xdr:row>
          <xdr:rowOff>142875</xdr:rowOff>
        </xdr:from>
        <xdr:to>
          <xdr:col>110</xdr:col>
          <xdr:colOff>619125</xdr:colOff>
          <xdr:row>16</xdr:row>
          <xdr:rowOff>142875</xdr:rowOff>
        </xdr:to>
        <xdr:sp macro="" textlink="">
          <xdr:nvSpPr>
            <xdr:cNvPr id="2234" name="Object 186" hidden="1">
              <a:extLst>
                <a:ext uri="{63B3BB69-23CF-44E3-9099-C40C66FF867C}">
                  <a14:compatExt spid="_x0000_s2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111</xdr:col>
          <xdr:colOff>76200</xdr:colOff>
          <xdr:row>15</xdr:row>
          <xdr:rowOff>114300</xdr:rowOff>
        </xdr:from>
        <xdr:to>
          <xdr:col>111</xdr:col>
          <xdr:colOff>1000125</xdr:colOff>
          <xdr:row>16</xdr:row>
          <xdr:rowOff>180975</xdr:rowOff>
        </xdr:to>
        <xdr:sp macro="" textlink="">
          <xdr:nvSpPr>
            <xdr:cNvPr id="2235" name="Object 187" hidden="1">
              <a:extLst>
                <a:ext uri="{63B3BB69-23CF-44E3-9099-C40C66FF867C}">
                  <a14:compatExt spid="_x0000_s22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112</xdr:col>
          <xdr:colOff>390525</xdr:colOff>
          <xdr:row>15</xdr:row>
          <xdr:rowOff>142875</xdr:rowOff>
        </xdr:from>
        <xdr:to>
          <xdr:col>112</xdr:col>
          <xdr:colOff>619125</xdr:colOff>
          <xdr:row>16</xdr:row>
          <xdr:rowOff>142875</xdr:rowOff>
        </xdr:to>
        <xdr:sp macro="" textlink="">
          <xdr:nvSpPr>
            <xdr:cNvPr id="2236" name="Object 188" hidden="1">
              <a:extLst>
                <a:ext uri="{63B3BB69-23CF-44E3-9099-C40C66FF867C}">
                  <a14:compatExt spid="_x0000_s22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113</xdr:col>
          <xdr:colOff>76200</xdr:colOff>
          <xdr:row>15</xdr:row>
          <xdr:rowOff>114300</xdr:rowOff>
        </xdr:from>
        <xdr:to>
          <xdr:col>113</xdr:col>
          <xdr:colOff>1000125</xdr:colOff>
          <xdr:row>16</xdr:row>
          <xdr:rowOff>180975</xdr:rowOff>
        </xdr:to>
        <xdr:sp macro="" textlink="">
          <xdr:nvSpPr>
            <xdr:cNvPr id="2237" name="Object 189" hidden="1">
              <a:extLst>
                <a:ext uri="{63B3BB69-23CF-44E3-9099-C40C66FF867C}">
                  <a14:compatExt spid="_x0000_s22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114</xdr:col>
          <xdr:colOff>76200</xdr:colOff>
          <xdr:row>15</xdr:row>
          <xdr:rowOff>114300</xdr:rowOff>
        </xdr:from>
        <xdr:to>
          <xdr:col>114</xdr:col>
          <xdr:colOff>1000125</xdr:colOff>
          <xdr:row>16</xdr:row>
          <xdr:rowOff>180975</xdr:rowOff>
        </xdr:to>
        <xdr:sp macro="" textlink="">
          <xdr:nvSpPr>
            <xdr:cNvPr id="2238" name="Object 190" hidden="1">
              <a:extLst>
                <a:ext uri="{63B3BB69-23CF-44E3-9099-C40C66FF867C}">
                  <a14:compatExt spid="_x0000_s2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115</xdr:col>
          <xdr:colOff>200025</xdr:colOff>
          <xdr:row>15</xdr:row>
          <xdr:rowOff>114300</xdr:rowOff>
        </xdr:from>
        <xdr:to>
          <xdr:col>115</xdr:col>
          <xdr:colOff>809625</xdr:colOff>
          <xdr:row>16</xdr:row>
          <xdr:rowOff>142875</xdr:rowOff>
        </xdr:to>
        <xdr:sp macro="" textlink="">
          <xdr:nvSpPr>
            <xdr:cNvPr id="2239" name="Object 191" hidden="1">
              <a:extLst>
                <a:ext uri="{63B3BB69-23CF-44E3-9099-C40C66FF867C}">
                  <a14:compatExt spid="_x0000_s22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116</xdr:col>
          <xdr:colOff>200025</xdr:colOff>
          <xdr:row>15</xdr:row>
          <xdr:rowOff>114300</xdr:rowOff>
        </xdr:from>
        <xdr:to>
          <xdr:col>116</xdr:col>
          <xdr:colOff>800100</xdr:colOff>
          <xdr:row>16</xdr:row>
          <xdr:rowOff>142875</xdr:rowOff>
        </xdr:to>
        <xdr:sp macro="" textlink="">
          <xdr:nvSpPr>
            <xdr:cNvPr id="2240" name="Object 192" hidden="1">
              <a:extLst>
                <a:ext uri="{63B3BB69-23CF-44E3-9099-C40C66FF867C}">
                  <a14:compatExt spid="_x0000_s22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127</xdr:col>
          <xdr:colOff>76200</xdr:colOff>
          <xdr:row>15</xdr:row>
          <xdr:rowOff>123825</xdr:rowOff>
        </xdr:from>
        <xdr:to>
          <xdr:col>127</xdr:col>
          <xdr:colOff>923925</xdr:colOff>
          <xdr:row>16</xdr:row>
          <xdr:rowOff>200025</xdr:rowOff>
        </xdr:to>
        <xdr:sp macro="" textlink="">
          <xdr:nvSpPr>
            <xdr:cNvPr id="2241" name="Object 193" hidden="1">
              <a:extLst>
                <a:ext uri="{63B3BB69-23CF-44E3-9099-C40C66FF867C}">
                  <a14:compatExt spid="_x0000_s2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126</xdr:col>
          <xdr:colOff>219075</xdr:colOff>
          <xdr:row>12</xdr:row>
          <xdr:rowOff>85725</xdr:rowOff>
        </xdr:from>
        <xdr:to>
          <xdr:col>126</xdr:col>
          <xdr:colOff>876300</xdr:colOff>
          <xdr:row>13</xdr:row>
          <xdr:rowOff>180975</xdr:rowOff>
        </xdr:to>
        <xdr:sp macro="" textlink="">
          <xdr:nvSpPr>
            <xdr:cNvPr id="2242" name="Object 194" hidden="1">
              <a:extLst>
                <a:ext uri="{63B3BB69-23CF-44E3-9099-C40C66FF867C}">
                  <a14:compatExt spid="_x0000_s2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128</xdr:col>
          <xdr:colOff>390525</xdr:colOff>
          <xdr:row>12</xdr:row>
          <xdr:rowOff>28575</xdr:rowOff>
        </xdr:from>
        <xdr:to>
          <xdr:col>128</xdr:col>
          <xdr:colOff>619125</xdr:colOff>
          <xdr:row>13</xdr:row>
          <xdr:rowOff>200025</xdr:rowOff>
        </xdr:to>
        <xdr:sp macro="" textlink="">
          <xdr:nvSpPr>
            <xdr:cNvPr id="2243" name="Object 195" hidden="1">
              <a:extLst>
                <a:ext uri="{63B3BB69-23CF-44E3-9099-C40C66FF867C}">
                  <a14:compatExt spid="_x0000_s22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129</xdr:col>
          <xdr:colOff>104775</xdr:colOff>
          <xdr:row>12</xdr:row>
          <xdr:rowOff>66675</xdr:rowOff>
        </xdr:from>
        <xdr:to>
          <xdr:col>129</xdr:col>
          <xdr:colOff>923925</xdr:colOff>
          <xdr:row>13</xdr:row>
          <xdr:rowOff>114300</xdr:rowOff>
        </xdr:to>
        <xdr:sp macro="" textlink="">
          <xdr:nvSpPr>
            <xdr:cNvPr id="2244" name="Object 196" hidden="1">
              <a:extLst>
                <a:ext uri="{63B3BB69-23CF-44E3-9099-C40C66FF867C}">
                  <a14:compatExt spid="_x0000_s22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131</xdr:col>
          <xdr:colOff>428625</xdr:colOff>
          <xdr:row>15</xdr:row>
          <xdr:rowOff>161925</xdr:rowOff>
        </xdr:from>
        <xdr:to>
          <xdr:col>131</xdr:col>
          <xdr:colOff>600075</xdr:colOff>
          <xdr:row>16</xdr:row>
          <xdr:rowOff>114300</xdr:rowOff>
        </xdr:to>
        <xdr:sp macro="" textlink="">
          <xdr:nvSpPr>
            <xdr:cNvPr id="2245" name="Object 197" hidden="1">
              <a:extLst>
                <a:ext uri="{63B3BB69-23CF-44E3-9099-C40C66FF867C}">
                  <a14:compatExt spid="_x0000_s22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133</xdr:col>
          <xdr:colOff>142875</xdr:colOff>
          <xdr:row>15</xdr:row>
          <xdr:rowOff>142875</xdr:rowOff>
        </xdr:from>
        <xdr:to>
          <xdr:col>133</xdr:col>
          <xdr:colOff>809625</xdr:colOff>
          <xdr:row>16</xdr:row>
          <xdr:rowOff>180975</xdr:rowOff>
        </xdr:to>
        <xdr:sp macro="" textlink="">
          <xdr:nvSpPr>
            <xdr:cNvPr id="2246" name="Object 198" hidden="1">
              <a:extLst>
                <a:ext uri="{63B3BB69-23CF-44E3-9099-C40C66FF867C}">
                  <a14:compatExt spid="_x0000_s2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140</xdr:col>
          <xdr:colOff>123825</xdr:colOff>
          <xdr:row>15</xdr:row>
          <xdr:rowOff>114300</xdr:rowOff>
        </xdr:from>
        <xdr:to>
          <xdr:col>140</xdr:col>
          <xdr:colOff>923925</xdr:colOff>
          <xdr:row>16</xdr:row>
          <xdr:rowOff>142875</xdr:rowOff>
        </xdr:to>
        <xdr:sp macro="" textlink="">
          <xdr:nvSpPr>
            <xdr:cNvPr id="2247" name="Object 199" hidden="1">
              <a:extLst>
                <a:ext uri="{63B3BB69-23CF-44E3-9099-C40C66FF867C}">
                  <a14:compatExt spid="_x0000_s22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141</xdr:col>
          <xdr:colOff>257175</xdr:colOff>
          <xdr:row>15</xdr:row>
          <xdr:rowOff>114300</xdr:rowOff>
        </xdr:from>
        <xdr:to>
          <xdr:col>141</xdr:col>
          <xdr:colOff>762000</xdr:colOff>
          <xdr:row>16</xdr:row>
          <xdr:rowOff>142875</xdr:rowOff>
        </xdr:to>
        <xdr:sp macro="" textlink="">
          <xdr:nvSpPr>
            <xdr:cNvPr id="2248" name="Object 200" hidden="1">
              <a:extLst>
                <a:ext uri="{63B3BB69-23CF-44E3-9099-C40C66FF867C}">
                  <a14:compatExt spid="_x0000_s22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146</xdr:col>
          <xdr:colOff>123825</xdr:colOff>
          <xdr:row>15</xdr:row>
          <xdr:rowOff>114300</xdr:rowOff>
        </xdr:from>
        <xdr:to>
          <xdr:col>146</xdr:col>
          <xdr:colOff>923925</xdr:colOff>
          <xdr:row>16</xdr:row>
          <xdr:rowOff>142875</xdr:rowOff>
        </xdr:to>
        <xdr:sp macro="" textlink="">
          <xdr:nvSpPr>
            <xdr:cNvPr id="2249" name="Object 201" hidden="1">
              <a:extLst>
                <a:ext uri="{63B3BB69-23CF-44E3-9099-C40C66FF867C}">
                  <a14:compatExt spid="_x0000_s22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147</xdr:col>
          <xdr:colOff>257175</xdr:colOff>
          <xdr:row>15</xdr:row>
          <xdr:rowOff>114300</xdr:rowOff>
        </xdr:from>
        <xdr:to>
          <xdr:col>147</xdr:col>
          <xdr:colOff>762000</xdr:colOff>
          <xdr:row>16</xdr:row>
          <xdr:rowOff>142875</xdr:rowOff>
        </xdr:to>
        <xdr:sp macro="" textlink="">
          <xdr:nvSpPr>
            <xdr:cNvPr id="2250" name="Object 202" hidden="1">
              <a:extLst>
                <a:ext uri="{63B3BB69-23CF-44E3-9099-C40C66FF867C}">
                  <a14:compatExt spid="_x0000_s2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148</xdr:col>
          <xdr:colOff>257175</xdr:colOff>
          <xdr:row>15</xdr:row>
          <xdr:rowOff>114300</xdr:rowOff>
        </xdr:from>
        <xdr:to>
          <xdr:col>148</xdr:col>
          <xdr:colOff>752475</xdr:colOff>
          <xdr:row>16</xdr:row>
          <xdr:rowOff>142875</xdr:rowOff>
        </xdr:to>
        <xdr:sp macro="" textlink="">
          <xdr:nvSpPr>
            <xdr:cNvPr id="2251" name="Object 203" hidden="1">
              <a:extLst>
                <a:ext uri="{63B3BB69-23CF-44E3-9099-C40C66FF867C}">
                  <a14:compatExt spid="_x0000_s22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149</xdr:col>
          <xdr:colOff>123825</xdr:colOff>
          <xdr:row>15</xdr:row>
          <xdr:rowOff>114300</xdr:rowOff>
        </xdr:from>
        <xdr:to>
          <xdr:col>149</xdr:col>
          <xdr:colOff>904875</xdr:colOff>
          <xdr:row>16</xdr:row>
          <xdr:rowOff>142875</xdr:rowOff>
        </xdr:to>
        <xdr:sp macro="" textlink="">
          <xdr:nvSpPr>
            <xdr:cNvPr id="2252" name="Object 204" hidden="1">
              <a:extLst>
                <a:ext uri="{63B3BB69-23CF-44E3-9099-C40C66FF867C}">
                  <a14:compatExt spid="_x0000_s22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130</xdr:col>
          <xdr:colOff>304800</xdr:colOff>
          <xdr:row>12</xdr:row>
          <xdr:rowOff>85725</xdr:rowOff>
        </xdr:from>
        <xdr:to>
          <xdr:col>130</xdr:col>
          <xdr:colOff>876300</xdr:colOff>
          <xdr:row>13</xdr:row>
          <xdr:rowOff>180975</xdr:rowOff>
        </xdr:to>
        <xdr:sp macro="" textlink="">
          <xdr:nvSpPr>
            <xdr:cNvPr id="2253" name="Object 205" hidden="1">
              <a:extLst>
                <a:ext uri="{63B3BB69-23CF-44E3-9099-C40C66FF867C}">
                  <a14:compatExt spid="_x0000_s22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131</xdr:col>
          <xdr:colOff>295275</xdr:colOff>
          <xdr:row>12</xdr:row>
          <xdr:rowOff>104775</xdr:rowOff>
        </xdr:from>
        <xdr:to>
          <xdr:col>131</xdr:col>
          <xdr:colOff>752475</xdr:colOff>
          <xdr:row>13</xdr:row>
          <xdr:rowOff>200025</xdr:rowOff>
        </xdr:to>
        <xdr:sp macro="" textlink="">
          <xdr:nvSpPr>
            <xdr:cNvPr id="2254" name="Object 206" hidden="1">
              <a:extLst>
                <a:ext uri="{63B3BB69-23CF-44E3-9099-C40C66FF867C}">
                  <a14:compatExt spid="_x0000_s2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150</xdr:col>
          <xdr:colOff>314325</xdr:colOff>
          <xdr:row>15</xdr:row>
          <xdr:rowOff>142875</xdr:rowOff>
        </xdr:from>
        <xdr:to>
          <xdr:col>150</xdr:col>
          <xdr:colOff>723900</xdr:colOff>
          <xdr:row>16</xdr:row>
          <xdr:rowOff>85725</xdr:rowOff>
        </xdr:to>
        <xdr:sp macro="" textlink="">
          <xdr:nvSpPr>
            <xdr:cNvPr id="2255" name="Object 207" hidden="1">
              <a:extLst>
                <a:ext uri="{63B3BB69-23CF-44E3-9099-C40C66FF867C}">
                  <a14:compatExt spid="_x0000_s22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153</xdr:col>
          <xdr:colOff>381000</xdr:colOff>
          <xdr:row>15</xdr:row>
          <xdr:rowOff>142875</xdr:rowOff>
        </xdr:from>
        <xdr:to>
          <xdr:col>153</xdr:col>
          <xdr:colOff>638175</xdr:colOff>
          <xdr:row>16</xdr:row>
          <xdr:rowOff>142875</xdr:rowOff>
        </xdr:to>
        <xdr:sp macro="" textlink="">
          <xdr:nvSpPr>
            <xdr:cNvPr id="2256" name="Object 208" hidden="1">
              <a:extLst>
                <a:ext uri="{63B3BB69-23CF-44E3-9099-C40C66FF867C}">
                  <a14:compatExt spid="_x0000_s22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154</xdr:col>
          <xdr:colOff>381000</xdr:colOff>
          <xdr:row>15</xdr:row>
          <xdr:rowOff>142875</xdr:rowOff>
        </xdr:from>
        <xdr:to>
          <xdr:col>154</xdr:col>
          <xdr:colOff>638175</xdr:colOff>
          <xdr:row>16</xdr:row>
          <xdr:rowOff>142875</xdr:rowOff>
        </xdr:to>
        <xdr:sp macro="" textlink="">
          <xdr:nvSpPr>
            <xdr:cNvPr id="2257" name="Object 209" hidden="1">
              <a:extLst>
                <a:ext uri="{63B3BB69-23CF-44E3-9099-C40C66FF867C}">
                  <a14:compatExt spid="_x0000_s22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155</xdr:col>
          <xdr:colOff>381000</xdr:colOff>
          <xdr:row>15</xdr:row>
          <xdr:rowOff>142875</xdr:rowOff>
        </xdr:from>
        <xdr:to>
          <xdr:col>155</xdr:col>
          <xdr:colOff>638175</xdr:colOff>
          <xdr:row>16</xdr:row>
          <xdr:rowOff>142875</xdr:rowOff>
        </xdr:to>
        <xdr:sp macro="" textlink="">
          <xdr:nvSpPr>
            <xdr:cNvPr id="2258" name="Object 210" hidden="1">
              <a:extLst>
                <a:ext uri="{63B3BB69-23CF-44E3-9099-C40C66FF867C}">
                  <a14:compatExt spid="_x0000_s2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156</xdr:col>
          <xdr:colOff>390525</xdr:colOff>
          <xdr:row>15</xdr:row>
          <xdr:rowOff>142875</xdr:rowOff>
        </xdr:from>
        <xdr:to>
          <xdr:col>156</xdr:col>
          <xdr:colOff>647700</xdr:colOff>
          <xdr:row>16</xdr:row>
          <xdr:rowOff>142875</xdr:rowOff>
        </xdr:to>
        <xdr:sp macro="" textlink="">
          <xdr:nvSpPr>
            <xdr:cNvPr id="2259" name="Object 211" hidden="1">
              <a:extLst>
                <a:ext uri="{63B3BB69-23CF-44E3-9099-C40C66FF867C}">
                  <a14:compatExt spid="_x0000_s22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157</xdr:col>
          <xdr:colOff>381000</xdr:colOff>
          <xdr:row>15</xdr:row>
          <xdr:rowOff>142875</xdr:rowOff>
        </xdr:from>
        <xdr:to>
          <xdr:col>157</xdr:col>
          <xdr:colOff>638175</xdr:colOff>
          <xdr:row>16</xdr:row>
          <xdr:rowOff>142875</xdr:rowOff>
        </xdr:to>
        <xdr:sp macro="" textlink="">
          <xdr:nvSpPr>
            <xdr:cNvPr id="2260" name="Object 212" hidden="1">
              <a:extLst>
                <a:ext uri="{63B3BB69-23CF-44E3-9099-C40C66FF867C}">
                  <a14:compatExt spid="_x0000_s22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158</xdr:col>
          <xdr:colOff>352425</xdr:colOff>
          <xdr:row>15</xdr:row>
          <xdr:rowOff>142875</xdr:rowOff>
        </xdr:from>
        <xdr:to>
          <xdr:col>158</xdr:col>
          <xdr:colOff>619125</xdr:colOff>
          <xdr:row>16</xdr:row>
          <xdr:rowOff>142875</xdr:rowOff>
        </xdr:to>
        <xdr:sp macro="" textlink="">
          <xdr:nvSpPr>
            <xdr:cNvPr id="2261" name="Object 213" hidden="1">
              <a:extLst>
                <a:ext uri="{63B3BB69-23CF-44E3-9099-C40C66FF867C}">
                  <a14:compatExt spid="_x0000_s22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159</xdr:col>
          <xdr:colOff>428625</xdr:colOff>
          <xdr:row>15</xdr:row>
          <xdr:rowOff>142875</xdr:rowOff>
        </xdr:from>
        <xdr:to>
          <xdr:col>159</xdr:col>
          <xdr:colOff>619125</xdr:colOff>
          <xdr:row>16</xdr:row>
          <xdr:rowOff>142875</xdr:rowOff>
        </xdr:to>
        <xdr:sp macro="" textlink="">
          <xdr:nvSpPr>
            <xdr:cNvPr id="2262" name="Object 214" hidden="1">
              <a:extLst>
                <a:ext uri="{63B3BB69-23CF-44E3-9099-C40C66FF867C}">
                  <a14:compatExt spid="_x0000_s2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160</xdr:col>
          <xdr:colOff>390525</xdr:colOff>
          <xdr:row>15</xdr:row>
          <xdr:rowOff>142875</xdr:rowOff>
        </xdr:from>
        <xdr:to>
          <xdr:col>160</xdr:col>
          <xdr:colOff>619125</xdr:colOff>
          <xdr:row>16</xdr:row>
          <xdr:rowOff>142875</xdr:rowOff>
        </xdr:to>
        <xdr:sp macro="" textlink="">
          <xdr:nvSpPr>
            <xdr:cNvPr id="2263" name="Object 215" hidden="1">
              <a:extLst>
                <a:ext uri="{63B3BB69-23CF-44E3-9099-C40C66FF867C}">
                  <a14:compatExt spid="_x0000_s22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161</xdr:col>
          <xdr:colOff>219075</xdr:colOff>
          <xdr:row>15</xdr:row>
          <xdr:rowOff>114300</xdr:rowOff>
        </xdr:from>
        <xdr:to>
          <xdr:col>161</xdr:col>
          <xdr:colOff>838200</xdr:colOff>
          <xdr:row>16</xdr:row>
          <xdr:rowOff>142875</xdr:rowOff>
        </xdr:to>
        <xdr:sp macro="" textlink="">
          <xdr:nvSpPr>
            <xdr:cNvPr id="2264" name="Object 216" hidden="1">
              <a:extLst>
                <a:ext uri="{63B3BB69-23CF-44E3-9099-C40C66FF867C}">
                  <a14:compatExt spid="_x0000_s22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162</xdr:col>
          <xdr:colOff>381000</xdr:colOff>
          <xdr:row>15</xdr:row>
          <xdr:rowOff>142875</xdr:rowOff>
        </xdr:from>
        <xdr:to>
          <xdr:col>162</xdr:col>
          <xdr:colOff>638175</xdr:colOff>
          <xdr:row>16</xdr:row>
          <xdr:rowOff>142875</xdr:rowOff>
        </xdr:to>
        <xdr:sp macro="" textlink="">
          <xdr:nvSpPr>
            <xdr:cNvPr id="2265" name="Object 217" hidden="1">
              <a:extLst>
                <a:ext uri="{63B3BB69-23CF-44E3-9099-C40C66FF867C}">
                  <a14:compatExt spid="_x0000_s2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163</xdr:col>
          <xdr:colOff>381000</xdr:colOff>
          <xdr:row>15</xdr:row>
          <xdr:rowOff>142875</xdr:rowOff>
        </xdr:from>
        <xdr:to>
          <xdr:col>163</xdr:col>
          <xdr:colOff>638175</xdr:colOff>
          <xdr:row>16</xdr:row>
          <xdr:rowOff>142875</xdr:rowOff>
        </xdr:to>
        <xdr:sp macro="" textlink="">
          <xdr:nvSpPr>
            <xdr:cNvPr id="2266" name="Object 218" hidden="1">
              <a:extLst>
                <a:ext uri="{63B3BB69-23CF-44E3-9099-C40C66FF867C}">
                  <a14:compatExt spid="_x0000_s2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164</xdr:col>
          <xdr:colOff>381000</xdr:colOff>
          <xdr:row>15</xdr:row>
          <xdr:rowOff>142875</xdr:rowOff>
        </xdr:from>
        <xdr:to>
          <xdr:col>164</xdr:col>
          <xdr:colOff>638175</xdr:colOff>
          <xdr:row>16</xdr:row>
          <xdr:rowOff>142875</xdr:rowOff>
        </xdr:to>
        <xdr:sp macro="" textlink="">
          <xdr:nvSpPr>
            <xdr:cNvPr id="2267" name="Object 219" hidden="1">
              <a:extLst>
                <a:ext uri="{63B3BB69-23CF-44E3-9099-C40C66FF867C}">
                  <a14:compatExt spid="_x0000_s22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165</xdr:col>
          <xdr:colOff>390525</xdr:colOff>
          <xdr:row>15</xdr:row>
          <xdr:rowOff>142875</xdr:rowOff>
        </xdr:from>
        <xdr:to>
          <xdr:col>165</xdr:col>
          <xdr:colOff>647700</xdr:colOff>
          <xdr:row>16</xdr:row>
          <xdr:rowOff>142875</xdr:rowOff>
        </xdr:to>
        <xdr:sp macro="" textlink="">
          <xdr:nvSpPr>
            <xdr:cNvPr id="2268" name="Object 220" hidden="1">
              <a:extLst>
                <a:ext uri="{63B3BB69-23CF-44E3-9099-C40C66FF867C}">
                  <a14:compatExt spid="_x0000_s22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166</xdr:col>
          <xdr:colOff>381000</xdr:colOff>
          <xdr:row>15</xdr:row>
          <xdr:rowOff>142875</xdr:rowOff>
        </xdr:from>
        <xdr:to>
          <xdr:col>166</xdr:col>
          <xdr:colOff>638175</xdr:colOff>
          <xdr:row>16</xdr:row>
          <xdr:rowOff>142875</xdr:rowOff>
        </xdr:to>
        <xdr:sp macro="" textlink="">
          <xdr:nvSpPr>
            <xdr:cNvPr id="2269" name="Object 221" hidden="1">
              <a:extLst>
                <a:ext uri="{63B3BB69-23CF-44E3-9099-C40C66FF867C}">
                  <a14:compatExt spid="_x0000_s22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167</xdr:col>
          <xdr:colOff>352425</xdr:colOff>
          <xdr:row>15</xdr:row>
          <xdr:rowOff>142875</xdr:rowOff>
        </xdr:from>
        <xdr:to>
          <xdr:col>167</xdr:col>
          <xdr:colOff>619125</xdr:colOff>
          <xdr:row>16</xdr:row>
          <xdr:rowOff>142875</xdr:rowOff>
        </xdr:to>
        <xdr:sp macro="" textlink="">
          <xdr:nvSpPr>
            <xdr:cNvPr id="2270" name="Object 222" hidden="1">
              <a:extLst>
                <a:ext uri="{63B3BB69-23CF-44E3-9099-C40C66FF867C}">
                  <a14:compatExt spid="_x0000_s2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168</xdr:col>
          <xdr:colOff>428625</xdr:colOff>
          <xdr:row>15</xdr:row>
          <xdr:rowOff>142875</xdr:rowOff>
        </xdr:from>
        <xdr:to>
          <xdr:col>168</xdr:col>
          <xdr:colOff>619125</xdr:colOff>
          <xdr:row>16</xdr:row>
          <xdr:rowOff>142875</xdr:rowOff>
        </xdr:to>
        <xdr:sp macro="" textlink="">
          <xdr:nvSpPr>
            <xdr:cNvPr id="2271" name="Object 223" hidden="1">
              <a:extLst>
                <a:ext uri="{63B3BB69-23CF-44E3-9099-C40C66FF867C}">
                  <a14:compatExt spid="_x0000_s22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169</xdr:col>
          <xdr:colOff>390525</xdr:colOff>
          <xdr:row>15</xdr:row>
          <xdr:rowOff>142875</xdr:rowOff>
        </xdr:from>
        <xdr:to>
          <xdr:col>169</xdr:col>
          <xdr:colOff>619125</xdr:colOff>
          <xdr:row>16</xdr:row>
          <xdr:rowOff>142875</xdr:rowOff>
        </xdr:to>
        <xdr:sp macro="" textlink="">
          <xdr:nvSpPr>
            <xdr:cNvPr id="2272" name="Object 224" hidden="1">
              <a:extLst>
                <a:ext uri="{63B3BB69-23CF-44E3-9099-C40C66FF867C}">
                  <a14:compatExt spid="_x0000_s22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170</xdr:col>
          <xdr:colOff>76200</xdr:colOff>
          <xdr:row>15</xdr:row>
          <xdr:rowOff>114300</xdr:rowOff>
        </xdr:from>
        <xdr:to>
          <xdr:col>170</xdr:col>
          <xdr:colOff>1000125</xdr:colOff>
          <xdr:row>16</xdr:row>
          <xdr:rowOff>180975</xdr:rowOff>
        </xdr:to>
        <xdr:sp macro="" textlink="">
          <xdr:nvSpPr>
            <xdr:cNvPr id="2273" name="Object 225" hidden="1">
              <a:extLst>
                <a:ext uri="{63B3BB69-23CF-44E3-9099-C40C66FF867C}">
                  <a14:compatExt spid="_x0000_s22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171</xdr:col>
          <xdr:colOff>390525</xdr:colOff>
          <xdr:row>15</xdr:row>
          <xdr:rowOff>142875</xdr:rowOff>
        </xdr:from>
        <xdr:to>
          <xdr:col>171</xdr:col>
          <xdr:colOff>619125</xdr:colOff>
          <xdr:row>16</xdr:row>
          <xdr:rowOff>142875</xdr:rowOff>
        </xdr:to>
        <xdr:sp macro="" textlink="">
          <xdr:nvSpPr>
            <xdr:cNvPr id="2274" name="Object 226" hidden="1">
              <a:extLst>
                <a:ext uri="{63B3BB69-23CF-44E3-9099-C40C66FF867C}">
                  <a14:compatExt spid="_x0000_s2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172</xdr:col>
          <xdr:colOff>76200</xdr:colOff>
          <xdr:row>15</xdr:row>
          <xdr:rowOff>114300</xdr:rowOff>
        </xdr:from>
        <xdr:to>
          <xdr:col>172</xdr:col>
          <xdr:colOff>1000125</xdr:colOff>
          <xdr:row>16</xdr:row>
          <xdr:rowOff>180975</xdr:rowOff>
        </xdr:to>
        <xdr:sp macro="" textlink="">
          <xdr:nvSpPr>
            <xdr:cNvPr id="2275" name="Object 227" hidden="1">
              <a:extLst>
                <a:ext uri="{63B3BB69-23CF-44E3-9099-C40C66FF867C}">
                  <a14:compatExt spid="_x0000_s22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173</xdr:col>
          <xdr:colOff>76200</xdr:colOff>
          <xdr:row>15</xdr:row>
          <xdr:rowOff>114300</xdr:rowOff>
        </xdr:from>
        <xdr:to>
          <xdr:col>173</xdr:col>
          <xdr:colOff>1000125</xdr:colOff>
          <xdr:row>16</xdr:row>
          <xdr:rowOff>180975</xdr:rowOff>
        </xdr:to>
        <xdr:sp macro="" textlink="">
          <xdr:nvSpPr>
            <xdr:cNvPr id="2276" name="Object 228" hidden="1">
              <a:extLst>
                <a:ext uri="{63B3BB69-23CF-44E3-9099-C40C66FF867C}">
                  <a14:compatExt spid="_x0000_s22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174</xdr:col>
          <xdr:colOff>200025</xdr:colOff>
          <xdr:row>15</xdr:row>
          <xdr:rowOff>114300</xdr:rowOff>
        </xdr:from>
        <xdr:to>
          <xdr:col>174</xdr:col>
          <xdr:colOff>809625</xdr:colOff>
          <xdr:row>16</xdr:row>
          <xdr:rowOff>142875</xdr:rowOff>
        </xdr:to>
        <xdr:sp macro="" textlink="">
          <xdr:nvSpPr>
            <xdr:cNvPr id="2277" name="Object 229" hidden="1">
              <a:extLst>
                <a:ext uri="{63B3BB69-23CF-44E3-9099-C40C66FF867C}">
                  <a14:compatExt spid="_x0000_s22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175</xdr:col>
          <xdr:colOff>200025</xdr:colOff>
          <xdr:row>15</xdr:row>
          <xdr:rowOff>114300</xdr:rowOff>
        </xdr:from>
        <xdr:to>
          <xdr:col>175</xdr:col>
          <xdr:colOff>800100</xdr:colOff>
          <xdr:row>16</xdr:row>
          <xdr:rowOff>142875</xdr:rowOff>
        </xdr:to>
        <xdr:sp macro="" textlink="">
          <xdr:nvSpPr>
            <xdr:cNvPr id="2278" name="Object 230" hidden="1">
              <a:extLst>
                <a:ext uri="{63B3BB69-23CF-44E3-9099-C40C66FF867C}">
                  <a14:compatExt spid="_x0000_s2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186</xdr:col>
          <xdr:colOff>76200</xdr:colOff>
          <xdr:row>15</xdr:row>
          <xdr:rowOff>123825</xdr:rowOff>
        </xdr:from>
        <xdr:to>
          <xdr:col>186</xdr:col>
          <xdr:colOff>923925</xdr:colOff>
          <xdr:row>16</xdr:row>
          <xdr:rowOff>200025</xdr:rowOff>
        </xdr:to>
        <xdr:sp macro="" textlink="">
          <xdr:nvSpPr>
            <xdr:cNvPr id="2279" name="Object 231" hidden="1">
              <a:extLst>
                <a:ext uri="{63B3BB69-23CF-44E3-9099-C40C66FF867C}">
                  <a14:compatExt spid="_x0000_s22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185</xdr:col>
          <xdr:colOff>219075</xdr:colOff>
          <xdr:row>12</xdr:row>
          <xdr:rowOff>85725</xdr:rowOff>
        </xdr:from>
        <xdr:to>
          <xdr:col>185</xdr:col>
          <xdr:colOff>876300</xdr:colOff>
          <xdr:row>13</xdr:row>
          <xdr:rowOff>180975</xdr:rowOff>
        </xdr:to>
        <xdr:sp macro="" textlink="">
          <xdr:nvSpPr>
            <xdr:cNvPr id="2280" name="Object 232" hidden="1">
              <a:extLst>
                <a:ext uri="{63B3BB69-23CF-44E3-9099-C40C66FF867C}">
                  <a14:compatExt spid="_x0000_s22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187</xdr:col>
          <xdr:colOff>390525</xdr:colOff>
          <xdr:row>12</xdr:row>
          <xdr:rowOff>28575</xdr:rowOff>
        </xdr:from>
        <xdr:to>
          <xdr:col>187</xdr:col>
          <xdr:colOff>619125</xdr:colOff>
          <xdr:row>13</xdr:row>
          <xdr:rowOff>200025</xdr:rowOff>
        </xdr:to>
        <xdr:sp macro="" textlink="">
          <xdr:nvSpPr>
            <xdr:cNvPr id="2281" name="Object 233" hidden="1">
              <a:extLst>
                <a:ext uri="{63B3BB69-23CF-44E3-9099-C40C66FF867C}">
                  <a14:compatExt spid="_x0000_s22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188</xdr:col>
          <xdr:colOff>104775</xdr:colOff>
          <xdr:row>12</xdr:row>
          <xdr:rowOff>66675</xdr:rowOff>
        </xdr:from>
        <xdr:to>
          <xdr:col>188</xdr:col>
          <xdr:colOff>923925</xdr:colOff>
          <xdr:row>13</xdr:row>
          <xdr:rowOff>114300</xdr:rowOff>
        </xdr:to>
        <xdr:sp macro="" textlink="">
          <xdr:nvSpPr>
            <xdr:cNvPr id="2282" name="Object 234" hidden="1">
              <a:extLst>
                <a:ext uri="{63B3BB69-23CF-44E3-9099-C40C66FF867C}">
                  <a14:compatExt spid="_x0000_s2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190</xdr:col>
          <xdr:colOff>428625</xdr:colOff>
          <xdr:row>15</xdr:row>
          <xdr:rowOff>161925</xdr:rowOff>
        </xdr:from>
        <xdr:to>
          <xdr:col>190</xdr:col>
          <xdr:colOff>600075</xdr:colOff>
          <xdr:row>16</xdr:row>
          <xdr:rowOff>114300</xdr:rowOff>
        </xdr:to>
        <xdr:sp macro="" textlink="">
          <xdr:nvSpPr>
            <xdr:cNvPr id="2283" name="Object 235" hidden="1">
              <a:extLst>
                <a:ext uri="{63B3BB69-23CF-44E3-9099-C40C66FF867C}">
                  <a14:compatExt spid="_x0000_s22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192</xdr:col>
          <xdr:colOff>142875</xdr:colOff>
          <xdr:row>15</xdr:row>
          <xdr:rowOff>142875</xdr:rowOff>
        </xdr:from>
        <xdr:to>
          <xdr:col>192</xdr:col>
          <xdr:colOff>809625</xdr:colOff>
          <xdr:row>16</xdr:row>
          <xdr:rowOff>180975</xdr:rowOff>
        </xdr:to>
        <xdr:sp macro="" textlink="">
          <xdr:nvSpPr>
            <xdr:cNvPr id="2284" name="Object 236" hidden="1">
              <a:extLst>
                <a:ext uri="{63B3BB69-23CF-44E3-9099-C40C66FF867C}">
                  <a14:compatExt spid="_x0000_s22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199</xdr:col>
          <xdr:colOff>123825</xdr:colOff>
          <xdr:row>15</xdr:row>
          <xdr:rowOff>114300</xdr:rowOff>
        </xdr:from>
        <xdr:to>
          <xdr:col>199</xdr:col>
          <xdr:colOff>923925</xdr:colOff>
          <xdr:row>16</xdr:row>
          <xdr:rowOff>142875</xdr:rowOff>
        </xdr:to>
        <xdr:sp macro="" textlink="">
          <xdr:nvSpPr>
            <xdr:cNvPr id="2285" name="Object 237" hidden="1">
              <a:extLst>
                <a:ext uri="{63B3BB69-23CF-44E3-9099-C40C66FF867C}">
                  <a14:compatExt spid="_x0000_s22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200</xdr:col>
          <xdr:colOff>257175</xdr:colOff>
          <xdr:row>15</xdr:row>
          <xdr:rowOff>114300</xdr:rowOff>
        </xdr:from>
        <xdr:to>
          <xdr:col>200</xdr:col>
          <xdr:colOff>762000</xdr:colOff>
          <xdr:row>16</xdr:row>
          <xdr:rowOff>142875</xdr:rowOff>
        </xdr:to>
        <xdr:sp macro="" textlink="">
          <xdr:nvSpPr>
            <xdr:cNvPr id="2286" name="Object 238" hidden="1">
              <a:extLst>
                <a:ext uri="{63B3BB69-23CF-44E3-9099-C40C66FF867C}">
                  <a14:compatExt spid="_x0000_s2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205</xdr:col>
          <xdr:colOff>123825</xdr:colOff>
          <xdr:row>15</xdr:row>
          <xdr:rowOff>114300</xdr:rowOff>
        </xdr:from>
        <xdr:to>
          <xdr:col>205</xdr:col>
          <xdr:colOff>923925</xdr:colOff>
          <xdr:row>16</xdr:row>
          <xdr:rowOff>142875</xdr:rowOff>
        </xdr:to>
        <xdr:sp macro="" textlink="">
          <xdr:nvSpPr>
            <xdr:cNvPr id="2287" name="Object 239" hidden="1">
              <a:extLst>
                <a:ext uri="{63B3BB69-23CF-44E3-9099-C40C66FF867C}">
                  <a14:compatExt spid="_x0000_s22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206</xdr:col>
          <xdr:colOff>257175</xdr:colOff>
          <xdr:row>15</xdr:row>
          <xdr:rowOff>114300</xdr:rowOff>
        </xdr:from>
        <xdr:to>
          <xdr:col>206</xdr:col>
          <xdr:colOff>762000</xdr:colOff>
          <xdr:row>16</xdr:row>
          <xdr:rowOff>142875</xdr:rowOff>
        </xdr:to>
        <xdr:sp macro="" textlink="">
          <xdr:nvSpPr>
            <xdr:cNvPr id="2288" name="Object 240" hidden="1">
              <a:extLst>
                <a:ext uri="{63B3BB69-23CF-44E3-9099-C40C66FF867C}">
                  <a14:compatExt spid="_x0000_s22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207</xdr:col>
          <xdr:colOff>257175</xdr:colOff>
          <xdr:row>15</xdr:row>
          <xdr:rowOff>114300</xdr:rowOff>
        </xdr:from>
        <xdr:to>
          <xdr:col>207</xdr:col>
          <xdr:colOff>752475</xdr:colOff>
          <xdr:row>16</xdr:row>
          <xdr:rowOff>142875</xdr:rowOff>
        </xdr:to>
        <xdr:sp macro="" textlink="">
          <xdr:nvSpPr>
            <xdr:cNvPr id="2289" name="Object 241" hidden="1">
              <a:extLst>
                <a:ext uri="{63B3BB69-23CF-44E3-9099-C40C66FF867C}">
                  <a14:compatExt spid="_x0000_s2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208</xdr:col>
          <xdr:colOff>123825</xdr:colOff>
          <xdr:row>15</xdr:row>
          <xdr:rowOff>114300</xdr:rowOff>
        </xdr:from>
        <xdr:to>
          <xdr:col>208</xdr:col>
          <xdr:colOff>904875</xdr:colOff>
          <xdr:row>16</xdr:row>
          <xdr:rowOff>142875</xdr:rowOff>
        </xdr:to>
        <xdr:sp macro="" textlink="">
          <xdr:nvSpPr>
            <xdr:cNvPr id="2290" name="Object 242" hidden="1">
              <a:extLst>
                <a:ext uri="{63B3BB69-23CF-44E3-9099-C40C66FF867C}">
                  <a14:compatExt spid="_x0000_s2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189</xdr:col>
          <xdr:colOff>304800</xdr:colOff>
          <xdr:row>12</xdr:row>
          <xdr:rowOff>85725</xdr:rowOff>
        </xdr:from>
        <xdr:to>
          <xdr:col>189</xdr:col>
          <xdr:colOff>876300</xdr:colOff>
          <xdr:row>13</xdr:row>
          <xdr:rowOff>180975</xdr:rowOff>
        </xdr:to>
        <xdr:sp macro="" textlink="">
          <xdr:nvSpPr>
            <xdr:cNvPr id="2291" name="Object 243" hidden="1">
              <a:extLst>
                <a:ext uri="{63B3BB69-23CF-44E3-9099-C40C66FF867C}">
                  <a14:compatExt spid="_x0000_s22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190</xdr:col>
          <xdr:colOff>295275</xdr:colOff>
          <xdr:row>12</xdr:row>
          <xdr:rowOff>104775</xdr:rowOff>
        </xdr:from>
        <xdr:to>
          <xdr:col>190</xdr:col>
          <xdr:colOff>752475</xdr:colOff>
          <xdr:row>13</xdr:row>
          <xdr:rowOff>200025</xdr:rowOff>
        </xdr:to>
        <xdr:sp macro="" textlink="">
          <xdr:nvSpPr>
            <xdr:cNvPr id="2292" name="Object 244" hidden="1">
              <a:extLst>
                <a:ext uri="{63B3BB69-23CF-44E3-9099-C40C66FF867C}">
                  <a14:compatExt spid="_x0000_s22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209</xdr:col>
          <xdr:colOff>314325</xdr:colOff>
          <xdr:row>15</xdr:row>
          <xdr:rowOff>142875</xdr:rowOff>
        </xdr:from>
        <xdr:to>
          <xdr:col>209</xdr:col>
          <xdr:colOff>723900</xdr:colOff>
          <xdr:row>16</xdr:row>
          <xdr:rowOff>85725</xdr:rowOff>
        </xdr:to>
        <xdr:sp macro="" textlink="">
          <xdr:nvSpPr>
            <xdr:cNvPr id="2293" name="Object 245" hidden="1">
              <a:extLst>
                <a:ext uri="{63B3BB69-23CF-44E3-9099-C40C66FF867C}">
                  <a14:compatExt spid="_x0000_s2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212</xdr:col>
          <xdr:colOff>381000</xdr:colOff>
          <xdr:row>15</xdr:row>
          <xdr:rowOff>142875</xdr:rowOff>
        </xdr:from>
        <xdr:to>
          <xdr:col>212</xdr:col>
          <xdr:colOff>638175</xdr:colOff>
          <xdr:row>16</xdr:row>
          <xdr:rowOff>142875</xdr:rowOff>
        </xdr:to>
        <xdr:sp macro="" textlink="">
          <xdr:nvSpPr>
            <xdr:cNvPr id="2294" name="Object 246" hidden="1">
              <a:extLst>
                <a:ext uri="{63B3BB69-23CF-44E3-9099-C40C66FF867C}">
                  <a14:compatExt spid="_x0000_s2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381000</xdr:colOff>
          <xdr:row>15</xdr:row>
          <xdr:rowOff>142875</xdr:rowOff>
        </xdr:from>
        <xdr:to>
          <xdr:col>213</xdr:col>
          <xdr:colOff>638175</xdr:colOff>
          <xdr:row>16</xdr:row>
          <xdr:rowOff>142875</xdr:rowOff>
        </xdr:to>
        <xdr:sp macro="" textlink="">
          <xdr:nvSpPr>
            <xdr:cNvPr id="2295" name="Object 247" hidden="1">
              <a:extLst>
                <a:ext uri="{63B3BB69-23CF-44E3-9099-C40C66FF867C}">
                  <a14:compatExt spid="_x0000_s22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381000</xdr:colOff>
          <xdr:row>15</xdr:row>
          <xdr:rowOff>142875</xdr:rowOff>
        </xdr:from>
        <xdr:to>
          <xdr:col>214</xdr:col>
          <xdr:colOff>638175</xdr:colOff>
          <xdr:row>16</xdr:row>
          <xdr:rowOff>142875</xdr:rowOff>
        </xdr:to>
        <xdr:sp macro="" textlink="">
          <xdr:nvSpPr>
            <xdr:cNvPr id="2296" name="Object 248" hidden="1">
              <a:extLst>
                <a:ext uri="{63B3BB69-23CF-44E3-9099-C40C66FF867C}">
                  <a14:compatExt spid="_x0000_s22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215</xdr:col>
          <xdr:colOff>390525</xdr:colOff>
          <xdr:row>15</xdr:row>
          <xdr:rowOff>142875</xdr:rowOff>
        </xdr:from>
        <xdr:to>
          <xdr:col>215</xdr:col>
          <xdr:colOff>647700</xdr:colOff>
          <xdr:row>16</xdr:row>
          <xdr:rowOff>142875</xdr:rowOff>
        </xdr:to>
        <xdr:sp macro="" textlink="">
          <xdr:nvSpPr>
            <xdr:cNvPr id="2297" name="Object 249" hidden="1">
              <a:extLst>
                <a:ext uri="{63B3BB69-23CF-44E3-9099-C40C66FF867C}">
                  <a14:compatExt spid="_x0000_s22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216</xdr:col>
          <xdr:colOff>381000</xdr:colOff>
          <xdr:row>15</xdr:row>
          <xdr:rowOff>142875</xdr:rowOff>
        </xdr:from>
        <xdr:to>
          <xdr:col>216</xdr:col>
          <xdr:colOff>638175</xdr:colOff>
          <xdr:row>16</xdr:row>
          <xdr:rowOff>142875</xdr:rowOff>
        </xdr:to>
        <xdr:sp macro="" textlink="">
          <xdr:nvSpPr>
            <xdr:cNvPr id="2298" name="Object 250" hidden="1">
              <a:extLst>
                <a:ext uri="{63B3BB69-23CF-44E3-9099-C40C66FF867C}">
                  <a14:compatExt spid="_x0000_s2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217</xdr:col>
          <xdr:colOff>352425</xdr:colOff>
          <xdr:row>15</xdr:row>
          <xdr:rowOff>142875</xdr:rowOff>
        </xdr:from>
        <xdr:to>
          <xdr:col>217</xdr:col>
          <xdr:colOff>619125</xdr:colOff>
          <xdr:row>16</xdr:row>
          <xdr:rowOff>142875</xdr:rowOff>
        </xdr:to>
        <xdr:sp macro="" textlink="">
          <xdr:nvSpPr>
            <xdr:cNvPr id="2299" name="Object 251" hidden="1">
              <a:extLst>
                <a:ext uri="{63B3BB69-23CF-44E3-9099-C40C66FF867C}">
                  <a14:compatExt spid="_x0000_s22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218</xdr:col>
          <xdr:colOff>428625</xdr:colOff>
          <xdr:row>15</xdr:row>
          <xdr:rowOff>142875</xdr:rowOff>
        </xdr:from>
        <xdr:to>
          <xdr:col>218</xdr:col>
          <xdr:colOff>619125</xdr:colOff>
          <xdr:row>16</xdr:row>
          <xdr:rowOff>142875</xdr:rowOff>
        </xdr:to>
        <xdr:sp macro="" textlink="">
          <xdr:nvSpPr>
            <xdr:cNvPr id="2300" name="Object 252" hidden="1">
              <a:extLst>
                <a:ext uri="{63B3BB69-23CF-44E3-9099-C40C66FF867C}">
                  <a14:compatExt spid="_x0000_s23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219</xdr:col>
          <xdr:colOff>390525</xdr:colOff>
          <xdr:row>15</xdr:row>
          <xdr:rowOff>142875</xdr:rowOff>
        </xdr:from>
        <xdr:to>
          <xdr:col>219</xdr:col>
          <xdr:colOff>619125</xdr:colOff>
          <xdr:row>16</xdr:row>
          <xdr:rowOff>142875</xdr:rowOff>
        </xdr:to>
        <xdr:sp macro="" textlink="">
          <xdr:nvSpPr>
            <xdr:cNvPr id="2301" name="Object 253" hidden="1">
              <a:extLst>
                <a:ext uri="{63B3BB69-23CF-44E3-9099-C40C66FF867C}">
                  <a14:compatExt spid="_x0000_s23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220</xdr:col>
          <xdr:colOff>219075</xdr:colOff>
          <xdr:row>15</xdr:row>
          <xdr:rowOff>114300</xdr:rowOff>
        </xdr:from>
        <xdr:to>
          <xdr:col>220</xdr:col>
          <xdr:colOff>838200</xdr:colOff>
          <xdr:row>16</xdr:row>
          <xdr:rowOff>142875</xdr:rowOff>
        </xdr:to>
        <xdr:sp macro="" textlink="">
          <xdr:nvSpPr>
            <xdr:cNvPr id="2302" name="Object 254" hidden="1">
              <a:extLst>
                <a:ext uri="{63B3BB69-23CF-44E3-9099-C40C66FF867C}">
                  <a14:compatExt spid="_x0000_s2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221</xdr:col>
          <xdr:colOff>381000</xdr:colOff>
          <xdr:row>15</xdr:row>
          <xdr:rowOff>142875</xdr:rowOff>
        </xdr:from>
        <xdr:to>
          <xdr:col>221</xdr:col>
          <xdr:colOff>638175</xdr:colOff>
          <xdr:row>16</xdr:row>
          <xdr:rowOff>142875</xdr:rowOff>
        </xdr:to>
        <xdr:sp macro="" textlink="">
          <xdr:nvSpPr>
            <xdr:cNvPr id="2303" name="Object 255" hidden="1">
              <a:extLst>
                <a:ext uri="{63B3BB69-23CF-44E3-9099-C40C66FF867C}">
                  <a14:compatExt spid="_x0000_s23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222</xdr:col>
          <xdr:colOff>381000</xdr:colOff>
          <xdr:row>15</xdr:row>
          <xdr:rowOff>142875</xdr:rowOff>
        </xdr:from>
        <xdr:to>
          <xdr:col>222</xdr:col>
          <xdr:colOff>638175</xdr:colOff>
          <xdr:row>16</xdr:row>
          <xdr:rowOff>142875</xdr:rowOff>
        </xdr:to>
        <xdr:sp macro="" textlink="">
          <xdr:nvSpPr>
            <xdr:cNvPr id="2304" name="Object 256" hidden="1">
              <a:extLst>
                <a:ext uri="{63B3BB69-23CF-44E3-9099-C40C66FF867C}">
                  <a14:compatExt spid="_x0000_s23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223</xdr:col>
          <xdr:colOff>381000</xdr:colOff>
          <xdr:row>15</xdr:row>
          <xdr:rowOff>142875</xdr:rowOff>
        </xdr:from>
        <xdr:to>
          <xdr:col>223</xdr:col>
          <xdr:colOff>638175</xdr:colOff>
          <xdr:row>16</xdr:row>
          <xdr:rowOff>142875</xdr:rowOff>
        </xdr:to>
        <xdr:sp macro="" textlink="">
          <xdr:nvSpPr>
            <xdr:cNvPr id="2305" name="Object 257" hidden="1">
              <a:extLst>
                <a:ext uri="{63B3BB69-23CF-44E3-9099-C40C66FF867C}">
                  <a14:compatExt spid="_x0000_s23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224</xdr:col>
          <xdr:colOff>390525</xdr:colOff>
          <xdr:row>15</xdr:row>
          <xdr:rowOff>142875</xdr:rowOff>
        </xdr:from>
        <xdr:to>
          <xdr:col>224</xdr:col>
          <xdr:colOff>647700</xdr:colOff>
          <xdr:row>16</xdr:row>
          <xdr:rowOff>142875</xdr:rowOff>
        </xdr:to>
        <xdr:sp macro="" textlink="">
          <xdr:nvSpPr>
            <xdr:cNvPr id="2306" name="Object 258" hidden="1">
              <a:extLst>
                <a:ext uri="{63B3BB69-23CF-44E3-9099-C40C66FF867C}">
                  <a14:compatExt spid="_x0000_s2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225</xdr:col>
          <xdr:colOff>381000</xdr:colOff>
          <xdr:row>15</xdr:row>
          <xdr:rowOff>142875</xdr:rowOff>
        </xdr:from>
        <xdr:to>
          <xdr:col>225</xdr:col>
          <xdr:colOff>638175</xdr:colOff>
          <xdr:row>16</xdr:row>
          <xdr:rowOff>142875</xdr:rowOff>
        </xdr:to>
        <xdr:sp macro="" textlink="">
          <xdr:nvSpPr>
            <xdr:cNvPr id="2307" name="Object 259" hidden="1">
              <a:extLst>
                <a:ext uri="{63B3BB69-23CF-44E3-9099-C40C66FF867C}">
                  <a14:compatExt spid="_x0000_s23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226</xdr:col>
          <xdr:colOff>352425</xdr:colOff>
          <xdr:row>15</xdr:row>
          <xdr:rowOff>142875</xdr:rowOff>
        </xdr:from>
        <xdr:to>
          <xdr:col>226</xdr:col>
          <xdr:colOff>619125</xdr:colOff>
          <xdr:row>16</xdr:row>
          <xdr:rowOff>142875</xdr:rowOff>
        </xdr:to>
        <xdr:sp macro="" textlink="">
          <xdr:nvSpPr>
            <xdr:cNvPr id="2308" name="Object 260" hidden="1">
              <a:extLst>
                <a:ext uri="{63B3BB69-23CF-44E3-9099-C40C66FF867C}">
                  <a14:compatExt spid="_x0000_s23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227</xdr:col>
          <xdr:colOff>428625</xdr:colOff>
          <xdr:row>15</xdr:row>
          <xdr:rowOff>142875</xdr:rowOff>
        </xdr:from>
        <xdr:to>
          <xdr:col>227</xdr:col>
          <xdr:colOff>619125</xdr:colOff>
          <xdr:row>16</xdr:row>
          <xdr:rowOff>142875</xdr:rowOff>
        </xdr:to>
        <xdr:sp macro="" textlink="">
          <xdr:nvSpPr>
            <xdr:cNvPr id="2309" name="Object 261" hidden="1">
              <a:extLst>
                <a:ext uri="{63B3BB69-23CF-44E3-9099-C40C66FF867C}">
                  <a14:compatExt spid="_x0000_s23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228</xdr:col>
          <xdr:colOff>390525</xdr:colOff>
          <xdr:row>15</xdr:row>
          <xdr:rowOff>142875</xdr:rowOff>
        </xdr:from>
        <xdr:to>
          <xdr:col>228</xdr:col>
          <xdr:colOff>619125</xdr:colOff>
          <xdr:row>16</xdr:row>
          <xdr:rowOff>142875</xdr:rowOff>
        </xdr:to>
        <xdr:sp macro="" textlink="">
          <xdr:nvSpPr>
            <xdr:cNvPr id="2310" name="Object 262" hidden="1">
              <a:extLst>
                <a:ext uri="{63B3BB69-23CF-44E3-9099-C40C66FF867C}">
                  <a14:compatExt spid="_x0000_s2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229</xdr:col>
          <xdr:colOff>76200</xdr:colOff>
          <xdr:row>15</xdr:row>
          <xdr:rowOff>114300</xdr:rowOff>
        </xdr:from>
        <xdr:to>
          <xdr:col>229</xdr:col>
          <xdr:colOff>1000125</xdr:colOff>
          <xdr:row>16</xdr:row>
          <xdr:rowOff>180975</xdr:rowOff>
        </xdr:to>
        <xdr:sp macro="" textlink="">
          <xdr:nvSpPr>
            <xdr:cNvPr id="2311" name="Object 263" hidden="1">
              <a:extLst>
                <a:ext uri="{63B3BB69-23CF-44E3-9099-C40C66FF867C}">
                  <a14:compatExt spid="_x0000_s23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230</xdr:col>
          <xdr:colOff>390525</xdr:colOff>
          <xdr:row>15</xdr:row>
          <xdr:rowOff>142875</xdr:rowOff>
        </xdr:from>
        <xdr:to>
          <xdr:col>230</xdr:col>
          <xdr:colOff>619125</xdr:colOff>
          <xdr:row>16</xdr:row>
          <xdr:rowOff>142875</xdr:rowOff>
        </xdr:to>
        <xdr:sp macro="" textlink="">
          <xdr:nvSpPr>
            <xdr:cNvPr id="2312" name="Object 264" hidden="1">
              <a:extLst>
                <a:ext uri="{63B3BB69-23CF-44E3-9099-C40C66FF867C}">
                  <a14:compatExt spid="_x0000_s23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231</xdr:col>
          <xdr:colOff>76200</xdr:colOff>
          <xdr:row>15</xdr:row>
          <xdr:rowOff>114300</xdr:rowOff>
        </xdr:from>
        <xdr:to>
          <xdr:col>231</xdr:col>
          <xdr:colOff>1000125</xdr:colOff>
          <xdr:row>16</xdr:row>
          <xdr:rowOff>180975</xdr:rowOff>
        </xdr:to>
        <xdr:sp macro="" textlink="">
          <xdr:nvSpPr>
            <xdr:cNvPr id="2313" name="Object 265" hidden="1">
              <a:extLst>
                <a:ext uri="{63B3BB69-23CF-44E3-9099-C40C66FF867C}">
                  <a14:compatExt spid="_x0000_s2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232</xdr:col>
          <xdr:colOff>76200</xdr:colOff>
          <xdr:row>15</xdr:row>
          <xdr:rowOff>114300</xdr:rowOff>
        </xdr:from>
        <xdr:to>
          <xdr:col>232</xdr:col>
          <xdr:colOff>1000125</xdr:colOff>
          <xdr:row>16</xdr:row>
          <xdr:rowOff>180975</xdr:rowOff>
        </xdr:to>
        <xdr:sp macro="" textlink="">
          <xdr:nvSpPr>
            <xdr:cNvPr id="2314" name="Object 266" hidden="1">
              <a:extLst>
                <a:ext uri="{63B3BB69-23CF-44E3-9099-C40C66FF867C}">
                  <a14:compatExt spid="_x0000_s2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233</xdr:col>
          <xdr:colOff>200025</xdr:colOff>
          <xdr:row>15</xdr:row>
          <xdr:rowOff>114300</xdr:rowOff>
        </xdr:from>
        <xdr:to>
          <xdr:col>233</xdr:col>
          <xdr:colOff>809625</xdr:colOff>
          <xdr:row>16</xdr:row>
          <xdr:rowOff>142875</xdr:rowOff>
        </xdr:to>
        <xdr:sp macro="" textlink="">
          <xdr:nvSpPr>
            <xdr:cNvPr id="2315" name="Object 267" hidden="1">
              <a:extLst>
                <a:ext uri="{63B3BB69-23CF-44E3-9099-C40C66FF867C}">
                  <a14:compatExt spid="_x0000_s23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234</xdr:col>
          <xdr:colOff>200025</xdr:colOff>
          <xdr:row>15</xdr:row>
          <xdr:rowOff>114300</xdr:rowOff>
        </xdr:from>
        <xdr:to>
          <xdr:col>234</xdr:col>
          <xdr:colOff>800100</xdr:colOff>
          <xdr:row>16</xdr:row>
          <xdr:rowOff>142875</xdr:rowOff>
        </xdr:to>
        <xdr:sp macro="" textlink="">
          <xdr:nvSpPr>
            <xdr:cNvPr id="2316" name="Object 268" hidden="1">
              <a:extLst>
                <a:ext uri="{63B3BB69-23CF-44E3-9099-C40C66FF867C}">
                  <a14:compatExt spid="_x0000_s23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245</xdr:col>
          <xdr:colOff>76200</xdr:colOff>
          <xdr:row>15</xdr:row>
          <xdr:rowOff>123825</xdr:rowOff>
        </xdr:from>
        <xdr:to>
          <xdr:col>245</xdr:col>
          <xdr:colOff>923925</xdr:colOff>
          <xdr:row>16</xdr:row>
          <xdr:rowOff>219075</xdr:rowOff>
        </xdr:to>
        <xdr:sp macro="" textlink="">
          <xdr:nvSpPr>
            <xdr:cNvPr id="2317" name="Object 269" hidden="1">
              <a:extLst>
                <a:ext uri="{63B3BB69-23CF-44E3-9099-C40C66FF867C}">
                  <a14:compatExt spid="_x0000_s23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244</xdr:col>
          <xdr:colOff>219075</xdr:colOff>
          <xdr:row>12</xdr:row>
          <xdr:rowOff>85725</xdr:rowOff>
        </xdr:from>
        <xdr:to>
          <xdr:col>244</xdr:col>
          <xdr:colOff>876300</xdr:colOff>
          <xdr:row>13</xdr:row>
          <xdr:rowOff>161925</xdr:rowOff>
        </xdr:to>
        <xdr:sp macro="" textlink="">
          <xdr:nvSpPr>
            <xdr:cNvPr id="2318" name="Object 270" hidden="1">
              <a:extLst>
                <a:ext uri="{63B3BB69-23CF-44E3-9099-C40C66FF867C}">
                  <a14:compatExt spid="_x0000_s2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246</xdr:col>
          <xdr:colOff>390525</xdr:colOff>
          <xdr:row>12</xdr:row>
          <xdr:rowOff>28575</xdr:rowOff>
        </xdr:from>
        <xdr:to>
          <xdr:col>246</xdr:col>
          <xdr:colOff>619125</xdr:colOff>
          <xdr:row>13</xdr:row>
          <xdr:rowOff>219075</xdr:rowOff>
        </xdr:to>
        <xdr:sp macro="" textlink="">
          <xdr:nvSpPr>
            <xdr:cNvPr id="2319" name="Object 271" hidden="1">
              <a:extLst>
                <a:ext uri="{63B3BB69-23CF-44E3-9099-C40C66FF867C}">
                  <a14:compatExt spid="_x0000_s23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247</xdr:col>
          <xdr:colOff>104775</xdr:colOff>
          <xdr:row>12</xdr:row>
          <xdr:rowOff>66675</xdr:rowOff>
        </xdr:from>
        <xdr:to>
          <xdr:col>247</xdr:col>
          <xdr:colOff>923925</xdr:colOff>
          <xdr:row>13</xdr:row>
          <xdr:rowOff>114300</xdr:rowOff>
        </xdr:to>
        <xdr:sp macro="" textlink="">
          <xdr:nvSpPr>
            <xdr:cNvPr id="2320" name="Object 272" hidden="1">
              <a:extLst>
                <a:ext uri="{63B3BB69-23CF-44E3-9099-C40C66FF867C}">
                  <a14:compatExt spid="_x0000_s23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249</xdr:col>
          <xdr:colOff>428625</xdr:colOff>
          <xdr:row>15</xdr:row>
          <xdr:rowOff>161925</xdr:rowOff>
        </xdr:from>
        <xdr:to>
          <xdr:col>249</xdr:col>
          <xdr:colOff>600075</xdr:colOff>
          <xdr:row>16</xdr:row>
          <xdr:rowOff>114300</xdr:rowOff>
        </xdr:to>
        <xdr:sp macro="" textlink="">
          <xdr:nvSpPr>
            <xdr:cNvPr id="2321" name="Object 273" hidden="1">
              <a:extLst>
                <a:ext uri="{63B3BB69-23CF-44E3-9099-C40C66FF867C}">
                  <a14:compatExt spid="_x0000_s23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251</xdr:col>
          <xdr:colOff>142875</xdr:colOff>
          <xdr:row>15</xdr:row>
          <xdr:rowOff>142875</xdr:rowOff>
        </xdr:from>
        <xdr:to>
          <xdr:col>251</xdr:col>
          <xdr:colOff>800100</xdr:colOff>
          <xdr:row>16</xdr:row>
          <xdr:rowOff>161925</xdr:rowOff>
        </xdr:to>
        <xdr:sp macro="" textlink="">
          <xdr:nvSpPr>
            <xdr:cNvPr id="2322" name="Object 274" hidden="1">
              <a:extLst>
                <a:ext uri="{63B3BB69-23CF-44E3-9099-C40C66FF867C}">
                  <a14:compatExt spid="_x0000_s2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258</xdr:col>
          <xdr:colOff>123825</xdr:colOff>
          <xdr:row>15</xdr:row>
          <xdr:rowOff>114300</xdr:rowOff>
        </xdr:from>
        <xdr:to>
          <xdr:col>258</xdr:col>
          <xdr:colOff>923925</xdr:colOff>
          <xdr:row>16</xdr:row>
          <xdr:rowOff>142875</xdr:rowOff>
        </xdr:to>
        <xdr:sp macro="" textlink="">
          <xdr:nvSpPr>
            <xdr:cNvPr id="2323" name="Object 275" hidden="1">
              <a:extLst>
                <a:ext uri="{63B3BB69-23CF-44E3-9099-C40C66FF867C}">
                  <a14:compatExt spid="_x0000_s23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259</xdr:col>
          <xdr:colOff>257175</xdr:colOff>
          <xdr:row>15</xdr:row>
          <xdr:rowOff>114300</xdr:rowOff>
        </xdr:from>
        <xdr:to>
          <xdr:col>259</xdr:col>
          <xdr:colOff>762000</xdr:colOff>
          <xdr:row>16</xdr:row>
          <xdr:rowOff>142875</xdr:rowOff>
        </xdr:to>
        <xdr:sp macro="" textlink="">
          <xdr:nvSpPr>
            <xdr:cNvPr id="2324" name="Object 276" hidden="1">
              <a:extLst>
                <a:ext uri="{63B3BB69-23CF-44E3-9099-C40C66FF867C}">
                  <a14:compatExt spid="_x0000_s23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264</xdr:col>
          <xdr:colOff>123825</xdr:colOff>
          <xdr:row>15</xdr:row>
          <xdr:rowOff>114300</xdr:rowOff>
        </xdr:from>
        <xdr:to>
          <xdr:col>264</xdr:col>
          <xdr:colOff>923925</xdr:colOff>
          <xdr:row>16</xdr:row>
          <xdr:rowOff>142875</xdr:rowOff>
        </xdr:to>
        <xdr:sp macro="" textlink="">
          <xdr:nvSpPr>
            <xdr:cNvPr id="2325" name="Object 277" hidden="1">
              <a:extLst>
                <a:ext uri="{63B3BB69-23CF-44E3-9099-C40C66FF867C}">
                  <a14:compatExt spid="_x0000_s23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265</xdr:col>
          <xdr:colOff>257175</xdr:colOff>
          <xdr:row>15</xdr:row>
          <xdr:rowOff>114300</xdr:rowOff>
        </xdr:from>
        <xdr:to>
          <xdr:col>265</xdr:col>
          <xdr:colOff>762000</xdr:colOff>
          <xdr:row>16</xdr:row>
          <xdr:rowOff>142875</xdr:rowOff>
        </xdr:to>
        <xdr:sp macro="" textlink="">
          <xdr:nvSpPr>
            <xdr:cNvPr id="2326" name="Object 278" hidden="1">
              <a:extLst>
                <a:ext uri="{63B3BB69-23CF-44E3-9099-C40C66FF867C}">
                  <a14:compatExt spid="_x0000_s2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266</xdr:col>
          <xdr:colOff>257175</xdr:colOff>
          <xdr:row>15</xdr:row>
          <xdr:rowOff>114300</xdr:rowOff>
        </xdr:from>
        <xdr:to>
          <xdr:col>266</xdr:col>
          <xdr:colOff>752475</xdr:colOff>
          <xdr:row>16</xdr:row>
          <xdr:rowOff>142875</xdr:rowOff>
        </xdr:to>
        <xdr:sp macro="" textlink="">
          <xdr:nvSpPr>
            <xdr:cNvPr id="2327" name="Object 279" hidden="1">
              <a:extLst>
                <a:ext uri="{63B3BB69-23CF-44E3-9099-C40C66FF867C}">
                  <a14:compatExt spid="_x0000_s23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267</xdr:col>
          <xdr:colOff>123825</xdr:colOff>
          <xdr:row>15</xdr:row>
          <xdr:rowOff>114300</xdr:rowOff>
        </xdr:from>
        <xdr:to>
          <xdr:col>267</xdr:col>
          <xdr:colOff>904875</xdr:colOff>
          <xdr:row>16</xdr:row>
          <xdr:rowOff>142875</xdr:rowOff>
        </xdr:to>
        <xdr:sp macro="" textlink="">
          <xdr:nvSpPr>
            <xdr:cNvPr id="2328" name="Object 280" hidden="1">
              <a:extLst>
                <a:ext uri="{63B3BB69-23CF-44E3-9099-C40C66FF867C}">
                  <a14:compatExt spid="_x0000_s23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248</xdr:col>
          <xdr:colOff>304800</xdr:colOff>
          <xdr:row>12</xdr:row>
          <xdr:rowOff>85725</xdr:rowOff>
        </xdr:from>
        <xdr:to>
          <xdr:col>248</xdr:col>
          <xdr:colOff>876300</xdr:colOff>
          <xdr:row>13</xdr:row>
          <xdr:rowOff>161925</xdr:rowOff>
        </xdr:to>
        <xdr:sp macro="" textlink="">
          <xdr:nvSpPr>
            <xdr:cNvPr id="2329" name="Object 281" hidden="1">
              <a:extLst>
                <a:ext uri="{63B3BB69-23CF-44E3-9099-C40C66FF867C}">
                  <a14:compatExt spid="_x0000_s23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249</xdr:col>
          <xdr:colOff>295275</xdr:colOff>
          <xdr:row>12</xdr:row>
          <xdr:rowOff>104775</xdr:rowOff>
        </xdr:from>
        <xdr:to>
          <xdr:col>249</xdr:col>
          <xdr:colOff>752475</xdr:colOff>
          <xdr:row>13</xdr:row>
          <xdr:rowOff>200025</xdr:rowOff>
        </xdr:to>
        <xdr:sp macro="" textlink="">
          <xdr:nvSpPr>
            <xdr:cNvPr id="2330" name="Object 282" hidden="1">
              <a:extLst>
                <a:ext uri="{63B3BB69-23CF-44E3-9099-C40C66FF867C}">
                  <a14:compatExt spid="_x0000_s2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268</xdr:col>
          <xdr:colOff>314325</xdr:colOff>
          <xdr:row>15</xdr:row>
          <xdr:rowOff>142875</xdr:rowOff>
        </xdr:from>
        <xdr:to>
          <xdr:col>268</xdr:col>
          <xdr:colOff>723900</xdr:colOff>
          <xdr:row>16</xdr:row>
          <xdr:rowOff>85725</xdr:rowOff>
        </xdr:to>
        <xdr:sp macro="" textlink="">
          <xdr:nvSpPr>
            <xdr:cNvPr id="2331" name="Object 283" hidden="1">
              <a:extLst>
                <a:ext uri="{63B3BB69-23CF-44E3-9099-C40C66FF867C}">
                  <a14:compatExt spid="_x0000_s23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271</xdr:col>
          <xdr:colOff>381000</xdr:colOff>
          <xdr:row>15</xdr:row>
          <xdr:rowOff>142875</xdr:rowOff>
        </xdr:from>
        <xdr:to>
          <xdr:col>271</xdr:col>
          <xdr:colOff>638175</xdr:colOff>
          <xdr:row>16</xdr:row>
          <xdr:rowOff>142875</xdr:rowOff>
        </xdr:to>
        <xdr:sp macro="" textlink="">
          <xdr:nvSpPr>
            <xdr:cNvPr id="2332" name="Object 284" hidden="1">
              <a:extLst>
                <a:ext uri="{63B3BB69-23CF-44E3-9099-C40C66FF867C}">
                  <a14:compatExt spid="_x0000_s23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272</xdr:col>
          <xdr:colOff>381000</xdr:colOff>
          <xdr:row>15</xdr:row>
          <xdr:rowOff>142875</xdr:rowOff>
        </xdr:from>
        <xdr:to>
          <xdr:col>272</xdr:col>
          <xdr:colOff>638175</xdr:colOff>
          <xdr:row>16</xdr:row>
          <xdr:rowOff>142875</xdr:rowOff>
        </xdr:to>
        <xdr:sp macro="" textlink="">
          <xdr:nvSpPr>
            <xdr:cNvPr id="2333" name="Object 285" hidden="1">
              <a:extLst>
                <a:ext uri="{63B3BB69-23CF-44E3-9099-C40C66FF867C}">
                  <a14:compatExt spid="_x0000_s23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273</xdr:col>
          <xdr:colOff>381000</xdr:colOff>
          <xdr:row>15</xdr:row>
          <xdr:rowOff>142875</xdr:rowOff>
        </xdr:from>
        <xdr:to>
          <xdr:col>273</xdr:col>
          <xdr:colOff>638175</xdr:colOff>
          <xdr:row>16</xdr:row>
          <xdr:rowOff>142875</xdr:rowOff>
        </xdr:to>
        <xdr:sp macro="" textlink="">
          <xdr:nvSpPr>
            <xdr:cNvPr id="2334" name="Object 286" hidden="1">
              <a:extLst>
                <a:ext uri="{63B3BB69-23CF-44E3-9099-C40C66FF867C}">
                  <a14:compatExt spid="_x0000_s2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274</xdr:col>
          <xdr:colOff>390525</xdr:colOff>
          <xdr:row>15</xdr:row>
          <xdr:rowOff>142875</xdr:rowOff>
        </xdr:from>
        <xdr:to>
          <xdr:col>274</xdr:col>
          <xdr:colOff>647700</xdr:colOff>
          <xdr:row>16</xdr:row>
          <xdr:rowOff>142875</xdr:rowOff>
        </xdr:to>
        <xdr:sp macro="" textlink="">
          <xdr:nvSpPr>
            <xdr:cNvPr id="2335" name="Object 287" hidden="1">
              <a:extLst>
                <a:ext uri="{63B3BB69-23CF-44E3-9099-C40C66FF867C}">
                  <a14:compatExt spid="_x0000_s23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275</xdr:col>
          <xdr:colOff>381000</xdr:colOff>
          <xdr:row>15</xdr:row>
          <xdr:rowOff>142875</xdr:rowOff>
        </xdr:from>
        <xdr:to>
          <xdr:col>275</xdr:col>
          <xdr:colOff>638175</xdr:colOff>
          <xdr:row>16</xdr:row>
          <xdr:rowOff>142875</xdr:rowOff>
        </xdr:to>
        <xdr:sp macro="" textlink="">
          <xdr:nvSpPr>
            <xdr:cNvPr id="2336" name="Object 288" hidden="1">
              <a:extLst>
                <a:ext uri="{63B3BB69-23CF-44E3-9099-C40C66FF867C}">
                  <a14:compatExt spid="_x0000_s23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276</xdr:col>
          <xdr:colOff>352425</xdr:colOff>
          <xdr:row>15</xdr:row>
          <xdr:rowOff>142875</xdr:rowOff>
        </xdr:from>
        <xdr:to>
          <xdr:col>276</xdr:col>
          <xdr:colOff>619125</xdr:colOff>
          <xdr:row>16</xdr:row>
          <xdr:rowOff>142875</xdr:rowOff>
        </xdr:to>
        <xdr:sp macro="" textlink="">
          <xdr:nvSpPr>
            <xdr:cNvPr id="2337" name="Object 289" hidden="1">
              <a:extLst>
                <a:ext uri="{63B3BB69-23CF-44E3-9099-C40C66FF867C}">
                  <a14:compatExt spid="_x0000_s23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277</xdr:col>
          <xdr:colOff>428625</xdr:colOff>
          <xdr:row>15</xdr:row>
          <xdr:rowOff>142875</xdr:rowOff>
        </xdr:from>
        <xdr:to>
          <xdr:col>277</xdr:col>
          <xdr:colOff>619125</xdr:colOff>
          <xdr:row>16</xdr:row>
          <xdr:rowOff>142875</xdr:rowOff>
        </xdr:to>
        <xdr:sp macro="" textlink="">
          <xdr:nvSpPr>
            <xdr:cNvPr id="2338" name="Object 290" hidden="1">
              <a:extLst>
                <a:ext uri="{63B3BB69-23CF-44E3-9099-C40C66FF867C}">
                  <a14:compatExt spid="_x0000_s2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278</xdr:col>
          <xdr:colOff>390525</xdr:colOff>
          <xdr:row>15</xdr:row>
          <xdr:rowOff>142875</xdr:rowOff>
        </xdr:from>
        <xdr:to>
          <xdr:col>278</xdr:col>
          <xdr:colOff>619125</xdr:colOff>
          <xdr:row>16</xdr:row>
          <xdr:rowOff>142875</xdr:rowOff>
        </xdr:to>
        <xdr:sp macro="" textlink="">
          <xdr:nvSpPr>
            <xdr:cNvPr id="2339" name="Object 291" hidden="1">
              <a:extLst>
                <a:ext uri="{63B3BB69-23CF-44E3-9099-C40C66FF867C}">
                  <a14:compatExt spid="_x0000_s23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279</xdr:col>
          <xdr:colOff>219075</xdr:colOff>
          <xdr:row>15</xdr:row>
          <xdr:rowOff>114300</xdr:rowOff>
        </xdr:from>
        <xdr:to>
          <xdr:col>279</xdr:col>
          <xdr:colOff>838200</xdr:colOff>
          <xdr:row>16</xdr:row>
          <xdr:rowOff>142875</xdr:rowOff>
        </xdr:to>
        <xdr:sp macro="" textlink="">
          <xdr:nvSpPr>
            <xdr:cNvPr id="2340" name="Object 292" hidden="1">
              <a:extLst>
                <a:ext uri="{63B3BB69-23CF-44E3-9099-C40C66FF867C}">
                  <a14:compatExt spid="_x0000_s23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280</xdr:col>
          <xdr:colOff>381000</xdr:colOff>
          <xdr:row>15</xdr:row>
          <xdr:rowOff>142875</xdr:rowOff>
        </xdr:from>
        <xdr:to>
          <xdr:col>280</xdr:col>
          <xdr:colOff>638175</xdr:colOff>
          <xdr:row>16</xdr:row>
          <xdr:rowOff>142875</xdr:rowOff>
        </xdr:to>
        <xdr:sp macro="" textlink="">
          <xdr:nvSpPr>
            <xdr:cNvPr id="2341" name="Object 293" hidden="1">
              <a:extLst>
                <a:ext uri="{63B3BB69-23CF-44E3-9099-C40C66FF867C}">
                  <a14:compatExt spid="_x0000_s23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281</xdr:col>
          <xdr:colOff>381000</xdr:colOff>
          <xdr:row>15</xdr:row>
          <xdr:rowOff>142875</xdr:rowOff>
        </xdr:from>
        <xdr:to>
          <xdr:col>281</xdr:col>
          <xdr:colOff>638175</xdr:colOff>
          <xdr:row>16</xdr:row>
          <xdr:rowOff>142875</xdr:rowOff>
        </xdr:to>
        <xdr:sp macro="" textlink="">
          <xdr:nvSpPr>
            <xdr:cNvPr id="2342" name="Object 294" hidden="1">
              <a:extLst>
                <a:ext uri="{63B3BB69-23CF-44E3-9099-C40C66FF867C}">
                  <a14:compatExt spid="_x0000_s2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282</xdr:col>
          <xdr:colOff>381000</xdr:colOff>
          <xdr:row>15</xdr:row>
          <xdr:rowOff>142875</xdr:rowOff>
        </xdr:from>
        <xdr:to>
          <xdr:col>282</xdr:col>
          <xdr:colOff>638175</xdr:colOff>
          <xdr:row>16</xdr:row>
          <xdr:rowOff>142875</xdr:rowOff>
        </xdr:to>
        <xdr:sp macro="" textlink="">
          <xdr:nvSpPr>
            <xdr:cNvPr id="2343" name="Object 295" hidden="1">
              <a:extLst>
                <a:ext uri="{63B3BB69-23CF-44E3-9099-C40C66FF867C}">
                  <a14:compatExt spid="_x0000_s23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283</xdr:col>
          <xdr:colOff>390525</xdr:colOff>
          <xdr:row>15</xdr:row>
          <xdr:rowOff>142875</xdr:rowOff>
        </xdr:from>
        <xdr:to>
          <xdr:col>283</xdr:col>
          <xdr:colOff>647700</xdr:colOff>
          <xdr:row>16</xdr:row>
          <xdr:rowOff>142875</xdr:rowOff>
        </xdr:to>
        <xdr:sp macro="" textlink="">
          <xdr:nvSpPr>
            <xdr:cNvPr id="2344" name="Object 296" hidden="1">
              <a:extLst>
                <a:ext uri="{63B3BB69-23CF-44E3-9099-C40C66FF867C}">
                  <a14:compatExt spid="_x0000_s23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284</xdr:col>
          <xdr:colOff>381000</xdr:colOff>
          <xdr:row>15</xdr:row>
          <xdr:rowOff>142875</xdr:rowOff>
        </xdr:from>
        <xdr:to>
          <xdr:col>284</xdr:col>
          <xdr:colOff>638175</xdr:colOff>
          <xdr:row>16</xdr:row>
          <xdr:rowOff>142875</xdr:rowOff>
        </xdr:to>
        <xdr:sp macro="" textlink="">
          <xdr:nvSpPr>
            <xdr:cNvPr id="2345" name="Object 297" hidden="1">
              <a:extLst>
                <a:ext uri="{63B3BB69-23CF-44E3-9099-C40C66FF867C}">
                  <a14:compatExt spid="_x0000_s23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285</xdr:col>
          <xdr:colOff>352425</xdr:colOff>
          <xdr:row>15</xdr:row>
          <xdr:rowOff>142875</xdr:rowOff>
        </xdr:from>
        <xdr:to>
          <xdr:col>285</xdr:col>
          <xdr:colOff>619125</xdr:colOff>
          <xdr:row>16</xdr:row>
          <xdr:rowOff>142875</xdr:rowOff>
        </xdr:to>
        <xdr:sp macro="" textlink="">
          <xdr:nvSpPr>
            <xdr:cNvPr id="2346" name="Object 298" hidden="1">
              <a:extLst>
                <a:ext uri="{63B3BB69-23CF-44E3-9099-C40C66FF867C}">
                  <a14:compatExt spid="_x0000_s2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286</xdr:col>
          <xdr:colOff>428625</xdr:colOff>
          <xdr:row>15</xdr:row>
          <xdr:rowOff>142875</xdr:rowOff>
        </xdr:from>
        <xdr:to>
          <xdr:col>286</xdr:col>
          <xdr:colOff>619125</xdr:colOff>
          <xdr:row>16</xdr:row>
          <xdr:rowOff>142875</xdr:rowOff>
        </xdr:to>
        <xdr:sp macro="" textlink="">
          <xdr:nvSpPr>
            <xdr:cNvPr id="2347" name="Object 299" hidden="1">
              <a:extLst>
                <a:ext uri="{63B3BB69-23CF-44E3-9099-C40C66FF867C}">
                  <a14:compatExt spid="_x0000_s23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287</xdr:col>
          <xdr:colOff>390525</xdr:colOff>
          <xdr:row>15</xdr:row>
          <xdr:rowOff>142875</xdr:rowOff>
        </xdr:from>
        <xdr:to>
          <xdr:col>287</xdr:col>
          <xdr:colOff>619125</xdr:colOff>
          <xdr:row>16</xdr:row>
          <xdr:rowOff>142875</xdr:rowOff>
        </xdr:to>
        <xdr:sp macro="" textlink="">
          <xdr:nvSpPr>
            <xdr:cNvPr id="2348" name="Object 300" hidden="1">
              <a:extLst>
                <a:ext uri="{63B3BB69-23CF-44E3-9099-C40C66FF867C}">
                  <a14:compatExt spid="_x0000_s23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288</xdr:col>
          <xdr:colOff>76200</xdr:colOff>
          <xdr:row>15</xdr:row>
          <xdr:rowOff>114300</xdr:rowOff>
        </xdr:from>
        <xdr:to>
          <xdr:col>288</xdr:col>
          <xdr:colOff>1000125</xdr:colOff>
          <xdr:row>16</xdr:row>
          <xdr:rowOff>161925</xdr:rowOff>
        </xdr:to>
        <xdr:sp macro="" textlink="">
          <xdr:nvSpPr>
            <xdr:cNvPr id="2349" name="Object 301" hidden="1">
              <a:extLst>
                <a:ext uri="{63B3BB69-23CF-44E3-9099-C40C66FF867C}">
                  <a14:compatExt spid="_x0000_s23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289</xdr:col>
          <xdr:colOff>390525</xdr:colOff>
          <xdr:row>15</xdr:row>
          <xdr:rowOff>142875</xdr:rowOff>
        </xdr:from>
        <xdr:to>
          <xdr:col>289</xdr:col>
          <xdr:colOff>619125</xdr:colOff>
          <xdr:row>16</xdr:row>
          <xdr:rowOff>142875</xdr:rowOff>
        </xdr:to>
        <xdr:sp macro="" textlink="">
          <xdr:nvSpPr>
            <xdr:cNvPr id="2350" name="Object 302" hidden="1">
              <a:extLst>
                <a:ext uri="{63B3BB69-23CF-44E3-9099-C40C66FF867C}">
                  <a14:compatExt spid="_x0000_s23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290</xdr:col>
          <xdr:colOff>76200</xdr:colOff>
          <xdr:row>15</xdr:row>
          <xdr:rowOff>114300</xdr:rowOff>
        </xdr:from>
        <xdr:to>
          <xdr:col>290</xdr:col>
          <xdr:colOff>1000125</xdr:colOff>
          <xdr:row>16</xdr:row>
          <xdr:rowOff>161925</xdr:rowOff>
        </xdr:to>
        <xdr:sp macro="" textlink="">
          <xdr:nvSpPr>
            <xdr:cNvPr id="2351" name="Object 303" hidden="1">
              <a:extLst>
                <a:ext uri="{63B3BB69-23CF-44E3-9099-C40C66FF867C}">
                  <a14:compatExt spid="_x0000_s23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291</xdr:col>
          <xdr:colOff>76200</xdr:colOff>
          <xdr:row>15</xdr:row>
          <xdr:rowOff>114300</xdr:rowOff>
        </xdr:from>
        <xdr:to>
          <xdr:col>291</xdr:col>
          <xdr:colOff>1000125</xdr:colOff>
          <xdr:row>16</xdr:row>
          <xdr:rowOff>161925</xdr:rowOff>
        </xdr:to>
        <xdr:sp macro="" textlink="">
          <xdr:nvSpPr>
            <xdr:cNvPr id="2352" name="Object 304" hidden="1">
              <a:extLst>
                <a:ext uri="{63B3BB69-23CF-44E3-9099-C40C66FF867C}">
                  <a14:compatExt spid="_x0000_s23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292</xdr:col>
          <xdr:colOff>200025</xdr:colOff>
          <xdr:row>15</xdr:row>
          <xdr:rowOff>114300</xdr:rowOff>
        </xdr:from>
        <xdr:to>
          <xdr:col>292</xdr:col>
          <xdr:colOff>800100</xdr:colOff>
          <xdr:row>16</xdr:row>
          <xdr:rowOff>142875</xdr:rowOff>
        </xdr:to>
        <xdr:sp macro="" textlink="">
          <xdr:nvSpPr>
            <xdr:cNvPr id="2353" name="Object 305" hidden="1">
              <a:extLst>
                <a:ext uri="{63B3BB69-23CF-44E3-9099-C40C66FF867C}">
                  <a14:compatExt spid="_x0000_s23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293</xdr:col>
          <xdr:colOff>200025</xdr:colOff>
          <xdr:row>15</xdr:row>
          <xdr:rowOff>114300</xdr:rowOff>
        </xdr:from>
        <xdr:to>
          <xdr:col>293</xdr:col>
          <xdr:colOff>800100</xdr:colOff>
          <xdr:row>16</xdr:row>
          <xdr:rowOff>142875</xdr:rowOff>
        </xdr:to>
        <xdr:sp macro="" textlink="">
          <xdr:nvSpPr>
            <xdr:cNvPr id="2354" name="Object 306" hidden="1">
              <a:extLst>
                <a:ext uri="{63B3BB69-23CF-44E3-9099-C40C66FF867C}">
                  <a14:compatExt spid="_x0000_s23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304</xdr:col>
          <xdr:colOff>76200</xdr:colOff>
          <xdr:row>15</xdr:row>
          <xdr:rowOff>123825</xdr:rowOff>
        </xdr:from>
        <xdr:to>
          <xdr:col>304</xdr:col>
          <xdr:colOff>923925</xdr:colOff>
          <xdr:row>16</xdr:row>
          <xdr:rowOff>219075</xdr:rowOff>
        </xdr:to>
        <xdr:sp macro="" textlink="">
          <xdr:nvSpPr>
            <xdr:cNvPr id="2355" name="Object 307" hidden="1">
              <a:extLst>
                <a:ext uri="{63B3BB69-23CF-44E3-9099-C40C66FF867C}">
                  <a14:compatExt spid="_x0000_s23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303</xdr:col>
          <xdr:colOff>219075</xdr:colOff>
          <xdr:row>12</xdr:row>
          <xdr:rowOff>85725</xdr:rowOff>
        </xdr:from>
        <xdr:to>
          <xdr:col>303</xdr:col>
          <xdr:colOff>876300</xdr:colOff>
          <xdr:row>13</xdr:row>
          <xdr:rowOff>161925</xdr:rowOff>
        </xdr:to>
        <xdr:sp macro="" textlink="">
          <xdr:nvSpPr>
            <xdr:cNvPr id="2356" name="Object 308" hidden="1">
              <a:extLst>
                <a:ext uri="{63B3BB69-23CF-44E3-9099-C40C66FF867C}">
                  <a14:compatExt spid="_x0000_s23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305</xdr:col>
          <xdr:colOff>390525</xdr:colOff>
          <xdr:row>12</xdr:row>
          <xdr:rowOff>28575</xdr:rowOff>
        </xdr:from>
        <xdr:to>
          <xdr:col>305</xdr:col>
          <xdr:colOff>619125</xdr:colOff>
          <xdr:row>13</xdr:row>
          <xdr:rowOff>219075</xdr:rowOff>
        </xdr:to>
        <xdr:sp macro="" textlink="">
          <xdr:nvSpPr>
            <xdr:cNvPr id="2357" name="Object 309" hidden="1">
              <a:extLst>
                <a:ext uri="{63B3BB69-23CF-44E3-9099-C40C66FF867C}">
                  <a14:compatExt spid="_x0000_s23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306</xdr:col>
          <xdr:colOff>104775</xdr:colOff>
          <xdr:row>12</xdr:row>
          <xdr:rowOff>66675</xdr:rowOff>
        </xdr:from>
        <xdr:to>
          <xdr:col>306</xdr:col>
          <xdr:colOff>923925</xdr:colOff>
          <xdr:row>13</xdr:row>
          <xdr:rowOff>114300</xdr:rowOff>
        </xdr:to>
        <xdr:sp macro="" textlink="">
          <xdr:nvSpPr>
            <xdr:cNvPr id="2358" name="Object 310" hidden="1">
              <a:extLst>
                <a:ext uri="{63B3BB69-23CF-44E3-9099-C40C66FF867C}">
                  <a14:compatExt spid="_x0000_s23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308</xdr:col>
          <xdr:colOff>428625</xdr:colOff>
          <xdr:row>15</xdr:row>
          <xdr:rowOff>161925</xdr:rowOff>
        </xdr:from>
        <xdr:to>
          <xdr:col>308</xdr:col>
          <xdr:colOff>600075</xdr:colOff>
          <xdr:row>16</xdr:row>
          <xdr:rowOff>114300</xdr:rowOff>
        </xdr:to>
        <xdr:sp macro="" textlink="">
          <xdr:nvSpPr>
            <xdr:cNvPr id="2359" name="Object 311" hidden="1">
              <a:extLst>
                <a:ext uri="{63B3BB69-23CF-44E3-9099-C40C66FF867C}">
                  <a14:compatExt spid="_x0000_s23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310</xdr:col>
          <xdr:colOff>142875</xdr:colOff>
          <xdr:row>15</xdr:row>
          <xdr:rowOff>142875</xdr:rowOff>
        </xdr:from>
        <xdr:to>
          <xdr:col>310</xdr:col>
          <xdr:colOff>800100</xdr:colOff>
          <xdr:row>16</xdr:row>
          <xdr:rowOff>161925</xdr:rowOff>
        </xdr:to>
        <xdr:sp macro="" textlink="">
          <xdr:nvSpPr>
            <xdr:cNvPr id="2360" name="Object 312" hidden="1">
              <a:extLst>
                <a:ext uri="{63B3BB69-23CF-44E3-9099-C40C66FF867C}">
                  <a14:compatExt spid="_x0000_s23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317</xdr:col>
          <xdr:colOff>123825</xdr:colOff>
          <xdr:row>15</xdr:row>
          <xdr:rowOff>114300</xdr:rowOff>
        </xdr:from>
        <xdr:to>
          <xdr:col>317</xdr:col>
          <xdr:colOff>923925</xdr:colOff>
          <xdr:row>16</xdr:row>
          <xdr:rowOff>142875</xdr:rowOff>
        </xdr:to>
        <xdr:sp macro="" textlink="">
          <xdr:nvSpPr>
            <xdr:cNvPr id="2361" name="Object 313" hidden="1">
              <a:extLst>
                <a:ext uri="{63B3BB69-23CF-44E3-9099-C40C66FF867C}">
                  <a14:compatExt spid="_x0000_s23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318</xdr:col>
          <xdr:colOff>257175</xdr:colOff>
          <xdr:row>15</xdr:row>
          <xdr:rowOff>114300</xdr:rowOff>
        </xdr:from>
        <xdr:to>
          <xdr:col>318</xdr:col>
          <xdr:colOff>762000</xdr:colOff>
          <xdr:row>16</xdr:row>
          <xdr:rowOff>142875</xdr:rowOff>
        </xdr:to>
        <xdr:sp macro="" textlink="">
          <xdr:nvSpPr>
            <xdr:cNvPr id="2362" name="Object 314" hidden="1">
              <a:extLst>
                <a:ext uri="{63B3BB69-23CF-44E3-9099-C40C66FF867C}">
                  <a14:compatExt spid="_x0000_s23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323</xdr:col>
          <xdr:colOff>123825</xdr:colOff>
          <xdr:row>15</xdr:row>
          <xdr:rowOff>114300</xdr:rowOff>
        </xdr:from>
        <xdr:to>
          <xdr:col>323</xdr:col>
          <xdr:colOff>923925</xdr:colOff>
          <xdr:row>16</xdr:row>
          <xdr:rowOff>142875</xdr:rowOff>
        </xdr:to>
        <xdr:sp macro="" textlink="">
          <xdr:nvSpPr>
            <xdr:cNvPr id="2363" name="Object 315" hidden="1">
              <a:extLst>
                <a:ext uri="{63B3BB69-23CF-44E3-9099-C40C66FF867C}">
                  <a14:compatExt spid="_x0000_s23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324</xdr:col>
          <xdr:colOff>257175</xdr:colOff>
          <xdr:row>15</xdr:row>
          <xdr:rowOff>114300</xdr:rowOff>
        </xdr:from>
        <xdr:to>
          <xdr:col>324</xdr:col>
          <xdr:colOff>762000</xdr:colOff>
          <xdr:row>16</xdr:row>
          <xdr:rowOff>142875</xdr:rowOff>
        </xdr:to>
        <xdr:sp macro="" textlink="">
          <xdr:nvSpPr>
            <xdr:cNvPr id="2364" name="Object 316" hidden="1">
              <a:extLst>
                <a:ext uri="{63B3BB69-23CF-44E3-9099-C40C66FF867C}">
                  <a14:compatExt spid="_x0000_s23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325</xdr:col>
          <xdr:colOff>257175</xdr:colOff>
          <xdr:row>15</xdr:row>
          <xdr:rowOff>114300</xdr:rowOff>
        </xdr:from>
        <xdr:to>
          <xdr:col>325</xdr:col>
          <xdr:colOff>752475</xdr:colOff>
          <xdr:row>16</xdr:row>
          <xdr:rowOff>142875</xdr:rowOff>
        </xdr:to>
        <xdr:sp macro="" textlink="">
          <xdr:nvSpPr>
            <xdr:cNvPr id="2365" name="Object 317" hidden="1">
              <a:extLst>
                <a:ext uri="{63B3BB69-23CF-44E3-9099-C40C66FF867C}">
                  <a14:compatExt spid="_x0000_s23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326</xdr:col>
          <xdr:colOff>123825</xdr:colOff>
          <xdr:row>15</xdr:row>
          <xdr:rowOff>114300</xdr:rowOff>
        </xdr:from>
        <xdr:to>
          <xdr:col>326</xdr:col>
          <xdr:colOff>904875</xdr:colOff>
          <xdr:row>16</xdr:row>
          <xdr:rowOff>142875</xdr:rowOff>
        </xdr:to>
        <xdr:sp macro="" textlink="">
          <xdr:nvSpPr>
            <xdr:cNvPr id="2366" name="Object 318" hidden="1">
              <a:extLst>
                <a:ext uri="{63B3BB69-23CF-44E3-9099-C40C66FF867C}">
                  <a14:compatExt spid="_x0000_s23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307</xdr:col>
          <xdr:colOff>304800</xdr:colOff>
          <xdr:row>12</xdr:row>
          <xdr:rowOff>85725</xdr:rowOff>
        </xdr:from>
        <xdr:to>
          <xdr:col>307</xdr:col>
          <xdr:colOff>876300</xdr:colOff>
          <xdr:row>13</xdr:row>
          <xdr:rowOff>161925</xdr:rowOff>
        </xdr:to>
        <xdr:sp macro="" textlink="">
          <xdr:nvSpPr>
            <xdr:cNvPr id="2367" name="Object 319" hidden="1">
              <a:extLst>
                <a:ext uri="{63B3BB69-23CF-44E3-9099-C40C66FF867C}">
                  <a14:compatExt spid="_x0000_s23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308</xdr:col>
          <xdr:colOff>295275</xdr:colOff>
          <xdr:row>12</xdr:row>
          <xdr:rowOff>104775</xdr:rowOff>
        </xdr:from>
        <xdr:to>
          <xdr:col>308</xdr:col>
          <xdr:colOff>752475</xdr:colOff>
          <xdr:row>13</xdr:row>
          <xdr:rowOff>200025</xdr:rowOff>
        </xdr:to>
        <xdr:sp macro="" textlink="">
          <xdr:nvSpPr>
            <xdr:cNvPr id="2368" name="Object 320" hidden="1">
              <a:extLst>
                <a:ext uri="{63B3BB69-23CF-44E3-9099-C40C66FF867C}">
                  <a14:compatExt spid="_x0000_s23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327</xdr:col>
          <xdr:colOff>314325</xdr:colOff>
          <xdr:row>15</xdr:row>
          <xdr:rowOff>142875</xdr:rowOff>
        </xdr:from>
        <xdr:to>
          <xdr:col>327</xdr:col>
          <xdr:colOff>723900</xdr:colOff>
          <xdr:row>16</xdr:row>
          <xdr:rowOff>85725</xdr:rowOff>
        </xdr:to>
        <xdr:sp macro="" textlink="">
          <xdr:nvSpPr>
            <xdr:cNvPr id="2369" name="Object 321" hidden="1">
              <a:extLst>
                <a:ext uri="{63B3BB69-23CF-44E3-9099-C40C66FF867C}">
                  <a14:compatExt spid="_x0000_s23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330</xdr:col>
          <xdr:colOff>381000</xdr:colOff>
          <xdr:row>15</xdr:row>
          <xdr:rowOff>142875</xdr:rowOff>
        </xdr:from>
        <xdr:to>
          <xdr:col>330</xdr:col>
          <xdr:colOff>638175</xdr:colOff>
          <xdr:row>16</xdr:row>
          <xdr:rowOff>142875</xdr:rowOff>
        </xdr:to>
        <xdr:sp macro="" textlink="">
          <xdr:nvSpPr>
            <xdr:cNvPr id="2370" name="Object 322" hidden="1">
              <a:extLst>
                <a:ext uri="{63B3BB69-23CF-44E3-9099-C40C66FF867C}">
                  <a14:compatExt spid="_x0000_s2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331</xdr:col>
          <xdr:colOff>381000</xdr:colOff>
          <xdr:row>15</xdr:row>
          <xdr:rowOff>142875</xdr:rowOff>
        </xdr:from>
        <xdr:to>
          <xdr:col>331</xdr:col>
          <xdr:colOff>638175</xdr:colOff>
          <xdr:row>16</xdr:row>
          <xdr:rowOff>142875</xdr:rowOff>
        </xdr:to>
        <xdr:sp macro="" textlink="">
          <xdr:nvSpPr>
            <xdr:cNvPr id="2371" name="Object 323" hidden="1">
              <a:extLst>
                <a:ext uri="{63B3BB69-23CF-44E3-9099-C40C66FF867C}">
                  <a14:compatExt spid="_x0000_s23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332</xdr:col>
          <xdr:colOff>381000</xdr:colOff>
          <xdr:row>15</xdr:row>
          <xdr:rowOff>142875</xdr:rowOff>
        </xdr:from>
        <xdr:to>
          <xdr:col>332</xdr:col>
          <xdr:colOff>638175</xdr:colOff>
          <xdr:row>16</xdr:row>
          <xdr:rowOff>142875</xdr:rowOff>
        </xdr:to>
        <xdr:sp macro="" textlink="">
          <xdr:nvSpPr>
            <xdr:cNvPr id="2372" name="Object 324" hidden="1">
              <a:extLst>
                <a:ext uri="{63B3BB69-23CF-44E3-9099-C40C66FF867C}">
                  <a14:compatExt spid="_x0000_s23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333</xdr:col>
          <xdr:colOff>390525</xdr:colOff>
          <xdr:row>15</xdr:row>
          <xdr:rowOff>142875</xdr:rowOff>
        </xdr:from>
        <xdr:to>
          <xdr:col>333</xdr:col>
          <xdr:colOff>647700</xdr:colOff>
          <xdr:row>16</xdr:row>
          <xdr:rowOff>142875</xdr:rowOff>
        </xdr:to>
        <xdr:sp macro="" textlink="">
          <xdr:nvSpPr>
            <xdr:cNvPr id="2373" name="Object 325" hidden="1">
              <a:extLst>
                <a:ext uri="{63B3BB69-23CF-44E3-9099-C40C66FF867C}">
                  <a14:compatExt spid="_x0000_s23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334</xdr:col>
          <xdr:colOff>381000</xdr:colOff>
          <xdr:row>15</xdr:row>
          <xdr:rowOff>142875</xdr:rowOff>
        </xdr:from>
        <xdr:to>
          <xdr:col>334</xdr:col>
          <xdr:colOff>638175</xdr:colOff>
          <xdr:row>16</xdr:row>
          <xdr:rowOff>142875</xdr:rowOff>
        </xdr:to>
        <xdr:sp macro="" textlink="">
          <xdr:nvSpPr>
            <xdr:cNvPr id="2374" name="Object 326" hidden="1">
              <a:extLst>
                <a:ext uri="{63B3BB69-23CF-44E3-9099-C40C66FF867C}">
                  <a14:compatExt spid="_x0000_s23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335</xdr:col>
          <xdr:colOff>352425</xdr:colOff>
          <xdr:row>15</xdr:row>
          <xdr:rowOff>142875</xdr:rowOff>
        </xdr:from>
        <xdr:to>
          <xdr:col>335</xdr:col>
          <xdr:colOff>619125</xdr:colOff>
          <xdr:row>16</xdr:row>
          <xdr:rowOff>142875</xdr:rowOff>
        </xdr:to>
        <xdr:sp macro="" textlink="">
          <xdr:nvSpPr>
            <xdr:cNvPr id="2375" name="Object 327" hidden="1">
              <a:extLst>
                <a:ext uri="{63B3BB69-23CF-44E3-9099-C40C66FF867C}">
                  <a14:compatExt spid="_x0000_s23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336</xdr:col>
          <xdr:colOff>428625</xdr:colOff>
          <xdr:row>15</xdr:row>
          <xdr:rowOff>142875</xdr:rowOff>
        </xdr:from>
        <xdr:to>
          <xdr:col>336</xdr:col>
          <xdr:colOff>619125</xdr:colOff>
          <xdr:row>16</xdr:row>
          <xdr:rowOff>142875</xdr:rowOff>
        </xdr:to>
        <xdr:sp macro="" textlink="">
          <xdr:nvSpPr>
            <xdr:cNvPr id="2376" name="Object 328" hidden="1">
              <a:extLst>
                <a:ext uri="{63B3BB69-23CF-44E3-9099-C40C66FF867C}">
                  <a14:compatExt spid="_x0000_s23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337</xdr:col>
          <xdr:colOff>390525</xdr:colOff>
          <xdr:row>15</xdr:row>
          <xdr:rowOff>142875</xdr:rowOff>
        </xdr:from>
        <xdr:to>
          <xdr:col>337</xdr:col>
          <xdr:colOff>619125</xdr:colOff>
          <xdr:row>16</xdr:row>
          <xdr:rowOff>142875</xdr:rowOff>
        </xdr:to>
        <xdr:sp macro="" textlink="">
          <xdr:nvSpPr>
            <xdr:cNvPr id="2377" name="Object 329" hidden="1">
              <a:extLst>
                <a:ext uri="{63B3BB69-23CF-44E3-9099-C40C66FF867C}">
                  <a14:compatExt spid="_x0000_s23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338</xdr:col>
          <xdr:colOff>219075</xdr:colOff>
          <xdr:row>15</xdr:row>
          <xdr:rowOff>114300</xdr:rowOff>
        </xdr:from>
        <xdr:to>
          <xdr:col>338</xdr:col>
          <xdr:colOff>838200</xdr:colOff>
          <xdr:row>16</xdr:row>
          <xdr:rowOff>142875</xdr:rowOff>
        </xdr:to>
        <xdr:sp macro="" textlink="">
          <xdr:nvSpPr>
            <xdr:cNvPr id="2378" name="Object 330" hidden="1">
              <a:extLst>
                <a:ext uri="{63B3BB69-23CF-44E3-9099-C40C66FF867C}">
                  <a14:compatExt spid="_x0000_s23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339</xdr:col>
          <xdr:colOff>381000</xdr:colOff>
          <xdr:row>15</xdr:row>
          <xdr:rowOff>142875</xdr:rowOff>
        </xdr:from>
        <xdr:to>
          <xdr:col>339</xdr:col>
          <xdr:colOff>638175</xdr:colOff>
          <xdr:row>16</xdr:row>
          <xdr:rowOff>142875</xdr:rowOff>
        </xdr:to>
        <xdr:sp macro="" textlink="">
          <xdr:nvSpPr>
            <xdr:cNvPr id="2379" name="Object 331" hidden="1">
              <a:extLst>
                <a:ext uri="{63B3BB69-23CF-44E3-9099-C40C66FF867C}">
                  <a14:compatExt spid="_x0000_s23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340</xdr:col>
          <xdr:colOff>381000</xdr:colOff>
          <xdr:row>15</xdr:row>
          <xdr:rowOff>142875</xdr:rowOff>
        </xdr:from>
        <xdr:to>
          <xdr:col>340</xdr:col>
          <xdr:colOff>638175</xdr:colOff>
          <xdr:row>16</xdr:row>
          <xdr:rowOff>142875</xdr:rowOff>
        </xdr:to>
        <xdr:sp macro="" textlink="">
          <xdr:nvSpPr>
            <xdr:cNvPr id="2380" name="Object 332" hidden="1">
              <a:extLst>
                <a:ext uri="{63B3BB69-23CF-44E3-9099-C40C66FF867C}">
                  <a14:compatExt spid="_x0000_s23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341</xdr:col>
          <xdr:colOff>381000</xdr:colOff>
          <xdr:row>15</xdr:row>
          <xdr:rowOff>142875</xdr:rowOff>
        </xdr:from>
        <xdr:to>
          <xdr:col>341</xdr:col>
          <xdr:colOff>638175</xdr:colOff>
          <xdr:row>16</xdr:row>
          <xdr:rowOff>142875</xdr:rowOff>
        </xdr:to>
        <xdr:sp macro="" textlink="">
          <xdr:nvSpPr>
            <xdr:cNvPr id="2381" name="Object 333" hidden="1">
              <a:extLst>
                <a:ext uri="{63B3BB69-23CF-44E3-9099-C40C66FF867C}">
                  <a14:compatExt spid="_x0000_s23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342</xdr:col>
          <xdr:colOff>390525</xdr:colOff>
          <xdr:row>15</xdr:row>
          <xdr:rowOff>142875</xdr:rowOff>
        </xdr:from>
        <xdr:to>
          <xdr:col>342</xdr:col>
          <xdr:colOff>647700</xdr:colOff>
          <xdr:row>16</xdr:row>
          <xdr:rowOff>142875</xdr:rowOff>
        </xdr:to>
        <xdr:sp macro="" textlink="">
          <xdr:nvSpPr>
            <xdr:cNvPr id="2382" name="Object 334" hidden="1">
              <a:extLst>
                <a:ext uri="{63B3BB69-23CF-44E3-9099-C40C66FF867C}">
                  <a14:compatExt spid="_x0000_s23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343</xdr:col>
          <xdr:colOff>381000</xdr:colOff>
          <xdr:row>15</xdr:row>
          <xdr:rowOff>142875</xdr:rowOff>
        </xdr:from>
        <xdr:to>
          <xdr:col>343</xdr:col>
          <xdr:colOff>638175</xdr:colOff>
          <xdr:row>16</xdr:row>
          <xdr:rowOff>142875</xdr:rowOff>
        </xdr:to>
        <xdr:sp macro="" textlink="">
          <xdr:nvSpPr>
            <xdr:cNvPr id="2383" name="Object 335" hidden="1">
              <a:extLst>
                <a:ext uri="{63B3BB69-23CF-44E3-9099-C40C66FF867C}">
                  <a14:compatExt spid="_x0000_s23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344</xdr:col>
          <xdr:colOff>352425</xdr:colOff>
          <xdr:row>15</xdr:row>
          <xdr:rowOff>142875</xdr:rowOff>
        </xdr:from>
        <xdr:to>
          <xdr:col>344</xdr:col>
          <xdr:colOff>619125</xdr:colOff>
          <xdr:row>16</xdr:row>
          <xdr:rowOff>142875</xdr:rowOff>
        </xdr:to>
        <xdr:sp macro="" textlink="">
          <xdr:nvSpPr>
            <xdr:cNvPr id="2384" name="Object 336" hidden="1">
              <a:extLst>
                <a:ext uri="{63B3BB69-23CF-44E3-9099-C40C66FF867C}">
                  <a14:compatExt spid="_x0000_s23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345</xdr:col>
          <xdr:colOff>428625</xdr:colOff>
          <xdr:row>15</xdr:row>
          <xdr:rowOff>142875</xdr:rowOff>
        </xdr:from>
        <xdr:to>
          <xdr:col>345</xdr:col>
          <xdr:colOff>619125</xdr:colOff>
          <xdr:row>16</xdr:row>
          <xdr:rowOff>142875</xdr:rowOff>
        </xdr:to>
        <xdr:sp macro="" textlink="">
          <xdr:nvSpPr>
            <xdr:cNvPr id="2385" name="Object 337" hidden="1">
              <a:extLst>
                <a:ext uri="{63B3BB69-23CF-44E3-9099-C40C66FF867C}">
                  <a14:compatExt spid="_x0000_s23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346</xdr:col>
          <xdr:colOff>390525</xdr:colOff>
          <xdr:row>15</xdr:row>
          <xdr:rowOff>142875</xdr:rowOff>
        </xdr:from>
        <xdr:to>
          <xdr:col>346</xdr:col>
          <xdr:colOff>619125</xdr:colOff>
          <xdr:row>16</xdr:row>
          <xdr:rowOff>142875</xdr:rowOff>
        </xdr:to>
        <xdr:sp macro="" textlink="">
          <xdr:nvSpPr>
            <xdr:cNvPr id="2386" name="Object 338" hidden="1">
              <a:extLst>
                <a:ext uri="{63B3BB69-23CF-44E3-9099-C40C66FF867C}">
                  <a14:compatExt spid="_x0000_s2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347</xdr:col>
          <xdr:colOff>76200</xdr:colOff>
          <xdr:row>15</xdr:row>
          <xdr:rowOff>114300</xdr:rowOff>
        </xdr:from>
        <xdr:to>
          <xdr:col>347</xdr:col>
          <xdr:colOff>1000125</xdr:colOff>
          <xdr:row>16</xdr:row>
          <xdr:rowOff>161925</xdr:rowOff>
        </xdr:to>
        <xdr:sp macro="" textlink="">
          <xdr:nvSpPr>
            <xdr:cNvPr id="2387" name="Object 339" hidden="1">
              <a:extLst>
                <a:ext uri="{63B3BB69-23CF-44E3-9099-C40C66FF867C}">
                  <a14:compatExt spid="_x0000_s23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348</xdr:col>
          <xdr:colOff>390525</xdr:colOff>
          <xdr:row>15</xdr:row>
          <xdr:rowOff>142875</xdr:rowOff>
        </xdr:from>
        <xdr:to>
          <xdr:col>348</xdr:col>
          <xdr:colOff>619125</xdr:colOff>
          <xdr:row>16</xdr:row>
          <xdr:rowOff>142875</xdr:rowOff>
        </xdr:to>
        <xdr:sp macro="" textlink="">
          <xdr:nvSpPr>
            <xdr:cNvPr id="2388" name="Object 340" hidden="1">
              <a:extLst>
                <a:ext uri="{63B3BB69-23CF-44E3-9099-C40C66FF867C}">
                  <a14:compatExt spid="_x0000_s23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349</xdr:col>
          <xdr:colOff>76200</xdr:colOff>
          <xdr:row>15</xdr:row>
          <xdr:rowOff>114300</xdr:rowOff>
        </xdr:from>
        <xdr:to>
          <xdr:col>349</xdr:col>
          <xdr:colOff>1000125</xdr:colOff>
          <xdr:row>16</xdr:row>
          <xdr:rowOff>161925</xdr:rowOff>
        </xdr:to>
        <xdr:sp macro="" textlink="">
          <xdr:nvSpPr>
            <xdr:cNvPr id="2389" name="Object 341" hidden="1">
              <a:extLst>
                <a:ext uri="{63B3BB69-23CF-44E3-9099-C40C66FF867C}">
                  <a14:compatExt spid="_x0000_s23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350</xdr:col>
          <xdr:colOff>76200</xdr:colOff>
          <xdr:row>15</xdr:row>
          <xdr:rowOff>114300</xdr:rowOff>
        </xdr:from>
        <xdr:to>
          <xdr:col>350</xdr:col>
          <xdr:colOff>1000125</xdr:colOff>
          <xdr:row>16</xdr:row>
          <xdr:rowOff>161925</xdr:rowOff>
        </xdr:to>
        <xdr:sp macro="" textlink="">
          <xdr:nvSpPr>
            <xdr:cNvPr id="2390" name="Object 342" hidden="1">
              <a:extLst>
                <a:ext uri="{63B3BB69-23CF-44E3-9099-C40C66FF867C}">
                  <a14:compatExt spid="_x0000_s23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351</xdr:col>
          <xdr:colOff>200025</xdr:colOff>
          <xdr:row>15</xdr:row>
          <xdr:rowOff>114300</xdr:rowOff>
        </xdr:from>
        <xdr:to>
          <xdr:col>351</xdr:col>
          <xdr:colOff>800100</xdr:colOff>
          <xdr:row>16</xdr:row>
          <xdr:rowOff>142875</xdr:rowOff>
        </xdr:to>
        <xdr:sp macro="" textlink="">
          <xdr:nvSpPr>
            <xdr:cNvPr id="2391" name="Object 343" hidden="1">
              <a:extLst>
                <a:ext uri="{63B3BB69-23CF-44E3-9099-C40C66FF867C}">
                  <a14:compatExt spid="_x0000_s23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352</xdr:col>
          <xdr:colOff>200025</xdr:colOff>
          <xdr:row>15</xdr:row>
          <xdr:rowOff>114300</xdr:rowOff>
        </xdr:from>
        <xdr:to>
          <xdr:col>352</xdr:col>
          <xdr:colOff>800100</xdr:colOff>
          <xdr:row>16</xdr:row>
          <xdr:rowOff>142875</xdr:rowOff>
        </xdr:to>
        <xdr:sp macro="" textlink="">
          <xdr:nvSpPr>
            <xdr:cNvPr id="2392" name="Object 344" hidden="1">
              <a:extLst>
                <a:ext uri="{63B3BB69-23CF-44E3-9099-C40C66FF867C}">
                  <a14:compatExt spid="_x0000_s23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76200</xdr:colOff>
          <xdr:row>46</xdr:row>
          <xdr:rowOff>123825</xdr:rowOff>
        </xdr:from>
        <xdr:to>
          <xdr:col>9</xdr:col>
          <xdr:colOff>923925</xdr:colOff>
          <xdr:row>47</xdr:row>
          <xdr:rowOff>219075</xdr:rowOff>
        </xdr:to>
        <xdr:sp macro="" textlink="">
          <xdr:nvSpPr>
            <xdr:cNvPr id="2393" name="Object 345" hidden="1">
              <a:extLst>
                <a:ext uri="{63B3BB69-23CF-44E3-9099-C40C66FF867C}">
                  <a14:compatExt spid="_x0000_s2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219075</xdr:colOff>
          <xdr:row>43</xdr:row>
          <xdr:rowOff>85725</xdr:rowOff>
        </xdr:from>
        <xdr:to>
          <xdr:col>8</xdr:col>
          <xdr:colOff>876300</xdr:colOff>
          <xdr:row>44</xdr:row>
          <xdr:rowOff>161925</xdr:rowOff>
        </xdr:to>
        <xdr:sp macro="" textlink="">
          <xdr:nvSpPr>
            <xdr:cNvPr id="2394" name="Object 346" hidden="1">
              <a:extLst>
                <a:ext uri="{63B3BB69-23CF-44E3-9099-C40C66FF867C}">
                  <a14:compatExt spid="_x0000_s23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390525</xdr:colOff>
          <xdr:row>43</xdr:row>
          <xdr:rowOff>28575</xdr:rowOff>
        </xdr:from>
        <xdr:to>
          <xdr:col>10</xdr:col>
          <xdr:colOff>619125</xdr:colOff>
          <xdr:row>44</xdr:row>
          <xdr:rowOff>219075</xdr:rowOff>
        </xdr:to>
        <xdr:sp macro="" textlink="">
          <xdr:nvSpPr>
            <xdr:cNvPr id="2395" name="Object 347" hidden="1">
              <a:extLst>
                <a:ext uri="{63B3BB69-23CF-44E3-9099-C40C66FF867C}">
                  <a14:compatExt spid="_x0000_s23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104775</xdr:colOff>
          <xdr:row>43</xdr:row>
          <xdr:rowOff>66675</xdr:rowOff>
        </xdr:from>
        <xdr:to>
          <xdr:col>11</xdr:col>
          <xdr:colOff>923925</xdr:colOff>
          <xdr:row>44</xdr:row>
          <xdr:rowOff>114300</xdr:rowOff>
        </xdr:to>
        <xdr:sp macro="" textlink="">
          <xdr:nvSpPr>
            <xdr:cNvPr id="2396" name="Object 348" hidden="1">
              <a:extLst>
                <a:ext uri="{63B3BB69-23CF-44E3-9099-C40C66FF867C}">
                  <a14:compatExt spid="_x0000_s23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428625</xdr:colOff>
          <xdr:row>46</xdr:row>
          <xdr:rowOff>161925</xdr:rowOff>
        </xdr:from>
        <xdr:to>
          <xdr:col>13</xdr:col>
          <xdr:colOff>600075</xdr:colOff>
          <xdr:row>47</xdr:row>
          <xdr:rowOff>114300</xdr:rowOff>
        </xdr:to>
        <xdr:sp macro="" textlink="">
          <xdr:nvSpPr>
            <xdr:cNvPr id="2397" name="Object 349" hidden="1">
              <a:extLst>
                <a:ext uri="{63B3BB69-23CF-44E3-9099-C40C66FF867C}">
                  <a14:compatExt spid="_x0000_s23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142875</xdr:colOff>
          <xdr:row>46</xdr:row>
          <xdr:rowOff>142875</xdr:rowOff>
        </xdr:from>
        <xdr:to>
          <xdr:col>15</xdr:col>
          <xdr:colOff>800100</xdr:colOff>
          <xdr:row>47</xdr:row>
          <xdr:rowOff>161925</xdr:rowOff>
        </xdr:to>
        <xdr:sp macro="" textlink="">
          <xdr:nvSpPr>
            <xdr:cNvPr id="2398" name="Object 350" hidden="1">
              <a:extLst>
                <a:ext uri="{63B3BB69-23CF-44E3-9099-C40C66FF867C}">
                  <a14:compatExt spid="_x0000_s23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123825</xdr:colOff>
          <xdr:row>46</xdr:row>
          <xdr:rowOff>114300</xdr:rowOff>
        </xdr:from>
        <xdr:to>
          <xdr:col>22</xdr:col>
          <xdr:colOff>923925</xdr:colOff>
          <xdr:row>47</xdr:row>
          <xdr:rowOff>142875</xdr:rowOff>
        </xdr:to>
        <xdr:sp macro="" textlink="">
          <xdr:nvSpPr>
            <xdr:cNvPr id="2399" name="Object 351" hidden="1">
              <a:extLst>
                <a:ext uri="{63B3BB69-23CF-44E3-9099-C40C66FF867C}">
                  <a14:compatExt spid="_x0000_s23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257175</xdr:colOff>
          <xdr:row>46</xdr:row>
          <xdr:rowOff>114300</xdr:rowOff>
        </xdr:from>
        <xdr:to>
          <xdr:col>23</xdr:col>
          <xdr:colOff>762000</xdr:colOff>
          <xdr:row>47</xdr:row>
          <xdr:rowOff>142875</xdr:rowOff>
        </xdr:to>
        <xdr:sp macro="" textlink="">
          <xdr:nvSpPr>
            <xdr:cNvPr id="2400" name="Object 352" hidden="1">
              <a:extLst>
                <a:ext uri="{63B3BB69-23CF-44E3-9099-C40C66FF867C}">
                  <a14:compatExt spid="_x0000_s24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123825</xdr:colOff>
          <xdr:row>46</xdr:row>
          <xdr:rowOff>114300</xdr:rowOff>
        </xdr:from>
        <xdr:to>
          <xdr:col>28</xdr:col>
          <xdr:colOff>923925</xdr:colOff>
          <xdr:row>47</xdr:row>
          <xdr:rowOff>142875</xdr:rowOff>
        </xdr:to>
        <xdr:sp macro="" textlink="">
          <xdr:nvSpPr>
            <xdr:cNvPr id="2401" name="Object 353" hidden="1">
              <a:extLst>
                <a:ext uri="{63B3BB69-23CF-44E3-9099-C40C66FF867C}">
                  <a14:compatExt spid="_x0000_s24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257175</xdr:colOff>
          <xdr:row>46</xdr:row>
          <xdr:rowOff>114300</xdr:rowOff>
        </xdr:from>
        <xdr:to>
          <xdr:col>29</xdr:col>
          <xdr:colOff>762000</xdr:colOff>
          <xdr:row>47</xdr:row>
          <xdr:rowOff>142875</xdr:rowOff>
        </xdr:to>
        <xdr:sp macro="" textlink="">
          <xdr:nvSpPr>
            <xdr:cNvPr id="2402" name="Object 354" hidden="1">
              <a:extLst>
                <a:ext uri="{63B3BB69-23CF-44E3-9099-C40C66FF867C}">
                  <a14:compatExt spid="_x0000_s24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257175</xdr:colOff>
          <xdr:row>46</xdr:row>
          <xdr:rowOff>114300</xdr:rowOff>
        </xdr:from>
        <xdr:to>
          <xdr:col>30</xdr:col>
          <xdr:colOff>752475</xdr:colOff>
          <xdr:row>47</xdr:row>
          <xdr:rowOff>142875</xdr:rowOff>
        </xdr:to>
        <xdr:sp macro="" textlink="">
          <xdr:nvSpPr>
            <xdr:cNvPr id="2403" name="Object 355" hidden="1">
              <a:extLst>
                <a:ext uri="{63B3BB69-23CF-44E3-9099-C40C66FF867C}">
                  <a14:compatExt spid="_x0000_s24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123825</xdr:colOff>
          <xdr:row>46</xdr:row>
          <xdr:rowOff>114300</xdr:rowOff>
        </xdr:from>
        <xdr:to>
          <xdr:col>31</xdr:col>
          <xdr:colOff>904875</xdr:colOff>
          <xdr:row>47</xdr:row>
          <xdr:rowOff>142875</xdr:rowOff>
        </xdr:to>
        <xdr:sp macro="" textlink="">
          <xdr:nvSpPr>
            <xdr:cNvPr id="2404" name="Object 356" hidden="1">
              <a:extLst>
                <a:ext uri="{63B3BB69-23CF-44E3-9099-C40C66FF867C}">
                  <a14:compatExt spid="_x0000_s24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304800</xdr:colOff>
          <xdr:row>43</xdr:row>
          <xdr:rowOff>85725</xdr:rowOff>
        </xdr:from>
        <xdr:to>
          <xdr:col>12</xdr:col>
          <xdr:colOff>876300</xdr:colOff>
          <xdr:row>44</xdr:row>
          <xdr:rowOff>161925</xdr:rowOff>
        </xdr:to>
        <xdr:sp macro="" textlink="">
          <xdr:nvSpPr>
            <xdr:cNvPr id="2405" name="Object 357" hidden="1">
              <a:extLst>
                <a:ext uri="{63B3BB69-23CF-44E3-9099-C40C66FF867C}">
                  <a14:compatExt spid="_x0000_s24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295275</xdr:colOff>
          <xdr:row>43</xdr:row>
          <xdr:rowOff>104775</xdr:rowOff>
        </xdr:from>
        <xdr:to>
          <xdr:col>13</xdr:col>
          <xdr:colOff>752475</xdr:colOff>
          <xdr:row>44</xdr:row>
          <xdr:rowOff>200025</xdr:rowOff>
        </xdr:to>
        <xdr:sp macro="" textlink="">
          <xdr:nvSpPr>
            <xdr:cNvPr id="2406" name="Object 358" hidden="1">
              <a:extLst>
                <a:ext uri="{63B3BB69-23CF-44E3-9099-C40C66FF867C}">
                  <a14:compatExt spid="_x0000_s24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314325</xdr:colOff>
          <xdr:row>46</xdr:row>
          <xdr:rowOff>142875</xdr:rowOff>
        </xdr:from>
        <xdr:to>
          <xdr:col>32</xdr:col>
          <xdr:colOff>723900</xdr:colOff>
          <xdr:row>47</xdr:row>
          <xdr:rowOff>85725</xdr:rowOff>
        </xdr:to>
        <xdr:sp macro="" textlink="">
          <xdr:nvSpPr>
            <xdr:cNvPr id="2407" name="Object 359" hidden="1">
              <a:extLst>
                <a:ext uri="{63B3BB69-23CF-44E3-9099-C40C66FF867C}">
                  <a14:compatExt spid="_x0000_s24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381000</xdr:colOff>
          <xdr:row>46</xdr:row>
          <xdr:rowOff>142875</xdr:rowOff>
        </xdr:from>
        <xdr:to>
          <xdr:col>35</xdr:col>
          <xdr:colOff>638175</xdr:colOff>
          <xdr:row>47</xdr:row>
          <xdr:rowOff>142875</xdr:rowOff>
        </xdr:to>
        <xdr:sp macro="" textlink="">
          <xdr:nvSpPr>
            <xdr:cNvPr id="2408" name="Object 360" hidden="1">
              <a:extLst>
                <a:ext uri="{63B3BB69-23CF-44E3-9099-C40C66FF867C}">
                  <a14:compatExt spid="_x0000_s24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381000</xdr:colOff>
          <xdr:row>46</xdr:row>
          <xdr:rowOff>142875</xdr:rowOff>
        </xdr:from>
        <xdr:to>
          <xdr:col>36</xdr:col>
          <xdr:colOff>638175</xdr:colOff>
          <xdr:row>47</xdr:row>
          <xdr:rowOff>142875</xdr:rowOff>
        </xdr:to>
        <xdr:sp macro="" textlink="">
          <xdr:nvSpPr>
            <xdr:cNvPr id="2409" name="Object 361" hidden="1">
              <a:extLst>
                <a:ext uri="{63B3BB69-23CF-44E3-9099-C40C66FF867C}">
                  <a14:compatExt spid="_x0000_s24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381000</xdr:colOff>
          <xdr:row>46</xdr:row>
          <xdr:rowOff>142875</xdr:rowOff>
        </xdr:from>
        <xdr:to>
          <xdr:col>37</xdr:col>
          <xdr:colOff>638175</xdr:colOff>
          <xdr:row>47</xdr:row>
          <xdr:rowOff>142875</xdr:rowOff>
        </xdr:to>
        <xdr:sp macro="" textlink="">
          <xdr:nvSpPr>
            <xdr:cNvPr id="2410" name="Object 362" hidden="1">
              <a:extLst>
                <a:ext uri="{63B3BB69-23CF-44E3-9099-C40C66FF867C}">
                  <a14:compatExt spid="_x0000_s24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390525</xdr:colOff>
          <xdr:row>46</xdr:row>
          <xdr:rowOff>142875</xdr:rowOff>
        </xdr:from>
        <xdr:to>
          <xdr:col>38</xdr:col>
          <xdr:colOff>647700</xdr:colOff>
          <xdr:row>47</xdr:row>
          <xdr:rowOff>142875</xdr:rowOff>
        </xdr:to>
        <xdr:sp macro="" textlink="">
          <xdr:nvSpPr>
            <xdr:cNvPr id="2411" name="Object 363" hidden="1">
              <a:extLst>
                <a:ext uri="{63B3BB69-23CF-44E3-9099-C40C66FF867C}">
                  <a14:compatExt spid="_x0000_s24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381000</xdr:colOff>
          <xdr:row>46</xdr:row>
          <xdr:rowOff>142875</xdr:rowOff>
        </xdr:from>
        <xdr:to>
          <xdr:col>39</xdr:col>
          <xdr:colOff>638175</xdr:colOff>
          <xdr:row>47</xdr:row>
          <xdr:rowOff>142875</xdr:rowOff>
        </xdr:to>
        <xdr:sp macro="" textlink="">
          <xdr:nvSpPr>
            <xdr:cNvPr id="2412" name="Object 364" hidden="1">
              <a:extLst>
                <a:ext uri="{63B3BB69-23CF-44E3-9099-C40C66FF867C}">
                  <a14:compatExt spid="_x0000_s24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352425</xdr:colOff>
          <xdr:row>46</xdr:row>
          <xdr:rowOff>142875</xdr:rowOff>
        </xdr:from>
        <xdr:to>
          <xdr:col>40</xdr:col>
          <xdr:colOff>619125</xdr:colOff>
          <xdr:row>47</xdr:row>
          <xdr:rowOff>142875</xdr:rowOff>
        </xdr:to>
        <xdr:sp macro="" textlink="">
          <xdr:nvSpPr>
            <xdr:cNvPr id="2413" name="Object 365" hidden="1">
              <a:extLst>
                <a:ext uri="{63B3BB69-23CF-44E3-9099-C40C66FF867C}">
                  <a14:compatExt spid="_x0000_s24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428625</xdr:colOff>
          <xdr:row>46</xdr:row>
          <xdr:rowOff>142875</xdr:rowOff>
        </xdr:from>
        <xdr:to>
          <xdr:col>41</xdr:col>
          <xdr:colOff>619125</xdr:colOff>
          <xdr:row>47</xdr:row>
          <xdr:rowOff>142875</xdr:rowOff>
        </xdr:to>
        <xdr:sp macro="" textlink="">
          <xdr:nvSpPr>
            <xdr:cNvPr id="2414" name="Object 366" hidden="1">
              <a:extLst>
                <a:ext uri="{63B3BB69-23CF-44E3-9099-C40C66FF867C}">
                  <a14:compatExt spid="_x0000_s2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390525</xdr:colOff>
          <xdr:row>46</xdr:row>
          <xdr:rowOff>142875</xdr:rowOff>
        </xdr:from>
        <xdr:to>
          <xdr:col>42</xdr:col>
          <xdr:colOff>619125</xdr:colOff>
          <xdr:row>47</xdr:row>
          <xdr:rowOff>142875</xdr:rowOff>
        </xdr:to>
        <xdr:sp macro="" textlink="">
          <xdr:nvSpPr>
            <xdr:cNvPr id="2415" name="Object 367" hidden="1">
              <a:extLst>
                <a:ext uri="{63B3BB69-23CF-44E3-9099-C40C66FF867C}">
                  <a14:compatExt spid="_x0000_s24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219075</xdr:colOff>
          <xdr:row>46</xdr:row>
          <xdr:rowOff>114300</xdr:rowOff>
        </xdr:from>
        <xdr:to>
          <xdr:col>43</xdr:col>
          <xdr:colOff>838200</xdr:colOff>
          <xdr:row>47</xdr:row>
          <xdr:rowOff>142875</xdr:rowOff>
        </xdr:to>
        <xdr:sp macro="" textlink="">
          <xdr:nvSpPr>
            <xdr:cNvPr id="2416" name="Object 368" hidden="1">
              <a:extLst>
                <a:ext uri="{63B3BB69-23CF-44E3-9099-C40C66FF867C}">
                  <a14:compatExt spid="_x0000_s24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381000</xdr:colOff>
          <xdr:row>46</xdr:row>
          <xdr:rowOff>142875</xdr:rowOff>
        </xdr:from>
        <xdr:to>
          <xdr:col>44</xdr:col>
          <xdr:colOff>638175</xdr:colOff>
          <xdr:row>47</xdr:row>
          <xdr:rowOff>142875</xdr:rowOff>
        </xdr:to>
        <xdr:sp macro="" textlink="">
          <xdr:nvSpPr>
            <xdr:cNvPr id="2417" name="Object 369" hidden="1">
              <a:extLst>
                <a:ext uri="{63B3BB69-23CF-44E3-9099-C40C66FF867C}">
                  <a14:compatExt spid="_x0000_s2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381000</xdr:colOff>
          <xdr:row>46</xdr:row>
          <xdr:rowOff>142875</xdr:rowOff>
        </xdr:from>
        <xdr:to>
          <xdr:col>45</xdr:col>
          <xdr:colOff>638175</xdr:colOff>
          <xdr:row>47</xdr:row>
          <xdr:rowOff>142875</xdr:rowOff>
        </xdr:to>
        <xdr:sp macro="" textlink="">
          <xdr:nvSpPr>
            <xdr:cNvPr id="2418" name="Object 370" hidden="1">
              <a:extLst>
                <a:ext uri="{63B3BB69-23CF-44E3-9099-C40C66FF867C}">
                  <a14:compatExt spid="_x0000_s24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381000</xdr:colOff>
          <xdr:row>46</xdr:row>
          <xdr:rowOff>142875</xdr:rowOff>
        </xdr:from>
        <xdr:to>
          <xdr:col>46</xdr:col>
          <xdr:colOff>638175</xdr:colOff>
          <xdr:row>47</xdr:row>
          <xdr:rowOff>142875</xdr:rowOff>
        </xdr:to>
        <xdr:sp macro="" textlink="">
          <xdr:nvSpPr>
            <xdr:cNvPr id="2419" name="Object 371" hidden="1">
              <a:extLst>
                <a:ext uri="{63B3BB69-23CF-44E3-9099-C40C66FF867C}">
                  <a14:compatExt spid="_x0000_s24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390525</xdr:colOff>
          <xdr:row>46</xdr:row>
          <xdr:rowOff>142875</xdr:rowOff>
        </xdr:from>
        <xdr:to>
          <xdr:col>47</xdr:col>
          <xdr:colOff>647700</xdr:colOff>
          <xdr:row>47</xdr:row>
          <xdr:rowOff>142875</xdr:rowOff>
        </xdr:to>
        <xdr:sp macro="" textlink="">
          <xdr:nvSpPr>
            <xdr:cNvPr id="2420" name="Object 372" hidden="1">
              <a:extLst>
                <a:ext uri="{63B3BB69-23CF-44E3-9099-C40C66FF867C}">
                  <a14:compatExt spid="_x0000_s24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381000</xdr:colOff>
          <xdr:row>46</xdr:row>
          <xdr:rowOff>142875</xdr:rowOff>
        </xdr:from>
        <xdr:to>
          <xdr:col>48</xdr:col>
          <xdr:colOff>638175</xdr:colOff>
          <xdr:row>47</xdr:row>
          <xdr:rowOff>142875</xdr:rowOff>
        </xdr:to>
        <xdr:sp macro="" textlink="">
          <xdr:nvSpPr>
            <xdr:cNvPr id="2421" name="Object 373" hidden="1">
              <a:extLst>
                <a:ext uri="{63B3BB69-23CF-44E3-9099-C40C66FF867C}">
                  <a14:compatExt spid="_x0000_s24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352425</xdr:colOff>
          <xdr:row>46</xdr:row>
          <xdr:rowOff>142875</xdr:rowOff>
        </xdr:from>
        <xdr:to>
          <xdr:col>49</xdr:col>
          <xdr:colOff>619125</xdr:colOff>
          <xdr:row>47</xdr:row>
          <xdr:rowOff>142875</xdr:rowOff>
        </xdr:to>
        <xdr:sp macro="" textlink="">
          <xdr:nvSpPr>
            <xdr:cNvPr id="2422" name="Object 374" hidden="1">
              <a:extLst>
                <a:ext uri="{63B3BB69-23CF-44E3-9099-C40C66FF867C}">
                  <a14:compatExt spid="_x0000_s24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428625</xdr:colOff>
          <xdr:row>46</xdr:row>
          <xdr:rowOff>142875</xdr:rowOff>
        </xdr:from>
        <xdr:to>
          <xdr:col>50</xdr:col>
          <xdr:colOff>619125</xdr:colOff>
          <xdr:row>47</xdr:row>
          <xdr:rowOff>142875</xdr:rowOff>
        </xdr:to>
        <xdr:sp macro="" textlink="">
          <xdr:nvSpPr>
            <xdr:cNvPr id="2423" name="Object 375" hidden="1">
              <a:extLst>
                <a:ext uri="{63B3BB69-23CF-44E3-9099-C40C66FF867C}">
                  <a14:compatExt spid="_x0000_s24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390525</xdr:colOff>
          <xdr:row>46</xdr:row>
          <xdr:rowOff>142875</xdr:rowOff>
        </xdr:from>
        <xdr:to>
          <xdr:col>51</xdr:col>
          <xdr:colOff>619125</xdr:colOff>
          <xdr:row>47</xdr:row>
          <xdr:rowOff>142875</xdr:rowOff>
        </xdr:to>
        <xdr:sp macro="" textlink="">
          <xdr:nvSpPr>
            <xdr:cNvPr id="2424" name="Object 376" hidden="1">
              <a:extLst>
                <a:ext uri="{63B3BB69-23CF-44E3-9099-C40C66FF867C}">
                  <a14:compatExt spid="_x0000_s24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76200</xdr:colOff>
          <xdr:row>46</xdr:row>
          <xdr:rowOff>114300</xdr:rowOff>
        </xdr:from>
        <xdr:to>
          <xdr:col>52</xdr:col>
          <xdr:colOff>1000125</xdr:colOff>
          <xdr:row>47</xdr:row>
          <xdr:rowOff>161925</xdr:rowOff>
        </xdr:to>
        <xdr:sp macro="" textlink="">
          <xdr:nvSpPr>
            <xdr:cNvPr id="2425" name="Object 377" hidden="1">
              <a:extLst>
                <a:ext uri="{63B3BB69-23CF-44E3-9099-C40C66FF867C}">
                  <a14:compatExt spid="_x0000_s24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390525</xdr:colOff>
          <xdr:row>46</xdr:row>
          <xdr:rowOff>142875</xdr:rowOff>
        </xdr:from>
        <xdr:to>
          <xdr:col>53</xdr:col>
          <xdr:colOff>619125</xdr:colOff>
          <xdr:row>47</xdr:row>
          <xdr:rowOff>142875</xdr:rowOff>
        </xdr:to>
        <xdr:sp macro="" textlink="">
          <xdr:nvSpPr>
            <xdr:cNvPr id="2426" name="Object 378" hidden="1">
              <a:extLst>
                <a:ext uri="{63B3BB69-23CF-44E3-9099-C40C66FF867C}">
                  <a14:compatExt spid="_x0000_s24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76200</xdr:colOff>
          <xdr:row>46</xdr:row>
          <xdr:rowOff>114300</xdr:rowOff>
        </xdr:from>
        <xdr:to>
          <xdr:col>54</xdr:col>
          <xdr:colOff>1000125</xdr:colOff>
          <xdr:row>47</xdr:row>
          <xdr:rowOff>161925</xdr:rowOff>
        </xdr:to>
        <xdr:sp macro="" textlink="">
          <xdr:nvSpPr>
            <xdr:cNvPr id="2427" name="Object 379" hidden="1">
              <a:extLst>
                <a:ext uri="{63B3BB69-23CF-44E3-9099-C40C66FF867C}">
                  <a14:compatExt spid="_x0000_s24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55</xdr:col>
          <xdr:colOff>76200</xdr:colOff>
          <xdr:row>46</xdr:row>
          <xdr:rowOff>114300</xdr:rowOff>
        </xdr:from>
        <xdr:to>
          <xdr:col>55</xdr:col>
          <xdr:colOff>1000125</xdr:colOff>
          <xdr:row>47</xdr:row>
          <xdr:rowOff>161925</xdr:rowOff>
        </xdr:to>
        <xdr:sp macro="" textlink="">
          <xdr:nvSpPr>
            <xdr:cNvPr id="2428" name="Object 380" hidden="1">
              <a:extLst>
                <a:ext uri="{63B3BB69-23CF-44E3-9099-C40C66FF867C}">
                  <a14:compatExt spid="_x0000_s24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56</xdr:col>
          <xdr:colOff>200025</xdr:colOff>
          <xdr:row>46</xdr:row>
          <xdr:rowOff>114300</xdr:rowOff>
        </xdr:from>
        <xdr:to>
          <xdr:col>56</xdr:col>
          <xdr:colOff>800100</xdr:colOff>
          <xdr:row>47</xdr:row>
          <xdr:rowOff>142875</xdr:rowOff>
        </xdr:to>
        <xdr:sp macro="" textlink="">
          <xdr:nvSpPr>
            <xdr:cNvPr id="2429" name="Object 381" hidden="1">
              <a:extLst>
                <a:ext uri="{63B3BB69-23CF-44E3-9099-C40C66FF867C}">
                  <a14:compatExt spid="_x0000_s24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200025</xdr:colOff>
          <xdr:row>46</xdr:row>
          <xdr:rowOff>114300</xdr:rowOff>
        </xdr:from>
        <xdr:to>
          <xdr:col>57</xdr:col>
          <xdr:colOff>800100</xdr:colOff>
          <xdr:row>47</xdr:row>
          <xdr:rowOff>142875</xdr:rowOff>
        </xdr:to>
        <xdr:sp macro="" textlink="">
          <xdr:nvSpPr>
            <xdr:cNvPr id="2430" name="Object 382" hidden="1">
              <a:extLst>
                <a:ext uri="{63B3BB69-23CF-44E3-9099-C40C66FF867C}">
                  <a14:compatExt spid="_x0000_s24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76200</xdr:colOff>
          <xdr:row>46</xdr:row>
          <xdr:rowOff>123825</xdr:rowOff>
        </xdr:from>
        <xdr:to>
          <xdr:col>68</xdr:col>
          <xdr:colOff>923925</xdr:colOff>
          <xdr:row>47</xdr:row>
          <xdr:rowOff>219075</xdr:rowOff>
        </xdr:to>
        <xdr:sp macro="" textlink="">
          <xdr:nvSpPr>
            <xdr:cNvPr id="2431" name="Object 383" hidden="1">
              <a:extLst>
                <a:ext uri="{63B3BB69-23CF-44E3-9099-C40C66FF867C}">
                  <a14:compatExt spid="_x0000_s24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67</xdr:col>
          <xdr:colOff>219075</xdr:colOff>
          <xdr:row>43</xdr:row>
          <xdr:rowOff>85725</xdr:rowOff>
        </xdr:from>
        <xdr:to>
          <xdr:col>67</xdr:col>
          <xdr:colOff>876300</xdr:colOff>
          <xdr:row>44</xdr:row>
          <xdr:rowOff>161925</xdr:rowOff>
        </xdr:to>
        <xdr:sp macro="" textlink="">
          <xdr:nvSpPr>
            <xdr:cNvPr id="2432" name="Object 384" hidden="1">
              <a:extLst>
                <a:ext uri="{63B3BB69-23CF-44E3-9099-C40C66FF867C}">
                  <a14:compatExt spid="_x0000_s24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69</xdr:col>
          <xdr:colOff>390525</xdr:colOff>
          <xdr:row>43</xdr:row>
          <xdr:rowOff>28575</xdr:rowOff>
        </xdr:from>
        <xdr:to>
          <xdr:col>69</xdr:col>
          <xdr:colOff>619125</xdr:colOff>
          <xdr:row>44</xdr:row>
          <xdr:rowOff>219075</xdr:rowOff>
        </xdr:to>
        <xdr:sp macro="" textlink="">
          <xdr:nvSpPr>
            <xdr:cNvPr id="2433" name="Object 385" hidden="1">
              <a:extLst>
                <a:ext uri="{63B3BB69-23CF-44E3-9099-C40C66FF867C}">
                  <a14:compatExt spid="_x0000_s24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70</xdr:col>
          <xdr:colOff>104775</xdr:colOff>
          <xdr:row>43</xdr:row>
          <xdr:rowOff>66675</xdr:rowOff>
        </xdr:from>
        <xdr:to>
          <xdr:col>70</xdr:col>
          <xdr:colOff>923925</xdr:colOff>
          <xdr:row>44</xdr:row>
          <xdr:rowOff>114300</xdr:rowOff>
        </xdr:to>
        <xdr:sp macro="" textlink="">
          <xdr:nvSpPr>
            <xdr:cNvPr id="2434" name="Object 386" hidden="1">
              <a:extLst>
                <a:ext uri="{63B3BB69-23CF-44E3-9099-C40C66FF867C}">
                  <a14:compatExt spid="_x0000_s24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</xdr:col>
          <xdr:colOff>428625</xdr:colOff>
          <xdr:row>46</xdr:row>
          <xdr:rowOff>161925</xdr:rowOff>
        </xdr:from>
        <xdr:to>
          <xdr:col>72</xdr:col>
          <xdr:colOff>600075</xdr:colOff>
          <xdr:row>47</xdr:row>
          <xdr:rowOff>114300</xdr:rowOff>
        </xdr:to>
        <xdr:sp macro="" textlink="">
          <xdr:nvSpPr>
            <xdr:cNvPr id="2435" name="Object 387" hidden="1">
              <a:extLst>
                <a:ext uri="{63B3BB69-23CF-44E3-9099-C40C66FF867C}">
                  <a14:compatExt spid="_x0000_s24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142875</xdr:colOff>
          <xdr:row>46</xdr:row>
          <xdr:rowOff>142875</xdr:rowOff>
        </xdr:from>
        <xdr:to>
          <xdr:col>74</xdr:col>
          <xdr:colOff>800100</xdr:colOff>
          <xdr:row>47</xdr:row>
          <xdr:rowOff>161925</xdr:rowOff>
        </xdr:to>
        <xdr:sp macro="" textlink="">
          <xdr:nvSpPr>
            <xdr:cNvPr id="2436" name="Object 388" hidden="1">
              <a:extLst>
                <a:ext uri="{63B3BB69-23CF-44E3-9099-C40C66FF867C}">
                  <a14:compatExt spid="_x0000_s24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81</xdr:col>
          <xdr:colOff>123825</xdr:colOff>
          <xdr:row>46</xdr:row>
          <xdr:rowOff>114300</xdr:rowOff>
        </xdr:from>
        <xdr:to>
          <xdr:col>81</xdr:col>
          <xdr:colOff>923925</xdr:colOff>
          <xdr:row>47</xdr:row>
          <xdr:rowOff>142875</xdr:rowOff>
        </xdr:to>
        <xdr:sp macro="" textlink="">
          <xdr:nvSpPr>
            <xdr:cNvPr id="2437" name="Object 389" hidden="1">
              <a:extLst>
                <a:ext uri="{63B3BB69-23CF-44E3-9099-C40C66FF867C}">
                  <a14:compatExt spid="_x0000_s24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257175</xdr:colOff>
          <xdr:row>46</xdr:row>
          <xdr:rowOff>114300</xdr:rowOff>
        </xdr:from>
        <xdr:to>
          <xdr:col>82</xdr:col>
          <xdr:colOff>762000</xdr:colOff>
          <xdr:row>47</xdr:row>
          <xdr:rowOff>142875</xdr:rowOff>
        </xdr:to>
        <xdr:sp macro="" textlink="">
          <xdr:nvSpPr>
            <xdr:cNvPr id="2438" name="Object 390" hidden="1">
              <a:extLst>
                <a:ext uri="{63B3BB69-23CF-44E3-9099-C40C66FF867C}">
                  <a14:compatExt spid="_x0000_s24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87</xdr:col>
          <xdr:colOff>123825</xdr:colOff>
          <xdr:row>46</xdr:row>
          <xdr:rowOff>114300</xdr:rowOff>
        </xdr:from>
        <xdr:to>
          <xdr:col>87</xdr:col>
          <xdr:colOff>923925</xdr:colOff>
          <xdr:row>47</xdr:row>
          <xdr:rowOff>142875</xdr:rowOff>
        </xdr:to>
        <xdr:sp macro="" textlink="">
          <xdr:nvSpPr>
            <xdr:cNvPr id="2439" name="Object 391" hidden="1">
              <a:extLst>
                <a:ext uri="{63B3BB69-23CF-44E3-9099-C40C66FF867C}">
                  <a14:compatExt spid="_x0000_s24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88</xdr:col>
          <xdr:colOff>257175</xdr:colOff>
          <xdr:row>46</xdr:row>
          <xdr:rowOff>114300</xdr:rowOff>
        </xdr:from>
        <xdr:to>
          <xdr:col>88</xdr:col>
          <xdr:colOff>762000</xdr:colOff>
          <xdr:row>47</xdr:row>
          <xdr:rowOff>142875</xdr:rowOff>
        </xdr:to>
        <xdr:sp macro="" textlink="">
          <xdr:nvSpPr>
            <xdr:cNvPr id="2440" name="Object 392" hidden="1">
              <a:extLst>
                <a:ext uri="{63B3BB69-23CF-44E3-9099-C40C66FF867C}">
                  <a14:compatExt spid="_x0000_s24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</xdr:col>
          <xdr:colOff>257175</xdr:colOff>
          <xdr:row>46</xdr:row>
          <xdr:rowOff>114300</xdr:rowOff>
        </xdr:from>
        <xdr:to>
          <xdr:col>89</xdr:col>
          <xdr:colOff>752475</xdr:colOff>
          <xdr:row>47</xdr:row>
          <xdr:rowOff>142875</xdr:rowOff>
        </xdr:to>
        <xdr:sp macro="" textlink="">
          <xdr:nvSpPr>
            <xdr:cNvPr id="2441" name="Object 393" hidden="1">
              <a:extLst>
                <a:ext uri="{63B3BB69-23CF-44E3-9099-C40C66FF867C}">
                  <a14:compatExt spid="_x0000_s2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90</xdr:col>
          <xdr:colOff>123825</xdr:colOff>
          <xdr:row>46</xdr:row>
          <xdr:rowOff>114300</xdr:rowOff>
        </xdr:from>
        <xdr:to>
          <xdr:col>90</xdr:col>
          <xdr:colOff>904875</xdr:colOff>
          <xdr:row>47</xdr:row>
          <xdr:rowOff>142875</xdr:rowOff>
        </xdr:to>
        <xdr:sp macro="" textlink="">
          <xdr:nvSpPr>
            <xdr:cNvPr id="2442" name="Object 394" hidden="1">
              <a:extLst>
                <a:ext uri="{63B3BB69-23CF-44E3-9099-C40C66FF867C}">
                  <a14:compatExt spid="_x0000_s2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71</xdr:col>
          <xdr:colOff>304800</xdr:colOff>
          <xdr:row>43</xdr:row>
          <xdr:rowOff>85725</xdr:rowOff>
        </xdr:from>
        <xdr:to>
          <xdr:col>71</xdr:col>
          <xdr:colOff>876300</xdr:colOff>
          <xdr:row>44</xdr:row>
          <xdr:rowOff>161925</xdr:rowOff>
        </xdr:to>
        <xdr:sp macro="" textlink="">
          <xdr:nvSpPr>
            <xdr:cNvPr id="2443" name="Object 395" hidden="1">
              <a:extLst>
                <a:ext uri="{63B3BB69-23CF-44E3-9099-C40C66FF867C}">
                  <a14:compatExt spid="_x0000_s24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</xdr:col>
          <xdr:colOff>295275</xdr:colOff>
          <xdr:row>43</xdr:row>
          <xdr:rowOff>104775</xdr:rowOff>
        </xdr:from>
        <xdr:to>
          <xdr:col>72</xdr:col>
          <xdr:colOff>752475</xdr:colOff>
          <xdr:row>44</xdr:row>
          <xdr:rowOff>200025</xdr:rowOff>
        </xdr:to>
        <xdr:sp macro="" textlink="">
          <xdr:nvSpPr>
            <xdr:cNvPr id="2444" name="Object 396" hidden="1">
              <a:extLst>
                <a:ext uri="{63B3BB69-23CF-44E3-9099-C40C66FF867C}">
                  <a14:compatExt spid="_x0000_s24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91</xdr:col>
          <xdr:colOff>314325</xdr:colOff>
          <xdr:row>46</xdr:row>
          <xdr:rowOff>142875</xdr:rowOff>
        </xdr:from>
        <xdr:to>
          <xdr:col>91</xdr:col>
          <xdr:colOff>723900</xdr:colOff>
          <xdr:row>47</xdr:row>
          <xdr:rowOff>85725</xdr:rowOff>
        </xdr:to>
        <xdr:sp macro="" textlink="">
          <xdr:nvSpPr>
            <xdr:cNvPr id="2445" name="Object 397" hidden="1">
              <a:extLst>
                <a:ext uri="{63B3BB69-23CF-44E3-9099-C40C66FF867C}">
                  <a14:compatExt spid="_x0000_s24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94</xdr:col>
          <xdr:colOff>381000</xdr:colOff>
          <xdr:row>46</xdr:row>
          <xdr:rowOff>142875</xdr:rowOff>
        </xdr:from>
        <xdr:to>
          <xdr:col>94</xdr:col>
          <xdr:colOff>638175</xdr:colOff>
          <xdr:row>47</xdr:row>
          <xdr:rowOff>142875</xdr:rowOff>
        </xdr:to>
        <xdr:sp macro="" textlink="">
          <xdr:nvSpPr>
            <xdr:cNvPr id="2446" name="Object 398" hidden="1">
              <a:extLst>
                <a:ext uri="{63B3BB69-23CF-44E3-9099-C40C66FF867C}">
                  <a14:compatExt spid="_x0000_s24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95</xdr:col>
          <xdr:colOff>381000</xdr:colOff>
          <xdr:row>46</xdr:row>
          <xdr:rowOff>142875</xdr:rowOff>
        </xdr:from>
        <xdr:to>
          <xdr:col>95</xdr:col>
          <xdr:colOff>638175</xdr:colOff>
          <xdr:row>47</xdr:row>
          <xdr:rowOff>142875</xdr:rowOff>
        </xdr:to>
        <xdr:sp macro="" textlink="">
          <xdr:nvSpPr>
            <xdr:cNvPr id="2447" name="Object 399" hidden="1">
              <a:extLst>
                <a:ext uri="{63B3BB69-23CF-44E3-9099-C40C66FF867C}">
                  <a14:compatExt spid="_x0000_s24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96</xdr:col>
          <xdr:colOff>381000</xdr:colOff>
          <xdr:row>46</xdr:row>
          <xdr:rowOff>142875</xdr:rowOff>
        </xdr:from>
        <xdr:to>
          <xdr:col>96</xdr:col>
          <xdr:colOff>638175</xdr:colOff>
          <xdr:row>47</xdr:row>
          <xdr:rowOff>142875</xdr:rowOff>
        </xdr:to>
        <xdr:sp macro="" textlink="">
          <xdr:nvSpPr>
            <xdr:cNvPr id="2448" name="Object 400" hidden="1">
              <a:extLst>
                <a:ext uri="{63B3BB69-23CF-44E3-9099-C40C66FF867C}">
                  <a14:compatExt spid="_x0000_s24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97</xdr:col>
          <xdr:colOff>390525</xdr:colOff>
          <xdr:row>46</xdr:row>
          <xdr:rowOff>142875</xdr:rowOff>
        </xdr:from>
        <xdr:to>
          <xdr:col>97</xdr:col>
          <xdr:colOff>647700</xdr:colOff>
          <xdr:row>47</xdr:row>
          <xdr:rowOff>142875</xdr:rowOff>
        </xdr:to>
        <xdr:sp macro="" textlink="">
          <xdr:nvSpPr>
            <xdr:cNvPr id="2449" name="Object 401" hidden="1">
              <a:extLst>
                <a:ext uri="{63B3BB69-23CF-44E3-9099-C40C66FF867C}">
                  <a14:compatExt spid="_x0000_s24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98</xdr:col>
          <xdr:colOff>381000</xdr:colOff>
          <xdr:row>46</xdr:row>
          <xdr:rowOff>142875</xdr:rowOff>
        </xdr:from>
        <xdr:to>
          <xdr:col>98</xdr:col>
          <xdr:colOff>638175</xdr:colOff>
          <xdr:row>47</xdr:row>
          <xdr:rowOff>142875</xdr:rowOff>
        </xdr:to>
        <xdr:sp macro="" textlink="">
          <xdr:nvSpPr>
            <xdr:cNvPr id="2450" name="Object 402" hidden="1">
              <a:extLst>
                <a:ext uri="{63B3BB69-23CF-44E3-9099-C40C66FF867C}">
                  <a14:compatExt spid="_x0000_s24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99</xdr:col>
          <xdr:colOff>352425</xdr:colOff>
          <xdr:row>46</xdr:row>
          <xdr:rowOff>142875</xdr:rowOff>
        </xdr:from>
        <xdr:to>
          <xdr:col>99</xdr:col>
          <xdr:colOff>619125</xdr:colOff>
          <xdr:row>47</xdr:row>
          <xdr:rowOff>142875</xdr:rowOff>
        </xdr:to>
        <xdr:sp macro="" textlink="">
          <xdr:nvSpPr>
            <xdr:cNvPr id="2451" name="Object 403" hidden="1">
              <a:extLst>
                <a:ext uri="{63B3BB69-23CF-44E3-9099-C40C66FF867C}">
                  <a14:compatExt spid="_x0000_s24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100</xdr:col>
          <xdr:colOff>428625</xdr:colOff>
          <xdr:row>46</xdr:row>
          <xdr:rowOff>142875</xdr:rowOff>
        </xdr:from>
        <xdr:to>
          <xdr:col>100</xdr:col>
          <xdr:colOff>619125</xdr:colOff>
          <xdr:row>47</xdr:row>
          <xdr:rowOff>142875</xdr:rowOff>
        </xdr:to>
        <xdr:sp macro="" textlink="">
          <xdr:nvSpPr>
            <xdr:cNvPr id="2452" name="Object 404" hidden="1">
              <a:extLst>
                <a:ext uri="{63B3BB69-23CF-44E3-9099-C40C66FF867C}">
                  <a14:compatExt spid="_x0000_s24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101</xdr:col>
          <xdr:colOff>390525</xdr:colOff>
          <xdr:row>46</xdr:row>
          <xdr:rowOff>142875</xdr:rowOff>
        </xdr:from>
        <xdr:to>
          <xdr:col>101</xdr:col>
          <xdr:colOff>619125</xdr:colOff>
          <xdr:row>47</xdr:row>
          <xdr:rowOff>142875</xdr:rowOff>
        </xdr:to>
        <xdr:sp macro="" textlink="">
          <xdr:nvSpPr>
            <xdr:cNvPr id="2453" name="Object 405" hidden="1">
              <a:extLst>
                <a:ext uri="{63B3BB69-23CF-44E3-9099-C40C66FF867C}">
                  <a14:compatExt spid="_x0000_s24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102</xdr:col>
          <xdr:colOff>219075</xdr:colOff>
          <xdr:row>46</xdr:row>
          <xdr:rowOff>114300</xdr:rowOff>
        </xdr:from>
        <xdr:to>
          <xdr:col>102</xdr:col>
          <xdr:colOff>838200</xdr:colOff>
          <xdr:row>47</xdr:row>
          <xdr:rowOff>142875</xdr:rowOff>
        </xdr:to>
        <xdr:sp macro="" textlink="">
          <xdr:nvSpPr>
            <xdr:cNvPr id="2454" name="Object 406" hidden="1">
              <a:extLst>
                <a:ext uri="{63B3BB69-23CF-44E3-9099-C40C66FF867C}">
                  <a14:compatExt spid="_x0000_s24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103</xdr:col>
          <xdr:colOff>381000</xdr:colOff>
          <xdr:row>46</xdr:row>
          <xdr:rowOff>142875</xdr:rowOff>
        </xdr:from>
        <xdr:to>
          <xdr:col>103</xdr:col>
          <xdr:colOff>638175</xdr:colOff>
          <xdr:row>47</xdr:row>
          <xdr:rowOff>142875</xdr:rowOff>
        </xdr:to>
        <xdr:sp macro="" textlink="">
          <xdr:nvSpPr>
            <xdr:cNvPr id="2455" name="Object 407" hidden="1">
              <a:extLst>
                <a:ext uri="{63B3BB69-23CF-44E3-9099-C40C66FF867C}">
                  <a14:compatExt spid="_x0000_s24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104</xdr:col>
          <xdr:colOff>381000</xdr:colOff>
          <xdr:row>46</xdr:row>
          <xdr:rowOff>142875</xdr:rowOff>
        </xdr:from>
        <xdr:to>
          <xdr:col>104</xdr:col>
          <xdr:colOff>638175</xdr:colOff>
          <xdr:row>47</xdr:row>
          <xdr:rowOff>142875</xdr:rowOff>
        </xdr:to>
        <xdr:sp macro="" textlink="">
          <xdr:nvSpPr>
            <xdr:cNvPr id="2456" name="Object 408" hidden="1">
              <a:extLst>
                <a:ext uri="{63B3BB69-23CF-44E3-9099-C40C66FF867C}">
                  <a14:compatExt spid="_x0000_s24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105</xdr:col>
          <xdr:colOff>381000</xdr:colOff>
          <xdr:row>46</xdr:row>
          <xdr:rowOff>142875</xdr:rowOff>
        </xdr:from>
        <xdr:to>
          <xdr:col>105</xdr:col>
          <xdr:colOff>638175</xdr:colOff>
          <xdr:row>47</xdr:row>
          <xdr:rowOff>142875</xdr:rowOff>
        </xdr:to>
        <xdr:sp macro="" textlink="">
          <xdr:nvSpPr>
            <xdr:cNvPr id="2457" name="Object 409" hidden="1">
              <a:extLst>
                <a:ext uri="{63B3BB69-23CF-44E3-9099-C40C66FF867C}">
                  <a14:compatExt spid="_x0000_s24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106</xdr:col>
          <xdr:colOff>390525</xdr:colOff>
          <xdr:row>46</xdr:row>
          <xdr:rowOff>142875</xdr:rowOff>
        </xdr:from>
        <xdr:to>
          <xdr:col>106</xdr:col>
          <xdr:colOff>647700</xdr:colOff>
          <xdr:row>47</xdr:row>
          <xdr:rowOff>142875</xdr:rowOff>
        </xdr:to>
        <xdr:sp macro="" textlink="">
          <xdr:nvSpPr>
            <xdr:cNvPr id="2458" name="Object 410" hidden="1">
              <a:extLst>
                <a:ext uri="{63B3BB69-23CF-44E3-9099-C40C66FF867C}">
                  <a14:compatExt spid="_x0000_s2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107</xdr:col>
          <xdr:colOff>381000</xdr:colOff>
          <xdr:row>46</xdr:row>
          <xdr:rowOff>142875</xdr:rowOff>
        </xdr:from>
        <xdr:to>
          <xdr:col>107</xdr:col>
          <xdr:colOff>638175</xdr:colOff>
          <xdr:row>47</xdr:row>
          <xdr:rowOff>142875</xdr:rowOff>
        </xdr:to>
        <xdr:sp macro="" textlink="">
          <xdr:nvSpPr>
            <xdr:cNvPr id="2459" name="Object 411" hidden="1">
              <a:extLst>
                <a:ext uri="{63B3BB69-23CF-44E3-9099-C40C66FF867C}">
                  <a14:compatExt spid="_x0000_s24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108</xdr:col>
          <xdr:colOff>352425</xdr:colOff>
          <xdr:row>46</xdr:row>
          <xdr:rowOff>142875</xdr:rowOff>
        </xdr:from>
        <xdr:to>
          <xdr:col>108</xdr:col>
          <xdr:colOff>619125</xdr:colOff>
          <xdr:row>47</xdr:row>
          <xdr:rowOff>142875</xdr:rowOff>
        </xdr:to>
        <xdr:sp macro="" textlink="">
          <xdr:nvSpPr>
            <xdr:cNvPr id="2460" name="Object 412" hidden="1">
              <a:extLst>
                <a:ext uri="{63B3BB69-23CF-44E3-9099-C40C66FF867C}">
                  <a14:compatExt spid="_x0000_s24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109</xdr:col>
          <xdr:colOff>428625</xdr:colOff>
          <xdr:row>46</xdr:row>
          <xdr:rowOff>142875</xdr:rowOff>
        </xdr:from>
        <xdr:to>
          <xdr:col>109</xdr:col>
          <xdr:colOff>619125</xdr:colOff>
          <xdr:row>47</xdr:row>
          <xdr:rowOff>142875</xdr:rowOff>
        </xdr:to>
        <xdr:sp macro="" textlink="">
          <xdr:nvSpPr>
            <xdr:cNvPr id="2461" name="Object 413" hidden="1">
              <a:extLst>
                <a:ext uri="{63B3BB69-23CF-44E3-9099-C40C66FF867C}">
                  <a14:compatExt spid="_x0000_s24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110</xdr:col>
          <xdr:colOff>390525</xdr:colOff>
          <xdr:row>46</xdr:row>
          <xdr:rowOff>142875</xdr:rowOff>
        </xdr:from>
        <xdr:to>
          <xdr:col>110</xdr:col>
          <xdr:colOff>619125</xdr:colOff>
          <xdr:row>47</xdr:row>
          <xdr:rowOff>142875</xdr:rowOff>
        </xdr:to>
        <xdr:sp macro="" textlink="">
          <xdr:nvSpPr>
            <xdr:cNvPr id="2462" name="Object 414" hidden="1">
              <a:extLst>
                <a:ext uri="{63B3BB69-23CF-44E3-9099-C40C66FF867C}">
                  <a14:compatExt spid="_x0000_s24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111</xdr:col>
          <xdr:colOff>76200</xdr:colOff>
          <xdr:row>46</xdr:row>
          <xdr:rowOff>114300</xdr:rowOff>
        </xdr:from>
        <xdr:to>
          <xdr:col>111</xdr:col>
          <xdr:colOff>1000125</xdr:colOff>
          <xdr:row>47</xdr:row>
          <xdr:rowOff>161925</xdr:rowOff>
        </xdr:to>
        <xdr:sp macro="" textlink="">
          <xdr:nvSpPr>
            <xdr:cNvPr id="2463" name="Object 415" hidden="1">
              <a:extLst>
                <a:ext uri="{63B3BB69-23CF-44E3-9099-C40C66FF867C}">
                  <a14:compatExt spid="_x0000_s24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112</xdr:col>
          <xdr:colOff>390525</xdr:colOff>
          <xdr:row>46</xdr:row>
          <xdr:rowOff>142875</xdr:rowOff>
        </xdr:from>
        <xdr:to>
          <xdr:col>112</xdr:col>
          <xdr:colOff>619125</xdr:colOff>
          <xdr:row>47</xdr:row>
          <xdr:rowOff>142875</xdr:rowOff>
        </xdr:to>
        <xdr:sp macro="" textlink="">
          <xdr:nvSpPr>
            <xdr:cNvPr id="2464" name="Object 416" hidden="1">
              <a:extLst>
                <a:ext uri="{63B3BB69-23CF-44E3-9099-C40C66FF867C}">
                  <a14:compatExt spid="_x0000_s24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113</xdr:col>
          <xdr:colOff>76200</xdr:colOff>
          <xdr:row>46</xdr:row>
          <xdr:rowOff>114300</xdr:rowOff>
        </xdr:from>
        <xdr:to>
          <xdr:col>113</xdr:col>
          <xdr:colOff>1000125</xdr:colOff>
          <xdr:row>47</xdr:row>
          <xdr:rowOff>161925</xdr:rowOff>
        </xdr:to>
        <xdr:sp macro="" textlink="">
          <xdr:nvSpPr>
            <xdr:cNvPr id="2465" name="Object 417" hidden="1">
              <a:extLst>
                <a:ext uri="{63B3BB69-23CF-44E3-9099-C40C66FF867C}">
                  <a14:compatExt spid="_x0000_s24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114</xdr:col>
          <xdr:colOff>76200</xdr:colOff>
          <xdr:row>46</xdr:row>
          <xdr:rowOff>114300</xdr:rowOff>
        </xdr:from>
        <xdr:to>
          <xdr:col>114</xdr:col>
          <xdr:colOff>1000125</xdr:colOff>
          <xdr:row>47</xdr:row>
          <xdr:rowOff>161925</xdr:rowOff>
        </xdr:to>
        <xdr:sp macro="" textlink="">
          <xdr:nvSpPr>
            <xdr:cNvPr id="2466" name="Object 418" hidden="1">
              <a:extLst>
                <a:ext uri="{63B3BB69-23CF-44E3-9099-C40C66FF867C}">
                  <a14:compatExt spid="_x0000_s24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115</xdr:col>
          <xdr:colOff>200025</xdr:colOff>
          <xdr:row>46</xdr:row>
          <xdr:rowOff>114300</xdr:rowOff>
        </xdr:from>
        <xdr:to>
          <xdr:col>115</xdr:col>
          <xdr:colOff>800100</xdr:colOff>
          <xdr:row>47</xdr:row>
          <xdr:rowOff>142875</xdr:rowOff>
        </xdr:to>
        <xdr:sp macro="" textlink="">
          <xdr:nvSpPr>
            <xdr:cNvPr id="2467" name="Object 419" hidden="1">
              <a:extLst>
                <a:ext uri="{63B3BB69-23CF-44E3-9099-C40C66FF867C}">
                  <a14:compatExt spid="_x0000_s24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116</xdr:col>
          <xdr:colOff>200025</xdr:colOff>
          <xdr:row>46</xdr:row>
          <xdr:rowOff>114300</xdr:rowOff>
        </xdr:from>
        <xdr:to>
          <xdr:col>116</xdr:col>
          <xdr:colOff>800100</xdr:colOff>
          <xdr:row>47</xdr:row>
          <xdr:rowOff>142875</xdr:rowOff>
        </xdr:to>
        <xdr:sp macro="" textlink="">
          <xdr:nvSpPr>
            <xdr:cNvPr id="2468" name="Object 420" hidden="1">
              <a:extLst>
                <a:ext uri="{63B3BB69-23CF-44E3-9099-C40C66FF867C}">
                  <a14:compatExt spid="_x0000_s24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127</xdr:col>
          <xdr:colOff>76200</xdr:colOff>
          <xdr:row>46</xdr:row>
          <xdr:rowOff>123825</xdr:rowOff>
        </xdr:from>
        <xdr:to>
          <xdr:col>127</xdr:col>
          <xdr:colOff>923925</xdr:colOff>
          <xdr:row>47</xdr:row>
          <xdr:rowOff>219075</xdr:rowOff>
        </xdr:to>
        <xdr:sp macro="" textlink="">
          <xdr:nvSpPr>
            <xdr:cNvPr id="2469" name="Object 421" hidden="1">
              <a:extLst>
                <a:ext uri="{63B3BB69-23CF-44E3-9099-C40C66FF867C}">
                  <a14:compatExt spid="_x0000_s24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126</xdr:col>
          <xdr:colOff>219075</xdr:colOff>
          <xdr:row>43</xdr:row>
          <xdr:rowOff>85725</xdr:rowOff>
        </xdr:from>
        <xdr:to>
          <xdr:col>126</xdr:col>
          <xdr:colOff>876300</xdr:colOff>
          <xdr:row>44</xdr:row>
          <xdr:rowOff>161925</xdr:rowOff>
        </xdr:to>
        <xdr:sp macro="" textlink="">
          <xdr:nvSpPr>
            <xdr:cNvPr id="2470" name="Object 422" hidden="1">
              <a:extLst>
                <a:ext uri="{63B3BB69-23CF-44E3-9099-C40C66FF867C}">
                  <a14:compatExt spid="_x0000_s24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128</xdr:col>
          <xdr:colOff>390525</xdr:colOff>
          <xdr:row>43</xdr:row>
          <xdr:rowOff>28575</xdr:rowOff>
        </xdr:from>
        <xdr:to>
          <xdr:col>128</xdr:col>
          <xdr:colOff>619125</xdr:colOff>
          <xdr:row>44</xdr:row>
          <xdr:rowOff>219075</xdr:rowOff>
        </xdr:to>
        <xdr:sp macro="" textlink="">
          <xdr:nvSpPr>
            <xdr:cNvPr id="2471" name="Object 423" hidden="1">
              <a:extLst>
                <a:ext uri="{63B3BB69-23CF-44E3-9099-C40C66FF867C}">
                  <a14:compatExt spid="_x0000_s24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129</xdr:col>
          <xdr:colOff>104775</xdr:colOff>
          <xdr:row>43</xdr:row>
          <xdr:rowOff>66675</xdr:rowOff>
        </xdr:from>
        <xdr:to>
          <xdr:col>129</xdr:col>
          <xdr:colOff>923925</xdr:colOff>
          <xdr:row>44</xdr:row>
          <xdr:rowOff>114300</xdr:rowOff>
        </xdr:to>
        <xdr:sp macro="" textlink="">
          <xdr:nvSpPr>
            <xdr:cNvPr id="2472" name="Object 424" hidden="1">
              <a:extLst>
                <a:ext uri="{63B3BB69-23CF-44E3-9099-C40C66FF867C}">
                  <a14:compatExt spid="_x0000_s24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131</xdr:col>
          <xdr:colOff>428625</xdr:colOff>
          <xdr:row>46</xdr:row>
          <xdr:rowOff>161925</xdr:rowOff>
        </xdr:from>
        <xdr:to>
          <xdr:col>131</xdr:col>
          <xdr:colOff>600075</xdr:colOff>
          <xdr:row>47</xdr:row>
          <xdr:rowOff>114300</xdr:rowOff>
        </xdr:to>
        <xdr:sp macro="" textlink="">
          <xdr:nvSpPr>
            <xdr:cNvPr id="2473" name="Object 425" hidden="1">
              <a:extLst>
                <a:ext uri="{63B3BB69-23CF-44E3-9099-C40C66FF867C}">
                  <a14:compatExt spid="_x0000_s24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133</xdr:col>
          <xdr:colOff>142875</xdr:colOff>
          <xdr:row>46</xdr:row>
          <xdr:rowOff>142875</xdr:rowOff>
        </xdr:from>
        <xdr:to>
          <xdr:col>133</xdr:col>
          <xdr:colOff>800100</xdr:colOff>
          <xdr:row>47</xdr:row>
          <xdr:rowOff>161925</xdr:rowOff>
        </xdr:to>
        <xdr:sp macro="" textlink="">
          <xdr:nvSpPr>
            <xdr:cNvPr id="2474" name="Object 426" hidden="1">
              <a:extLst>
                <a:ext uri="{63B3BB69-23CF-44E3-9099-C40C66FF867C}">
                  <a14:compatExt spid="_x0000_s24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140</xdr:col>
          <xdr:colOff>123825</xdr:colOff>
          <xdr:row>46</xdr:row>
          <xdr:rowOff>114300</xdr:rowOff>
        </xdr:from>
        <xdr:to>
          <xdr:col>140</xdr:col>
          <xdr:colOff>923925</xdr:colOff>
          <xdr:row>47</xdr:row>
          <xdr:rowOff>142875</xdr:rowOff>
        </xdr:to>
        <xdr:sp macro="" textlink="">
          <xdr:nvSpPr>
            <xdr:cNvPr id="2475" name="Object 427" hidden="1">
              <a:extLst>
                <a:ext uri="{63B3BB69-23CF-44E3-9099-C40C66FF867C}">
                  <a14:compatExt spid="_x0000_s24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141</xdr:col>
          <xdr:colOff>257175</xdr:colOff>
          <xdr:row>46</xdr:row>
          <xdr:rowOff>114300</xdr:rowOff>
        </xdr:from>
        <xdr:to>
          <xdr:col>141</xdr:col>
          <xdr:colOff>762000</xdr:colOff>
          <xdr:row>47</xdr:row>
          <xdr:rowOff>142875</xdr:rowOff>
        </xdr:to>
        <xdr:sp macro="" textlink="">
          <xdr:nvSpPr>
            <xdr:cNvPr id="2476" name="Object 428" hidden="1">
              <a:extLst>
                <a:ext uri="{63B3BB69-23CF-44E3-9099-C40C66FF867C}">
                  <a14:compatExt spid="_x0000_s24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146</xdr:col>
          <xdr:colOff>123825</xdr:colOff>
          <xdr:row>46</xdr:row>
          <xdr:rowOff>114300</xdr:rowOff>
        </xdr:from>
        <xdr:to>
          <xdr:col>146</xdr:col>
          <xdr:colOff>923925</xdr:colOff>
          <xdr:row>47</xdr:row>
          <xdr:rowOff>142875</xdr:rowOff>
        </xdr:to>
        <xdr:sp macro="" textlink="">
          <xdr:nvSpPr>
            <xdr:cNvPr id="2477" name="Object 429" hidden="1">
              <a:extLst>
                <a:ext uri="{63B3BB69-23CF-44E3-9099-C40C66FF867C}">
                  <a14:compatExt spid="_x0000_s24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147</xdr:col>
          <xdr:colOff>257175</xdr:colOff>
          <xdr:row>46</xdr:row>
          <xdr:rowOff>114300</xdr:rowOff>
        </xdr:from>
        <xdr:to>
          <xdr:col>147</xdr:col>
          <xdr:colOff>762000</xdr:colOff>
          <xdr:row>47</xdr:row>
          <xdr:rowOff>142875</xdr:rowOff>
        </xdr:to>
        <xdr:sp macro="" textlink="">
          <xdr:nvSpPr>
            <xdr:cNvPr id="2478" name="Object 430" hidden="1">
              <a:extLst>
                <a:ext uri="{63B3BB69-23CF-44E3-9099-C40C66FF867C}">
                  <a14:compatExt spid="_x0000_s24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148</xdr:col>
          <xdr:colOff>257175</xdr:colOff>
          <xdr:row>46</xdr:row>
          <xdr:rowOff>114300</xdr:rowOff>
        </xdr:from>
        <xdr:to>
          <xdr:col>148</xdr:col>
          <xdr:colOff>752475</xdr:colOff>
          <xdr:row>47</xdr:row>
          <xdr:rowOff>142875</xdr:rowOff>
        </xdr:to>
        <xdr:sp macro="" textlink="">
          <xdr:nvSpPr>
            <xdr:cNvPr id="2479" name="Object 431" hidden="1">
              <a:extLst>
                <a:ext uri="{63B3BB69-23CF-44E3-9099-C40C66FF867C}">
                  <a14:compatExt spid="_x0000_s24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149</xdr:col>
          <xdr:colOff>123825</xdr:colOff>
          <xdr:row>46</xdr:row>
          <xdr:rowOff>114300</xdr:rowOff>
        </xdr:from>
        <xdr:to>
          <xdr:col>149</xdr:col>
          <xdr:colOff>904875</xdr:colOff>
          <xdr:row>47</xdr:row>
          <xdr:rowOff>142875</xdr:rowOff>
        </xdr:to>
        <xdr:sp macro="" textlink="">
          <xdr:nvSpPr>
            <xdr:cNvPr id="2480" name="Object 432" hidden="1">
              <a:extLst>
                <a:ext uri="{63B3BB69-23CF-44E3-9099-C40C66FF867C}">
                  <a14:compatExt spid="_x0000_s24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130</xdr:col>
          <xdr:colOff>304800</xdr:colOff>
          <xdr:row>43</xdr:row>
          <xdr:rowOff>85725</xdr:rowOff>
        </xdr:from>
        <xdr:to>
          <xdr:col>130</xdr:col>
          <xdr:colOff>876300</xdr:colOff>
          <xdr:row>44</xdr:row>
          <xdr:rowOff>161925</xdr:rowOff>
        </xdr:to>
        <xdr:sp macro="" textlink="">
          <xdr:nvSpPr>
            <xdr:cNvPr id="2481" name="Object 433" hidden="1">
              <a:extLst>
                <a:ext uri="{63B3BB69-23CF-44E3-9099-C40C66FF867C}">
                  <a14:compatExt spid="_x0000_s24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131</xdr:col>
          <xdr:colOff>295275</xdr:colOff>
          <xdr:row>43</xdr:row>
          <xdr:rowOff>104775</xdr:rowOff>
        </xdr:from>
        <xdr:to>
          <xdr:col>131</xdr:col>
          <xdr:colOff>752475</xdr:colOff>
          <xdr:row>44</xdr:row>
          <xdr:rowOff>200025</xdr:rowOff>
        </xdr:to>
        <xdr:sp macro="" textlink="">
          <xdr:nvSpPr>
            <xdr:cNvPr id="2482" name="Object 434" hidden="1">
              <a:extLst>
                <a:ext uri="{63B3BB69-23CF-44E3-9099-C40C66FF867C}">
                  <a14:compatExt spid="_x0000_s24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150</xdr:col>
          <xdr:colOff>314325</xdr:colOff>
          <xdr:row>46</xdr:row>
          <xdr:rowOff>142875</xdr:rowOff>
        </xdr:from>
        <xdr:to>
          <xdr:col>150</xdr:col>
          <xdr:colOff>723900</xdr:colOff>
          <xdr:row>47</xdr:row>
          <xdr:rowOff>85725</xdr:rowOff>
        </xdr:to>
        <xdr:sp macro="" textlink="">
          <xdr:nvSpPr>
            <xdr:cNvPr id="2483" name="Object 435" hidden="1">
              <a:extLst>
                <a:ext uri="{63B3BB69-23CF-44E3-9099-C40C66FF867C}">
                  <a14:compatExt spid="_x0000_s24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153</xdr:col>
          <xdr:colOff>381000</xdr:colOff>
          <xdr:row>46</xdr:row>
          <xdr:rowOff>142875</xdr:rowOff>
        </xdr:from>
        <xdr:to>
          <xdr:col>153</xdr:col>
          <xdr:colOff>638175</xdr:colOff>
          <xdr:row>47</xdr:row>
          <xdr:rowOff>142875</xdr:rowOff>
        </xdr:to>
        <xdr:sp macro="" textlink="">
          <xdr:nvSpPr>
            <xdr:cNvPr id="2484" name="Object 436" hidden="1">
              <a:extLst>
                <a:ext uri="{63B3BB69-23CF-44E3-9099-C40C66FF867C}">
                  <a14:compatExt spid="_x0000_s24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154</xdr:col>
          <xdr:colOff>381000</xdr:colOff>
          <xdr:row>46</xdr:row>
          <xdr:rowOff>142875</xdr:rowOff>
        </xdr:from>
        <xdr:to>
          <xdr:col>154</xdr:col>
          <xdr:colOff>638175</xdr:colOff>
          <xdr:row>47</xdr:row>
          <xdr:rowOff>142875</xdr:rowOff>
        </xdr:to>
        <xdr:sp macro="" textlink="">
          <xdr:nvSpPr>
            <xdr:cNvPr id="2485" name="Object 437" hidden="1">
              <a:extLst>
                <a:ext uri="{63B3BB69-23CF-44E3-9099-C40C66FF867C}">
                  <a14:compatExt spid="_x0000_s24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155</xdr:col>
          <xdr:colOff>381000</xdr:colOff>
          <xdr:row>46</xdr:row>
          <xdr:rowOff>142875</xdr:rowOff>
        </xdr:from>
        <xdr:to>
          <xdr:col>155</xdr:col>
          <xdr:colOff>638175</xdr:colOff>
          <xdr:row>47</xdr:row>
          <xdr:rowOff>142875</xdr:rowOff>
        </xdr:to>
        <xdr:sp macro="" textlink="">
          <xdr:nvSpPr>
            <xdr:cNvPr id="2486" name="Object 438" hidden="1">
              <a:extLst>
                <a:ext uri="{63B3BB69-23CF-44E3-9099-C40C66FF867C}">
                  <a14:compatExt spid="_x0000_s24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156</xdr:col>
          <xdr:colOff>390525</xdr:colOff>
          <xdr:row>46</xdr:row>
          <xdr:rowOff>142875</xdr:rowOff>
        </xdr:from>
        <xdr:to>
          <xdr:col>156</xdr:col>
          <xdr:colOff>647700</xdr:colOff>
          <xdr:row>47</xdr:row>
          <xdr:rowOff>142875</xdr:rowOff>
        </xdr:to>
        <xdr:sp macro="" textlink="">
          <xdr:nvSpPr>
            <xdr:cNvPr id="2487" name="Object 439" hidden="1">
              <a:extLst>
                <a:ext uri="{63B3BB69-23CF-44E3-9099-C40C66FF867C}">
                  <a14:compatExt spid="_x0000_s24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157</xdr:col>
          <xdr:colOff>381000</xdr:colOff>
          <xdr:row>46</xdr:row>
          <xdr:rowOff>142875</xdr:rowOff>
        </xdr:from>
        <xdr:to>
          <xdr:col>157</xdr:col>
          <xdr:colOff>638175</xdr:colOff>
          <xdr:row>47</xdr:row>
          <xdr:rowOff>142875</xdr:rowOff>
        </xdr:to>
        <xdr:sp macro="" textlink="">
          <xdr:nvSpPr>
            <xdr:cNvPr id="2488" name="Object 440" hidden="1">
              <a:extLst>
                <a:ext uri="{63B3BB69-23CF-44E3-9099-C40C66FF867C}">
                  <a14:compatExt spid="_x0000_s24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158</xdr:col>
          <xdr:colOff>352425</xdr:colOff>
          <xdr:row>46</xdr:row>
          <xdr:rowOff>142875</xdr:rowOff>
        </xdr:from>
        <xdr:to>
          <xdr:col>158</xdr:col>
          <xdr:colOff>619125</xdr:colOff>
          <xdr:row>47</xdr:row>
          <xdr:rowOff>142875</xdr:rowOff>
        </xdr:to>
        <xdr:sp macro="" textlink="">
          <xdr:nvSpPr>
            <xdr:cNvPr id="2489" name="Object 441" hidden="1">
              <a:extLst>
                <a:ext uri="{63B3BB69-23CF-44E3-9099-C40C66FF867C}">
                  <a14:compatExt spid="_x0000_s2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159</xdr:col>
          <xdr:colOff>428625</xdr:colOff>
          <xdr:row>46</xdr:row>
          <xdr:rowOff>142875</xdr:rowOff>
        </xdr:from>
        <xdr:to>
          <xdr:col>159</xdr:col>
          <xdr:colOff>619125</xdr:colOff>
          <xdr:row>47</xdr:row>
          <xdr:rowOff>142875</xdr:rowOff>
        </xdr:to>
        <xdr:sp macro="" textlink="">
          <xdr:nvSpPr>
            <xdr:cNvPr id="2490" name="Object 442" hidden="1">
              <a:extLst>
                <a:ext uri="{63B3BB69-23CF-44E3-9099-C40C66FF867C}">
                  <a14:compatExt spid="_x0000_s24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160</xdr:col>
          <xdr:colOff>390525</xdr:colOff>
          <xdr:row>46</xdr:row>
          <xdr:rowOff>142875</xdr:rowOff>
        </xdr:from>
        <xdr:to>
          <xdr:col>160</xdr:col>
          <xdr:colOff>619125</xdr:colOff>
          <xdr:row>47</xdr:row>
          <xdr:rowOff>142875</xdr:rowOff>
        </xdr:to>
        <xdr:sp macro="" textlink="">
          <xdr:nvSpPr>
            <xdr:cNvPr id="2491" name="Object 443" hidden="1">
              <a:extLst>
                <a:ext uri="{63B3BB69-23CF-44E3-9099-C40C66FF867C}">
                  <a14:compatExt spid="_x0000_s24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161</xdr:col>
          <xdr:colOff>219075</xdr:colOff>
          <xdr:row>46</xdr:row>
          <xdr:rowOff>114300</xdr:rowOff>
        </xdr:from>
        <xdr:to>
          <xdr:col>161</xdr:col>
          <xdr:colOff>838200</xdr:colOff>
          <xdr:row>47</xdr:row>
          <xdr:rowOff>142875</xdr:rowOff>
        </xdr:to>
        <xdr:sp macro="" textlink="">
          <xdr:nvSpPr>
            <xdr:cNvPr id="2492" name="Object 444" hidden="1">
              <a:extLst>
                <a:ext uri="{63B3BB69-23CF-44E3-9099-C40C66FF867C}">
                  <a14:compatExt spid="_x0000_s24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162</xdr:col>
          <xdr:colOff>381000</xdr:colOff>
          <xdr:row>46</xdr:row>
          <xdr:rowOff>142875</xdr:rowOff>
        </xdr:from>
        <xdr:to>
          <xdr:col>162</xdr:col>
          <xdr:colOff>638175</xdr:colOff>
          <xdr:row>47</xdr:row>
          <xdr:rowOff>142875</xdr:rowOff>
        </xdr:to>
        <xdr:sp macro="" textlink="">
          <xdr:nvSpPr>
            <xdr:cNvPr id="2493" name="Object 445" hidden="1">
              <a:extLst>
                <a:ext uri="{63B3BB69-23CF-44E3-9099-C40C66FF867C}">
                  <a14:compatExt spid="_x0000_s24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163</xdr:col>
          <xdr:colOff>381000</xdr:colOff>
          <xdr:row>46</xdr:row>
          <xdr:rowOff>142875</xdr:rowOff>
        </xdr:from>
        <xdr:to>
          <xdr:col>163</xdr:col>
          <xdr:colOff>638175</xdr:colOff>
          <xdr:row>47</xdr:row>
          <xdr:rowOff>142875</xdr:rowOff>
        </xdr:to>
        <xdr:sp macro="" textlink="">
          <xdr:nvSpPr>
            <xdr:cNvPr id="2494" name="Object 446" hidden="1">
              <a:extLst>
                <a:ext uri="{63B3BB69-23CF-44E3-9099-C40C66FF867C}">
                  <a14:compatExt spid="_x0000_s24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164</xdr:col>
          <xdr:colOff>381000</xdr:colOff>
          <xdr:row>46</xdr:row>
          <xdr:rowOff>142875</xdr:rowOff>
        </xdr:from>
        <xdr:to>
          <xdr:col>164</xdr:col>
          <xdr:colOff>638175</xdr:colOff>
          <xdr:row>47</xdr:row>
          <xdr:rowOff>142875</xdr:rowOff>
        </xdr:to>
        <xdr:sp macro="" textlink="">
          <xdr:nvSpPr>
            <xdr:cNvPr id="2495" name="Object 447" hidden="1">
              <a:extLst>
                <a:ext uri="{63B3BB69-23CF-44E3-9099-C40C66FF867C}">
                  <a14:compatExt spid="_x0000_s24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165</xdr:col>
          <xdr:colOff>390525</xdr:colOff>
          <xdr:row>46</xdr:row>
          <xdr:rowOff>142875</xdr:rowOff>
        </xdr:from>
        <xdr:to>
          <xdr:col>165</xdr:col>
          <xdr:colOff>647700</xdr:colOff>
          <xdr:row>47</xdr:row>
          <xdr:rowOff>142875</xdr:rowOff>
        </xdr:to>
        <xdr:sp macro="" textlink="">
          <xdr:nvSpPr>
            <xdr:cNvPr id="2496" name="Object 448" hidden="1">
              <a:extLst>
                <a:ext uri="{63B3BB69-23CF-44E3-9099-C40C66FF867C}">
                  <a14:compatExt spid="_x0000_s24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166</xdr:col>
          <xdr:colOff>381000</xdr:colOff>
          <xdr:row>46</xdr:row>
          <xdr:rowOff>142875</xdr:rowOff>
        </xdr:from>
        <xdr:to>
          <xdr:col>166</xdr:col>
          <xdr:colOff>638175</xdr:colOff>
          <xdr:row>47</xdr:row>
          <xdr:rowOff>142875</xdr:rowOff>
        </xdr:to>
        <xdr:sp macro="" textlink="">
          <xdr:nvSpPr>
            <xdr:cNvPr id="2497" name="Object 449" hidden="1">
              <a:extLst>
                <a:ext uri="{63B3BB69-23CF-44E3-9099-C40C66FF867C}">
                  <a14:compatExt spid="_x0000_s24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167</xdr:col>
          <xdr:colOff>352425</xdr:colOff>
          <xdr:row>46</xdr:row>
          <xdr:rowOff>142875</xdr:rowOff>
        </xdr:from>
        <xdr:to>
          <xdr:col>167</xdr:col>
          <xdr:colOff>619125</xdr:colOff>
          <xdr:row>47</xdr:row>
          <xdr:rowOff>142875</xdr:rowOff>
        </xdr:to>
        <xdr:sp macro="" textlink="">
          <xdr:nvSpPr>
            <xdr:cNvPr id="2498" name="Object 450" hidden="1">
              <a:extLst>
                <a:ext uri="{63B3BB69-23CF-44E3-9099-C40C66FF867C}">
                  <a14:compatExt spid="_x0000_s24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168</xdr:col>
          <xdr:colOff>428625</xdr:colOff>
          <xdr:row>46</xdr:row>
          <xdr:rowOff>142875</xdr:rowOff>
        </xdr:from>
        <xdr:to>
          <xdr:col>168</xdr:col>
          <xdr:colOff>619125</xdr:colOff>
          <xdr:row>47</xdr:row>
          <xdr:rowOff>142875</xdr:rowOff>
        </xdr:to>
        <xdr:sp macro="" textlink="">
          <xdr:nvSpPr>
            <xdr:cNvPr id="2499" name="Object 451" hidden="1">
              <a:extLst>
                <a:ext uri="{63B3BB69-23CF-44E3-9099-C40C66FF867C}">
                  <a14:compatExt spid="_x0000_s24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169</xdr:col>
          <xdr:colOff>390525</xdr:colOff>
          <xdr:row>46</xdr:row>
          <xdr:rowOff>142875</xdr:rowOff>
        </xdr:from>
        <xdr:to>
          <xdr:col>169</xdr:col>
          <xdr:colOff>619125</xdr:colOff>
          <xdr:row>47</xdr:row>
          <xdr:rowOff>142875</xdr:rowOff>
        </xdr:to>
        <xdr:sp macro="" textlink="">
          <xdr:nvSpPr>
            <xdr:cNvPr id="2500" name="Object 452" hidden="1">
              <a:extLst>
                <a:ext uri="{63B3BB69-23CF-44E3-9099-C40C66FF867C}">
                  <a14:compatExt spid="_x0000_s25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170</xdr:col>
          <xdr:colOff>76200</xdr:colOff>
          <xdr:row>46</xdr:row>
          <xdr:rowOff>114300</xdr:rowOff>
        </xdr:from>
        <xdr:to>
          <xdr:col>170</xdr:col>
          <xdr:colOff>1000125</xdr:colOff>
          <xdr:row>47</xdr:row>
          <xdr:rowOff>161925</xdr:rowOff>
        </xdr:to>
        <xdr:sp macro="" textlink="">
          <xdr:nvSpPr>
            <xdr:cNvPr id="2501" name="Object 453" hidden="1">
              <a:extLst>
                <a:ext uri="{63B3BB69-23CF-44E3-9099-C40C66FF867C}">
                  <a14:compatExt spid="_x0000_s25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171</xdr:col>
          <xdr:colOff>390525</xdr:colOff>
          <xdr:row>46</xdr:row>
          <xdr:rowOff>142875</xdr:rowOff>
        </xdr:from>
        <xdr:to>
          <xdr:col>171</xdr:col>
          <xdr:colOff>619125</xdr:colOff>
          <xdr:row>47</xdr:row>
          <xdr:rowOff>142875</xdr:rowOff>
        </xdr:to>
        <xdr:sp macro="" textlink="">
          <xdr:nvSpPr>
            <xdr:cNvPr id="2502" name="Object 454" hidden="1">
              <a:extLst>
                <a:ext uri="{63B3BB69-23CF-44E3-9099-C40C66FF867C}">
                  <a14:compatExt spid="_x0000_s25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172</xdr:col>
          <xdr:colOff>76200</xdr:colOff>
          <xdr:row>46</xdr:row>
          <xdr:rowOff>114300</xdr:rowOff>
        </xdr:from>
        <xdr:to>
          <xdr:col>172</xdr:col>
          <xdr:colOff>1000125</xdr:colOff>
          <xdr:row>47</xdr:row>
          <xdr:rowOff>161925</xdr:rowOff>
        </xdr:to>
        <xdr:sp macro="" textlink="">
          <xdr:nvSpPr>
            <xdr:cNvPr id="2503" name="Object 455" hidden="1">
              <a:extLst>
                <a:ext uri="{63B3BB69-23CF-44E3-9099-C40C66FF867C}">
                  <a14:compatExt spid="_x0000_s25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173</xdr:col>
          <xdr:colOff>76200</xdr:colOff>
          <xdr:row>46</xdr:row>
          <xdr:rowOff>114300</xdr:rowOff>
        </xdr:from>
        <xdr:to>
          <xdr:col>173</xdr:col>
          <xdr:colOff>1000125</xdr:colOff>
          <xdr:row>47</xdr:row>
          <xdr:rowOff>161925</xdr:rowOff>
        </xdr:to>
        <xdr:sp macro="" textlink="">
          <xdr:nvSpPr>
            <xdr:cNvPr id="2504" name="Object 456" hidden="1">
              <a:extLst>
                <a:ext uri="{63B3BB69-23CF-44E3-9099-C40C66FF867C}">
                  <a14:compatExt spid="_x0000_s25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174</xdr:col>
          <xdr:colOff>200025</xdr:colOff>
          <xdr:row>46</xdr:row>
          <xdr:rowOff>114300</xdr:rowOff>
        </xdr:from>
        <xdr:to>
          <xdr:col>174</xdr:col>
          <xdr:colOff>800100</xdr:colOff>
          <xdr:row>47</xdr:row>
          <xdr:rowOff>142875</xdr:rowOff>
        </xdr:to>
        <xdr:sp macro="" textlink="">
          <xdr:nvSpPr>
            <xdr:cNvPr id="2505" name="Object 457" hidden="1">
              <a:extLst>
                <a:ext uri="{63B3BB69-23CF-44E3-9099-C40C66FF867C}">
                  <a14:compatExt spid="_x0000_s25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175</xdr:col>
          <xdr:colOff>200025</xdr:colOff>
          <xdr:row>46</xdr:row>
          <xdr:rowOff>114300</xdr:rowOff>
        </xdr:from>
        <xdr:to>
          <xdr:col>175</xdr:col>
          <xdr:colOff>800100</xdr:colOff>
          <xdr:row>47</xdr:row>
          <xdr:rowOff>142875</xdr:rowOff>
        </xdr:to>
        <xdr:sp macro="" textlink="">
          <xdr:nvSpPr>
            <xdr:cNvPr id="2506" name="Object 458" hidden="1">
              <a:extLst>
                <a:ext uri="{63B3BB69-23CF-44E3-9099-C40C66FF867C}">
                  <a14:compatExt spid="_x0000_s25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186</xdr:col>
          <xdr:colOff>76200</xdr:colOff>
          <xdr:row>46</xdr:row>
          <xdr:rowOff>123825</xdr:rowOff>
        </xdr:from>
        <xdr:to>
          <xdr:col>186</xdr:col>
          <xdr:colOff>923925</xdr:colOff>
          <xdr:row>47</xdr:row>
          <xdr:rowOff>219075</xdr:rowOff>
        </xdr:to>
        <xdr:sp macro="" textlink="">
          <xdr:nvSpPr>
            <xdr:cNvPr id="2507" name="Object 459" hidden="1">
              <a:extLst>
                <a:ext uri="{63B3BB69-23CF-44E3-9099-C40C66FF867C}">
                  <a14:compatExt spid="_x0000_s25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185</xdr:col>
          <xdr:colOff>219075</xdr:colOff>
          <xdr:row>43</xdr:row>
          <xdr:rowOff>85725</xdr:rowOff>
        </xdr:from>
        <xdr:to>
          <xdr:col>185</xdr:col>
          <xdr:colOff>876300</xdr:colOff>
          <xdr:row>44</xdr:row>
          <xdr:rowOff>161925</xdr:rowOff>
        </xdr:to>
        <xdr:sp macro="" textlink="">
          <xdr:nvSpPr>
            <xdr:cNvPr id="2508" name="Object 460" hidden="1">
              <a:extLst>
                <a:ext uri="{63B3BB69-23CF-44E3-9099-C40C66FF867C}">
                  <a14:compatExt spid="_x0000_s25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187</xdr:col>
          <xdr:colOff>390525</xdr:colOff>
          <xdr:row>43</xdr:row>
          <xdr:rowOff>28575</xdr:rowOff>
        </xdr:from>
        <xdr:to>
          <xdr:col>187</xdr:col>
          <xdr:colOff>619125</xdr:colOff>
          <xdr:row>44</xdr:row>
          <xdr:rowOff>219075</xdr:rowOff>
        </xdr:to>
        <xdr:sp macro="" textlink="">
          <xdr:nvSpPr>
            <xdr:cNvPr id="2509" name="Object 461" hidden="1">
              <a:extLst>
                <a:ext uri="{63B3BB69-23CF-44E3-9099-C40C66FF867C}">
                  <a14:compatExt spid="_x0000_s25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188</xdr:col>
          <xdr:colOff>104775</xdr:colOff>
          <xdr:row>43</xdr:row>
          <xdr:rowOff>66675</xdr:rowOff>
        </xdr:from>
        <xdr:to>
          <xdr:col>188</xdr:col>
          <xdr:colOff>923925</xdr:colOff>
          <xdr:row>44</xdr:row>
          <xdr:rowOff>114300</xdr:rowOff>
        </xdr:to>
        <xdr:sp macro="" textlink="">
          <xdr:nvSpPr>
            <xdr:cNvPr id="2510" name="Object 462" hidden="1">
              <a:extLst>
                <a:ext uri="{63B3BB69-23CF-44E3-9099-C40C66FF867C}">
                  <a14:compatExt spid="_x0000_s25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190</xdr:col>
          <xdr:colOff>428625</xdr:colOff>
          <xdr:row>46</xdr:row>
          <xdr:rowOff>161925</xdr:rowOff>
        </xdr:from>
        <xdr:to>
          <xdr:col>190</xdr:col>
          <xdr:colOff>600075</xdr:colOff>
          <xdr:row>47</xdr:row>
          <xdr:rowOff>114300</xdr:rowOff>
        </xdr:to>
        <xdr:sp macro="" textlink="">
          <xdr:nvSpPr>
            <xdr:cNvPr id="2511" name="Object 463" hidden="1">
              <a:extLst>
                <a:ext uri="{63B3BB69-23CF-44E3-9099-C40C66FF867C}">
                  <a14:compatExt spid="_x0000_s25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192</xdr:col>
          <xdr:colOff>142875</xdr:colOff>
          <xdr:row>46</xdr:row>
          <xdr:rowOff>142875</xdr:rowOff>
        </xdr:from>
        <xdr:to>
          <xdr:col>192</xdr:col>
          <xdr:colOff>800100</xdr:colOff>
          <xdr:row>47</xdr:row>
          <xdr:rowOff>161925</xdr:rowOff>
        </xdr:to>
        <xdr:sp macro="" textlink="">
          <xdr:nvSpPr>
            <xdr:cNvPr id="2512" name="Object 464" hidden="1">
              <a:extLst>
                <a:ext uri="{63B3BB69-23CF-44E3-9099-C40C66FF867C}">
                  <a14:compatExt spid="_x0000_s25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199</xdr:col>
          <xdr:colOff>123825</xdr:colOff>
          <xdr:row>46</xdr:row>
          <xdr:rowOff>114300</xdr:rowOff>
        </xdr:from>
        <xdr:to>
          <xdr:col>199</xdr:col>
          <xdr:colOff>923925</xdr:colOff>
          <xdr:row>47</xdr:row>
          <xdr:rowOff>142875</xdr:rowOff>
        </xdr:to>
        <xdr:sp macro="" textlink="">
          <xdr:nvSpPr>
            <xdr:cNvPr id="2513" name="Object 465" hidden="1">
              <a:extLst>
                <a:ext uri="{63B3BB69-23CF-44E3-9099-C40C66FF867C}">
                  <a14:compatExt spid="_x0000_s2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200</xdr:col>
          <xdr:colOff>257175</xdr:colOff>
          <xdr:row>46</xdr:row>
          <xdr:rowOff>114300</xdr:rowOff>
        </xdr:from>
        <xdr:to>
          <xdr:col>200</xdr:col>
          <xdr:colOff>762000</xdr:colOff>
          <xdr:row>47</xdr:row>
          <xdr:rowOff>142875</xdr:rowOff>
        </xdr:to>
        <xdr:sp macro="" textlink="">
          <xdr:nvSpPr>
            <xdr:cNvPr id="2514" name="Object 466" hidden="1">
              <a:extLst>
                <a:ext uri="{63B3BB69-23CF-44E3-9099-C40C66FF867C}">
                  <a14:compatExt spid="_x0000_s25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205</xdr:col>
          <xdr:colOff>123825</xdr:colOff>
          <xdr:row>46</xdr:row>
          <xdr:rowOff>114300</xdr:rowOff>
        </xdr:from>
        <xdr:to>
          <xdr:col>205</xdr:col>
          <xdr:colOff>923925</xdr:colOff>
          <xdr:row>47</xdr:row>
          <xdr:rowOff>142875</xdr:rowOff>
        </xdr:to>
        <xdr:sp macro="" textlink="">
          <xdr:nvSpPr>
            <xdr:cNvPr id="2515" name="Object 467" hidden="1">
              <a:extLst>
                <a:ext uri="{63B3BB69-23CF-44E3-9099-C40C66FF867C}">
                  <a14:compatExt spid="_x0000_s25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206</xdr:col>
          <xdr:colOff>257175</xdr:colOff>
          <xdr:row>46</xdr:row>
          <xdr:rowOff>114300</xdr:rowOff>
        </xdr:from>
        <xdr:to>
          <xdr:col>206</xdr:col>
          <xdr:colOff>762000</xdr:colOff>
          <xdr:row>47</xdr:row>
          <xdr:rowOff>142875</xdr:rowOff>
        </xdr:to>
        <xdr:sp macro="" textlink="">
          <xdr:nvSpPr>
            <xdr:cNvPr id="2516" name="Object 468" hidden="1">
              <a:extLst>
                <a:ext uri="{63B3BB69-23CF-44E3-9099-C40C66FF867C}">
                  <a14:compatExt spid="_x0000_s25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207</xdr:col>
          <xdr:colOff>257175</xdr:colOff>
          <xdr:row>46</xdr:row>
          <xdr:rowOff>114300</xdr:rowOff>
        </xdr:from>
        <xdr:to>
          <xdr:col>207</xdr:col>
          <xdr:colOff>752475</xdr:colOff>
          <xdr:row>47</xdr:row>
          <xdr:rowOff>142875</xdr:rowOff>
        </xdr:to>
        <xdr:sp macro="" textlink="">
          <xdr:nvSpPr>
            <xdr:cNvPr id="2517" name="Object 469" hidden="1">
              <a:extLst>
                <a:ext uri="{63B3BB69-23CF-44E3-9099-C40C66FF867C}">
                  <a14:compatExt spid="_x0000_s25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208</xdr:col>
          <xdr:colOff>123825</xdr:colOff>
          <xdr:row>46</xdr:row>
          <xdr:rowOff>114300</xdr:rowOff>
        </xdr:from>
        <xdr:to>
          <xdr:col>208</xdr:col>
          <xdr:colOff>904875</xdr:colOff>
          <xdr:row>47</xdr:row>
          <xdr:rowOff>142875</xdr:rowOff>
        </xdr:to>
        <xdr:sp macro="" textlink="">
          <xdr:nvSpPr>
            <xdr:cNvPr id="2518" name="Object 470" hidden="1">
              <a:extLst>
                <a:ext uri="{63B3BB69-23CF-44E3-9099-C40C66FF867C}">
                  <a14:compatExt spid="_x0000_s25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189</xdr:col>
          <xdr:colOff>304800</xdr:colOff>
          <xdr:row>43</xdr:row>
          <xdr:rowOff>85725</xdr:rowOff>
        </xdr:from>
        <xdr:to>
          <xdr:col>189</xdr:col>
          <xdr:colOff>876300</xdr:colOff>
          <xdr:row>44</xdr:row>
          <xdr:rowOff>161925</xdr:rowOff>
        </xdr:to>
        <xdr:sp macro="" textlink="">
          <xdr:nvSpPr>
            <xdr:cNvPr id="2519" name="Object 471" hidden="1">
              <a:extLst>
                <a:ext uri="{63B3BB69-23CF-44E3-9099-C40C66FF867C}">
                  <a14:compatExt spid="_x0000_s25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190</xdr:col>
          <xdr:colOff>295275</xdr:colOff>
          <xdr:row>43</xdr:row>
          <xdr:rowOff>104775</xdr:rowOff>
        </xdr:from>
        <xdr:to>
          <xdr:col>190</xdr:col>
          <xdr:colOff>752475</xdr:colOff>
          <xdr:row>44</xdr:row>
          <xdr:rowOff>200025</xdr:rowOff>
        </xdr:to>
        <xdr:sp macro="" textlink="">
          <xdr:nvSpPr>
            <xdr:cNvPr id="2520" name="Object 472" hidden="1">
              <a:extLst>
                <a:ext uri="{63B3BB69-23CF-44E3-9099-C40C66FF867C}">
                  <a14:compatExt spid="_x0000_s25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209</xdr:col>
          <xdr:colOff>314325</xdr:colOff>
          <xdr:row>46</xdr:row>
          <xdr:rowOff>142875</xdr:rowOff>
        </xdr:from>
        <xdr:to>
          <xdr:col>209</xdr:col>
          <xdr:colOff>723900</xdr:colOff>
          <xdr:row>47</xdr:row>
          <xdr:rowOff>85725</xdr:rowOff>
        </xdr:to>
        <xdr:sp macro="" textlink="">
          <xdr:nvSpPr>
            <xdr:cNvPr id="2521" name="Object 473" hidden="1">
              <a:extLst>
                <a:ext uri="{63B3BB69-23CF-44E3-9099-C40C66FF867C}">
                  <a14:compatExt spid="_x0000_s25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212</xdr:col>
          <xdr:colOff>381000</xdr:colOff>
          <xdr:row>46</xdr:row>
          <xdr:rowOff>142875</xdr:rowOff>
        </xdr:from>
        <xdr:to>
          <xdr:col>212</xdr:col>
          <xdr:colOff>638175</xdr:colOff>
          <xdr:row>47</xdr:row>
          <xdr:rowOff>142875</xdr:rowOff>
        </xdr:to>
        <xdr:sp macro="" textlink="">
          <xdr:nvSpPr>
            <xdr:cNvPr id="2522" name="Object 474" hidden="1">
              <a:extLst>
                <a:ext uri="{63B3BB69-23CF-44E3-9099-C40C66FF867C}">
                  <a14:compatExt spid="_x0000_s25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381000</xdr:colOff>
          <xdr:row>46</xdr:row>
          <xdr:rowOff>142875</xdr:rowOff>
        </xdr:from>
        <xdr:to>
          <xdr:col>213</xdr:col>
          <xdr:colOff>638175</xdr:colOff>
          <xdr:row>47</xdr:row>
          <xdr:rowOff>142875</xdr:rowOff>
        </xdr:to>
        <xdr:sp macro="" textlink="">
          <xdr:nvSpPr>
            <xdr:cNvPr id="2523" name="Object 475" hidden="1">
              <a:extLst>
                <a:ext uri="{63B3BB69-23CF-44E3-9099-C40C66FF867C}">
                  <a14:compatExt spid="_x0000_s25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381000</xdr:colOff>
          <xdr:row>46</xdr:row>
          <xdr:rowOff>142875</xdr:rowOff>
        </xdr:from>
        <xdr:to>
          <xdr:col>214</xdr:col>
          <xdr:colOff>638175</xdr:colOff>
          <xdr:row>47</xdr:row>
          <xdr:rowOff>142875</xdr:rowOff>
        </xdr:to>
        <xdr:sp macro="" textlink="">
          <xdr:nvSpPr>
            <xdr:cNvPr id="2524" name="Object 476" hidden="1">
              <a:extLst>
                <a:ext uri="{63B3BB69-23CF-44E3-9099-C40C66FF867C}">
                  <a14:compatExt spid="_x0000_s25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215</xdr:col>
          <xdr:colOff>390525</xdr:colOff>
          <xdr:row>46</xdr:row>
          <xdr:rowOff>142875</xdr:rowOff>
        </xdr:from>
        <xdr:to>
          <xdr:col>215</xdr:col>
          <xdr:colOff>647700</xdr:colOff>
          <xdr:row>47</xdr:row>
          <xdr:rowOff>142875</xdr:rowOff>
        </xdr:to>
        <xdr:sp macro="" textlink="">
          <xdr:nvSpPr>
            <xdr:cNvPr id="2525" name="Object 477" hidden="1">
              <a:extLst>
                <a:ext uri="{63B3BB69-23CF-44E3-9099-C40C66FF867C}">
                  <a14:compatExt spid="_x0000_s25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216</xdr:col>
          <xdr:colOff>381000</xdr:colOff>
          <xdr:row>46</xdr:row>
          <xdr:rowOff>142875</xdr:rowOff>
        </xdr:from>
        <xdr:to>
          <xdr:col>216</xdr:col>
          <xdr:colOff>638175</xdr:colOff>
          <xdr:row>47</xdr:row>
          <xdr:rowOff>142875</xdr:rowOff>
        </xdr:to>
        <xdr:sp macro="" textlink="">
          <xdr:nvSpPr>
            <xdr:cNvPr id="2526" name="Object 478" hidden="1">
              <a:extLst>
                <a:ext uri="{63B3BB69-23CF-44E3-9099-C40C66FF867C}">
                  <a14:compatExt spid="_x0000_s25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217</xdr:col>
          <xdr:colOff>352425</xdr:colOff>
          <xdr:row>46</xdr:row>
          <xdr:rowOff>142875</xdr:rowOff>
        </xdr:from>
        <xdr:to>
          <xdr:col>217</xdr:col>
          <xdr:colOff>619125</xdr:colOff>
          <xdr:row>47</xdr:row>
          <xdr:rowOff>142875</xdr:rowOff>
        </xdr:to>
        <xdr:sp macro="" textlink="">
          <xdr:nvSpPr>
            <xdr:cNvPr id="2527" name="Object 479" hidden="1">
              <a:extLst>
                <a:ext uri="{63B3BB69-23CF-44E3-9099-C40C66FF867C}">
                  <a14:compatExt spid="_x0000_s25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218</xdr:col>
          <xdr:colOff>428625</xdr:colOff>
          <xdr:row>46</xdr:row>
          <xdr:rowOff>142875</xdr:rowOff>
        </xdr:from>
        <xdr:to>
          <xdr:col>218</xdr:col>
          <xdr:colOff>619125</xdr:colOff>
          <xdr:row>47</xdr:row>
          <xdr:rowOff>142875</xdr:rowOff>
        </xdr:to>
        <xdr:sp macro="" textlink="">
          <xdr:nvSpPr>
            <xdr:cNvPr id="2528" name="Object 480" hidden="1">
              <a:extLst>
                <a:ext uri="{63B3BB69-23CF-44E3-9099-C40C66FF867C}">
                  <a14:compatExt spid="_x0000_s25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219</xdr:col>
          <xdr:colOff>390525</xdr:colOff>
          <xdr:row>46</xdr:row>
          <xdr:rowOff>142875</xdr:rowOff>
        </xdr:from>
        <xdr:to>
          <xdr:col>219</xdr:col>
          <xdr:colOff>619125</xdr:colOff>
          <xdr:row>47</xdr:row>
          <xdr:rowOff>142875</xdr:rowOff>
        </xdr:to>
        <xdr:sp macro="" textlink="">
          <xdr:nvSpPr>
            <xdr:cNvPr id="2529" name="Object 481" hidden="1">
              <a:extLst>
                <a:ext uri="{63B3BB69-23CF-44E3-9099-C40C66FF867C}">
                  <a14:compatExt spid="_x0000_s25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220</xdr:col>
          <xdr:colOff>219075</xdr:colOff>
          <xdr:row>46</xdr:row>
          <xdr:rowOff>114300</xdr:rowOff>
        </xdr:from>
        <xdr:to>
          <xdr:col>220</xdr:col>
          <xdr:colOff>838200</xdr:colOff>
          <xdr:row>47</xdr:row>
          <xdr:rowOff>142875</xdr:rowOff>
        </xdr:to>
        <xdr:sp macro="" textlink="">
          <xdr:nvSpPr>
            <xdr:cNvPr id="2530" name="Object 482" hidden="1">
              <a:extLst>
                <a:ext uri="{63B3BB69-23CF-44E3-9099-C40C66FF867C}">
                  <a14:compatExt spid="_x0000_s25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221</xdr:col>
          <xdr:colOff>381000</xdr:colOff>
          <xdr:row>46</xdr:row>
          <xdr:rowOff>142875</xdr:rowOff>
        </xdr:from>
        <xdr:to>
          <xdr:col>221</xdr:col>
          <xdr:colOff>638175</xdr:colOff>
          <xdr:row>47</xdr:row>
          <xdr:rowOff>142875</xdr:rowOff>
        </xdr:to>
        <xdr:sp macro="" textlink="">
          <xdr:nvSpPr>
            <xdr:cNvPr id="2531" name="Object 483" hidden="1">
              <a:extLst>
                <a:ext uri="{63B3BB69-23CF-44E3-9099-C40C66FF867C}">
                  <a14:compatExt spid="_x0000_s25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222</xdr:col>
          <xdr:colOff>381000</xdr:colOff>
          <xdr:row>46</xdr:row>
          <xdr:rowOff>142875</xdr:rowOff>
        </xdr:from>
        <xdr:to>
          <xdr:col>222</xdr:col>
          <xdr:colOff>638175</xdr:colOff>
          <xdr:row>47</xdr:row>
          <xdr:rowOff>142875</xdr:rowOff>
        </xdr:to>
        <xdr:sp macro="" textlink="">
          <xdr:nvSpPr>
            <xdr:cNvPr id="2532" name="Object 484" hidden="1">
              <a:extLst>
                <a:ext uri="{63B3BB69-23CF-44E3-9099-C40C66FF867C}">
                  <a14:compatExt spid="_x0000_s25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223</xdr:col>
          <xdr:colOff>381000</xdr:colOff>
          <xdr:row>46</xdr:row>
          <xdr:rowOff>142875</xdr:rowOff>
        </xdr:from>
        <xdr:to>
          <xdr:col>223</xdr:col>
          <xdr:colOff>638175</xdr:colOff>
          <xdr:row>47</xdr:row>
          <xdr:rowOff>142875</xdr:rowOff>
        </xdr:to>
        <xdr:sp macro="" textlink="">
          <xdr:nvSpPr>
            <xdr:cNvPr id="2533" name="Object 485" hidden="1">
              <a:extLst>
                <a:ext uri="{63B3BB69-23CF-44E3-9099-C40C66FF867C}">
                  <a14:compatExt spid="_x0000_s25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224</xdr:col>
          <xdr:colOff>390525</xdr:colOff>
          <xdr:row>46</xdr:row>
          <xdr:rowOff>142875</xdr:rowOff>
        </xdr:from>
        <xdr:to>
          <xdr:col>224</xdr:col>
          <xdr:colOff>647700</xdr:colOff>
          <xdr:row>47</xdr:row>
          <xdr:rowOff>142875</xdr:rowOff>
        </xdr:to>
        <xdr:sp macro="" textlink="">
          <xdr:nvSpPr>
            <xdr:cNvPr id="2534" name="Object 486" hidden="1">
              <a:extLst>
                <a:ext uri="{63B3BB69-23CF-44E3-9099-C40C66FF867C}">
                  <a14:compatExt spid="_x0000_s25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225</xdr:col>
          <xdr:colOff>381000</xdr:colOff>
          <xdr:row>46</xdr:row>
          <xdr:rowOff>142875</xdr:rowOff>
        </xdr:from>
        <xdr:to>
          <xdr:col>225</xdr:col>
          <xdr:colOff>638175</xdr:colOff>
          <xdr:row>47</xdr:row>
          <xdr:rowOff>142875</xdr:rowOff>
        </xdr:to>
        <xdr:sp macro="" textlink="">
          <xdr:nvSpPr>
            <xdr:cNvPr id="2535" name="Object 487" hidden="1">
              <a:extLst>
                <a:ext uri="{63B3BB69-23CF-44E3-9099-C40C66FF867C}">
                  <a14:compatExt spid="_x0000_s25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226</xdr:col>
          <xdr:colOff>352425</xdr:colOff>
          <xdr:row>46</xdr:row>
          <xdr:rowOff>142875</xdr:rowOff>
        </xdr:from>
        <xdr:to>
          <xdr:col>226</xdr:col>
          <xdr:colOff>619125</xdr:colOff>
          <xdr:row>47</xdr:row>
          <xdr:rowOff>142875</xdr:rowOff>
        </xdr:to>
        <xdr:sp macro="" textlink="">
          <xdr:nvSpPr>
            <xdr:cNvPr id="2536" name="Object 488" hidden="1">
              <a:extLst>
                <a:ext uri="{63B3BB69-23CF-44E3-9099-C40C66FF867C}">
                  <a14:compatExt spid="_x0000_s25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227</xdr:col>
          <xdr:colOff>428625</xdr:colOff>
          <xdr:row>46</xdr:row>
          <xdr:rowOff>142875</xdr:rowOff>
        </xdr:from>
        <xdr:to>
          <xdr:col>227</xdr:col>
          <xdr:colOff>619125</xdr:colOff>
          <xdr:row>47</xdr:row>
          <xdr:rowOff>142875</xdr:rowOff>
        </xdr:to>
        <xdr:sp macro="" textlink="">
          <xdr:nvSpPr>
            <xdr:cNvPr id="2537" name="Object 489" hidden="1">
              <a:extLst>
                <a:ext uri="{63B3BB69-23CF-44E3-9099-C40C66FF867C}">
                  <a14:compatExt spid="_x0000_s25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228</xdr:col>
          <xdr:colOff>390525</xdr:colOff>
          <xdr:row>46</xdr:row>
          <xdr:rowOff>142875</xdr:rowOff>
        </xdr:from>
        <xdr:to>
          <xdr:col>228</xdr:col>
          <xdr:colOff>619125</xdr:colOff>
          <xdr:row>47</xdr:row>
          <xdr:rowOff>142875</xdr:rowOff>
        </xdr:to>
        <xdr:sp macro="" textlink="">
          <xdr:nvSpPr>
            <xdr:cNvPr id="2538" name="Object 490" hidden="1">
              <a:extLst>
                <a:ext uri="{63B3BB69-23CF-44E3-9099-C40C66FF867C}">
                  <a14:compatExt spid="_x0000_s25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229</xdr:col>
          <xdr:colOff>76200</xdr:colOff>
          <xdr:row>46</xdr:row>
          <xdr:rowOff>114300</xdr:rowOff>
        </xdr:from>
        <xdr:to>
          <xdr:col>229</xdr:col>
          <xdr:colOff>1000125</xdr:colOff>
          <xdr:row>47</xdr:row>
          <xdr:rowOff>161925</xdr:rowOff>
        </xdr:to>
        <xdr:sp macro="" textlink="">
          <xdr:nvSpPr>
            <xdr:cNvPr id="2539" name="Object 491" hidden="1">
              <a:extLst>
                <a:ext uri="{63B3BB69-23CF-44E3-9099-C40C66FF867C}">
                  <a14:compatExt spid="_x0000_s25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230</xdr:col>
          <xdr:colOff>390525</xdr:colOff>
          <xdr:row>46</xdr:row>
          <xdr:rowOff>142875</xdr:rowOff>
        </xdr:from>
        <xdr:to>
          <xdr:col>230</xdr:col>
          <xdr:colOff>619125</xdr:colOff>
          <xdr:row>47</xdr:row>
          <xdr:rowOff>142875</xdr:rowOff>
        </xdr:to>
        <xdr:sp macro="" textlink="">
          <xdr:nvSpPr>
            <xdr:cNvPr id="2540" name="Object 492" hidden="1">
              <a:extLst>
                <a:ext uri="{63B3BB69-23CF-44E3-9099-C40C66FF867C}">
                  <a14:compatExt spid="_x0000_s25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231</xdr:col>
          <xdr:colOff>76200</xdr:colOff>
          <xdr:row>46</xdr:row>
          <xdr:rowOff>114300</xdr:rowOff>
        </xdr:from>
        <xdr:to>
          <xdr:col>231</xdr:col>
          <xdr:colOff>1000125</xdr:colOff>
          <xdr:row>47</xdr:row>
          <xdr:rowOff>161925</xdr:rowOff>
        </xdr:to>
        <xdr:sp macro="" textlink="">
          <xdr:nvSpPr>
            <xdr:cNvPr id="2541" name="Object 493" hidden="1">
              <a:extLst>
                <a:ext uri="{63B3BB69-23CF-44E3-9099-C40C66FF867C}">
                  <a14:compatExt spid="_x0000_s25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232</xdr:col>
          <xdr:colOff>76200</xdr:colOff>
          <xdr:row>46</xdr:row>
          <xdr:rowOff>114300</xdr:rowOff>
        </xdr:from>
        <xdr:to>
          <xdr:col>232</xdr:col>
          <xdr:colOff>1000125</xdr:colOff>
          <xdr:row>47</xdr:row>
          <xdr:rowOff>161925</xdr:rowOff>
        </xdr:to>
        <xdr:sp macro="" textlink="">
          <xdr:nvSpPr>
            <xdr:cNvPr id="2542" name="Object 494" hidden="1">
              <a:extLst>
                <a:ext uri="{63B3BB69-23CF-44E3-9099-C40C66FF867C}">
                  <a14:compatExt spid="_x0000_s25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233</xdr:col>
          <xdr:colOff>200025</xdr:colOff>
          <xdr:row>46</xdr:row>
          <xdr:rowOff>114300</xdr:rowOff>
        </xdr:from>
        <xdr:to>
          <xdr:col>233</xdr:col>
          <xdr:colOff>800100</xdr:colOff>
          <xdr:row>47</xdr:row>
          <xdr:rowOff>142875</xdr:rowOff>
        </xdr:to>
        <xdr:sp macro="" textlink="">
          <xdr:nvSpPr>
            <xdr:cNvPr id="2543" name="Object 495" hidden="1">
              <a:extLst>
                <a:ext uri="{63B3BB69-23CF-44E3-9099-C40C66FF867C}">
                  <a14:compatExt spid="_x0000_s25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234</xdr:col>
          <xdr:colOff>200025</xdr:colOff>
          <xdr:row>46</xdr:row>
          <xdr:rowOff>114300</xdr:rowOff>
        </xdr:from>
        <xdr:to>
          <xdr:col>234</xdr:col>
          <xdr:colOff>800100</xdr:colOff>
          <xdr:row>47</xdr:row>
          <xdr:rowOff>142875</xdr:rowOff>
        </xdr:to>
        <xdr:sp macro="" textlink="">
          <xdr:nvSpPr>
            <xdr:cNvPr id="2544" name="Object 496" hidden="1">
              <a:extLst>
                <a:ext uri="{63B3BB69-23CF-44E3-9099-C40C66FF867C}">
                  <a14:compatExt spid="_x0000_s25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245</xdr:col>
          <xdr:colOff>76200</xdr:colOff>
          <xdr:row>46</xdr:row>
          <xdr:rowOff>123825</xdr:rowOff>
        </xdr:from>
        <xdr:to>
          <xdr:col>245</xdr:col>
          <xdr:colOff>923925</xdr:colOff>
          <xdr:row>47</xdr:row>
          <xdr:rowOff>219075</xdr:rowOff>
        </xdr:to>
        <xdr:sp macro="" textlink="">
          <xdr:nvSpPr>
            <xdr:cNvPr id="2545" name="Object 497" hidden="1">
              <a:extLst>
                <a:ext uri="{63B3BB69-23CF-44E3-9099-C40C66FF867C}">
                  <a14:compatExt spid="_x0000_s25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244</xdr:col>
          <xdr:colOff>219075</xdr:colOff>
          <xdr:row>43</xdr:row>
          <xdr:rowOff>85725</xdr:rowOff>
        </xdr:from>
        <xdr:to>
          <xdr:col>244</xdr:col>
          <xdr:colOff>876300</xdr:colOff>
          <xdr:row>44</xdr:row>
          <xdr:rowOff>161925</xdr:rowOff>
        </xdr:to>
        <xdr:sp macro="" textlink="">
          <xdr:nvSpPr>
            <xdr:cNvPr id="2546" name="Object 498" hidden="1">
              <a:extLst>
                <a:ext uri="{63B3BB69-23CF-44E3-9099-C40C66FF867C}">
                  <a14:compatExt spid="_x0000_s25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246</xdr:col>
          <xdr:colOff>390525</xdr:colOff>
          <xdr:row>43</xdr:row>
          <xdr:rowOff>28575</xdr:rowOff>
        </xdr:from>
        <xdr:to>
          <xdr:col>246</xdr:col>
          <xdr:colOff>619125</xdr:colOff>
          <xdr:row>44</xdr:row>
          <xdr:rowOff>219075</xdr:rowOff>
        </xdr:to>
        <xdr:sp macro="" textlink="">
          <xdr:nvSpPr>
            <xdr:cNvPr id="2547" name="Object 499" hidden="1">
              <a:extLst>
                <a:ext uri="{63B3BB69-23CF-44E3-9099-C40C66FF867C}">
                  <a14:compatExt spid="_x0000_s25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247</xdr:col>
          <xdr:colOff>104775</xdr:colOff>
          <xdr:row>43</xdr:row>
          <xdr:rowOff>66675</xdr:rowOff>
        </xdr:from>
        <xdr:to>
          <xdr:col>247</xdr:col>
          <xdr:colOff>923925</xdr:colOff>
          <xdr:row>44</xdr:row>
          <xdr:rowOff>114300</xdr:rowOff>
        </xdr:to>
        <xdr:sp macro="" textlink="">
          <xdr:nvSpPr>
            <xdr:cNvPr id="2548" name="Object 500" hidden="1">
              <a:extLst>
                <a:ext uri="{63B3BB69-23CF-44E3-9099-C40C66FF867C}">
                  <a14:compatExt spid="_x0000_s25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249</xdr:col>
          <xdr:colOff>428625</xdr:colOff>
          <xdr:row>46</xdr:row>
          <xdr:rowOff>161925</xdr:rowOff>
        </xdr:from>
        <xdr:to>
          <xdr:col>249</xdr:col>
          <xdr:colOff>600075</xdr:colOff>
          <xdr:row>47</xdr:row>
          <xdr:rowOff>114300</xdr:rowOff>
        </xdr:to>
        <xdr:sp macro="" textlink="">
          <xdr:nvSpPr>
            <xdr:cNvPr id="2549" name="Object 501" hidden="1">
              <a:extLst>
                <a:ext uri="{63B3BB69-23CF-44E3-9099-C40C66FF867C}">
                  <a14:compatExt spid="_x0000_s25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251</xdr:col>
          <xdr:colOff>142875</xdr:colOff>
          <xdr:row>46</xdr:row>
          <xdr:rowOff>142875</xdr:rowOff>
        </xdr:from>
        <xdr:to>
          <xdr:col>251</xdr:col>
          <xdr:colOff>800100</xdr:colOff>
          <xdr:row>47</xdr:row>
          <xdr:rowOff>161925</xdr:rowOff>
        </xdr:to>
        <xdr:sp macro="" textlink="">
          <xdr:nvSpPr>
            <xdr:cNvPr id="2550" name="Object 502" hidden="1">
              <a:extLst>
                <a:ext uri="{63B3BB69-23CF-44E3-9099-C40C66FF867C}">
                  <a14:compatExt spid="_x0000_s25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258</xdr:col>
          <xdr:colOff>123825</xdr:colOff>
          <xdr:row>46</xdr:row>
          <xdr:rowOff>114300</xdr:rowOff>
        </xdr:from>
        <xdr:to>
          <xdr:col>258</xdr:col>
          <xdr:colOff>923925</xdr:colOff>
          <xdr:row>47</xdr:row>
          <xdr:rowOff>142875</xdr:rowOff>
        </xdr:to>
        <xdr:sp macro="" textlink="">
          <xdr:nvSpPr>
            <xdr:cNvPr id="2551" name="Object 503" hidden="1">
              <a:extLst>
                <a:ext uri="{63B3BB69-23CF-44E3-9099-C40C66FF867C}">
                  <a14:compatExt spid="_x0000_s25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259</xdr:col>
          <xdr:colOff>257175</xdr:colOff>
          <xdr:row>46</xdr:row>
          <xdr:rowOff>114300</xdr:rowOff>
        </xdr:from>
        <xdr:to>
          <xdr:col>259</xdr:col>
          <xdr:colOff>762000</xdr:colOff>
          <xdr:row>47</xdr:row>
          <xdr:rowOff>142875</xdr:rowOff>
        </xdr:to>
        <xdr:sp macro="" textlink="">
          <xdr:nvSpPr>
            <xdr:cNvPr id="2552" name="Object 504" hidden="1">
              <a:extLst>
                <a:ext uri="{63B3BB69-23CF-44E3-9099-C40C66FF867C}">
                  <a14:compatExt spid="_x0000_s25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264</xdr:col>
          <xdr:colOff>123825</xdr:colOff>
          <xdr:row>46</xdr:row>
          <xdr:rowOff>114300</xdr:rowOff>
        </xdr:from>
        <xdr:to>
          <xdr:col>264</xdr:col>
          <xdr:colOff>923925</xdr:colOff>
          <xdr:row>47</xdr:row>
          <xdr:rowOff>142875</xdr:rowOff>
        </xdr:to>
        <xdr:sp macro="" textlink="">
          <xdr:nvSpPr>
            <xdr:cNvPr id="2553" name="Object 505" hidden="1">
              <a:extLst>
                <a:ext uri="{63B3BB69-23CF-44E3-9099-C40C66FF867C}">
                  <a14:compatExt spid="_x0000_s25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265</xdr:col>
          <xdr:colOff>257175</xdr:colOff>
          <xdr:row>46</xdr:row>
          <xdr:rowOff>114300</xdr:rowOff>
        </xdr:from>
        <xdr:to>
          <xdr:col>265</xdr:col>
          <xdr:colOff>762000</xdr:colOff>
          <xdr:row>47</xdr:row>
          <xdr:rowOff>142875</xdr:rowOff>
        </xdr:to>
        <xdr:sp macro="" textlink="">
          <xdr:nvSpPr>
            <xdr:cNvPr id="2554" name="Object 506" hidden="1">
              <a:extLst>
                <a:ext uri="{63B3BB69-23CF-44E3-9099-C40C66FF867C}">
                  <a14:compatExt spid="_x0000_s25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266</xdr:col>
          <xdr:colOff>257175</xdr:colOff>
          <xdr:row>46</xdr:row>
          <xdr:rowOff>114300</xdr:rowOff>
        </xdr:from>
        <xdr:to>
          <xdr:col>266</xdr:col>
          <xdr:colOff>752475</xdr:colOff>
          <xdr:row>47</xdr:row>
          <xdr:rowOff>142875</xdr:rowOff>
        </xdr:to>
        <xdr:sp macro="" textlink="">
          <xdr:nvSpPr>
            <xdr:cNvPr id="2555" name="Object 507" hidden="1">
              <a:extLst>
                <a:ext uri="{63B3BB69-23CF-44E3-9099-C40C66FF867C}">
                  <a14:compatExt spid="_x0000_s25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267</xdr:col>
          <xdr:colOff>123825</xdr:colOff>
          <xdr:row>46</xdr:row>
          <xdr:rowOff>114300</xdr:rowOff>
        </xdr:from>
        <xdr:to>
          <xdr:col>267</xdr:col>
          <xdr:colOff>904875</xdr:colOff>
          <xdr:row>47</xdr:row>
          <xdr:rowOff>142875</xdr:rowOff>
        </xdr:to>
        <xdr:sp macro="" textlink="">
          <xdr:nvSpPr>
            <xdr:cNvPr id="2556" name="Object 508" hidden="1">
              <a:extLst>
                <a:ext uri="{63B3BB69-23CF-44E3-9099-C40C66FF867C}">
                  <a14:compatExt spid="_x0000_s25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248</xdr:col>
          <xdr:colOff>304800</xdr:colOff>
          <xdr:row>43</xdr:row>
          <xdr:rowOff>85725</xdr:rowOff>
        </xdr:from>
        <xdr:to>
          <xdr:col>248</xdr:col>
          <xdr:colOff>876300</xdr:colOff>
          <xdr:row>44</xdr:row>
          <xdr:rowOff>161925</xdr:rowOff>
        </xdr:to>
        <xdr:sp macro="" textlink="">
          <xdr:nvSpPr>
            <xdr:cNvPr id="2557" name="Object 509" hidden="1">
              <a:extLst>
                <a:ext uri="{63B3BB69-23CF-44E3-9099-C40C66FF867C}">
                  <a14:compatExt spid="_x0000_s25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249</xdr:col>
          <xdr:colOff>295275</xdr:colOff>
          <xdr:row>43</xdr:row>
          <xdr:rowOff>104775</xdr:rowOff>
        </xdr:from>
        <xdr:to>
          <xdr:col>249</xdr:col>
          <xdr:colOff>752475</xdr:colOff>
          <xdr:row>44</xdr:row>
          <xdr:rowOff>200025</xdr:rowOff>
        </xdr:to>
        <xdr:sp macro="" textlink="">
          <xdr:nvSpPr>
            <xdr:cNvPr id="2558" name="Object 510" hidden="1">
              <a:extLst>
                <a:ext uri="{63B3BB69-23CF-44E3-9099-C40C66FF867C}">
                  <a14:compatExt spid="_x0000_s25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268</xdr:col>
          <xdr:colOff>314325</xdr:colOff>
          <xdr:row>46</xdr:row>
          <xdr:rowOff>142875</xdr:rowOff>
        </xdr:from>
        <xdr:to>
          <xdr:col>268</xdr:col>
          <xdr:colOff>723900</xdr:colOff>
          <xdr:row>47</xdr:row>
          <xdr:rowOff>85725</xdr:rowOff>
        </xdr:to>
        <xdr:sp macro="" textlink="">
          <xdr:nvSpPr>
            <xdr:cNvPr id="2559" name="Object 511" hidden="1">
              <a:extLst>
                <a:ext uri="{63B3BB69-23CF-44E3-9099-C40C66FF867C}">
                  <a14:compatExt spid="_x0000_s25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271</xdr:col>
          <xdr:colOff>381000</xdr:colOff>
          <xdr:row>46</xdr:row>
          <xdr:rowOff>142875</xdr:rowOff>
        </xdr:from>
        <xdr:to>
          <xdr:col>271</xdr:col>
          <xdr:colOff>638175</xdr:colOff>
          <xdr:row>47</xdr:row>
          <xdr:rowOff>142875</xdr:rowOff>
        </xdr:to>
        <xdr:sp macro="" textlink="">
          <xdr:nvSpPr>
            <xdr:cNvPr id="2560" name="Object 512" hidden="1">
              <a:extLst>
                <a:ext uri="{63B3BB69-23CF-44E3-9099-C40C66FF867C}">
                  <a14:compatExt spid="_x0000_s25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272</xdr:col>
          <xdr:colOff>381000</xdr:colOff>
          <xdr:row>46</xdr:row>
          <xdr:rowOff>142875</xdr:rowOff>
        </xdr:from>
        <xdr:to>
          <xdr:col>272</xdr:col>
          <xdr:colOff>638175</xdr:colOff>
          <xdr:row>47</xdr:row>
          <xdr:rowOff>142875</xdr:rowOff>
        </xdr:to>
        <xdr:sp macro="" textlink="">
          <xdr:nvSpPr>
            <xdr:cNvPr id="2561" name="Object 513" hidden="1">
              <a:extLst>
                <a:ext uri="{63B3BB69-23CF-44E3-9099-C40C66FF867C}">
                  <a14:compatExt spid="_x0000_s25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273</xdr:col>
          <xdr:colOff>381000</xdr:colOff>
          <xdr:row>46</xdr:row>
          <xdr:rowOff>142875</xdr:rowOff>
        </xdr:from>
        <xdr:to>
          <xdr:col>273</xdr:col>
          <xdr:colOff>638175</xdr:colOff>
          <xdr:row>47</xdr:row>
          <xdr:rowOff>142875</xdr:rowOff>
        </xdr:to>
        <xdr:sp macro="" textlink="">
          <xdr:nvSpPr>
            <xdr:cNvPr id="2562" name="Object 514" hidden="1">
              <a:extLst>
                <a:ext uri="{63B3BB69-23CF-44E3-9099-C40C66FF867C}">
                  <a14:compatExt spid="_x0000_s25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274</xdr:col>
          <xdr:colOff>390525</xdr:colOff>
          <xdr:row>46</xdr:row>
          <xdr:rowOff>142875</xdr:rowOff>
        </xdr:from>
        <xdr:to>
          <xdr:col>274</xdr:col>
          <xdr:colOff>647700</xdr:colOff>
          <xdr:row>47</xdr:row>
          <xdr:rowOff>142875</xdr:rowOff>
        </xdr:to>
        <xdr:sp macro="" textlink="">
          <xdr:nvSpPr>
            <xdr:cNvPr id="2563" name="Object 515" hidden="1">
              <a:extLst>
                <a:ext uri="{63B3BB69-23CF-44E3-9099-C40C66FF867C}">
                  <a14:compatExt spid="_x0000_s25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275</xdr:col>
          <xdr:colOff>381000</xdr:colOff>
          <xdr:row>46</xdr:row>
          <xdr:rowOff>142875</xdr:rowOff>
        </xdr:from>
        <xdr:to>
          <xdr:col>275</xdr:col>
          <xdr:colOff>638175</xdr:colOff>
          <xdr:row>47</xdr:row>
          <xdr:rowOff>142875</xdr:rowOff>
        </xdr:to>
        <xdr:sp macro="" textlink="">
          <xdr:nvSpPr>
            <xdr:cNvPr id="2564" name="Object 516" hidden="1">
              <a:extLst>
                <a:ext uri="{63B3BB69-23CF-44E3-9099-C40C66FF867C}">
                  <a14:compatExt spid="_x0000_s25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276</xdr:col>
          <xdr:colOff>352425</xdr:colOff>
          <xdr:row>46</xdr:row>
          <xdr:rowOff>142875</xdr:rowOff>
        </xdr:from>
        <xdr:to>
          <xdr:col>276</xdr:col>
          <xdr:colOff>619125</xdr:colOff>
          <xdr:row>47</xdr:row>
          <xdr:rowOff>142875</xdr:rowOff>
        </xdr:to>
        <xdr:sp macro="" textlink="">
          <xdr:nvSpPr>
            <xdr:cNvPr id="2565" name="Object 517" hidden="1">
              <a:extLst>
                <a:ext uri="{63B3BB69-23CF-44E3-9099-C40C66FF867C}">
                  <a14:compatExt spid="_x0000_s25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277</xdr:col>
          <xdr:colOff>428625</xdr:colOff>
          <xdr:row>46</xdr:row>
          <xdr:rowOff>142875</xdr:rowOff>
        </xdr:from>
        <xdr:to>
          <xdr:col>277</xdr:col>
          <xdr:colOff>619125</xdr:colOff>
          <xdr:row>47</xdr:row>
          <xdr:rowOff>142875</xdr:rowOff>
        </xdr:to>
        <xdr:sp macro="" textlink="">
          <xdr:nvSpPr>
            <xdr:cNvPr id="2566" name="Object 518" hidden="1">
              <a:extLst>
                <a:ext uri="{63B3BB69-23CF-44E3-9099-C40C66FF867C}">
                  <a14:compatExt spid="_x0000_s25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278</xdr:col>
          <xdr:colOff>390525</xdr:colOff>
          <xdr:row>46</xdr:row>
          <xdr:rowOff>142875</xdr:rowOff>
        </xdr:from>
        <xdr:to>
          <xdr:col>278</xdr:col>
          <xdr:colOff>619125</xdr:colOff>
          <xdr:row>47</xdr:row>
          <xdr:rowOff>142875</xdr:rowOff>
        </xdr:to>
        <xdr:sp macro="" textlink="">
          <xdr:nvSpPr>
            <xdr:cNvPr id="2567" name="Object 519" hidden="1">
              <a:extLst>
                <a:ext uri="{63B3BB69-23CF-44E3-9099-C40C66FF867C}">
                  <a14:compatExt spid="_x0000_s25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279</xdr:col>
          <xdr:colOff>219075</xdr:colOff>
          <xdr:row>46</xdr:row>
          <xdr:rowOff>114300</xdr:rowOff>
        </xdr:from>
        <xdr:to>
          <xdr:col>279</xdr:col>
          <xdr:colOff>838200</xdr:colOff>
          <xdr:row>47</xdr:row>
          <xdr:rowOff>142875</xdr:rowOff>
        </xdr:to>
        <xdr:sp macro="" textlink="">
          <xdr:nvSpPr>
            <xdr:cNvPr id="2568" name="Object 520" hidden="1">
              <a:extLst>
                <a:ext uri="{63B3BB69-23CF-44E3-9099-C40C66FF867C}">
                  <a14:compatExt spid="_x0000_s25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280</xdr:col>
          <xdr:colOff>381000</xdr:colOff>
          <xdr:row>46</xdr:row>
          <xdr:rowOff>142875</xdr:rowOff>
        </xdr:from>
        <xdr:to>
          <xdr:col>280</xdr:col>
          <xdr:colOff>638175</xdr:colOff>
          <xdr:row>47</xdr:row>
          <xdr:rowOff>142875</xdr:rowOff>
        </xdr:to>
        <xdr:sp macro="" textlink="">
          <xdr:nvSpPr>
            <xdr:cNvPr id="2569" name="Object 521" hidden="1">
              <a:extLst>
                <a:ext uri="{63B3BB69-23CF-44E3-9099-C40C66FF867C}">
                  <a14:compatExt spid="_x0000_s25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281</xdr:col>
          <xdr:colOff>381000</xdr:colOff>
          <xdr:row>46</xdr:row>
          <xdr:rowOff>142875</xdr:rowOff>
        </xdr:from>
        <xdr:to>
          <xdr:col>281</xdr:col>
          <xdr:colOff>638175</xdr:colOff>
          <xdr:row>47</xdr:row>
          <xdr:rowOff>142875</xdr:rowOff>
        </xdr:to>
        <xdr:sp macro="" textlink="">
          <xdr:nvSpPr>
            <xdr:cNvPr id="2570" name="Object 522" hidden="1">
              <a:extLst>
                <a:ext uri="{63B3BB69-23CF-44E3-9099-C40C66FF867C}">
                  <a14:compatExt spid="_x0000_s25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282</xdr:col>
          <xdr:colOff>381000</xdr:colOff>
          <xdr:row>46</xdr:row>
          <xdr:rowOff>142875</xdr:rowOff>
        </xdr:from>
        <xdr:to>
          <xdr:col>282</xdr:col>
          <xdr:colOff>638175</xdr:colOff>
          <xdr:row>47</xdr:row>
          <xdr:rowOff>142875</xdr:rowOff>
        </xdr:to>
        <xdr:sp macro="" textlink="">
          <xdr:nvSpPr>
            <xdr:cNvPr id="2571" name="Object 523" hidden="1">
              <a:extLst>
                <a:ext uri="{63B3BB69-23CF-44E3-9099-C40C66FF867C}">
                  <a14:compatExt spid="_x0000_s25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283</xdr:col>
          <xdr:colOff>390525</xdr:colOff>
          <xdr:row>46</xdr:row>
          <xdr:rowOff>142875</xdr:rowOff>
        </xdr:from>
        <xdr:to>
          <xdr:col>283</xdr:col>
          <xdr:colOff>647700</xdr:colOff>
          <xdr:row>47</xdr:row>
          <xdr:rowOff>142875</xdr:rowOff>
        </xdr:to>
        <xdr:sp macro="" textlink="">
          <xdr:nvSpPr>
            <xdr:cNvPr id="2572" name="Object 524" hidden="1">
              <a:extLst>
                <a:ext uri="{63B3BB69-23CF-44E3-9099-C40C66FF867C}">
                  <a14:compatExt spid="_x0000_s25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284</xdr:col>
          <xdr:colOff>381000</xdr:colOff>
          <xdr:row>46</xdr:row>
          <xdr:rowOff>142875</xdr:rowOff>
        </xdr:from>
        <xdr:to>
          <xdr:col>284</xdr:col>
          <xdr:colOff>638175</xdr:colOff>
          <xdr:row>47</xdr:row>
          <xdr:rowOff>142875</xdr:rowOff>
        </xdr:to>
        <xdr:sp macro="" textlink="">
          <xdr:nvSpPr>
            <xdr:cNvPr id="2573" name="Object 525" hidden="1">
              <a:extLst>
                <a:ext uri="{63B3BB69-23CF-44E3-9099-C40C66FF867C}">
                  <a14:compatExt spid="_x0000_s25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285</xdr:col>
          <xdr:colOff>352425</xdr:colOff>
          <xdr:row>46</xdr:row>
          <xdr:rowOff>142875</xdr:rowOff>
        </xdr:from>
        <xdr:to>
          <xdr:col>285</xdr:col>
          <xdr:colOff>619125</xdr:colOff>
          <xdr:row>47</xdr:row>
          <xdr:rowOff>142875</xdr:rowOff>
        </xdr:to>
        <xdr:sp macro="" textlink="">
          <xdr:nvSpPr>
            <xdr:cNvPr id="2574" name="Object 526" hidden="1">
              <a:extLst>
                <a:ext uri="{63B3BB69-23CF-44E3-9099-C40C66FF867C}">
                  <a14:compatExt spid="_x0000_s25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286</xdr:col>
          <xdr:colOff>428625</xdr:colOff>
          <xdr:row>46</xdr:row>
          <xdr:rowOff>142875</xdr:rowOff>
        </xdr:from>
        <xdr:to>
          <xdr:col>286</xdr:col>
          <xdr:colOff>619125</xdr:colOff>
          <xdr:row>47</xdr:row>
          <xdr:rowOff>142875</xdr:rowOff>
        </xdr:to>
        <xdr:sp macro="" textlink="">
          <xdr:nvSpPr>
            <xdr:cNvPr id="2575" name="Object 527" hidden="1">
              <a:extLst>
                <a:ext uri="{63B3BB69-23CF-44E3-9099-C40C66FF867C}">
                  <a14:compatExt spid="_x0000_s25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287</xdr:col>
          <xdr:colOff>390525</xdr:colOff>
          <xdr:row>46</xdr:row>
          <xdr:rowOff>142875</xdr:rowOff>
        </xdr:from>
        <xdr:to>
          <xdr:col>287</xdr:col>
          <xdr:colOff>619125</xdr:colOff>
          <xdr:row>47</xdr:row>
          <xdr:rowOff>142875</xdr:rowOff>
        </xdr:to>
        <xdr:sp macro="" textlink="">
          <xdr:nvSpPr>
            <xdr:cNvPr id="2576" name="Object 528" hidden="1">
              <a:extLst>
                <a:ext uri="{63B3BB69-23CF-44E3-9099-C40C66FF867C}">
                  <a14:compatExt spid="_x0000_s25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288</xdr:col>
          <xdr:colOff>76200</xdr:colOff>
          <xdr:row>46</xdr:row>
          <xdr:rowOff>114300</xdr:rowOff>
        </xdr:from>
        <xdr:to>
          <xdr:col>288</xdr:col>
          <xdr:colOff>1000125</xdr:colOff>
          <xdr:row>47</xdr:row>
          <xdr:rowOff>161925</xdr:rowOff>
        </xdr:to>
        <xdr:sp macro="" textlink="">
          <xdr:nvSpPr>
            <xdr:cNvPr id="2577" name="Object 529" hidden="1">
              <a:extLst>
                <a:ext uri="{63B3BB69-23CF-44E3-9099-C40C66FF867C}">
                  <a14:compatExt spid="_x0000_s25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289</xdr:col>
          <xdr:colOff>390525</xdr:colOff>
          <xdr:row>46</xdr:row>
          <xdr:rowOff>142875</xdr:rowOff>
        </xdr:from>
        <xdr:to>
          <xdr:col>289</xdr:col>
          <xdr:colOff>619125</xdr:colOff>
          <xdr:row>47</xdr:row>
          <xdr:rowOff>142875</xdr:rowOff>
        </xdr:to>
        <xdr:sp macro="" textlink="">
          <xdr:nvSpPr>
            <xdr:cNvPr id="2578" name="Object 530" hidden="1">
              <a:extLst>
                <a:ext uri="{63B3BB69-23CF-44E3-9099-C40C66FF867C}">
                  <a14:compatExt spid="_x0000_s25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290</xdr:col>
          <xdr:colOff>76200</xdr:colOff>
          <xdr:row>46</xdr:row>
          <xdr:rowOff>114300</xdr:rowOff>
        </xdr:from>
        <xdr:to>
          <xdr:col>290</xdr:col>
          <xdr:colOff>1000125</xdr:colOff>
          <xdr:row>47</xdr:row>
          <xdr:rowOff>161925</xdr:rowOff>
        </xdr:to>
        <xdr:sp macro="" textlink="">
          <xdr:nvSpPr>
            <xdr:cNvPr id="2579" name="Object 531" hidden="1">
              <a:extLst>
                <a:ext uri="{63B3BB69-23CF-44E3-9099-C40C66FF867C}">
                  <a14:compatExt spid="_x0000_s25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291</xdr:col>
          <xdr:colOff>76200</xdr:colOff>
          <xdr:row>46</xdr:row>
          <xdr:rowOff>114300</xdr:rowOff>
        </xdr:from>
        <xdr:to>
          <xdr:col>291</xdr:col>
          <xdr:colOff>1000125</xdr:colOff>
          <xdr:row>47</xdr:row>
          <xdr:rowOff>161925</xdr:rowOff>
        </xdr:to>
        <xdr:sp macro="" textlink="">
          <xdr:nvSpPr>
            <xdr:cNvPr id="2580" name="Object 532" hidden="1">
              <a:extLst>
                <a:ext uri="{63B3BB69-23CF-44E3-9099-C40C66FF867C}">
                  <a14:compatExt spid="_x0000_s25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292</xdr:col>
          <xdr:colOff>200025</xdr:colOff>
          <xdr:row>46</xdr:row>
          <xdr:rowOff>114300</xdr:rowOff>
        </xdr:from>
        <xdr:to>
          <xdr:col>292</xdr:col>
          <xdr:colOff>800100</xdr:colOff>
          <xdr:row>47</xdr:row>
          <xdr:rowOff>142875</xdr:rowOff>
        </xdr:to>
        <xdr:sp macro="" textlink="">
          <xdr:nvSpPr>
            <xdr:cNvPr id="2581" name="Object 533" hidden="1">
              <a:extLst>
                <a:ext uri="{63B3BB69-23CF-44E3-9099-C40C66FF867C}">
                  <a14:compatExt spid="_x0000_s25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293</xdr:col>
          <xdr:colOff>200025</xdr:colOff>
          <xdr:row>46</xdr:row>
          <xdr:rowOff>114300</xdr:rowOff>
        </xdr:from>
        <xdr:to>
          <xdr:col>293</xdr:col>
          <xdr:colOff>800100</xdr:colOff>
          <xdr:row>47</xdr:row>
          <xdr:rowOff>142875</xdr:rowOff>
        </xdr:to>
        <xdr:sp macro="" textlink="">
          <xdr:nvSpPr>
            <xdr:cNvPr id="2582" name="Object 534" hidden="1">
              <a:extLst>
                <a:ext uri="{63B3BB69-23CF-44E3-9099-C40C66FF867C}">
                  <a14:compatExt spid="_x0000_s25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304</xdr:col>
          <xdr:colOff>76200</xdr:colOff>
          <xdr:row>46</xdr:row>
          <xdr:rowOff>123825</xdr:rowOff>
        </xdr:from>
        <xdr:to>
          <xdr:col>304</xdr:col>
          <xdr:colOff>923925</xdr:colOff>
          <xdr:row>47</xdr:row>
          <xdr:rowOff>219075</xdr:rowOff>
        </xdr:to>
        <xdr:sp macro="" textlink="">
          <xdr:nvSpPr>
            <xdr:cNvPr id="2583" name="Object 535" hidden="1">
              <a:extLst>
                <a:ext uri="{63B3BB69-23CF-44E3-9099-C40C66FF867C}">
                  <a14:compatExt spid="_x0000_s25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303</xdr:col>
          <xdr:colOff>219075</xdr:colOff>
          <xdr:row>43</xdr:row>
          <xdr:rowOff>85725</xdr:rowOff>
        </xdr:from>
        <xdr:to>
          <xdr:col>303</xdr:col>
          <xdr:colOff>876300</xdr:colOff>
          <xdr:row>44</xdr:row>
          <xdr:rowOff>161925</xdr:rowOff>
        </xdr:to>
        <xdr:sp macro="" textlink="">
          <xdr:nvSpPr>
            <xdr:cNvPr id="2584" name="Object 536" hidden="1">
              <a:extLst>
                <a:ext uri="{63B3BB69-23CF-44E3-9099-C40C66FF867C}">
                  <a14:compatExt spid="_x0000_s25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305</xdr:col>
          <xdr:colOff>390525</xdr:colOff>
          <xdr:row>43</xdr:row>
          <xdr:rowOff>28575</xdr:rowOff>
        </xdr:from>
        <xdr:to>
          <xdr:col>305</xdr:col>
          <xdr:colOff>619125</xdr:colOff>
          <xdr:row>44</xdr:row>
          <xdr:rowOff>219075</xdr:rowOff>
        </xdr:to>
        <xdr:sp macro="" textlink="">
          <xdr:nvSpPr>
            <xdr:cNvPr id="2585" name="Object 537" hidden="1">
              <a:extLst>
                <a:ext uri="{63B3BB69-23CF-44E3-9099-C40C66FF867C}">
                  <a14:compatExt spid="_x0000_s25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306</xdr:col>
          <xdr:colOff>104775</xdr:colOff>
          <xdr:row>43</xdr:row>
          <xdr:rowOff>66675</xdr:rowOff>
        </xdr:from>
        <xdr:to>
          <xdr:col>306</xdr:col>
          <xdr:colOff>923925</xdr:colOff>
          <xdr:row>44</xdr:row>
          <xdr:rowOff>114300</xdr:rowOff>
        </xdr:to>
        <xdr:sp macro="" textlink="">
          <xdr:nvSpPr>
            <xdr:cNvPr id="2586" name="Object 538" hidden="1">
              <a:extLst>
                <a:ext uri="{63B3BB69-23CF-44E3-9099-C40C66FF867C}">
                  <a14:compatExt spid="_x0000_s25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308</xdr:col>
          <xdr:colOff>428625</xdr:colOff>
          <xdr:row>46</xdr:row>
          <xdr:rowOff>161925</xdr:rowOff>
        </xdr:from>
        <xdr:to>
          <xdr:col>308</xdr:col>
          <xdr:colOff>600075</xdr:colOff>
          <xdr:row>47</xdr:row>
          <xdr:rowOff>114300</xdr:rowOff>
        </xdr:to>
        <xdr:sp macro="" textlink="">
          <xdr:nvSpPr>
            <xdr:cNvPr id="2587" name="Object 539" hidden="1">
              <a:extLst>
                <a:ext uri="{63B3BB69-23CF-44E3-9099-C40C66FF867C}">
                  <a14:compatExt spid="_x0000_s25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310</xdr:col>
          <xdr:colOff>142875</xdr:colOff>
          <xdr:row>46</xdr:row>
          <xdr:rowOff>142875</xdr:rowOff>
        </xdr:from>
        <xdr:to>
          <xdr:col>310</xdr:col>
          <xdr:colOff>800100</xdr:colOff>
          <xdr:row>47</xdr:row>
          <xdr:rowOff>161925</xdr:rowOff>
        </xdr:to>
        <xdr:sp macro="" textlink="">
          <xdr:nvSpPr>
            <xdr:cNvPr id="2588" name="Object 540" hidden="1">
              <a:extLst>
                <a:ext uri="{63B3BB69-23CF-44E3-9099-C40C66FF867C}">
                  <a14:compatExt spid="_x0000_s25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317</xdr:col>
          <xdr:colOff>123825</xdr:colOff>
          <xdr:row>46</xdr:row>
          <xdr:rowOff>114300</xdr:rowOff>
        </xdr:from>
        <xdr:to>
          <xdr:col>317</xdr:col>
          <xdr:colOff>923925</xdr:colOff>
          <xdr:row>47</xdr:row>
          <xdr:rowOff>142875</xdr:rowOff>
        </xdr:to>
        <xdr:sp macro="" textlink="">
          <xdr:nvSpPr>
            <xdr:cNvPr id="2589" name="Object 541" hidden="1">
              <a:extLst>
                <a:ext uri="{63B3BB69-23CF-44E3-9099-C40C66FF867C}">
                  <a14:compatExt spid="_x0000_s25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318</xdr:col>
          <xdr:colOff>257175</xdr:colOff>
          <xdr:row>46</xdr:row>
          <xdr:rowOff>114300</xdr:rowOff>
        </xdr:from>
        <xdr:to>
          <xdr:col>318</xdr:col>
          <xdr:colOff>762000</xdr:colOff>
          <xdr:row>47</xdr:row>
          <xdr:rowOff>142875</xdr:rowOff>
        </xdr:to>
        <xdr:sp macro="" textlink="">
          <xdr:nvSpPr>
            <xdr:cNvPr id="2590" name="Object 542" hidden="1">
              <a:extLst>
                <a:ext uri="{63B3BB69-23CF-44E3-9099-C40C66FF867C}">
                  <a14:compatExt spid="_x0000_s25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323</xdr:col>
          <xdr:colOff>123825</xdr:colOff>
          <xdr:row>46</xdr:row>
          <xdr:rowOff>114300</xdr:rowOff>
        </xdr:from>
        <xdr:to>
          <xdr:col>323</xdr:col>
          <xdr:colOff>923925</xdr:colOff>
          <xdr:row>47</xdr:row>
          <xdr:rowOff>142875</xdr:rowOff>
        </xdr:to>
        <xdr:sp macro="" textlink="">
          <xdr:nvSpPr>
            <xdr:cNvPr id="2591" name="Object 543" hidden="1">
              <a:extLst>
                <a:ext uri="{63B3BB69-23CF-44E3-9099-C40C66FF867C}">
                  <a14:compatExt spid="_x0000_s25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324</xdr:col>
          <xdr:colOff>257175</xdr:colOff>
          <xdr:row>46</xdr:row>
          <xdr:rowOff>114300</xdr:rowOff>
        </xdr:from>
        <xdr:to>
          <xdr:col>324</xdr:col>
          <xdr:colOff>762000</xdr:colOff>
          <xdr:row>47</xdr:row>
          <xdr:rowOff>142875</xdr:rowOff>
        </xdr:to>
        <xdr:sp macro="" textlink="">
          <xdr:nvSpPr>
            <xdr:cNvPr id="2592" name="Object 544" hidden="1">
              <a:extLst>
                <a:ext uri="{63B3BB69-23CF-44E3-9099-C40C66FF867C}">
                  <a14:compatExt spid="_x0000_s25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325</xdr:col>
          <xdr:colOff>257175</xdr:colOff>
          <xdr:row>46</xdr:row>
          <xdr:rowOff>114300</xdr:rowOff>
        </xdr:from>
        <xdr:to>
          <xdr:col>325</xdr:col>
          <xdr:colOff>752475</xdr:colOff>
          <xdr:row>47</xdr:row>
          <xdr:rowOff>142875</xdr:rowOff>
        </xdr:to>
        <xdr:sp macro="" textlink="">
          <xdr:nvSpPr>
            <xdr:cNvPr id="2593" name="Object 545" hidden="1">
              <a:extLst>
                <a:ext uri="{63B3BB69-23CF-44E3-9099-C40C66FF867C}">
                  <a14:compatExt spid="_x0000_s25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326</xdr:col>
          <xdr:colOff>123825</xdr:colOff>
          <xdr:row>46</xdr:row>
          <xdr:rowOff>114300</xdr:rowOff>
        </xdr:from>
        <xdr:to>
          <xdr:col>326</xdr:col>
          <xdr:colOff>904875</xdr:colOff>
          <xdr:row>47</xdr:row>
          <xdr:rowOff>142875</xdr:rowOff>
        </xdr:to>
        <xdr:sp macro="" textlink="">
          <xdr:nvSpPr>
            <xdr:cNvPr id="2594" name="Object 546" hidden="1">
              <a:extLst>
                <a:ext uri="{63B3BB69-23CF-44E3-9099-C40C66FF867C}">
                  <a14:compatExt spid="_x0000_s25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307</xdr:col>
          <xdr:colOff>304800</xdr:colOff>
          <xdr:row>43</xdr:row>
          <xdr:rowOff>85725</xdr:rowOff>
        </xdr:from>
        <xdr:to>
          <xdr:col>307</xdr:col>
          <xdr:colOff>876300</xdr:colOff>
          <xdr:row>44</xdr:row>
          <xdr:rowOff>161925</xdr:rowOff>
        </xdr:to>
        <xdr:sp macro="" textlink="">
          <xdr:nvSpPr>
            <xdr:cNvPr id="2595" name="Object 547" hidden="1">
              <a:extLst>
                <a:ext uri="{63B3BB69-23CF-44E3-9099-C40C66FF867C}">
                  <a14:compatExt spid="_x0000_s25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308</xdr:col>
          <xdr:colOff>295275</xdr:colOff>
          <xdr:row>43</xdr:row>
          <xdr:rowOff>104775</xdr:rowOff>
        </xdr:from>
        <xdr:to>
          <xdr:col>308</xdr:col>
          <xdr:colOff>752475</xdr:colOff>
          <xdr:row>44</xdr:row>
          <xdr:rowOff>200025</xdr:rowOff>
        </xdr:to>
        <xdr:sp macro="" textlink="">
          <xdr:nvSpPr>
            <xdr:cNvPr id="2596" name="Object 548" hidden="1">
              <a:extLst>
                <a:ext uri="{63B3BB69-23CF-44E3-9099-C40C66FF867C}">
                  <a14:compatExt spid="_x0000_s25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327</xdr:col>
          <xdr:colOff>314325</xdr:colOff>
          <xdr:row>46</xdr:row>
          <xdr:rowOff>142875</xdr:rowOff>
        </xdr:from>
        <xdr:to>
          <xdr:col>327</xdr:col>
          <xdr:colOff>723900</xdr:colOff>
          <xdr:row>47</xdr:row>
          <xdr:rowOff>85725</xdr:rowOff>
        </xdr:to>
        <xdr:sp macro="" textlink="">
          <xdr:nvSpPr>
            <xdr:cNvPr id="2597" name="Object 549" hidden="1">
              <a:extLst>
                <a:ext uri="{63B3BB69-23CF-44E3-9099-C40C66FF867C}">
                  <a14:compatExt spid="_x0000_s25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330</xdr:col>
          <xdr:colOff>381000</xdr:colOff>
          <xdr:row>46</xdr:row>
          <xdr:rowOff>142875</xdr:rowOff>
        </xdr:from>
        <xdr:to>
          <xdr:col>330</xdr:col>
          <xdr:colOff>638175</xdr:colOff>
          <xdr:row>47</xdr:row>
          <xdr:rowOff>142875</xdr:rowOff>
        </xdr:to>
        <xdr:sp macro="" textlink="">
          <xdr:nvSpPr>
            <xdr:cNvPr id="2598" name="Object 550" hidden="1">
              <a:extLst>
                <a:ext uri="{63B3BB69-23CF-44E3-9099-C40C66FF867C}">
                  <a14:compatExt spid="_x0000_s25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331</xdr:col>
          <xdr:colOff>381000</xdr:colOff>
          <xdr:row>46</xdr:row>
          <xdr:rowOff>142875</xdr:rowOff>
        </xdr:from>
        <xdr:to>
          <xdr:col>331</xdr:col>
          <xdr:colOff>638175</xdr:colOff>
          <xdr:row>47</xdr:row>
          <xdr:rowOff>142875</xdr:rowOff>
        </xdr:to>
        <xdr:sp macro="" textlink="">
          <xdr:nvSpPr>
            <xdr:cNvPr id="2599" name="Object 551" hidden="1">
              <a:extLst>
                <a:ext uri="{63B3BB69-23CF-44E3-9099-C40C66FF867C}">
                  <a14:compatExt spid="_x0000_s25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332</xdr:col>
          <xdr:colOff>381000</xdr:colOff>
          <xdr:row>46</xdr:row>
          <xdr:rowOff>142875</xdr:rowOff>
        </xdr:from>
        <xdr:to>
          <xdr:col>332</xdr:col>
          <xdr:colOff>638175</xdr:colOff>
          <xdr:row>47</xdr:row>
          <xdr:rowOff>142875</xdr:rowOff>
        </xdr:to>
        <xdr:sp macro="" textlink="">
          <xdr:nvSpPr>
            <xdr:cNvPr id="2600" name="Object 552" hidden="1">
              <a:extLst>
                <a:ext uri="{63B3BB69-23CF-44E3-9099-C40C66FF867C}">
                  <a14:compatExt spid="_x0000_s26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333</xdr:col>
          <xdr:colOff>390525</xdr:colOff>
          <xdr:row>46</xdr:row>
          <xdr:rowOff>142875</xdr:rowOff>
        </xdr:from>
        <xdr:to>
          <xdr:col>333</xdr:col>
          <xdr:colOff>647700</xdr:colOff>
          <xdr:row>47</xdr:row>
          <xdr:rowOff>142875</xdr:rowOff>
        </xdr:to>
        <xdr:sp macro="" textlink="">
          <xdr:nvSpPr>
            <xdr:cNvPr id="2601" name="Object 553" hidden="1">
              <a:extLst>
                <a:ext uri="{63B3BB69-23CF-44E3-9099-C40C66FF867C}">
                  <a14:compatExt spid="_x0000_s26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334</xdr:col>
          <xdr:colOff>381000</xdr:colOff>
          <xdr:row>46</xdr:row>
          <xdr:rowOff>142875</xdr:rowOff>
        </xdr:from>
        <xdr:to>
          <xdr:col>334</xdr:col>
          <xdr:colOff>638175</xdr:colOff>
          <xdr:row>47</xdr:row>
          <xdr:rowOff>142875</xdr:rowOff>
        </xdr:to>
        <xdr:sp macro="" textlink="">
          <xdr:nvSpPr>
            <xdr:cNvPr id="2602" name="Object 554" hidden="1">
              <a:extLst>
                <a:ext uri="{63B3BB69-23CF-44E3-9099-C40C66FF867C}">
                  <a14:compatExt spid="_x0000_s26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335</xdr:col>
          <xdr:colOff>352425</xdr:colOff>
          <xdr:row>46</xdr:row>
          <xdr:rowOff>142875</xdr:rowOff>
        </xdr:from>
        <xdr:to>
          <xdr:col>335</xdr:col>
          <xdr:colOff>619125</xdr:colOff>
          <xdr:row>47</xdr:row>
          <xdr:rowOff>142875</xdr:rowOff>
        </xdr:to>
        <xdr:sp macro="" textlink="">
          <xdr:nvSpPr>
            <xdr:cNvPr id="2603" name="Object 555" hidden="1">
              <a:extLst>
                <a:ext uri="{63B3BB69-23CF-44E3-9099-C40C66FF867C}">
                  <a14:compatExt spid="_x0000_s26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336</xdr:col>
          <xdr:colOff>428625</xdr:colOff>
          <xdr:row>46</xdr:row>
          <xdr:rowOff>142875</xdr:rowOff>
        </xdr:from>
        <xdr:to>
          <xdr:col>336</xdr:col>
          <xdr:colOff>619125</xdr:colOff>
          <xdr:row>47</xdr:row>
          <xdr:rowOff>142875</xdr:rowOff>
        </xdr:to>
        <xdr:sp macro="" textlink="">
          <xdr:nvSpPr>
            <xdr:cNvPr id="2604" name="Object 556" hidden="1">
              <a:extLst>
                <a:ext uri="{63B3BB69-23CF-44E3-9099-C40C66FF867C}">
                  <a14:compatExt spid="_x0000_s26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337</xdr:col>
          <xdr:colOff>390525</xdr:colOff>
          <xdr:row>46</xdr:row>
          <xdr:rowOff>142875</xdr:rowOff>
        </xdr:from>
        <xdr:to>
          <xdr:col>337</xdr:col>
          <xdr:colOff>619125</xdr:colOff>
          <xdr:row>47</xdr:row>
          <xdr:rowOff>142875</xdr:rowOff>
        </xdr:to>
        <xdr:sp macro="" textlink="">
          <xdr:nvSpPr>
            <xdr:cNvPr id="2605" name="Object 557" hidden="1">
              <a:extLst>
                <a:ext uri="{63B3BB69-23CF-44E3-9099-C40C66FF867C}">
                  <a14:compatExt spid="_x0000_s26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338</xdr:col>
          <xdr:colOff>219075</xdr:colOff>
          <xdr:row>46</xdr:row>
          <xdr:rowOff>114300</xdr:rowOff>
        </xdr:from>
        <xdr:to>
          <xdr:col>338</xdr:col>
          <xdr:colOff>838200</xdr:colOff>
          <xdr:row>47</xdr:row>
          <xdr:rowOff>142875</xdr:rowOff>
        </xdr:to>
        <xdr:sp macro="" textlink="">
          <xdr:nvSpPr>
            <xdr:cNvPr id="2606" name="Object 558" hidden="1">
              <a:extLst>
                <a:ext uri="{63B3BB69-23CF-44E3-9099-C40C66FF867C}">
                  <a14:compatExt spid="_x0000_s26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339</xdr:col>
          <xdr:colOff>381000</xdr:colOff>
          <xdr:row>46</xdr:row>
          <xdr:rowOff>142875</xdr:rowOff>
        </xdr:from>
        <xdr:to>
          <xdr:col>339</xdr:col>
          <xdr:colOff>638175</xdr:colOff>
          <xdr:row>47</xdr:row>
          <xdr:rowOff>142875</xdr:rowOff>
        </xdr:to>
        <xdr:sp macro="" textlink="">
          <xdr:nvSpPr>
            <xdr:cNvPr id="2607" name="Object 559" hidden="1">
              <a:extLst>
                <a:ext uri="{63B3BB69-23CF-44E3-9099-C40C66FF867C}">
                  <a14:compatExt spid="_x0000_s26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340</xdr:col>
          <xdr:colOff>381000</xdr:colOff>
          <xdr:row>46</xdr:row>
          <xdr:rowOff>142875</xdr:rowOff>
        </xdr:from>
        <xdr:to>
          <xdr:col>340</xdr:col>
          <xdr:colOff>638175</xdr:colOff>
          <xdr:row>47</xdr:row>
          <xdr:rowOff>142875</xdr:rowOff>
        </xdr:to>
        <xdr:sp macro="" textlink="">
          <xdr:nvSpPr>
            <xdr:cNvPr id="2608" name="Object 560" hidden="1">
              <a:extLst>
                <a:ext uri="{63B3BB69-23CF-44E3-9099-C40C66FF867C}">
                  <a14:compatExt spid="_x0000_s26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341</xdr:col>
          <xdr:colOff>381000</xdr:colOff>
          <xdr:row>46</xdr:row>
          <xdr:rowOff>142875</xdr:rowOff>
        </xdr:from>
        <xdr:to>
          <xdr:col>341</xdr:col>
          <xdr:colOff>638175</xdr:colOff>
          <xdr:row>47</xdr:row>
          <xdr:rowOff>142875</xdr:rowOff>
        </xdr:to>
        <xdr:sp macro="" textlink="">
          <xdr:nvSpPr>
            <xdr:cNvPr id="2609" name="Object 561" hidden="1">
              <a:extLst>
                <a:ext uri="{63B3BB69-23CF-44E3-9099-C40C66FF867C}">
                  <a14:compatExt spid="_x0000_s26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342</xdr:col>
          <xdr:colOff>390525</xdr:colOff>
          <xdr:row>46</xdr:row>
          <xdr:rowOff>142875</xdr:rowOff>
        </xdr:from>
        <xdr:to>
          <xdr:col>342</xdr:col>
          <xdr:colOff>647700</xdr:colOff>
          <xdr:row>47</xdr:row>
          <xdr:rowOff>142875</xdr:rowOff>
        </xdr:to>
        <xdr:sp macro="" textlink="">
          <xdr:nvSpPr>
            <xdr:cNvPr id="2610" name="Object 562" hidden="1">
              <a:extLst>
                <a:ext uri="{63B3BB69-23CF-44E3-9099-C40C66FF867C}">
                  <a14:compatExt spid="_x0000_s26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343</xdr:col>
          <xdr:colOff>381000</xdr:colOff>
          <xdr:row>46</xdr:row>
          <xdr:rowOff>142875</xdr:rowOff>
        </xdr:from>
        <xdr:to>
          <xdr:col>343</xdr:col>
          <xdr:colOff>638175</xdr:colOff>
          <xdr:row>47</xdr:row>
          <xdr:rowOff>142875</xdr:rowOff>
        </xdr:to>
        <xdr:sp macro="" textlink="">
          <xdr:nvSpPr>
            <xdr:cNvPr id="2611" name="Object 563" hidden="1">
              <a:extLst>
                <a:ext uri="{63B3BB69-23CF-44E3-9099-C40C66FF867C}">
                  <a14:compatExt spid="_x0000_s26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344</xdr:col>
          <xdr:colOff>352425</xdr:colOff>
          <xdr:row>46</xdr:row>
          <xdr:rowOff>142875</xdr:rowOff>
        </xdr:from>
        <xdr:to>
          <xdr:col>344</xdr:col>
          <xdr:colOff>619125</xdr:colOff>
          <xdr:row>47</xdr:row>
          <xdr:rowOff>142875</xdr:rowOff>
        </xdr:to>
        <xdr:sp macro="" textlink="">
          <xdr:nvSpPr>
            <xdr:cNvPr id="2612" name="Object 564" hidden="1">
              <a:extLst>
                <a:ext uri="{63B3BB69-23CF-44E3-9099-C40C66FF867C}">
                  <a14:compatExt spid="_x0000_s26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345</xdr:col>
          <xdr:colOff>428625</xdr:colOff>
          <xdr:row>46</xdr:row>
          <xdr:rowOff>142875</xdr:rowOff>
        </xdr:from>
        <xdr:to>
          <xdr:col>345</xdr:col>
          <xdr:colOff>619125</xdr:colOff>
          <xdr:row>47</xdr:row>
          <xdr:rowOff>142875</xdr:rowOff>
        </xdr:to>
        <xdr:sp macro="" textlink="">
          <xdr:nvSpPr>
            <xdr:cNvPr id="2613" name="Object 565" hidden="1">
              <a:extLst>
                <a:ext uri="{63B3BB69-23CF-44E3-9099-C40C66FF867C}">
                  <a14:compatExt spid="_x0000_s26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346</xdr:col>
          <xdr:colOff>390525</xdr:colOff>
          <xdr:row>46</xdr:row>
          <xdr:rowOff>142875</xdr:rowOff>
        </xdr:from>
        <xdr:to>
          <xdr:col>346</xdr:col>
          <xdr:colOff>619125</xdr:colOff>
          <xdr:row>47</xdr:row>
          <xdr:rowOff>142875</xdr:rowOff>
        </xdr:to>
        <xdr:sp macro="" textlink="">
          <xdr:nvSpPr>
            <xdr:cNvPr id="2614" name="Object 566" hidden="1">
              <a:extLst>
                <a:ext uri="{63B3BB69-23CF-44E3-9099-C40C66FF867C}">
                  <a14:compatExt spid="_x0000_s26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347</xdr:col>
          <xdr:colOff>76200</xdr:colOff>
          <xdr:row>46</xdr:row>
          <xdr:rowOff>114300</xdr:rowOff>
        </xdr:from>
        <xdr:to>
          <xdr:col>347</xdr:col>
          <xdr:colOff>1000125</xdr:colOff>
          <xdr:row>47</xdr:row>
          <xdr:rowOff>161925</xdr:rowOff>
        </xdr:to>
        <xdr:sp macro="" textlink="">
          <xdr:nvSpPr>
            <xdr:cNvPr id="2615" name="Object 567" hidden="1">
              <a:extLst>
                <a:ext uri="{63B3BB69-23CF-44E3-9099-C40C66FF867C}">
                  <a14:compatExt spid="_x0000_s26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348</xdr:col>
          <xdr:colOff>390525</xdr:colOff>
          <xdr:row>46</xdr:row>
          <xdr:rowOff>142875</xdr:rowOff>
        </xdr:from>
        <xdr:to>
          <xdr:col>348</xdr:col>
          <xdr:colOff>619125</xdr:colOff>
          <xdr:row>47</xdr:row>
          <xdr:rowOff>142875</xdr:rowOff>
        </xdr:to>
        <xdr:sp macro="" textlink="">
          <xdr:nvSpPr>
            <xdr:cNvPr id="2616" name="Object 568" hidden="1">
              <a:extLst>
                <a:ext uri="{63B3BB69-23CF-44E3-9099-C40C66FF867C}">
                  <a14:compatExt spid="_x0000_s26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349</xdr:col>
          <xdr:colOff>76200</xdr:colOff>
          <xdr:row>46</xdr:row>
          <xdr:rowOff>114300</xdr:rowOff>
        </xdr:from>
        <xdr:to>
          <xdr:col>349</xdr:col>
          <xdr:colOff>1000125</xdr:colOff>
          <xdr:row>47</xdr:row>
          <xdr:rowOff>161925</xdr:rowOff>
        </xdr:to>
        <xdr:sp macro="" textlink="">
          <xdr:nvSpPr>
            <xdr:cNvPr id="2617" name="Object 569" hidden="1">
              <a:extLst>
                <a:ext uri="{63B3BB69-23CF-44E3-9099-C40C66FF867C}">
                  <a14:compatExt spid="_x0000_s26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350</xdr:col>
          <xdr:colOff>76200</xdr:colOff>
          <xdr:row>46</xdr:row>
          <xdr:rowOff>114300</xdr:rowOff>
        </xdr:from>
        <xdr:to>
          <xdr:col>350</xdr:col>
          <xdr:colOff>1000125</xdr:colOff>
          <xdr:row>47</xdr:row>
          <xdr:rowOff>161925</xdr:rowOff>
        </xdr:to>
        <xdr:sp macro="" textlink="">
          <xdr:nvSpPr>
            <xdr:cNvPr id="2618" name="Object 570" hidden="1">
              <a:extLst>
                <a:ext uri="{63B3BB69-23CF-44E3-9099-C40C66FF867C}">
                  <a14:compatExt spid="_x0000_s26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351</xdr:col>
          <xdr:colOff>200025</xdr:colOff>
          <xdr:row>46</xdr:row>
          <xdr:rowOff>114300</xdr:rowOff>
        </xdr:from>
        <xdr:to>
          <xdr:col>351</xdr:col>
          <xdr:colOff>800100</xdr:colOff>
          <xdr:row>47</xdr:row>
          <xdr:rowOff>142875</xdr:rowOff>
        </xdr:to>
        <xdr:sp macro="" textlink="">
          <xdr:nvSpPr>
            <xdr:cNvPr id="2619" name="Object 571" hidden="1">
              <a:extLst>
                <a:ext uri="{63B3BB69-23CF-44E3-9099-C40C66FF867C}">
                  <a14:compatExt spid="_x0000_s26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352</xdr:col>
          <xdr:colOff>200025</xdr:colOff>
          <xdr:row>46</xdr:row>
          <xdr:rowOff>114300</xdr:rowOff>
        </xdr:from>
        <xdr:to>
          <xdr:col>352</xdr:col>
          <xdr:colOff>800100</xdr:colOff>
          <xdr:row>47</xdr:row>
          <xdr:rowOff>142875</xdr:rowOff>
        </xdr:to>
        <xdr:sp macro="" textlink="">
          <xdr:nvSpPr>
            <xdr:cNvPr id="2620" name="Object 572" hidden="1">
              <a:extLst>
                <a:ext uri="{63B3BB69-23CF-44E3-9099-C40C66FF867C}">
                  <a14:compatExt spid="_x0000_s26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5</xdr:row>
          <xdr:rowOff>85725</xdr:rowOff>
        </xdr:from>
        <xdr:to>
          <xdr:col>0</xdr:col>
          <xdr:colOff>876300</xdr:colOff>
          <xdr:row>6</xdr:row>
          <xdr:rowOff>161925</xdr:rowOff>
        </xdr:to>
        <xdr:sp macro="" textlink="">
          <xdr:nvSpPr>
            <xdr:cNvPr id="2621" name="Object 573" hidden="1">
              <a:extLst>
                <a:ext uri="{63B3BB69-23CF-44E3-9099-C40C66FF867C}">
                  <a14:compatExt spid="_x0000_s26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295275</xdr:colOff>
          <xdr:row>5</xdr:row>
          <xdr:rowOff>104775</xdr:rowOff>
        </xdr:from>
        <xdr:to>
          <xdr:col>1</xdr:col>
          <xdr:colOff>752475</xdr:colOff>
          <xdr:row>6</xdr:row>
          <xdr:rowOff>200025</xdr:rowOff>
        </xdr:to>
        <xdr:sp macro="" textlink="">
          <xdr:nvSpPr>
            <xdr:cNvPr id="2622" name="Object 574" hidden="1">
              <a:extLst>
                <a:ext uri="{63B3BB69-23CF-44E3-9099-C40C66FF867C}">
                  <a14:compatExt spid="_x0000_s26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58</xdr:col>
          <xdr:colOff>200025</xdr:colOff>
          <xdr:row>15</xdr:row>
          <xdr:rowOff>114300</xdr:rowOff>
        </xdr:from>
        <xdr:to>
          <xdr:col>58</xdr:col>
          <xdr:colOff>752475</xdr:colOff>
          <xdr:row>16</xdr:row>
          <xdr:rowOff>152400</xdr:rowOff>
        </xdr:to>
        <xdr:sp macro="" textlink="">
          <xdr:nvSpPr>
            <xdr:cNvPr id="2646" name="Object 598" hidden="1">
              <a:extLst>
                <a:ext uri="{63B3BB69-23CF-44E3-9099-C40C66FF867C}">
                  <a14:compatExt spid="_x0000_s26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59</xdr:col>
          <xdr:colOff>200025</xdr:colOff>
          <xdr:row>15</xdr:row>
          <xdr:rowOff>114300</xdr:rowOff>
        </xdr:from>
        <xdr:to>
          <xdr:col>59</xdr:col>
          <xdr:colOff>800100</xdr:colOff>
          <xdr:row>16</xdr:row>
          <xdr:rowOff>142875</xdr:rowOff>
        </xdr:to>
        <xdr:sp macro="" textlink="">
          <xdr:nvSpPr>
            <xdr:cNvPr id="2647" name="Object 599" hidden="1">
              <a:extLst>
                <a:ext uri="{63B3BB69-23CF-44E3-9099-C40C66FF867C}">
                  <a14:compatExt spid="_x0000_s26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60</xdr:col>
          <xdr:colOff>200025</xdr:colOff>
          <xdr:row>15</xdr:row>
          <xdr:rowOff>114300</xdr:rowOff>
        </xdr:from>
        <xdr:to>
          <xdr:col>60</xdr:col>
          <xdr:colOff>809625</xdr:colOff>
          <xdr:row>16</xdr:row>
          <xdr:rowOff>142875</xdr:rowOff>
        </xdr:to>
        <xdr:sp macro="" textlink="">
          <xdr:nvSpPr>
            <xdr:cNvPr id="2648" name="Object 600" hidden="1">
              <a:extLst>
                <a:ext uri="{63B3BB69-23CF-44E3-9099-C40C66FF867C}">
                  <a14:compatExt spid="_x0000_s26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117</xdr:col>
          <xdr:colOff>200025</xdr:colOff>
          <xdr:row>15</xdr:row>
          <xdr:rowOff>114300</xdr:rowOff>
        </xdr:from>
        <xdr:to>
          <xdr:col>117</xdr:col>
          <xdr:colOff>752475</xdr:colOff>
          <xdr:row>16</xdr:row>
          <xdr:rowOff>161925</xdr:rowOff>
        </xdr:to>
        <xdr:sp macro="" textlink="">
          <xdr:nvSpPr>
            <xdr:cNvPr id="2649" name="Object 601" hidden="1">
              <a:extLst>
                <a:ext uri="{63B3BB69-23CF-44E3-9099-C40C66FF867C}">
                  <a14:compatExt spid="_x0000_s26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118</xdr:col>
          <xdr:colOff>200025</xdr:colOff>
          <xdr:row>15</xdr:row>
          <xdr:rowOff>114300</xdr:rowOff>
        </xdr:from>
        <xdr:to>
          <xdr:col>118</xdr:col>
          <xdr:colOff>800100</xdr:colOff>
          <xdr:row>16</xdr:row>
          <xdr:rowOff>142875</xdr:rowOff>
        </xdr:to>
        <xdr:sp macro="" textlink="">
          <xdr:nvSpPr>
            <xdr:cNvPr id="2650" name="Object 602" hidden="1">
              <a:extLst>
                <a:ext uri="{63B3BB69-23CF-44E3-9099-C40C66FF867C}">
                  <a14:compatExt spid="_x0000_s26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119</xdr:col>
          <xdr:colOff>200025</xdr:colOff>
          <xdr:row>15</xdr:row>
          <xdr:rowOff>114300</xdr:rowOff>
        </xdr:from>
        <xdr:to>
          <xdr:col>119</xdr:col>
          <xdr:colOff>809625</xdr:colOff>
          <xdr:row>16</xdr:row>
          <xdr:rowOff>142875</xdr:rowOff>
        </xdr:to>
        <xdr:sp macro="" textlink="">
          <xdr:nvSpPr>
            <xdr:cNvPr id="2651" name="Object 603" hidden="1">
              <a:extLst>
                <a:ext uri="{63B3BB69-23CF-44E3-9099-C40C66FF867C}">
                  <a14:compatExt spid="_x0000_s26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176</xdr:col>
          <xdr:colOff>200025</xdr:colOff>
          <xdr:row>15</xdr:row>
          <xdr:rowOff>114300</xdr:rowOff>
        </xdr:from>
        <xdr:to>
          <xdr:col>176</xdr:col>
          <xdr:colOff>752475</xdr:colOff>
          <xdr:row>16</xdr:row>
          <xdr:rowOff>161925</xdr:rowOff>
        </xdr:to>
        <xdr:sp macro="" textlink="">
          <xdr:nvSpPr>
            <xdr:cNvPr id="2652" name="Object 604" hidden="1">
              <a:extLst>
                <a:ext uri="{63B3BB69-23CF-44E3-9099-C40C66FF867C}">
                  <a14:compatExt spid="_x0000_s26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177</xdr:col>
          <xdr:colOff>200025</xdr:colOff>
          <xdr:row>15</xdr:row>
          <xdr:rowOff>114300</xdr:rowOff>
        </xdr:from>
        <xdr:to>
          <xdr:col>177</xdr:col>
          <xdr:colOff>800100</xdr:colOff>
          <xdr:row>16</xdr:row>
          <xdr:rowOff>142875</xdr:rowOff>
        </xdr:to>
        <xdr:sp macro="" textlink="">
          <xdr:nvSpPr>
            <xdr:cNvPr id="2653" name="Object 605" hidden="1">
              <a:extLst>
                <a:ext uri="{63B3BB69-23CF-44E3-9099-C40C66FF867C}">
                  <a14:compatExt spid="_x0000_s26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178</xdr:col>
          <xdr:colOff>200025</xdr:colOff>
          <xdr:row>15</xdr:row>
          <xdr:rowOff>114300</xdr:rowOff>
        </xdr:from>
        <xdr:to>
          <xdr:col>178</xdr:col>
          <xdr:colOff>809625</xdr:colOff>
          <xdr:row>16</xdr:row>
          <xdr:rowOff>142875</xdr:rowOff>
        </xdr:to>
        <xdr:sp macro="" textlink="">
          <xdr:nvSpPr>
            <xdr:cNvPr id="2654" name="Object 606" hidden="1">
              <a:extLst>
                <a:ext uri="{63B3BB69-23CF-44E3-9099-C40C66FF867C}">
                  <a14:compatExt spid="_x0000_s26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235</xdr:col>
          <xdr:colOff>200025</xdr:colOff>
          <xdr:row>15</xdr:row>
          <xdr:rowOff>114300</xdr:rowOff>
        </xdr:from>
        <xdr:to>
          <xdr:col>235</xdr:col>
          <xdr:colOff>752475</xdr:colOff>
          <xdr:row>16</xdr:row>
          <xdr:rowOff>161925</xdr:rowOff>
        </xdr:to>
        <xdr:sp macro="" textlink="">
          <xdr:nvSpPr>
            <xdr:cNvPr id="2655" name="Object 607" hidden="1">
              <a:extLst>
                <a:ext uri="{63B3BB69-23CF-44E3-9099-C40C66FF867C}">
                  <a14:compatExt spid="_x0000_s26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236</xdr:col>
          <xdr:colOff>200025</xdr:colOff>
          <xdr:row>15</xdr:row>
          <xdr:rowOff>114300</xdr:rowOff>
        </xdr:from>
        <xdr:to>
          <xdr:col>236</xdr:col>
          <xdr:colOff>800100</xdr:colOff>
          <xdr:row>16</xdr:row>
          <xdr:rowOff>142875</xdr:rowOff>
        </xdr:to>
        <xdr:sp macro="" textlink="">
          <xdr:nvSpPr>
            <xdr:cNvPr id="2656" name="Object 608" hidden="1">
              <a:extLst>
                <a:ext uri="{63B3BB69-23CF-44E3-9099-C40C66FF867C}">
                  <a14:compatExt spid="_x0000_s26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237</xdr:col>
          <xdr:colOff>200025</xdr:colOff>
          <xdr:row>15</xdr:row>
          <xdr:rowOff>114300</xdr:rowOff>
        </xdr:from>
        <xdr:to>
          <xdr:col>237</xdr:col>
          <xdr:colOff>809625</xdr:colOff>
          <xdr:row>16</xdr:row>
          <xdr:rowOff>142875</xdr:rowOff>
        </xdr:to>
        <xdr:sp macro="" textlink="">
          <xdr:nvSpPr>
            <xdr:cNvPr id="2657" name="Object 609" hidden="1">
              <a:extLst>
                <a:ext uri="{63B3BB69-23CF-44E3-9099-C40C66FF867C}">
                  <a14:compatExt spid="_x0000_s26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294</xdr:col>
          <xdr:colOff>200025</xdr:colOff>
          <xdr:row>15</xdr:row>
          <xdr:rowOff>114300</xdr:rowOff>
        </xdr:from>
        <xdr:to>
          <xdr:col>294</xdr:col>
          <xdr:colOff>752475</xdr:colOff>
          <xdr:row>16</xdr:row>
          <xdr:rowOff>161925</xdr:rowOff>
        </xdr:to>
        <xdr:sp macro="" textlink="">
          <xdr:nvSpPr>
            <xdr:cNvPr id="2658" name="Object 610" hidden="1">
              <a:extLst>
                <a:ext uri="{63B3BB69-23CF-44E3-9099-C40C66FF867C}">
                  <a14:compatExt spid="_x0000_s26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295</xdr:col>
          <xdr:colOff>200025</xdr:colOff>
          <xdr:row>15</xdr:row>
          <xdr:rowOff>114300</xdr:rowOff>
        </xdr:from>
        <xdr:to>
          <xdr:col>295</xdr:col>
          <xdr:colOff>800100</xdr:colOff>
          <xdr:row>16</xdr:row>
          <xdr:rowOff>142875</xdr:rowOff>
        </xdr:to>
        <xdr:sp macro="" textlink="">
          <xdr:nvSpPr>
            <xdr:cNvPr id="2659" name="Object 611" hidden="1">
              <a:extLst>
                <a:ext uri="{63B3BB69-23CF-44E3-9099-C40C66FF867C}">
                  <a14:compatExt spid="_x0000_s26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296</xdr:col>
          <xdr:colOff>200025</xdr:colOff>
          <xdr:row>15</xdr:row>
          <xdr:rowOff>114300</xdr:rowOff>
        </xdr:from>
        <xdr:to>
          <xdr:col>296</xdr:col>
          <xdr:colOff>809625</xdr:colOff>
          <xdr:row>16</xdr:row>
          <xdr:rowOff>142875</xdr:rowOff>
        </xdr:to>
        <xdr:sp macro="" textlink="">
          <xdr:nvSpPr>
            <xdr:cNvPr id="2660" name="Object 612" hidden="1">
              <a:extLst>
                <a:ext uri="{63B3BB69-23CF-44E3-9099-C40C66FF867C}">
                  <a14:compatExt spid="_x0000_s26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353</xdr:col>
          <xdr:colOff>200025</xdr:colOff>
          <xdr:row>15</xdr:row>
          <xdr:rowOff>114300</xdr:rowOff>
        </xdr:from>
        <xdr:to>
          <xdr:col>353</xdr:col>
          <xdr:colOff>752475</xdr:colOff>
          <xdr:row>16</xdr:row>
          <xdr:rowOff>161925</xdr:rowOff>
        </xdr:to>
        <xdr:sp macro="" textlink="">
          <xdr:nvSpPr>
            <xdr:cNvPr id="2661" name="Object 613" hidden="1">
              <a:extLst>
                <a:ext uri="{63B3BB69-23CF-44E3-9099-C40C66FF867C}">
                  <a14:compatExt spid="_x0000_s26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354</xdr:col>
          <xdr:colOff>200025</xdr:colOff>
          <xdr:row>15</xdr:row>
          <xdr:rowOff>114300</xdr:rowOff>
        </xdr:from>
        <xdr:to>
          <xdr:col>354</xdr:col>
          <xdr:colOff>800100</xdr:colOff>
          <xdr:row>16</xdr:row>
          <xdr:rowOff>142875</xdr:rowOff>
        </xdr:to>
        <xdr:sp macro="" textlink="">
          <xdr:nvSpPr>
            <xdr:cNvPr id="2662" name="Object 614" hidden="1">
              <a:extLst>
                <a:ext uri="{63B3BB69-23CF-44E3-9099-C40C66FF867C}">
                  <a14:compatExt spid="_x0000_s26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355</xdr:col>
          <xdr:colOff>200025</xdr:colOff>
          <xdr:row>15</xdr:row>
          <xdr:rowOff>114300</xdr:rowOff>
        </xdr:from>
        <xdr:to>
          <xdr:col>355</xdr:col>
          <xdr:colOff>809625</xdr:colOff>
          <xdr:row>16</xdr:row>
          <xdr:rowOff>142875</xdr:rowOff>
        </xdr:to>
        <xdr:sp macro="" textlink="">
          <xdr:nvSpPr>
            <xdr:cNvPr id="2663" name="Object 615" hidden="1">
              <a:extLst>
                <a:ext uri="{63B3BB69-23CF-44E3-9099-C40C66FF867C}">
                  <a14:compatExt spid="_x0000_s26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353</xdr:col>
          <xdr:colOff>200025</xdr:colOff>
          <xdr:row>46</xdr:row>
          <xdr:rowOff>114300</xdr:rowOff>
        </xdr:from>
        <xdr:to>
          <xdr:col>353</xdr:col>
          <xdr:colOff>752475</xdr:colOff>
          <xdr:row>47</xdr:row>
          <xdr:rowOff>161925</xdr:rowOff>
        </xdr:to>
        <xdr:sp macro="" textlink="">
          <xdr:nvSpPr>
            <xdr:cNvPr id="2664" name="Object 616" hidden="1">
              <a:extLst>
                <a:ext uri="{63B3BB69-23CF-44E3-9099-C40C66FF867C}">
                  <a14:compatExt spid="_x0000_s26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354</xdr:col>
          <xdr:colOff>200025</xdr:colOff>
          <xdr:row>46</xdr:row>
          <xdr:rowOff>114300</xdr:rowOff>
        </xdr:from>
        <xdr:to>
          <xdr:col>354</xdr:col>
          <xdr:colOff>800100</xdr:colOff>
          <xdr:row>47</xdr:row>
          <xdr:rowOff>142875</xdr:rowOff>
        </xdr:to>
        <xdr:sp macro="" textlink="">
          <xdr:nvSpPr>
            <xdr:cNvPr id="2665" name="Object 617" hidden="1">
              <a:extLst>
                <a:ext uri="{63B3BB69-23CF-44E3-9099-C40C66FF867C}">
                  <a14:compatExt spid="_x0000_s26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355</xdr:col>
          <xdr:colOff>200025</xdr:colOff>
          <xdr:row>46</xdr:row>
          <xdr:rowOff>114300</xdr:rowOff>
        </xdr:from>
        <xdr:to>
          <xdr:col>355</xdr:col>
          <xdr:colOff>809625</xdr:colOff>
          <xdr:row>47</xdr:row>
          <xdr:rowOff>142875</xdr:rowOff>
        </xdr:to>
        <xdr:sp macro="" textlink="">
          <xdr:nvSpPr>
            <xdr:cNvPr id="2666" name="Object 618" hidden="1">
              <a:extLst>
                <a:ext uri="{63B3BB69-23CF-44E3-9099-C40C66FF867C}">
                  <a14:compatExt spid="_x0000_s26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294</xdr:col>
          <xdr:colOff>200025</xdr:colOff>
          <xdr:row>46</xdr:row>
          <xdr:rowOff>114300</xdr:rowOff>
        </xdr:from>
        <xdr:to>
          <xdr:col>294</xdr:col>
          <xdr:colOff>752475</xdr:colOff>
          <xdr:row>47</xdr:row>
          <xdr:rowOff>161925</xdr:rowOff>
        </xdr:to>
        <xdr:sp macro="" textlink="">
          <xdr:nvSpPr>
            <xdr:cNvPr id="2667" name="Object 619" hidden="1">
              <a:extLst>
                <a:ext uri="{63B3BB69-23CF-44E3-9099-C40C66FF867C}">
                  <a14:compatExt spid="_x0000_s26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295</xdr:col>
          <xdr:colOff>200025</xdr:colOff>
          <xdr:row>46</xdr:row>
          <xdr:rowOff>114300</xdr:rowOff>
        </xdr:from>
        <xdr:to>
          <xdr:col>295</xdr:col>
          <xdr:colOff>800100</xdr:colOff>
          <xdr:row>47</xdr:row>
          <xdr:rowOff>142875</xdr:rowOff>
        </xdr:to>
        <xdr:sp macro="" textlink="">
          <xdr:nvSpPr>
            <xdr:cNvPr id="2668" name="Object 620" hidden="1">
              <a:extLst>
                <a:ext uri="{63B3BB69-23CF-44E3-9099-C40C66FF867C}">
                  <a14:compatExt spid="_x0000_s26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296</xdr:col>
          <xdr:colOff>200025</xdr:colOff>
          <xdr:row>46</xdr:row>
          <xdr:rowOff>114300</xdr:rowOff>
        </xdr:from>
        <xdr:to>
          <xdr:col>296</xdr:col>
          <xdr:colOff>809625</xdr:colOff>
          <xdr:row>47</xdr:row>
          <xdr:rowOff>142875</xdr:rowOff>
        </xdr:to>
        <xdr:sp macro="" textlink="">
          <xdr:nvSpPr>
            <xdr:cNvPr id="2669" name="Object 621" hidden="1">
              <a:extLst>
                <a:ext uri="{63B3BB69-23CF-44E3-9099-C40C66FF867C}">
                  <a14:compatExt spid="_x0000_s26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235</xdr:col>
          <xdr:colOff>200025</xdr:colOff>
          <xdr:row>46</xdr:row>
          <xdr:rowOff>114300</xdr:rowOff>
        </xdr:from>
        <xdr:to>
          <xdr:col>235</xdr:col>
          <xdr:colOff>752475</xdr:colOff>
          <xdr:row>47</xdr:row>
          <xdr:rowOff>161925</xdr:rowOff>
        </xdr:to>
        <xdr:sp macro="" textlink="">
          <xdr:nvSpPr>
            <xdr:cNvPr id="2670" name="Object 622" hidden="1">
              <a:extLst>
                <a:ext uri="{63B3BB69-23CF-44E3-9099-C40C66FF867C}">
                  <a14:compatExt spid="_x0000_s26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236</xdr:col>
          <xdr:colOff>200025</xdr:colOff>
          <xdr:row>46</xdr:row>
          <xdr:rowOff>114300</xdr:rowOff>
        </xdr:from>
        <xdr:to>
          <xdr:col>236</xdr:col>
          <xdr:colOff>800100</xdr:colOff>
          <xdr:row>47</xdr:row>
          <xdr:rowOff>142875</xdr:rowOff>
        </xdr:to>
        <xdr:sp macro="" textlink="">
          <xdr:nvSpPr>
            <xdr:cNvPr id="2671" name="Object 623" hidden="1">
              <a:extLst>
                <a:ext uri="{63B3BB69-23CF-44E3-9099-C40C66FF867C}">
                  <a14:compatExt spid="_x0000_s26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237</xdr:col>
          <xdr:colOff>200025</xdr:colOff>
          <xdr:row>46</xdr:row>
          <xdr:rowOff>114300</xdr:rowOff>
        </xdr:from>
        <xdr:to>
          <xdr:col>237</xdr:col>
          <xdr:colOff>809625</xdr:colOff>
          <xdr:row>47</xdr:row>
          <xdr:rowOff>142875</xdr:rowOff>
        </xdr:to>
        <xdr:sp macro="" textlink="">
          <xdr:nvSpPr>
            <xdr:cNvPr id="2672" name="Object 624" hidden="1">
              <a:extLst>
                <a:ext uri="{63B3BB69-23CF-44E3-9099-C40C66FF867C}">
                  <a14:compatExt spid="_x0000_s26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176</xdr:col>
          <xdr:colOff>200025</xdr:colOff>
          <xdr:row>46</xdr:row>
          <xdr:rowOff>114300</xdr:rowOff>
        </xdr:from>
        <xdr:to>
          <xdr:col>176</xdr:col>
          <xdr:colOff>752475</xdr:colOff>
          <xdr:row>47</xdr:row>
          <xdr:rowOff>161925</xdr:rowOff>
        </xdr:to>
        <xdr:sp macro="" textlink="">
          <xdr:nvSpPr>
            <xdr:cNvPr id="2673" name="Object 625" hidden="1">
              <a:extLst>
                <a:ext uri="{63B3BB69-23CF-44E3-9099-C40C66FF867C}">
                  <a14:compatExt spid="_x0000_s26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177</xdr:col>
          <xdr:colOff>200025</xdr:colOff>
          <xdr:row>46</xdr:row>
          <xdr:rowOff>114300</xdr:rowOff>
        </xdr:from>
        <xdr:to>
          <xdr:col>177</xdr:col>
          <xdr:colOff>800100</xdr:colOff>
          <xdr:row>47</xdr:row>
          <xdr:rowOff>142875</xdr:rowOff>
        </xdr:to>
        <xdr:sp macro="" textlink="">
          <xdr:nvSpPr>
            <xdr:cNvPr id="2674" name="Object 626" hidden="1">
              <a:extLst>
                <a:ext uri="{63B3BB69-23CF-44E3-9099-C40C66FF867C}">
                  <a14:compatExt spid="_x0000_s26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178</xdr:col>
          <xdr:colOff>200025</xdr:colOff>
          <xdr:row>46</xdr:row>
          <xdr:rowOff>114300</xdr:rowOff>
        </xdr:from>
        <xdr:to>
          <xdr:col>178</xdr:col>
          <xdr:colOff>809625</xdr:colOff>
          <xdr:row>47</xdr:row>
          <xdr:rowOff>142875</xdr:rowOff>
        </xdr:to>
        <xdr:sp macro="" textlink="">
          <xdr:nvSpPr>
            <xdr:cNvPr id="2675" name="Object 627" hidden="1">
              <a:extLst>
                <a:ext uri="{63B3BB69-23CF-44E3-9099-C40C66FF867C}">
                  <a14:compatExt spid="_x0000_s26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117</xdr:col>
          <xdr:colOff>200025</xdr:colOff>
          <xdr:row>46</xdr:row>
          <xdr:rowOff>114300</xdr:rowOff>
        </xdr:from>
        <xdr:to>
          <xdr:col>117</xdr:col>
          <xdr:colOff>752475</xdr:colOff>
          <xdr:row>47</xdr:row>
          <xdr:rowOff>161925</xdr:rowOff>
        </xdr:to>
        <xdr:sp macro="" textlink="">
          <xdr:nvSpPr>
            <xdr:cNvPr id="2676" name="Object 628" hidden="1">
              <a:extLst>
                <a:ext uri="{63B3BB69-23CF-44E3-9099-C40C66FF867C}">
                  <a14:compatExt spid="_x0000_s26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118</xdr:col>
          <xdr:colOff>200025</xdr:colOff>
          <xdr:row>46</xdr:row>
          <xdr:rowOff>114300</xdr:rowOff>
        </xdr:from>
        <xdr:to>
          <xdr:col>118</xdr:col>
          <xdr:colOff>800100</xdr:colOff>
          <xdr:row>47</xdr:row>
          <xdr:rowOff>142875</xdr:rowOff>
        </xdr:to>
        <xdr:sp macro="" textlink="">
          <xdr:nvSpPr>
            <xdr:cNvPr id="2677" name="Object 629" hidden="1">
              <a:extLst>
                <a:ext uri="{63B3BB69-23CF-44E3-9099-C40C66FF867C}">
                  <a14:compatExt spid="_x0000_s26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119</xdr:col>
          <xdr:colOff>200025</xdr:colOff>
          <xdr:row>46</xdr:row>
          <xdr:rowOff>114300</xdr:rowOff>
        </xdr:from>
        <xdr:to>
          <xdr:col>119</xdr:col>
          <xdr:colOff>809625</xdr:colOff>
          <xdr:row>47</xdr:row>
          <xdr:rowOff>142875</xdr:rowOff>
        </xdr:to>
        <xdr:sp macro="" textlink="">
          <xdr:nvSpPr>
            <xdr:cNvPr id="2678" name="Object 630" hidden="1">
              <a:extLst>
                <a:ext uri="{63B3BB69-23CF-44E3-9099-C40C66FF867C}">
                  <a14:compatExt spid="_x0000_s26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58</xdr:col>
          <xdr:colOff>200025</xdr:colOff>
          <xdr:row>46</xdr:row>
          <xdr:rowOff>114300</xdr:rowOff>
        </xdr:from>
        <xdr:to>
          <xdr:col>58</xdr:col>
          <xdr:colOff>752475</xdr:colOff>
          <xdr:row>47</xdr:row>
          <xdr:rowOff>161925</xdr:rowOff>
        </xdr:to>
        <xdr:sp macro="" textlink="">
          <xdr:nvSpPr>
            <xdr:cNvPr id="2679" name="Object 631" hidden="1">
              <a:extLst>
                <a:ext uri="{63B3BB69-23CF-44E3-9099-C40C66FF867C}">
                  <a14:compatExt spid="_x0000_s26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59</xdr:col>
          <xdr:colOff>200025</xdr:colOff>
          <xdr:row>46</xdr:row>
          <xdr:rowOff>114300</xdr:rowOff>
        </xdr:from>
        <xdr:to>
          <xdr:col>59</xdr:col>
          <xdr:colOff>800100</xdr:colOff>
          <xdr:row>47</xdr:row>
          <xdr:rowOff>142875</xdr:rowOff>
        </xdr:to>
        <xdr:sp macro="" textlink="">
          <xdr:nvSpPr>
            <xdr:cNvPr id="2680" name="Object 632" hidden="1">
              <a:extLst>
                <a:ext uri="{63B3BB69-23CF-44E3-9099-C40C66FF867C}">
                  <a14:compatExt spid="_x0000_s26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60</xdr:col>
          <xdr:colOff>200025</xdr:colOff>
          <xdr:row>46</xdr:row>
          <xdr:rowOff>114300</xdr:rowOff>
        </xdr:from>
        <xdr:to>
          <xdr:col>60</xdr:col>
          <xdr:colOff>809625</xdr:colOff>
          <xdr:row>47</xdr:row>
          <xdr:rowOff>142875</xdr:rowOff>
        </xdr:to>
        <xdr:sp macro="" textlink="">
          <xdr:nvSpPr>
            <xdr:cNvPr id="2681" name="Object 633" hidden="1">
              <a:extLst>
                <a:ext uri="{63B3BB69-23CF-44E3-9099-C40C66FF867C}">
                  <a14:compatExt spid="_x0000_s26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damg@pumas.iingen.unam.mx" TargetMode="External"/><Relationship Id="rId1" Type="http://schemas.openxmlformats.org/officeDocument/2006/relationships/hyperlink" Target="mailto:upreciado@gmail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oleObject" Target="../embeddings/oleObject103.bin"/><Relationship Id="rId299" Type="http://schemas.openxmlformats.org/officeDocument/2006/relationships/oleObject" Target="../embeddings/oleObject285.bin"/><Relationship Id="rId21" Type="http://schemas.openxmlformats.org/officeDocument/2006/relationships/image" Target="../media/image12.emf"/><Relationship Id="rId63" Type="http://schemas.openxmlformats.org/officeDocument/2006/relationships/oleObject" Target="../embeddings/oleObject49.bin"/><Relationship Id="rId159" Type="http://schemas.openxmlformats.org/officeDocument/2006/relationships/oleObject" Target="../embeddings/oleObject145.bin"/><Relationship Id="rId324" Type="http://schemas.openxmlformats.org/officeDocument/2006/relationships/oleObject" Target="../embeddings/oleObject310.bin"/><Relationship Id="rId366" Type="http://schemas.openxmlformats.org/officeDocument/2006/relationships/oleObject" Target="../embeddings/oleObject352.bin"/><Relationship Id="rId170" Type="http://schemas.openxmlformats.org/officeDocument/2006/relationships/oleObject" Target="../embeddings/oleObject156.bin"/><Relationship Id="rId226" Type="http://schemas.openxmlformats.org/officeDocument/2006/relationships/oleObject" Target="../embeddings/oleObject212.bin"/><Relationship Id="rId433" Type="http://schemas.openxmlformats.org/officeDocument/2006/relationships/oleObject" Target="../embeddings/oleObject419.bin"/><Relationship Id="rId268" Type="http://schemas.openxmlformats.org/officeDocument/2006/relationships/oleObject" Target="../embeddings/oleObject254.bin"/><Relationship Id="rId475" Type="http://schemas.openxmlformats.org/officeDocument/2006/relationships/oleObject" Target="../embeddings/oleObject461.bin"/><Relationship Id="rId32" Type="http://schemas.openxmlformats.org/officeDocument/2006/relationships/oleObject" Target="../embeddings/oleObject18.bin"/><Relationship Id="rId74" Type="http://schemas.openxmlformats.org/officeDocument/2006/relationships/oleObject" Target="../embeddings/oleObject60.bin"/><Relationship Id="rId128" Type="http://schemas.openxmlformats.org/officeDocument/2006/relationships/oleObject" Target="../embeddings/oleObject114.bin"/><Relationship Id="rId335" Type="http://schemas.openxmlformats.org/officeDocument/2006/relationships/oleObject" Target="../embeddings/oleObject321.bin"/><Relationship Id="rId377" Type="http://schemas.openxmlformats.org/officeDocument/2006/relationships/oleObject" Target="../embeddings/oleObject363.bin"/><Relationship Id="rId500" Type="http://schemas.openxmlformats.org/officeDocument/2006/relationships/oleObject" Target="../embeddings/oleObject486.bin"/><Relationship Id="rId5" Type="http://schemas.openxmlformats.org/officeDocument/2006/relationships/oleObject" Target="../embeddings/oleObject2.bin"/><Relationship Id="rId181" Type="http://schemas.openxmlformats.org/officeDocument/2006/relationships/oleObject" Target="../embeddings/oleObject167.bin"/><Relationship Id="rId237" Type="http://schemas.openxmlformats.org/officeDocument/2006/relationships/oleObject" Target="../embeddings/oleObject223.bin"/><Relationship Id="rId402" Type="http://schemas.openxmlformats.org/officeDocument/2006/relationships/oleObject" Target="../embeddings/oleObject388.bin"/><Relationship Id="rId279" Type="http://schemas.openxmlformats.org/officeDocument/2006/relationships/oleObject" Target="../embeddings/oleObject265.bin"/><Relationship Id="rId444" Type="http://schemas.openxmlformats.org/officeDocument/2006/relationships/oleObject" Target="../embeddings/oleObject430.bin"/><Relationship Id="rId486" Type="http://schemas.openxmlformats.org/officeDocument/2006/relationships/oleObject" Target="../embeddings/oleObject472.bin"/><Relationship Id="rId43" Type="http://schemas.openxmlformats.org/officeDocument/2006/relationships/oleObject" Target="../embeddings/oleObject29.bin"/><Relationship Id="rId139" Type="http://schemas.openxmlformats.org/officeDocument/2006/relationships/oleObject" Target="../embeddings/oleObject125.bin"/><Relationship Id="rId290" Type="http://schemas.openxmlformats.org/officeDocument/2006/relationships/oleObject" Target="../embeddings/oleObject276.bin"/><Relationship Id="rId304" Type="http://schemas.openxmlformats.org/officeDocument/2006/relationships/oleObject" Target="../embeddings/oleObject290.bin"/><Relationship Id="rId346" Type="http://schemas.openxmlformats.org/officeDocument/2006/relationships/oleObject" Target="../embeddings/oleObject332.bin"/><Relationship Id="rId388" Type="http://schemas.openxmlformats.org/officeDocument/2006/relationships/oleObject" Target="../embeddings/oleObject374.bin"/><Relationship Id="rId511" Type="http://schemas.openxmlformats.org/officeDocument/2006/relationships/oleObject" Target="../embeddings/oleObject497.bin"/><Relationship Id="rId85" Type="http://schemas.openxmlformats.org/officeDocument/2006/relationships/oleObject" Target="../embeddings/oleObject71.bin"/><Relationship Id="rId150" Type="http://schemas.openxmlformats.org/officeDocument/2006/relationships/oleObject" Target="../embeddings/oleObject136.bin"/><Relationship Id="rId192" Type="http://schemas.openxmlformats.org/officeDocument/2006/relationships/oleObject" Target="../embeddings/oleObject178.bin"/><Relationship Id="rId206" Type="http://schemas.openxmlformats.org/officeDocument/2006/relationships/oleObject" Target="../embeddings/oleObject192.bin"/><Relationship Id="rId413" Type="http://schemas.openxmlformats.org/officeDocument/2006/relationships/oleObject" Target="../embeddings/oleObject399.bin"/><Relationship Id="rId248" Type="http://schemas.openxmlformats.org/officeDocument/2006/relationships/oleObject" Target="../embeddings/oleObject234.bin"/><Relationship Id="rId455" Type="http://schemas.openxmlformats.org/officeDocument/2006/relationships/oleObject" Target="../embeddings/oleObject441.bin"/><Relationship Id="rId497" Type="http://schemas.openxmlformats.org/officeDocument/2006/relationships/oleObject" Target="../embeddings/oleObject483.bin"/><Relationship Id="rId12" Type="http://schemas.openxmlformats.org/officeDocument/2006/relationships/oleObject" Target="../embeddings/oleObject6.bin"/><Relationship Id="rId108" Type="http://schemas.openxmlformats.org/officeDocument/2006/relationships/oleObject" Target="../embeddings/oleObject94.bin"/><Relationship Id="rId315" Type="http://schemas.openxmlformats.org/officeDocument/2006/relationships/oleObject" Target="../embeddings/oleObject301.bin"/><Relationship Id="rId357" Type="http://schemas.openxmlformats.org/officeDocument/2006/relationships/oleObject" Target="../embeddings/oleObject343.bin"/><Relationship Id="rId54" Type="http://schemas.openxmlformats.org/officeDocument/2006/relationships/oleObject" Target="../embeddings/oleObject40.bin"/><Relationship Id="rId96" Type="http://schemas.openxmlformats.org/officeDocument/2006/relationships/oleObject" Target="../embeddings/oleObject82.bin"/><Relationship Id="rId161" Type="http://schemas.openxmlformats.org/officeDocument/2006/relationships/oleObject" Target="../embeddings/oleObject147.bin"/><Relationship Id="rId217" Type="http://schemas.openxmlformats.org/officeDocument/2006/relationships/oleObject" Target="../embeddings/oleObject203.bin"/><Relationship Id="rId399" Type="http://schemas.openxmlformats.org/officeDocument/2006/relationships/oleObject" Target="../embeddings/oleObject385.bin"/><Relationship Id="rId259" Type="http://schemas.openxmlformats.org/officeDocument/2006/relationships/oleObject" Target="../embeddings/oleObject245.bin"/><Relationship Id="rId424" Type="http://schemas.openxmlformats.org/officeDocument/2006/relationships/oleObject" Target="../embeddings/oleObject410.bin"/><Relationship Id="rId466" Type="http://schemas.openxmlformats.org/officeDocument/2006/relationships/oleObject" Target="../embeddings/oleObject452.bin"/><Relationship Id="rId23" Type="http://schemas.openxmlformats.org/officeDocument/2006/relationships/image" Target="../media/image13.emf"/><Relationship Id="rId119" Type="http://schemas.openxmlformats.org/officeDocument/2006/relationships/oleObject" Target="../embeddings/oleObject105.bin"/><Relationship Id="rId270" Type="http://schemas.openxmlformats.org/officeDocument/2006/relationships/oleObject" Target="../embeddings/oleObject256.bin"/><Relationship Id="rId326" Type="http://schemas.openxmlformats.org/officeDocument/2006/relationships/oleObject" Target="../embeddings/oleObject312.bin"/><Relationship Id="rId65" Type="http://schemas.openxmlformats.org/officeDocument/2006/relationships/oleObject" Target="../embeddings/oleObject51.bin"/><Relationship Id="rId130" Type="http://schemas.openxmlformats.org/officeDocument/2006/relationships/oleObject" Target="../embeddings/oleObject116.bin"/><Relationship Id="rId368" Type="http://schemas.openxmlformats.org/officeDocument/2006/relationships/oleObject" Target="../embeddings/oleObject354.bin"/><Relationship Id="rId172" Type="http://schemas.openxmlformats.org/officeDocument/2006/relationships/oleObject" Target="../embeddings/oleObject158.bin"/><Relationship Id="rId228" Type="http://schemas.openxmlformats.org/officeDocument/2006/relationships/oleObject" Target="../embeddings/oleObject214.bin"/><Relationship Id="rId435" Type="http://schemas.openxmlformats.org/officeDocument/2006/relationships/oleObject" Target="../embeddings/oleObject421.bin"/><Relationship Id="rId477" Type="http://schemas.openxmlformats.org/officeDocument/2006/relationships/oleObject" Target="../embeddings/oleObject463.bin"/><Relationship Id="rId281" Type="http://schemas.openxmlformats.org/officeDocument/2006/relationships/oleObject" Target="../embeddings/oleObject267.bin"/><Relationship Id="rId337" Type="http://schemas.openxmlformats.org/officeDocument/2006/relationships/oleObject" Target="../embeddings/oleObject323.bin"/><Relationship Id="rId502" Type="http://schemas.openxmlformats.org/officeDocument/2006/relationships/oleObject" Target="../embeddings/oleObject488.bin"/><Relationship Id="rId34" Type="http://schemas.openxmlformats.org/officeDocument/2006/relationships/oleObject" Target="../embeddings/oleObject20.bin"/><Relationship Id="rId76" Type="http://schemas.openxmlformats.org/officeDocument/2006/relationships/oleObject" Target="../embeddings/oleObject62.bin"/><Relationship Id="rId141" Type="http://schemas.openxmlformats.org/officeDocument/2006/relationships/oleObject" Target="../embeddings/oleObject127.bin"/><Relationship Id="rId379" Type="http://schemas.openxmlformats.org/officeDocument/2006/relationships/oleObject" Target="../embeddings/oleObject365.bin"/><Relationship Id="rId7" Type="http://schemas.openxmlformats.org/officeDocument/2006/relationships/image" Target="../media/image5.emf"/><Relationship Id="rId183" Type="http://schemas.openxmlformats.org/officeDocument/2006/relationships/oleObject" Target="../embeddings/oleObject169.bin"/><Relationship Id="rId239" Type="http://schemas.openxmlformats.org/officeDocument/2006/relationships/oleObject" Target="../embeddings/oleObject225.bin"/><Relationship Id="rId390" Type="http://schemas.openxmlformats.org/officeDocument/2006/relationships/oleObject" Target="../embeddings/oleObject376.bin"/><Relationship Id="rId404" Type="http://schemas.openxmlformats.org/officeDocument/2006/relationships/oleObject" Target="../embeddings/oleObject390.bin"/><Relationship Id="rId446" Type="http://schemas.openxmlformats.org/officeDocument/2006/relationships/oleObject" Target="../embeddings/oleObject432.bin"/><Relationship Id="rId250" Type="http://schemas.openxmlformats.org/officeDocument/2006/relationships/oleObject" Target="../embeddings/oleObject236.bin"/><Relationship Id="rId292" Type="http://schemas.openxmlformats.org/officeDocument/2006/relationships/oleObject" Target="../embeddings/oleObject278.bin"/><Relationship Id="rId306" Type="http://schemas.openxmlformats.org/officeDocument/2006/relationships/oleObject" Target="../embeddings/oleObject292.bin"/><Relationship Id="rId488" Type="http://schemas.openxmlformats.org/officeDocument/2006/relationships/oleObject" Target="../embeddings/oleObject474.bin"/><Relationship Id="rId45" Type="http://schemas.openxmlformats.org/officeDocument/2006/relationships/oleObject" Target="../embeddings/oleObject31.bin"/><Relationship Id="rId87" Type="http://schemas.openxmlformats.org/officeDocument/2006/relationships/oleObject" Target="../embeddings/oleObject73.bin"/><Relationship Id="rId110" Type="http://schemas.openxmlformats.org/officeDocument/2006/relationships/oleObject" Target="../embeddings/oleObject96.bin"/><Relationship Id="rId348" Type="http://schemas.openxmlformats.org/officeDocument/2006/relationships/oleObject" Target="../embeddings/oleObject334.bin"/><Relationship Id="rId513" Type="http://schemas.openxmlformats.org/officeDocument/2006/relationships/oleObject" Target="../embeddings/oleObject499.bin"/><Relationship Id="rId152" Type="http://schemas.openxmlformats.org/officeDocument/2006/relationships/oleObject" Target="../embeddings/oleObject138.bin"/><Relationship Id="rId194" Type="http://schemas.openxmlformats.org/officeDocument/2006/relationships/oleObject" Target="../embeddings/oleObject180.bin"/><Relationship Id="rId208" Type="http://schemas.openxmlformats.org/officeDocument/2006/relationships/oleObject" Target="../embeddings/oleObject194.bin"/><Relationship Id="rId415" Type="http://schemas.openxmlformats.org/officeDocument/2006/relationships/oleObject" Target="../embeddings/oleObject401.bin"/><Relationship Id="rId457" Type="http://schemas.openxmlformats.org/officeDocument/2006/relationships/oleObject" Target="../embeddings/oleObject443.bin"/><Relationship Id="rId261" Type="http://schemas.openxmlformats.org/officeDocument/2006/relationships/oleObject" Target="../embeddings/oleObject247.bin"/><Relationship Id="rId499" Type="http://schemas.openxmlformats.org/officeDocument/2006/relationships/oleObject" Target="../embeddings/oleObject485.bin"/><Relationship Id="rId14" Type="http://schemas.openxmlformats.org/officeDocument/2006/relationships/oleObject" Target="../embeddings/oleObject7.bin"/><Relationship Id="rId35" Type="http://schemas.openxmlformats.org/officeDocument/2006/relationships/oleObject" Target="../embeddings/oleObject21.bin"/><Relationship Id="rId56" Type="http://schemas.openxmlformats.org/officeDocument/2006/relationships/oleObject" Target="../embeddings/oleObject42.bin"/><Relationship Id="rId77" Type="http://schemas.openxmlformats.org/officeDocument/2006/relationships/oleObject" Target="../embeddings/oleObject63.bin"/><Relationship Id="rId100" Type="http://schemas.openxmlformats.org/officeDocument/2006/relationships/oleObject" Target="../embeddings/oleObject86.bin"/><Relationship Id="rId282" Type="http://schemas.openxmlformats.org/officeDocument/2006/relationships/oleObject" Target="../embeddings/oleObject268.bin"/><Relationship Id="rId317" Type="http://schemas.openxmlformats.org/officeDocument/2006/relationships/oleObject" Target="../embeddings/oleObject303.bin"/><Relationship Id="rId338" Type="http://schemas.openxmlformats.org/officeDocument/2006/relationships/oleObject" Target="../embeddings/oleObject324.bin"/><Relationship Id="rId359" Type="http://schemas.openxmlformats.org/officeDocument/2006/relationships/oleObject" Target="../embeddings/oleObject345.bin"/><Relationship Id="rId503" Type="http://schemas.openxmlformats.org/officeDocument/2006/relationships/oleObject" Target="../embeddings/oleObject489.bin"/><Relationship Id="rId8" Type="http://schemas.openxmlformats.org/officeDocument/2006/relationships/oleObject" Target="../embeddings/oleObject4.bin"/><Relationship Id="rId98" Type="http://schemas.openxmlformats.org/officeDocument/2006/relationships/oleObject" Target="../embeddings/oleObject84.bin"/><Relationship Id="rId121" Type="http://schemas.openxmlformats.org/officeDocument/2006/relationships/oleObject" Target="../embeddings/oleObject107.bin"/><Relationship Id="rId142" Type="http://schemas.openxmlformats.org/officeDocument/2006/relationships/oleObject" Target="../embeddings/oleObject128.bin"/><Relationship Id="rId163" Type="http://schemas.openxmlformats.org/officeDocument/2006/relationships/oleObject" Target="../embeddings/oleObject149.bin"/><Relationship Id="rId184" Type="http://schemas.openxmlformats.org/officeDocument/2006/relationships/oleObject" Target="../embeddings/oleObject170.bin"/><Relationship Id="rId219" Type="http://schemas.openxmlformats.org/officeDocument/2006/relationships/oleObject" Target="../embeddings/oleObject205.bin"/><Relationship Id="rId370" Type="http://schemas.openxmlformats.org/officeDocument/2006/relationships/oleObject" Target="../embeddings/oleObject356.bin"/><Relationship Id="rId391" Type="http://schemas.openxmlformats.org/officeDocument/2006/relationships/oleObject" Target="../embeddings/oleObject377.bin"/><Relationship Id="rId405" Type="http://schemas.openxmlformats.org/officeDocument/2006/relationships/oleObject" Target="../embeddings/oleObject391.bin"/><Relationship Id="rId426" Type="http://schemas.openxmlformats.org/officeDocument/2006/relationships/oleObject" Target="../embeddings/oleObject412.bin"/><Relationship Id="rId447" Type="http://schemas.openxmlformats.org/officeDocument/2006/relationships/oleObject" Target="../embeddings/oleObject433.bin"/><Relationship Id="rId230" Type="http://schemas.openxmlformats.org/officeDocument/2006/relationships/oleObject" Target="../embeddings/oleObject216.bin"/><Relationship Id="rId251" Type="http://schemas.openxmlformats.org/officeDocument/2006/relationships/oleObject" Target="../embeddings/oleObject237.bin"/><Relationship Id="rId468" Type="http://schemas.openxmlformats.org/officeDocument/2006/relationships/oleObject" Target="../embeddings/oleObject454.bin"/><Relationship Id="rId489" Type="http://schemas.openxmlformats.org/officeDocument/2006/relationships/oleObject" Target="../embeddings/oleObject475.bin"/><Relationship Id="rId25" Type="http://schemas.openxmlformats.org/officeDocument/2006/relationships/image" Target="../media/image14.emf"/><Relationship Id="rId46" Type="http://schemas.openxmlformats.org/officeDocument/2006/relationships/oleObject" Target="../embeddings/oleObject32.bin"/><Relationship Id="rId67" Type="http://schemas.openxmlformats.org/officeDocument/2006/relationships/oleObject" Target="../embeddings/oleObject53.bin"/><Relationship Id="rId272" Type="http://schemas.openxmlformats.org/officeDocument/2006/relationships/oleObject" Target="../embeddings/oleObject258.bin"/><Relationship Id="rId293" Type="http://schemas.openxmlformats.org/officeDocument/2006/relationships/oleObject" Target="../embeddings/oleObject279.bin"/><Relationship Id="rId307" Type="http://schemas.openxmlformats.org/officeDocument/2006/relationships/oleObject" Target="../embeddings/oleObject293.bin"/><Relationship Id="rId328" Type="http://schemas.openxmlformats.org/officeDocument/2006/relationships/oleObject" Target="../embeddings/oleObject314.bin"/><Relationship Id="rId349" Type="http://schemas.openxmlformats.org/officeDocument/2006/relationships/oleObject" Target="../embeddings/oleObject335.bin"/><Relationship Id="rId514" Type="http://schemas.openxmlformats.org/officeDocument/2006/relationships/oleObject" Target="../embeddings/oleObject500.bin"/><Relationship Id="rId88" Type="http://schemas.openxmlformats.org/officeDocument/2006/relationships/oleObject" Target="../embeddings/oleObject74.bin"/><Relationship Id="rId111" Type="http://schemas.openxmlformats.org/officeDocument/2006/relationships/oleObject" Target="../embeddings/oleObject97.bin"/><Relationship Id="rId132" Type="http://schemas.openxmlformats.org/officeDocument/2006/relationships/oleObject" Target="../embeddings/oleObject118.bin"/><Relationship Id="rId153" Type="http://schemas.openxmlformats.org/officeDocument/2006/relationships/oleObject" Target="../embeddings/oleObject139.bin"/><Relationship Id="rId174" Type="http://schemas.openxmlformats.org/officeDocument/2006/relationships/oleObject" Target="../embeddings/oleObject160.bin"/><Relationship Id="rId195" Type="http://schemas.openxmlformats.org/officeDocument/2006/relationships/oleObject" Target="../embeddings/oleObject181.bin"/><Relationship Id="rId209" Type="http://schemas.openxmlformats.org/officeDocument/2006/relationships/oleObject" Target="../embeddings/oleObject195.bin"/><Relationship Id="rId360" Type="http://schemas.openxmlformats.org/officeDocument/2006/relationships/oleObject" Target="../embeddings/oleObject346.bin"/><Relationship Id="rId381" Type="http://schemas.openxmlformats.org/officeDocument/2006/relationships/oleObject" Target="../embeddings/oleObject367.bin"/><Relationship Id="rId416" Type="http://schemas.openxmlformats.org/officeDocument/2006/relationships/oleObject" Target="../embeddings/oleObject402.bin"/><Relationship Id="rId220" Type="http://schemas.openxmlformats.org/officeDocument/2006/relationships/oleObject" Target="../embeddings/oleObject206.bin"/><Relationship Id="rId241" Type="http://schemas.openxmlformats.org/officeDocument/2006/relationships/oleObject" Target="../embeddings/oleObject227.bin"/><Relationship Id="rId437" Type="http://schemas.openxmlformats.org/officeDocument/2006/relationships/oleObject" Target="../embeddings/oleObject423.bin"/><Relationship Id="rId458" Type="http://schemas.openxmlformats.org/officeDocument/2006/relationships/oleObject" Target="../embeddings/oleObject444.bin"/><Relationship Id="rId479" Type="http://schemas.openxmlformats.org/officeDocument/2006/relationships/oleObject" Target="../embeddings/oleObject465.bin"/><Relationship Id="rId15" Type="http://schemas.openxmlformats.org/officeDocument/2006/relationships/image" Target="../media/image9.emf"/><Relationship Id="rId36" Type="http://schemas.openxmlformats.org/officeDocument/2006/relationships/oleObject" Target="../embeddings/oleObject22.bin"/><Relationship Id="rId57" Type="http://schemas.openxmlformats.org/officeDocument/2006/relationships/oleObject" Target="../embeddings/oleObject43.bin"/><Relationship Id="rId262" Type="http://schemas.openxmlformats.org/officeDocument/2006/relationships/oleObject" Target="../embeddings/oleObject248.bin"/><Relationship Id="rId283" Type="http://schemas.openxmlformats.org/officeDocument/2006/relationships/oleObject" Target="../embeddings/oleObject269.bin"/><Relationship Id="rId318" Type="http://schemas.openxmlformats.org/officeDocument/2006/relationships/oleObject" Target="../embeddings/oleObject304.bin"/><Relationship Id="rId339" Type="http://schemas.openxmlformats.org/officeDocument/2006/relationships/oleObject" Target="../embeddings/oleObject325.bin"/><Relationship Id="rId490" Type="http://schemas.openxmlformats.org/officeDocument/2006/relationships/oleObject" Target="../embeddings/oleObject476.bin"/><Relationship Id="rId504" Type="http://schemas.openxmlformats.org/officeDocument/2006/relationships/oleObject" Target="../embeddings/oleObject490.bin"/><Relationship Id="rId78" Type="http://schemas.openxmlformats.org/officeDocument/2006/relationships/oleObject" Target="../embeddings/oleObject64.bin"/><Relationship Id="rId99" Type="http://schemas.openxmlformats.org/officeDocument/2006/relationships/oleObject" Target="../embeddings/oleObject85.bin"/><Relationship Id="rId101" Type="http://schemas.openxmlformats.org/officeDocument/2006/relationships/oleObject" Target="../embeddings/oleObject87.bin"/><Relationship Id="rId122" Type="http://schemas.openxmlformats.org/officeDocument/2006/relationships/oleObject" Target="../embeddings/oleObject108.bin"/><Relationship Id="rId143" Type="http://schemas.openxmlformats.org/officeDocument/2006/relationships/oleObject" Target="../embeddings/oleObject129.bin"/><Relationship Id="rId164" Type="http://schemas.openxmlformats.org/officeDocument/2006/relationships/oleObject" Target="../embeddings/oleObject150.bin"/><Relationship Id="rId185" Type="http://schemas.openxmlformats.org/officeDocument/2006/relationships/oleObject" Target="../embeddings/oleObject171.bin"/><Relationship Id="rId350" Type="http://schemas.openxmlformats.org/officeDocument/2006/relationships/oleObject" Target="../embeddings/oleObject336.bin"/><Relationship Id="rId371" Type="http://schemas.openxmlformats.org/officeDocument/2006/relationships/oleObject" Target="../embeddings/oleObject357.bin"/><Relationship Id="rId406" Type="http://schemas.openxmlformats.org/officeDocument/2006/relationships/oleObject" Target="../embeddings/oleObject392.bin"/><Relationship Id="rId9" Type="http://schemas.openxmlformats.org/officeDocument/2006/relationships/image" Target="../media/image6.emf"/><Relationship Id="rId210" Type="http://schemas.openxmlformats.org/officeDocument/2006/relationships/oleObject" Target="../embeddings/oleObject196.bin"/><Relationship Id="rId392" Type="http://schemas.openxmlformats.org/officeDocument/2006/relationships/oleObject" Target="../embeddings/oleObject378.bin"/><Relationship Id="rId427" Type="http://schemas.openxmlformats.org/officeDocument/2006/relationships/oleObject" Target="../embeddings/oleObject413.bin"/><Relationship Id="rId448" Type="http://schemas.openxmlformats.org/officeDocument/2006/relationships/oleObject" Target="../embeddings/oleObject434.bin"/><Relationship Id="rId469" Type="http://schemas.openxmlformats.org/officeDocument/2006/relationships/oleObject" Target="../embeddings/oleObject455.bin"/><Relationship Id="rId26" Type="http://schemas.openxmlformats.org/officeDocument/2006/relationships/oleObject" Target="../embeddings/oleObject13.bin"/><Relationship Id="rId231" Type="http://schemas.openxmlformats.org/officeDocument/2006/relationships/oleObject" Target="../embeddings/oleObject217.bin"/><Relationship Id="rId252" Type="http://schemas.openxmlformats.org/officeDocument/2006/relationships/oleObject" Target="../embeddings/oleObject238.bin"/><Relationship Id="rId273" Type="http://schemas.openxmlformats.org/officeDocument/2006/relationships/oleObject" Target="../embeddings/oleObject259.bin"/><Relationship Id="rId294" Type="http://schemas.openxmlformats.org/officeDocument/2006/relationships/oleObject" Target="../embeddings/oleObject280.bin"/><Relationship Id="rId308" Type="http://schemas.openxmlformats.org/officeDocument/2006/relationships/oleObject" Target="../embeddings/oleObject294.bin"/><Relationship Id="rId329" Type="http://schemas.openxmlformats.org/officeDocument/2006/relationships/oleObject" Target="../embeddings/oleObject315.bin"/><Relationship Id="rId480" Type="http://schemas.openxmlformats.org/officeDocument/2006/relationships/oleObject" Target="../embeddings/oleObject466.bin"/><Relationship Id="rId515" Type="http://schemas.openxmlformats.org/officeDocument/2006/relationships/oleObject" Target="../embeddings/oleObject501.bin"/><Relationship Id="rId47" Type="http://schemas.openxmlformats.org/officeDocument/2006/relationships/oleObject" Target="../embeddings/oleObject33.bin"/><Relationship Id="rId68" Type="http://schemas.openxmlformats.org/officeDocument/2006/relationships/oleObject" Target="../embeddings/oleObject54.bin"/><Relationship Id="rId89" Type="http://schemas.openxmlformats.org/officeDocument/2006/relationships/oleObject" Target="../embeddings/oleObject75.bin"/><Relationship Id="rId112" Type="http://schemas.openxmlformats.org/officeDocument/2006/relationships/oleObject" Target="../embeddings/oleObject98.bin"/><Relationship Id="rId133" Type="http://schemas.openxmlformats.org/officeDocument/2006/relationships/oleObject" Target="../embeddings/oleObject119.bin"/><Relationship Id="rId154" Type="http://schemas.openxmlformats.org/officeDocument/2006/relationships/oleObject" Target="../embeddings/oleObject140.bin"/><Relationship Id="rId175" Type="http://schemas.openxmlformats.org/officeDocument/2006/relationships/oleObject" Target="../embeddings/oleObject161.bin"/><Relationship Id="rId340" Type="http://schemas.openxmlformats.org/officeDocument/2006/relationships/oleObject" Target="../embeddings/oleObject326.bin"/><Relationship Id="rId361" Type="http://schemas.openxmlformats.org/officeDocument/2006/relationships/oleObject" Target="../embeddings/oleObject347.bin"/><Relationship Id="rId196" Type="http://schemas.openxmlformats.org/officeDocument/2006/relationships/oleObject" Target="../embeddings/oleObject182.bin"/><Relationship Id="rId200" Type="http://schemas.openxmlformats.org/officeDocument/2006/relationships/oleObject" Target="../embeddings/oleObject186.bin"/><Relationship Id="rId382" Type="http://schemas.openxmlformats.org/officeDocument/2006/relationships/oleObject" Target="../embeddings/oleObject368.bin"/><Relationship Id="rId417" Type="http://schemas.openxmlformats.org/officeDocument/2006/relationships/oleObject" Target="../embeddings/oleObject403.bin"/><Relationship Id="rId438" Type="http://schemas.openxmlformats.org/officeDocument/2006/relationships/oleObject" Target="../embeddings/oleObject424.bin"/><Relationship Id="rId459" Type="http://schemas.openxmlformats.org/officeDocument/2006/relationships/oleObject" Target="../embeddings/oleObject445.bin"/><Relationship Id="rId16" Type="http://schemas.openxmlformats.org/officeDocument/2006/relationships/oleObject" Target="../embeddings/oleObject8.bin"/><Relationship Id="rId221" Type="http://schemas.openxmlformats.org/officeDocument/2006/relationships/oleObject" Target="../embeddings/oleObject207.bin"/><Relationship Id="rId242" Type="http://schemas.openxmlformats.org/officeDocument/2006/relationships/oleObject" Target="../embeddings/oleObject228.bin"/><Relationship Id="rId263" Type="http://schemas.openxmlformats.org/officeDocument/2006/relationships/oleObject" Target="../embeddings/oleObject249.bin"/><Relationship Id="rId284" Type="http://schemas.openxmlformats.org/officeDocument/2006/relationships/oleObject" Target="../embeddings/oleObject270.bin"/><Relationship Id="rId319" Type="http://schemas.openxmlformats.org/officeDocument/2006/relationships/oleObject" Target="../embeddings/oleObject305.bin"/><Relationship Id="rId470" Type="http://schemas.openxmlformats.org/officeDocument/2006/relationships/oleObject" Target="../embeddings/oleObject456.bin"/><Relationship Id="rId491" Type="http://schemas.openxmlformats.org/officeDocument/2006/relationships/oleObject" Target="../embeddings/oleObject477.bin"/><Relationship Id="rId505" Type="http://schemas.openxmlformats.org/officeDocument/2006/relationships/oleObject" Target="../embeddings/oleObject491.bin"/><Relationship Id="rId37" Type="http://schemas.openxmlformats.org/officeDocument/2006/relationships/oleObject" Target="../embeddings/oleObject23.bin"/><Relationship Id="rId58" Type="http://schemas.openxmlformats.org/officeDocument/2006/relationships/oleObject" Target="../embeddings/oleObject44.bin"/><Relationship Id="rId79" Type="http://schemas.openxmlformats.org/officeDocument/2006/relationships/oleObject" Target="../embeddings/oleObject65.bin"/><Relationship Id="rId102" Type="http://schemas.openxmlformats.org/officeDocument/2006/relationships/oleObject" Target="../embeddings/oleObject88.bin"/><Relationship Id="rId123" Type="http://schemas.openxmlformats.org/officeDocument/2006/relationships/oleObject" Target="../embeddings/oleObject109.bin"/><Relationship Id="rId144" Type="http://schemas.openxmlformats.org/officeDocument/2006/relationships/oleObject" Target="../embeddings/oleObject130.bin"/><Relationship Id="rId330" Type="http://schemas.openxmlformats.org/officeDocument/2006/relationships/oleObject" Target="../embeddings/oleObject316.bin"/><Relationship Id="rId90" Type="http://schemas.openxmlformats.org/officeDocument/2006/relationships/oleObject" Target="../embeddings/oleObject76.bin"/><Relationship Id="rId165" Type="http://schemas.openxmlformats.org/officeDocument/2006/relationships/oleObject" Target="../embeddings/oleObject151.bin"/><Relationship Id="rId186" Type="http://schemas.openxmlformats.org/officeDocument/2006/relationships/oleObject" Target="../embeddings/oleObject172.bin"/><Relationship Id="rId351" Type="http://schemas.openxmlformats.org/officeDocument/2006/relationships/oleObject" Target="../embeddings/oleObject337.bin"/><Relationship Id="rId372" Type="http://schemas.openxmlformats.org/officeDocument/2006/relationships/oleObject" Target="../embeddings/oleObject358.bin"/><Relationship Id="rId393" Type="http://schemas.openxmlformats.org/officeDocument/2006/relationships/oleObject" Target="../embeddings/oleObject379.bin"/><Relationship Id="rId407" Type="http://schemas.openxmlformats.org/officeDocument/2006/relationships/oleObject" Target="../embeddings/oleObject393.bin"/><Relationship Id="rId428" Type="http://schemas.openxmlformats.org/officeDocument/2006/relationships/oleObject" Target="../embeddings/oleObject414.bin"/><Relationship Id="rId449" Type="http://schemas.openxmlformats.org/officeDocument/2006/relationships/oleObject" Target="../embeddings/oleObject435.bin"/><Relationship Id="rId211" Type="http://schemas.openxmlformats.org/officeDocument/2006/relationships/oleObject" Target="../embeddings/oleObject197.bin"/><Relationship Id="rId232" Type="http://schemas.openxmlformats.org/officeDocument/2006/relationships/oleObject" Target="../embeddings/oleObject218.bin"/><Relationship Id="rId253" Type="http://schemas.openxmlformats.org/officeDocument/2006/relationships/oleObject" Target="../embeddings/oleObject239.bin"/><Relationship Id="rId274" Type="http://schemas.openxmlformats.org/officeDocument/2006/relationships/oleObject" Target="../embeddings/oleObject260.bin"/><Relationship Id="rId295" Type="http://schemas.openxmlformats.org/officeDocument/2006/relationships/oleObject" Target="../embeddings/oleObject281.bin"/><Relationship Id="rId309" Type="http://schemas.openxmlformats.org/officeDocument/2006/relationships/oleObject" Target="../embeddings/oleObject295.bin"/><Relationship Id="rId460" Type="http://schemas.openxmlformats.org/officeDocument/2006/relationships/oleObject" Target="../embeddings/oleObject446.bin"/><Relationship Id="rId481" Type="http://schemas.openxmlformats.org/officeDocument/2006/relationships/oleObject" Target="../embeddings/oleObject467.bin"/><Relationship Id="rId516" Type="http://schemas.openxmlformats.org/officeDocument/2006/relationships/oleObject" Target="../embeddings/oleObject502.bin"/><Relationship Id="rId27" Type="http://schemas.openxmlformats.org/officeDocument/2006/relationships/image" Target="../media/image15.emf"/><Relationship Id="rId48" Type="http://schemas.openxmlformats.org/officeDocument/2006/relationships/oleObject" Target="../embeddings/oleObject34.bin"/><Relationship Id="rId69" Type="http://schemas.openxmlformats.org/officeDocument/2006/relationships/oleObject" Target="../embeddings/oleObject55.bin"/><Relationship Id="rId113" Type="http://schemas.openxmlformats.org/officeDocument/2006/relationships/oleObject" Target="../embeddings/oleObject99.bin"/><Relationship Id="rId134" Type="http://schemas.openxmlformats.org/officeDocument/2006/relationships/oleObject" Target="../embeddings/oleObject120.bin"/><Relationship Id="rId320" Type="http://schemas.openxmlformats.org/officeDocument/2006/relationships/oleObject" Target="../embeddings/oleObject306.bin"/><Relationship Id="rId80" Type="http://schemas.openxmlformats.org/officeDocument/2006/relationships/oleObject" Target="../embeddings/oleObject66.bin"/><Relationship Id="rId155" Type="http://schemas.openxmlformats.org/officeDocument/2006/relationships/oleObject" Target="../embeddings/oleObject141.bin"/><Relationship Id="rId176" Type="http://schemas.openxmlformats.org/officeDocument/2006/relationships/oleObject" Target="../embeddings/oleObject162.bin"/><Relationship Id="rId197" Type="http://schemas.openxmlformats.org/officeDocument/2006/relationships/oleObject" Target="../embeddings/oleObject183.bin"/><Relationship Id="rId341" Type="http://schemas.openxmlformats.org/officeDocument/2006/relationships/oleObject" Target="../embeddings/oleObject327.bin"/><Relationship Id="rId362" Type="http://schemas.openxmlformats.org/officeDocument/2006/relationships/oleObject" Target="../embeddings/oleObject348.bin"/><Relationship Id="rId383" Type="http://schemas.openxmlformats.org/officeDocument/2006/relationships/oleObject" Target="../embeddings/oleObject369.bin"/><Relationship Id="rId418" Type="http://schemas.openxmlformats.org/officeDocument/2006/relationships/oleObject" Target="../embeddings/oleObject404.bin"/><Relationship Id="rId439" Type="http://schemas.openxmlformats.org/officeDocument/2006/relationships/oleObject" Target="../embeddings/oleObject425.bin"/><Relationship Id="rId201" Type="http://schemas.openxmlformats.org/officeDocument/2006/relationships/oleObject" Target="../embeddings/oleObject187.bin"/><Relationship Id="rId222" Type="http://schemas.openxmlformats.org/officeDocument/2006/relationships/oleObject" Target="../embeddings/oleObject208.bin"/><Relationship Id="rId243" Type="http://schemas.openxmlformats.org/officeDocument/2006/relationships/oleObject" Target="../embeddings/oleObject229.bin"/><Relationship Id="rId264" Type="http://schemas.openxmlformats.org/officeDocument/2006/relationships/oleObject" Target="../embeddings/oleObject250.bin"/><Relationship Id="rId285" Type="http://schemas.openxmlformats.org/officeDocument/2006/relationships/oleObject" Target="../embeddings/oleObject271.bin"/><Relationship Id="rId450" Type="http://schemas.openxmlformats.org/officeDocument/2006/relationships/oleObject" Target="../embeddings/oleObject436.bin"/><Relationship Id="rId471" Type="http://schemas.openxmlformats.org/officeDocument/2006/relationships/oleObject" Target="../embeddings/oleObject457.bin"/><Relationship Id="rId506" Type="http://schemas.openxmlformats.org/officeDocument/2006/relationships/oleObject" Target="../embeddings/oleObject492.bin"/><Relationship Id="rId17" Type="http://schemas.openxmlformats.org/officeDocument/2006/relationships/image" Target="../media/image10.emf"/><Relationship Id="rId38" Type="http://schemas.openxmlformats.org/officeDocument/2006/relationships/oleObject" Target="../embeddings/oleObject24.bin"/><Relationship Id="rId59" Type="http://schemas.openxmlformats.org/officeDocument/2006/relationships/oleObject" Target="../embeddings/oleObject45.bin"/><Relationship Id="rId103" Type="http://schemas.openxmlformats.org/officeDocument/2006/relationships/oleObject" Target="../embeddings/oleObject89.bin"/><Relationship Id="rId124" Type="http://schemas.openxmlformats.org/officeDocument/2006/relationships/oleObject" Target="../embeddings/oleObject110.bin"/><Relationship Id="rId310" Type="http://schemas.openxmlformats.org/officeDocument/2006/relationships/oleObject" Target="../embeddings/oleObject296.bin"/><Relationship Id="rId492" Type="http://schemas.openxmlformats.org/officeDocument/2006/relationships/oleObject" Target="../embeddings/oleObject478.bin"/><Relationship Id="rId70" Type="http://schemas.openxmlformats.org/officeDocument/2006/relationships/oleObject" Target="../embeddings/oleObject56.bin"/><Relationship Id="rId91" Type="http://schemas.openxmlformats.org/officeDocument/2006/relationships/oleObject" Target="../embeddings/oleObject77.bin"/><Relationship Id="rId145" Type="http://schemas.openxmlformats.org/officeDocument/2006/relationships/oleObject" Target="../embeddings/oleObject131.bin"/><Relationship Id="rId166" Type="http://schemas.openxmlformats.org/officeDocument/2006/relationships/oleObject" Target="../embeddings/oleObject152.bin"/><Relationship Id="rId187" Type="http://schemas.openxmlformats.org/officeDocument/2006/relationships/oleObject" Target="../embeddings/oleObject173.bin"/><Relationship Id="rId331" Type="http://schemas.openxmlformats.org/officeDocument/2006/relationships/oleObject" Target="../embeddings/oleObject317.bin"/><Relationship Id="rId352" Type="http://schemas.openxmlformats.org/officeDocument/2006/relationships/oleObject" Target="../embeddings/oleObject338.bin"/><Relationship Id="rId373" Type="http://schemas.openxmlformats.org/officeDocument/2006/relationships/oleObject" Target="../embeddings/oleObject359.bin"/><Relationship Id="rId394" Type="http://schemas.openxmlformats.org/officeDocument/2006/relationships/oleObject" Target="../embeddings/oleObject380.bin"/><Relationship Id="rId408" Type="http://schemas.openxmlformats.org/officeDocument/2006/relationships/oleObject" Target="../embeddings/oleObject394.bin"/><Relationship Id="rId429" Type="http://schemas.openxmlformats.org/officeDocument/2006/relationships/oleObject" Target="../embeddings/oleObject415.bin"/><Relationship Id="rId1" Type="http://schemas.openxmlformats.org/officeDocument/2006/relationships/drawing" Target="../drawings/drawing7.xml"/><Relationship Id="rId212" Type="http://schemas.openxmlformats.org/officeDocument/2006/relationships/oleObject" Target="../embeddings/oleObject198.bin"/><Relationship Id="rId233" Type="http://schemas.openxmlformats.org/officeDocument/2006/relationships/oleObject" Target="../embeddings/oleObject219.bin"/><Relationship Id="rId254" Type="http://schemas.openxmlformats.org/officeDocument/2006/relationships/oleObject" Target="../embeddings/oleObject240.bin"/><Relationship Id="rId440" Type="http://schemas.openxmlformats.org/officeDocument/2006/relationships/oleObject" Target="../embeddings/oleObject426.bin"/><Relationship Id="rId28" Type="http://schemas.openxmlformats.org/officeDocument/2006/relationships/oleObject" Target="../embeddings/oleObject14.bin"/><Relationship Id="rId49" Type="http://schemas.openxmlformats.org/officeDocument/2006/relationships/oleObject" Target="../embeddings/oleObject35.bin"/><Relationship Id="rId114" Type="http://schemas.openxmlformats.org/officeDocument/2006/relationships/oleObject" Target="../embeddings/oleObject100.bin"/><Relationship Id="rId275" Type="http://schemas.openxmlformats.org/officeDocument/2006/relationships/oleObject" Target="../embeddings/oleObject261.bin"/><Relationship Id="rId296" Type="http://schemas.openxmlformats.org/officeDocument/2006/relationships/oleObject" Target="../embeddings/oleObject282.bin"/><Relationship Id="rId300" Type="http://schemas.openxmlformats.org/officeDocument/2006/relationships/oleObject" Target="../embeddings/oleObject286.bin"/><Relationship Id="rId461" Type="http://schemas.openxmlformats.org/officeDocument/2006/relationships/oleObject" Target="../embeddings/oleObject447.bin"/><Relationship Id="rId482" Type="http://schemas.openxmlformats.org/officeDocument/2006/relationships/oleObject" Target="../embeddings/oleObject468.bin"/><Relationship Id="rId517" Type="http://schemas.openxmlformats.org/officeDocument/2006/relationships/oleObject" Target="../embeddings/oleObject503.bin"/><Relationship Id="rId60" Type="http://schemas.openxmlformats.org/officeDocument/2006/relationships/oleObject" Target="../embeddings/oleObject46.bin"/><Relationship Id="rId81" Type="http://schemas.openxmlformats.org/officeDocument/2006/relationships/oleObject" Target="../embeddings/oleObject67.bin"/><Relationship Id="rId135" Type="http://schemas.openxmlformats.org/officeDocument/2006/relationships/oleObject" Target="../embeddings/oleObject121.bin"/><Relationship Id="rId156" Type="http://schemas.openxmlformats.org/officeDocument/2006/relationships/oleObject" Target="../embeddings/oleObject142.bin"/><Relationship Id="rId177" Type="http://schemas.openxmlformats.org/officeDocument/2006/relationships/oleObject" Target="../embeddings/oleObject163.bin"/><Relationship Id="rId198" Type="http://schemas.openxmlformats.org/officeDocument/2006/relationships/oleObject" Target="../embeddings/oleObject184.bin"/><Relationship Id="rId321" Type="http://schemas.openxmlformats.org/officeDocument/2006/relationships/oleObject" Target="../embeddings/oleObject307.bin"/><Relationship Id="rId342" Type="http://schemas.openxmlformats.org/officeDocument/2006/relationships/oleObject" Target="../embeddings/oleObject328.bin"/><Relationship Id="rId363" Type="http://schemas.openxmlformats.org/officeDocument/2006/relationships/oleObject" Target="../embeddings/oleObject349.bin"/><Relationship Id="rId384" Type="http://schemas.openxmlformats.org/officeDocument/2006/relationships/oleObject" Target="../embeddings/oleObject370.bin"/><Relationship Id="rId419" Type="http://schemas.openxmlformats.org/officeDocument/2006/relationships/oleObject" Target="../embeddings/oleObject405.bin"/><Relationship Id="rId202" Type="http://schemas.openxmlformats.org/officeDocument/2006/relationships/oleObject" Target="../embeddings/oleObject188.bin"/><Relationship Id="rId223" Type="http://schemas.openxmlformats.org/officeDocument/2006/relationships/oleObject" Target="../embeddings/oleObject209.bin"/><Relationship Id="rId244" Type="http://schemas.openxmlformats.org/officeDocument/2006/relationships/oleObject" Target="../embeddings/oleObject230.bin"/><Relationship Id="rId430" Type="http://schemas.openxmlformats.org/officeDocument/2006/relationships/oleObject" Target="../embeddings/oleObject416.bin"/><Relationship Id="rId18" Type="http://schemas.openxmlformats.org/officeDocument/2006/relationships/oleObject" Target="../embeddings/oleObject9.bin"/><Relationship Id="rId39" Type="http://schemas.openxmlformats.org/officeDocument/2006/relationships/oleObject" Target="../embeddings/oleObject25.bin"/><Relationship Id="rId265" Type="http://schemas.openxmlformats.org/officeDocument/2006/relationships/oleObject" Target="../embeddings/oleObject251.bin"/><Relationship Id="rId286" Type="http://schemas.openxmlformats.org/officeDocument/2006/relationships/oleObject" Target="../embeddings/oleObject272.bin"/><Relationship Id="rId451" Type="http://schemas.openxmlformats.org/officeDocument/2006/relationships/oleObject" Target="../embeddings/oleObject437.bin"/><Relationship Id="rId472" Type="http://schemas.openxmlformats.org/officeDocument/2006/relationships/oleObject" Target="../embeddings/oleObject458.bin"/><Relationship Id="rId493" Type="http://schemas.openxmlformats.org/officeDocument/2006/relationships/oleObject" Target="../embeddings/oleObject479.bin"/><Relationship Id="rId507" Type="http://schemas.openxmlformats.org/officeDocument/2006/relationships/oleObject" Target="../embeddings/oleObject493.bin"/><Relationship Id="rId50" Type="http://schemas.openxmlformats.org/officeDocument/2006/relationships/oleObject" Target="../embeddings/oleObject36.bin"/><Relationship Id="rId104" Type="http://schemas.openxmlformats.org/officeDocument/2006/relationships/oleObject" Target="../embeddings/oleObject90.bin"/><Relationship Id="rId125" Type="http://schemas.openxmlformats.org/officeDocument/2006/relationships/oleObject" Target="../embeddings/oleObject111.bin"/><Relationship Id="rId146" Type="http://schemas.openxmlformats.org/officeDocument/2006/relationships/oleObject" Target="../embeddings/oleObject132.bin"/><Relationship Id="rId167" Type="http://schemas.openxmlformats.org/officeDocument/2006/relationships/oleObject" Target="../embeddings/oleObject153.bin"/><Relationship Id="rId188" Type="http://schemas.openxmlformats.org/officeDocument/2006/relationships/oleObject" Target="../embeddings/oleObject174.bin"/><Relationship Id="rId311" Type="http://schemas.openxmlformats.org/officeDocument/2006/relationships/oleObject" Target="../embeddings/oleObject297.bin"/><Relationship Id="rId332" Type="http://schemas.openxmlformats.org/officeDocument/2006/relationships/oleObject" Target="../embeddings/oleObject318.bin"/><Relationship Id="rId353" Type="http://schemas.openxmlformats.org/officeDocument/2006/relationships/oleObject" Target="../embeddings/oleObject339.bin"/><Relationship Id="rId374" Type="http://schemas.openxmlformats.org/officeDocument/2006/relationships/oleObject" Target="../embeddings/oleObject360.bin"/><Relationship Id="rId395" Type="http://schemas.openxmlformats.org/officeDocument/2006/relationships/oleObject" Target="../embeddings/oleObject381.bin"/><Relationship Id="rId409" Type="http://schemas.openxmlformats.org/officeDocument/2006/relationships/oleObject" Target="../embeddings/oleObject395.bin"/><Relationship Id="rId71" Type="http://schemas.openxmlformats.org/officeDocument/2006/relationships/oleObject" Target="../embeddings/oleObject57.bin"/><Relationship Id="rId92" Type="http://schemas.openxmlformats.org/officeDocument/2006/relationships/oleObject" Target="../embeddings/oleObject78.bin"/><Relationship Id="rId213" Type="http://schemas.openxmlformats.org/officeDocument/2006/relationships/oleObject" Target="../embeddings/oleObject199.bin"/><Relationship Id="rId234" Type="http://schemas.openxmlformats.org/officeDocument/2006/relationships/oleObject" Target="../embeddings/oleObject220.bin"/><Relationship Id="rId420" Type="http://schemas.openxmlformats.org/officeDocument/2006/relationships/oleObject" Target="../embeddings/oleObject406.bin"/><Relationship Id="rId2" Type="http://schemas.openxmlformats.org/officeDocument/2006/relationships/vmlDrawing" Target="../drawings/vmlDrawing1.vml"/><Relationship Id="rId29" Type="http://schemas.openxmlformats.org/officeDocument/2006/relationships/oleObject" Target="../embeddings/oleObject15.bin"/><Relationship Id="rId255" Type="http://schemas.openxmlformats.org/officeDocument/2006/relationships/oleObject" Target="../embeddings/oleObject241.bin"/><Relationship Id="rId276" Type="http://schemas.openxmlformats.org/officeDocument/2006/relationships/oleObject" Target="../embeddings/oleObject262.bin"/><Relationship Id="rId297" Type="http://schemas.openxmlformats.org/officeDocument/2006/relationships/oleObject" Target="../embeddings/oleObject283.bin"/><Relationship Id="rId441" Type="http://schemas.openxmlformats.org/officeDocument/2006/relationships/oleObject" Target="../embeddings/oleObject427.bin"/><Relationship Id="rId462" Type="http://schemas.openxmlformats.org/officeDocument/2006/relationships/oleObject" Target="../embeddings/oleObject448.bin"/><Relationship Id="rId483" Type="http://schemas.openxmlformats.org/officeDocument/2006/relationships/oleObject" Target="../embeddings/oleObject469.bin"/><Relationship Id="rId518" Type="http://schemas.openxmlformats.org/officeDocument/2006/relationships/oleObject" Target="../embeddings/oleObject504.bin"/><Relationship Id="rId40" Type="http://schemas.openxmlformats.org/officeDocument/2006/relationships/oleObject" Target="../embeddings/oleObject26.bin"/><Relationship Id="rId115" Type="http://schemas.openxmlformats.org/officeDocument/2006/relationships/oleObject" Target="../embeddings/oleObject101.bin"/><Relationship Id="rId136" Type="http://schemas.openxmlformats.org/officeDocument/2006/relationships/oleObject" Target="../embeddings/oleObject122.bin"/><Relationship Id="rId157" Type="http://schemas.openxmlformats.org/officeDocument/2006/relationships/oleObject" Target="../embeddings/oleObject143.bin"/><Relationship Id="rId178" Type="http://schemas.openxmlformats.org/officeDocument/2006/relationships/oleObject" Target="../embeddings/oleObject164.bin"/><Relationship Id="rId301" Type="http://schemas.openxmlformats.org/officeDocument/2006/relationships/oleObject" Target="../embeddings/oleObject287.bin"/><Relationship Id="rId322" Type="http://schemas.openxmlformats.org/officeDocument/2006/relationships/oleObject" Target="../embeddings/oleObject308.bin"/><Relationship Id="rId343" Type="http://schemas.openxmlformats.org/officeDocument/2006/relationships/oleObject" Target="../embeddings/oleObject329.bin"/><Relationship Id="rId364" Type="http://schemas.openxmlformats.org/officeDocument/2006/relationships/oleObject" Target="../embeddings/oleObject350.bin"/><Relationship Id="rId61" Type="http://schemas.openxmlformats.org/officeDocument/2006/relationships/oleObject" Target="../embeddings/oleObject47.bin"/><Relationship Id="rId82" Type="http://schemas.openxmlformats.org/officeDocument/2006/relationships/oleObject" Target="../embeddings/oleObject68.bin"/><Relationship Id="rId199" Type="http://schemas.openxmlformats.org/officeDocument/2006/relationships/oleObject" Target="../embeddings/oleObject185.bin"/><Relationship Id="rId203" Type="http://schemas.openxmlformats.org/officeDocument/2006/relationships/oleObject" Target="../embeddings/oleObject189.bin"/><Relationship Id="rId385" Type="http://schemas.openxmlformats.org/officeDocument/2006/relationships/oleObject" Target="../embeddings/oleObject371.bin"/><Relationship Id="rId19" Type="http://schemas.openxmlformats.org/officeDocument/2006/relationships/image" Target="../media/image11.emf"/><Relationship Id="rId224" Type="http://schemas.openxmlformats.org/officeDocument/2006/relationships/oleObject" Target="../embeddings/oleObject210.bin"/><Relationship Id="rId245" Type="http://schemas.openxmlformats.org/officeDocument/2006/relationships/oleObject" Target="../embeddings/oleObject231.bin"/><Relationship Id="rId266" Type="http://schemas.openxmlformats.org/officeDocument/2006/relationships/oleObject" Target="../embeddings/oleObject252.bin"/><Relationship Id="rId287" Type="http://schemas.openxmlformats.org/officeDocument/2006/relationships/oleObject" Target="../embeddings/oleObject273.bin"/><Relationship Id="rId410" Type="http://schemas.openxmlformats.org/officeDocument/2006/relationships/oleObject" Target="../embeddings/oleObject396.bin"/><Relationship Id="rId431" Type="http://schemas.openxmlformats.org/officeDocument/2006/relationships/oleObject" Target="../embeddings/oleObject417.bin"/><Relationship Id="rId452" Type="http://schemas.openxmlformats.org/officeDocument/2006/relationships/oleObject" Target="../embeddings/oleObject438.bin"/><Relationship Id="rId473" Type="http://schemas.openxmlformats.org/officeDocument/2006/relationships/oleObject" Target="../embeddings/oleObject459.bin"/><Relationship Id="rId494" Type="http://schemas.openxmlformats.org/officeDocument/2006/relationships/oleObject" Target="../embeddings/oleObject480.bin"/><Relationship Id="rId508" Type="http://schemas.openxmlformats.org/officeDocument/2006/relationships/oleObject" Target="../embeddings/oleObject494.bin"/><Relationship Id="rId30" Type="http://schemas.openxmlformats.org/officeDocument/2006/relationships/oleObject" Target="../embeddings/oleObject16.bin"/><Relationship Id="rId105" Type="http://schemas.openxmlformats.org/officeDocument/2006/relationships/oleObject" Target="../embeddings/oleObject91.bin"/><Relationship Id="rId126" Type="http://schemas.openxmlformats.org/officeDocument/2006/relationships/oleObject" Target="../embeddings/oleObject112.bin"/><Relationship Id="rId147" Type="http://schemas.openxmlformats.org/officeDocument/2006/relationships/oleObject" Target="../embeddings/oleObject133.bin"/><Relationship Id="rId168" Type="http://schemas.openxmlformats.org/officeDocument/2006/relationships/oleObject" Target="../embeddings/oleObject154.bin"/><Relationship Id="rId312" Type="http://schemas.openxmlformats.org/officeDocument/2006/relationships/oleObject" Target="../embeddings/oleObject298.bin"/><Relationship Id="rId333" Type="http://schemas.openxmlformats.org/officeDocument/2006/relationships/oleObject" Target="../embeddings/oleObject319.bin"/><Relationship Id="rId354" Type="http://schemas.openxmlformats.org/officeDocument/2006/relationships/oleObject" Target="../embeddings/oleObject340.bin"/><Relationship Id="rId51" Type="http://schemas.openxmlformats.org/officeDocument/2006/relationships/oleObject" Target="../embeddings/oleObject37.bin"/><Relationship Id="rId72" Type="http://schemas.openxmlformats.org/officeDocument/2006/relationships/oleObject" Target="../embeddings/oleObject58.bin"/><Relationship Id="rId93" Type="http://schemas.openxmlformats.org/officeDocument/2006/relationships/oleObject" Target="../embeddings/oleObject79.bin"/><Relationship Id="rId189" Type="http://schemas.openxmlformats.org/officeDocument/2006/relationships/oleObject" Target="../embeddings/oleObject175.bin"/><Relationship Id="rId375" Type="http://schemas.openxmlformats.org/officeDocument/2006/relationships/oleObject" Target="../embeddings/oleObject361.bin"/><Relationship Id="rId396" Type="http://schemas.openxmlformats.org/officeDocument/2006/relationships/oleObject" Target="../embeddings/oleObject382.bin"/><Relationship Id="rId3" Type="http://schemas.openxmlformats.org/officeDocument/2006/relationships/oleObject" Target="../embeddings/oleObject1.bin"/><Relationship Id="rId214" Type="http://schemas.openxmlformats.org/officeDocument/2006/relationships/oleObject" Target="../embeddings/oleObject200.bin"/><Relationship Id="rId235" Type="http://schemas.openxmlformats.org/officeDocument/2006/relationships/oleObject" Target="../embeddings/oleObject221.bin"/><Relationship Id="rId256" Type="http://schemas.openxmlformats.org/officeDocument/2006/relationships/oleObject" Target="../embeddings/oleObject242.bin"/><Relationship Id="rId277" Type="http://schemas.openxmlformats.org/officeDocument/2006/relationships/oleObject" Target="../embeddings/oleObject263.bin"/><Relationship Id="rId298" Type="http://schemas.openxmlformats.org/officeDocument/2006/relationships/oleObject" Target="../embeddings/oleObject284.bin"/><Relationship Id="rId400" Type="http://schemas.openxmlformats.org/officeDocument/2006/relationships/oleObject" Target="../embeddings/oleObject386.bin"/><Relationship Id="rId421" Type="http://schemas.openxmlformats.org/officeDocument/2006/relationships/oleObject" Target="../embeddings/oleObject407.bin"/><Relationship Id="rId442" Type="http://schemas.openxmlformats.org/officeDocument/2006/relationships/oleObject" Target="../embeddings/oleObject428.bin"/><Relationship Id="rId463" Type="http://schemas.openxmlformats.org/officeDocument/2006/relationships/oleObject" Target="../embeddings/oleObject449.bin"/><Relationship Id="rId484" Type="http://schemas.openxmlformats.org/officeDocument/2006/relationships/oleObject" Target="../embeddings/oleObject470.bin"/><Relationship Id="rId116" Type="http://schemas.openxmlformats.org/officeDocument/2006/relationships/oleObject" Target="../embeddings/oleObject102.bin"/><Relationship Id="rId137" Type="http://schemas.openxmlformats.org/officeDocument/2006/relationships/oleObject" Target="../embeddings/oleObject123.bin"/><Relationship Id="rId158" Type="http://schemas.openxmlformats.org/officeDocument/2006/relationships/oleObject" Target="../embeddings/oleObject144.bin"/><Relationship Id="rId302" Type="http://schemas.openxmlformats.org/officeDocument/2006/relationships/oleObject" Target="../embeddings/oleObject288.bin"/><Relationship Id="rId323" Type="http://schemas.openxmlformats.org/officeDocument/2006/relationships/oleObject" Target="../embeddings/oleObject309.bin"/><Relationship Id="rId344" Type="http://schemas.openxmlformats.org/officeDocument/2006/relationships/oleObject" Target="../embeddings/oleObject330.bin"/><Relationship Id="rId20" Type="http://schemas.openxmlformats.org/officeDocument/2006/relationships/oleObject" Target="../embeddings/oleObject10.bin"/><Relationship Id="rId41" Type="http://schemas.openxmlformats.org/officeDocument/2006/relationships/oleObject" Target="../embeddings/oleObject27.bin"/><Relationship Id="rId62" Type="http://schemas.openxmlformats.org/officeDocument/2006/relationships/oleObject" Target="../embeddings/oleObject48.bin"/><Relationship Id="rId83" Type="http://schemas.openxmlformats.org/officeDocument/2006/relationships/oleObject" Target="../embeddings/oleObject69.bin"/><Relationship Id="rId179" Type="http://schemas.openxmlformats.org/officeDocument/2006/relationships/oleObject" Target="../embeddings/oleObject165.bin"/><Relationship Id="rId365" Type="http://schemas.openxmlformats.org/officeDocument/2006/relationships/oleObject" Target="../embeddings/oleObject351.bin"/><Relationship Id="rId386" Type="http://schemas.openxmlformats.org/officeDocument/2006/relationships/oleObject" Target="../embeddings/oleObject372.bin"/><Relationship Id="rId190" Type="http://schemas.openxmlformats.org/officeDocument/2006/relationships/oleObject" Target="../embeddings/oleObject176.bin"/><Relationship Id="rId204" Type="http://schemas.openxmlformats.org/officeDocument/2006/relationships/oleObject" Target="../embeddings/oleObject190.bin"/><Relationship Id="rId225" Type="http://schemas.openxmlformats.org/officeDocument/2006/relationships/oleObject" Target="../embeddings/oleObject211.bin"/><Relationship Id="rId246" Type="http://schemas.openxmlformats.org/officeDocument/2006/relationships/oleObject" Target="../embeddings/oleObject232.bin"/><Relationship Id="rId267" Type="http://schemas.openxmlformats.org/officeDocument/2006/relationships/oleObject" Target="../embeddings/oleObject253.bin"/><Relationship Id="rId288" Type="http://schemas.openxmlformats.org/officeDocument/2006/relationships/oleObject" Target="../embeddings/oleObject274.bin"/><Relationship Id="rId411" Type="http://schemas.openxmlformats.org/officeDocument/2006/relationships/oleObject" Target="../embeddings/oleObject397.bin"/><Relationship Id="rId432" Type="http://schemas.openxmlformats.org/officeDocument/2006/relationships/oleObject" Target="../embeddings/oleObject418.bin"/><Relationship Id="rId453" Type="http://schemas.openxmlformats.org/officeDocument/2006/relationships/oleObject" Target="../embeddings/oleObject439.bin"/><Relationship Id="rId474" Type="http://schemas.openxmlformats.org/officeDocument/2006/relationships/oleObject" Target="../embeddings/oleObject460.bin"/><Relationship Id="rId509" Type="http://schemas.openxmlformats.org/officeDocument/2006/relationships/oleObject" Target="../embeddings/oleObject495.bin"/><Relationship Id="rId106" Type="http://schemas.openxmlformats.org/officeDocument/2006/relationships/oleObject" Target="../embeddings/oleObject92.bin"/><Relationship Id="rId127" Type="http://schemas.openxmlformats.org/officeDocument/2006/relationships/oleObject" Target="../embeddings/oleObject113.bin"/><Relationship Id="rId313" Type="http://schemas.openxmlformats.org/officeDocument/2006/relationships/oleObject" Target="../embeddings/oleObject299.bin"/><Relationship Id="rId495" Type="http://schemas.openxmlformats.org/officeDocument/2006/relationships/oleObject" Target="../embeddings/oleObject481.bin"/><Relationship Id="rId10" Type="http://schemas.openxmlformats.org/officeDocument/2006/relationships/oleObject" Target="../embeddings/oleObject5.bin"/><Relationship Id="rId31" Type="http://schemas.openxmlformats.org/officeDocument/2006/relationships/oleObject" Target="../embeddings/oleObject17.bin"/><Relationship Id="rId52" Type="http://schemas.openxmlformats.org/officeDocument/2006/relationships/oleObject" Target="../embeddings/oleObject38.bin"/><Relationship Id="rId73" Type="http://schemas.openxmlformats.org/officeDocument/2006/relationships/oleObject" Target="../embeddings/oleObject59.bin"/><Relationship Id="rId94" Type="http://schemas.openxmlformats.org/officeDocument/2006/relationships/oleObject" Target="../embeddings/oleObject80.bin"/><Relationship Id="rId148" Type="http://schemas.openxmlformats.org/officeDocument/2006/relationships/oleObject" Target="../embeddings/oleObject134.bin"/><Relationship Id="rId169" Type="http://schemas.openxmlformats.org/officeDocument/2006/relationships/oleObject" Target="../embeddings/oleObject155.bin"/><Relationship Id="rId334" Type="http://schemas.openxmlformats.org/officeDocument/2006/relationships/oleObject" Target="../embeddings/oleObject320.bin"/><Relationship Id="rId355" Type="http://schemas.openxmlformats.org/officeDocument/2006/relationships/oleObject" Target="../embeddings/oleObject341.bin"/><Relationship Id="rId376" Type="http://schemas.openxmlformats.org/officeDocument/2006/relationships/oleObject" Target="../embeddings/oleObject362.bin"/><Relationship Id="rId397" Type="http://schemas.openxmlformats.org/officeDocument/2006/relationships/oleObject" Target="../embeddings/oleObject383.bin"/><Relationship Id="rId4" Type="http://schemas.openxmlformats.org/officeDocument/2006/relationships/image" Target="../media/image4.emf"/><Relationship Id="rId180" Type="http://schemas.openxmlformats.org/officeDocument/2006/relationships/oleObject" Target="../embeddings/oleObject166.bin"/><Relationship Id="rId215" Type="http://schemas.openxmlformats.org/officeDocument/2006/relationships/oleObject" Target="../embeddings/oleObject201.bin"/><Relationship Id="rId236" Type="http://schemas.openxmlformats.org/officeDocument/2006/relationships/oleObject" Target="../embeddings/oleObject222.bin"/><Relationship Id="rId257" Type="http://schemas.openxmlformats.org/officeDocument/2006/relationships/oleObject" Target="../embeddings/oleObject243.bin"/><Relationship Id="rId278" Type="http://schemas.openxmlformats.org/officeDocument/2006/relationships/oleObject" Target="../embeddings/oleObject264.bin"/><Relationship Id="rId401" Type="http://schemas.openxmlformats.org/officeDocument/2006/relationships/oleObject" Target="../embeddings/oleObject387.bin"/><Relationship Id="rId422" Type="http://schemas.openxmlformats.org/officeDocument/2006/relationships/oleObject" Target="../embeddings/oleObject408.bin"/><Relationship Id="rId443" Type="http://schemas.openxmlformats.org/officeDocument/2006/relationships/oleObject" Target="../embeddings/oleObject429.bin"/><Relationship Id="rId464" Type="http://schemas.openxmlformats.org/officeDocument/2006/relationships/oleObject" Target="../embeddings/oleObject450.bin"/><Relationship Id="rId303" Type="http://schemas.openxmlformats.org/officeDocument/2006/relationships/oleObject" Target="../embeddings/oleObject289.bin"/><Relationship Id="rId485" Type="http://schemas.openxmlformats.org/officeDocument/2006/relationships/oleObject" Target="../embeddings/oleObject471.bin"/><Relationship Id="rId42" Type="http://schemas.openxmlformats.org/officeDocument/2006/relationships/oleObject" Target="../embeddings/oleObject28.bin"/><Relationship Id="rId84" Type="http://schemas.openxmlformats.org/officeDocument/2006/relationships/oleObject" Target="../embeddings/oleObject70.bin"/><Relationship Id="rId138" Type="http://schemas.openxmlformats.org/officeDocument/2006/relationships/oleObject" Target="../embeddings/oleObject124.bin"/><Relationship Id="rId345" Type="http://schemas.openxmlformats.org/officeDocument/2006/relationships/oleObject" Target="../embeddings/oleObject331.bin"/><Relationship Id="rId387" Type="http://schemas.openxmlformats.org/officeDocument/2006/relationships/oleObject" Target="../embeddings/oleObject373.bin"/><Relationship Id="rId510" Type="http://schemas.openxmlformats.org/officeDocument/2006/relationships/oleObject" Target="../embeddings/oleObject496.bin"/><Relationship Id="rId191" Type="http://schemas.openxmlformats.org/officeDocument/2006/relationships/oleObject" Target="../embeddings/oleObject177.bin"/><Relationship Id="rId205" Type="http://schemas.openxmlformats.org/officeDocument/2006/relationships/oleObject" Target="../embeddings/oleObject191.bin"/><Relationship Id="rId247" Type="http://schemas.openxmlformats.org/officeDocument/2006/relationships/oleObject" Target="../embeddings/oleObject233.bin"/><Relationship Id="rId412" Type="http://schemas.openxmlformats.org/officeDocument/2006/relationships/oleObject" Target="../embeddings/oleObject398.bin"/><Relationship Id="rId107" Type="http://schemas.openxmlformats.org/officeDocument/2006/relationships/oleObject" Target="../embeddings/oleObject93.bin"/><Relationship Id="rId289" Type="http://schemas.openxmlformats.org/officeDocument/2006/relationships/oleObject" Target="../embeddings/oleObject275.bin"/><Relationship Id="rId454" Type="http://schemas.openxmlformats.org/officeDocument/2006/relationships/oleObject" Target="../embeddings/oleObject440.bin"/><Relationship Id="rId496" Type="http://schemas.openxmlformats.org/officeDocument/2006/relationships/oleObject" Target="../embeddings/oleObject482.bin"/><Relationship Id="rId11" Type="http://schemas.openxmlformats.org/officeDocument/2006/relationships/image" Target="../media/image7.emf"/><Relationship Id="rId53" Type="http://schemas.openxmlformats.org/officeDocument/2006/relationships/oleObject" Target="../embeddings/oleObject39.bin"/><Relationship Id="rId149" Type="http://schemas.openxmlformats.org/officeDocument/2006/relationships/oleObject" Target="../embeddings/oleObject135.bin"/><Relationship Id="rId314" Type="http://schemas.openxmlformats.org/officeDocument/2006/relationships/oleObject" Target="../embeddings/oleObject300.bin"/><Relationship Id="rId356" Type="http://schemas.openxmlformats.org/officeDocument/2006/relationships/oleObject" Target="../embeddings/oleObject342.bin"/><Relationship Id="rId398" Type="http://schemas.openxmlformats.org/officeDocument/2006/relationships/oleObject" Target="../embeddings/oleObject384.bin"/><Relationship Id="rId95" Type="http://schemas.openxmlformats.org/officeDocument/2006/relationships/oleObject" Target="../embeddings/oleObject81.bin"/><Relationship Id="rId160" Type="http://schemas.openxmlformats.org/officeDocument/2006/relationships/oleObject" Target="../embeddings/oleObject146.bin"/><Relationship Id="rId216" Type="http://schemas.openxmlformats.org/officeDocument/2006/relationships/oleObject" Target="../embeddings/oleObject202.bin"/><Relationship Id="rId423" Type="http://schemas.openxmlformats.org/officeDocument/2006/relationships/oleObject" Target="../embeddings/oleObject409.bin"/><Relationship Id="rId258" Type="http://schemas.openxmlformats.org/officeDocument/2006/relationships/oleObject" Target="../embeddings/oleObject244.bin"/><Relationship Id="rId465" Type="http://schemas.openxmlformats.org/officeDocument/2006/relationships/oleObject" Target="../embeddings/oleObject451.bin"/><Relationship Id="rId22" Type="http://schemas.openxmlformats.org/officeDocument/2006/relationships/oleObject" Target="../embeddings/oleObject11.bin"/><Relationship Id="rId64" Type="http://schemas.openxmlformats.org/officeDocument/2006/relationships/oleObject" Target="../embeddings/oleObject50.bin"/><Relationship Id="rId118" Type="http://schemas.openxmlformats.org/officeDocument/2006/relationships/oleObject" Target="../embeddings/oleObject104.bin"/><Relationship Id="rId325" Type="http://schemas.openxmlformats.org/officeDocument/2006/relationships/oleObject" Target="../embeddings/oleObject311.bin"/><Relationship Id="rId367" Type="http://schemas.openxmlformats.org/officeDocument/2006/relationships/oleObject" Target="../embeddings/oleObject353.bin"/><Relationship Id="rId171" Type="http://schemas.openxmlformats.org/officeDocument/2006/relationships/oleObject" Target="../embeddings/oleObject157.bin"/><Relationship Id="rId227" Type="http://schemas.openxmlformats.org/officeDocument/2006/relationships/oleObject" Target="../embeddings/oleObject213.bin"/><Relationship Id="rId269" Type="http://schemas.openxmlformats.org/officeDocument/2006/relationships/oleObject" Target="../embeddings/oleObject255.bin"/><Relationship Id="rId434" Type="http://schemas.openxmlformats.org/officeDocument/2006/relationships/oleObject" Target="../embeddings/oleObject420.bin"/><Relationship Id="rId476" Type="http://schemas.openxmlformats.org/officeDocument/2006/relationships/oleObject" Target="../embeddings/oleObject462.bin"/><Relationship Id="rId33" Type="http://schemas.openxmlformats.org/officeDocument/2006/relationships/oleObject" Target="../embeddings/oleObject19.bin"/><Relationship Id="rId129" Type="http://schemas.openxmlformats.org/officeDocument/2006/relationships/oleObject" Target="../embeddings/oleObject115.bin"/><Relationship Id="rId280" Type="http://schemas.openxmlformats.org/officeDocument/2006/relationships/oleObject" Target="../embeddings/oleObject266.bin"/><Relationship Id="rId336" Type="http://schemas.openxmlformats.org/officeDocument/2006/relationships/oleObject" Target="../embeddings/oleObject322.bin"/><Relationship Id="rId501" Type="http://schemas.openxmlformats.org/officeDocument/2006/relationships/oleObject" Target="../embeddings/oleObject487.bin"/><Relationship Id="rId75" Type="http://schemas.openxmlformats.org/officeDocument/2006/relationships/oleObject" Target="../embeddings/oleObject61.bin"/><Relationship Id="rId140" Type="http://schemas.openxmlformats.org/officeDocument/2006/relationships/oleObject" Target="../embeddings/oleObject126.bin"/><Relationship Id="rId182" Type="http://schemas.openxmlformats.org/officeDocument/2006/relationships/oleObject" Target="../embeddings/oleObject168.bin"/><Relationship Id="rId378" Type="http://schemas.openxmlformats.org/officeDocument/2006/relationships/oleObject" Target="../embeddings/oleObject364.bin"/><Relationship Id="rId403" Type="http://schemas.openxmlformats.org/officeDocument/2006/relationships/oleObject" Target="../embeddings/oleObject389.bin"/><Relationship Id="rId6" Type="http://schemas.openxmlformats.org/officeDocument/2006/relationships/oleObject" Target="../embeddings/oleObject3.bin"/><Relationship Id="rId238" Type="http://schemas.openxmlformats.org/officeDocument/2006/relationships/oleObject" Target="../embeddings/oleObject224.bin"/><Relationship Id="rId445" Type="http://schemas.openxmlformats.org/officeDocument/2006/relationships/oleObject" Target="../embeddings/oleObject431.bin"/><Relationship Id="rId487" Type="http://schemas.openxmlformats.org/officeDocument/2006/relationships/oleObject" Target="../embeddings/oleObject473.bin"/><Relationship Id="rId291" Type="http://schemas.openxmlformats.org/officeDocument/2006/relationships/oleObject" Target="../embeddings/oleObject277.bin"/><Relationship Id="rId305" Type="http://schemas.openxmlformats.org/officeDocument/2006/relationships/oleObject" Target="../embeddings/oleObject291.bin"/><Relationship Id="rId347" Type="http://schemas.openxmlformats.org/officeDocument/2006/relationships/oleObject" Target="../embeddings/oleObject333.bin"/><Relationship Id="rId512" Type="http://schemas.openxmlformats.org/officeDocument/2006/relationships/oleObject" Target="../embeddings/oleObject498.bin"/><Relationship Id="rId44" Type="http://schemas.openxmlformats.org/officeDocument/2006/relationships/oleObject" Target="../embeddings/oleObject30.bin"/><Relationship Id="rId86" Type="http://schemas.openxmlformats.org/officeDocument/2006/relationships/oleObject" Target="../embeddings/oleObject72.bin"/><Relationship Id="rId151" Type="http://schemas.openxmlformats.org/officeDocument/2006/relationships/oleObject" Target="../embeddings/oleObject137.bin"/><Relationship Id="rId389" Type="http://schemas.openxmlformats.org/officeDocument/2006/relationships/oleObject" Target="../embeddings/oleObject375.bin"/><Relationship Id="rId193" Type="http://schemas.openxmlformats.org/officeDocument/2006/relationships/oleObject" Target="../embeddings/oleObject179.bin"/><Relationship Id="rId207" Type="http://schemas.openxmlformats.org/officeDocument/2006/relationships/oleObject" Target="../embeddings/oleObject193.bin"/><Relationship Id="rId249" Type="http://schemas.openxmlformats.org/officeDocument/2006/relationships/oleObject" Target="../embeddings/oleObject235.bin"/><Relationship Id="rId414" Type="http://schemas.openxmlformats.org/officeDocument/2006/relationships/oleObject" Target="../embeddings/oleObject400.bin"/><Relationship Id="rId456" Type="http://schemas.openxmlformats.org/officeDocument/2006/relationships/oleObject" Target="../embeddings/oleObject442.bin"/><Relationship Id="rId498" Type="http://schemas.openxmlformats.org/officeDocument/2006/relationships/oleObject" Target="../embeddings/oleObject484.bin"/><Relationship Id="rId13" Type="http://schemas.openxmlformats.org/officeDocument/2006/relationships/image" Target="../media/image8.emf"/><Relationship Id="rId109" Type="http://schemas.openxmlformats.org/officeDocument/2006/relationships/oleObject" Target="../embeddings/oleObject95.bin"/><Relationship Id="rId260" Type="http://schemas.openxmlformats.org/officeDocument/2006/relationships/oleObject" Target="../embeddings/oleObject246.bin"/><Relationship Id="rId316" Type="http://schemas.openxmlformats.org/officeDocument/2006/relationships/oleObject" Target="../embeddings/oleObject302.bin"/><Relationship Id="rId55" Type="http://schemas.openxmlformats.org/officeDocument/2006/relationships/oleObject" Target="../embeddings/oleObject41.bin"/><Relationship Id="rId97" Type="http://schemas.openxmlformats.org/officeDocument/2006/relationships/oleObject" Target="../embeddings/oleObject83.bin"/><Relationship Id="rId120" Type="http://schemas.openxmlformats.org/officeDocument/2006/relationships/oleObject" Target="../embeddings/oleObject106.bin"/><Relationship Id="rId358" Type="http://schemas.openxmlformats.org/officeDocument/2006/relationships/oleObject" Target="../embeddings/oleObject344.bin"/><Relationship Id="rId162" Type="http://schemas.openxmlformats.org/officeDocument/2006/relationships/oleObject" Target="../embeddings/oleObject148.bin"/><Relationship Id="rId218" Type="http://schemas.openxmlformats.org/officeDocument/2006/relationships/oleObject" Target="../embeddings/oleObject204.bin"/><Relationship Id="rId425" Type="http://schemas.openxmlformats.org/officeDocument/2006/relationships/oleObject" Target="../embeddings/oleObject411.bin"/><Relationship Id="rId467" Type="http://schemas.openxmlformats.org/officeDocument/2006/relationships/oleObject" Target="../embeddings/oleObject453.bin"/><Relationship Id="rId271" Type="http://schemas.openxmlformats.org/officeDocument/2006/relationships/oleObject" Target="../embeddings/oleObject257.bin"/><Relationship Id="rId24" Type="http://schemas.openxmlformats.org/officeDocument/2006/relationships/oleObject" Target="../embeddings/oleObject12.bin"/><Relationship Id="rId66" Type="http://schemas.openxmlformats.org/officeDocument/2006/relationships/oleObject" Target="../embeddings/oleObject52.bin"/><Relationship Id="rId131" Type="http://schemas.openxmlformats.org/officeDocument/2006/relationships/oleObject" Target="../embeddings/oleObject117.bin"/><Relationship Id="rId327" Type="http://schemas.openxmlformats.org/officeDocument/2006/relationships/oleObject" Target="../embeddings/oleObject313.bin"/><Relationship Id="rId369" Type="http://schemas.openxmlformats.org/officeDocument/2006/relationships/oleObject" Target="../embeddings/oleObject355.bin"/><Relationship Id="rId173" Type="http://schemas.openxmlformats.org/officeDocument/2006/relationships/oleObject" Target="../embeddings/oleObject159.bin"/><Relationship Id="rId229" Type="http://schemas.openxmlformats.org/officeDocument/2006/relationships/oleObject" Target="../embeddings/oleObject215.bin"/><Relationship Id="rId380" Type="http://schemas.openxmlformats.org/officeDocument/2006/relationships/oleObject" Target="../embeddings/oleObject366.bin"/><Relationship Id="rId436" Type="http://schemas.openxmlformats.org/officeDocument/2006/relationships/oleObject" Target="../embeddings/oleObject422.bin"/><Relationship Id="rId240" Type="http://schemas.openxmlformats.org/officeDocument/2006/relationships/oleObject" Target="../embeddings/oleObject226.bin"/><Relationship Id="rId478" Type="http://schemas.openxmlformats.org/officeDocument/2006/relationships/oleObject" Target="../embeddings/oleObject464.bin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oleObject" Target="../embeddings/oleObject607.bin"/><Relationship Id="rId299" Type="http://schemas.openxmlformats.org/officeDocument/2006/relationships/oleObject" Target="../embeddings/oleObject789.bin"/><Relationship Id="rId21" Type="http://schemas.openxmlformats.org/officeDocument/2006/relationships/image" Target="../media/image12.emf"/><Relationship Id="rId63" Type="http://schemas.openxmlformats.org/officeDocument/2006/relationships/oleObject" Target="../embeddings/oleObject553.bin"/><Relationship Id="rId159" Type="http://schemas.openxmlformats.org/officeDocument/2006/relationships/oleObject" Target="../embeddings/oleObject649.bin"/><Relationship Id="rId324" Type="http://schemas.openxmlformats.org/officeDocument/2006/relationships/oleObject" Target="../embeddings/oleObject814.bin"/><Relationship Id="rId366" Type="http://schemas.openxmlformats.org/officeDocument/2006/relationships/oleObject" Target="../embeddings/oleObject856.bin"/><Relationship Id="rId170" Type="http://schemas.openxmlformats.org/officeDocument/2006/relationships/oleObject" Target="../embeddings/oleObject660.bin"/><Relationship Id="rId226" Type="http://schemas.openxmlformats.org/officeDocument/2006/relationships/oleObject" Target="../embeddings/oleObject716.bin"/><Relationship Id="rId433" Type="http://schemas.openxmlformats.org/officeDocument/2006/relationships/oleObject" Target="../embeddings/oleObject923.bin"/><Relationship Id="rId268" Type="http://schemas.openxmlformats.org/officeDocument/2006/relationships/oleObject" Target="../embeddings/oleObject758.bin"/><Relationship Id="rId475" Type="http://schemas.openxmlformats.org/officeDocument/2006/relationships/oleObject" Target="../embeddings/oleObject965.bin"/><Relationship Id="rId32" Type="http://schemas.openxmlformats.org/officeDocument/2006/relationships/oleObject" Target="../embeddings/oleObject522.bin"/><Relationship Id="rId74" Type="http://schemas.openxmlformats.org/officeDocument/2006/relationships/oleObject" Target="../embeddings/oleObject564.bin"/><Relationship Id="rId128" Type="http://schemas.openxmlformats.org/officeDocument/2006/relationships/oleObject" Target="../embeddings/oleObject618.bin"/><Relationship Id="rId335" Type="http://schemas.openxmlformats.org/officeDocument/2006/relationships/oleObject" Target="../embeddings/oleObject825.bin"/><Relationship Id="rId377" Type="http://schemas.openxmlformats.org/officeDocument/2006/relationships/oleObject" Target="../embeddings/oleObject867.bin"/><Relationship Id="rId500" Type="http://schemas.openxmlformats.org/officeDocument/2006/relationships/oleObject" Target="../embeddings/oleObject990.bin"/><Relationship Id="rId5" Type="http://schemas.openxmlformats.org/officeDocument/2006/relationships/oleObject" Target="../embeddings/oleObject506.bin"/><Relationship Id="rId181" Type="http://schemas.openxmlformats.org/officeDocument/2006/relationships/oleObject" Target="../embeddings/oleObject671.bin"/><Relationship Id="rId237" Type="http://schemas.openxmlformats.org/officeDocument/2006/relationships/oleObject" Target="../embeddings/oleObject727.bin"/><Relationship Id="rId402" Type="http://schemas.openxmlformats.org/officeDocument/2006/relationships/oleObject" Target="../embeddings/oleObject892.bin"/><Relationship Id="rId279" Type="http://schemas.openxmlformats.org/officeDocument/2006/relationships/oleObject" Target="../embeddings/oleObject769.bin"/><Relationship Id="rId444" Type="http://schemas.openxmlformats.org/officeDocument/2006/relationships/oleObject" Target="../embeddings/oleObject934.bin"/><Relationship Id="rId486" Type="http://schemas.openxmlformats.org/officeDocument/2006/relationships/oleObject" Target="../embeddings/oleObject976.bin"/><Relationship Id="rId43" Type="http://schemas.openxmlformats.org/officeDocument/2006/relationships/oleObject" Target="../embeddings/oleObject533.bin"/><Relationship Id="rId139" Type="http://schemas.openxmlformats.org/officeDocument/2006/relationships/oleObject" Target="../embeddings/oleObject629.bin"/><Relationship Id="rId290" Type="http://schemas.openxmlformats.org/officeDocument/2006/relationships/oleObject" Target="../embeddings/oleObject780.bin"/><Relationship Id="rId304" Type="http://schemas.openxmlformats.org/officeDocument/2006/relationships/oleObject" Target="../embeddings/oleObject794.bin"/><Relationship Id="rId346" Type="http://schemas.openxmlformats.org/officeDocument/2006/relationships/oleObject" Target="../embeddings/oleObject836.bin"/><Relationship Id="rId388" Type="http://schemas.openxmlformats.org/officeDocument/2006/relationships/oleObject" Target="../embeddings/oleObject878.bin"/><Relationship Id="rId511" Type="http://schemas.openxmlformats.org/officeDocument/2006/relationships/oleObject" Target="../embeddings/oleObject1001.bin"/><Relationship Id="rId85" Type="http://schemas.openxmlformats.org/officeDocument/2006/relationships/oleObject" Target="../embeddings/oleObject575.bin"/><Relationship Id="rId150" Type="http://schemas.openxmlformats.org/officeDocument/2006/relationships/oleObject" Target="../embeddings/oleObject640.bin"/><Relationship Id="rId192" Type="http://schemas.openxmlformats.org/officeDocument/2006/relationships/oleObject" Target="../embeddings/oleObject682.bin"/><Relationship Id="rId206" Type="http://schemas.openxmlformats.org/officeDocument/2006/relationships/oleObject" Target="../embeddings/oleObject696.bin"/><Relationship Id="rId413" Type="http://schemas.openxmlformats.org/officeDocument/2006/relationships/oleObject" Target="../embeddings/oleObject903.bin"/><Relationship Id="rId248" Type="http://schemas.openxmlformats.org/officeDocument/2006/relationships/oleObject" Target="../embeddings/oleObject738.bin"/><Relationship Id="rId455" Type="http://schemas.openxmlformats.org/officeDocument/2006/relationships/oleObject" Target="../embeddings/oleObject945.bin"/><Relationship Id="rId497" Type="http://schemas.openxmlformats.org/officeDocument/2006/relationships/oleObject" Target="../embeddings/oleObject987.bin"/><Relationship Id="rId12" Type="http://schemas.openxmlformats.org/officeDocument/2006/relationships/oleObject" Target="../embeddings/oleObject510.bin"/><Relationship Id="rId108" Type="http://schemas.openxmlformats.org/officeDocument/2006/relationships/oleObject" Target="../embeddings/oleObject598.bin"/><Relationship Id="rId315" Type="http://schemas.openxmlformats.org/officeDocument/2006/relationships/oleObject" Target="../embeddings/oleObject805.bin"/><Relationship Id="rId357" Type="http://schemas.openxmlformats.org/officeDocument/2006/relationships/oleObject" Target="../embeddings/oleObject847.bin"/><Relationship Id="rId54" Type="http://schemas.openxmlformats.org/officeDocument/2006/relationships/oleObject" Target="../embeddings/oleObject544.bin"/><Relationship Id="rId96" Type="http://schemas.openxmlformats.org/officeDocument/2006/relationships/oleObject" Target="../embeddings/oleObject586.bin"/><Relationship Id="rId161" Type="http://schemas.openxmlformats.org/officeDocument/2006/relationships/oleObject" Target="../embeddings/oleObject651.bin"/><Relationship Id="rId217" Type="http://schemas.openxmlformats.org/officeDocument/2006/relationships/oleObject" Target="../embeddings/oleObject707.bin"/><Relationship Id="rId399" Type="http://schemas.openxmlformats.org/officeDocument/2006/relationships/oleObject" Target="../embeddings/oleObject889.bin"/><Relationship Id="rId259" Type="http://schemas.openxmlformats.org/officeDocument/2006/relationships/oleObject" Target="../embeddings/oleObject749.bin"/><Relationship Id="rId424" Type="http://schemas.openxmlformats.org/officeDocument/2006/relationships/oleObject" Target="../embeddings/oleObject914.bin"/><Relationship Id="rId466" Type="http://schemas.openxmlformats.org/officeDocument/2006/relationships/oleObject" Target="../embeddings/oleObject956.bin"/><Relationship Id="rId23" Type="http://schemas.openxmlformats.org/officeDocument/2006/relationships/image" Target="../media/image13.emf"/><Relationship Id="rId119" Type="http://schemas.openxmlformats.org/officeDocument/2006/relationships/oleObject" Target="../embeddings/oleObject609.bin"/><Relationship Id="rId270" Type="http://schemas.openxmlformats.org/officeDocument/2006/relationships/oleObject" Target="../embeddings/oleObject760.bin"/><Relationship Id="rId326" Type="http://schemas.openxmlformats.org/officeDocument/2006/relationships/oleObject" Target="../embeddings/oleObject816.bin"/><Relationship Id="rId65" Type="http://schemas.openxmlformats.org/officeDocument/2006/relationships/oleObject" Target="../embeddings/oleObject555.bin"/><Relationship Id="rId130" Type="http://schemas.openxmlformats.org/officeDocument/2006/relationships/oleObject" Target="../embeddings/oleObject620.bin"/><Relationship Id="rId368" Type="http://schemas.openxmlformats.org/officeDocument/2006/relationships/oleObject" Target="../embeddings/oleObject858.bin"/><Relationship Id="rId172" Type="http://schemas.openxmlformats.org/officeDocument/2006/relationships/oleObject" Target="../embeddings/oleObject662.bin"/><Relationship Id="rId228" Type="http://schemas.openxmlformats.org/officeDocument/2006/relationships/oleObject" Target="../embeddings/oleObject718.bin"/><Relationship Id="rId435" Type="http://schemas.openxmlformats.org/officeDocument/2006/relationships/oleObject" Target="../embeddings/oleObject925.bin"/><Relationship Id="rId477" Type="http://schemas.openxmlformats.org/officeDocument/2006/relationships/oleObject" Target="../embeddings/oleObject967.bin"/><Relationship Id="rId281" Type="http://schemas.openxmlformats.org/officeDocument/2006/relationships/oleObject" Target="../embeddings/oleObject771.bin"/><Relationship Id="rId337" Type="http://schemas.openxmlformats.org/officeDocument/2006/relationships/oleObject" Target="../embeddings/oleObject827.bin"/><Relationship Id="rId502" Type="http://schemas.openxmlformats.org/officeDocument/2006/relationships/oleObject" Target="../embeddings/oleObject992.bin"/><Relationship Id="rId34" Type="http://schemas.openxmlformats.org/officeDocument/2006/relationships/oleObject" Target="../embeddings/oleObject524.bin"/><Relationship Id="rId76" Type="http://schemas.openxmlformats.org/officeDocument/2006/relationships/oleObject" Target="../embeddings/oleObject566.bin"/><Relationship Id="rId141" Type="http://schemas.openxmlformats.org/officeDocument/2006/relationships/oleObject" Target="../embeddings/oleObject631.bin"/><Relationship Id="rId379" Type="http://schemas.openxmlformats.org/officeDocument/2006/relationships/oleObject" Target="../embeddings/oleObject869.bin"/><Relationship Id="rId7" Type="http://schemas.openxmlformats.org/officeDocument/2006/relationships/image" Target="../media/image5.emf"/><Relationship Id="rId183" Type="http://schemas.openxmlformats.org/officeDocument/2006/relationships/oleObject" Target="../embeddings/oleObject673.bin"/><Relationship Id="rId239" Type="http://schemas.openxmlformats.org/officeDocument/2006/relationships/oleObject" Target="../embeddings/oleObject729.bin"/><Relationship Id="rId390" Type="http://schemas.openxmlformats.org/officeDocument/2006/relationships/oleObject" Target="../embeddings/oleObject880.bin"/><Relationship Id="rId404" Type="http://schemas.openxmlformats.org/officeDocument/2006/relationships/oleObject" Target="../embeddings/oleObject894.bin"/><Relationship Id="rId446" Type="http://schemas.openxmlformats.org/officeDocument/2006/relationships/oleObject" Target="../embeddings/oleObject936.bin"/><Relationship Id="rId250" Type="http://schemas.openxmlformats.org/officeDocument/2006/relationships/oleObject" Target="../embeddings/oleObject740.bin"/><Relationship Id="rId292" Type="http://schemas.openxmlformats.org/officeDocument/2006/relationships/oleObject" Target="../embeddings/oleObject782.bin"/><Relationship Id="rId306" Type="http://schemas.openxmlformats.org/officeDocument/2006/relationships/oleObject" Target="../embeddings/oleObject796.bin"/><Relationship Id="rId488" Type="http://schemas.openxmlformats.org/officeDocument/2006/relationships/oleObject" Target="../embeddings/oleObject978.bin"/><Relationship Id="rId45" Type="http://schemas.openxmlformats.org/officeDocument/2006/relationships/oleObject" Target="../embeddings/oleObject535.bin"/><Relationship Id="rId87" Type="http://schemas.openxmlformats.org/officeDocument/2006/relationships/oleObject" Target="../embeddings/oleObject577.bin"/><Relationship Id="rId110" Type="http://schemas.openxmlformats.org/officeDocument/2006/relationships/oleObject" Target="../embeddings/oleObject600.bin"/><Relationship Id="rId348" Type="http://schemas.openxmlformats.org/officeDocument/2006/relationships/oleObject" Target="../embeddings/oleObject838.bin"/><Relationship Id="rId513" Type="http://schemas.openxmlformats.org/officeDocument/2006/relationships/oleObject" Target="../embeddings/oleObject1003.bin"/><Relationship Id="rId152" Type="http://schemas.openxmlformats.org/officeDocument/2006/relationships/oleObject" Target="../embeddings/oleObject642.bin"/><Relationship Id="rId194" Type="http://schemas.openxmlformats.org/officeDocument/2006/relationships/oleObject" Target="../embeddings/oleObject684.bin"/><Relationship Id="rId208" Type="http://schemas.openxmlformats.org/officeDocument/2006/relationships/oleObject" Target="../embeddings/oleObject698.bin"/><Relationship Id="rId415" Type="http://schemas.openxmlformats.org/officeDocument/2006/relationships/oleObject" Target="../embeddings/oleObject905.bin"/><Relationship Id="rId457" Type="http://schemas.openxmlformats.org/officeDocument/2006/relationships/oleObject" Target="../embeddings/oleObject947.bin"/><Relationship Id="rId261" Type="http://schemas.openxmlformats.org/officeDocument/2006/relationships/oleObject" Target="../embeddings/oleObject751.bin"/><Relationship Id="rId499" Type="http://schemas.openxmlformats.org/officeDocument/2006/relationships/oleObject" Target="../embeddings/oleObject989.bin"/><Relationship Id="rId14" Type="http://schemas.openxmlformats.org/officeDocument/2006/relationships/oleObject" Target="../embeddings/oleObject511.bin"/><Relationship Id="rId35" Type="http://schemas.openxmlformats.org/officeDocument/2006/relationships/oleObject" Target="../embeddings/oleObject525.bin"/><Relationship Id="rId56" Type="http://schemas.openxmlformats.org/officeDocument/2006/relationships/oleObject" Target="../embeddings/oleObject546.bin"/><Relationship Id="rId77" Type="http://schemas.openxmlformats.org/officeDocument/2006/relationships/oleObject" Target="../embeddings/oleObject567.bin"/><Relationship Id="rId100" Type="http://schemas.openxmlformats.org/officeDocument/2006/relationships/oleObject" Target="../embeddings/oleObject590.bin"/><Relationship Id="rId282" Type="http://schemas.openxmlformats.org/officeDocument/2006/relationships/oleObject" Target="../embeddings/oleObject772.bin"/><Relationship Id="rId317" Type="http://schemas.openxmlformats.org/officeDocument/2006/relationships/oleObject" Target="../embeddings/oleObject807.bin"/><Relationship Id="rId338" Type="http://schemas.openxmlformats.org/officeDocument/2006/relationships/oleObject" Target="../embeddings/oleObject828.bin"/><Relationship Id="rId359" Type="http://schemas.openxmlformats.org/officeDocument/2006/relationships/oleObject" Target="../embeddings/oleObject849.bin"/><Relationship Id="rId503" Type="http://schemas.openxmlformats.org/officeDocument/2006/relationships/oleObject" Target="../embeddings/oleObject993.bin"/><Relationship Id="rId8" Type="http://schemas.openxmlformats.org/officeDocument/2006/relationships/oleObject" Target="../embeddings/oleObject508.bin"/><Relationship Id="rId98" Type="http://schemas.openxmlformats.org/officeDocument/2006/relationships/oleObject" Target="../embeddings/oleObject588.bin"/><Relationship Id="rId121" Type="http://schemas.openxmlformats.org/officeDocument/2006/relationships/oleObject" Target="../embeddings/oleObject611.bin"/><Relationship Id="rId142" Type="http://schemas.openxmlformats.org/officeDocument/2006/relationships/oleObject" Target="../embeddings/oleObject632.bin"/><Relationship Id="rId163" Type="http://schemas.openxmlformats.org/officeDocument/2006/relationships/oleObject" Target="../embeddings/oleObject653.bin"/><Relationship Id="rId184" Type="http://schemas.openxmlformats.org/officeDocument/2006/relationships/oleObject" Target="../embeddings/oleObject674.bin"/><Relationship Id="rId219" Type="http://schemas.openxmlformats.org/officeDocument/2006/relationships/oleObject" Target="../embeddings/oleObject709.bin"/><Relationship Id="rId370" Type="http://schemas.openxmlformats.org/officeDocument/2006/relationships/oleObject" Target="../embeddings/oleObject860.bin"/><Relationship Id="rId391" Type="http://schemas.openxmlformats.org/officeDocument/2006/relationships/oleObject" Target="../embeddings/oleObject881.bin"/><Relationship Id="rId405" Type="http://schemas.openxmlformats.org/officeDocument/2006/relationships/oleObject" Target="../embeddings/oleObject895.bin"/><Relationship Id="rId426" Type="http://schemas.openxmlformats.org/officeDocument/2006/relationships/oleObject" Target="../embeddings/oleObject916.bin"/><Relationship Id="rId447" Type="http://schemas.openxmlformats.org/officeDocument/2006/relationships/oleObject" Target="../embeddings/oleObject937.bin"/><Relationship Id="rId230" Type="http://schemas.openxmlformats.org/officeDocument/2006/relationships/oleObject" Target="../embeddings/oleObject720.bin"/><Relationship Id="rId251" Type="http://schemas.openxmlformats.org/officeDocument/2006/relationships/oleObject" Target="../embeddings/oleObject741.bin"/><Relationship Id="rId468" Type="http://schemas.openxmlformats.org/officeDocument/2006/relationships/oleObject" Target="../embeddings/oleObject958.bin"/><Relationship Id="rId489" Type="http://schemas.openxmlformats.org/officeDocument/2006/relationships/oleObject" Target="../embeddings/oleObject979.bin"/><Relationship Id="rId25" Type="http://schemas.openxmlformats.org/officeDocument/2006/relationships/image" Target="../media/image14.emf"/><Relationship Id="rId46" Type="http://schemas.openxmlformats.org/officeDocument/2006/relationships/oleObject" Target="../embeddings/oleObject536.bin"/><Relationship Id="rId67" Type="http://schemas.openxmlformats.org/officeDocument/2006/relationships/oleObject" Target="../embeddings/oleObject557.bin"/><Relationship Id="rId272" Type="http://schemas.openxmlformats.org/officeDocument/2006/relationships/oleObject" Target="../embeddings/oleObject762.bin"/><Relationship Id="rId293" Type="http://schemas.openxmlformats.org/officeDocument/2006/relationships/oleObject" Target="../embeddings/oleObject783.bin"/><Relationship Id="rId307" Type="http://schemas.openxmlformats.org/officeDocument/2006/relationships/oleObject" Target="../embeddings/oleObject797.bin"/><Relationship Id="rId328" Type="http://schemas.openxmlformats.org/officeDocument/2006/relationships/oleObject" Target="../embeddings/oleObject818.bin"/><Relationship Id="rId349" Type="http://schemas.openxmlformats.org/officeDocument/2006/relationships/oleObject" Target="../embeddings/oleObject839.bin"/><Relationship Id="rId514" Type="http://schemas.openxmlformats.org/officeDocument/2006/relationships/oleObject" Target="../embeddings/oleObject1004.bin"/><Relationship Id="rId88" Type="http://schemas.openxmlformats.org/officeDocument/2006/relationships/oleObject" Target="../embeddings/oleObject578.bin"/><Relationship Id="rId111" Type="http://schemas.openxmlformats.org/officeDocument/2006/relationships/oleObject" Target="../embeddings/oleObject601.bin"/><Relationship Id="rId132" Type="http://schemas.openxmlformats.org/officeDocument/2006/relationships/oleObject" Target="../embeddings/oleObject622.bin"/><Relationship Id="rId153" Type="http://schemas.openxmlformats.org/officeDocument/2006/relationships/oleObject" Target="../embeddings/oleObject643.bin"/><Relationship Id="rId174" Type="http://schemas.openxmlformats.org/officeDocument/2006/relationships/oleObject" Target="../embeddings/oleObject664.bin"/><Relationship Id="rId195" Type="http://schemas.openxmlformats.org/officeDocument/2006/relationships/oleObject" Target="../embeddings/oleObject685.bin"/><Relationship Id="rId209" Type="http://schemas.openxmlformats.org/officeDocument/2006/relationships/oleObject" Target="../embeddings/oleObject699.bin"/><Relationship Id="rId360" Type="http://schemas.openxmlformats.org/officeDocument/2006/relationships/oleObject" Target="../embeddings/oleObject850.bin"/><Relationship Id="rId381" Type="http://schemas.openxmlformats.org/officeDocument/2006/relationships/oleObject" Target="../embeddings/oleObject871.bin"/><Relationship Id="rId416" Type="http://schemas.openxmlformats.org/officeDocument/2006/relationships/oleObject" Target="../embeddings/oleObject906.bin"/><Relationship Id="rId220" Type="http://schemas.openxmlformats.org/officeDocument/2006/relationships/oleObject" Target="../embeddings/oleObject710.bin"/><Relationship Id="rId241" Type="http://schemas.openxmlformats.org/officeDocument/2006/relationships/oleObject" Target="../embeddings/oleObject731.bin"/><Relationship Id="rId437" Type="http://schemas.openxmlformats.org/officeDocument/2006/relationships/oleObject" Target="../embeddings/oleObject927.bin"/><Relationship Id="rId458" Type="http://schemas.openxmlformats.org/officeDocument/2006/relationships/oleObject" Target="../embeddings/oleObject948.bin"/><Relationship Id="rId479" Type="http://schemas.openxmlformats.org/officeDocument/2006/relationships/oleObject" Target="../embeddings/oleObject969.bin"/><Relationship Id="rId15" Type="http://schemas.openxmlformats.org/officeDocument/2006/relationships/image" Target="../media/image9.emf"/><Relationship Id="rId36" Type="http://schemas.openxmlformats.org/officeDocument/2006/relationships/oleObject" Target="../embeddings/oleObject526.bin"/><Relationship Id="rId57" Type="http://schemas.openxmlformats.org/officeDocument/2006/relationships/oleObject" Target="../embeddings/oleObject547.bin"/><Relationship Id="rId262" Type="http://schemas.openxmlformats.org/officeDocument/2006/relationships/oleObject" Target="../embeddings/oleObject752.bin"/><Relationship Id="rId283" Type="http://schemas.openxmlformats.org/officeDocument/2006/relationships/oleObject" Target="../embeddings/oleObject773.bin"/><Relationship Id="rId318" Type="http://schemas.openxmlformats.org/officeDocument/2006/relationships/oleObject" Target="../embeddings/oleObject808.bin"/><Relationship Id="rId339" Type="http://schemas.openxmlformats.org/officeDocument/2006/relationships/oleObject" Target="../embeddings/oleObject829.bin"/><Relationship Id="rId490" Type="http://schemas.openxmlformats.org/officeDocument/2006/relationships/oleObject" Target="../embeddings/oleObject980.bin"/><Relationship Id="rId504" Type="http://schemas.openxmlformats.org/officeDocument/2006/relationships/oleObject" Target="../embeddings/oleObject994.bin"/><Relationship Id="rId78" Type="http://schemas.openxmlformats.org/officeDocument/2006/relationships/oleObject" Target="../embeddings/oleObject568.bin"/><Relationship Id="rId99" Type="http://schemas.openxmlformats.org/officeDocument/2006/relationships/oleObject" Target="../embeddings/oleObject589.bin"/><Relationship Id="rId101" Type="http://schemas.openxmlformats.org/officeDocument/2006/relationships/oleObject" Target="../embeddings/oleObject591.bin"/><Relationship Id="rId122" Type="http://schemas.openxmlformats.org/officeDocument/2006/relationships/oleObject" Target="../embeddings/oleObject612.bin"/><Relationship Id="rId143" Type="http://schemas.openxmlformats.org/officeDocument/2006/relationships/oleObject" Target="../embeddings/oleObject633.bin"/><Relationship Id="rId164" Type="http://schemas.openxmlformats.org/officeDocument/2006/relationships/oleObject" Target="../embeddings/oleObject654.bin"/><Relationship Id="rId185" Type="http://schemas.openxmlformats.org/officeDocument/2006/relationships/oleObject" Target="../embeddings/oleObject675.bin"/><Relationship Id="rId350" Type="http://schemas.openxmlformats.org/officeDocument/2006/relationships/oleObject" Target="../embeddings/oleObject840.bin"/><Relationship Id="rId371" Type="http://schemas.openxmlformats.org/officeDocument/2006/relationships/oleObject" Target="../embeddings/oleObject861.bin"/><Relationship Id="rId406" Type="http://schemas.openxmlformats.org/officeDocument/2006/relationships/oleObject" Target="../embeddings/oleObject896.bin"/><Relationship Id="rId9" Type="http://schemas.openxmlformats.org/officeDocument/2006/relationships/image" Target="../media/image6.emf"/><Relationship Id="rId210" Type="http://schemas.openxmlformats.org/officeDocument/2006/relationships/oleObject" Target="../embeddings/oleObject700.bin"/><Relationship Id="rId392" Type="http://schemas.openxmlformats.org/officeDocument/2006/relationships/oleObject" Target="../embeddings/oleObject882.bin"/><Relationship Id="rId427" Type="http://schemas.openxmlformats.org/officeDocument/2006/relationships/oleObject" Target="../embeddings/oleObject917.bin"/><Relationship Id="rId448" Type="http://schemas.openxmlformats.org/officeDocument/2006/relationships/oleObject" Target="../embeddings/oleObject938.bin"/><Relationship Id="rId469" Type="http://schemas.openxmlformats.org/officeDocument/2006/relationships/oleObject" Target="../embeddings/oleObject959.bin"/><Relationship Id="rId26" Type="http://schemas.openxmlformats.org/officeDocument/2006/relationships/oleObject" Target="../embeddings/oleObject517.bin"/><Relationship Id="rId231" Type="http://schemas.openxmlformats.org/officeDocument/2006/relationships/oleObject" Target="../embeddings/oleObject721.bin"/><Relationship Id="rId252" Type="http://schemas.openxmlformats.org/officeDocument/2006/relationships/oleObject" Target="../embeddings/oleObject742.bin"/><Relationship Id="rId273" Type="http://schemas.openxmlformats.org/officeDocument/2006/relationships/oleObject" Target="../embeddings/oleObject763.bin"/><Relationship Id="rId294" Type="http://schemas.openxmlformats.org/officeDocument/2006/relationships/oleObject" Target="../embeddings/oleObject784.bin"/><Relationship Id="rId308" Type="http://schemas.openxmlformats.org/officeDocument/2006/relationships/oleObject" Target="../embeddings/oleObject798.bin"/><Relationship Id="rId329" Type="http://schemas.openxmlformats.org/officeDocument/2006/relationships/oleObject" Target="../embeddings/oleObject819.bin"/><Relationship Id="rId480" Type="http://schemas.openxmlformats.org/officeDocument/2006/relationships/oleObject" Target="../embeddings/oleObject970.bin"/><Relationship Id="rId515" Type="http://schemas.openxmlformats.org/officeDocument/2006/relationships/oleObject" Target="../embeddings/oleObject1005.bin"/><Relationship Id="rId47" Type="http://schemas.openxmlformats.org/officeDocument/2006/relationships/oleObject" Target="../embeddings/oleObject537.bin"/><Relationship Id="rId68" Type="http://schemas.openxmlformats.org/officeDocument/2006/relationships/oleObject" Target="../embeddings/oleObject558.bin"/><Relationship Id="rId89" Type="http://schemas.openxmlformats.org/officeDocument/2006/relationships/oleObject" Target="../embeddings/oleObject579.bin"/><Relationship Id="rId112" Type="http://schemas.openxmlformats.org/officeDocument/2006/relationships/oleObject" Target="../embeddings/oleObject602.bin"/><Relationship Id="rId133" Type="http://schemas.openxmlformats.org/officeDocument/2006/relationships/oleObject" Target="../embeddings/oleObject623.bin"/><Relationship Id="rId154" Type="http://schemas.openxmlformats.org/officeDocument/2006/relationships/oleObject" Target="../embeddings/oleObject644.bin"/><Relationship Id="rId175" Type="http://schemas.openxmlformats.org/officeDocument/2006/relationships/oleObject" Target="../embeddings/oleObject665.bin"/><Relationship Id="rId340" Type="http://schemas.openxmlformats.org/officeDocument/2006/relationships/oleObject" Target="../embeddings/oleObject830.bin"/><Relationship Id="rId361" Type="http://schemas.openxmlformats.org/officeDocument/2006/relationships/oleObject" Target="../embeddings/oleObject851.bin"/><Relationship Id="rId196" Type="http://schemas.openxmlformats.org/officeDocument/2006/relationships/oleObject" Target="../embeddings/oleObject686.bin"/><Relationship Id="rId200" Type="http://schemas.openxmlformats.org/officeDocument/2006/relationships/oleObject" Target="../embeddings/oleObject690.bin"/><Relationship Id="rId382" Type="http://schemas.openxmlformats.org/officeDocument/2006/relationships/oleObject" Target="../embeddings/oleObject872.bin"/><Relationship Id="rId417" Type="http://schemas.openxmlformats.org/officeDocument/2006/relationships/oleObject" Target="../embeddings/oleObject907.bin"/><Relationship Id="rId438" Type="http://schemas.openxmlformats.org/officeDocument/2006/relationships/oleObject" Target="../embeddings/oleObject928.bin"/><Relationship Id="rId459" Type="http://schemas.openxmlformats.org/officeDocument/2006/relationships/oleObject" Target="../embeddings/oleObject949.bin"/><Relationship Id="rId16" Type="http://schemas.openxmlformats.org/officeDocument/2006/relationships/oleObject" Target="../embeddings/oleObject512.bin"/><Relationship Id="rId221" Type="http://schemas.openxmlformats.org/officeDocument/2006/relationships/oleObject" Target="../embeddings/oleObject711.bin"/><Relationship Id="rId242" Type="http://schemas.openxmlformats.org/officeDocument/2006/relationships/oleObject" Target="../embeddings/oleObject732.bin"/><Relationship Id="rId263" Type="http://schemas.openxmlformats.org/officeDocument/2006/relationships/oleObject" Target="../embeddings/oleObject753.bin"/><Relationship Id="rId284" Type="http://schemas.openxmlformats.org/officeDocument/2006/relationships/oleObject" Target="../embeddings/oleObject774.bin"/><Relationship Id="rId319" Type="http://schemas.openxmlformats.org/officeDocument/2006/relationships/oleObject" Target="../embeddings/oleObject809.bin"/><Relationship Id="rId470" Type="http://schemas.openxmlformats.org/officeDocument/2006/relationships/oleObject" Target="../embeddings/oleObject960.bin"/><Relationship Id="rId491" Type="http://schemas.openxmlformats.org/officeDocument/2006/relationships/oleObject" Target="../embeddings/oleObject981.bin"/><Relationship Id="rId505" Type="http://schemas.openxmlformats.org/officeDocument/2006/relationships/oleObject" Target="../embeddings/oleObject995.bin"/><Relationship Id="rId37" Type="http://schemas.openxmlformats.org/officeDocument/2006/relationships/oleObject" Target="../embeddings/oleObject527.bin"/><Relationship Id="rId58" Type="http://schemas.openxmlformats.org/officeDocument/2006/relationships/oleObject" Target="../embeddings/oleObject548.bin"/><Relationship Id="rId79" Type="http://schemas.openxmlformats.org/officeDocument/2006/relationships/oleObject" Target="../embeddings/oleObject569.bin"/><Relationship Id="rId102" Type="http://schemas.openxmlformats.org/officeDocument/2006/relationships/oleObject" Target="../embeddings/oleObject592.bin"/><Relationship Id="rId123" Type="http://schemas.openxmlformats.org/officeDocument/2006/relationships/oleObject" Target="../embeddings/oleObject613.bin"/><Relationship Id="rId144" Type="http://schemas.openxmlformats.org/officeDocument/2006/relationships/oleObject" Target="../embeddings/oleObject634.bin"/><Relationship Id="rId330" Type="http://schemas.openxmlformats.org/officeDocument/2006/relationships/oleObject" Target="../embeddings/oleObject820.bin"/><Relationship Id="rId90" Type="http://schemas.openxmlformats.org/officeDocument/2006/relationships/oleObject" Target="../embeddings/oleObject580.bin"/><Relationship Id="rId165" Type="http://schemas.openxmlformats.org/officeDocument/2006/relationships/oleObject" Target="../embeddings/oleObject655.bin"/><Relationship Id="rId186" Type="http://schemas.openxmlformats.org/officeDocument/2006/relationships/oleObject" Target="../embeddings/oleObject676.bin"/><Relationship Id="rId351" Type="http://schemas.openxmlformats.org/officeDocument/2006/relationships/oleObject" Target="../embeddings/oleObject841.bin"/><Relationship Id="rId372" Type="http://schemas.openxmlformats.org/officeDocument/2006/relationships/oleObject" Target="../embeddings/oleObject862.bin"/><Relationship Id="rId393" Type="http://schemas.openxmlformats.org/officeDocument/2006/relationships/oleObject" Target="../embeddings/oleObject883.bin"/><Relationship Id="rId407" Type="http://schemas.openxmlformats.org/officeDocument/2006/relationships/oleObject" Target="../embeddings/oleObject897.bin"/><Relationship Id="rId428" Type="http://schemas.openxmlformats.org/officeDocument/2006/relationships/oleObject" Target="../embeddings/oleObject918.bin"/><Relationship Id="rId449" Type="http://schemas.openxmlformats.org/officeDocument/2006/relationships/oleObject" Target="../embeddings/oleObject939.bin"/><Relationship Id="rId211" Type="http://schemas.openxmlformats.org/officeDocument/2006/relationships/oleObject" Target="../embeddings/oleObject701.bin"/><Relationship Id="rId232" Type="http://schemas.openxmlformats.org/officeDocument/2006/relationships/oleObject" Target="../embeddings/oleObject722.bin"/><Relationship Id="rId253" Type="http://schemas.openxmlformats.org/officeDocument/2006/relationships/oleObject" Target="../embeddings/oleObject743.bin"/><Relationship Id="rId274" Type="http://schemas.openxmlformats.org/officeDocument/2006/relationships/oleObject" Target="../embeddings/oleObject764.bin"/><Relationship Id="rId295" Type="http://schemas.openxmlformats.org/officeDocument/2006/relationships/oleObject" Target="../embeddings/oleObject785.bin"/><Relationship Id="rId309" Type="http://schemas.openxmlformats.org/officeDocument/2006/relationships/oleObject" Target="../embeddings/oleObject799.bin"/><Relationship Id="rId460" Type="http://schemas.openxmlformats.org/officeDocument/2006/relationships/oleObject" Target="../embeddings/oleObject950.bin"/><Relationship Id="rId481" Type="http://schemas.openxmlformats.org/officeDocument/2006/relationships/oleObject" Target="../embeddings/oleObject971.bin"/><Relationship Id="rId516" Type="http://schemas.openxmlformats.org/officeDocument/2006/relationships/oleObject" Target="../embeddings/oleObject1006.bin"/><Relationship Id="rId27" Type="http://schemas.openxmlformats.org/officeDocument/2006/relationships/image" Target="../media/image15.emf"/><Relationship Id="rId48" Type="http://schemas.openxmlformats.org/officeDocument/2006/relationships/oleObject" Target="../embeddings/oleObject538.bin"/><Relationship Id="rId69" Type="http://schemas.openxmlformats.org/officeDocument/2006/relationships/oleObject" Target="../embeddings/oleObject559.bin"/><Relationship Id="rId113" Type="http://schemas.openxmlformats.org/officeDocument/2006/relationships/oleObject" Target="../embeddings/oleObject603.bin"/><Relationship Id="rId134" Type="http://schemas.openxmlformats.org/officeDocument/2006/relationships/oleObject" Target="../embeddings/oleObject624.bin"/><Relationship Id="rId320" Type="http://schemas.openxmlformats.org/officeDocument/2006/relationships/oleObject" Target="../embeddings/oleObject810.bin"/><Relationship Id="rId80" Type="http://schemas.openxmlformats.org/officeDocument/2006/relationships/oleObject" Target="../embeddings/oleObject570.bin"/><Relationship Id="rId155" Type="http://schemas.openxmlformats.org/officeDocument/2006/relationships/oleObject" Target="../embeddings/oleObject645.bin"/><Relationship Id="rId176" Type="http://schemas.openxmlformats.org/officeDocument/2006/relationships/oleObject" Target="../embeddings/oleObject666.bin"/><Relationship Id="rId197" Type="http://schemas.openxmlformats.org/officeDocument/2006/relationships/oleObject" Target="../embeddings/oleObject687.bin"/><Relationship Id="rId341" Type="http://schemas.openxmlformats.org/officeDocument/2006/relationships/oleObject" Target="../embeddings/oleObject831.bin"/><Relationship Id="rId362" Type="http://schemas.openxmlformats.org/officeDocument/2006/relationships/oleObject" Target="../embeddings/oleObject852.bin"/><Relationship Id="rId383" Type="http://schemas.openxmlformats.org/officeDocument/2006/relationships/oleObject" Target="../embeddings/oleObject873.bin"/><Relationship Id="rId418" Type="http://schemas.openxmlformats.org/officeDocument/2006/relationships/oleObject" Target="../embeddings/oleObject908.bin"/><Relationship Id="rId439" Type="http://schemas.openxmlformats.org/officeDocument/2006/relationships/oleObject" Target="../embeddings/oleObject929.bin"/><Relationship Id="rId201" Type="http://schemas.openxmlformats.org/officeDocument/2006/relationships/oleObject" Target="../embeddings/oleObject691.bin"/><Relationship Id="rId222" Type="http://schemas.openxmlformats.org/officeDocument/2006/relationships/oleObject" Target="../embeddings/oleObject712.bin"/><Relationship Id="rId243" Type="http://schemas.openxmlformats.org/officeDocument/2006/relationships/oleObject" Target="../embeddings/oleObject733.bin"/><Relationship Id="rId264" Type="http://schemas.openxmlformats.org/officeDocument/2006/relationships/oleObject" Target="../embeddings/oleObject754.bin"/><Relationship Id="rId285" Type="http://schemas.openxmlformats.org/officeDocument/2006/relationships/oleObject" Target="../embeddings/oleObject775.bin"/><Relationship Id="rId450" Type="http://schemas.openxmlformats.org/officeDocument/2006/relationships/oleObject" Target="../embeddings/oleObject940.bin"/><Relationship Id="rId471" Type="http://schemas.openxmlformats.org/officeDocument/2006/relationships/oleObject" Target="../embeddings/oleObject961.bin"/><Relationship Id="rId506" Type="http://schemas.openxmlformats.org/officeDocument/2006/relationships/oleObject" Target="../embeddings/oleObject996.bin"/><Relationship Id="rId17" Type="http://schemas.openxmlformats.org/officeDocument/2006/relationships/image" Target="../media/image10.emf"/><Relationship Id="rId38" Type="http://schemas.openxmlformats.org/officeDocument/2006/relationships/oleObject" Target="../embeddings/oleObject528.bin"/><Relationship Id="rId59" Type="http://schemas.openxmlformats.org/officeDocument/2006/relationships/oleObject" Target="../embeddings/oleObject549.bin"/><Relationship Id="rId103" Type="http://schemas.openxmlformats.org/officeDocument/2006/relationships/oleObject" Target="../embeddings/oleObject593.bin"/><Relationship Id="rId124" Type="http://schemas.openxmlformats.org/officeDocument/2006/relationships/oleObject" Target="../embeddings/oleObject614.bin"/><Relationship Id="rId310" Type="http://schemas.openxmlformats.org/officeDocument/2006/relationships/oleObject" Target="../embeddings/oleObject800.bin"/><Relationship Id="rId492" Type="http://schemas.openxmlformats.org/officeDocument/2006/relationships/oleObject" Target="../embeddings/oleObject982.bin"/><Relationship Id="rId70" Type="http://schemas.openxmlformats.org/officeDocument/2006/relationships/oleObject" Target="../embeddings/oleObject560.bin"/><Relationship Id="rId91" Type="http://schemas.openxmlformats.org/officeDocument/2006/relationships/oleObject" Target="../embeddings/oleObject581.bin"/><Relationship Id="rId145" Type="http://schemas.openxmlformats.org/officeDocument/2006/relationships/oleObject" Target="../embeddings/oleObject635.bin"/><Relationship Id="rId166" Type="http://schemas.openxmlformats.org/officeDocument/2006/relationships/oleObject" Target="../embeddings/oleObject656.bin"/><Relationship Id="rId187" Type="http://schemas.openxmlformats.org/officeDocument/2006/relationships/oleObject" Target="../embeddings/oleObject677.bin"/><Relationship Id="rId331" Type="http://schemas.openxmlformats.org/officeDocument/2006/relationships/oleObject" Target="../embeddings/oleObject821.bin"/><Relationship Id="rId352" Type="http://schemas.openxmlformats.org/officeDocument/2006/relationships/oleObject" Target="../embeddings/oleObject842.bin"/><Relationship Id="rId373" Type="http://schemas.openxmlformats.org/officeDocument/2006/relationships/oleObject" Target="../embeddings/oleObject863.bin"/><Relationship Id="rId394" Type="http://schemas.openxmlformats.org/officeDocument/2006/relationships/oleObject" Target="../embeddings/oleObject884.bin"/><Relationship Id="rId408" Type="http://schemas.openxmlformats.org/officeDocument/2006/relationships/oleObject" Target="../embeddings/oleObject898.bin"/><Relationship Id="rId429" Type="http://schemas.openxmlformats.org/officeDocument/2006/relationships/oleObject" Target="../embeddings/oleObject919.bin"/><Relationship Id="rId1" Type="http://schemas.openxmlformats.org/officeDocument/2006/relationships/drawing" Target="../drawings/drawing8.xml"/><Relationship Id="rId212" Type="http://schemas.openxmlformats.org/officeDocument/2006/relationships/oleObject" Target="../embeddings/oleObject702.bin"/><Relationship Id="rId233" Type="http://schemas.openxmlformats.org/officeDocument/2006/relationships/oleObject" Target="../embeddings/oleObject723.bin"/><Relationship Id="rId254" Type="http://schemas.openxmlformats.org/officeDocument/2006/relationships/oleObject" Target="../embeddings/oleObject744.bin"/><Relationship Id="rId440" Type="http://schemas.openxmlformats.org/officeDocument/2006/relationships/oleObject" Target="../embeddings/oleObject930.bin"/><Relationship Id="rId28" Type="http://schemas.openxmlformats.org/officeDocument/2006/relationships/oleObject" Target="../embeddings/oleObject518.bin"/><Relationship Id="rId49" Type="http://schemas.openxmlformats.org/officeDocument/2006/relationships/oleObject" Target="../embeddings/oleObject539.bin"/><Relationship Id="rId114" Type="http://schemas.openxmlformats.org/officeDocument/2006/relationships/oleObject" Target="../embeddings/oleObject604.bin"/><Relationship Id="rId275" Type="http://schemas.openxmlformats.org/officeDocument/2006/relationships/oleObject" Target="../embeddings/oleObject765.bin"/><Relationship Id="rId296" Type="http://schemas.openxmlformats.org/officeDocument/2006/relationships/oleObject" Target="../embeddings/oleObject786.bin"/><Relationship Id="rId300" Type="http://schemas.openxmlformats.org/officeDocument/2006/relationships/oleObject" Target="../embeddings/oleObject790.bin"/><Relationship Id="rId461" Type="http://schemas.openxmlformats.org/officeDocument/2006/relationships/oleObject" Target="../embeddings/oleObject951.bin"/><Relationship Id="rId482" Type="http://schemas.openxmlformats.org/officeDocument/2006/relationships/oleObject" Target="../embeddings/oleObject972.bin"/><Relationship Id="rId517" Type="http://schemas.openxmlformats.org/officeDocument/2006/relationships/oleObject" Target="../embeddings/oleObject1007.bin"/><Relationship Id="rId60" Type="http://schemas.openxmlformats.org/officeDocument/2006/relationships/oleObject" Target="../embeddings/oleObject550.bin"/><Relationship Id="rId81" Type="http://schemas.openxmlformats.org/officeDocument/2006/relationships/oleObject" Target="../embeddings/oleObject571.bin"/><Relationship Id="rId135" Type="http://schemas.openxmlformats.org/officeDocument/2006/relationships/oleObject" Target="../embeddings/oleObject625.bin"/><Relationship Id="rId156" Type="http://schemas.openxmlformats.org/officeDocument/2006/relationships/oleObject" Target="../embeddings/oleObject646.bin"/><Relationship Id="rId177" Type="http://schemas.openxmlformats.org/officeDocument/2006/relationships/oleObject" Target="../embeddings/oleObject667.bin"/><Relationship Id="rId198" Type="http://schemas.openxmlformats.org/officeDocument/2006/relationships/oleObject" Target="../embeddings/oleObject688.bin"/><Relationship Id="rId321" Type="http://schemas.openxmlformats.org/officeDocument/2006/relationships/oleObject" Target="../embeddings/oleObject811.bin"/><Relationship Id="rId342" Type="http://schemas.openxmlformats.org/officeDocument/2006/relationships/oleObject" Target="../embeddings/oleObject832.bin"/><Relationship Id="rId363" Type="http://schemas.openxmlformats.org/officeDocument/2006/relationships/oleObject" Target="../embeddings/oleObject853.bin"/><Relationship Id="rId384" Type="http://schemas.openxmlformats.org/officeDocument/2006/relationships/oleObject" Target="../embeddings/oleObject874.bin"/><Relationship Id="rId419" Type="http://schemas.openxmlformats.org/officeDocument/2006/relationships/oleObject" Target="../embeddings/oleObject909.bin"/><Relationship Id="rId202" Type="http://schemas.openxmlformats.org/officeDocument/2006/relationships/oleObject" Target="../embeddings/oleObject692.bin"/><Relationship Id="rId223" Type="http://schemas.openxmlformats.org/officeDocument/2006/relationships/oleObject" Target="../embeddings/oleObject713.bin"/><Relationship Id="rId244" Type="http://schemas.openxmlformats.org/officeDocument/2006/relationships/oleObject" Target="../embeddings/oleObject734.bin"/><Relationship Id="rId430" Type="http://schemas.openxmlformats.org/officeDocument/2006/relationships/oleObject" Target="../embeddings/oleObject920.bin"/><Relationship Id="rId18" Type="http://schemas.openxmlformats.org/officeDocument/2006/relationships/oleObject" Target="../embeddings/oleObject513.bin"/><Relationship Id="rId39" Type="http://schemas.openxmlformats.org/officeDocument/2006/relationships/oleObject" Target="../embeddings/oleObject529.bin"/><Relationship Id="rId265" Type="http://schemas.openxmlformats.org/officeDocument/2006/relationships/oleObject" Target="../embeddings/oleObject755.bin"/><Relationship Id="rId286" Type="http://schemas.openxmlformats.org/officeDocument/2006/relationships/oleObject" Target="../embeddings/oleObject776.bin"/><Relationship Id="rId451" Type="http://schemas.openxmlformats.org/officeDocument/2006/relationships/oleObject" Target="../embeddings/oleObject941.bin"/><Relationship Id="rId472" Type="http://schemas.openxmlformats.org/officeDocument/2006/relationships/oleObject" Target="../embeddings/oleObject962.bin"/><Relationship Id="rId493" Type="http://schemas.openxmlformats.org/officeDocument/2006/relationships/oleObject" Target="../embeddings/oleObject983.bin"/><Relationship Id="rId507" Type="http://schemas.openxmlformats.org/officeDocument/2006/relationships/oleObject" Target="../embeddings/oleObject997.bin"/><Relationship Id="rId50" Type="http://schemas.openxmlformats.org/officeDocument/2006/relationships/oleObject" Target="../embeddings/oleObject540.bin"/><Relationship Id="rId104" Type="http://schemas.openxmlformats.org/officeDocument/2006/relationships/oleObject" Target="../embeddings/oleObject594.bin"/><Relationship Id="rId125" Type="http://schemas.openxmlformats.org/officeDocument/2006/relationships/oleObject" Target="../embeddings/oleObject615.bin"/><Relationship Id="rId146" Type="http://schemas.openxmlformats.org/officeDocument/2006/relationships/oleObject" Target="../embeddings/oleObject636.bin"/><Relationship Id="rId167" Type="http://schemas.openxmlformats.org/officeDocument/2006/relationships/oleObject" Target="../embeddings/oleObject657.bin"/><Relationship Id="rId188" Type="http://schemas.openxmlformats.org/officeDocument/2006/relationships/oleObject" Target="../embeddings/oleObject678.bin"/><Relationship Id="rId311" Type="http://schemas.openxmlformats.org/officeDocument/2006/relationships/oleObject" Target="../embeddings/oleObject801.bin"/><Relationship Id="rId332" Type="http://schemas.openxmlformats.org/officeDocument/2006/relationships/oleObject" Target="../embeddings/oleObject822.bin"/><Relationship Id="rId353" Type="http://schemas.openxmlformats.org/officeDocument/2006/relationships/oleObject" Target="../embeddings/oleObject843.bin"/><Relationship Id="rId374" Type="http://schemas.openxmlformats.org/officeDocument/2006/relationships/oleObject" Target="../embeddings/oleObject864.bin"/><Relationship Id="rId395" Type="http://schemas.openxmlformats.org/officeDocument/2006/relationships/oleObject" Target="../embeddings/oleObject885.bin"/><Relationship Id="rId409" Type="http://schemas.openxmlformats.org/officeDocument/2006/relationships/oleObject" Target="../embeddings/oleObject899.bin"/><Relationship Id="rId71" Type="http://schemas.openxmlformats.org/officeDocument/2006/relationships/oleObject" Target="../embeddings/oleObject561.bin"/><Relationship Id="rId92" Type="http://schemas.openxmlformats.org/officeDocument/2006/relationships/oleObject" Target="../embeddings/oleObject582.bin"/><Relationship Id="rId213" Type="http://schemas.openxmlformats.org/officeDocument/2006/relationships/oleObject" Target="../embeddings/oleObject703.bin"/><Relationship Id="rId234" Type="http://schemas.openxmlformats.org/officeDocument/2006/relationships/oleObject" Target="../embeddings/oleObject724.bin"/><Relationship Id="rId420" Type="http://schemas.openxmlformats.org/officeDocument/2006/relationships/oleObject" Target="../embeddings/oleObject910.bin"/><Relationship Id="rId2" Type="http://schemas.openxmlformats.org/officeDocument/2006/relationships/vmlDrawing" Target="../drawings/vmlDrawing2.vml"/><Relationship Id="rId29" Type="http://schemas.openxmlformats.org/officeDocument/2006/relationships/oleObject" Target="../embeddings/oleObject519.bin"/><Relationship Id="rId255" Type="http://schemas.openxmlformats.org/officeDocument/2006/relationships/oleObject" Target="../embeddings/oleObject745.bin"/><Relationship Id="rId276" Type="http://schemas.openxmlformats.org/officeDocument/2006/relationships/oleObject" Target="../embeddings/oleObject766.bin"/><Relationship Id="rId297" Type="http://schemas.openxmlformats.org/officeDocument/2006/relationships/oleObject" Target="../embeddings/oleObject787.bin"/><Relationship Id="rId441" Type="http://schemas.openxmlformats.org/officeDocument/2006/relationships/oleObject" Target="../embeddings/oleObject931.bin"/><Relationship Id="rId462" Type="http://schemas.openxmlformats.org/officeDocument/2006/relationships/oleObject" Target="../embeddings/oleObject952.bin"/><Relationship Id="rId483" Type="http://schemas.openxmlformats.org/officeDocument/2006/relationships/oleObject" Target="../embeddings/oleObject973.bin"/><Relationship Id="rId518" Type="http://schemas.openxmlformats.org/officeDocument/2006/relationships/oleObject" Target="../embeddings/oleObject1008.bin"/><Relationship Id="rId40" Type="http://schemas.openxmlformats.org/officeDocument/2006/relationships/oleObject" Target="../embeddings/oleObject530.bin"/><Relationship Id="rId115" Type="http://schemas.openxmlformats.org/officeDocument/2006/relationships/oleObject" Target="../embeddings/oleObject605.bin"/><Relationship Id="rId136" Type="http://schemas.openxmlformats.org/officeDocument/2006/relationships/oleObject" Target="../embeddings/oleObject626.bin"/><Relationship Id="rId157" Type="http://schemas.openxmlformats.org/officeDocument/2006/relationships/oleObject" Target="../embeddings/oleObject647.bin"/><Relationship Id="rId178" Type="http://schemas.openxmlformats.org/officeDocument/2006/relationships/oleObject" Target="../embeddings/oleObject668.bin"/><Relationship Id="rId301" Type="http://schemas.openxmlformats.org/officeDocument/2006/relationships/oleObject" Target="../embeddings/oleObject791.bin"/><Relationship Id="rId322" Type="http://schemas.openxmlformats.org/officeDocument/2006/relationships/oleObject" Target="../embeddings/oleObject812.bin"/><Relationship Id="rId343" Type="http://schemas.openxmlformats.org/officeDocument/2006/relationships/oleObject" Target="../embeddings/oleObject833.bin"/><Relationship Id="rId364" Type="http://schemas.openxmlformats.org/officeDocument/2006/relationships/oleObject" Target="../embeddings/oleObject854.bin"/><Relationship Id="rId61" Type="http://schemas.openxmlformats.org/officeDocument/2006/relationships/oleObject" Target="../embeddings/oleObject551.bin"/><Relationship Id="rId82" Type="http://schemas.openxmlformats.org/officeDocument/2006/relationships/oleObject" Target="../embeddings/oleObject572.bin"/><Relationship Id="rId199" Type="http://schemas.openxmlformats.org/officeDocument/2006/relationships/oleObject" Target="../embeddings/oleObject689.bin"/><Relationship Id="rId203" Type="http://schemas.openxmlformats.org/officeDocument/2006/relationships/oleObject" Target="../embeddings/oleObject693.bin"/><Relationship Id="rId385" Type="http://schemas.openxmlformats.org/officeDocument/2006/relationships/oleObject" Target="../embeddings/oleObject875.bin"/><Relationship Id="rId19" Type="http://schemas.openxmlformats.org/officeDocument/2006/relationships/image" Target="../media/image11.emf"/><Relationship Id="rId224" Type="http://schemas.openxmlformats.org/officeDocument/2006/relationships/oleObject" Target="../embeddings/oleObject714.bin"/><Relationship Id="rId245" Type="http://schemas.openxmlformats.org/officeDocument/2006/relationships/oleObject" Target="../embeddings/oleObject735.bin"/><Relationship Id="rId266" Type="http://schemas.openxmlformats.org/officeDocument/2006/relationships/oleObject" Target="../embeddings/oleObject756.bin"/><Relationship Id="rId287" Type="http://schemas.openxmlformats.org/officeDocument/2006/relationships/oleObject" Target="../embeddings/oleObject777.bin"/><Relationship Id="rId410" Type="http://schemas.openxmlformats.org/officeDocument/2006/relationships/oleObject" Target="../embeddings/oleObject900.bin"/><Relationship Id="rId431" Type="http://schemas.openxmlformats.org/officeDocument/2006/relationships/oleObject" Target="../embeddings/oleObject921.bin"/><Relationship Id="rId452" Type="http://schemas.openxmlformats.org/officeDocument/2006/relationships/oleObject" Target="../embeddings/oleObject942.bin"/><Relationship Id="rId473" Type="http://schemas.openxmlformats.org/officeDocument/2006/relationships/oleObject" Target="../embeddings/oleObject963.bin"/><Relationship Id="rId494" Type="http://schemas.openxmlformats.org/officeDocument/2006/relationships/oleObject" Target="../embeddings/oleObject984.bin"/><Relationship Id="rId508" Type="http://schemas.openxmlformats.org/officeDocument/2006/relationships/oleObject" Target="../embeddings/oleObject998.bin"/><Relationship Id="rId30" Type="http://schemas.openxmlformats.org/officeDocument/2006/relationships/oleObject" Target="../embeddings/oleObject520.bin"/><Relationship Id="rId105" Type="http://schemas.openxmlformats.org/officeDocument/2006/relationships/oleObject" Target="../embeddings/oleObject595.bin"/><Relationship Id="rId126" Type="http://schemas.openxmlformats.org/officeDocument/2006/relationships/oleObject" Target="../embeddings/oleObject616.bin"/><Relationship Id="rId147" Type="http://schemas.openxmlformats.org/officeDocument/2006/relationships/oleObject" Target="../embeddings/oleObject637.bin"/><Relationship Id="rId168" Type="http://schemas.openxmlformats.org/officeDocument/2006/relationships/oleObject" Target="../embeddings/oleObject658.bin"/><Relationship Id="rId312" Type="http://schemas.openxmlformats.org/officeDocument/2006/relationships/oleObject" Target="../embeddings/oleObject802.bin"/><Relationship Id="rId333" Type="http://schemas.openxmlformats.org/officeDocument/2006/relationships/oleObject" Target="../embeddings/oleObject823.bin"/><Relationship Id="rId354" Type="http://schemas.openxmlformats.org/officeDocument/2006/relationships/oleObject" Target="../embeddings/oleObject844.bin"/><Relationship Id="rId51" Type="http://schemas.openxmlformats.org/officeDocument/2006/relationships/oleObject" Target="../embeddings/oleObject541.bin"/><Relationship Id="rId72" Type="http://schemas.openxmlformats.org/officeDocument/2006/relationships/oleObject" Target="../embeddings/oleObject562.bin"/><Relationship Id="rId93" Type="http://schemas.openxmlformats.org/officeDocument/2006/relationships/oleObject" Target="../embeddings/oleObject583.bin"/><Relationship Id="rId189" Type="http://schemas.openxmlformats.org/officeDocument/2006/relationships/oleObject" Target="../embeddings/oleObject679.bin"/><Relationship Id="rId375" Type="http://schemas.openxmlformats.org/officeDocument/2006/relationships/oleObject" Target="../embeddings/oleObject865.bin"/><Relationship Id="rId396" Type="http://schemas.openxmlformats.org/officeDocument/2006/relationships/oleObject" Target="../embeddings/oleObject886.bin"/><Relationship Id="rId3" Type="http://schemas.openxmlformats.org/officeDocument/2006/relationships/oleObject" Target="../embeddings/oleObject505.bin"/><Relationship Id="rId214" Type="http://schemas.openxmlformats.org/officeDocument/2006/relationships/oleObject" Target="../embeddings/oleObject704.bin"/><Relationship Id="rId235" Type="http://schemas.openxmlformats.org/officeDocument/2006/relationships/oleObject" Target="../embeddings/oleObject725.bin"/><Relationship Id="rId256" Type="http://schemas.openxmlformats.org/officeDocument/2006/relationships/oleObject" Target="../embeddings/oleObject746.bin"/><Relationship Id="rId277" Type="http://schemas.openxmlformats.org/officeDocument/2006/relationships/oleObject" Target="../embeddings/oleObject767.bin"/><Relationship Id="rId298" Type="http://schemas.openxmlformats.org/officeDocument/2006/relationships/oleObject" Target="../embeddings/oleObject788.bin"/><Relationship Id="rId400" Type="http://schemas.openxmlformats.org/officeDocument/2006/relationships/oleObject" Target="../embeddings/oleObject890.bin"/><Relationship Id="rId421" Type="http://schemas.openxmlformats.org/officeDocument/2006/relationships/oleObject" Target="../embeddings/oleObject911.bin"/><Relationship Id="rId442" Type="http://schemas.openxmlformats.org/officeDocument/2006/relationships/oleObject" Target="../embeddings/oleObject932.bin"/><Relationship Id="rId463" Type="http://schemas.openxmlformats.org/officeDocument/2006/relationships/oleObject" Target="../embeddings/oleObject953.bin"/><Relationship Id="rId484" Type="http://schemas.openxmlformats.org/officeDocument/2006/relationships/oleObject" Target="../embeddings/oleObject974.bin"/><Relationship Id="rId116" Type="http://schemas.openxmlformats.org/officeDocument/2006/relationships/oleObject" Target="../embeddings/oleObject606.bin"/><Relationship Id="rId137" Type="http://schemas.openxmlformats.org/officeDocument/2006/relationships/oleObject" Target="../embeddings/oleObject627.bin"/><Relationship Id="rId158" Type="http://schemas.openxmlformats.org/officeDocument/2006/relationships/oleObject" Target="../embeddings/oleObject648.bin"/><Relationship Id="rId302" Type="http://schemas.openxmlformats.org/officeDocument/2006/relationships/oleObject" Target="../embeddings/oleObject792.bin"/><Relationship Id="rId323" Type="http://schemas.openxmlformats.org/officeDocument/2006/relationships/oleObject" Target="../embeddings/oleObject813.bin"/><Relationship Id="rId344" Type="http://schemas.openxmlformats.org/officeDocument/2006/relationships/oleObject" Target="../embeddings/oleObject834.bin"/><Relationship Id="rId20" Type="http://schemas.openxmlformats.org/officeDocument/2006/relationships/oleObject" Target="../embeddings/oleObject514.bin"/><Relationship Id="rId41" Type="http://schemas.openxmlformats.org/officeDocument/2006/relationships/oleObject" Target="../embeddings/oleObject531.bin"/><Relationship Id="rId62" Type="http://schemas.openxmlformats.org/officeDocument/2006/relationships/oleObject" Target="../embeddings/oleObject552.bin"/><Relationship Id="rId83" Type="http://schemas.openxmlformats.org/officeDocument/2006/relationships/oleObject" Target="../embeddings/oleObject573.bin"/><Relationship Id="rId179" Type="http://schemas.openxmlformats.org/officeDocument/2006/relationships/oleObject" Target="../embeddings/oleObject669.bin"/><Relationship Id="rId365" Type="http://schemas.openxmlformats.org/officeDocument/2006/relationships/oleObject" Target="../embeddings/oleObject855.bin"/><Relationship Id="rId386" Type="http://schemas.openxmlformats.org/officeDocument/2006/relationships/oleObject" Target="../embeddings/oleObject876.bin"/><Relationship Id="rId190" Type="http://schemas.openxmlformats.org/officeDocument/2006/relationships/oleObject" Target="../embeddings/oleObject680.bin"/><Relationship Id="rId204" Type="http://schemas.openxmlformats.org/officeDocument/2006/relationships/oleObject" Target="../embeddings/oleObject694.bin"/><Relationship Id="rId225" Type="http://schemas.openxmlformats.org/officeDocument/2006/relationships/oleObject" Target="../embeddings/oleObject715.bin"/><Relationship Id="rId246" Type="http://schemas.openxmlformats.org/officeDocument/2006/relationships/oleObject" Target="../embeddings/oleObject736.bin"/><Relationship Id="rId267" Type="http://schemas.openxmlformats.org/officeDocument/2006/relationships/oleObject" Target="../embeddings/oleObject757.bin"/><Relationship Id="rId288" Type="http://schemas.openxmlformats.org/officeDocument/2006/relationships/oleObject" Target="../embeddings/oleObject778.bin"/><Relationship Id="rId411" Type="http://schemas.openxmlformats.org/officeDocument/2006/relationships/oleObject" Target="../embeddings/oleObject901.bin"/><Relationship Id="rId432" Type="http://schemas.openxmlformats.org/officeDocument/2006/relationships/oleObject" Target="../embeddings/oleObject922.bin"/><Relationship Id="rId453" Type="http://schemas.openxmlformats.org/officeDocument/2006/relationships/oleObject" Target="../embeddings/oleObject943.bin"/><Relationship Id="rId474" Type="http://schemas.openxmlformats.org/officeDocument/2006/relationships/oleObject" Target="../embeddings/oleObject964.bin"/><Relationship Id="rId509" Type="http://schemas.openxmlformats.org/officeDocument/2006/relationships/oleObject" Target="../embeddings/oleObject999.bin"/><Relationship Id="rId106" Type="http://schemas.openxmlformats.org/officeDocument/2006/relationships/oleObject" Target="../embeddings/oleObject596.bin"/><Relationship Id="rId127" Type="http://schemas.openxmlformats.org/officeDocument/2006/relationships/oleObject" Target="../embeddings/oleObject617.bin"/><Relationship Id="rId313" Type="http://schemas.openxmlformats.org/officeDocument/2006/relationships/oleObject" Target="../embeddings/oleObject803.bin"/><Relationship Id="rId495" Type="http://schemas.openxmlformats.org/officeDocument/2006/relationships/oleObject" Target="../embeddings/oleObject985.bin"/><Relationship Id="rId10" Type="http://schemas.openxmlformats.org/officeDocument/2006/relationships/oleObject" Target="../embeddings/oleObject509.bin"/><Relationship Id="rId31" Type="http://schemas.openxmlformats.org/officeDocument/2006/relationships/oleObject" Target="../embeddings/oleObject521.bin"/><Relationship Id="rId52" Type="http://schemas.openxmlformats.org/officeDocument/2006/relationships/oleObject" Target="../embeddings/oleObject542.bin"/><Relationship Id="rId73" Type="http://schemas.openxmlformats.org/officeDocument/2006/relationships/oleObject" Target="../embeddings/oleObject563.bin"/><Relationship Id="rId94" Type="http://schemas.openxmlformats.org/officeDocument/2006/relationships/oleObject" Target="../embeddings/oleObject584.bin"/><Relationship Id="rId148" Type="http://schemas.openxmlformats.org/officeDocument/2006/relationships/oleObject" Target="../embeddings/oleObject638.bin"/><Relationship Id="rId169" Type="http://schemas.openxmlformats.org/officeDocument/2006/relationships/oleObject" Target="../embeddings/oleObject659.bin"/><Relationship Id="rId334" Type="http://schemas.openxmlformats.org/officeDocument/2006/relationships/oleObject" Target="../embeddings/oleObject824.bin"/><Relationship Id="rId355" Type="http://schemas.openxmlformats.org/officeDocument/2006/relationships/oleObject" Target="../embeddings/oleObject845.bin"/><Relationship Id="rId376" Type="http://schemas.openxmlformats.org/officeDocument/2006/relationships/oleObject" Target="../embeddings/oleObject866.bin"/><Relationship Id="rId397" Type="http://schemas.openxmlformats.org/officeDocument/2006/relationships/oleObject" Target="../embeddings/oleObject887.bin"/><Relationship Id="rId4" Type="http://schemas.openxmlformats.org/officeDocument/2006/relationships/image" Target="../media/image4.emf"/><Relationship Id="rId180" Type="http://schemas.openxmlformats.org/officeDocument/2006/relationships/oleObject" Target="../embeddings/oleObject670.bin"/><Relationship Id="rId215" Type="http://schemas.openxmlformats.org/officeDocument/2006/relationships/oleObject" Target="../embeddings/oleObject705.bin"/><Relationship Id="rId236" Type="http://schemas.openxmlformats.org/officeDocument/2006/relationships/oleObject" Target="../embeddings/oleObject726.bin"/><Relationship Id="rId257" Type="http://schemas.openxmlformats.org/officeDocument/2006/relationships/oleObject" Target="../embeddings/oleObject747.bin"/><Relationship Id="rId278" Type="http://schemas.openxmlformats.org/officeDocument/2006/relationships/oleObject" Target="../embeddings/oleObject768.bin"/><Relationship Id="rId401" Type="http://schemas.openxmlformats.org/officeDocument/2006/relationships/oleObject" Target="../embeddings/oleObject891.bin"/><Relationship Id="rId422" Type="http://schemas.openxmlformats.org/officeDocument/2006/relationships/oleObject" Target="../embeddings/oleObject912.bin"/><Relationship Id="rId443" Type="http://schemas.openxmlformats.org/officeDocument/2006/relationships/oleObject" Target="../embeddings/oleObject933.bin"/><Relationship Id="rId464" Type="http://schemas.openxmlformats.org/officeDocument/2006/relationships/oleObject" Target="../embeddings/oleObject954.bin"/><Relationship Id="rId303" Type="http://schemas.openxmlformats.org/officeDocument/2006/relationships/oleObject" Target="../embeddings/oleObject793.bin"/><Relationship Id="rId485" Type="http://schemas.openxmlformats.org/officeDocument/2006/relationships/oleObject" Target="../embeddings/oleObject975.bin"/><Relationship Id="rId42" Type="http://schemas.openxmlformats.org/officeDocument/2006/relationships/oleObject" Target="../embeddings/oleObject532.bin"/><Relationship Id="rId84" Type="http://schemas.openxmlformats.org/officeDocument/2006/relationships/oleObject" Target="../embeddings/oleObject574.bin"/><Relationship Id="rId138" Type="http://schemas.openxmlformats.org/officeDocument/2006/relationships/oleObject" Target="../embeddings/oleObject628.bin"/><Relationship Id="rId345" Type="http://schemas.openxmlformats.org/officeDocument/2006/relationships/oleObject" Target="../embeddings/oleObject835.bin"/><Relationship Id="rId387" Type="http://schemas.openxmlformats.org/officeDocument/2006/relationships/oleObject" Target="../embeddings/oleObject877.bin"/><Relationship Id="rId510" Type="http://schemas.openxmlformats.org/officeDocument/2006/relationships/oleObject" Target="../embeddings/oleObject1000.bin"/><Relationship Id="rId191" Type="http://schemas.openxmlformats.org/officeDocument/2006/relationships/oleObject" Target="../embeddings/oleObject681.bin"/><Relationship Id="rId205" Type="http://schemas.openxmlformats.org/officeDocument/2006/relationships/oleObject" Target="../embeddings/oleObject695.bin"/><Relationship Id="rId247" Type="http://schemas.openxmlformats.org/officeDocument/2006/relationships/oleObject" Target="../embeddings/oleObject737.bin"/><Relationship Id="rId412" Type="http://schemas.openxmlformats.org/officeDocument/2006/relationships/oleObject" Target="../embeddings/oleObject902.bin"/><Relationship Id="rId107" Type="http://schemas.openxmlformats.org/officeDocument/2006/relationships/oleObject" Target="../embeddings/oleObject597.bin"/><Relationship Id="rId289" Type="http://schemas.openxmlformats.org/officeDocument/2006/relationships/oleObject" Target="../embeddings/oleObject779.bin"/><Relationship Id="rId454" Type="http://schemas.openxmlformats.org/officeDocument/2006/relationships/oleObject" Target="../embeddings/oleObject944.bin"/><Relationship Id="rId496" Type="http://schemas.openxmlformats.org/officeDocument/2006/relationships/oleObject" Target="../embeddings/oleObject986.bin"/><Relationship Id="rId11" Type="http://schemas.openxmlformats.org/officeDocument/2006/relationships/image" Target="../media/image7.emf"/><Relationship Id="rId53" Type="http://schemas.openxmlformats.org/officeDocument/2006/relationships/oleObject" Target="../embeddings/oleObject543.bin"/><Relationship Id="rId149" Type="http://schemas.openxmlformats.org/officeDocument/2006/relationships/oleObject" Target="../embeddings/oleObject639.bin"/><Relationship Id="rId314" Type="http://schemas.openxmlformats.org/officeDocument/2006/relationships/oleObject" Target="../embeddings/oleObject804.bin"/><Relationship Id="rId356" Type="http://schemas.openxmlformats.org/officeDocument/2006/relationships/oleObject" Target="../embeddings/oleObject846.bin"/><Relationship Id="rId398" Type="http://schemas.openxmlformats.org/officeDocument/2006/relationships/oleObject" Target="../embeddings/oleObject888.bin"/><Relationship Id="rId95" Type="http://schemas.openxmlformats.org/officeDocument/2006/relationships/oleObject" Target="../embeddings/oleObject585.bin"/><Relationship Id="rId160" Type="http://schemas.openxmlformats.org/officeDocument/2006/relationships/oleObject" Target="../embeddings/oleObject650.bin"/><Relationship Id="rId216" Type="http://schemas.openxmlformats.org/officeDocument/2006/relationships/oleObject" Target="../embeddings/oleObject706.bin"/><Relationship Id="rId423" Type="http://schemas.openxmlformats.org/officeDocument/2006/relationships/oleObject" Target="../embeddings/oleObject913.bin"/><Relationship Id="rId258" Type="http://schemas.openxmlformats.org/officeDocument/2006/relationships/oleObject" Target="../embeddings/oleObject748.bin"/><Relationship Id="rId465" Type="http://schemas.openxmlformats.org/officeDocument/2006/relationships/oleObject" Target="../embeddings/oleObject955.bin"/><Relationship Id="rId22" Type="http://schemas.openxmlformats.org/officeDocument/2006/relationships/oleObject" Target="../embeddings/oleObject515.bin"/><Relationship Id="rId64" Type="http://schemas.openxmlformats.org/officeDocument/2006/relationships/oleObject" Target="../embeddings/oleObject554.bin"/><Relationship Id="rId118" Type="http://schemas.openxmlformats.org/officeDocument/2006/relationships/oleObject" Target="../embeddings/oleObject608.bin"/><Relationship Id="rId325" Type="http://schemas.openxmlformats.org/officeDocument/2006/relationships/oleObject" Target="../embeddings/oleObject815.bin"/><Relationship Id="rId367" Type="http://schemas.openxmlformats.org/officeDocument/2006/relationships/oleObject" Target="../embeddings/oleObject857.bin"/><Relationship Id="rId171" Type="http://schemas.openxmlformats.org/officeDocument/2006/relationships/oleObject" Target="../embeddings/oleObject661.bin"/><Relationship Id="rId227" Type="http://schemas.openxmlformats.org/officeDocument/2006/relationships/oleObject" Target="../embeddings/oleObject717.bin"/><Relationship Id="rId269" Type="http://schemas.openxmlformats.org/officeDocument/2006/relationships/oleObject" Target="../embeddings/oleObject759.bin"/><Relationship Id="rId434" Type="http://schemas.openxmlformats.org/officeDocument/2006/relationships/oleObject" Target="../embeddings/oleObject924.bin"/><Relationship Id="rId476" Type="http://schemas.openxmlformats.org/officeDocument/2006/relationships/oleObject" Target="../embeddings/oleObject966.bin"/><Relationship Id="rId33" Type="http://schemas.openxmlformats.org/officeDocument/2006/relationships/oleObject" Target="../embeddings/oleObject523.bin"/><Relationship Id="rId129" Type="http://schemas.openxmlformats.org/officeDocument/2006/relationships/oleObject" Target="../embeddings/oleObject619.bin"/><Relationship Id="rId280" Type="http://schemas.openxmlformats.org/officeDocument/2006/relationships/oleObject" Target="../embeddings/oleObject770.bin"/><Relationship Id="rId336" Type="http://schemas.openxmlformats.org/officeDocument/2006/relationships/oleObject" Target="../embeddings/oleObject826.bin"/><Relationship Id="rId501" Type="http://schemas.openxmlformats.org/officeDocument/2006/relationships/oleObject" Target="../embeddings/oleObject991.bin"/><Relationship Id="rId75" Type="http://schemas.openxmlformats.org/officeDocument/2006/relationships/oleObject" Target="../embeddings/oleObject565.bin"/><Relationship Id="rId140" Type="http://schemas.openxmlformats.org/officeDocument/2006/relationships/oleObject" Target="../embeddings/oleObject630.bin"/><Relationship Id="rId182" Type="http://schemas.openxmlformats.org/officeDocument/2006/relationships/oleObject" Target="../embeddings/oleObject672.bin"/><Relationship Id="rId378" Type="http://schemas.openxmlformats.org/officeDocument/2006/relationships/oleObject" Target="../embeddings/oleObject868.bin"/><Relationship Id="rId403" Type="http://schemas.openxmlformats.org/officeDocument/2006/relationships/oleObject" Target="../embeddings/oleObject893.bin"/><Relationship Id="rId6" Type="http://schemas.openxmlformats.org/officeDocument/2006/relationships/oleObject" Target="../embeddings/oleObject507.bin"/><Relationship Id="rId238" Type="http://schemas.openxmlformats.org/officeDocument/2006/relationships/oleObject" Target="../embeddings/oleObject728.bin"/><Relationship Id="rId445" Type="http://schemas.openxmlformats.org/officeDocument/2006/relationships/oleObject" Target="../embeddings/oleObject935.bin"/><Relationship Id="rId487" Type="http://schemas.openxmlformats.org/officeDocument/2006/relationships/oleObject" Target="../embeddings/oleObject977.bin"/><Relationship Id="rId291" Type="http://schemas.openxmlformats.org/officeDocument/2006/relationships/oleObject" Target="../embeddings/oleObject781.bin"/><Relationship Id="rId305" Type="http://schemas.openxmlformats.org/officeDocument/2006/relationships/oleObject" Target="../embeddings/oleObject795.bin"/><Relationship Id="rId347" Type="http://schemas.openxmlformats.org/officeDocument/2006/relationships/oleObject" Target="../embeddings/oleObject837.bin"/><Relationship Id="rId512" Type="http://schemas.openxmlformats.org/officeDocument/2006/relationships/oleObject" Target="../embeddings/oleObject1002.bin"/><Relationship Id="rId44" Type="http://schemas.openxmlformats.org/officeDocument/2006/relationships/oleObject" Target="../embeddings/oleObject534.bin"/><Relationship Id="rId86" Type="http://schemas.openxmlformats.org/officeDocument/2006/relationships/oleObject" Target="../embeddings/oleObject576.bin"/><Relationship Id="rId151" Type="http://schemas.openxmlformats.org/officeDocument/2006/relationships/oleObject" Target="../embeddings/oleObject641.bin"/><Relationship Id="rId389" Type="http://schemas.openxmlformats.org/officeDocument/2006/relationships/oleObject" Target="../embeddings/oleObject879.bin"/><Relationship Id="rId193" Type="http://schemas.openxmlformats.org/officeDocument/2006/relationships/oleObject" Target="../embeddings/oleObject683.bin"/><Relationship Id="rId207" Type="http://schemas.openxmlformats.org/officeDocument/2006/relationships/oleObject" Target="../embeddings/oleObject697.bin"/><Relationship Id="rId249" Type="http://schemas.openxmlformats.org/officeDocument/2006/relationships/oleObject" Target="../embeddings/oleObject739.bin"/><Relationship Id="rId414" Type="http://schemas.openxmlformats.org/officeDocument/2006/relationships/oleObject" Target="../embeddings/oleObject904.bin"/><Relationship Id="rId456" Type="http://schemas.openxmlformats.org/officeDocument/2006/relationships/oleObject" Target="../embeddings/oleObject946.bin"/><Relationship Id="rId498" Type="http://schemas.openxmlformats.org/officeDocument/2006/relationships/oleObject" Target="../embeddings/oleObject988.bin"/><Relationship Id="rId13" Type="http://schemas.openxmlformats.org/officeDocument/2006/relationships/image" Target="../media/image8.emf"/><Relationship Id="rId109" Type="http://schemas.openxmlformats.org/officeDocument/2006/relationships/oleObject" Target="../embeddings/oleObject599.bin"/><Relationship Id="rId260" Type="http://schemas.openxmlformats.org/officeDocument/2006/relationships/oleObject" Target="../embeddings/oleObject750.bin"/><Relationship Id="rId316" Type="http://schemas.openxmlformats.org/officeDocument/2006/relationships/oleObject" Target="../embeddings/oleObject806.bin"/><Relationship Id="rId55" Type="http://schemas.openxmlformats.org/officeDocument/2006/relationships/oleObject" Target="../embeddings/oleObject545.bin"/><Relationship Id="rId97" Type="http://schemas.openxmlformats.org/officeDocument/2006/relationships/oleObject" Target="../embeddings/oleObject587.bin"/><Relationship Id="rId120" Type="http://schemas.openxmlformats.org/officeDocument/2006/relationships/oleObject" Target="../embeddings/oleObject610.bin"/><Relationship Id="rId358" Type="http://schemas.openxmlformats.org/officeDocument/2006/relationships/oleObject" Target="../embeddings/oleObject848.bin"/><Relationship Id="rId162" Type="http://schemas.openxmlformats.org/officeDocument/2006/relationships/oleObject" Target="../embeddings/oleObject652.bin"/><Relationship Id="rId218" Type="http://schemas.openxmlformats.org/officeDocument/2006/relationships/oleObject" Target="../embeddings/oleObject708.bin"/><Relationship Id="rId425" Type="http://schemas.openxmlformats.org/officeDocument/2006/relationships/oleObject" Target="../embeddings/oleObject915.bin"/><Relationship Id="rId467" Type="http://schemas.openxmlformats.org/officeDocument/2006/relationships/oleObject" Target="../embeddings/oleObject957.bin"/><Relationship Id="rId271" Type="http://schemas.openxmlformats.org/officeDocument/2006/relationships/oleObject" Target="../embeddings/oleObject761.bin"/><Relationship Id="rId24" Type="http://schemas.openxmlformats.org/officeDocument/2006/relationships/oleObject" Target="../embeddings/oleObject516.bin"/><Relationship Id="rId66" Type="http://schemas.openxmlformats.org/officeDocument/2006/relationships/oleObject" Target="../embeddings/oleObject556.bin"/><Relationship Id="rId131" Type="http://schemas.openxmlformats.org/officeDocument/2006/relationships/oleObject" Target="../embeddings/oleObject621.bin"/><Relationship Id="rId327" Type="http://schemas.openxmlformats.org/officeDocument/2006/relationships/oleObject" Target="../embeddings/oleObject817.bin"/><Relationship Id="rId369" Type="http://schemas.openxmlformats.org/officeDocument/2006/relationships/oleObject" Target="../embeddings/oleObject859.bin"/><Relationship Id="rId173" Type="http://schemas.openxmlformats.org/officeDocument/2006/relationships/oleObject" Target="../embeddings/oleObject663.bin"/><Relationship Id="rId229" Type="http://schemas.openxmlformats.org/officeDocument/2006/relationships/oleObject" Target="../embeddings/oleObject719.bin"/><Relationship Id="rId380" Type="http://schemas.openxmlformats.org/officeDocument/2006/relationships/oleObject" Target="../embeddings/oleObject870.bin"/><Relationship Id="rId436" Type="http://schemas.openxmlformats.org/officeDocument/2006/relationships/oleObject" Target="../embeddings/oleObject926.bin"/><Relationship Id="rId240" Type="http://schemas.openxmlformats.org/officeDocument/2006/relationships/oleObject" Target="../embeddings/oleObject730.bin"/><Relationship Id="rId478" Type="http://schemas.openxmlformats.org/officeDocument/2006/relationships/oleObject" Target="../embeddings/oleObject96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oleObject" Target="../embeddings/oleObject1111.bin"/><Relationship Id="rId299" Type="http://schemas.openxmlformats.org/officeDocument/2006/relationships/oleObject" Target="../embeddings/oleObject1293.bin"/><Relationship Id="rId21" Type="http://schemas.openxmlformats.org/officeDocument/2006/relationships/image" Target="../media/image12.emf"/><Relationship Id="rId63" Type="http://schemas.openxmlformats.org/officeDocument/2006/relationships/oleObject" Target="../embeddings/oleObject1057.bin"/><Relationship Id="rId159" Type="http://schemas.openxmlformats.org/officeDocument/2006/relationships/oleObject" Target="../embeddings/oleObject1153.bin"/><Relationship Id="rId324" Type="http://schemas.openxmlformats.org/officeDocument/2006/relationships/oleObject" Target="../embeddings/oleObject1318.bin"/><Relationship Id="rId366" Type="http://schemas.openxmlformats.org/officeDocument/2006/relationships/oleObject" Target="../embeddings/oleObject1360.bin"/><Relationship Id="rId170" Type="http://schemas.openxmlformats.org/officeDocument/2006/relationships/oleObject" Target="../embeddings/oleObject1164.bin"/><Relationship Id="rId226" Type="http://schemas.openxmlformats.org/officeDocument/2006/relationships/oleObject" Target="../embeddings/oleObject1220.bin"/><Relationship Id="rId433" Type="http://schemas.openxmlformats.org/officeDocument/2006/relationships/oleObject" Target="../embeddings/oleObject1427.bin"/><Relationship Id="rId268" Type="http://schemas.openxmlformats.org/officeDocument/2006/relationships/oleObject" Target="../embeddings/oleObject1262.bin"/><Relationship Id="rId32" Type="http://schemas.openxmlformats.org/officeDocument/2006/relationships/oleObject" Target="../embeddings/oleObject1026.bin"/><Relationship Id="rId74" Type="http://schemas.openxmlformats.org/officeDocument/2006/relationships/oleObject" Target="../embeddings/oleObject1068.bin"/><Relationship Id="rId128" Type="http://schemas.openxmlformats.org/officeDocument/2006/relationships/oleObject" Target="../embeddings/oleObject1122.bin"/><Relationship Id="rId335" Type="http://schemas.openxmlformats.org/officeDocument/2006/relationships/oleObject" Target="../embeddings/oleObject1329.bin"/><Relationship Id="rId377" Type="http://schemas.openxmlformats.org/officeDocument/2006/relationships/oleObject" Target="../embeddings/oleObject1371.bin"/><Relationship Id="rId5" Type="http://schemas.openxmlformats.org/officeDocument/2006/relationships/oleObject" Target="../embeddings/oleObject1010.bin"/><Relationship Id="rId181" Type="http://schemas.openxmlformats.org/officeDocument/2006/relationships/oleObject" Target="../embeddings/oleObject1175.bin"/><Relationship Id="rId237" Type="http://schemas.openxmlformats.org/officeDocument/2006/relationships/oleObject" Target="../embeddings/oleObject1231.bin"/><Relationship Id="rId402" Type="http://schemas.openxmlformats.org/officeDocument/2006/relationships/oleObject" Target="../embeddings/oleObject1396.bin"/><Relationship Id="rId279" Type="http://schemas.openxmlformats.org/officeDocument/2006/relationships/oleObject" Target="../embeddings/oleObject1273.bin"/><Relationship Id="rId444" Type="http://schemas.openxmlformats.org/officeDocument/2006/relationships/oleObject" Target="../embeddings/oleObject1438.bin"/><Relationship Id="rId43" Type="http://schemas.openxmlformats.org/officeDocument/2006/relationships/oleObject" Target="../embeddings/oleObject1037.bin"/><Relationship Id="rId139" Type="http://schemas.openxmlformats.org/officeDocument/2006/relationships/oleObject" Target="../embeddings/oleObject1133.bin"/><Relationship Id="rId290" Type="http://schemas.openxmlformats.org/officeDocument/2006/relationships/oleObject" Target="../embeddings/oleObject1284.bin"/><Relationship Id="rId304" Type="http://schemas.openxmlformats.org/officeDocument/2006/relationships/oleObject" Target="../embeddings/oleObject1298.bin"/><Relationship Id="rId346" Type="http://schemas.openxmlformats.org/officeDocument/2006/relationships/oleObject" Target="../embeddings/oleObject1340.bin"/><Relationship Id="rId388" Type="http://schemas.openxmlformats.org/officeDocument/2006/relationships/oleObject" Target="../embeddings/oleObject1382.bin"/><Relationship Id="rId85" Type="http://schemas.openxmlformats.org/officeDocument/2006/relationships/oleObject" Target="../embeddings/oleObject1079.bin"/><Relationship Id="rId150" Type="http://schemas.openxmlformats.org/officeDocument/2006/relationships/oleObject" Target="../embeddings/oleObject1144.bin"/><Relationship Id="rId192" Type="http://schemas.openxmlformats.org/officeDocument/2006/relationships/oleObject" Target="../embeddings/oleObject1186.bin"/><Relationship Id="rId206" Type="http://schemas.openxmlformats.org/officeDocument/2006/relationships/oleObject" Target="../embeddings/oleObject1200.bin"/><Relationship Id="rId413" Type="http://schemas.openxmlformats.org/officeDocument/2006/relationships/oleObject" Target="../embeddings/oleObject1407.bin"/><Relationship Id="rId248" Type="http://schemas.openxmlformats.org/officeDocument/2006/relationships/oleObject" Target="../embeddings/oleObject1242.bin"/><Relationship Id="rId455" Type="http://schemas.openxmlformats.org/officeDocument/2006/relationships/oleObject" Target="../embeddings/oleObject1449.bin"/><Relationship Id="rId12" Type="http://schemas.openxmlformats.org/officeDocument/2006/relationships/oleObject" Target="../embeddings/oleObject1014.bin"/><Relationship Id="rId108" Type="http://schemas.openxmlformats.org/officeDocument/2006/relationships/oleObject" Target="../embeddings/oleObject1102.bin"/><Relationship Id="rId315" Type="http://schemas.openxmlformats.org/officeDocument/2006/relationships/oleObject" Target="../embeddings/oleObject1309.bin"/><Relationship Id="rId357" Type="http://schemas.openxmlformats.org/officeDocument/2006/relationships/oleObject" Target="../embeddings/oleObject1351.bin"/><Relationship Id="rId54" Type="http://schemas.openxmlformats.org/officeDocument/2006/relationships/oleObject" Target="../embeddings/oleObject1048.bin"/><Relationship Id="rId96" Type="http://schemas.openxmlformats.org/officeDocument/2006/relationships/oleObject" Target="../embeddings/oleObject1090.bin"/><Relationship Id="rId161" Type="http://schemas.openxmlformats.org/officeDocument/2006/relationships/oleObject" Target="../embeddings/oleObject1155.bin"/><Relationship Id="rId217" Type="http://schemas.openxmlformats.org/officeDocument/2006/relationships/oleObject" Target="../embeddings/oleObject1211.bin"/><Relationship Id="rId399" Type="http://schemas.openxmlformats.org/officeDocument/2006/relationships/oleObject" Target="../embeddings/oleObject1393.bin"/><Relationship Id="rId259" Type="http://schemas.openxmlformats.org/officeDocument/2006/relationships/oleObject" Target="../embeddings/oleObject1253.bin"/><Relationship Id="rId424" Type="http://schemas.openxmlformats.org/officeDocument/2006/relationships/oleObject" Target="../embeddings/oleObject1418.bin"/><Relationship Id="rId466" Type="http://schemas.openxmlformats.org/officeDocument/2006/relationships/oleObject" Target="../embeddings/oleObject1460.bin"/><Relationship Id="rId23" Type="http://schemas.openxmlformats.org/officeDocument/2006/relationships/image" Target="../media/image13.emf"/><Relationship Id="rId119" Type="http://schemas.openxmlformats.org/officeDocument/2006/relationships/oleObject" Target="../embeddings/oleObject1113.bin"/><Relationship Id="rId270" Type="http://schemas.openxmlformats.org/officeDocument/2006/relationships/oleObject" Target="../embeddings/oleObject1264.bin"/><Relationship Id="rId326" Type="http://schemas.openxmlformats.org/officeDocument/2006/relationships/oleObject" Target="../embeddings/oleObject1320.bin"/><Relationship Id="rId65" Type="http://schemas.openxmlformats.org/officeDocument/2006/relationships/oleObject" Target="../embeddings/oleObject1059.bin"/><Relationship Id="rId130" Type="http://schemas.openxmlformats.org/officeDocument/2006/relationships/oleObject" Target="../embeddings/oleObject1124.bin"/><Relationship Id="rId368" Type="http://schemas.openxmlformats.org/officeDocument/2006/relationships/oleObject" Target="../embeddings/oleObject1362.bin"/><Relationship Id="rId172" Type="http://schemas.openxmlformats.org/officeDocument/2006/relationships/oleObject" Target="../embeddings/oleObject1166.bin"/><Relationship Id="rId193" Type="http://schemas.openxmlformats.org/officeDocument/2006/relationships/oleObject" Target="../embeddings/oleObject1187.bin"/><Relationship Id="rId207" Type="http://schemas.openxmlformats.org/officeDocument/2006/relationships/oleObject" Target="../embeddings/oleObject1201.bin"/><Relationship Id="rId228" Type="http://schemas.openxmlformats.org/officeDocument/2006/relationships/oleObject" Target="../embeddings/oleObject1222.bin"/><Relationship Id="rId249" Type="http://schemas.openxmlformats.org/officeDocument/2006/relationships/oleObject" Target="../embeddings/oleObject1243.bin"/><Relationship Id="rId414" Type="http://schemas.openxmlformats.org/officeDocument/2006/relationships/oleObject" Target="../embeddings/oleObject1408.bin"/><Relationship Id="rId435" Type="http://schemas.openxmlformats.org/officeDocument/2006/relationships/oleObject" Target="../embeddings/oleObject1429.bin"/><Relationship Id="rId456" Type="http://schemas.openxmlformats.org/officeDocument/2006/relationships/oleObject" Target="../embeddings/oleObject1450.bin"/><Relationship Id="rId13" Type="http://schemas.openxmlformats.org/officeDocument/2006/relationships/image" Target="../media/image8.emf"/><Relationship Id="rId109" Type="http://schemas.openxmlformats.org/officeDocument/2006/relationships/oleObject" Target="../embeddings/oleObject1103.bin"/><Relationship Id="rId260" Type="http://schemas.openxmlformats.org/officeDocument/2006/relationships/oleObject" Target="../embeddings/oleObject1254.bin"/><Relationship Id="rId281" Type="http://schemas.openxmlformats.org/officeDocument/2006/relationships/oleObject" Target="../embeddings/oleObject1275.bin"/><Relationship Id="rId316" Type="http://schemas.openxmlformats.org/officeDocument/2006/relationships/oleObject" Target="../embeddings/oleObject1310.bin"/><Relationship Id="rId337" Type="http://schemas.openxmlformats.org/officeDocument/2006/relationships/oleObject" Target="../embeddings/oleObject1331.bin"/><Relationship Id="rId34" Type="http://schemas.openxmlformats.org/officeDocument/2006/relationships/oleObject" Target="../embeddings/oleObject1028.bin"/><Relationship Id="rId55" Type="http://schemas.openxmlformats.org/officeDocument/2006/relationships/oleObject" Target="../embeddings/oleObject1049.bin"/><Relationship Id="rId76" Type="http://schemas.openxmlformats.org/officeDocument/2006/relationships/oleObject" Target="../embeddings/oleObject1070.bin"/><Relationship Id="rId97" Type="http://schemas.openxmlformats.org/officeDocument/2006/relationships/oleObject" Target="../embeddings/oleObject1091.bin"/><Relationship Id="rId120" Type="http://schemas.openxmlformats.org/officeDocument/2006/relationships/oleObject" Target="../embeddings/oleObject1114.bin"/><Relationship Id="rId141" Type="http://schemas.openxmlformats.org/officeDocument/2006/relationships/oleObject" Target="../embeddings/oleObject1135.bin"/><Relationship Id="rId358" Type="http://schemas.openxmlformats.org/officeDocument/2006/relationships/oleObject" Target="../embeddings/oleObject1352.bin"/><Relationship Id="rId379" Type="http://schemas.openxmlformats.org/officeDocument/2006/relationships/oleObject" Target="../embeddings/oleObject1373.bin"/><Relationship Id="rId7" Type="http://schemas.openxmlformats.org/officeDocument/2006/relationships/image" Target="../media/image5.emf"/><Relationship Id="rId162" Type="http://schemas.openxmlformats.org/officeDocument/2006/relationships/oleObject" Target="../embeddings/oleObject1156.bin"/><Relationship Id="rId183" Type="http://schemas.openxmlformats.org/officeDocument/2006/relationships/oleObject" Target="../embeddings/oleObject1177.bin"/><Relationship Id="rId218" Type="http://schemas.openxmlformats.org/officeDocument/2006/relationships/oleObject" Target="../embeddings/oleObject1212.bin"/><Relationship Id="rId239" Type="http://schemas.openxmlformats.org/officeDocument/2006/relationships/oleObject" Target="../embeddings/oleObject1233.bin"/><Relationship Id="rId390" Type="http://schemas.openxmlformats.org/officeDocument/2006/relationships/oleObject" Target="../embeddings/oleObject1384.bin"/><Relationship Id="rId404" Type="http://schemas.openxmlformats.org/officeDocument/2006/relationships/oleObject" Target="../embeddings/oleObject1398.bin"/><Relationship Id="rId425" Type="http://schemas.openxmlformats.org/officeDocument/2006/relationships/oleObject" Target="../embeddings/oleObject1419.bin"/><Relationship Id="rId446" Type="http://schemas.openxmlformats.org/officeDocument/2006/relationships/oleObject" Target="../embeddings/oleObject1440.bin"/><Relationship Id="rId467" Type="http://schemas.openxmlformats.org/officeDocument/2006/relationships/oleObject" Target="../embeddings/oleObject1461.bin"/><Relationship Id="rId250" Type="http://schemas.openxmlformats.org/officeDocument/2006/relationships/oleObject" Target="../embeddings/oleObject1244.bin"/><Relationship Id="rId271" Type="http://schemas.openxmlformats.org/officeDocument/2006/relationships/oleObject" Target="../embeddings/oleObject1265.bin"/><Relationship Id="rId292" Type="http://schemas.openxmlformats.org/officeDocument/2006/relationships/oleObject" Target="../embeddings/oleObject1286.bin"/><Relationship Id="rId306" Type="http://schemas.openxmlformats.org/officeDocument/2006/relationships/oleObject" Target="../embeddings/oleObject1300.bin"/><Relationship Id="rId24" Type="http://schemas.openxmlformats.org/officeDocument/2006/relationships/oleObject" Target="../embeddings/oleObject1020.bin"/><Relationship Id="rId45" Type="http://schemas.openxmlformats.org/officeDocument/2006/relationships/oleObject" Target="../embeddings/oleObject1039.bin"/><Relationship Id="rId66" Type="http://schemas.openxmlformats.org/officeDocument/2006/relationships/oleObject" Target="../embeddings/oleObject1060.bin"/><Relationship Id="rId87" Type="http://schemas.openxmlformats.org/officeDocument/2006/relationships/oleObject" Target="../embeddings/oleObject1081.bin"/><Relationship Id="rId110" Type="http://schemas.openxmlformats.org/officeDocument/2006/relationships/oleObject" Target="../embeddings/oleObject1104.bin"/><Relationship Id="rId131" Type="http://schemas.openxmlformats.org/officeDocument/2006/relationships/oleObject" Target="../embeddings/oleObject1125.bin"/><Relationship Id="rId327" Type="http://schemas.openxmlformats.org/officeDocument/2006/relationships/oleObject" Target="../embeddings/oleObject1321.bin"/><Relationship Id="rId348" Type="http://schemas.openxmlformats.org/officeDocument/2006/relationships/oleObject" Target="../embeddings/oleObject1342.bin"/><Relationship Id="rId369" Type="http://schemas.openxmlformats.org/officeDocument/2006/relationships/oleObject" Target="../embeddings/oleObject1363.bin"/><Relationship Id="rId152" Type="http://schemas.openxmlformats.org/officeDocument/2006/relationships/oleObject" Target="../embeddings/oleObject1146.bin"/><Relationship Id="rId173" Type="http://schemas.openxmlformats.org/officeDocument/2006/relationships/oleObject" Target="../embeddings/oleObject1167.bin"/><Relationship Id="rId194" Type="http://schemas.openxmlformats.org/officeDocument/2006/relationships/oleObject" Target="../embeddings/oleObject1188.bin"/><Relationship Id="rId208" Type="http://schemas.openxmlformats.org/officeDocument/2006/relationships/oleObject" Target="../embeddings/oleObject1202.bin"/><Relationship Id="rId229" Type="http://schemas.openxmlformats.org/officeDocument/2006/relationships/oleObject" Target="../embeddings/oleObject1223.bin"/><Relationship Id="rId380" Type="http://schemas.openxmlformats.org/officeDocument/2006/relationships/oleObject" Target="../embeddings/oleObject1374.bin"/><Relationship Id="rId415" Type="http://schemas.openxmlformats.org/officeDocument/2006/relationships/oleObject" Target="../embeddings/oleObject1409.bin"/><Relationship Id="rId436" Type="http://schemas.openxmlformats.org/officeDocument/2006/relationships/oleObject" Target="../embeddings/oleObject1430.bin"/><Relationship Id="rId457" Type="http://schemas.openxmlformats.org/officeDocument/2006/relationships/oleObject" Target="../embeddings/oleObject1451.bin"/><Relationship Id="rId240" Type="http://schemas.openxmlformats.org/officeDocument/2006/relationships/oleObject" Target="../embeddings/oleObject1234.bin"/><Relationship Id="rId261" Type="http://schemas.openxmlformats.org/officeDocument/2006/relationships/oleObject" Target="../embeddings/oleObject1255.bin"/><Relationship Id="rId14" Type="http://schemas.openxmlformats.org/officeDocument/2006/relationships/oleObject" Target="../embeddings/oleObject1015.bin"/><Relationship Id="rId35" Type="http://schemas.openxmlformats.org/officeDocument/2006/relationships/oleObject" Target="../embeddings/oleObject1029.bin"/><Relationship Id="rId56" Type="http://schemas.openxmlformats.org/officeDocument/2006/relationships/oleObject" Target="../embeddings/oleObject1050.bin"/><Relationship Id="rId77" Type="http://schemas.openxmlformats.org/officeDocument/2006/relationships/oleObject" Target="../embeddings/oleObject1071.bin"/><Relationship Id="rId100" Type="http://schemas.openxmlformats.org/officeDocument/2006/relationships/oleObject" Target="../embeddings/oleObject1094.bin"/><Relationship Id="rId282" Type="http://schemas.openxmlformats.org/officeDocument/2006/relationships/oleObject" Target="../embeddings/oleObject1276.bin"/><Relationship Id="rId317" Type="http://schemas.openxmlformats.org/officeDocument/2006/relationships/oleObject" Target="../embeddings/oleObject1311.bin"/><Relationship Id="rId338" Type="http://schemas.openxmlformats.org/officeDocument/2006/relationships/oleObject" Target="../embeddings/oleObject1332.bin"/><Relationship Id="rId359" Type="http://schemas.openxmlformats.org/officeDocument/2006/relationships/oleObject" Target="../embeddings/oleObject1353.bin"/><Relationship Id="rId8" Type="http://schemas.openxmlformats.org/officeDocument/2006/relationships/oleObject" Target="../embeddings/oleObject1012.bin"/><Relationship Id="rId98" Type="http://schemas.openxmlformats.org/officeDocument/2006/relationships/oleObject" Target="../embeddings/oleObject1092.bin"/><Relationship Id="rId121" Type="http://schemas.openxmlformats.org/officeDocument/2006/relationships/oleObject" Target="../embeddings/oleObject1115.bin"/><Relationship Id="rId142" Type="http://schemas.openxmlformats.org/officeDocument/2006/relationships/oleObject" Target="../embeddings/oleObject1136.bin"/><Relationship Id="rId163" Type="http://schemas.openxmlformats.org/officeDocument/2006/relationships/oleObject" Target="../embeddings/oleObject1157.bin"/><Relationship Id="rId184" Type="http://schemas.openxmlformats.org/officeDocument/2006/relationships/oleObject" Target="../embeddings/oleObject1178.bin"/><Relationship Id="rId219" Type="http://schemas.openxmlformats.org/officeDocument/2006/relationships/oleObject" Target="../embeddings/oleObject1213.bin"/><Relationship Id="rId370" Type="http://schemas.openxmlformats.org/officeDocument/2006/relationships/oleObject" Target="../embeddings/oleObject1364.bin"/><Relationship Id="rId391" Type="http://schemas.openxmlformats.org/officeDocument/2006/relationships/oleObject" Target="../embeddings/oleObject1385.bin"/><Relationship Id="rId405" Type="http://schemas.openxmlformats.org/officeDocument/2006/relationships/oleObject" Target="../embeddings/oleObject1399.bin"/><Relationship Id="rId426" Type="http://schemas.openxmlformats.org/officeDocument/2006/relationships/oleObject" Target="../embeddings/oleObject1420.bin"/><Relationship Id="rId447" Type="http://schemas.openxmlformats.org/officeDocument/2006/relationships/oleObject" Target="../embeddings/oleObject1441.bin"/><Relationship Id="rId230" Type="http://schemas.openxmlformats.org/officeDocument/2006/relationships/oleObject" Target="../embeddings/oleObject1224.bin"/><Relationship Id="rId251" Type="http://schemas.openxmlformats.org/officeDocument/2006/relationships/oleObject" Target="../embeddings/oleObject1245.bin"/><Relationship Id="rId468" Type="http://schemas.openxmlformats.org/officeDocument/2006/relationships/oleObject" Target="../embeddings/oleObject1462.bin"/><Relationship Id="rId25" Type="http://schemas.openxmlformats.org/officeDocument/2006/relationships/image" Target="../media/image14.emf"/><Relationship Id="rId46" Type="http://schemas.openxmlformats.org/officeDocument/2006/relationships/oleObject" Target="../embeddings/oleObject1040.bin"/><Relationship Id="rId67" Type="http://schemas.openxmlformats.org/officeDocument/2006/relationships/oleObject" Target="../embeddings/oleObject1061.bin"/><Relationship Id="rId272" Type="http://schemas.openxmlformats.org/officeDocument/2006/relationships/oleObject" Target="../embeddings/oleObject1266.bin"/><Relationship Id="rId293" Type="http://schemas.openxmlformats.org/officeDocument/2006/relationships/oleObject" Target="../embeddings/oleObject1287.bin"/><Relationship Id="rId307" Type="http://schemas.openxmlformats.org/officeDocument/2006/relationships/oleObject" Target="../embeddings/oleObject1301.bin"/><Relationship Id="rId328" Type="http://schemas.openxmlformats.org/officeDocument/2006/relationships/oleObject" Target="../embeddings/oleObject1322.bin"/><Relationship Id="rId349" Type="http://schemas.openxmlformats.org/officeDocument/2006/relationships/oleObject" Target="../embeddings/oleObject1343.bin"/><Relationship Id="rId88" Type="http://schemas.openxmlformats.org/officeDocument/2006/relationships/oleObject" Target="../embeddings/oleObject1082.bin"/><Relationship Id="rId111" Type="http://schemas.openxmlformats.org/officeDocument/2006/relationships/oleObject" Target="../embeddings/oleObject1105.bin"/><Relationship Id="rId132" Type="http://schemas.openxmlformats.org/officeDocument/2006/relationships/oleObject" Target="../embeddings/oleObject1126.bin"/><Relationship Id="rId153" Type="http://schemas.openxmlformats.org/officeDocument/2006/relationships/oleObject" Target="../embeddings/oleObject1147.bin"/><Relationship Id="rId174" Type="http://schemas.openxmlformats.org/officeDocument/2006/relationships/oleObject" Target="../embeddings/oleObject1168.bin"/><Relationship Id="rId195" Type="http://schemas.openxmlformats.org/officeDocument/2006/relationships/oleObject" Target="../embeddings/oleObject1189.bin"/><Relationship Id="rId209" Type="http://schemas.openxmlformats.org/officeDocument/2006/relationships/oleObject" Target="../embeddings/oleObject1203.bin"/><Relationship Id="rId360" Type="http://schemas.openxmlformats.org/officeDocument/2006/relationships/oleObject" Target="../embeddings/oleObject1354.bin"/><Relationship Id="rId381" Type="http://schemas.openxmlformats.org/officeDocument/2006/relationships/oleObject" Target="../embeddings/oleObject1375.bin"/><Relationship Id="rId416" Type="http://schemas.openxmlformats.org/officeDocument/2006/relationships/oleObject" Target="../embeddings/oleObject1410.bin"/><Relationship Id="rId220" Type="http://schemas.openxmlformats.org/officeDocument/2006/relationships/oleObject" Target="../embeddings/oleObject1214.bin"/><Relationship Id="rId241" Type="http://schemas.openxmlformats.org/officeDocument/2006/relationships/oleObject" Target="../embeddings/oleObject1235.bin"/><Relationship Id="rId437" Type="http://schemas.openxmlformats.org/officeDocument/2006/relationships/oleObject" Target="../embeddings/oleObject1431.bin"/><Relationship Id="rId458" Type="http://schemas.openxmlformats.org/officeDocument/2006/relationships/oleObject" Target="../embeddings/oleObject1452.bin"/><Relationship Id="rId15" Type="http://schemas.openxmlformats.org/officeDocument/2006/relationships/image" Target="../media/image9.emf"/><Relationship Id="rId36" Type="http://schemas.openxmlformats.org/officeDocument/2006/relationships/oleObject" Target="../embeddings/oleObject1030.bin"/><Relationship Id="rId57" Type="http://schemas.openxmlformats.org/officeDocument/2006/relationships/oleObject" Target="../embeddings/oleObject1051.bin"/><Relationship Id="rId262" Type="http://schemas.openxmlformats.org/officeDocument/2006/relationships/oleObject" Target="../embeddings/oleObject1256.bin"/><Relationship Id="rId283" Type="http://schemas.openxmlformats.org/officeDocument/2006/relationships/oleObject" Target="../embeddings/oleObject1277.bin"/><Relationship Id="rId318" Type="http://schemas.openxmlformats.org/officeDocument/2006/relationships/oleObject" Target="../embeddings/oleObject1312.bin"/><Relationship Id="rId339" Type="http://schemas.openxmlformats.org/officeDocument/2006/relationships/oleObject" Target="../embeddings/oleObject1333.bin"/><Relationship Id="rId78" Type="http://schemas.openxmlformats.org/officeDocument/2006/relationships/oleObject" Target="../embeddings/oleObject1072.bin"/><Relationship Id="rId99" Type="http://schemas.openxmlformats.org/officeDocument/2006/relationships/oleObject" Target="../embeddings/oleObject1093.bin"/><Relationship Id="rId101" Type="http://schemas.openxmlformats.org/officeDocument/2006/relationships/oleObject" Target="../embeddings/oleObject1095.bin"/><Relationship Id="rId122" Type="http://schemas.openxmlformats.org/officeDocument/2006/relationships/oleObject" Target="../embeddings/oleObject1116.bin"/><Relationship Id="rId143" Type="http://schemas.openxmlformats.org/officeDocument/2006/relationships/oleObject" Target="../embeddings/oleObject1137.bin"/><Relationship Id="rId164" Type="http://schemas.openxmlformats.org/officeDocument/2006/relationships/oleObject" Target="../embeddings/oleObject1158.bin"/><Relationship Id="rId185" Type="http://schemas.openxmlformats.org/officeDocument/2006/relationships/oleObject" Target="../embeddings/oleObject1179.bin"/><Relationship Id="rId350" Type="http://schemas.openxmlformats.org/officeDocument/2006/relationships/oleObject" Target="../embeddings/oleObject1344.bin"/><Relationship Id="rId371" Type="http://schemas.openxmlformats.org/officeDocument/2006/relationships/oleObject" Target="../embeddings/oleObject1365.bin"/><Relationship Id="rId406" Type="http://schemas.openxmlformats.org/officeDocument/2006/relationships/oleObject" Target="../embeddings/oleObject1400.bin"/><Relationship Id="rId9" Type="http://schemas.openxmlformats.org/officeDocument/2006/relationships/image" Target="../media/image6.emf"/><Relationship Id="rId210" Type="http://schemas.openxmlformats.org/officeDocument/2006/relationships/oleObject" Target="../embeddings/oleObject1204.bin"/><Relationship Id="rId392" Type="http://schemas.openxmlformats.org/officeDocument/2006/relationships/oleObject" Target="../embeddings/oleObject1386.bin"/><Relationship Id="rId427" Type="http://schemas.openxmlformats.org/officeDocument/2006/relationships/oleObject" Target="../embeddings/oleObject1421.bin"/><Relationship Id="rId448" Type="http://schemas.openxmlformats.org/officeDocument/2006/relationships/oleObject" Target="../embeddings/oleObject1442.bin"/><Relationship Id="rId469" Type="http://schemas.openxmlformats.org/officeDocument/2006/relationships/oleObject" Target="../embeddings/oleObject1463.bin"/><Relationship Id="rId26" Type="http://schemas.openxmlformats.org/officeDocument/2006/relationships/oleObject" Target="../embeddings/oleObject1021.bin"/><Relationship Id="rId231" Type="http://schemas.openxmlformats.org/officeDocument/2006/relationships/oleObject" Target="../embeddings/oleObject1225.bin"/><Relationship Id="rId252" Type="http://schemas.openxmlformats.org/officeDocument/2006/relationships/oleObject" Target="../embeddings/oleObject1246.bin"/><Relationship Id="rId273" Type="http://schemas.openxmlformats.org/officeDocument/2006/relationships/oleObject" Target="../embeddings/oleObject1267.bin"/><Relationship Id="rId294" Type="http://schemas.openxmlformats.org/officeDocument/2006/relationships/oleObject" Target="../embeddings/oleObject1288.bin"/><Relationship Id="rId308" Type="http://schemas.openxmlformats.org/officeDocument/2006/relationships/oleObject" Target="../embeddings/oleObject1302.bin"/><Relationship Id="rId329" Type="http://schemas.openxmlformats.org/officeDocument/2006/relationships/oleObject" Target="../embeddings/oleObject1323.bin"/><Relationship Id="rId47" Type="http://schemas.openxmlformats.org/officeDocument/2006/relationships/oleObject" Target="../embeddings/oleObject1041.bin"/><Relationship Id="rId68" Type="http://schemas.openxmlformats.org/officeDocument/2006/relationships/oleObject" Target="../embeddings/oleObject1062.bin"/><Relationship Id="rId89" Type="http://schemas.openxmlformats.org/officeDocument/2006/relationships/oleObject" Target="../embeddings/oleObject1083.bin"/><Relationship Id="rId112" Type="http://schemas.openxmlformats.org/officeDocument/2006/relationships/oleObject" Target="../embeddings/oleObject1106.bin"/><Relationship Id="rId133" Type="http://schemas.openxmlformats.org/officeDocument/2006/relationships/oleObject" Target="../embeddings/oleObject1127.bin"/><Relationship Id="rId154" Type="http://schemas.openxmlformats.org/officeDocument/2006/relationships/oleObject" Target="../embeddings/oleObject1148.bin"/><Relationship Id="rId175" Type="http://schemas.openxmlformats.org/officeDocument/2006/relationships/oleObject" Target="../embeddings/oleObject1169.bin"/><Relationship Id="rId340" Type="http://schemas.openxmlformats.org/officeDocument/2006/relationships/oleObject" Target="../embeddings/oleObject1334.bin"/><Relationship Id="rId361" Type="http://schemas.openxmlformats.org/officeDocument/2006/relationships/oleObject" Target="../embeddings/oleObject1355.bin"/><Relationship Id="rId196" Type="http://schemas.openxmlformats.org/officeDocument/2006/relationships/oleObject" Target="../embeddings/oleObject1190.bin"/><Relationship Id="rId200" Type="http://schemas.openxmlformats.org/officeDocument/2006/relationships/oleObject" Target="../embeddings/oleObject1194.bin"/><Relationship Id="rId382" Type="http://schemas.openxmlformats.org/officeDocument/2006/relationships/oleObject" Target="../embeddings/oleObject1376.bin"/><Relationship Id="rId417" Type="http://schemas.openxmlformats.org/officeDocument/2006/relationships/oleObject" Target="../embeddings/oleObject1411.bin"/><Relationship Id="rId438" Type="http://schemas.openxmlformats.org/officeDocument/2006/relationships/oleObject" Target="../embeddings/oleObject1432.bin"/><Relationship Id="rId459" Type="http://schemas.openxmlformats.org/officeDocument/2006/relationships/oleObject" Target="../embeddings/oleObject1453.bin"/><Relationship Id="rId16" Type="http://schemas.openxmlformats.org/officeDocument/2006/relationships/oleObject" Target="../embeddings/oleObject1016.bin"/><Relationship Id="rId221" Type="http://schemas.openxmlformats.org/officeDocument/2006/relationships/oleObject" Target="../embeddings/oleObject1215.bin"/><Relationship Id="rId242" Type="http://schemas.openxmlformats.org/officeDocument/2006/relationships/oleObject" Target="../embeddings/oleObject1236.bin"/><Relationship Id="rId263" Type="http://schemas.openxmlformats.org/officeDocument/2006/relationships/oleObject" Target="../embeddings/oleObject1257.bin"/><Relationship Id="rId284" Type="http://schemas.openxmlformats.org/officeDocument/2006/relationships/oleObject" Target="../embeddings/oleObject1278.bin"/><Relationship Id="rId319" Type="http://schemas.openxmlformats.org/officeDocument/2006/relationships/oleObject" Target="../embeddings/oleObject1313.bin"/><Relationship Id="rId470" Type="http://schemas.openxmlformats.org/officeDocument/2006/relationships/oleObject" Target="../embeddings/oleObject1464.bin"/><Relationship Id="rId37" Type="http://schemas.openxmlformats.org/officeDocument/2006/relationships/oleObject" Target="../embeddings/oleObject1031.bin"/><Relationship Id="rId58" Type="http://schemas.openxmlformats.org/officeDocument/2006/relationships/oleObject" Target="../embeddings/oleObject1052.bin"/><Relationship Id="rId79" Type="http://schemas.openxmlformats.org/officeDocument/2006/relationships/oleObject" Target="../embeddings/oleObject1073.bin"/><Relationship Id="rId102" Type="http://schemas.openxmlformats.org/officeDocument/2006/relationships/oleObject" Target="../embeddings/oleObject1096.bin"/><Relationship Id="rId123" Type="http://schemas.openxmlformats.org/officeDocument/2006/relationships/oleObject" Target="../embeddings/oleObject1117.bin"/><Relationship Id="rId144" Type="http://schemas.openxmlformats.org/officeDocument/2006/relationships/oleObject" Target="../embeddings/oleObject1138.bin"/><Relationship Id="rId330" Type="http://schemas.openxmlformats.org/officeDocument/2006/relationships/oleObject" Target="../embeddings/oleObject1324.bin"/><Relationship Id="rId90" Type="http://schemas.openxmlformats.org/officeDocument/2006/relationships/oleObject" Target="../embeddings/oleObject1084.bin"/><Relationship Id="rId165" Type="http://schemas.openxmlformats.org/officeDocument/2006/relationships/oleObject" Target="../embeddings/oleObject1159.bin"/><Relationship Id="rId186" Type="http://schemas.openxmlformats.org/officeDocument/2006/relationships/oleObject" Target="../embeddings/oleObject1180.bin"/><Relationship Id="rId351" Type="http://schemas.openxmlformats.org/officeDocument/2006/relationships/oleObject" Target="../embeddings/oleObject1345.bin"/><Relationship Id="rId372" Type="http://schemas.openxmlformats.org/officeDocument/2006/relationships/oleObject" Target="../embeddings/oleObject1366.bin"/><Relationship Id="rId393" Type="http://schemas.openxmlformats.org/officeDocument/2006/relationships/oleObject" Target="../embeddings/oleObject1387.bin"/><Relationship Id="rId407" Type="http://schemas.openxmlformats.org/officeDocument/2006/relationships/oleObject" Target="../embeddings/oleObject1401.bin"/><Relationship Id="rId428" Type="http://schemas.openxmlformats.org/officeDocument/2006/relationships/oleObject" Target="../embeddings/oleObject1422.bin"/><Relationship Id="rId449" Type="http://schemas.openxmlformats.org/officeDocument/2006/relationships/oleObject" Target="../embeddings/oleObject1443.bin"/><Relationship Id="rId211" Type="http://schemas.openxmlformats.org/officeDocument/2006/relationships/oleObject" Target="../embeddings/oleObject1205.bin"/><Relationship Id="rId232" Type="http://schemas.openxmlformats.org/officeDocument/2006/relationships/oleObject" Target="../embeddings/oleObject1226.bin"/><Relationship Id="rId253" Type="http://schemas.openxmlformats.org/officeDocument/2006/relationships/oleObject" Target="../embeddings/oleObject1247.bin"/><Relationship Id="rId274" Type="http://schemas.openxmlformats.org/officeDocument/2006/relationships/oleObject" Target="../embeddings/oleObject1268.bin"/><Relationship Id="rId295" Type="http://schemas.openxmlformats.org/officeDocument/2006/relationships/oleObject" Target="../embeddings/oleObject1289.bin"/><Relationship Id="rId309" Type="http://schemas.openxmlformats.org/officeDocument/2006/relationships/oleObject" Target="../embeddings/oleObject1303.bin"/><Relationship Id="rId460" Type="http://schemas.openxmlformats.org/officeDocument/2006/relationships/oleObject" Target="../embeddings/oleObject1454.bin"/><Relationship Id="rId27" Type="http://schemas.openxmlformats.org/officeDocument/2006/relationships/image" Target="../media/image15.emf"/><Relationship Id="rId48" Type="http://schemas.openxmlformats.org/officeDocument/2006/relationships/oleObject" Target="../embeddings/oleObject1042.bin"/><Relationship Id="rId69" Type="http://schemas.openxmlformats.org/officeDocument/2006/relationships/oleObject" Target="../embeddings/oleObject1063.bin"/><Relationship Id="rId113" Type="http://schemas.openxmlformats.org/officeDocument/2006/relationships/oleObject" Target="../embeddings/oleObject1107.bin"/><Relationship Id="rId134" Type="http://schemas.openxmlformats.org/officeDocument/2006/relationships/oleObject" Target="../embeddings/oleObject1128.bin"/><Relationship Id="rId320" Type="http://schemas.openxmlformats.org/officeDocument/2006/relationships/oleObject" Target="../embeddings/oleObject1314.bin"/><Relationship Id="rId80" Type="http://schemas.openxmlformats.org/officeDocument/2006/relationships/oleObject" Target="../embeddings/oleObject1074.bin"/><Relationship Id="rId155" Type="http://schemas.openxmlformats.org/officeDocument/2006/relationships/oleObject" Target="../embeddings/oleObject1149.bin"/><Relationship Id="rId176" Type="http://schemas.openxmlformats.org/officeDocument/2006/relationships/oleObject" Target="../embeddings/oleObject1170.bin"/><Relationship Id="rId197" Type="http://schemas.openxmlformats.org/officeDocument/2006/relationships/oleObject" Target="../embeddings/oleObject1191.bin"/><Relationship Id="rId341" Type="http://schemas.openxmlformats.org/officeDocument/2006/relationships/oleObject" Target="../embeddings/oleObject1335.bin"/><Relationship Id="rId362" Type="http://schemas.openxmlformats.org/officeDocument/2006/relationships/oleObject" Target="../embeddings/oleObject1356.bin"/><Relationship Id="rId383" Type="http://schemas.openxmlformats.org/officeDocument/2006/relationships/oleObject" Target="../embeddings/oleObject1377.bin"/><Relationship Id="rId418" Type="http://schemas.openxmlformats.org/officeDocument/2006/relationships/oleObject" Target="../embeddings/oleObject1412.bin"/><Relationship Id="rId439" Type="http://schemas.openxmlformats.org/officeDocument/2006/relationships/oleObject" Target="../embeddings/oleObject1433.bin"/><Relationship Id="rId201" Type="http://schemas.openxmlformats.org/officeDocument/2006/relationships/oleObject" Target="../embeddings/oleObject1195.bin"/><Relationship Id="rId222" Type="http://schemas.openxmlformats.org/officeDocument/2006/relationships/oleObject" Target="../embeddings/oleObject1216.bin"/><Relationship Id="rId243" Type="http://schemas.openxmlformats.org/officeDocument/2006/relationships/oleObject" Target="../embeddings/oleObject1237.bin"/><Relationship Id="rId264" Type="http://schemas.openxmlformats.org/officeDocument/2006/relationships/oleObject" Target="../embeddings/oleObject1258.bin"/><Relationship Id="rId285" Type="http://schemas.openxmlformats.org/officeDocument/2006/relationships/oleObject" Target="../embeddings/oleObject1279.bin"/><Relationship Id="rId450" Type="http://schemas.openxmlformats.org/officeDocument/2006/relationships/oleObject" Target="../embeddings/oleObject1444.bin"/><Relationship Id="rId471" Type="http://schemas.openxmlformats.org/officeDocument/2006/relationships/oleObject" Target="../embeddings/oleObject1465.bin"/><Relationship Id="rId17" Type="http://schemas.openxmlformats.org/officeDocument/2006/relationships/image" Target="../media/image10.emf"/><Relationship Id="rId38" Type="http://schemas.openxmlformats.org/officeDocument/2006/relationships/oleObject" Target="../embeddings/oleObject1032.bin"/><Relationship Id="rId59" Type="http://schemas.openxmlformats.org/officeDocument/2006/relationships/oleObject" Target="../embeddings/oleObject1053.bin"/><Relationship Id="rId103" Type="http://schemas.openxmlformats.org/officeDocument/2006/relationships/oleObject" Target="../embeddings/oleObject1097.bin"/><Relationship Id="rId124" Type="http://schemas.openxmlformats.org/officeDocument/2006/relationships/oleObject" Target="../embeddings/oleObject1118.bin"/><Relationship Id="rId310" Type="http://schemas.openxmlformats.org/officeDocument/2006/relationships/oleObject" Target="../embeddings/oleObject1304.bin"/><Relationship Id="rId70" Type="http://schemas.openxmlformats.org/officeDocument/2006/relationships/oleObject" Target="../embeddings/oleObject1064.bin"/><Relationship Id="rId91" Type="http://schemas.openxmlformats.org/officeDocument/2006/relationships/oleObject" Target="../embeddings/oleObject1085.bin"/><Relationship Id="rId145" Type="http://schemas.openxmlformats.org/officeDocument/2006/relationships/oleObject" Target="../embeddings/oleObject1139.bin"/><Relationship Id="rId166" Type="http://schemas.openxmlformats.org/officeDocument/2006/relationships/oleObject" Target="../embeddings/oleObject1160.bin"/><Relationship Id="rId187" Type="http://schemas.openxmlformats.org/officeDocument/2006/relationships/oleObject" Target="../embeddings/oleObject1181.bin"/><Relationship Id="rId331" Type="http://schemas.openxmlformats.org/officeDocument/2006/relationships/oleObject" Target="../embeddings/oleObject1325.bin"/><Relationship Id="rId352" Type="http://schemas.openxmlformats.org/officeDocument/2006/relationships/oleObject" Target="../embeddings/oleObject1346.bin"/><Relationship Id="rId373" Type="http://schemas.openxmlformats.org/officeDocument/2006/relationships/oleObject" Target="../embeddings/oleObject1367.bin"/><Relationship Id="rId394" Type="http://schemas.openxmlformats.org/officeDocument/2006/relationships/oleObject" Target="../embeddings/oleObject1388.bin"/><Relationship Id="rId408" Type="http://schemas.openxmlformats.org/officeDocument/2006/relationships/oleObject" Target="../embeddings/oleObject1402.bin"/><Relationship Id="rId429" Type="http://schemas.openxmlformats.org/officeDocument/2006/relationships/oleObject" Target="../embeddings/oleObject1423.bin"/><Relationship Id="rId1" Type="http://schemas.openxmlformats.org/officeDocument/2006/relationships/drawing" Target="../drawings/drawing11.xml"/><Relationship Id="rId212" Type="http://schemas.openxmlformats.org/officeDocument/2006/relationships/oleObject" Target="../embeddings/oleObject1206.bin"/><Relationship Id="rId233" Type="http://schemas.openxmlformats.org/officeDocument/2006/relationships/oleObject" Target="../embeddings/oleObject1227.bin"/><Relationship Id="rId254" Type="http://schemas.openxmlformats.org/officeDocument/2006/relationships/oleObject" Target="../embeddings/oleObject1248.bin"/><Relationship Id="rId440" Type="http://schemas.openxmlformats.org/officeDocument/2006/relationships/oleObject" Target="../embeddings/oleObject1434.bin"/><Relationship Id="rId28" Type="http://schemas.openxmlformats.org/officeDocument/2006/relationships/oleObject" Target="../embeddings/oleObject1022.bin"/><Relationship Id="rId49" Type="http://schemas.openxmlformats.org/officeDocument/2006/relationships/oleObject" Target="../embeddings/oleObject1043.bin"/><Relationship Id="rId114" Type="http://schemas.openxmlformats.org/officeDocument/2006/relationships/oleObject" Target="../embeddings/oleObject1108.bin"/><Relationship Id="rId275" Type="http://schemas.openxmlformats.org/officeDocument/2006/relationships/oleObject" Target="../embeddings/oleObject1269.bin"/><Relationship Id="rId296" Type="http://schemas.openxmlformats.org/officeDocument/2006/relationships/oleObject" Target="../embeddings/oleObject1290.bin"/><Relationship Id="rId300" Type="http://schemas.openxmlformats.org/officeDocument/2006/relationships/oleObject" Target="../embeddings/oleObject1294.bin"/><Relationship Id="rId461" Type="http://schemas.openxmlformats.org/officeDocument/2006/relationships/oleObject" Target="../embeddings/oleObject1455.bin"/><Relationship Id="rId60" Type="http://schemas.openxmlformats.org/officeDocument/2006/relationships/oleObject" Target="../embeddings/oleObject1054.bin"/><Relationship Id="rId81" Type="http://schemas.openxmlformats.org/officeDocument/2006/relationships/oleObject" Target="../embeddings/oleObject1075.bin"/><Relationship Id="rId135" Type="http://schemas.openxmlformats.org/officeDocument/2006/relationships/oleObject" Target="../embeddings/oleObject1129.bin"/><Relationship Id="rId156" Type="http://schemas.openxmlformats.org/officeDocument/2006/relationships/oleObject" Target="../embeddings/oleObject1150.bin"/><Relationship Id="rId177" Type="http://schemas.openxmlformats.org/officeDocument/2006/relationships/oleObject" Target="../embeddings/oleObject1171.bin"/><Relationship Id="rId198" Type="http://schemas.openxmlformats.org/officeDocument/2006/relationships/oleObject" Target="../embeddings/oleObject1192.bin"/><Relationship Id="rId321" Type="http://schemas.openxmlformats.org/officeDocument/2006/relationships/oleObject" Target="../embeddings/oleObject1315.bin"/><Relationship Id="rId342" Type="http://schemas.openxmlformats.org/officeDocument/2006/relationships/oleObject" Target="../embeddings/oleObject1336.bin"/><Relationship Id="rId363" Type="http://schemas.openxmlformats.org/officeDocument/2006/relationships/oleObject" Target="../embeddings/oleObject1357.bin"/><Relationship Id="rId384" Type="http://schemas.openxmlformats.org/officeDocument/2006/relationships/oleObject" Target="../embeddings/oleObject1378.bin"/><Relationship Id="rId419" Type="http://schemas.openxmlformats.org/officeDocument/2006/relationships/oleObject" Target="../embeddings/oleObject1413.bin"/><Relationship Id="rId202" Type="http://schemas.openxmlformats.org/officeDocument/2006/relationships/oleObject" Target="../embeddings/oleObject1196.bin"/><Relationship Id="rId223" Type="http://schemas.openxmlformats.org/officeDocument/2006/relationships/oleObject" Target="../embeddings/oleObject1217.bin"/><Relationship Id="rId244" Type="http://schemas.openxmlformats.org/officeDocument/2006/relationships/oleObject" Target="../embeddings/oleObject1238.bin"/><Relationship Id="rId430" Type="http://schemas.openxmlformats.org/officeDocument/2006/relationships/oleObject" Target="../embeddings/oleObject1424.bin"/><Relationship Id="rId18" Type="http://schemas.openxmlformats.org/officeDocument/2006/relationships/oleObject" Target="../embeddings/oleObject1017.bin"/><Relationship Id="rId39" Type="http://schemas.openxmlformats.org/officeDocument/2006/relationships/oleObject" Target="../embeddings/oleObject1033.bin"/><Relationship Id="rId265" Type="http://schemas.openxmlformats.org/officeDocument/2006/relationships/oleObject" Target="../embeddings/oleObject1259.bin"/><Relationship Id="rId286" Type="http://schemas.openxmlformats.org/officeDocument/2006/relationships/oleObject" Target="../embeddings/oleObject1280.bin"/><Relationship Id="rId451" Type="http://schemas.openxmlformats.org/officeDocument/2006/relationships/oleObject" Target="../embeddings/oleObject1445.bin"/><Relationship Id="rId472" Type="http://schemas.openxmlformats.org/officeDocument/2006/relationships/oleObject" Target="../embeddings/oleObject1466.bin"/><Relationship Id="rId50" Type="http://schemas.openxmlformats.org/officeDocument/2006/relationships/oleObject" Target="../embeddings/oleObject1044.bin"/><Relationship Id="rId104" Type="http://schemas.openxmlformats.org/officeDocument/2006/relationships/oleObject" Target="../embeddings/oleObject1098.bin"/><Relationship Id="rId125" Type="http://schemas.openxmlformats.org/officeDocument/2006/relationships/oleObject" Target="../embeddings/oleObject1119.bin"/><Relationship Id="rId146" Type="http://schemas.openxmlformats.org/officeDocument/2006/relationships/oleObject" Target="../embeddings/oleObject1140.bin"/><Relationship Id="rId167" Type="http://schemas.openxmlformats.org/officeDocument/2006/relationships/oleObject" Target="../embeddings/oleObject1161.bin"/><Relationship Id="rId188" Type="http://schemas.openxmlformats.org/officeDocument/2006/relationships/oleObject" Target="../embeddings/oleObject1182.bin"/><Relationship Id="rId311" Type="http://schemas.openxmlformats.org/officeDocument/2006/relationships/oleObject" Target="../embeddings/oleObject1305.bin"/><Relationship Id="rId332" Type="http://schemas.openxmlformats.org/officeDocument/2006/relationships/oleObject" Target="../embeddings/oleObject1326.bin"/><Relationship Id="rId353" Type="http://schemas.openxmlformats.org/officeDocument/2006/relationships/oleObject" Target="../embeddings/oleObject1347.bin"/><Relationship Id="rId374" Type="http://schemas.openxmlformats.org/officeDocument/2006/relationships/oleObject" Target="../embeddings/oleObject1368.bin"/><Relationship Id="rId395" Type="http://schemas.openxmlformats.org/officeDocument/2006/relationships/oleObject" Target="../embeddings/oleObject1389.bin"/><Relationship Id="rId409" Type="http://schemas.openxmlformats.org/officeDocument/2006/relationships/oleObject" Target="../embeddings/oleObject1403.bin"/><Relationship Id="rId71" Type="http://schemas.openxmlformats.org/officeDocument/2006/relationships/oleObject" Target="../embeddings/oleObject1065.bin"/><Relationship Id="rId92" Type="http://schemas.openxmlformats.org/officeDocument/2006/relationships/oleObject" Target="../embeddings/oleObject1086.bin"/><Relationship Id="rId213" Type="http://schemas.openxmlformats.org/officeDocument/2006/relationships/oleObject" Target="../embeddings/oleObject1207.bin"/><Relationship Id="rId234" Type="http://schemas.openxmlformats.org/officeDocument/2006/relationships/oleObject" Target="../embeddings/oleObject1228.bin"/><Relationship Id="rId420" Type="http://schemas.openxmlformats.org/officeDocument/2006/relationships/oleObject" Target="../embeddings/oleObject1414.bin"/><Relationship Id="rId2" Type="http://schemas.openxmlformats.org/officeDocument/2006/relationships/vmlDrawing" Target="../drawings/vmlDrawing3.vml"/><Relationship Id="rId29" Type="http://schemas.openxmlformats.org/officeDocument/2006/relationships/oleObject" Target="../embeddings/oleObject1023.bin"/><Relationship Id="rId255" Type="http://schemas.openxmlformats.org/officeDocument/2006/relationships/oleObject" Target="../embeddings/oleObject1249.bin"/><Relationship Id="rId276" Type="http://schemas.openxmlformats.org/officeDocument/2006/relationships/oleObject" Target="../embeddings/oleObject1270.bin"/><Relationship Id="rId297" Type="http://schemas.openxmlformats.org/officeDocument/2006/relationships/oleObject" Target="../embeddings/oleObject1291.bin"/><Relationship Id="rId441" Type="http://schemas.openxmlformats.org/officeDocument/2006/relationships/oleObject" Target="../embeddings/oleObject1435.bin"/><Relationship Id="rId462" Type="http://schemas.openxmlformats.org/officeDocument/2006/relationships/oleObject" Target="../embeddings/oleObject1456.bin"/><Relationship Id="rId40" Type="http://schemas.openxmlformats.org/officeDocument/2006/relationships/oleObject" Target="../embeddings/oleObject1034.bin"/><Relationship Id="rId115" Type="http://schemas.openxmlformats.org/officeDocument/2006/relationships/oleObject" Target="../embeddings/oleObject1109.bin"/><Relationship Id="rId136" Type="http://schemas.openxmlformats.org/officeDocument/2006/relationships/oleObject" Target="../embeddings/oleObject1130.bin"/><Relationship Id="rId157" Type="http://schemas.openxmlformats.org/officeDocument/2006/relationships/oleObject" Target="../embeddings/oleObject1151.bin"/><Relationship Id="rId178" Type="http://schemas.openxmlformats.org/officeDocument/2006/relationships/oleObject" Target="../embeddings/oleObject1172.bin"/><Relationship Id="rId301" Type="http://schemas.openxmlformats.org/officeDocument/2006/relationships/oleObject" Target="../embeddings/oleObject1295.bin"/><Relationship Id="rId322" Type="http://schemas.openxmlformats.org/officeDocument/2006/relationships/oleObject" Target="../embeddings/oleObject1316.bin"/><Relationship Id="rId343" Type="http://schemas.openxmlformats.org/officeDocument/2006/relationships/oleObject" Target="../embeddings/oleObject1337.bin"/><Relationship Id="rId364" Type="http://schemas.openxmlformats.org/officeDocument/2006/relationships/oleObject" Target="../embeddings/oleObject1358.bin"/><Relationship Id="rId61" Type="http://schemas.openxmlformats.org/officeDocument/2006/relationships/oleObject" Target="../embeddings/oleObject1055.bin"/><Relationship Id="rId82" Type="http://schemas.openxmlformats.org/officeDocument/2006/relationships/oleObject" Target="../embeddings/oleObject1076.bin"/><Relationship Id="rId199" Type="http://schemas.openxmlformats.org/officeDocument/2006/relationships/oleObject" Target="../embeddings/oleObject1193.bin"/><Relationship Id="rId203" Type="http://schemas.openxmlformats.org/officeDocument/2006/relationships/oleObject" Target="../embeddings/oleObject1197.bin"/><Relationship Id="rId385" Type="http://schemas.openxmlformats.org/officeDocument/2006/relationships/oleObject" Target="../embeddings/oleObject1379.bin"/><Relationship Id="rId19" Type="http://schemas.openxmlformats.org/officeDocument/2006/relationships/image" Target="../media/image11.emf"/><Relationship Id="rId224" Type="http://schemas.openxmlformats.org/officeDocument/2006/relationships/oleObject" Target="../embeddings/oleObject1218.bin"/><Relationship Id="rId245" Type="http://schemas.openxmlformats.org/officeDocument/2006/relationships/oleObject" Target="../embeddings/oleObject1239.bin"/><Relationship Id="rId266" Type="http://schemas.openxmlformats.org/officeDocument/2006/relationships/oleObject" Target="../embeddings/oleObject1260.bin"/><Relationship Id="rId287" Type="http://schemas.openxmlformats.org/officeDocument/2006/relationships/oleObject" Target="../embeddings/oleObject1281.bin"/><Relationship Id="rId410" Type="http://schemas.openxmlformats.org/officeDocument/2006/relationships/oleObject" Target="../embeddings/oleObject1404.bin"/><Relationship Id="rId431" Type="http://schemas.openxmlformats.org/officeDocument/2006/relationships/oleObject" Target="../embeddings/oleObject1425.bin"/><Relationship Id="rId452" Type="http://schemas.openxmlformats.org/officeDocument/2006/relationships/oleObject" Target="../embeddings/oleObject1446.bin"/><Relationship Id="rId473" Type="http://schemas.openxmlformats.org/officeDocument/2006/relationships/oleObject" Target="../embeddings/oleObject1467.bin"/><Relationship Id="rId30" Type="http://schemas.openxmlformats.org/officeDocument/2006/relationships/oleObject" Target="../embeddings/oleObject1024.bin"/><Relationship Id="rId105" Type="http://schemas.openxmlformats.org/officeDocument/2006/relationships/oleObject" Target="../embeddings/oleObject1099.bin"/><Relationship Id="rId126" Type="http://schemas.openxmlformats.org/officeDocument/2006/relationships/oleObject" Target="../embeddings/oleObject1120.bin"/><Relationship Id="rId147" Type="http://schemas.openxmlformats.org/officeDocument/2006/relationships/oleObject" Target="../embeddings/oleObject1141.bin"/><Relationship Id="rId168" Type="http://schemas.openxmlformats.org/officeDocument/2006/relationships/oleObject" Target="../embeddings/oleObject1162.bin"/><Relationship Id="rId312" Type="http://schemas.openxmlformats.org/officeDocument/2006/relationships/oleObject" Target="../embeddings/oleObject1306.bin"/><Relationship Id="rId333" Type="http://schemas.openxmlformats.org/officeDocument/2006/relationships/oleObject" Target="../embeddings/oleObject1327.bin"/><Relationship Id="rId354" Type="http://schemas.openxmlformats.org/officeDocument/2006/relationships/oleObject" Target="../embeddings/oleObject1348.bin"/><Relationship Id="rId51" Type="http://schemas.openxmlformats.org/officeDocument/2006/relationships/oleObject" Target="../embeddings/oleObject1045.bin"/><Relationship Id="rId72" Type="http://schemas.openxmlformats.org/officeDocument/2006/relationships/oleObject" Target="../embeddings/oleObject1066.bin"/><Relationship Id="rId93" Type="http://schemas.openxmlformats.org/officeDocument/2006/relationships/oleObject" Target="../embeddings/oleObject1087.bin"/><Relationship Id="rId189" Type="http://schemas.openxmlformats.org/officeDocument/2006/relationships/oleObject" Target="../embeddings/oleObject1183.bin"/><Relationship Id="rId375" Type="http://schemas.openxmlformats.org/officeDocument/2006/relationships/oleObject" Target="../embeddings/oleObject1369.bin"/><Relationship Id="rId396" Type="http://schemas.openxmlformats.org/officeDocument/2006/relationships/oleObject" Target="../embeddings/oleObject1390.bin"/><Relationship Id="rId3" Type="http://schemas.openxmlformats.org/officeDocument/2006/relationships/oleObject" Target="../embeddings/oleObject1009.bin"/><Relationship Id="rId214" Type="http://schemas.openxmlformats.org/officeDocument/2006/relationships/oleObject" Target="../embeddings/oleObject1208.bin"/><Relationship Id="rId235" Type="http://schemas.openxmlformats.org/officeDocument/2006/relationships/oleObject" Target="../embeddings/oleObject1229.bin"/><Relationship Id="rId256" Type="http://schemas.openxmlformats.org/officeDocument/2006/relationships/oleObject" Target="../embeddings/oleObject1250.bin"/><Relationship Id="rId277" Type="http://schemas.openxmlformats.org/officeDocument/2006/relationships/oleObject" Target="../embeddings/oleObject1271.bin"/><Relationship Id="rId298" Type="http://schemas.openxmlformats.org/officeDocument/2006/relationships/oleObject" Target="../embeddings/oleObject1292.bin"/><Relationship Id="rId400" Type="http://schemas.openxmlformats.org/officeDocument/2006/relationships/oleObject" Target="../embeddings/oleObject1394.bin"/><Relationship Id="rId421" Type="http://schemas.openxmlformats.org/officeDocument/2006/relationships/oleObject" Target="../embeddings/oleObject1415.bin"/><Relationship Id="rId442" Type="http://schemas.openxmlformats.org/officeDocument/2006/relationships/oleObject" Target="../embeddings/oleObject1436.bin"/><Relationship Id="rId463" Type="http://schemas.openxmlformats.org/officeDocument/2006/relationships/oleObject" Target="../embeddings/oleObject1457.bin"/><Relationship Id="rId116" Type="http://schemas.openxmlformats.org/officeDocument/2006/relationships/oleObject" Target="../embeddings/oleObject1110.bin"/><Relationship Id="rId137" Type="http://schemas.openxmlformats.org/officeDocument/2006/relationships/oleObject" Target="../embeddings/oleObject1131.bin"/><Relationship Id="rId158" Type="http://schemas.openxmlformats.org/officeDocument/2006/relationships/oleObject" Target="../embeddings/oleObject1152.bin"/><Relationship Id="rId302" Type="http://schemas.openxmlformats.org/officeDocument/2006/relationships/oleObject" Target="../embeddings/oleObject1296.bin"/><Relationship Id="rId323" Type="http://schemas.openxmlformats.org/officeDocument/2006/relationships/oleObject" Target="../embeddings/oleObject1317.bin"/><Relationship Id="rId344" Type="http://schemas.openxmlformats.org/officeDocument/2006/relationships/oleObject" Target="../embeddings/oleObject1338.bin"/><Relationship Id="rId20" Type="http://schemas.openxmlformats.org/officeDocument/2006/relationships/oleObject" Target="../embeddings/oleObject1018.bin"/><Relationship Id="rId41" Type="http://schemas.openxmlformats.org/officeDocument/2006/relationships/oleObject" Target="../embeddings/oleObject1035.bin"/><Relationship Id="rId62" Type="http://schemas.openxmlformats.org/officeDocument/2006/relationships/oleObject" Target="../embeddings/oleObject1056.bin"/><Relationship Id="rId83" Type="http://schemas.openxmlformats.org/officeDocument/2006/relationships/oleObject" Target="../embeddings/oleObject1077.bin"/><Relationship Id="rId179" Type="http://schemas.openxmlformats.org/officeDocument/2006/relationships/oleObject" Target="../embeddings/oleObject1173.bin"/><Relationship Id="rId365" Type="http://schemas.openxmlformats.org/officeDocument/2006/relationships/oleObject" Target="../embeddings/oleObject1359.bin"/><Relationship Id="rId386" Type="http://schemas.openxmlformats.org/officeDocument/2006/relationships/oleObject" Target="../embeddings/oleObject1380.bin"/><Relationship Id="rId190" Type="http://schemas.openxmlformats.org/officeDocument/2006/relationships/oleObject" Target="../embeddings/oleObject1184.bin"/><Relationship Id="rId204" Type="http://schemas.openxmlformats.org/officeDocument/2006/relationships/oleObject" Target="../embeddings/oleObject1198.bin"/><Relationship Id="rId225" Type="http://schemas.openxmlformats.org/officeDocument/2006/relationships/oleObject" Target="../embeddings/oleObject1219.bin"/><Relationship Id="rId246" Type="http://schemas.openxmlformats.org/officeDocument/2006/relationships/oleObject" Target="../embeddings/oleObject1240.bin"/><Relationship Id="rId267" Type="http://schemas.openxmlformats.org/officeDocument/2006/relationships/oleObject" Target="../embeddings/oleObject1261.bin"/><Relationship Id="rId288" Type="http://schemas.openxmlformats.org/officeDocument/2006/relationships/oleObject" Target="../embeddings/oleObject1282.bin"/><Relationship Id="rId411" Type="http://schemas.openxmlformats.org/officeDocument/2006/relationships/oleObject" Target="../embeddings/oleObject1405.bin"/><Relationship Id="rId432" Type="http://schemas.openxmlformats.org/officeDocument/2006/relationships/oleObject" Target="../embeddings/oleObject1426.bin"/><Relationship Id="rId453" Type="http://schemas.openxmlformats.org/officeDocument/2006/relationships/oleObject" Target="../embeddings/oleObject1447.bin"/><Relationship Id="rId474" Type="http://schemas.openxmlformats.org/officeDocument/2006/relationships/oleObject" Target="../embeddings/oleObject1468.bin"/><Relationship Id="rId106" Type="http://schemas.openxmlformats.org/officeDocument/2006/relationships/oleObject" Target="../embeddings/oleObject1100.bin"/><Relationship Id="rId127" Type="http://schemas.openxmlformats.org/officeDocument/2006/relationships/oleObject" Target="../embeddings/oleObject1121.bin"/><Relationship Id="rId313" Type="http://schemas.openxmlformats.org/officeDocument/2006/relationships/oleObject" Target="../embeddings/oleObject1307.bin"/><Relationship Id="rId10" Type="http://schemas.openxmlformats.org/officeDocument/2006/relationships/oleObject" Target="../embeddings/oleObject1013.bin"/><Relationship Id="rId31" Type="http://schemas.openxmlformats.org/officeDocument/2006/relationships/oleObject" Target="../embeddings/oleObject1025.bin"/><Relationship Id="rId52" Type="http://schemas.openxmlformats.org/officeDocument/2006/relationships/oleObject" Target="../embeddings/oleObject1046.bin"/><Relationship Id="rId73" Type="http://schemas.openxmlformats.org/officeDocument/2006/relationships/oleObject" Target="../embeddings/oleObject1067.bin"/><Relationship Id="rId94" Type="http://schemas.openxmlformats.org/officeDocument/2006/relationships/oleObject" Target="../embeddings/oleObject1088.bin"/><Relationship Id="rId148" Type="http://schemas.openxmlformats.org/officeDocument/2006/relationships/oleObject" Target="../embeddings/oleObject1142.bin"/><Relationship Id="rId169" Type="http://schemas.openxmlformats.org/officeDocument/2006/relationships/oleObject" Target="../embeddings/oleObject1163.bin"/><Relationship Id="rId334" Type="http://schemas.openxmlformats.org/officeDocument/2006/relationships/oleObject" Target="../embeddings/oleObject1328.bin"/><Relationship Id="rId355" Type="http://schemas.openxmlformats.org/officeDocument/2006/relationships/oleObject" Target="../embeddings/oleObject1349.bin"/><Relationship Id="rId376" Type="http://schemas.openxmlformats.org/officeDocument/2006/relationships/oleObject" Target="../embeddings/oleObject1370.bin"/><Relationship Id="rId397" Type="http://schemas.openxmlformats.org/officeDocument/2006/relationships/oleObject" Target="../embeddings/oleObject1391.bin"/><Relationship Id="rId4" Type="http://schemas.openxmlformats.org/officeDocument/2006/relationships/image" Target="../media/image4.emf"/><Relationship Id="rId180" Type="http://schemas.openxmlformats.org/officeDocument/2006/relationships/oleObject" Target="../embeddings/oleObject1174.bin"/><Relationship Id="rId215" Type="http://schemas.openxmlformats.org/officeDocument/2006/relationships/oleObject" Target="../embeddings/oleObject1209.bin"/><Relationship Id="rId236" Type="http://schemas.openxmlformats.org/officeDocument/2006/relationships/oleObject" Target="../embeddings/oleObject1230.bin"/><Relationship Id="rId257" Type="http://schemas.openxmlformats.org/officeDocument/2006/relationships/oleObject" Target="../embeddings/oleObject1251.bin"/><Relationship Id="rId278" Type="http://schemas.openxmlformats.org/officeDocument/2006/relationships/oleObject" Target="../embeddings/oleObject1272.bin"/><Relationship Id="rId401" Type="http://schemas.openxmlformats.org/officeDocument/2006/relationships/oleObject" Target="../embeddings/oleObject1395.bin"/><Relationship Id="rId422" Type="http://schemas.openxmlformats.org/officeDocument/2006/relationships/oleObject" Target="../embeddings/oleObject1416.bin"/><Relationship Id="rId443" Type="http://schemas.openxmlformats.org/officeDocument/2006/relationships/oleObject" Target="../embeddings/oleObject1437.bin"/><Relationship Id="rId464" Type="http://schemas.openxmlformats.org/officeDocument/2006/relationships/oleObject" Target="../embeddings/oleObject1458.bin"/><Relationship Id="rId303" Type="http://schemas.openxmlformats.org/officeDocument/2006/relationships/oleObject" Target="../embeddings/oleObject1297.bin"/><Relationship Id="rId42" Type="http://schemas.openxmlformats.org/officeDocument/2006/relationships/oleObject" Target="../embeddings/oleObject1036.bin"/><Relationship Id="rId84" Type="http://schemas.openxmlformats.org/officeDocument/2006/relationships/oleObject" Target="../embeddings/oleObject1078.bin"/><Relationship Id="rId138" Type="http://schemas.openxmlformats.org/officeDocument/2006/relationships/oleObject" Target="../embeddings/oleObject1132.bin"/><Relationship Id="rId345" Type="http://schemas.openxmlformats.org/officeDocument/2006/relationships/oleObject" Target="../embeddings/oleObject1339.bin"/><Relationship Id="rId387" Type="http://schemas.openxmlformats.org/officeDocument/2006/relationships/oleObject" Target="../embeddings/oleObject1381.bin"/><Relationship Id="rId191" Type="http://schemas.openxmlformats.org/officeDocument/2006/relationships/oleObject" Target="../embeddings/oleObject1185.bin"/><Relationship Id="rId205" Type="http://schemas.openxmlformats.org/officeDocument/2006/relationships/oleObject" Target="../embeddings/oleObject1199.bin"/><Relationship Id="rId247" Type="http://schemas.openxmlformats.org/officeDocument/2006/relationships/oleObject" Target="../embeddings/oleObject1241.bin"/><Relationship Id="rId412" Type="http://schemas.openxmlformats.org/officeDocument/2006/relationships/oleObject" Target="../embeddings/oleObject1406.bin"/><Relationship Id="rId107" Type="http://schemas.openxmlformats.org/officeDocument/2006/relationships/oleObject" Target="../embeddings/oleObject1101.bin"/><Relationship Id="rId289" Type="http://schemas.openxmlformats.org/officeDocument/2006/relationships/oleObject" Target="../embeddings/oleObject1283.bin"/><Relationship Id="rId454" Type="http://schemas.openxmlformats.org/officeDocument/2006/relationships/oleObject" Target="../embeddings/oleObject1448.bin"/><Relationship Id="rId11" Type="http://schemas.openxmlformats.org/officeDocument/2006/relationships/image" Target="../media/image7.emf"/><Relationship Id="rId53" Type="http://schemas.openxmlformats.org/officeDocument/2006/relationships/oleObject" Target="../embeddings/oleObject1047.bin"/><Relationship Id="rId149" Type="http://schemas.openxmlformats.org/officeDocument/2006/relationships/oleObject" Target="../embeddings/oleObject1143.bin"/><Relationship Id="rId314" Type="http://schemas.openxmlformats.org/officeDocument/2006/relationships/oleObject" Target="../embeddings/oleObject1308.bin"/><Relationship Id="rId356" Type="http://schemas.openxmlformats.org/officeDocument/2006/relationships/oleObject" Target="../embeddings/oleObject1350.bin"/><Relationship Id="rId398" Type="http://schemas.openxmlformats.org/officeDocument/2006/relationships/oleObject" Target="../embeddings/oleObject1392.bin"/><Relationship Id="rId95" Type="http://schemas.openxmlformats.org/officeDocument/2006/relationships/oleObject" Target="../embeddings/oleObject1089.bin"/><Relationship Id="rId160" Type="http://schemas.openxmlformats.org/officeDocument/2006/relationships/oleObject" Target="../embeddings/oleObject1154.bin"/><Relationship Id="rId216" Type="http://schemas.openxmlformats.org/officeDocument/2006/relationships/oleObject" Target="../embeddings/oleObject1210.bin"/><Relationship Id="rId423" Type="http://schemas.openxmlformats.org/officeDocument/2006/relationships/oleObject" Target="../embeddings/oleObject1417.bin"/><Relationship Id="rId258" Type="http://schemas.openxmlformats.org/officeDocument/2006/relationships/oleObject" Target="../embeddings/oleObject1252.bin"/><Relationship Id="rId465" Type="http://schemas.openxmlformats.org/officeDocument/2006/relationships/oleObject" Target="../embeddings/oleObject1459.bin"/><Relationship Id="rId22" Type="http://schemas.openxmlformats.org/officeDocument/2006/relationships/oleObject" Target="../embeddings/oleObject1019.bin"/><Relationship Id="rId64" Type="http://schemas.openxmlformats.org/officeDocument/2006/relationships/oleObject" Target="../embeddings/oleObject1058.bin"/><Relationship Id="rId118" Type="http://schemas.openxmlformats.org/officeDocument/2006/relationships/oleObject" Target="../embeddings/oleObject1112.bin"/><Relationship Id="rId325" Type="http://schemas.openxmlformats.org/officeDocument/2006/relationships/oleObject" Target="../embeddings/oleObject1319.bin"/><Relationship Id="rId367" Type="http://schemas.openxmlformats.org/officeDocument/2006/relationships/oleObject" Target="../embeddings/oleObject1361.bin"/><Relationship Id="rId171" Type="http://schemas.openxmlformats.org/officeDocument/2006/relationships/oleObject" Target="../embeddings/oleObject1165.bin"/><Relationship Id="rId227" Type="http://schemas.openxmlformats.org/officeDocument/2006/relationships/oleObject" Target="../embeddings/oleObject1221.bin"/><Relationship Id="rId269" Type="http://schemas.openxmlformats.org/officeDocument/2006/relationships/oleObject" Target="../embeddings/oleObject1263.bin"/><Relationship Id="rId434" Type="http://schemas.openxmlformats.org/officeDocument/2006/relationships/oleObject" Target="../embeddings/oleObject1428.bin"/><Relationship Id="rId33" Type="http://schemas.openxmlformats.org/officeDocument/2006/relationships/oleObject" Target="../embeddings/oleObject1027.bin"/><Relationship Id="rId129" Type="http://schemas.openxmlformats.org/officeDocument/2006/relationships/oleObject" Target="../embeddings/oleObject1123.bin"/><Relationship Id="rId280" Type="http://schemas.openxmlformats.org/officeDocument/2006/relationships/oleObject" Target="../embeddings/oleObject1274.bin"/><Relationship Id="rId336" Type="http://schemas.openxmlformats.org/officeDocument/2006/relationships/oleObject" Target="../embeddings/oleObject1330.bin"/><Relationship Id="rId75" Type="http://schemas.openxmlformats.org/officeDocument/2006/relationships/oleObject" Target="../embeddings/oleObject1069.bin"/><Relationship Id="rId140" Type="http://schemas.openxmlformats.org/officeDocument/2006/relationships/oleObject" Target="../embeddings/oleObject1134.bin"/><Relationship Id="rId182" Type="http://schemas.openxmlformats.org/officeDocument/2006/relationships/oleObject" Target="../embeddings/oleObject1176.bin"/><Relationship Id="rId378" Type="http://schemas.openxmlformats.org/officeDocument/2006/relationships/oleObject" Target="../embeddings/oleObject1372.bin"/><Relationship Id="rId403" Type="http://schemas.openxmlformats.org/officeDocument/2006/relationships/oleObject" Target="../embeddings/oleObject1397.bin"/><Relationship Id="rId6" Type="http://schemas.openxmlformats.org/officeDocument/2006/relationships/oleObject" Target="../embeddings/oleObject1011.bin"/><Relationship Id="rId238" Type="http://schemas.openxmlformats.org/officeDocument/2006/relationships/oleObject" Target="../embeddings/oleObject1232.bin"/><Relationship Id="rId445" Type="http://schemas.openxmlformats.org/officeDocument/2006/relationships/oleObject" Target="../embeddings/oleObject1439.bin"/><Relationship Id="rId291" Type="http://schemas.openxmlformats.org/officeDocument/2006/relationships/oleObject" Target="../embeddings/oleObject1285.bin"/><Relationship Id="rId305" Type="http://schemas.openxmlformats.org/officeDocument/2006/relationships/oleObject" Target="../embeddings/oleObject1299.bin"/><Relationship Id="rId347" Type="http://schemas.openxmlformats.org/officeDocument/2006/relationships/oleObject" Target="../embeddings/oleObject1341.bin"/><Relationship Id="rId44" Type="http://schemas.openxmlformats.org/officeDocument/2006/relationships/oleObject" Target="../embeddings/oleObject1038.bin"/><Relationship Id="rId86" Type="http://schemas.openxmlformats.org/officeDocument/2006/relationships/oleObject" Target="../embeddings/oleObject1080.bin"/><Relationship Id="rId151" Type="http://schemas.openxmlformats.org/officeDocument/2006/relationships/oleObject" Target="../embeddings/oleObject1145.bin"/><Relationship Id="rId389" Type="http://schemas.openxmlformats.org/officeDocument/2006/relationships/oleObject" Target="../embeddings/oleObject138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26" Type="http://schemas.openxmlformats.org/officeDocument/2006/relationships/oleObject" Target="../embeddings/oleObject1489.bin"/><Relationship Id="rId117" Type="http://schemas.openxmlformats.org/officeDocument/2006/relationships/oleObject" Target="../embeddings/oleObject1574.bin"/><Relationship Id="rId21" Type="http://schemas.openxmlformats.org/officeDocument/2006/relationships/oleObject" Target="../embeddings/oleObject1484.bin"/><Relationship Id="rId42" Type="http://schemas.openxmlformats.org/officeDocument/2006/relationships/oleObject" Target="../embeddings/oleObject1505.bin"/><Relationship Id="rId47" Type="http://schemas.openxmlformats.org/officeDocument/2006/relationships/image" Target="../media/image14.emf"/><Relationship Id="rId63" Type="http://schemas.openxmlformats.org/officeDocument/2006/relationships/oleObject" Target="../embeddings/oleObject1523.bin"/><Relationship Id="rId68" Type="http://schemas.openxmlformats.org/officeDocument/2006/relationships/oleObject" Target="../embeddings/oleObject1528.bin"/><Relationship Id="rId84" Type="http://schemas.openxmlformats.org/officeDocument/2006/relationships/image" Target="../media/image17.emf"/><Relationship Id="rId89" Type="http://schemas.openxmlformats.org/officeDocument/2006/relationships/oleObject" Target="../embeddings/oleObject1546.bin"/><Relationship Id="rId112" Type="http://schemas.openxmlformats.org/officeDocument/2006/relationships/oleObject" Target="../embeddings/oleObject1569.bin"/><Relationship Id="rId133" Type="http://schemas.openxmlformats.org/officeDocument/2006/relationships/oleObject" Target="../embeddings/oleObject1588.bin"/><Relationship Id="rId138" Type="http://schemas.openxmlformats.org/officeDocument/2006/relationships/oleObject" Target="../embeddings/oleObject1593.bin"/><Relationship Id="rId16" Type="http://schemas.openxmlformats.org/officeDocument/2006/relationships/oleObject" Target="../embeddings/oleObject1479.bin"/><Relationship Id="rId107" Type="http://schemas.openxmlformats.org/officeDocument/2006/relationships/oleObject" Target="../embeddings/oleObject1564.bin"/><Relationship Id="rId11" Type="http://schemas.openxmlformats.org/officeDocument/2006/relationships/oleObject" Target="../embeddings/oleObject1474.bin"/><Relationship Id="rId32" Type="http://schemas.openxmlformats.org/officeDocument/2006/relationships/oleObject" Target="../embeddings/oleObject1495.bin"/><Relationship Id="rId37" Type="http://schemas.openxmlformats.org/officeDocument/2006/relationships/oleObject" Target="../embeddings/oleObject1500.bin"/><Relationship Id="rId53" Type="http://schemas.openxmlformats.org/officeDocument/2006/relationships/oleObject" Target="../embeddings/oleObject1513.bin"/><Relationship Id="rId58" Type="http://schemas.openxmlformats.org/officeDocument/2006/relationships/oleObject" Target="../embeddings/oleObject1518.bin"/><Relationship Id="rId74" Type="http://schemas.openxmlformats.org/officeDocument/2006/relationships/oleObject" Target="../embeddings/oleObject1534.bin"/><Relationship Id="rId79" Type="http://schemas.openxmlformats.org/officeDocument/2006/relationships/oleObject" Target="../embeddings/oleObject1539.bin"/><Relationship Id="rId102" Type="http://schemas.openxmlformats.org/officeDocument/2006/relationships/oleObject" Target="../embeddings/oleObject1559.bin"/><Relationship Id="rId123" Type="http://schemas.openxmlformats.org/officeDocument/2006/relationships/image" Target="../media/image20.emf"/><Relationship Id="rId128" Type="http://schemas.openxmlformats.org/officeDocument/2006/relationships/oleObject" Target="../embeddings/oleObject1583.bin"/><Relationship Id="rId144" Type="http://schemas.openxmlformats.org/officeDocument/2006/relationships/oleObject" Target="../embeddings/oleObject1599.bin"/><Relationship Id="rId5" Type="http://schemas.openxmlformats.org/officeDocument/2006/relationships/oleObject" Target="../embeddings/oleObject1470.bin"/><Relationship Id="rId90" Type="http://schemas.openxmlformats.org/officeDocument/2006/relationships/oleObject" Target="../embeddings/oleObject1547.bin"/><Relationship Id="rId95" Type="http://schemas.openxmlformats.org/officeDocument/2006/relationships/oleObject" Target="../embeddings/oleObject1552.bin"/><Relationship Id="rId22" Type="http://schemas.openxmlformats.org/officeDocument/2006/relationships/oleObject" Target="../embeddings/oleObject1485.bin"/><Relationship Id="rId27" Type="http://schemas.openxmlformats.org/officeDocument/2006/relationships/oleObject" Target="../embeddings/oleObject1490.bin"/><Relationship Id="rId43" Type="http://schemas.openxmlformats.org/officeDocument/2006/relationships/image" Target="../media/image11.emf"/><Relationship Id="rId48" Type="http://schemas.openxmlformats.org/officeDocument/2006/relationships/oleObject" Target="../embeddings/oleObject1508.bin"/><Relationship Id="rId64" Type="http://schemas.openxmlformats.org/officeDocument/2006/relationships/oleObject" Target="../embeddings/oleObject1524.bin"/><Relationship Id="rId69" Type="http://schemas.openxmlformats.org/officeDocument/2006/relationships/oleObject" Target="../embeddings/oleObject1529.bin"/><Relationship Id="rId113" Type="http://schemas.openxmlformats.org/officeDocument/2006/relationships/oleObject" Target="../embeddings/oleObject1570.bin"/><Relationship Id="rId118" Type="http://schemas.openxmlformats.org/officeDocument/2006/relationships/oleObject" Target="../embeddings/oleObject1575.bin"/><Relationship Id="rId134" Type="http://schemas.openxmlformats.org/officeDocument/2006/relationships/oleObject" Target="../embeddings/oleObject1589.bin"/><Relationship Id="rId139" Type="http://schemas.openxmlformats.org/officeDocument/2006/relationships/oleObject" Target="../embeddings/oleObject1594.bin"/><Relationship Id="rId80" Type="http://schemas.openxmlformats.org/officeDocument/2006/relationships/oleObject" Target="../embeddings/oleObject1540.bin"/><Relationship Id="rId85" Type="http://schemas.openxmlformats.org/officeDocument/2006/relationships/oleObject" Target="../embeddings/oleObject1543.bin"/><Relationship Id="rId3" Type="http://schemas.openxmlformats.org/officeDocument/2006/relationships/oleObject" Target="../embeddings/oleObject1469.bin"/><Relationship Id="rId12" Type="http://schemas.openxmlformats.org/officeDocument/2006/relationships/oleObject" Target="../embeddings/oleObject1475.bin"/><Relationship Id="rId17" Type="http://schemas.openxmlformats.org/officeDocument/2006/relationships/oleObject" Target="../embeddings/oleObject1480.bin"/><Relationship Id="rId25" Type="http://schemas.openxmlformats.org/officeDocument/2006/relationships/oleObject" Target="../embeddings/oleObject1488.bin"/><Relationship Id="rId33" Type="http://schemas.openxmlformats.org/officeDocument/2006/relationships/oleObject" Target="../embeddings/oleObject1496.bin"/><Relationship Id="rId38" Type="http://schemas.openxmlformats.org/officeDocument/2006/relationships/oleObject" Target="../embeddings/oleObject1501.bin"/><Relationship Id="rId46" Type="http://schemas.openxmlformats.org/officeDocument/2006/relationships/oleObject" Target="../embeddings/oleObject1507.bin"/><Relationship Id="rId59" Type="http://schemas.openxmlformats.org/officeDocument/2006/relationships/oleObject" Target="../embeddings/oleObject1519.bin"/><Relationship Id="rId67" Type="http://schemas.openxmlformats.org/officeDocument/2006/relationships/oleObject" Target="../embeddings/oleObject1527.bin"/><Relationship Id="rId103" Type="http://schemas.openxmlformats.org/officeDocument/2006/relationships/oleObject" Target="../embeddings/oleObject1560.bin"/><Relationship Id="rId108" Type="http://schemas.openxmlformats.org/officeDocument/2006/relationships/oleObject" Target="../embeddings/oleObject1565.bin"/><Relationship Id="rId116" Type="http://schemas.openxmlformats.org/officeDocument/2006/relationships/oleObject" Target="../embeddings/oleObject1573.bin"/><Relationship Id="rId124" Type="http://schemas.openxmlformats.org/officeDocument/2006/relationships/oleObject" Target="../embeddings/oleObject1579.bin"/><Relationship Id="rId129" Type="http://schemas.openxmlformats.org/officeDocument/2006/relationships/oleObject" Target="../embeddings/oleObject1584.bin"/><Relationship Id="rId137" Type="http://schemas.openxmlformats.org/officeDocument/2006/relationships/oleObject" Target="../embeddings/oleObject1592.bin"/><Relationship Id="rId20" Type="http://schemas.openxmlformats.org/officeDocument/2006/relationships/oleObject" Target="../embeddings/oleObject1483.bin"/><Relationship Id="rId41" Type="http://schemas.openxmlformats.org/officeDocument/2006/relationships/oleObject" Target="../embeddings/oleObject1504.bin"/><Relationship Id="rId54" Type="http://schemas.openxmlformats.org/officeDocument/2006/relationships/oleObject" Target="../embeddings/oleObject1514.bin"/><Relationship Id="rId62" Type="http://schemas.openxmlformats.org/officeDocument/2006/relationships/oleObject" Target="../embeddings/oleObject1522.bin"/><Relationship Id="rId70" Type="http://schemas.openxmlformats.org/officeDocument/2006/relationships/oleObject" Target="../embeddings/oleObject1530.bin"/><Relationship Id="rId75" Type="http://schemas.openxmlformats.org/officeDocument/2006/relationships/oleObject" Target="../embeddings/oleObject1535.bin"/><Relationship Id="rId83" Type="http://schemas.openxmlformats.org/officeDocument/2006/relationships/oleObject" Target="../embeddings/oleObject1542.bin"/><Relationship Id="rId88" Type="http://schemas.openxmlformats.org/officeDocument/2006/relationships/oleObject" Target="../embeddings/oleObject1545.bin"/><Relationship Id="rId91" Type="http://schemas.openxmlformats.org/officeDocument/2006/relationships/oleObject" Target="../embeddings/oleObject1548.bin"/><Relationship Id="rId96" Type="http://schemas.openxmlformats.org/officeDocument/2006/relationships/oleObject" Target="../embeddings/oleObject1553.bin"/><Relationship Id="rId111" Type="http://schemas.openxmlformats.org/officeDocument/2006/relationships/oleObject" Target="../embeddings/oleObject1568.bin"/><Relationship Id="rId132" Type="http://schemas.openxmlformats.org/officeDocument/2006/relationships/oleObject" Target="../embeddings/oleObject1587.bin"/><Relationship Id="rId140" Type="http://schemas.openxmlformats.org/officeDocument/2006/relationships/oleObject" Target="../embeddings/oleObject1595.bin"/><Relationship Id="rId145" Type="http://schemas.openxmlformats.org/officeDocument/2006/relationships/oleObject" Target="../embeddings/oleObject1600.bin"/><Relationship Id="rId1" Type="http://schemas.openxmlformats.org/officeDocument/2006/relationships/drawing" Target="../drawings/drawing14.xml"/><Relationship Id="rId6" Type="http://schemas.openxmlformats.org/officeDocument/2006/relationships/image" Target="../media/image10.emf"/><Relationship Id="rId15" Type="http://schemas.openxmlformats.org/officeDocument/2006/relationships/oleObject" Target="../embeddings/oleObject1478.bin"/><Relationship Id="rId23" Type="http://schemas.openxmlformats.org/officeDocument/2006/relationships/oleObject" Target="../embeddings/oleObject1486.bin"/><Relationship Id="rId28" Type="http://schemas.openxmlformats.org/officeDocument/2006/relationships/oleObject" Target="../embeddings/oleObject1491.bin"/><Relationship Id="rId36" Type="http://schemas.openxmlformats.org/officeDocument/2006/relationships/oleObject" Target="../embeddings/oleObject1499.bin"/><Relationship Id="rId49" Type="http://schemas.openxmlformats.org/officeDocument/2006/relationships/oleObject" Target="../embeddings/oleObject1509.bin"/><Relationship Id="rId57" Type="http://schemas.openxmlformats.org/officeDocument/2006/relationships/oleObject" Target="../embeddings/oleObject1517.bin"/><Relationship Id="rId106" Type="http://schemas.openxmlformats.org/officeDocument/2006/relationships/oleObject" Target="../embeddings/oleObject1563.bin"/><Relationship Id="rId114" Type="http://schemas.openxmlformats.org/officeDocument/2006/relationships/oleObject" Target="../embeddings/oleObject1571.bin"/><Relationship Id="rId119" Type="http://schemas.openxmlformats.org/officeDocument/2006/relationships/oleObject" Target="../embeddings/oleObject1576.bin"/><Relationship Id="rId127" Type="http://schemas.openxmlformats.org/officeDocument/2006/relationships/oleObject" Target="../embeddings/oleObject1582.bin"/><Relationship Id="rId10" Type="http://schemas.openxmlformats.org/officeDocument/2006/relationships/oleObject" Target="../embeddings/oleObject1473.bin"/><Relationship Id="rId31" Type="http://schemas.openxmlformats.org/officeDocument/2006/relationships/oleObject" Target="../embeddings/oleObject1494.bin"/><Relationship Id="rId44" Type="http://schemas.openxmlformats.org/officeDocument/2006/relationships/oleObject" Target="../embeddings/oleObject1506.bin"/><Relationship Id="rId52" Type="http://schemas.openxmlformats.org/officeDocument/2006/relationships/oleObject" Target="../embeddings/oleObject1512.bin"/><Relationship Id="rId60" Type="http://schemas.openxmlformats.org/officeDocument/2006/relationships/oleObject" Target="../embeddings/oleObject1520.bin"/><Relationship Id="rId65" Type="http://schemas.openxmlformats.org/officeDocument/2006/relationships/oleObject" Target="../embeddings/oleObject1525.bin"/><Relationship Id="rId73" Type="http://schemas.openxmlformats.org/officeDocument/2006/relationships/oleObject" Target="../embeddings/oleObject1533.bin"/><Relationship Id="rId78" Type="http://schemas.openxmlformats.org/officeDocument/2006/relationships/oleObject" Target="../embeddings/oleObject1538.bin"/><Relationship Id="rId81" Type="http://schemas.openxmlformats.org/officeDocument/2006/relationships/oleObject" Target="../embeddings/oleObject1541.bin"/><Relationship Id="rId86" Type="http://schemas.openxmlformats.org/officeDocument/2006/relationships/image" Target="../media/image18.emf"/><Relationship Id="rId94" Type="http://schemas.openxmlformats.org/officeDocument/2006/relationships/oleObject" Target="../embeddings/oleObject1551.bin"/><Relationship Id="rId99" Type="http://schemas.openxmlformats.org/officeDocument/2006/relationships/oleObject" Target="../embeddings/oleObject1556.bin"/><Relationship Id="rId101" Type="http://schemas.openxmlformats.org/officeDocument/2006/relationships/oleObject" Target="../embeddings/oleObject1558.bin"/><Relationship Id="rId122" Type="http://schemas.openxmlformats.org/officeDocument/2006/relationships/oleObject" Target="../embeddings/oleObject1578.bin"/><Relationship Id="rId130" Type="http://schemas.openxmlformats.org/officeDocument/2006/relationships/oleObject" Target="../embeddings/oleObject1585.bin"/><Relationship Id="rId135" Type="http://schemas.openxmlformats.org/officeDocument/2006/relationships/oleObject" Target="../embeddings/oleObject1590.bin"/><Relationship Id="rId143" Type="http://schemas.openxmlformats.org/officeDocument/2006/relationships/oleObject" Target="../embeddings/oleObject1598.bin"/><Relationship Id="rId4" Type="http://schemas.openxmlformats.org/officeDocument/2006/relationships/image" Target="../media/image9.emf"/><Relationship Id="rId9" Type="http://schemas.openxmlformats.org/officeDocument/2006/relationships/oleObject" Target="../embeddings/oleObject1472.bin"/><Relationship Id="rId13" Type="http://schemas.openxmlformats.org/officeDocument/2006/relationships/oleObject" Target="../embeddings/oleObject1476.bin"/><Relationship Id="rId18" Type="http://schemas.openxmlformats.org/officeDocument/2006/relationships/oleObject" Target="../embeddings/oleObject1481.bin"/><Relationship Id="rId39" Type="http://schemas.openxmlformats.org/officeDocument/2006/relationships/oleObject" Target="../embeddings/oleObject1502.bin"/><Relationship Id="rId109" Type="http://schemas.openxmlformats.org/officeDocument/2006/relationships/oleObject" Target="../embeddings/oleObject1566.bin"/><Relationship Id="rId34" Type="http://schemas.openxmlformats.org/officeDocument/2006/relationships/oleObject" Target="../embeddings/oleObject1497.bin"/><Relationship Id="rId50" Type="http://schemas.openxmlformats.org/officeDocument/2006/relationships/oleObject" Target="../embeddings/oleObject1510.bin"/><Relationship Id="rId55" Type="http://schemas.openxmlformats.org/officeDocument/2006/relationships/oleObject" Target="../embeddings/oleObject1515.bin"/><Relationship Id="rId76" Type="http://schemas.openxmlformats.org/officeDocument/2006/relationships/oleObject" Target="../embeddings/oleObject1536.bin"/><Relationship Id="rId97" Type="http://schemas.openxmlformats.org/officeDocument/2006/relationships/oleObject" Target="../embeddings/oleObject1554.bin"/><Relationship Id="rId104" Type="http://schemas.openxmlformats.org/officeDocument/2006/relationships/oleObject" Target="../embeddings/oleObject1561.bin"/><Relationship Id="rId120" Type="http://schemas.openxmlformats.org/officeDocument/2006/relationships/oleObject" Target="../embeddings/oleObject1577.bin"/><Relationship Id="rId125" Type="http://schemas.openxmlformats.org/officeDocument/2006/relationships/oleObject" Target="../embeddings/oleObject1580.bin"/><Relationship Id="rId141" Type="http://schemas.openxmlformats.org/officeDocument/2006/relationships/oleObject" Target="../embeddings/oleObject1596.bin"/><Relationship Id="rId7" Type="http://schemas.openxmlformats.org/officeDocument/2006/relationships/oleObject" Target="../embeddings/oleObject1471.bin"/><Relationship Id="rId71" Type="http://schemas.openxmlformats.org/officeDocument/2006/relationships/oleObject" Target="../embeddings/oleObject1531.bin"/><Relationship Id="rId92" Type="http://schemas.openxmlformats.org/officeDocument/2006/relationships/oleObject" Target="../embeddings/oleObject1549.bin"/><Relationship Id="rId2" Type="http://schemas.openxmlformats.org/officeDocument/2006/relationships/vmlDrawing" Target="../drawings/vmlDrawing4.vml"/><Relationship Id="rId29" Type="http://schemas.openxmlformats.org/officeDocument/2006/relationships/oleObject" Target="../embeddings/oleObject1492.bin"/><Relationship Id="rId24" Type="http://schemas.openxmlformats.org/officeDocument/2006/relationships/oleObject" Target="../embeddings/oleObject1487.bin"/><Relationship Id="rId40" Type="http://schemas.openxmlformats.org/officeDocument/2006/relationships/oleObject" Target="../embeddings/oleObject1503.bin"/><Relationship Id="rId45" Type="http://schemas.openxmlformats.org/officeDocument/2006/relationships/image" Target="../media/image12.emf"/><Relationship Id="rId66" Type="http://schemas.openxmlformats.org/officeDocument/2006/relationships/oleObject" Target="../embeddings/oleObject1526.bin"/><Relationship Id="rId87" Type="http://schemas.openxmlformats.org/officeDocument/2006/relationships/oleObject" Target="../embeddings/oleObject1544.bin"/><Relationship Id="rId110" Type="http://schemas.openxmlformats.org/officeDocument/2006/relationships/oleObject" Target="../embeddings/oleObject1567.bin"/><Relationship Id="rId115" Type="http://schemas.openxmlformats.org/officeDocument/2006/relationships/oleObject" Target="../embeddings/oleObject1572.bin"/><Relationship Id="rId131" Type="http://schemas.openxmlformats.org/officeDocument/2006/relationships/oleObject" Target="../embeddings/oleObject1586.bin"/><Relationship Id="rId136" Type="http://schemas.openxmlformats.org/officeDocument/2006/relationships/oleObject" Target="../embeddings/oleObject1591.bin"/><Relationship Id="rId61" Type="http://schemas.openxmlformats.org/officeDocument/2006/relationships/oleObject" Target="../embeddings/oleObject1521.bin"/><Relationship Id="rId82" Type="http://schemas.openxmlformats.org/officeDocument/2006/relationships/image" Target="../media/image16.emf"/><Relationship Id="rId19" Type="http://schemas.openxmlformats.org/officeDocument/2006/relationships/oleObject" Target="../embeddings/oleObject1482.bin"/><Relationship Id="rId14" Type="http://schemas.openxmlformats.org/officeDocument/2006/relationships/oleObject" Target="../embeddings/oleObject1477.bin"/><Relationship Id="rId30" Type="http://schemas.openxmlformats.org/officeDocument/2006/relationships/oleObject" Target="../embeddings/oleObject1493.bin"/><Relationship Id="rId35" Type="http://schemas.openxmlformats.org/officeDocument/2006/relationships/oleObject" Target="../embeddings/oleObject1498.bin"/><Relationship Id="rId56" Type="http://schemas.openxmlformats.org/officeDocument/2006/relationships/oleObject" Target="../embeddings/oleObject1516.bin"/><Relationship Id="rId77" Type="http://schemas.openxmlformats.org/officeDocument/2006/relationships/oleObject" Target="../embeddings/oleObject1537.bin"/><Relationship Id="rId100" Type="http://schemas.openxmlformats.org/officeDocument/2006/relationships/oleObject" Target="../embeddings/oleObject1557.bin"/><Relationship Id="rId105" Type="http://schemas.openxmlformats.org/officeDocument/2006/relationships/oleObject" Target="../embeddings/oleObject1562.bin"/><Relationship Id="rId126" Type="http://schemas.openxmlformats.org/officeDocument/2006/relationships/oleObject" Target="../embeddings/oleObject1581.bin"/><Relationship Id="rId8" Type="http://schemas.openxmlformats.org/officeDocument/2006/relationships/image" Target="../media/image13.emf"/><Relationship Id="rId51" Type="http://schemas.openxmlformats.org/officeDocument/2006/relationships/oleObject" Target="../embeddings/oleObject1511.bin"/><Relationship Id="rId72" Type="http://schemas.openxmlformats.org/officeDocument/2006/relationships/oleObject" Target="../embeddings/oleObject1532.bin"/><Relationship Id="rId93" Type="http://schemas.openxmlformats.org/officeDocument/2006/relationships/oleObject" Target="../embeddings/oleObject1550.bin"/><Relationship Id="rId98" Type="http://schemas.openxmlformats.org/officeDocument/2006/relationships/oleObject" Target="../embeddings/oleObject1555.bin"/><Relationship Id="rId121" Type="http://schemas.openxmlformats.org/officeDocument/2006/relationships/image" Target="../media/image19.emf"/><Relationship Id="rId142" Type="http://schemas.openxmlformats.org/officeDocument/2006/relationships/oleObject" Target="../embeddings/oleObject1597.bin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oleObject" Target="../embeddings/oleObject1693.bin"/><Relationship Id="rId299" Type="http://schemas.openxmlformats.org/officeDocument/2006/relationships/oleObject" Target="../embeddings/oleObject1853.bin"/><Relationship Id="rId21" Type="http://schemas.openxmlformats.org/officeDocument/2006/relationships/oleObject" Target="../embeddings/oleObject1610.bin"/><Relationship Id="rId63" Type="http://schemas.openxmlformats.org/officeDocument/2006/relationships/oleObject" Target="../embeddings/oleObject1651.bin"/><Relationship Id="rId159" Type="http://schemas.openxmlformats.org/officeDocument/2006/relationships/oleObject" Target="../embeddings/oleObject1720.bin"/><Relationship Id="rId324" Type="http://schemas.openxmlformats.org/officeDocument/2006/relationships/oleObject" Target="../embeddings/oleObject1878.bin"/><Relationship Id="rId366" Type="http://schemas.openxmlformats.org/officeDocument/2006/relationships/oleObject" Target="../embeddings/oleObject1920.bin"/><Relationship Id="rId531" Type="http://schemas.openxmlformats.org/officeDocument/2006/relationships/oleObject" Target="../embeddings/oleObject2085.bin"/><Relationship Id="rId573" Type="http://schemas.openxmlformats.org/officeDocument/2006/relationships/oleObject" Target="../embeddings/oleObject2127.bin"/><Relationship Id="rId629" Type="http://schemas.openxmlformats.org/officeDocument/2006/relationships/oleObject" Target="../embeddings/oleObject2182.bin"/><Relationship Id="rId170" Type="http://schemas.openxmlformats.org/officeDocument/2006/relationships/image" Target="../media/image49.emf"/><Relationship Id="rId226" Type="http://schemas.openxmlformats.org/officeDocument/2006/relationships/oleObject" Target="../embeddings/oleObject1780.bin"/><Relationship Id="rId433" Type="http://schemas.openxmlformats.org/officeDocument/2006/relationships/oleObject" Target="../embeddings/oleObject1987.bin"/><Relationship Id="rId268" Type="http://schemas.openxmlformats.org/officeDocument/2006/relationships/oleObject" Target="../embeddings/oleObject1822.bin"/><Relationship Id="rId475" Type="http://schemas.openxmlformats.org/officeDocument/2006/relationships/oleObject" Target="../embeddings/oleObject2029.bin"/><Relationship Id="rId32" Type="http://schemas.openxmlformats.org/officeDocument/2006/relationships/oleObject" Target="../embeddings/oleObject1620.bin"/><Relationship Id="rId74" Type="http://schemas.openxmlformats.org/officeDocument/2006/relationships/oleObject" Target="../embeddings/oleObject1662.bin"/><Relationship Id="rId128" Type="http://schemas.openxmlformats.org/officeDocument/2006/relationships/oleObject" Target="../embeddings/oleObject1700.bin"/><Relationship Id="rId335" Type="http://schemas.openxmlformats.org/officeDocument/2006/relationships/oleObject" Target="../embeddings/oleObject1889.bin"/><Relationship Id="rId377" Type="http://schemas.openxmlformats.org/officeDocument/2006/relationships/oleObject" Target="../embeddings/oleObject1931.bin"/><Relationship Id="rId500" Type="http://schemas.openxmlformats.org/officeDocument/2006/relationships/oleObject" Target="../embeddings/oleObject2054.bin"/><Relationship Id="rId542" Type="http://schemas.openxmlformats.org/officeDocument/2006/relationships/oleObject" Target="../embeddings/oleObject2096.bin"/><Relationship Id="rId584" Type="http://schemas.openxmlformats.org/officeDocument/2006/relationships/oleObject" Target="../embeddings/oleObject2138.bin"/><Relationship Id="rId5" Type="http://schemas.openxmlformats.org/officeDocument/2006/relationships/oleObject" Target="../embeddings/oleObject1602.bin"/><Relationship Id="rId181" Type="http://schemas.openxmlformats.org/officeDocument/2006/relationships/oleObject" Target="../embeddings/oleObject1735.bin"/><Relationship Id="rId237" Type="http://schemas.openxmlformats.org/officeDocument/2006/relationships/oleObject" Target="../embeddings/oleObject1791.bin"/><Relationship Id="rId402" Type="http://schemas.openxmlformats.org/officeDocument/2006/relationships/oleObject" Target="../embeddings/oleObject1956.bin"/><Relationship Id="rId279" Type="http://schemas.openxmlformats.org/officeDocument/2006/relationships/oleObject" Target="../embeddings/oleObject1833.bin"/><Relationship Id="rId444" Type="http://schemas.openxmlformats.org/officeDocument/2006/relationships/oleObject" Target="../embeddings/oleObject1998.bin"/><Relationship Id="rId486" Type="http://schemas.openxmlformats.org/officeDocument/2006/relationships/oleObject" Target="../embeddings/oleObject2040.bin"/><Relationship Id="rId43" Type="http://schemas.openxmlformats.org/officeDocument/2006/relationships/oleObject" Target="../embeddings/oleObject1631.bin"/><Relationship Id="rId139" Type="http://schemas.openxmlformats.org/officeDocument/2006/relationships/oleObject" Target="../embeddings/oleObject1707.bin"/><Relationship Id="rId290" Type="http://schemas.openxmlformats.org/officeDocument/2006/relationships/oleObject" Target="../embeddings/oleObject1844.bin"/><Relationship Id="rId304" Type="http://schemas.openxmlformats.org/officeDocument/2006/relationships/oleObject" Target="../embeddings/oleObject1858.bin"/><Relationship Id="rId346" Type="http://schemas.openxmlformats.org/officeDocument/2006/relationships/oleObject" Target="../embeddings/oleObject1900.bin"/><Relationship Id="rId388" Type="http://schemas.openxmlformats.org/officeDocument/2006/relationships/oleObject" Target="../embeddings/oleObject1942.bin"/><Relationship Id="rId511" Type="http://schemas.openxmlformats.org/officeDocument/2006/relationships/oleObject" Target="../embeddings/oleObject2065.bin"/><Relationship Id="rId553" Type="http://schemas.openxmlformats.org/officeDocument/2006/relationships/oleObject" Target="../embeddings/oleObject2107.bin"/><Relationship Id="rId609" Type="http://schemas.openxmlformats.org/officeDocument/2006/relationships/oleObject" Target="../embeddings/oleObject2162.bin"/><Relationship Id="rId85" Type="http://schemas.openxmlformats.org/officeDocument/2006/relationships/oleObject" Target="../embeddings/oleObject1673.bin"/><Relationship Id="rId150" Type="http://schemas.openxmlformats.org/officeDocument/2006/relationships/oleObject" Target="../embeddings/oleObject1713.bin"/><Relationship Id="rId192" Type="http://schemas.openxmlformats.org/officeDocument/2006/relationships/oleObject" Target="../embeddings/oleObject1746.bin"/><Relationship Id="rId206" Type="http://schemas.openxmlformats.org/officeDocument/2006/relationships/oleObject" Target="../embeddings/oleObject1760.bin"/><Relationship Id="rId413" Type="http://schemas.openxmlformats.org/officeDocument/2006/relationships/oleObject" Target="../embeddings/oleObject1967.bin"/><Relationship Id="rId595" Type="http://schemas.openxmlformats.org/officeDocument/2006/relationships/oleObject" Target="../embeddings/oleObject2149.bin"/><Relationship Id="rId248" Type="http://schemas.openxmlformats.org/officeDocument/2006/relationships/oleObject" Target="../embeddings/oleObject1802.bin"/><Relationship Id="rId455" Type="http://schemas.openxmlformats.org/officeDocument/2006/relationships/oleObject" Target="../embeddings/oleObject2009.bin"/><Relationship Id="rId497" Type="http://schemas.openxmlformats.org/officeDocument/2006/relationships/oleObject" Target="../embeddings/oleObject2051.bin"/><Relationship Id="rId620" Type="http://schemas.openxmlformats.org/officeDocument/2006/relationships/oleObject" Target="../embeddings/oleObject2173.bin"/><Relationship Id="rId12" Type="http://schemas.openxmlformats.org/officeDocument/2006/relationships/image" Target="../media/image9.emf"/><Relationship Id="rId108" Type="http://schemas.openxmlformats.org/officeDocument/2006/relationships/image" Target="../media/image30.emf"/><Relationship Id="rId315" Type="http://schemas.openxmlformats.org/officeDocument/2006/relationships/oleObject" Target="../embeddings/oleObject1869.bin"/><Relationship Id="rId357" Type="http://schemas.openxmlformats.org/officeDocument/2006/relationships/oleObject" Target="../embeddings/oleObject1911.bin"/><Relationship Id="rId522" Type="http://schemas.openxmlformats.org/officeDocument/2006/relationships/oleObject" Target="../embeddings/oleObject2076.bin"/><Relationship Id="rId54" Type="http://schemas.openxmlformats.org/officeDocument/2006/relationships/oleObject" Target="../embeddings/oleObject1642.bin"/><Relationship Id="rId96" Type="http://schemas.openxmlformats.org/officeDocument/2006/relationships/image" Target="../media/image24.emf"/><Relationship Id="rId161" Type="http://schemas.openxmlformats.org/officeDocument/2006/relationships/oleObject" Target="../embeddings/oleObject1721.bin"/><Relationship Id="rId217" Type="http://schemas.openxmlformats.org/officeDocument/2006/relationships/oleObject" Target="../embeddings/oleObject1771.bin"/><Relationship Id="rId399" Type="http://schemas.openxmlformats.org/officeDocument/2006/relationships/oleObject" Target="../embeddings/oleObject1953.bin"/><Relationship Id="rId564" Type="http://schemas.openxmlformats.org/officeDocument/2006/relationships/oleObject" Target="../embeddings/oleObject2118.bin"/><Relationship Id="rId259" Type="http://schemas.openxmlformats.org/officeDocument/2006/relationships/oleObject" Target="../embeddings/oleObject1813.bin"/><Relationship Id="rId424" Type="http://schemas.openxmlformats.org/officeDocument/2006/relationships/oleObject" Target="../embeddings/oleObject1978.bin"/><Relationship Id="rId466" Type="http://schemas.openxmlformats.org/officeDocument/2006/relationships/oleObject" Target="../embeddings/oleObject2020.bin"/><Relationship Id="rId631" Type="http://schemas.openxmlformats.org/officeDocument/2006/relationships/oleObject" Target="../embeddings/oleObject2184.bin"/><Relationship Id="rId23" Type="http://schemas.openxmlformats.org/officeDocument/2006/relationships/oleObject" Target="../embeddings/oleObject1611.bin"/><Relationship Id="rId119" Type="http://schemas.openxmlformats.org/officeDocument/2006/relationships/oleObject" Target="../embeddings/oleObject1694.bin"/><Relationship Id="rId270" Type="http://schemas.openxmlformats.org/officeDocument/2006/relationships/oleObject" Target="../embeddings/oleObject1824.bin"/><Relationship Id="rId326" Type="http://schemas.openxmlformats.org/officeDocument/2006/relationships/oleObject" Target="../embeddings/oleObject1880.bin"/><Relationship Id="rId533" Type="http://schemas.openxmlformats.org/officeDocument/2006/relationships/oleObject" Target="../embeddings/oleObject2087.bin"/><Relationship Id="rId65" Type="http://schemas.openxmlformats.org/officeDocument/2006/relationships/oleObject" Target="../embeddings/oleObject1653.bin"/><Relationship Id="rId130" Type="http://schemas.openxmlformats.org/officeDocument/2006/relationships/oleObject" Target="../embeddings/oleObject1702.bin"/><Relationship Id="rId368" Type="http://schemas.openxmlformats.org/officeDocument/2006/relationships/oleObject" Target="../embeddings/oleObject1922.bin"/><Relationship Id="rId575" Type="http://schemas.openxmlformats.org/officeDocument/2006/relationships/oleObject" Target="../embeddings/oleObject2129.bin"/><Relationship Id="rId172" Type="http://schemas.openxmlformats.org/officeDocument/2006/relationships/image" Target="../media/image50.emf"/><Relationship Id="rId228" Type="http://schemas.openxmlformats.org/officeDocument/2006/relationships/oleObject" Target="../embeddings/oleObject1782.bin"/><Relationship Id="rId435" Type="http://schemas.openxmlformats.org/officeDocument/2006/relationships/oleObject" Target="../embeddings/oleObject1989.bin"/><Relationship Id="rId477" Type="http://schemas.openxmlformats.org/officeDocument/2006/relationships/oleObject" Target="../embeddings/oleObject2031.bin"/><Relationship Id="rId600" Type="http://schemas.openxmlformats.org/officeDocument/2006/relationships/oleObject" Target="../embeddings/oleObject2154.bin"/><Relationship Id="rId281" Type="http://schemas.openxmlformats.org/officeDocument/2006/relationships/oleObject" Target="../embeddings/oleObject1835.bin"/><Relationship Id="rId337" Type="http://schemas.openxmlformats.org/officeDocument/2006/relationships/oleObject" Target="../embeddings/oleObject1891.bin"/><Relationship Id="rId502" Type="http://schemas.openxmlformats.org/officeDocument/2006/relationships/oleObject" Target="../embeddings/oleObject2056.bin"/><Relationship Id="rId34" Type="http://schemas.openxmlformats.org/officeDocument/2006/relationships/oleObject" Target="../embeddings/oleObject1622.bin"/><Relationship Id="rId76" Type="http://schemas.openxmlformats.org/officeDocument/2006/relationships/oleObject" Target="../embeddings/oleObject1664.bin"/><Relationship Id="rId141" Type="http://schemas.openxmlformats.org/officeDocument/2006/relationships/oleObject" Target="../embeddings/oleObject1708.bin"/><Relationship Id="rId379" Type="http://schemas.openxmlformats.org/officeDocument/2006/relationships/oleObject" Target="../embeddings/oleObject1933.bin"/><Relationship Id="rId544" Type="http://schemas.openxmlformats.org/officeDocument/2006/relationships/oleObject" Target="../embeddings/oleObject2098.bin"/><Relationship Id="rId586" Type="http://schemas.openxmlformats.org/officeDocument/2006/relationships/oleObject" Target="../embeddings/oleObject2140.bin"/><Relationship Id="rId7" Type="http://schemas.openxmlformats.org/officeDocument/2006/relationships/oleObject" Target="../embeddings/oleObject1603.bin"/><Relationship Id="rId183" Type="http://schemas.openxmlformats.org/officeDocument/2006/relationships/oleObject" Target="../embeddings/oleObject1737.bin"/><Relationship Id="rId239" Type="http://schemas.openxmlformats.org/officeDocument/2006/relationships/oleObject" Target="../embeddings/oleObject1793.bin"/><Relationship Id="rId390" Type="http://schemas.openxmlformats.org/officeDocument/2006/relationships/oleObject" Target="../embeddings/oleObject1944.bin"/><Relationship Id="rId404" Type="http://schemas.openxmlformats.org/officeDocument/2006/relationships/oleObject" Target="../embeddings/oleObject1958.bin"/><Relationship Id="rId446" Type="http://schemas.openxmlformats.org/officeDocument/2006/relationships/oleObject" Target="../embeddings/oleObject2000.bin"/><Relationship Id="rId611" Type="http://schemas.openxmlformats.org/officeDocument/2006/relationships/oleObject" Target="../embeddings/oleObject2164.bin"/><Relationship Id="rId250" Type="http://schemas.openxmlformats.org/officeDocument/2006/relationships/oleObject" Target="../embeddings/oleObject1804.bin"/><Relationship Id="rId292" Type="http://schemas.openxmlformats.org/officeDocument/2006/relationships/oleObject" Target="../embeddings/oleObject1846.bin"/><Relationship Id="rId306" Type="http://schemas.openxmlformats.org/officeDocument/2006/relationships/oleObject" Target="../embeddings/oleObject1860.bin"/><Relationship Id="rId488" Type="http://schemas.openxmlformats.org/officeDocument/2006/relationships/oleObject" Target="../embeddings/oleObject2042.bin"/><Relationship Id="rId45" Type="http://schemas.openxmlformats.org/officeDocument/2006/relationships/oleObject" Target="../embeddings/oleObject1633.bin"/><Relationship Id="rId87" Type="http://schemas.openxmlformats.org/officeDocument/2006/relationships/oleObject" Target="../embeddings/oleObject1675.bin"/><Relationship Id="rId110" Type="http://schemas.openxmlformats.org/officeDocument/2006/relationships/oleObject" Target="../embeddings/oleObject1688.bin"/><Relationship Id="rId348" Type="http://schemas.openxmlformats.org/officeDocument/2006/relationships/oleObject" Target="../embeddings/oleObject1902.bin"/><Relationship Id="rId513" Type="http://schemas.openxmlformats.org/officeDocument/2006/relationships/oleObject" Target="../embeddings/oleObject2067.bin"/><Relationship Id="rId555" Type="http://schemas.openxmlformats.org/officeDocument/2006/relationships/oleObject" Target="../embeddings/oleObject2109.bin"/><Relationship Id="rId597" Type="http://schemas.openxmlformats.org/officeDocument/2006/relationships/oleObject" Target="../embeddings/oleObject2151.bin"/><Relationship Id="rId152" Type="http://schemas.openxmlformats.org/officeDocument/2006/relationships/oleObject" Target="../embeddings/oleObject1715.bin"/><Relationship Id="rId194" Type="http://schemas.openxmlformats.org/officeDocument/2006/relationships/oleObject" Target="../embeddings/oleObject1748.bin"/><Relationship Id="rId208" Type="http://schemas.openxmlformats.org/officeDocument/2006/relationships/oleObject" Target="../embeddings/oleObject1762.bin"/><Relationship Id="rId415" Type="http://schemas.openxmlformats.org/officeDocument/2006/relationships/oleObject" Target="../embeddings/oleObject1969.bin"/><Relationship Id="rId457" Type="http://schemas.openxmlformats.org/officeDocument/2006/relationships/oleObject" Target="../embeddings/oleObject2011.bin"/><Relationship Id="rId622" Type="http://schemas.openxmlformats.org/officeDocument/2006/relationships/oleObject" Target="../embeddings/oleObject2175.bin"/><Relationship Id="rId261" Type="http://schemas.openxmlformats.org/officeDocument/2006/relationships/oleObject" Target="../embeddings/oleObject1815.bin"/><Relationship Id="rId499" Type="http://schemas.openxmlformats.org/officeDocument/2006/relationships/oleObject" Target="../embeddings/oleObject2053.bin"/><Relationship Id="rId14" Type="http://schemas.openxmlformats.org/officeDocument/2006/relationships/image" Target="../media/image10.emf"/><Relationship Id="rId56" Type="http://schemas.openxmlformats.org/officeDocument/2006/relationships/oleObject" Target="../embeddings/oleObject1644.bin"/><Relationship Id="rId317" Type="http://schemas.openxmlformats.org/officeDocument/2006/relationships/oleObject" Target="../embeddings/oleObject1871.bin"/><Relationship Id="rId359" Type="http://schemas.openxmlformats.org/officeDocument/2006/relationships/oleObject" Target="../embeddings/oleObject1913.bin"/><Relationship Id="rId524" Type="http://schemas.openxmlformats.org/officeDocument/2006/relationships/oleObject" Target="../embeddings/oleObject2078.bin"/><Relationship Id="rId566" Type="http://schemas.openxmlformats.org/officeDocument/2006/relationships/oleObject" Target="../embeddings/oleObject2120.bin"/><Relationship Id="rId98" Type="http://schemas.openxmlformats.org/officeDocument/2006/relationships/image" Target="../media/image25.emf"/><Relationship Id="rId121" Type="http://schemas.openxmlformats.org/officeDocument/2006/relationships/oleObject" Target="../embeddings/oleObject1695.bin"/><Relationship Id="rId163" Type="http://schemas.openxmlformats.org/officeDocument/2006/relationships/oleObject" Target="../embeddings/oleObject1723.bin"/><Relationship Id="rId219" Type="http://schemas.openxmlformats.org/officeDocument/2006/relationships/oleObject" Target="../embeddings/oleObject1773.bin"/><Relationship Id="rId370" Type="http://schemas.openxmlformats.org/officeDocument/2006/relationships/oleObject" Target="../embeddings/oleObject1924.bin"/><Relationship Id="rId426" Type="http://schemas.openxmlformats.org/officeDocument/2006/relationships/oleObject" Target="../embeddings/oleObject1980.bin"/><Relationship Id="rId633" Type="http://schemas.openxmlformats.org/officeDocument/2006/relationships/oleObject" Target="../embeddings/oleObject2186.bin"/><Relationship Id="rId230" Type="http://schemas.openxmlformats.org/officeDocument/2006/relationships/oleObject" Target="../embeddings/oleObject1784.bin"/><Relationship Id="rId468" Type="http://schemas.openxmlformats.org/officeDocument/2006/relationships/oleObject" Target="../embeddings/oleObject2022.bin"/><Relationship Id="rId25" Type="http://schemas.openxmlformats.org/officeDocument/2006/relationships/oleObject" Target="../embeddings/oleObject1613.bin"/><Relationship Id="rId67" Type="http://schemas.openxmlformats.org/officeDocument/2006/relationships/oleObject" Target="../embeddings/oleObject1655.bin"/><Relationship Id="rId272" Type="http://schemas.openxmlformats.org/officeDocument/2006/relationships/oleObject" Target="../embeddings/oleObject1826.bin"/><Relationship Id="rId328" Type="http://schemas.openxmlformats.org/officeDocument/2006/relationships/oleObject" Target="../embeddings/oleObject1882.bin"/><Relationship Id="rId535" Type="http://schemas.openxmlformats.org/officeDocument/2006/relationships/oleObject" Target="../embeddings/oleObject2089.bin"/><Relationship Id="rId577" Type="http://schemas.openxmlformats.org/officeDocument/2006/relationships/oleObject" Target="../embeddings/oleObject2131.bin"/><Relationship Id="rId132" Type="http://schemas.openxmlformats.org/officeDocument/2006/relationships/image" Target="../media/image37.emf"/><Relationship Id="rId174" Type="http://schemas.openxmlformats.org/officeDocument/2006/relationships/image" Target="../media/image51.emf"/><Relationship Id="rId381" Type="http://schemas.openxmlformats.org/officeDocument/2006/relationships/oleObject" Target="../embeddings/oleObject1935.bin"/><Relationship Id="rId602" Type="http://schemas.openxmlformats.org/officeDocument/2006/relationships/image" Target="../media/image55.emf"/><Relationship Id="rId241" Type="http://schemas.openxmlformats.org/officeDocument/2006/relationships/oleObject" Target="../embeddings/oleObject1795.bin"/><Relationship Id="rId437" Type="http://schemas.openxmlformats.org/officeDocument/2006/relationships/oleObject" Target="../embeddings/oleObject1991.bin"/><Relationship Id="rId479" Type="http://schemas.openxmlformats.org/officeDocument/2006/relationships/oleObject" Target="../embeddings/oleObject2033.bin"/><Relationship Id="rId36" Type="http://schemas.openxmlformats.org/officeDocument/2006/relationships/oleObject" Target="../embeddings/oleObject1624.bin"/><Relationship Id="rId283" Type="http://schemas.openxmlformats.org/officeDocument/2006/relationships/oleObject" Target="../embeddings/oleObject1837.bin"/><Relationship Id="rId339" Type="http://schemas.openxmlformats.org/officeDocument/2006/relationships/oleObject" Target="../embeddings/oleObject1893.bin"/><Relationship Id="rId490" Type="http://schemas.openxmlformats.org/officeDocument/2006/relationships/oleObject" Target="../embeddings/oleObject2044.bin"/><Relationship Id="rId504" Type="http://schemas.openxmlformats.org/officeDocument/2006/relationships/oleObject" Target="../embeddings/oleObject2058.bin"/><Relationship Id="rId546" Type="http://schemas.openxmlformats.org/officeDocument/2006/relationships/oleObject" Target="../embeddings/oleObject2100.bin"/><Relationship Id="rId78" Type="http://schemas.openxmlformats.org/officeDocument/2006/relationships/oleObject" Target="../embeddings/oleObject1666.bin"/><Relationship Id="rId101" Type="http://schemas.openxmlformats.org/officeDocument/2006/relationships/oleObject" Target="../embeddings/oleObject1683.bin"/><Relationship Id="rId143" Type="http://schemas.openxmlformats.org/officeDocument/2006/relationships/oleObject" Target="../embeddings/oleObject1709.bin"/><Relationship Id="rId185" Type="http://schemas.openxmlformats.org/officeDocument/2006/relationships/oleObject" Target="../embeddings/oleObject1739.bin"/><Relationship Id="rId350" Type="http://schemas.openxmlformats.org/officeDocument/2006/relationships/oleObject" Target="../embeddings/oleObject1904.bin"/><Relationship Id="rId406" Type="http://schemas.openxmlformats.org/officeDocument/2006/relationships/oleObject" Target="../embeddings/oleObject1960.bin"/><Relationship Id="rId588" Type="http://schemas.openxmlformats.org/officeDocument/2006/relationships/oleObject" Target="../embeddings/oleObject2142.bin"/><Relationship Id="rId9" Type="http://schemas.openxmlformats.org/officeDocument/2006/relationships/oleObject" Target="../embeddings/oleObject1604.bin"/><Relationship Id="rId210" Type="http://schemas.openxmlformats.org/officeDocument/2006/relationships/oleObject" Target="../embeddings/oleObject1764.bin"/><Relationship Id="rId392" Type="http://schemas.openxmlformats.org/officeDocument/2006/relationships/oleObject" Target="../embeddings/oleObject1946.bin"/><Relationship Id="rId448" Type="http://schemas.openxmlformats.org/officeDocument/2006/relationships/oleObject" Target="../embeddings/oleObject2002.bin"/><Relationship Id="rId613" Type="http://schemas.openxmlformats.org/officeDocument/2006/relationships/oleObject" Target="../embeddings/oleObject2166.bin"/><Relationship Id="rId252" Type="http://schemas.openxmlformats.org/officeDocument/2006/relationships/oleObject" Target="../embeddings/oleObject1806.bin"/><Relationship Id="rId294" Type="http://schemas.openxmlformats.org/officeDocument/2006/relationships/oleObject" Target="../embeddings/oleObject1848.bin"/><Relationship Id="rId308" Type="http://schemas.openxmlformats.org/officeDocument/2006/relationships/oleObject" Target="../embeddings/oleObject1862.bin"/><Relationship Id="rId515" Type="http://schemas.openxmlformats.org/officeDocument/2006/relationships/oleObject" Target="../embeddings/oleObject2069.bin"/><Relationship Id="rId47" Type="http://schemas.openxmlformats.org/officeDocument/2006/relationships/oleObject" Target="../embeddings/oleObject1635.bin"/><Relationship Id="rId89" Type="http://schemas.openxmlformats.org/officeDocument/2006/relationships/oleObject" Target="../embeddings/oleObject1677.bin"/><Relationship Id="rId112" Type="http://schemas.openxmlformats.org/officeDocument/2006/relationships/oleObject" Target="../embeddings/oleObject1690.bin"/><Relationship Id="rId154" Type="http://schemas.openxmlformats.org/officeDocument/2006/relationships/oleObject" Target="../embeddings/oleObject1717.bin"/><Relationship Id="rId361" Type="http://schemas.openxmlformats.org/officeDocument/2006/relationships/oleObject" Target="../embeddings/oleObject1915.bin"/><Relationship Id="rId557" Type="http://schemas.openxmlformats.org/officeDocument/2006/relationships/oleObject" Target="../embeddings/oleObject2111.bin"/><Relationship Id="rId599" Type="http://schemas.openxmlformats.org/officeDocument/2006/relationships/oleObject" Target="../embeddings/oleObject2153.bin"/><Relationship Id="rId196" Type="http://schemas.openxmlformats.org/officeDocument/2006/relationships/oleObject" Target="../embeddings/oleObject1750.bin"/><Relationship Id="rId417" Type="http://schemas.openxmlformats.org/officeDocument/2006/relationships/oleObject" Target="../embeddings/oleObject1971.bin"/><Relationship Id="rId459" Type="http://schemas.openxmlformats.org/officeDocument/2006/relationships/oleObject" Target="../embeddings/oleObject2013.bin"/><Relationship Id="rId624" Type="http://schemas.openxmlformats.org/officeDocument/2006/relationships/oleObject" Target="../embeddings/oleObject2177.bin"/><Relationship Id="rId16" Type="http://schemas.openxmlformats.org/officeDocument/2006/relationships/image" Target="../media/image11.emf"/><Relationship Id="rId221" Type="http://schemas.openxmlformats.org/officeDocument/2006/relationships/oleObject" Target="../embeddings/oleObject1775.bin"/><Relationship Id="rId263" Type="http://schemas.openxmlformats.org/officeDocument/2006/relationships/oleObject" Target="../embeddings/oleObject1817.bin"/><Relationship Id="rId319" Type="http://schemas.openxmlformats.org/officeDocument/2006/relationships/oleObject" Target="../embeddings/oleObject1873.bin"/><Relationship Id="rId470" Type="http://schemas.openxmlformats.org/officeDocument/2006/relationships/oleObject" Target="../embeddings/oleObject2024.bin"/><Relationship Id="rId526" Type="http://schemas.openxmlformats.org/officeDocument/2006/relationships/oleObject" Target="../embeddings/oleObject2080.bin"/><Relationship Id="rId58" Type="http://schemas.openxmlformats.org/officeDocument/2006/relationships/oleObject" Target="../embeddings/oleObject1646.bin"/><Relationship Id="rId123" Type="http://schemas.openxmlformats.org/officeDocument/2006/relationships/oleObject" Target="../embeddings/oleObject1696.bin"/><Relationship Id="rId330" Type="http://schemas.openxmlformats.org/officeDocument/2006/relationships/oleObject" Target="../embeddings/oleObject1884.bin"/><Relationship Id="rId568" Type="http://schemas.openxmlformats.org/officeDocument/2006/relationships/oleObject" Target="../embeddings/oleObject2122.bin"/><Relationship Id="rId165" Type="http://schemas.openxmlformats.org/officeDocument/2006/relationships/oleObject" Target="../embeddings/oleObject1725.bin"/><Relationship Id="rId372" Type="http://schemas.openxmlformats.org/officeDocument/2006/relationships/oleObject" Target="../embeddings/oleObject1926.bin"/><Relationship Id="rId428" Type="http://schemas.openxmlformats.org/officeDocument/2006/relationships/oleObject" Target="../embeddings/oleObject1982.bin"/><Relationship Id="rId635" Type="http://schemas.openxmlformats.org/officeDocument/2006/relationships/oleObject" Target="../embeddings/oleObject2188.bin"/><Relationship Id="rId232" Type="http://schemas.openxmlformats.org/officeDocument/2006/relationships/oleObject" Target="../embeddings/oleObject1786.bin"/><Relationship Id="rId274" Type="http://schemas.openxmlformats.org/officeDocument/2006/relationships/oleObject" Target="../embeddings/oleObject1828.bin"/><Relationship Id="rId481" Type="http://schemas.openxmlformats.org/officeDocument/2006/relationships/oleObject" Target="../embeddings/oleObject2035.bin"/><Relationship Id="rId27" Type="http://schemas.openxmlformats.org/officeDocument/2006/relationships/oleObject" Target="../embeddings/oleObject1615.bin"/><Relationship Id="rId69" Type="http://schemas.openxmlformats.org/officeDocument/2006/relationships/oleObject" Target="../embeddings/oleObject1657.bin"/><Relationship Id="rId134" Type="http://schemas.openxmlformats.org/officeDocument/2006/relationships/image" Target="../media/image38.emf"/><Relationship Id="rId537" Type="http://schemas.openxmlformats.org/officeDocument/2006/relationships/oleObject" Target="../embeddings/oleObject2091.bin"/><Relationship Id="rId579" Type="http://schemas.openxmlformats.org/officeDocument/2006/relationships/oleObject" Target="../embeddings/oleObject2133.bin"/><Relationship Id="rId80" Type="http://schemas.openxmlformats.org/officeDocument/2006/relationships/oleObject" Target="../embeddings/oleObject1668.bin"/><Relationship Id="rId176" Type="http://schemas.openxmlformats.org/officeDocument/2006/relationships/image" Target="../media/image52.emf"/><Relationship Id="rId341" Type="http://schemas.openxmlformats.org/officeDocument/2006/relationships/oleObject" Target="../embeddings/oleObject1895.bin"/><Relationship Id="rId383" Type="http://schemas.openxmlformats.org/officeDocument/2006/relationships/oleObject" Target="../embeddings/oleObject1937.bin"/><Relationship Id="rId439" Type="http://schemas.openxmlformats.org/officeDocument/2006/relationships/oleObject" Target="../embeddings/oleObject1993.bin"/><Relationship Id="rId590" Type="http://schemas.openxmlformats.org/officeDocument/2006/relationships/oleObject" Target="../embeddings/oleObject2144.bin"/><Relationship Id="rId604" Type="http://schemas.openxmlformats.org/officeDocument/2006/relationships/oleObject" Target="../embeddings/oleObject2157.bin"/><Relationship Id="rId201" Type="http://schemas.openxmlformats.org/officeDocument/2006/relationships/oleObject" Target="../embeddings/oleObject1755.bin"/><Relationship Id="rId243" Type="http://schemas.openxmlformats.org/officeDocument/2006/relationships/oleObject" Target="../embeddings/oleObject1797.bin"/><Relationship Id="rId285" Type="http://schemas.openxmlformats.org/officeDocument/2006/relationships/oleObject" Target="../embeddings/oleObject1839.bin"/><Relationship Id="rId450" Type="http://schemas.openxmlformats.org/officeDocument/2006/relationships/oleObject" Target="../embeddings/oleObject2004.bin"/><Relationship Id="rId506" Type="http://schemas.openxmlformats.org/officeDocument/2006/relationships/oleObject" Target="../embeddings/oleObject2060.bin"/><Relationship Id="rId38" Type="http://schemas.openxmlformats.org/officeDocument/2006/relationships/oleObject" Target="../embeddings/oleObject1626.bin"/><Relationship Id="rId103" Type="http://schemas.openxmlformats.org/officeDocument/2006/relationships/oleObject" Target="../embeddings/oleObject1684.bin"/><Relationship Id="rId310" Type="http://schemas.openxmlformats.org/officeDocument/2006/relationships/oleObject" Target="../embeddings/oleObject1864.bin"/><Relationship Id="rId492" Type="http://schemas.openxmlformats.org/officeDocument/2006/relationships/oleObject" Target="../embeddings/oleObject2046.bin"/><Relationship Id="rId548" Type="http://schemas.openxmlformats.org/officeDocument/2006/relationships/oleObject" Target="../embeddings/oleObject2102.bin"/><Relationship Id="rId70" Type="http://schemas.openxmlformats.org/officeDocument/2006/relationships/oleObject" Target="../embeddings/oleObject1658.bin"/><Relationship Id="rId91" Type="http://schemas.openxmlformats.org/officeDocument/2006/relationships/oleObject" Target="../embeddings/oleObject1678.bin"/><Relationship Id="rId145" Type="http://schemas.openxmlformats.org/officeDocument/2006/relationships/oleObject" Target="../embeddings/oleObject1710.bin"/><Relationship Id="rId166" Type="http://schemas.openxmlformats.org/officeDocument/2006/relationships/oleObject" Target="../embeddings/oleObject1726.bin"/><Relationship Id="rId187" Type="http://schemas.openxmlformats.org/officeDocument/2006/relationships/oleObject" Target="../embeddings/oleObject1741.bin"/><Relationship Id="rId331" Type="http://schemas.openxmlformats.org/officeDocument/2006/relationships/oleObject" Target="../embeddings/oleObject1885.bin"/><Relationship Id="rId352" Type="http://schemas.openxmlformats.org/officeDocument/2006/relationships/oleObject" Target="../embeddings/oleObject1906.bin"/><Relationship Id="rId373" Type="http://schemas.openxmlformats.org/officeDocument/2006/relationships/oleObject" Target="../embeddings/oleObject1927.bin"/><Relationship Id="rId394" Type="http://schemas.openxmlformats.org/officeDocument/2006/relationships/oleObject" Target="../embeddings/oleObject1948.bin"/><Relationship Id="rId408" Type="http://schemas.openxmlformats.org/officeDocument/2006/relationships/oleObject" Target="../embeddings/oleObject1962.bin"/><Relationship Id="rId429" Type="http://schemas.openxmlformats.org/officeDocument/2006/relationships/oleObject" Target="../embeddings/oleObject1983.bin"/><Relationship Id="rId580" Type="http://schemas.openxmlformats.org/officeDocument/2006/relationships/oleObject" Target="../embeddings/oleObject2134.bin"/><Relationship Id="rId615" Type="http://schemas.openxmlformats.org/officeDocument/2006/relationships/oleObject" Target="../embeddings/oleObject2168.bin"/><Relationship Id="rId636" Type="http://schemas.openxmlformats.org/officeDocument/2006/relationships/oleObject" Target="../embeddings/oleObject2189.bin"/><Relationship Id="rId1" Type="http://schemas.openxmlformats.org/officeDocument/2006/relationships/drawing" Target="../drawings/drawing15.xml"/><Relationship Id="rId212" Type="http://schemas.openxmlformats.org/officeDocument/2006/relationships/oleObject" Target="../embeddings/oleObject1766.bin"/><Relationship Id="rId233" Type="http://schemas.openxmlformats.org/officeDocument/2006/relationships/oleObject" Target="../embeddings/oleObject1787.bin"/><Relationship Id="rId254" Type="http://schemas.openxmlformats.org/officeDocument/2006/relationships/oleObject" Target="../embeddings/oleObject1808.bin"/><Relationship Id="rId440" Type="http://schemas.openxmlformats.org/officeDocument/2006/relationships/oleObject" Target="../embeddings/oleObject1994.bin"/><Relationship Id="rId28" Type="http://schemas.openxmlformats.org/officeDocument/2006/relationships/oleObject" Target="../embeddings/oleObject1616.bin"/><Relationship Id="rId49" Type="http://schemas.openxmlformats.org/officeDocument/2006/relationships/oleObject" Target="../embeddings/oleObject1637.bin"/><Relationship Id="rId114" Type="http://schemas.openxmlformats.org/officeDocument/2006/relationships/image" Target="../media/image31.emf"/><Relationship Id="rId275" Type="http://schemas.openxmlformats.org/officeDocument/2006/relationships/oleObject" Target="../embeddings/oleObject1829.bin"/><Relationship Id="rId296" Type="http://schemas.openxmlformats.org/officeDocument/2006/relationships/oleObject" Target="../embeddings/oleObject1850.bin"/><Relationship Id="rId300" Type="http://schemas.openxmlformats.org/officeDocument/2006/relationships/oleObject" Target="../embeddings/oleObject1854.bin"/><Relationship Id="rId461" Type="http://schemas.openxmlformats.org/officeDocument/2006/relationships/oleObject" Target="../embeddings/oleObject2015.bin"/><Relationship Id="rId482" Type="http://schemas.openxmlformats.org/officeDocument/2006/relationships/oleObject" Target="../embeddings/oleObject2036.bin"/><Relationship Id="rId517" Type="http://schemas.openxmlformats.org/officeDocument/2006/relationships/oleObject" Target="../embeddings/oleObject2071.bin"/><Relationship Id="rId538" Type="http://schemas.openxmlformats.org/officeDocument/2006/relationships/oleObject" Target="../embeddings/oleObject2092.bin"/><Relationship Id="rId559" Type="http://schemas.openxmlformats.org/officeDocument/2006/relationships/oleObject" Target="../embeddings/oleObject2113.bin"/><Relationship Id="rId60" Type="http://schemas.openxmlformats.org/officeDocument/2006/relationships/oleObject" Target="../embeddings/oleObject1648.bin"/><Relationship Id="rId81" Type="http://schemas.openxmlformats.org/officeDocument/2006/relationships/oleObject" Target="../embeddings/oleObject1669.bin"/><Relationship Id="rId135" Type="http://schemas.openxmlformats.org/officeDocument/2006/relationships/oleObject" Target="../embeddings/oleObject1705.bin"/><Relationship Id="rId156" Type="http://schemas.openxmlformats.org/officeDocument/2006/relationships/image" Target="../media/image46.emf"/><Relationship Id="rId177" Type="http://schemas.openxmlformats.org/officeDocument/2006/relationships/oleObject" Target="../embeddings/oleObject1733.bin"/><Relationship Id="rId198" Type="http://schemas.openxmlformats.org/officeDocument/2006/relationships/oleObject" Target="../embeddings/oleObject1752.bin"/><Relationship Id="rId321" Type="http://schemas.openxmlformats.org/officeDocument/2006/relationships/oleObject" Target="../embeddings/oleObject1875.bin"/><Relationship Id="rId342" Type="http://schemas.openxmlformats.org/officeDocument/2006/relationships/oleObject" Target="../embeddings/oleObject1896.bin"/><Relationship Id="rId363" Type="http://schemas.openxmlformats.org/officeDocument/2006/relationships/oleObject" Target="../embeddings/oleObject1917.bin"/><Relationship Id="rId384" Type="http://schemas.openxmlformats.org/officeDocument/2006/relationships/oleObject" Target="../embeddings/oleObject1938.bin"/><Relationship Id="rId419" Type="http://schemas.openxmlformats.org/officeDocument/2006/relationships/oleObject" Target="../embeddings/oleObject1973.bin"/><Relationship Id="rId570" Type="http://schemas.openxmlformats.org/officeDocument/2006/relationships/oleObject" Target="../embeddings/oleObject2124.bin"/><Relationship Id="rId591" Type="http://schemas.openxmlformats.org/officeDocument/2006/relationships/oleObject" Target="../embeddings/oleObject2145.bin"/><Relationship Id="rId605" Type="http://schemas.openxmlformats.org/officeDocument/2006/relationships/oleObject" Target="../embeddings/oleObject2158.bin"/><Relationship Id="rId626" Type="http://schemas.openxmlformats.org/officeDocument/2006/relationships/oleObject" Target="../embeddings/oleObject2179.bin"/><Relationship Id="rId202" Type="http://schemas.openxmlformats.org/officeDocument/2006/relationships/oleObject" Target="../embeddings/oleObject1756.bin"/><Relationship Id="rId223" Type="http://schemas.openxmlformats.org/officeDocument/2006/relationships/oleObject" Target="../embeddings/oleObject1777.bin"/><Relationship Id="rId244" Type="http://schemas.openxmlformats.org/officeDocument/2006/relationships/oleObject" Target="../embeddings/oleObject1798.bin"/><Relationship Id="rId430" Type="http://schemas.openxmlformats.org/officeDocument/2006/relationships/oleObject" Target="../embeddings/oleObject1984.bin"/><Relationship Id="rId18" Type="http://schemas.openxmlformats.org/officeDocument/2006/relationships/image" Target="../media/image12.emf"/><Relationship Id="rId39" Type="http://schemas.openxmlformats.org/officeDocument/2006/relationships/oleObject" Target="../embeddings/oleObject1627.bin"/><Relationship Id="rId265" Type="http://schemas.openxmlformats.org/officeDocument/2006/relationships/oleObject" Target="../embeddings/oleObject1819.bin"/><Relationship Id="rId286" Type="http://schemas.openxmlformats.org/officeDocument/2006/relationships/oleObject" Target="../embeddings/oleObject1840.bin"/><Relationship Id="rId451" Type="http://schemas.openxmlformats.org/officeDocument/2006/relationships/oleObject" Target="../embeddings/oleObject2005.bin"/><Relationship Id="rId472" Type="http://schemas.openxmlformats.org/officeDocument/2006/relationships/oleObject" Target="../embeddings/oleObject2026.bin"/><Relationship Id="rId493" Type="http://schemas.openxmlformats.org/officeDocument/2006/relationships/oleObject" Target="../embeddings/oleObject2047.bin"/><Relationship Id="rId507" Type="http://schemas.openxmlformats.org/officeDocument/2006/relationships/oleObject" Target="../embeddings/oleObject2061.bin"/><Relationship Id="rId528" Type="http://schemas.openxmlformats.org/officeDocument/2006/relationships/oleObject" Target="../embeddings/oleObject2082.bin"/><Relationship Id="rId549" Type="http://schemas.openxmlformats.org/officeDocument/2006/relationships/oleObject" Target="../embeddings/oleObject2103.bin"/><Relationship Id="rId50" Type="http://schemas.openxmlformats.org/officeDocument/2006/relationships/oleObject" Target="../embeddings/oleObject1638.bin"/><Relationship Id="rId104" Type="http://schemas.openxmlformats.org/officeDocument/2006/relationships/image" Target="../media/image28.emf"/><Relationship Id="rId125" Type="http://schemas.openxmlformats.org/officeDocument/2006/relationships/oleObject" Target="../embeddings/oleObject1697.bin"/><Relationship Id="rId146" Type="http://schemas.openxmlformats.org/officeDocument/2006/relationships/image" Target="../media/image44.emf"/><Relationship Id="rId167" Type="http://schemas.openxmlformats.org/officeDocument/2006/relationships/oleObject" Target="../embeddings/oleObject1727.bin"/><Relationship Id="rId188" Type="http://schemas.openxmlformats.org/officeDocument/2006/relationships/oleObject" Target="../embeddings/oleObject1742.bin"/><Relationship Id="rId311" Type="http://schemas.openxmlformats.org/officeDocument/2006/relationships/oleObject" Target="../embeddings/oleObject1865.bin"/><Relationship Id="rId332" Type="http://schemas.openxmlformats.org/officeDocument/2006/relationships/oleObject" Target="../embeddings/oleObject1886.bin"/><Relationship Id="rId353" Type="http://schemas.openxmlformats.org/officeDocument/2006/relationships/oleObject" Target="../embeddings/oleObject1907.bin"/><Relationship Id="rId374" Type="http://schemas.openxmlformats.org/officeDocument/2006/relationships/oleObject" Target="../embeddings/oleObject1928.bin"/><Relationship Id="rId395" Type="http://schemas.openxmlformats.org/officeDocument/2006/relationships/oleObject" Target="../embeddings/oleObject1949.bin"/><Relationship Id="rId409" Type="http://schemas.openxmlformats.org/officeDocument/2006/relationships/oleObject" Target="../embeddings/oleObject1963.bin"/><Relationship Id="rId560" Type="http://schemas.openxmlformats.org/officeDocument/2006/relationships/oleObject" Target="../embeddings/oleObject2114.bin"/><Relationship Id="rId581" Type="http://schemas.openxmlformats.org/officeDocument/2006/relationships/oleObject" Target="../embeddings/oleObject2135.bin"/><Relationship Id="rId71" Type="http://schemas.openxmlformats.org/officeDocument/2006/relationships/oleObject" Target="../embeddings/oleObject1659.bin"/><Relationship Id="rId92" Type="http://schemas.openxmlformats.org/officeDocument/2006/relationships/image" Target="../media/image22.emf"/><Relationship Id="rId213" Type="http://schemas.openxmlformats.org/officeDocument/2006/relationships/oleObject" Target="../embeddings/oleObject1767.bin"/><Relationship Id="rId234" Type="http://schemas.openxmlformats.org/officeDocument/2006/relationships/oleObject" Target="../embeddings/oleObject1788.bin"/><Relationship Id="rId420" Type="http://schemas.openxmlformats.org/officeDocument/2006/relationships/oleObject" Target="../embeddings/oleObject1974.bin"/><Relationship Id="rId616" Type="http://schemas.openxmlformats.org/officeDocument/2006/relationships/oleObject" Target="../embeddings/oleObject2169.bin"/><Relationship Id="rId637" Type="http://schemas.openxmlformats.org/officeDocument/2006/relationships/oleObject" Target="../embeddings/oleObject2190.bin"/><Relationship Id="rId2" Type="http://schemas.openxmlformats.org/officeDocument/2006/relationships/vmlDrawing" Target="../drawings/vmlDrawing5.vml"/><Relationship Id="rId29" Type="http://schemas.openxmlformats.org/officeDocument/2006/relationships/oleObject" Target="../embeddings/oleObject1617.bin"/><Relationship Id="rId255" Type="http://schemas.openxmlformats.org/officeDocument/2006/relationships/oleObject" Target="../embeddings/oleObject1809.bin"/><Relationship Id="rId276" Type="http://schemas.openxmlformats.org/officeDocument/2006/relationships/oleObject" Target="../embeddings/oleObject1830.bin"/><Relationship Id="rId297" Type="http://schemas.openxmlformats.org/officeDocument/2006/relationships/oleObject" Target="../embeddings/oleObject1851.bin"/><Relationship Id="rId441" Type="http://schemas.openxmlformats.org/officeDocument/2006/relationships/oleObject" Target="../embeddings/oleObject1995.bin"/><Relationship Id="rId462" Type="http://schemas.openxmlformats.org/officeDocument/2006/relationships/oleObject" Target="../embeddings/oleObject2016.bin"/><Relationship Id="rId483" Type="http://schemas.openxmlformats.org/officeDocument/2006/relationships/oleObject" Target="../embeddings/oleObject2037.bin"/><Relationship Id="rId518" Type="http://schemas.openxmlformats.org/officeDocument/2006/relationships/oleObject" Target="../embeddings/oleObject2072.bin"/><Relationship Id="rId539" Type="http://schemas.openxmlformats.org/officeDocument/2006/relationships/oleObject" Target="../embeddings/oleObject2093.bin"/><Relationship Id="rId40" Type="http://schemas.openxmlformats.org/officeDocument/2006/relationships/oleObject" Target="../embeddings/oleObject1628.bin"/><Relationship Id="rId115" Type="http://schemas.openxmlformats.org/officeDocument/2006/relationships/oleObject" Target="../embeddings/oleObject1692.bin"/><Relationship Id="rId136" Type="http://schemas.openxmlformats.org/officeDocument/2006/relationships/image" Target="../media/image39.emf"/><Relationship Id="rId157" Type="http://schemas.openxmlformats.org/officeDocument/2006/relationships/oleObject" Target="../embeddings/oleObject1719.bin"/><Relationship Id="rId178" Type="http://schemas.openxmlformats.org/officeDocument/2006/relationships/image" Target="../media/image53.emf"/><Relationship Id="rId301" Type="http://schemas.openxmlformats.org/officeDocument/2006/relationships/oleObject" Target="../embeddings/oleObject1855.bin"/><Relationship Id="rId322" Type="http://schemas.openxmlformats.org/officeDocument/2006/relationships/oleObject" Target="../embeddings/oleObject1876.bin"/><Relationship Id="rId343" Type="http://schemas.openxmlformats.org/officeDocument/2006/relationships/oleObject" Target="../embeddings/oleObject1897.bin"/><Relationship Id="rId364" Type="http://schemas.openxmlformats.org/officeDocument/2006/relationships/oleObject" Target="../embeddings/oleObject1918.bin"/><Relationship Id="rId550" Type="http://schemas.openxmlformats.org/officeDocument/2006/relationships/oleObject" Target="../embeddings/oleObject2104.bin"/><Relationship Id="rId61" Type="http://schemas.openxmlformats.org/officeDocument/2006/relationships/oleObject" Target="../embeddings/oleObject1649.bin"/><Relationship Id="rId82" Type="http://schemas.openxmlformats.org/officeDocument/2006/relationships/oleObject" Target="../embeddings/oleObject1670.bin"/><Relationship Id="rId199" Type="http://schemas.openxmlformats.org/officeDocument/2006/relationships/oleObject" Target="../embeddings/oleObject1753.bin"/><Relationship Id="rId203" Type="http://schemas.openxmlformats.org/officeDocument/2006/relationships/oleObject" Target="../embeddings/oleObject1757.bin"/><Relationship Id="rId385" Type="http://schemas.openxmlformats.org/officeDocument/2006/relationships/oleObject" Target="../embeddings/oleObject1939.bin"/><Relationship Id="rId571" Type="http://schemas.openxmlformats.org/officeDocument/2006/relationships/oleObject" Target="../embeddings/oleObject2125.bin"/><Relationship Id="rId592" Type="http://schemas.openxmlformats.org/officeDocument/2006/relationships/oleObject" Target="../embeddings/oleObject2146.bin"/><Relationship Id="rId606" Type="http://schemas.openxmlformats.org/officeDocument/2006/relationships/oleObject" Target="../embeddings/oleObject2159.bin"/><Relationship Id="rId627" Type="http://schemas.openxmlformats.org/officeDocument/2006/relationships/oleObject" Target="../embeddings/oleObject2180.bin"/><Relationship Id="rId19" Type="http://schemas.openxmlformats.org/officeDocument/2006/relationships/oleObject" Target="../embeddings/oleObject1609.bin"/><Relationship Id="rId224" Type="http://schemas.openxmlformats.org/officeDocument/2006/relationships/oleObject" Target="../embeddings/oleObject1778.bin"/><Relationship Id="rId245" Type="http://schemas.openxmlformats.org/officeDocument/2006/relationships/oleObject" Target="../embeddings/oleObject1799.bin"/><Relationship Id="rId266" Type="http://schemas.openxmlformats.org/officeDocument/2006/relationships/oleObject" Target="../embeddings/oleObject1820.bin"/><Relationship Id="rId287" Type="http://schemas.openxmlformats.org/officeDocument/2006/relationships/oleObject" Target="../embeddings/oleObject1841.bin"/><Relationship Id="rId410" Type="http://schemas.openxmlformats.org/officeDocument/2006/relationships/oleObject" Target="../embeddings/oleObject1964.bin"/><Relationship Id="rId431" Type="http://schemas.openxmlformats.org/officeDocument/2006/relationships/oleObject" Target="../embeddings/oleObject1985.bin"/><Relationship Id="rId452" Type="http://schemas.openxmlformats.org/officeDocument/2006/relationships/oleObject" Target="../embeddings/oleObject2006.bin"/><Relationship Id="rId473" Type="http://schemas.openxmlformats.org/officeDocument/2006/relationships/oleObject" Target="../embeddings/oleObject2027.bin"/><Relationship Id="rId494" Type="http://schemas.openxmlformats.org/officeDocument/2006/relationships/oleObject" Target="../embeddings/oleObject2048.bin"/><Relationship Id="rId508" Type="http://schemas.openxmlformats.org/officeDocument/2006/relationships/oleObject" Target="../embeddings/oleObject2062.bin"/><Relationship Id="rId529" Type="http://schemas.openxmlformats.org/officeDocument/2006/relationships/oleObject" Target="../embeddings/oleObject2083.bin"/><Relationship Id="rId30" Type="http://schemas.openxmlformats.org/officeDocument/2006/relationships/oleObject" Target="../embeddings/oleObject1618.bin"/><Relationship Id="rId105" Type="http://schemas.openxmlformats.org/officeDocument/2006/relationships/oleObject" Target="../embeddings/oleObject1685.bin"/><Relationship Id="rId126" Type="http://schemas.openxmlformats.org/officeDocument/2006/relationships/oleObject" Target="../embeddings/oleObject1698.bin"/><Relationship Id="rId147" Type="http://schemas.openxmlformats.org/officeDocument/2006/relationships/oleObject" Target="../embeddings/oleObject1711.bin"/><Relationship Id="rId168" Type="http://schemas.openxmlformats.org/officeDocument/2006/relationships/oleObject" Target="../embeddings/oleObject1728.bin"/><Relationship Id="rId312" Type="http://schemas.openxmlformats.org/officeDocument/2006/relationships/oleObject" Target="../embeddings/oleObject1866.bin"/><Relationship Id="rId333" Type="http://schemas.openxmlformats.org/officeDocument/2006/relationships/oleObject" Target="../embeddings/oleObject1887.bin"/><Relationship Id="rId354" Type="http://schemas.openxmlformats.org/officeDocument/2006/relationships/oleObject" Target="../embeddings/oleObject1908.bin"/><Relationship Id="rId540" Type="http://schemas.openxmlformats.org/officeDocument/2006/relationships/oleObject" Target="../embeddings/oleObject2094.bin"/><Relationship Id="rId51" Type="http://schemas.openxmlformats.org/officeDocument/2006/relationships/oleObject" Target="../embeddings/oleObject1639.bin"/><Relationship Id="rId72" Type="http://schemas.openxmlformats.org/officeDocument/2006/relationships/oleObject" Target="../embeddings/oleObject1660.bin"/><Relationship Id="rId93" Type="http://schemas.openxmlformats.org/officeDocument/2006/relationships/oleObject" Target="../embeddings/oleObject1679.bin"/><Relationship Id="rId189" Type="http://schemas.openxmlformats.org/officeDocument/2006/relationships/oleObject" Target="../embeddings/oleObject1743.bin"/><Relationship Id="rId375" Type="http://schemas.openxmlformats.org/officeDocument/2006/relationships/oleObject" Target="../embeddings/oleObject1929.bin"/><Relationship Id="rId396" Type="http://schemas.openxmlformats.org/officeDocument/2006/relationships/oleObject" Target="../embeddings/oleObject1950.bin"/><Relationship Id="rId561" Type="http://schemas.openxmlformats.org/officeDocument/2006/relationships/oleObject" Target="../embeddings/oleObject2115.bin"/><Relationship Id="rId582" Type="http://schemas.openxmlformats.org/officeDocument/2006/relationships/oleObject" Target="../embeddings/oleObject2136.bin"/><Relationship Id="rId617" Type="http://schemas.openxmlformats.org/officeDocument/2006/relationships/oleObject" Target="../embeddings/oleObject2170.bin"/><Relationship Id="rId3" Type="http://schemas.openxmlformats.org/officeDocument/2006/relationships/oleObject" Target="../embeddings/oleObject1601.bin"/><Relationship Id="rId214" Type="http://schemas.openxmlformats.org/officeDocument/2006/relationships/oleObject" Target="../embeddings/oleObject1768.bin"/><Relationship Id="rId235" Type="http://schemas.openxmlformats.org/officeDocument/2006/relationships/oleObject" Target="../embeddings/oleObject1789.bin"/><Relationship Id="rId256" Type="http://schemas.openxmlformats.org/officeDocument/2006/relationships/oleObject" Target="../embeddings/oleObject1810.bin"/><Relationship Id="rId277" Type="http://schemas.openxmlformats.org/officeDocument/2006/relationships/oleObject" Target="../embeddings/oleObject1831.bin"/><Relationship Id="rId298" Type="http://schemas.openxmlformats.org/officeDocument/2006/relationships/oleObject" Target="../embeddings/oleObject1852.bin"/><Relationship Id="rId400" Type="http://schemas.openxmlformats.org/officeDocument/2006/relationships/oleObject" Target="../embeddings/oleObject1954.bin"/><Relationship Id="rId421" Type="http://schemas.openxmlformats.org/officeDocument/2006/relationships/oleObject" Target="../embeddings/oleObject1975.bin"/><Relationship Id="rId442" Type="http://schemas.openxmlformats.org/officeDocument/2006/relationships/oleObject" Target="../embeddings/oleObject1996.bin"/><Relationship Id="rId463" Type="http://schemas.openxmlformats.org/officeDocument/2006/relationships/oleObject" Target="../embeddings/oleObject2017.bin"/><Relationship Id="rId484" Type="http://schemas.openxmlformats.org/officeDocument/2006/relationships/oleObject" Target="../embeddings/oleObject2038.bin"/><Relationship Id="rId519" Type="http://schemas.openxmlformats.org/officeDocument/2006/relationships/oleObject" Target="../embeddings/oleObject2073.bin"/><Relationship Id="rId116" Type="http://schemas.openxmlformats.org/officeDocument/2006/relationships/image" Target="../media/image32.emf"/><Relationship Id="rId137" Type="http://schemas.openxmlformats.org/officeDocument/2006/relationships/oleObject" Target="../embeddings/oleObject1706.bin"/><Relationship Id="rId158" Type="http://schemas.openxmlformats.org/officeDocument/2006/relationships/image" Target="../media/image47.emf"/><Relationship Id="rId302" Type="http://schemas.openxmlformats.org/officeDocument/2006/relationships/oleObject" Target="../embeddings/oleObject1856.bin"/><Relationship Id="rId323" Type="http://schemas.openxmlformats.org/officeDocument/2006/relationships/oleObject" Target="../embeddings/oleObject1877.bin"/><Relationship Id="rId344" Type="http://schemas.openxmlformats.org/officeDocument/2006/relationships/oleObject" Target="../embeddings/oleObject1898.bin"/><Relationship Id="rId530" Type="http://schemas.openxmlformats.org/officeDocument/2006/relationships/oleObject" Target="../embeddings/oleObject2084.bin"/><Relationship Id="rId20" Type="http://schemas.openxmlformats.org/officeDocument/2006/relationships/image" Target="../media/image13.emf"/><Relationship Id="rId41" Type="http://schemas.openxmlformats.org/officeDocument/2006/relationships/oleObject" Target="../embeddings/oleObject1629.bin"/><Relationship Id="rId62" Type="http://schemas.openxmlformats.org/officeDocument/2006/relationships/oleObject" Target="../embeddings/oleObject1650.bin"/><Relationship Id="rId83" Type="http://schemas.openxmlformats.org/officeDocument/2006/relationships/oleObject" Target="../embeddings/oleObject1671.bin"/><Relationship Id="rId179" Type="http://schemas.openxmlformats.org/officeDocument/2006/relationships/oleObject" Target="../embeddings/oleObject1734.bin"/><Relationship Id="rId365" Type="http://schemas.openxmlformats.org/officeDocument/2006/relationships/oleObject" Target="../embeddings/oleObject1919.bin"/><Relationship Id="rId386" Type="http://schemas.openxmlformats.org/officeDocument/2006/relationships/oleObject" Target="../embeddings/oleObject1940.bin"/><Relationship Id="rId551" Type="http://schemas.openxmlformats.org/officeDocument/2006/relationships/oleObject" Target="../embeddings/oleObject2105.bin"/><Relationship Id="rId572" Type="http://schemas.openxmlformats.org/officeDocument/2006/relationships/oleObject" Target="../embeddings/oleObject2126.bin"/><Relationship Id="rId593" Type="http://schemas.openxmlformats.org/officeDocument/2006/relationships/oleObject" Target="../embeddings/oleObject2147.bin"/><Relationship Id="rId607" Type="http://schemas.openxmlformats.org/officeDocument/2006/relationships/oleObject" Target="../embeddings/oleObject2160.bin"/><Relationship Id="rId628" Type="http://schemas.openxmlformats.org/officeDocument/2006/relationships/oleObject" Target="../embeddings/oleObject2181.bin"/><Relationship Id="rId190" Type="http://schemas.openxmlformats.org/officeDocument/2006/relationships/oleObject" Target="../embeddings/oleObject1744.bin"/><Relationship Id="rId204" Type="http://schemas.openxmlformats.org/officeDocument/2006/relationships/oleObject" Target="../embeddings/oleObject1758.bin"/><Relationship Id="rId225" Type="http://schemas.openxmlformats.org/officeDocument/2006/relationships/oleObject" Target="../embeddings/oleObject1779.bin"/><Relationship Id="rId246" Type="http://schemas.openxmlformats.org/officeDocument/2006/relationships/oleObject" Target="../embeddings/oleObject1800.bin"/><Relationship Id="rId267" Type="http://schemas.openxmlformats.org/officeDocument/2006/relationships/oleObject" Target="../embeddings/oleObject1821.bin"/><Relationship Id="rId288" Type="http://schemas.openxmlformats.org/officeDocument/2006/relationships/oleObject" Target="../embeddings/oleObject1842.bin"/><Relationship Id="rId411" Type="http://schemas.openxmlformats.org/officeDocument/2006/relationships/oleObject" Target="../embeddings/oleObject1965.bin"/><Relationship Id="rId432" Type="http://schemas.openxmlformats.org/officeDocument/2006/relationships/oleObject" Target="../embeddings/oleObject1986.bin"/><Relationship Id="rId453" Type="http://schemas.openxmlformats.org/officeDocument/2006/relationships/oleObject" Target="../embeddings/oleObject2007.bin"/><Relationship Id="rId474" Type="http://schemas.openxmlformats.org/officeDocument/2006/relationships/oleObject" Target="../embeddings/oleObject2028.bin"/><Relationship Id="rId509" Type="http://schemas.openxmlformats.org/officeDocument/2006/relationships/oleObject" Target="../embeddings/oleObject2063.bin"/><Relationship Id="rId106" Type="http://schemas.openxmlformats.org/officeDocument/2006/relationships/image" Target="../media/image29.emf"/><Relationship Id="rId127" Type="http://schemas.openxmlformats.org/officeDocument/2006/relationships/oleObject" Target="../embeddings/oleObject1699.bin"/><Relationship Id="rId313" Type="http://schemas.openxmlformats.org/officeDocument/2006/relationships/oleObject" Target="../embeddings/oleObject1867.bin"/><Relationship Id="rId495" Type="http://schemas.openxmlformats.org/officeDocument/2006/relationships/oleObject" Target="../embeddings/oleObject2049.bin"/><Relationship Id="rId10" Type="http://schemas.openxmlformats.org/officeDocument/2006/relationships/image" Target="../media/image8.emf"/><Relationship Id="rId31" Type="http://schemas.openxmlformats.org/officeDocument/2006/relationships/oleObject" Target="../embeddings/oleObject1619.bin"/><Relationship Id="rId52" Type="http://schemas.openxmlformats.org/officeDocument/2006/relationships/oleObject" Target="../embeddings/oleObject1640.bin"/><Relationship Id="rId73" Type="http://schemas.openxmlformats.org/officeDocument/2006/relationships/oleObject" Target="../embeddings/oleObject1661.bin"/><Relationship Id="rId94" Type="http://schemas.openxmlformats.org/officeDocument/2006/relationships/image" Target="../media/image23.emf"/><Relationship Id="rId148" Type="http://schemas.openxmlformats.org/officeDocument/2006/relationships/image" Target="../media/image45.emf"/><Relationship Id="rId169" Type="http://schemas.openxmlformats.org/officeDocument/2006/relationships/oleObject" Target="../embeddings/oleObject1729.bin"/><Relationship Id="rId334" Type="http://schemas.openxmlformats.org/officeDocument/2006/relationships/oleObject" Target="../embeddings/oleObject1888.bin"/><Relationship Id="rId355" Type="http://schemas.openxmlformats.org/officeDocument/2006/relationships/oleObject" Target="../embeddings/oleObject1909.bin"/><Relationship Id="rId376" Type="http://schemas.openxmlformats.org/officeDocument/2006/relationships/oleObject" Target="../embeddings/oleObject1930.bin"/><Relationship Id="rId397" Type="http://schemas.openxmlformats.org/officeDocument/2006/relationships/oleObject" Target="../embeddings/oleObject1951.bin"/><Relationship Id="rId520" Type="http://schemas.openxmlformats.org/officeDocument/2006/relationships/oleObject" Target="../embeddings/oleObject2074.bin"/><Relationship Id="rId541" Type="http://schemas.openxmlformats.org/officeDocument/2006/relationships/oleObject" Target="../embeddings/oleObject2095.bin"/><Relationship Id="rId562" Type="http://schemas.openxmlformats.org/officeDocument/2006/relationships/oleObject" Target="../embeddings/oleObject2116.bin"/><Relationship Id="rId583" Type="http://schemas.openxmlformats.org/officeDocument/2006/relationships/oleObject" Target="../embeddings/oleObject2137.bin"/><Relationship Id="rId618" Type="http://schemas.openxmlformats.org/officeDocument/2006/relationships/oleObject" Target="../embeddings/oleObject2171.bin"/><Relationship Id="rId4" Type="http://schemas.openxmlformats.org/officeDocument/2006/relationships/image" Target="../media/image5.emf"/><Relationship Id="rId180" Type="http://schemas.openxmlformats.org/officeDocument/2006/relationships/image" Target="../media/image54.emf"/><Relationship Id="rId215" Type="http://schemas.openxmlformats.org/officeDocument/2006/relationships/oleObject" Target="../embeddings/oleObject1769.bin"/><Relationship Id="rId236" Type="http://schemas.openxmlformats.org/officeDocument/2006/relationships/oleObject" Target="../embeddings/oleObject1790.bin"/><Relationship Id="rId257" Type="http://schemas.openxmlformats.org/officeDocument/2006/relationships/oleObject" Target="../embeddings/oleObject1811.bin"/><Relationship Id="rId278" Type="http://schemas.openxmlformats.org/officeDocument/2006/relationships/oleObject" Target="../embeddings/oleObject1832.bin"/><Relationship Id="rId401" Type="http://schemas.openxmlformats.org/officeDocument/2006/relationships/oleObject" Target="../embeddings/oleObject1955.bin"/><Relationship Id="rId422" Type="http://schemas.openxmlformats.org/officeDocument/2006/relationships/oleObject" Target="../embeddings/oleObject1976.bin"/><Relationship Id="rId443" Type="http://schemas.openxmlformats.org/officeDocument/2006/relationships/oleObject" Target="../embeddings/oleObject1997.bin"/><Relationship Id="rId464" Type="http://schemas.openxmlformats.org/officeDocument/2006/relationships/oleObject" Target="../embeddings/oleObject2018.bin"/><Relationship Id="rId303" Type="http://schemas.openxmlformats.org/officeDocument/2006/relationships/oleObject" Target="../embeddings/oleObject1857.bin"/><Relationship Id="rId485" Type="http://schemas.openxmlformats.org/officeDocument/2006/relationships/oleObject" Target="../embeddings/oleObject2039.bin"/><Relationship Id="rId42" Type="http://schemas.openxmlformats.org/officeDocument/2006/relationships/oleObject" Target="../embeddings/oleObject1630.bin"/><Relationship Id="rId84" Type="http://schemas.openxmlformats.org/officeDocument/2006/relationships/oleObject" Target="../embeddings/oleObject1672.bin"/><Relationship Id="rId138" Type="http://schemas.openxmlformats.org/officeDocument/2006/relationships/image" Target="../media/image40.emf"/><Relationship Id="rId345" Type="http://schemas.openxmlformats.org/officeDocument/2006/relationships/oleObject" Target="../embeddings/oleObject1899.bin"/><Relationship Id="rId387" Type="http://schemas.openxmlformats.org/officeDocument/2006/relationships/oleObject" Target="../embeddings/oleObject1941.bin"/><Relationship Id="rId510" Type="http://schemas.openxmlformats.org/officeDocument/2006/relationships/oleObject" Target="../embeddings/oleObject2064.bin"/><Relationship Id="rId552" Type="http://schemas.openxmlformats.org/officeDocument/2006/relationships/oleObject" Target="../embeddings/oleObject2106.bin"/><Relationship Id="rId594" Type="http://schemas.openxmlformats.org/officeDocument/2006/relationships/oleObject" Target="../embeddings/oleObject2148.bin"/><Relationship Id="rId608" Type="http://schemas.openxmlformats.org/officeDocument/2006/relationships/oleObject" Target="../embeddings/oleObject2161.bin"/><Relationship Id="rId191" Type="http://schemas.openxmlformats.org/officeDocument/2006/relationships/oleObject" Target="../embeddings/oleObject1745.bin"/><Relationship Id="rId205" Type="http://schemas.openxmlformats.org/officeDocument/2006/relationships/oleObject" Target="../embeddings/oleObject1759.bin"/><Relationship Id="rId247" Type="http://schemas.openxmlformats.org/officeDocument/2006/relationships/oleObject" Target="../embeddings/oleObject1801.bin"/><Relationship Id="rId412" Type="http://schemas.openxmlformats.org/officeDocument/2006/relationships/oleObject" Target="../embeddings/oleObject1966.bin"/><Relationship Id="rId107" Type="http://schemas.openxmlformats.org/officeDocument/2006/relationships/oleObject" Target="../embeddings/oleObject1686.bin"/><Relationship Id="rId289" Type="http://schemas.openxmlformats.org/officeDocument/2006/relationships/oleObject" Target="../embeddings/oleObject1843.bin"/><Relationship Id="rId454" Type="http://schemas.openxmlformats.org/officeDocument/2006/relationships/oleObject" Target="../embeddings/oleObject2008.bin"/><Relationship Id="rId496" Type="http://schemas.openxmlformats.org/officeDocument/2006/relationships/oleObject" Target="../embeddings/oleObject2050.bin"/><Relationship Id="rId11" Type="http://schemas.openxmlformats.org/officeDocument/2006/relationships/oleObject" Target="../embeddings/oleObject1605.bin"/><Relationship Id="rId53" Type="http://schemas.openxmlformats.org/officeDocument/2006/relationships/oleObject" Target="../embeddings/oleObject1641.bin"/><Relationship Id="rId149" Type="http://schemas.openxmlformats.org/officeDocument/2006/relationships/oleObject" Target="../embeddings/oleObject1712.bin"/><Relationship Id="rId314" Type="http://schemas.openxmlformats.org/officeDocument/2006/relationships/oleObject" Target="../embeddings/oleObject1868.bin"/><Relationship Id="rId356" Type="http://schemas.openxmlformats.org/officeDocument/2006/relationships/oleObject" Target="../embeddings/oleObject1910.bin"/><Relationship Id="rId398" Type="http://schemas.openxmlformats.org/officeDocument/2006/relationships/oleObject" Target="../embeddings/oleObject1952.bin"/><Relationship Id="rId521" Type="http://schemas.openxmlformats.org/officeDocument/2006/relationships/oleObject" Target="../embeddings/oleObject2075.bin"/><Relationship Id="rId563" Type="http://schemas.openxmlformats.org/officeDocument/2006/relationships/oleObject" Target="../embeddings/oleObject2117.bin"/><Relationship Id="rId619" Type="http://schemas.openxmlformats.org/officeDocument/2006/relationships/oleObject" Target="../embeddings/oleObject2172.bin"/><Relationship Id="rId95" Type="http://schemas.openxmlformats.org/officeDocument/2006/relationships/oleObject" Target="../embeddings/oleObject1680.bin"/><Relationship Id="rId160" Type="http://schemas.openxmlformats.org/officeDocument/2006/relationships/image" Target="../media/image48.emf"/><Relationship Id="rId216" Type="http://schemas.openxmlformats.org/officeDocument/2006/relationships/oleObject" Target="../embeddings/oleObject1770.bin"/><Relationship Id="rId423" Type="http://schemas.openxmlformats.org/officeDocument/2006/relationships/oleObject" Target="../embeddings/oleObject1977.bin"/><Relationship Id="rId258" Type="http://schemas.openxmlformats.org/officeDocument/2006/relationships/oleObject" Target="../embeddings/oleObject1812.bin"/><Relationship Id="rId465" Type="http://schemas.openxmlformats.org/officeDocument/2006/relationships/oleObject" Target="../embeddings/oleObject2019.bin"/><Relationship Id="rId630" Type="http://schemas.openxmlformats.org/officeDocument/2006/relationships/oleObject" Target="../embeddings/oleObject2183.bin"/><Relationship Id="rId22" Type="http://schemas.openxmlformats.org/officeDocument/2006/relationships/image" Target="../media/image14.emf"/><Relationship Id="rId64" Type="http://schemas.openxmlformats.org/officeDocument/2006/relationships/oleObject" Target="../embeddings/oleObject1652.bin"/><Relationship Id="rId118" Type="http://schemas.openxmlformats.org/officeDocument/2006/relationships/image" Target="../media/image33.emf"/><Relationship Id="rId325" Type="http://schemas.openxmlformats.org/officeDocument/2006/relationships/oleObject" Target="../embeddings/oleObject1879.bin"/><Relationship Id="rId367" Type="http://schemas.openxmlformats.org/officeDocument/2006/relationships/oleObject" Target="../embeddings/oleObject1921.bin"/><Relationship Id="rId532" Type="http://schemas.openxmlformats.org/officeDocument/2006/relationships/oleObject" Target="../embeddings/oleObject2086.bin"/><Relationship Id="rId574" Type="http://schemas.openxmlformats.org/officeDocument/2006/relationships/oleObject" Target="../embeddings/oleObject2128.bin"/><Relationship Id="rId171" Type="http://schemas.openxmlformats.org/officeDocument/2006/relationships/oleObject" Target="../embeddings/oleObject1730.bin"/><Relationship Id="rId227" Type="http://schemas.openxmlformats.org/officeDocument/2006/relationships/oleObject" Target="../embeddings/oleObject1781.bin"/><Relationship Id="rId269" Type="http://schemas.openxmlformats.org/officeDocument/2006/relationships/oleObject" Target="../embeddings/oleObject1823.bin"/><Relationship Id="rId434" Type="http://schemas.openxmlformats.org/officeDocument/2006/relationships/oleObject" Target="../embeddings/oleObject1988.bin"/><Relationship Id="rId476" Type="http://schemas.openxmlformats.org/officeDocument/2006/relationships/oleObject" Target="../embeddings/oleObject2030.bin"/><Relationship Id="rId33" Type="http://schemas.openxmlformats.org/officeDocument/2006/relationships/oleObject" Target="../embeddings/oleObject1621.bin"/><Relationship Id="rId129" Type="http://schemas.openxmlformats.org/officeDocument/2006/relationships/oleObject" Target="../embeddings/oleObject1701.bin"/><Relationship Id="rId280" Type="http://schemas.openxmlformats.org/officeDocument/2006/relationships/oleObject" Target="../embeddings/oleObject1834.bin"/><Relationship Id="rId336" Type="http://schemas.openxmlformats.org/officeDocument/2006/relationships/oleObject" Target="../embeddings/oleObject1890.bin"/><Relationship Id="rId501" Type="http://schemas.openxmlformats.org/officeDocument/2006/relationships/oleObject" Target="../embeddings/oleObject2055.bin"/><Relationship Id="rId543" Type="http://schemas.openxmlformats.org/officeDocument/2006/relationships/oleObject" Target="../embeddings/oleObject2097.bin"/><Relationship Id="rId75" Type="http://schemas.openxmlformats.org/officeDocument/2006/relationships/oleObject" Target="../embeddings/oleObject1663.bin"/><Relationship Id="rId140" Type="http://schemas.openxmlformats.org/officeDocument/2006/relationships/image" Target="../media/image41.emf"/><Relationship Id="rId182" Type="http://schemas.openxmlformats.org/officeDocument/2006/relationships/oleObject" Target="../embeddings/oleObject1736.bin"/><Relationship Id="rId378" Type="http://schemas.openxmlformats.org/officeDocument/2006/relationships/oleObject" Target="../embeddings/oleObject1932.bin"/><Relationship Id="rId403" Type="http://schemas.openxmlformats.org/officeDocument/2006/relationships/oleObject" Target="../embeddings/oleObject1957.bin"/><Relationship Id="rId585" Type="http://schemas.openxmlformats.org/officeDocument/2006/relationships/oleObject" Target="../embeddings/oleObject2139.bin"/><Relationship Id="rId6" Type="http://schemas.openxmlformats.org/officeDocument/2006/relationships/image" Target="../media/image6.emf"/><Relationship Id="rId238" Type="http://schemas.openxmlformats.org/officeDocument/2006/relationships/oleObject" Target="../embeddings/oleObject1792.bin"/><Relationship Id="rId445" Type="http://schemas.openxmlformats.org/officeDocument/2006/relationships/oleObject" Target="../embeddings/oleObject1999.bin"/><Relationship Id="rId487" Type="http://schemas.openxmlformats.org/officeDocument/2006/relationships/oleObject" Target="../embeddings/oleObject2041.bin"/><Relationship Id="rId610" Type="http://schemas.openxmlformats.org/officeDocument/2006/relationships/oleObject" Target="../embeddings/oleObject2163.bin"/><Relationship Id="rId291" Type="http://schemas.openxmlformats.org/officeDocument/2006/relationships/oleObject" Target="../embeddings/oleObject1845.bin"/><Relationship Id="rId305" Type="http://schemas.openxmlformats.org/officeDocument/2006/relationships/oleObject" Target="../embeddings/oleObject1859.bin"/><Relationship Id="rId347" Type="http://schemas.openxmlformats.org/officeDocument/2006/relationships/oleObject" Target="../embeddings/oleObject1901.bin"/><Relationship Id="rId512" Type="http://schemas.openxmlformats.org/officeDocument/2006/relationships/oleObject" Target="../embeddings/oleObject2066.bin"/><Relationship Id="rId44" Type="http://schemas.openxmlformats.org/officeDocument/2006/relationships/oleObject" Target="../embeddings/oleObject1632.bin"/><Relationship Id="rId86" Type="http://schemas.openxmlformats.org/officeDocument/2006/relationships/oleObject" Target="../embeddings/oleObject1674.bin"/><Relationship Id="rId151" Type="http://schemas.openxmlformats.org/officeDocument/2006/relationships/oleObject" Target="../embeddings/oleObject1714.bin"/><Relationship Id="rId389" Type="http://schemas.openxmlformats.org/officeDocument/2006/relationships/oleObject" Target="../embeddings/oleObject1943.bin"/><Relationship Id="rId554" Type="http://schemas.openxmlformats.org/officeDocument/2006/relationships/oleObject" Target="../embeddings/oleObject2108.bin"/><Relationship Id="rId596" Type="http://schemas.openxmlformats.org/officeDocument/2006/relationships/oleObject" Target="../embeddings/oleObject2150.bin"/><Relationship Id="rId193" Type="http://schemas.openxmlformats.org/officeDocument/2006/relationships/oleObject" Target="../embeddings/oleObject1747.bin"/><Relationship Id="rId207" Type="http://schemas.openxmlformats.org/officeDocument/2006/relationships/oleObject" Target="../embeddings/oleObject1761.bin"/><Relationship Id="rId249" Type="http://schemas.openxmlformats.org/officeDocument/2006/relationships/oleObject" Target="../embeddings/oleObject1803.bin"/><Relationship Id="rId414" Type="http://schemas.openxmlformats.org/officeDocument/2006/relationships/oleObject" Target="../embeddings/oleObject1968.bin"/><Relationship Id="rId456" Type="http://schemas.openxmlformats.org/officeDocument/2006/relationships/oleObject" Target="../embeddings/oleObject2010.bin"/><Relationship Id="rId498" Type="http://schemas.openxmlformats.org/officeDocument/2006/relationships/oleObject" Target="../embeddings/oleObject2052.bin"/><Relationship Id="rId621" Type="http://schemas.openxmlformats.org/officeDocument/2006/relationships/oleObject" Target="../embeddings/oleObject2174.bin"/><Relationship Id="rId13" Type="http://schemas.openxmlformats.org/officeDocument/2006/relationships/oleObject" Target="../embeddings/oleObject1606.bin"/><Relationship Id="rId109" Type="http://schemas.openxmlformats.org/officeDocument/2006/relationships/oleObject" Target="../embeddings/oleObject1687.bin"/><Relationship Id="rId260" Type="http://schemas.openxmlformats.org/officeDocument/2006/relationships/oleObject" Target="../embeddings/oleObject1814.bin"/><Relationship Id="rId316" Type="http://schemas.openxmlformats.org/officeDocument/2006/relationships/oleObject" Target="../embeddings/oleObject1870.bin"/><Relationship Id="rId523" Type="http://schemas.openxmlformats.org/officeDocument/2006/relationships/oleObject" Target="../embeddings/oleObject2077.bin"/><Relationship Id="rId55" Type="http://schemas.openxmlformats.org/officeDocument/2006/relationships/oleObject" Target="../embeddings/oleObject1643.bin"/><Relationship Id="rId97" Type="http://schemas.openxmlformats.org/officeDocument/2006/relationships/oleObject" Target="../embeddings/oleObject1681.bin"/><Relationship Id="rId120" Type="http://schemas.openxmlformats.org/officeDocument/2006/relationships/image" Target="../media/image34.emf"/><Relationship Id="rId358" Type="http://schemas.openxmlformats.org/officeDocument/2006/relationships/oleObject" Target="../embeddings/oleObject1912.bin"/><Relationship Id="rId565" Type="http://schemas.openxmlformats.org/officeDocument/2006/relationships/oleObject" Target="../embeddings/oleObject2119.bin"/><Relationship Id="rId162" Type="http://schemas.openxmlformats.org/officeDocument/2006/relationships/oleObject" Target="../embeddings/oleObject1722.bin"/><Relationship Id="rId218" Type="http://schemas.openxmlformats.org/officeDocument/2006/relationships/oleObject" Target="../embeddings/oleObject1772.bin"/><Relationship Id="rId425" Type="http://schemas.openxmlformats.org/officeDocument/2006/relationships/oleObject" Target="../embeddings/oleObject1979.bin"/><Relationship Id="rId467" Type="http://schemas.openxmlformats.org/officeDocument/2006/relationships/oleObject" Target="../embeddings/oleObject2021.bin"/><Relationship Id="rId632" Type="http://schemas.openxmlformats.org/officeDocument/2006/relationships/oleObject" Target="../embeddings/oleObject2185.bin"/><Relationship Id="rId271" Type="http://schemas.openxmlformats.org/officeDocument/2006/relationships/oleObject" Target="../embeddings/oleObject1825.bin"/><Relationship Id="rId24" Type="http://schemas.openxmlformats.org/officeDocument/2006/relationships/oleObject" Target="../embeddings/oleObject1612.bin"/><Relationship Id="rId66" Type="http://schemas.openxmlformats.org/officeDocument/2006/relationships/oleObject" Target="../embeddings/oleObject1654.bin"/><Relationship Id="rId131" Type="http://schemas.openxmlformats.org/officeDocument/2006/relationships/oleObject" Target="../embeddings/oleObject1703.bin"/><Relationship Id="rId327" Type="http://schemas.openxmlformats.org/officeDocument/2006/relationships/oleObject" Target="../embeddings/oleObject1881.bin"/><Relationship Id="rId369" Type="http://schemas.openxmlformats.org/officeDocument/2006/relationships/oleObject" Target="../embeddings/oleObject1923.bin"/><Relationship Id="rId534" Type="http://schemas.openxmlformats.org/officeDocument/2006/relationships/oleObject" Target="../embeddings/oleObject2088.bin"/><Relationship Id="rId576" Type="http://schemas.openxmlformats.org/officeDocument/2006/relationships/oleObject" Target="../embeddings/oleObject2130.bin"/><Relationship Id="rId173" Type="http://schemas.openxmlformats.org/officeDocument/2006/relationships/oleObject" Target="../embeddings/oleObject1731.bin"/><Relationship Id="rId229" Type="http://schemas.openxmlformats.org/officeDocument/2006/relationships/oleObject" Target="../embeddings/oleObject1783.bin"/><Relationship Id="rId380" Type="http://schemas.openxmlformats.org/officeDocument/2006/relationships/oleObject" Target="../embeddings/oleObject1934.bin"/><Relationship Id="rId436" Type="http://schemas.openxmlformats.org/officeDocument/2006/relationships/oleObject" Target="../embeddings/oleObject1990.bin"/><Relationship Id="rId601" Type="http://schemas.openxmlformats.org/officeDocument/2006/relationships/oleObject" Target="../embeddings/oleObject2155.bin"/><Relationship Id="rId240" Type="http://schemas.openxmlformats.org/officeDocument/2006/relationships/oleObject" Target="../embeddings/oleObject1794.bin"/><Relationship Id="rId478" Type="http://schemas.openxmlformats.org/officeDocument/2006/relationships/oleObject" Target="../embeddings/oleObject2032.bin"/><Relationship Id="rId35" Type="http://schemas.openxmlformats.org/officeDocument/2006/relationships/oleObject" Target="../embeddings/oleObject1623.bin"/><Relationship Id="rId77" Type="http://schemas.openxmlformats.org/officeDocument/2006/relationships/oleObject" Target="../embeddings/oleObject1665.bin"/><Relationship Id="rId100" Type="http://schemas.openxmlformats.org/officeDocument/2006/relationships/image" Target="../media/image26.emf"/><Relationship Id="rId282" Type="http://schemas.openxmlformats.org/officeDocument/2006/relationships/oleObject" Target="../embeddings/oleObject1836.bin"/><Relationship Id="rId338" Type="http://schemas.openxmlformats.org/officeDocument/2006/relationships/oleObject" Target="../embeddings/oleObject1892.bin"/><Relationship Id="rId503" Type="http://schemas.openxmlformats.org/officeDocument/2006/relationships/oleObject" Target="../embeddings/oleObject2057.bin"/><Relationship Id="rId545" Type="http://schemas.openxmlformats.org/officeDocument/2006/relationships/oleObject" Target="../embeddings/oleObject2099.bin"/><Relationship Id="rId587" Type="http://schemas.openxmlformats.org/officeDocument/2006/relationships/oleObject" Target="../embeddings/oleObject2141.bin"/><Relationship Id="rId8" Type="http://schemas.openxmlformats.org/officeDocument/2006/relationships/image" Target="../media/image7.emf"/><Relationship Id="rId142" Type="http://schemas.openxmlformats.org/officeDocument/2006/relationships/image" Target="../media/image42.emf"/><Relationship Id="rId184" Type="http://schemas.openxmlformats.org/officeDocument/2006/relationships/oleObject" Target="../embeddings/oleObject1738.bin"/><Relationship Id="rId391" Type="http://schemas.openxmlformats.org/officeDocument/2006/relationships/oleObject" Target="../embeddings/oleObject1945.bin"/><Relationship Id="rId405" Type="http://schemas.openxmlformats.org/officeDocument/2006/relationships/oleObject" Target="../embeddings/oleObject1959.bin"/><Relationship Id="rId447" Type="http://schemas.openxmlformats.org/officeDocument/2006/relationships/oleObject" Target="../embeddings/oleObject2001.bin"/><Relationship Id="rId612" Type="http://schemas.openxmlformats.org/officeDocument/2006/relationships/oleObject" Target="../embeddings/oleObject2165.bin"/><Relationship Id="rId251" Type="http://schemas.openxmlformats.org/officeDocument/2006/relationships/oleObject" Target="../embeddings/oleObject1805.bin"/><Relationship Id="rId489" Type="http://schemas.openxmlformats.org/officeDocument/2006/relationships/oleObject" Target="../embeddings/oleObject2043.bin"/><Relationship Id="rId46" Type="http://schemas.openxmlformats.org/officeDocument/2006/relationships/oleObject" Target="../embeddings/oleObject1634.bin"/><Relationship Id="rId293" Type="http://schemas.openxmlformats.org/officeDocument/2006/relationships/oleObject" Target="../embeddings/oleObject1847.bin"/><Relationship Id="rId307" Type="http://schemas.openxmlformats.org/officeDocument/2006/relationships/oleObject" Target="../embeddings/oleObject1861.bin"/><Relationship Id="rId349" Type="http://schemas.openxmlformats.org/officeDocument/2006/relationships/oleObject" Target="../embeddings/oleObject1903.bin"/><Relationship Id="rId514" Type="http://schemas.openxmlformats.org/officeDocument/2006/relationships/oleObject" Target="../embeddings/oleObject2068.bin"/><Relationship Id="rId556" Type="http://schemas.openxmlformats.org/officeDocument/2006/relationships/oleObject" Target="../embeddings/oleObject2110.bin"/><Relationship Id="rId88" Type="http://schemas.openxmlformats.org/officeDocument/2006/relationships/oleObject" Target="../embeddings/oleObject1676.bin"/><Relationship Id="rId111" Type="http://schemas.openxmlformats.org/officeDocument/2006/relationships/oleObject" Target="../embeddings/oleObject1689.bin"/><Relationship Id="rId153" Type="http://schemas.openxmlformats.org/officeDocument/2006/relationships/oleObject" Target="../embeddings/oleObject1716.bin"/><Relationship Id="rId195" Type="http://schemas.openxmlformats.org/officeDocument/2006/relationships/oleObject" Target="../embeddings/oleObject1749.bin"/><Relationship Id="rId209" Type="http://schemas.openxmlformats.org/officeDocument/2006/relationships/oleObject" Target="../embeddings/oleObject1763.bin"/><Relationship Id="rId360" Type="http://schemas.openxmlformats.org/officeDocument/2006/relationships/oleObject" Target="../embeddings/oleObject1914.bin"/><Relationship Id="rId416" Type="http://schemas.openxmlformats.org/officeDocument/2006/relationships/oleObject" Target="../embeddings/oleObject1970.bin"/><Relationship Id="rId598" Type="http://schemas.openxmlformats.org/officeDocument/2006/relationships/oleObject" Target="../embeddings/oleObject2152.bin"/><Relationship Id="rId220" Type="http://schemas.openxmlformats.org/officeDocument/2006/relationships/oleObject" Target="../embeddings/oleObject1774.bin"/><Relationship Id="rId458" Type="http://schemas.openxmlformats.org/officeDocument/2006/relationships/oleObject" Target="../embeddings/oleObject2012.bin"/><Relationship Id="rId623" Type="http://schemas.openxmlformats.org/officeDocument/2006/relationships/oleObject" Target="../embeddings/oleObject2176.bin"/><Relationship Id="rId15" Type="http://schemas.openxmlformats.org/officeDocument/2006/relationships/oleObject" Target="../embeddings/oleObject1607.bin"/><Relationship Id="rId57" Type="http://schemas.openxmlformats.org/officeDocument/2006/relationships/oleObject" Target="../embeddings/oleObject1645.bin"/><Relationship Id="rId262" Type="http://schemas.openxmlformats.org/officeDocument/2006/relationships/oleObject" Target="../embeddings/oleObject1816.bin"/><Relationship Id="rId318" Type="http://schemas.openxmlformats.org/officeDocument/2006/relationships/oleObject" Target="../embeddings/oleObject1872.bin"/><Relationship Id="rId525" Type="http://schemas.openxmlformats.org/officeDocument/2006/relationships/oleObject" Target="../embeddings/oleObject2079.bin"/><Relationship Id="rId567" Type="http://schemas.openxmlformats.org/officeDocument/2006/relationships/oleObject" Target="../embeddings/oleObject2121.bin"/><Relationship Id="rId99" Type="http://schemas.openxmlformats.org/officeDocument/2006/relationships/oleObject" Target="../embeddings/oleObject1682.bin"/><Relationship Id="rId122" Type="http://schemas.openxmlformats.org/officeDocument/2006/relationships/image" Target="../media/image35.emf"/><Relationship Id="rId164" Type="http://schemas.openxmlformats.org/officeDocument/2006/relationships/oleObject" Target="../embeddings/oleObject1724.bin"/><Relationship Id="rId371" Type="http://schemas.openxmlformats.org/officeDocument/2006/relationships/oleObject" Target="../embeddings/oleObject1925.bin"/><Relationship Id="rId427" Type="http://schemas.openxmlformats.org/officeDocument/2006/relationships/oleObject" Target="../embeddings/oleObject1981.bin"/><Relationship Id="rId469" Type="http://schemas.openxmlformats.org/officeDocument/2006/relationships/oleObject" Target="../embeddings/oleObject2023.bin"/><Relationship Id="rId634" Type="http://schemas.openxmlformats.org/officeDocument/2006/relationships/oleObject" Target="../embeddings/oleObject2187.bin"/><Relationship Id="rId26" Type="http://schemas.openxmlformats.org/officeDocument/2006/relationships/oleObject" Target="../embeddings/oleObject1614.bin"/><Relationship Id="rId231" Type="http://schemas.openxmlformats.org/officeDocument/2006/relationships/oleObject" Target="../embeddings/oleObject1785.bin"/><Relationship Id="rId273" Type="http://schemas.openxmlformats.org/officeDocument/2006/relationships/oleObject" Target="../embeddings/oleObject1827.bin"/><Relationship Id="rId329" Type="http://schemas.openxmlformats.org/officeDocument/2006/relationships/oleObject" Target="../embeddings/oleObject1883.bin"/><Relationship Id="rId480" Type="http://schemas.openxmlformats.org/officeDocument/2006/relationships/oleObject" Target="../embeddings/oleObject2034.bin"/><Relationship Id="rId536" Type="http://schemas.openxmlformats.org/officeDocument/2006/relationships/oleObject" Target="../embeddings/oleObject2090.bin"/><Relationship Id="rId68" Type="http://schemas.openxmlformats.org/officeDocument/2006/relationships/oleObject" Target="../embeddings/oleObject1656.bin"/><Relationship Id="rId133" Type="http://schemas.openxmlformats.org/officeDocument/2006/relationships/oleObject" Target="../embeddings/oleObject1704.bin"/><Relationship Id="rId175" Type="http://schemas.openxmlformats.org/officeDocument/2006/relationships/oleObject" Target="../embeddings/oleObject1732.bin"/><Relationship Id="rId340" Type="http://schemas.openxmlformats.org/officeDocument/2006/relationships/oleObject" Target="../embeddings/oleObject1894.bin"/><Relationship Id="rId578" Type="http://schemas.openxmlformats.org/officeDocument/2006/relationships/oleObject" Target="../embeddings/oleObject2132.bin"/><Relationship Id="rId200" Type="http://schemas.openxmlformats.org/officeDocument/2006/relationships/oleObject" Target="../embeddings/oleObject1754.bin"/><Relationship Id="rId382" Type="http://schemas.openxmlformats.org/officeDocument/2006/relationships/oleObject" Target="../embeddings/oleObject1936.bin"/><Relationship Id="rId438" Type="http://schemas.openxmlformats.org/officeDocument/2006/relationships/oleObject" Target="../embeddings/oleObject1992.bin"/><Relationship Id="rId603" Type="http://schemas.openxmlformats.org/officeDocument/2006/relationships/oleObject" Target="../embeddings/oleObject2156.bin"/><Relationship Id="rId242" Type="http://schemas.openxmlformats.org/officeDocument/2006/relationships/oleObject" Target="../embeddings/oleObject1796.bin"/><Relationship Id="rId284" Type="http://schemas.openxmlformats.org/officeDocument/2006/relationships/oleObject" Target="../embeddings/oleObject1838.bin"/><Relationship Id="rId491" Type="http://schemas.openxmlformats.org/officeDocument/2006/relationships/oleObject" Target="../embeddings/oleObject2045.bin"/><Relationship Id="rId505" Type="http://schemas.openxmlformats.org/officeDocument/2006/relationships/oleObject" Target="../embeddings/oleObject2059.bin"/><Relationship Id="rId37" Type="http://schemas.openxmlformats.org/officeDocument/2006/relationships/oleObject" Target="../embeddings/oleObject1625.bin"/><Relationship Id="rId79" Type="http://schemas.openxmlformats.org/officeDocument/2006/relationships/oleObject" Target="../embeddings/oleObject1667.bin"/><Relationship Id="rId102" Type="http://schemas.openxmlformats.org/officeDocument/2006/relationships/image" Target="../media/image27.emf"/><Relationship Id="rId144" Type="http://schemas.openxmlformats.org/officeDocument/2006/relationships/image" Target="../media/image43.emf"/><Relationship Id="rId547" Type="http://schemas.openxmlformats.org/officeDocument/2006/relationships/oleObject" Target="../embeddings/oleObject2101.bin"/><Relationship Id="rId589" Type="http://schemas.openxmlformats.org/officeDocument/2006/relationships/oleObject" Target="../embeddings/oleObject2143.bin"/><Relationship Id="rId90" Type="http://schemas.openxmlformats.org/officeDocument/2006/relationships/image" Target="../media/image21.emf"/><Relationship Id="rId186" Type="http://schemas.openxmlformats.org/officeDocument/2006/relationships/oleObject" Target="../embeddings/oleObject1740.bin"/><Relationship Id="rId351" Type="http://schemas.openxmlformats.org/officeDocument/2006/relationships/oleObject" Target="../embeddings/oleObject1905.bin"/><Relationship Id="rId393" Type="http://schemas.openxmlformats.org/officeDocument/2006/relationships/oleObject" Target="../embeddings/oleObject1947.bin"/><Relationship Id="rId407" Type="http://schemas.openxmlformats.org/officeDocument/2006/relationships/oleObject" Target="../embeddings/oleObject1961.bin"/><Relationship Id="rId449" Type="http://schemas.openxmlformats.org/officeDocument/2006/relationships/oleObject" Target="../embeddings/oleObject2003.bin"/><Relationship Id="rId614" Type="http://schemas.openxmlformats.org/officeDocument/2006/relationships/oleObject" Target="../embeddings/oleObject2167.bin"/><Relationship Id="rId211" Type="http://schemas.openxmlformats.org/officeDocument/2006/relationships/oleObject" Target="../embeddings/oleObject1765.bin"/><Relationship Id="rId253" Type="http://schemas.openxmlformats.org/officeDocument/2006/relationships/oleObject" Target="../embeddings/oleObject1807.bin"/><Relationship Id="rId295" Type="http://schemas.openxmlformats.org/officeDocument/2006/relationships/oleObject" Target="../embeddings/oleObject1849.bin"/><Relationship Id="rId309" Type="http://schemas.openxmlformats.org/officeDocument/2006/relationships/oleObject" Target="../embeddings/oleObject1863.bin"/><Relationship Id="rId460" Type="http://schemas.openxmlformats.org/officeDocument/2006/relationships/oleObject" Target="../embeddings/oleObject2014.bin"/><Relationship Id="rId516" Type="http://schemas.openxmlformats.org/officeDocument/2006/relationships/oleObject" Target="../embeddings/oleObject2070.bin"/><Relationship Id="rId48" Type="http://schemas.openxmlformats.org/officeDocument/2006/relationships/oleObject" Target="../embeddings/oleObject1636.bin"/><Relationship Id="rId113" Type="http://schemas.openxmlformats.org/officeDocument/2006/relationships/oleObject" Target="../embeddings/oleObject1691.bin"/><Relationship Id="rId320" Type="http://schemas.openxmlformats.org/officeDocument/2006/relationships/oleObject" Target="../embeddings/oleObject1874.bin"/><Relationship Id="rId558" Type="http://schemas.openxmlformats.org/officeDocument/2006/relationships/oleObject" Target="../embeddings/oleObject2112.bin"/><Relationship Id="rId155" Type="http://schemas.openxmlformats.org/officeDocument/2006/relationships/oleObject" Target="../embeddings/oleObject1718.bin"/><Relationship Id="rId197" Type="http://schemas.openxmlformats.org/officeDocument/2006/relationships/oleObject" Target="../embeddings/oleObject1751.bin"/><Relationship Id="rId362" Type="http://schemas.openxmlformats.org/officeDocument/2006/relationships/oleObject" Target="../embeddings/oleObject1916.bin"/><Relationship Id="rId418" Type="http://schemas.openxmlformats.org/officeDocument/2006/relationships/oleObject" Target="../embeddings/oleObject1972.bin"/><Relationship Id="rId625" Type="http://schemas.openxmlformats.org/officeDocument/2006/relationships/oleObject" Target="../embeddings/oleObject2178.bin"/><Relationship Id="rId222" Type="http://schemas.openxmlformats.org/officeDocument/2006/relationships/oleObject" Target="../embeddings/oleObject1776.bin"/><Relationship Id="rId264" Type="http://schemas.openxmlformats.org/officeDocument/2006/relationships/oleObject" Target="../embeddings/oleObject1818.bin"/><Relationship Id="rId471" Type="http://schemas.openxmlformats.org/officeDocument/2006/relationships/oleObject" Target="../embeddings/oleObject2025.bin"/><Relationship Id="rId17" Type="http://schemas.openxmlformats.org/officeDocument/2006/relationships/oleObject" Target="../embeddings/oleObject1608.bin"/><Relationship Id="rId59" Type="http://schemas.openxmlformats.org/officeDocument/2006/relationships/oleObject" Target="../embeddings/oleObject1647.bin"/><Relationship Id="rId124" Type="http://schemas.openxmlformats.org/officeDocument/2006/relationships/image" Target="../media/image36.emf"/><Relationship Id="rId527" Type="http://schemas.openxmlformats.org/officeDocument/2006/relationships/oleObject" Target="../embeddings/oleObject2081.bin"/><Relationship Id="rId569" Type="http://schemas.openxmlformats.org/officeDocument/2006/relationships/oleObject" Target="../embeddings/oleObject21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51"/>
  <sheetViews>
    <sheetView showGridLines="0" showRowColHeaders="0" tabSelected="1" zoomScale="125" zoomScaleNormal="125" zoomScalePageLayoutView="125" workbookViewId="0">
      <selection activeCell="G3" sqref="G3"/>
    </sheetView>
  </sheetViews>
  <sheetFormatPr baseColWidth="10" defaultColWidth="10.85546875" defaultRowHeight="15" x14ac:dyDescent="0.25"/>
  <cols>
    <col min="1" max="1" width="3" style="193" customWidth="1"/>
    <col min="2" max="2" width="13.7109375" style="193" customWidth="1"/>
    <col min="3" max="14" width="10.7109375" style="193" customWidth="1"/>
    <col min="15" max="16384" width="10.85546875" style="193"/>
  </cols>
  <sheetData>
    <row r="2" spans="2:14" x14ac:dyDescent="0.25">
      <c r="F2" s="193" t="s">
        <v>246</v>
      </c>
    </row>
    <row r="3" spans="2:14" x14ac:dyDescent="0.25">
      <c r="F3" s="193" t="s">
        <v>244</v>
      </c>
      <c r="I3" s="271" t="s">
        <v>247</v>
      </c>
    </row>
    <row r="4" spans="2:14" x14ac:dyDescent="0.25">
      <c r="F4" s="193" t="s">
        <v>245</v>
      </c>
      <c r="I4" s="271" t="s">
        <v>248</v>
      </c>
    </row>
    <row r="7" spans="2:14" x14ac:dyDescent="0.25">
      <c r="B7" s="280" t="s">
        <v>185</v>
      </c>
      <c r="C7" s="280"/>
      <c r="D7" s="280"/>
      <c r="E7" s="280"/>
      <c r="F7" s="280"/>
      <c r="G7" s="280"/>
      <c r="H7" s="280"/>
      <c r="I7" s="280"/>
      <c r="J7" s="280"/>
      <c r="K7" s="280"/>
      <c r="L7" s="280"/>
      <c r="M7" s="280"/>
      <c r="N7" s="280"/>
    </row>
    <row r="8" spans="2:14" x14ac:dyDescent="0.25">
      <c r="B8" s="277" t="s">
        <v>1</v>
      </c>
      <c r="C8" s="279"/>
      <c r="D8" s="267" t="s">
        <v>189</v>
      </c>
      <c r="E8" s="263"/>
      <c r="F8" s="277" t="s">
        <v>190</v>
      </c>
      <c r="G8" s="279"/>
      <c r="H8" s="266">
        <v>29.08</v>
      </c>
      <c r="I8" s="277" t="s">
        <v>191</v>
      </c>
      <c r="J8" s="279"/>
      <c r="K8" s="266">
        <v>-110.93</v>
      </c>
      <c r="L8" s="277" t="s">
        <v>201</v>
      </c>
      <c r="M8" s="279"/>
      <c r="N8" s="266">
        <v>211</v>
      </c>
    </row>
    <row r="9" spans="2:14" x14ac:dyDescent="0.25">
      <c r="B9" s="277" t="s">
        <v>186</v>
      </c>
      <c r="C9" s="278"/>
      <c r="D9" s="278"/>
      <c r="E9" s="278"/>
      <c r="F9" s="278"/>
      <c r="G9" s="278"/>
      <c r="H9" s="278"/>
      <c r="I9" s="278"/>
      <c r="J9" s="278"/>
      <c r="K9" s="278"/>
      <c r="L9" s="278"/>
      <c r="M9" s="278"/>
      <c r="N9" s="279"/>
    </row>
    <row r="10" spans="2:14" x14ac:dyDescent="0.25">
      <c r="B10" s="264" t="s">
        <v>91</v>
      </c>
      <c r="C10" s="264" t="s">
        <v>5</v>
      </c>
      <c r="D10" s="264" t="s">
        <v>6</v>
      </c>
      <c r="E10" s="264" t="s">
        <v>7</v>
      </c>
      <c r="F10" s="264" t="s">
        <v>8</v>
      </c>
      <c r="G10" s="264" t="s">
        <v>9</v>
      </c>
      <c r="H10" s="264" t="s">
        <v>10</v>
      </c>
      <c r="I10" s="264" t="s">
        <v>11</v>
      </c>
      <c r="J10" s="264" t="s">
        <v>12</v>
      </c>
      <c r="K10" s="264" t="s">
        <v>13</v>
      </c>
      <c r="L10" s="264" t="s">
        <v>14</v>
      </c>
      <c r="M10" s="264" t="s">
        <v>15</v>
      </c>
      <c r="N10" s="264" t="s">
        <v>16</v>
      </c>
    </row>
    <row r="11" spans="2:14" x14ac:dyDescent="0.25">
      <c r="B11" s="265" t="s">
        <v>192</v>
      </c>
      <c r="C11" s="266">
        <v>24.5</v>
      </c>
      <c r="D11" s="266">
        <v>26.1</v>
      </c>
      <c r="E11" s="266">
        <v>29.2</v>
      </c>
      <c r="F11" s="266">
        <v>33.4</v>
      </c>
      <c r="G11" s="266">
        <v>37.200000000000003</v>
      </c>
      <c r="H11" s="266">
        <v>40.700000000000003</v>
      </c>
      <c r="I11" s="266">
        <v>40</v>
      </c>
      <c r="J11" s="266">
        <v>38.5</v>
      </c>
      <c r="K11" s="266">
        <v>37.299999999999997</v>
      </c>
      <c r="L11" s="266">
        <v>34.299999999999997</v>
      </c>
      <c r="M11" s="266">
        <v>28.3</v>
      </c>
      <c r="N11" s="266">
        <v>23.9</v>
      </c>
    </row>
    <row r="12" spans="2:14" x14ac:dyDescent="0.25">
      <c r="B12" s="265" t="s">
        <v>193</v>
      </c>
      <c r="C12" s="266">
        <v>10</v>
      </c>
      <c r="D12" s="266">
        <v>10.5</v>
      </c>
      <c r="E12" s="266">
        <v>12.1</v>
      </c>
      <c r="F12" s="266">
        <v>15.4</v>
      </c>
      <c r="G12" s="266">
        <v>18.399999999999999</v>
      </c>
      <c r="H12" s="266">
        <v>23.1</v>
      </c>
      <c r="I12" s="266">
        <v>25.6</v>
      </c>
      <c r="J12" s="266">
        <v>25.6</v>
      </c>
      <c r="K12" s="266">
        <v>24.1</v>
      </c>
      <c r="L12" s="266">
        <v>18.7</v>
      </c>
      <c r="M12" s="266">
        <v>12.8</v>
      </c>
      <c r="N12" s="266">
        <v>9.9</v>
      </c>
    </row>
    <row r="13" spans="2:14" x14ac:dyDescent="0.25">
      <c r="B13" s="277"/>
      <c r="C13" s="278"/>
      <c r="D13" s="278"/>
      <c r="E13" s="278"/>
      <c r="F13" s="278"/>
      <c r="G13" s="278"/>
      <c r="H13" s="278"/>
      <c r="I13" s="278"/>
      <c r="J13" s="278"/>
      <c r="K13" s="278"/>
      <c r="L13" s="278"/>
      <c r="M13" s="278"/>
      <c r="N13" s="279"/>
    </row>
    <row r="14" spans="2:14" x14ac:dyDescent="0.25">
      <c r="B14" s="281" t="s">
        <v>187</v>
      </c>
      <c r="C14" s="281"/>
      <c r="D14" s="281"/>
      <c r="E14" s="281"/>
      <c r="F14" s="281"/>
      <c r="G14" s="281" t="s">
        <v>188</v>
      </c>
      <c r="H14" s="281"/>
      <c r="I14" s="268" t="s">
        <v>118</v>
      </c>
      <c r="J14" s="277" t="str">
        <f>IF(I14="si","Introduzca valores abajo","")</f>
        <v/>
      </c>
      <c r="K14" s="278"/>
      <c r="L14" s="278"/>
      <c r="M14" s="278"/>
      <c r="N14" s="279"/>
    </row>
    <row r="15" spans="2:14" x14ac:dyDescent="0.25">
      <c r="B15" s="265" t="s">
        <v>203</v>
      </c>
      <c r="C15" s="206"/>
      <c r="D15" s="207"/>
      <c r="E15" s="207"/>
      <c r="F15" s="207"/>
      <c r="G15" s="207"/>
      <c r="H15" s="207"/>
      <c r="I15" s="207"/>
      <c r="J15" s="207"/>
      <c r="K15" s="207"/>
      <c r="L15" s="207"/>
      <c r="M15" s="207"/>
      <c r="N15" s="207"/>
    </row>
    <row r="16" spans="2:14" x14ac:dyDescent="0.25">
      <c r="B16" s="265" t="s">
        <v>204</v>
      </c>
      <c r="C16" s="206"/>
      <c r="D16" s="207"/>
      <c r="E16" s="207"/>
      <c r="F16" s="207"/>
      <c r="G16" s="207"/>
      <c r="H16" s="207"/>
      <c r="I16" s="207"/>
      <c r="J16" s="207"/>
      <c r="K16" s="207"/>
      <c r="L16" s="207"/>
      <c r="M16" s="207"/>
      <c r="N16" s="207"/>
    </row>
    <row r="17" spans="2:14" x14ac:dyDescent="0.25">
      <c r="B17" s="277"/>
      <c r="C17" s="278"/>
      <c r="D17" s="278"/>
      <c r="E17" s="278"/>
      <c r="F17" s="278"/>
      <c r="G17" s="278"/>
      <c r="H17" s="278"/>
      <c r="I17" s="278"/>
      <c r="J17" s="278"/>
      <c r="K17" s="278"/>
      <c r="L17" s="278"/>
      <c r="M17" s="278"/>
      <c r="N17" s="279"/>
    </row>
    <row r="18" spans="2:14" x14ac:dyDescent="0.25">
      <c r="B18" s="281" t="s">
        <v>194</v>
      </c>
      <c r="C18" s="281"/>
      <c r="D18" s="281"/>
      <c r="E18" s="281"/>
      <c r="F18" s="281"/>
      <c r="G18" s="281" t="s">
        <v>188</v>
      </c>
      <c r="H18" s="281"/>
      <c r="I18" s="268" t="s">
        <v>183</v>
      </c>
      <c r="J18" s="277" t="str">
        <f>IF(I18="si",IF(I14="si","","Introduzca valores abajo"),"")</f>
        <v>Introduzca valores abajo</v>
      </c>
      <c r="K18" s="278"/>
      <c r="L18" s="278"/>
      <c r="M18" s="278"/>
      <c r="N18" s="279"/>
    </row>
    <row r="19" spans="2:14" x14ac:dyDescent="0.25">
      <c r="B19" s="265" t="s">
        <v>205</v>
      </c>
      <c r="C19" s="206">
        <v>50</v>
      </c>
      <c r="D19" s="207">
        <v>50</v>
      </c>
      <c r="E19" s="207">
        <v>46</v>
      </c>
      <c r="F19" s="207">
        <v>42</v>
      </c>
      <c r="G19" s="207">
        <v>41</v>
      </c>
      <c r="H19" s="207">
        <v>43</v>
      </c>
      <c r="I19" s="207">
        <v>48</v>
      </c>
      <c r="J19" s="207">
        <v>58</v>
      </c>
      <c r="K19" s="207">
        <v>55</v>
      </c>
      <c r="L19" s="207">
        <v>50</v>
      </c>
      <c r="M19" s="207">
        <v>53</v>
      </c>
      <c r="N19" s="207">
        <v>50</v>
      </c>
    </row>
    <row r="20" spans="2:14" x14ac:dyDescent="0.25">
      <c r="B20" s="276"/>
      <c r="C20" s="276"/>
      <c r="D20" s="276"/>
      <c r="E20" s="276"/>
      <c r="F20" s="276"/>
      <c r="G20" s="276"/>
      <c r="H20" s="276"/>
      <c r="I20" s="276"/>
      <c r="J20" s="276"/>
      <c r="K20" s="276"/>
      <c r="L20" s="276"/>
      <c r="M20" s="276"/>
      <c r="N20" s="276"/>
    </row>
    <row r="21" spans="2:14" x14ac:dyDescent="0.25">
      <c r="B21" s="276" t="str">
        <f>IF(I14="si","La humedad relativa horaria se estimará a partir de las medias extremas",IF(I18="si","La humedad relativa horaria se estimará a partir de las medias","La humedad relativa horaria se estimará a partir de las temperaturas medias extremas"))</f>
        <v>La humedad relativa horaria se estimará a partir de las medias</v>
      </c>
      <c r="C21" s="276"/>
      <c r="D21" s="276"/>
      <c r="E21" s="276"/>
      <c r="F21" s="276"/>
      <c r="G21" s="276"/>
      <c r="H21" s="276"/>
      <c r="I21" s="276"/>
      <c r="J21" s="276"/>
      <c r="K21" s="276"/>
      <c r="L21" s="276"/>
      <c r="M21" s="276"/>
      <c r="N21" s="276"/>
    </row>
    <row r="22" spans="2:14" x14ac:dyDescent="0.25">
      <c r="B22" s="200"/>
      <c r="C22" s="201"/>
      <c r="D22" s="201"/>
      <c r="E22" s="201"/>
      <c r="F22" s="201"/>
      <c r="G22" s="201"/>
      <c r="H22" s="201"/>
      <c r="I22" s="201"/>
      <c r="J22" s="201"/>
      <c r="K22" s="201"/>
      <c r="L22" s="201"/>
      <c r="M22" s="201"/>
      <c r="N22" s="201"/>
    </row>
    <row r="23" spans="2:14" x14ac:dyDescent="0.25">
      <c r="B23" s="20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</row>
    <row r="24" spans="2:14" x14ac:dyDescent="0.25">
      <c r="B24" s="200"/>
      <c r="C24" s="202"/>
      <c r="D24" s="202"/>
      <c r="E24" s="202"/>
      <c r="F24" s="202"/>
      <c r="G24" s="202"/>
      <c r="H24" s="202"/>
      <c r="I24" s="202"/>
      <c r="J24" s="202"/>
      <c r="K24" s="202"/>
      <c r="L24" s="202"/>
      <c r="M24" s="202"/>
      <c r="N24" s="202"/>
    </row>
    <row r="25" spans="2:14" x14ac:dyDescent="0.25">
      <c r="B25" s="200"/>
      <c r="C25" s="203"/>
      <c r="D25" s="203"/>
      <c r="E25" s="203"/>
      <c r="F25" s="203"/>
      <c r="G25" s="203"/>
      <c r="H25" s="203"/>
      <c r="I25" s="203"/>
      <c r="J25" s="203"/>
      <c r="K25" s="203"/>
      <c r="L25" s="203"/>
      <c r="M25" s="203"/>
      <c r="N25" s="203"/>
    </row>
    <row r="26" spans="2:14" x14ac:dyDescent="0.25">
      <c r="B26" s="200"/>
      <c r="C26" s="203"/>
      <c r="D26" s="203"/>
      <c r="E26" s="203"/>
      <c r="F26" s="203"/>
      <c r="G26" s="203"/>
      <c r="H26" s="203"/>
      <c r="I26" s="203"/>
      <c r="J26" s="203"/>
      <c r="K26" s="203"/>
      <c r="L26" s="203"/>
      <c r="M26" s="203"/>
      <c r="N26" s="203"/>
    </row>
    <row r="27" spans="2:14" x14ac:dyDescent="0.25">
      <c r="B27" s="204"/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0"/>
    </row>
    <row r="28" spans="2:14" x14ac:dyDescent="0.25">
      <c r="B28" s="205"/>
      <c r="C28" s="202"/>
      <c r="D28" s="202"/>
      <c r="E28" s="202"/>
      <c r="F28" s="202"/>
      <c r="G28" s="202"/>
      <c r="H28" s="202"/>
      <c r="I28" s="202"/>
      <c r="J28" s="202"/>
      <c r="K28" s="202"/>
      <c r="L28" s="202"/>
      <c r="M28" s="202"/>
      <c r="N28" s="202"/>
    </row>
    <row r="29" spans="2:14" x14ac:dyDescent="0.25">
      <c r="B29" s="205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</row>
    <row r="30" spans="2:14" x14ac:dyDescent="0.25">
      <c r="B30" s="205"/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</row>
    <row r="31" spans="2:14" x14ac:dyDescent="0.25">
      <c r="B31" s="205"/>
      <c r="C31" s="202"/>
      <c r="D31" s="202"/>
      <c r="E31" s="202"/>
      <c r="F31" s="202"/>
      <c r="G31" s="202"/>
      <c r="H31" s="202"/>
      <c r="I31" s="202"/>
      <c r="J31" s="202"/>
      <c r="K31" s="202"/>
      <c r="L31" s="202"/>
      <c r="M31" s="202"/>
      <c r="N31" s="202"/>
    </row>
    <row r="32" spans="2:14" x14ac:dyDescent="0.25">
      <c r="B32" s="205"/>
      <c r="C32" s="202"/>
      <c r="D32" s="202"/>
      <c r="E32" s="202"/>
      <c r="F32" s="202"/>
      <c r="G32" s="202"/>
      <c r="H32" s="202"/>
      <c r="I32" s="202"/>
      <c r="J32" s="202"/>
      <c r="K32" s="202"/>
      <c r="L32" s="202"/>
      <c r="M32" s="202"/>
      <c r="N32" s="202"/>
    </row>
    <row r="33" spans="2:14" x14ac:dyDescent="0.25">
      <c r="B33" s="205"/>
      <c r="C33" s="202"/>
      <c r="D33" s="202"/>
      <c r="E33" s="202"/>
      <c r="F33" s="202"/>
      <c r="G33" s="202"/>
      <c r="H33" s="202"/>
      <c r="I33" s="202"/>
      <c r="J33" s="202"/>
      <c r="K33" s="202"/>
      <c r="L33" s="202"/>
      <c r="M33" s="202"/>
      <c r="N33" s="202"/>
    </row>
    <row r="34" spans="2:14" x14ac:dyDescent="0.25">
      <c r="B34" s="205"/>
      <c r="C34" s="202"/>
      <c r="D34" s="202"/>
      <c r="E34" s="202"/>
      <c r="F34" s="202"/>
      <c r="G34" s="202"/>
      <c r="H34" s="202"/>
      <c r="I34" s="202"/>
      <c r="J34" s="202"/>
      <c r="K34" s="202"/>
      <c r="L34" s="202"/>
      <c r="M34" s="202"/>
      <c r="N34" s="202"/>
    </row>
    <row r="35" spans="2:14" x14ac:dyDescent="0.25">
      <c r="B35" s="205"/>
      <c r="C35" s="202"/>
      <c r="D35" s="202"/>
      <c r="E35" s="202"/>
      <c r="F35" s="202"/>
      <c r="G35" s="202"/>
      <c r="H35" s="202"/>
      <c r="I35" s="202"/>
      <c r="J35" s="202"/>
      <c r="K35" s="202"/>
      <c r="L35" s="202"/>
      <c r="M35" s="202"/>
      <c r="N35" s="202"/>
    </row>
    <row r="36" spans="2:14" x14ac:dyDescent="0.25">
      <c r="B36" s="205"/>
      <c r="C36" s="202"/>
      <c r="D36" s="202"/>
      <c r="E36" s="202"/>
      <c r="F36" s="202"/>
      <c r="G36" s="202"/>
      <c r="H36" s="202"/>
      <c r="I36" s="202"/>
      <c r="J36" s="202"/>
      <c r="K36" s="202"/>
      <c r="L36" s="202"/>
      <c r="M36" s="202"/>
      <c r="N36" s="202"/>
    </row>
    <row r="37" spans="2:14" x14ac:dyDescent="0.25">
      <c r="B37" s="205"/>
      <c r="C37" s="202"/>
      <c r="D37" s="202"/>
      <c r="E37" s="202"/>
      <c r="F37" s="202"/>
      <c r="G37" s="202"/>
      <c r="H37" s="202"/>
      <c r="I37" s="202"/>
      <c r="J37" s="202"/>
      <c r="K37" s="202"/>
      <c r="L37" s="202"/>
      <c r="M37" s="202"/>
      <c r="N37" s="202"/>
    </row>
    <row r="38" spans="2:14" x14ac:dyDescent="0.25">
      <c r="B38" s="205"/>
      <c r="C38" s="202"/>
      <c r="D38" s="202"/>
      <c r="E38" s="202"/>
      <c r="F38" s="202"/>
      <c r="G38" s="202"/>
      <c r="H38" s="202"/>
      <c r="I38" s="202"/>
      <c r="J38" s="202"/>
      <c r="K38" s="202"/>
      <c r="L38" s="202"/>
      <c r="M38" s="202"/>
      <c r="N38" s="202"/>
    </row>
    <row r="39" spans="2:14" x14ac:dyDescent="0.25">
      <c r="B39" s="205"/>
      <c r="C39" s="202"/>
      <c r="D39" s="202"/>
      <c r="E39" s="202"/>
      <c r="F39" s="202"/>
      <c r="G39" s="202"/>
      <c r="H39" s="202"/>
      <c r="I39" s="202"/>
      <c r="J39" s="202"/>
      <c r="K39" s="202"/>
      <c r="L39" s="202"/>
      <c r="M39" s="202"/>
      <c r="N39" s="202"/>
    </row>
    <row r="40" spans="2:14" x14ac:dyDescent="0.25">
      <c r="B40" s="205"/>
      <c r="C40" s="202"/>
      <c r="D40" s="202"/>
      <c r="E40" s="202"/>
      <c r="F40" s="202"/>
      <c r="G40" s="202"/>
      <c r="H40" s="202"/>
      <c r="I40" s="202"/>
      <c r="J40" s="202"/>
      <c r="K40" s="202"/>
      <c r="L40" s="202"/>
      <c r="M40" s="202"/>
      <c r="N40" s="202"/>
    </row>
    <row r="41" spans="2:14" x14ac:dyDescent="0.25">
      <c r="B41" s="205"/>
      <c r="C41" s="202"/>
      <c r="D41" s="202"/>
      <c r="E41" s="202"/>
      <c r="F41" s="202"/>
      <c r="G41" s="202"/>
      <c r="H41" s="202"/>
      <c r="I41" s="202"/>
      <c r="J41" s="202"/>
      <c r="K41" s="202"/>
      <c r="L41" s="202"/>
      <c r="M41" s="202"/>
      <c r="N41" s="202"/>
    </row>
    <row r="42" spans="2:14" x14ac:dyDescent="0.25">
      <c r="B42" s="205"/>
      <c r="C42" s="202"/>
      <c r="D42" s="202"/>
      <c r="E42" s="202"/>
      <c r="F42" s="202"/>
      <c r="G42" s="202"/>
      <c r="H42" s="202"/>
      <c r="I42" s="202"/>
      <c r="J42" s="202"/>
      <c r="K42" s="202"/>
      <c r="L42" s="202"/>
      <c r="M42" s="202"/>
      <c r="N42" s="202"/>
    </row>
    <row r="43" spans="2:14" x14ac:dyDescent="0.25">
      <c r="B43" s="205"/>
      <c r="C43" s="202"/>
      <c r="D43" s="202"/>
      <c r="E43" s="202"/>
      <c r="F43" s="202"/>
      <c r="G43" s="202"/>
      <c r="H43" s="202"/>
      <c r="I43" s="202"/>
      <c r="J43" s="202"/>
      <c r="K43" s="202"/>
      <c r="L43" s="202"/>
      <c r="M43" s="202"/>
      <c r="N43" s="202"/>
    </row>
    <row r="44" spans="2:14" x14ac:dyDescent="0.25">
      <c r="B44" s="205"/>
      <c r="C44" s="202"/>
      <c r="D44" s="202"/>
      <c r="E44" s="202"/>
      <c r="F44" s="202"/>
      <c r="G44" s="202"/>
      <c r="H44" s="202"/>
      <c r="I44" s="202"/>
      <c r="J44" s="202"/>
      <c r="K44" s="202"/>
      <c r="L44" s="202"/>
      <c r="M44" s="202"/>
      <c r="N44" s="202"/>
    </row>
    <row r="45" spans="2:14" x14ac:dyDescent="0.25">
      <c r="B45" s="205"/>
      <c r="C45" s="202"/>
      <c r="D45" s="202"/>
      <c r="E45" s="202"/>
      <c r="F45" s="202"/>
      <c r="G45" s="202"/>
      <c r="H45" s="202"/>
      <c r="I45" s="202"/>
      <c r="J45" s="202"/>
      <c r="K45" s="202"/>
      <c r="L45" s="202"/>
      <c r="M45" s="202"/>
      <c r="N45" s="202"/>
    </row>
    <row r="46" spans="2:14" x14ac:dyDescent="0.25">
      <c r="B46" s="205"/>
      <c r="C46" s="202"/>
      <c r="D46" s="202"/>
      <c r="E46" s="202"/>
      <c r="F46" s="202"/>
      <c r="G46" s="202"/>
      <c r="H46" s="202"/>
      <c r="I46" s="202"/>
      <c r="J46" s="202"/>
      <c r="K46" s="202"/>
      <c r="L46" s="202"/>
      <c r="M46" s="202"/>
      <c r="N46" s="202"/>
    </row>
    <row r="47" spans="2:14" x14ac:dyDescent="0.25">
      <c r="B47" s="205"/>
      <c r="C47" s="202"/>
      <c r="D47" s="202"/>
      <c r="E47" s="202"/>
      <c r="F47" s="202"/>
      <c r="G47" s="202"/>
      <c r="H47" s="202"/>
      <c r="I47" s="202"/>
      <c r="J47" s="202"/>
      <c r="K47" s="202"/>
      <c r="L47" s="202"/>
      <c r="M47" s="202"/>
      <c r="N47" s="202"/>
    </row>
    <row r="48" spans="2:14" x14ac:dyDescent="0.25">
      <c r="B48" s="205"/>
      <c r="C48" s="202"/>
      <c r="D48" s="202"/>
      <c r="E48" s="202"/>
      <c r="F48" s="202"/>
      <c r="G48" s="202"/>
      <c r="H48" s="202"/>
      <c r="I48" s="202"/>
      <c r="J48" s="202"/>
      <c r="K48" s="202"/>
      <c r="L48" s="202"/>
      <c r="M48" s="202"/>
      <c r="N48" s="202"/>
    </row>
    <row r="49" spans="2:14" x14ac:dyDescent="0.25">
      <c r="B49" s="205"/>
      <c r="C49" s="202"/>
      <c r="D49" s="202"/>
      <c r="E49" s="202"/>
      <c r="F49" s="202"/>
      <c r="G49" s="202"/>
      <c r="H49" s="202"/>
      <c r="I49" s="202"/>
      <c r="J49" s="202"/>
      <c r="K49" s="202"/>
      <c r="L49" s="202"/>
      <c r="M49" s="202"/>
      <c r="N49" s="202"/>
    </row>
    <row r="50" spans="2:14" x14ac:dyDescent="0.25">
      <c r="B50" s="205"/>
      <c r="C50" s="202"/>
      <c r="D50" s="202"/>
      <c r="E50" s="202"/>
      <c r="F50" s="202"/>
      <c r="G50" s="202"/>
      <c r="H50" s="202"/>
      <c r="I50" s="202"/>
      <c r="J50" s="202"/>
      <c r="K50" s="202"/>
      <c r="L50" s="202"/>
      <c r="M50" s="202"/>
      <c r="N50" s="202"/>
    </row>
    <row r="51" spans="2:14" x14ac:dyDescent="0.25">
      <c r="B51" s="205"/>
      <c r="C51" s="202"/>
      <c r="D51" s="202"/>
      <c r="E51" s="202"/>
      <c r="F51" s="202"/>
      <c r="G51" s="202"/>
      <c r="H51" s="202"/>
      <c r="I51" s="202"/>
      <c r="J51" s="202"/>
      <c r="K51" s="202"/>
      <c r="L51" s="202"/>
      <c r="M51" s="202"/>
      <c r="N51" s="202"/>
    </row>
  </sheetData>
  <sheetProtection password="E6CB" sheet="1" objects="1" scenarios="1"/>
  <mergeCells count="16">
    <mergeCell ref="B20:N20"/>
    <mergeCell ref="B21:N21"/>
    <mergeCell ref="B9:N9"/>
    <mergeCell ref="B7:N7"/>
    <mergeCell ref="B14:F14"/>
    <mergeCell ref="G14:H14"/>
    <mergeCell ref="J14:N14"/>
    <mergeCell ref="B18:F18"/>
    <mergeCell ref="G18:H18"/>
    <mergeCell ref="J18:N18"/>
    <mergeCell ref="B17:N17"/>
    <mergeCell ref="L8:M8"/>
    <mergeCell ref="I8:J8"/>
    <mergeCell ref="F8:G8"/>
    <mergeCell ref="B8:C8"/>
    <mergeCell ref="B13:N13"/>
  </mergeCells>
  <conditionalFormatting sqref="C28:N51">
    <cfRule type="colorScale" priority="1">
      <colorScale>
        <cfvo type="min"/>
        <cfvo type="percentile" val="50"/>
        <cfvo type="max"/>
        <color rgb="FF5A8AC6"/>
        <color rgb="FFFFEB84"/>
        <color rgb="FFF8696B"/>
      </colorScale>
    </cfRule>
  </conditionalFormatting>
  <hyperlinks>
    <hyperlink ref="I3" r:id="rId1"/>
    <hyperlink ref="I4" r:id="rId2"/>
  </hyperlinks>
  <pageMargins left="0.7" right="0.7" top="0.75" bottom="0.75" header="0.3" footer="0.3"/>
  <pageSetup paperSize="9"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AM36"/>
  <sheetViews>
    <sheetView showGridLines="0" showRowColHeaders="0" zoomScale="71" zoomScaleNormal="71" zoomScalePageLayoutView="71" workbookViewId="0">
      <selection activeCell="I4" sqref="I4"/>
    </sheetView>
  </sheetViews>
  <sheetFormatPr baseColWidth="10" defaultRowHeight="15" x14ac:dyDescent="0.25"/>
  <sheetData>
    <row r="1" spans="1:39" x14ac:dyDescent="0.25">
      <c r="A1" s="282" t="s">
        <v>0</v>
      </c>
      <c r="B1" s="283"/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4"/>
    </row>
    <row r="2" spans="1:39" x14ac:dyDescent="0.25">
      <c r="A2" s="108" t="s">
        <v>1</v>
      </c>
      <c r="B2" s="190" t="str">
        <f>'Datos Entrada'!D8</f>
        <v>Hermosillo, Son.</v>
      </c>
      <c r="C2" s="108" t="s">
        <v>2</v>
      </c>
      <c r="D2" s="190">
        <f>'Datos Entrada'!H8</f>
        <v>29.08</v>
      </c>
      <c r="E2" s="108" t="s">
        <v>3</v>
      </c>
      <c r="F2" s="190">
        <f>'Datos Entrada'!K8</f>
        <v>-110.93</v>
      </c>
      <c r="G2" s="108" t="s">
        <v>4</v>
      </c>
      <c r="H2" s="190">
        <f>'Datos Entrada'!N8</f>
        <v>211</v>
      </c>
      <c r="I2" s="285"/>
      <c r="J2" s="286"/>
      <c r="K2" s="286"/>
      <c r="L2" s="286"/>
      <c r="M2" s="287"/>
    </row>
    <row r="3" spans="1:39" x14ac:dyDescent="0.25">
      <c r="A3" s="109"/>
      <c r="B3" s="110" t="s">
        <v>53</v>
      </c>
      <c r="C3" s="110" t="s">
        <v>57</v>
      </c>
      <c r="D3" s="110" t="s">
        <v>58</v>
      </c>
      <c r="E3" s="110" t="s">
        <v>59</v>
      </c>
      <c r="F3" s="110" t="s">
        <v>60</v>
      </c>
      <c r="G3" s="110" t="s">
        <v>61</v>
      </c>
      <c r="H3" s="110" t="s">
        <v>62</v>
      </c>
      <c r="I3" s="110" t="s">
        <v>63</v>
      </c>
      <c r="J3" s="110" t="s">
        <v>64</v>
      </c>
      <c r="K3" s="110" t="s">
        <v>65</v>
      </c>
      <c r="L3" s="110" t="s">
        <v>66</v>
      </c>
      <c r="M3" s="110" t="s">
        <v>67</v>
      </c>
    </row>
    <row r="4" spans="1:39" x14ac:dyDescent="0.25">
      <c r="A4" s="108" t="s">
        <v>17</v>
      </c>
      <c r="B4" s="194">
        <f>'Datos Entrada'!C11</f>
        <v>24.5</v>
      </c>
      <c r="C4" s="194">
        <f>'Datos Entrada'!D11</f>
        <v>26.1</v>
      </c>
      <c r="D4" s="194">
        <f>'Datos Entrada'!E11</f>
        <v>29.2</v>
      </c>
      <c r="E4" s="194">
        <f>'Datos Entrada'!F11</f>
        <v>33.4</v>
      </c>
      <c r="F4" s="194">
        <f>'Datos Entrada'!G11</f>
        <v>37.200000000000003</v>
      </c>
      <c r="G4" s="194">
        <f>'Datos Entrada'!H11</f>
        <v>40.700000000000003</v>
      </c>
      <c r="H4" s="194">
        <f>'Datos Entrada'!I11</f>
        <v>40</v>
      </c>
      <c r="I4" s="194">
        <f>'Datos Entrada'!J11</f>
        <v>38.5</v>
      </c>
      <c r="J4" s="194">
        <f>'Datos Entrada'!K11</f>
        <v>37.299999999999997</v>
      </c>
      <c r="K4" s="194">
        <f>'Datos Entrada'!L11</f>
        <v>34.299999999999997</v>
      </c>
      <c r="L4" s="194">
        <f>'Datos Entrada'!M11</f>
        <v>28.3</v>
      </c>
      <c r="M4" s="194">
        <f>'Datos Entrada'!N11</f>
        <v>23.9</v>
      </c>
    </row>
    <row r="5" spans="1:39" x14ac:dyDescent="0.25">
      <c r="A5" s="108" t="s">
        <v>18</v>
      </c>
      <c r="B5" s="194">
        <f>'Datos Entrada'!C12</f>
        <v>10</v>
      </c>
      <c r="C5" s="194">
        <f>'Datos Entrada'!D12</f>
        <v>10.5</v>
      </c>
      <c r="D5" s="194">
        <f>'Datos Entrada'!E12</f>
        <v>12.1</v>
      </c>
      <c r="E5" s="194">
        <f>'Datos Entrada'!F12</f>
        <v>15.4</v>
      </c>
      <c r="F5" s="194">
        <f>'Datos Entrada'!G12</f>
        <v>18.399999999999999</v>
      </c>
      <c r="G5" s="194">
        <f>'Datos Entrada'!H12</f>
        <v>23.1</v>
      </c>
      <c r="H5" s="194">
        <f>'Datos Entrada'!I12</f>
        <v>25.6</v>
      </c>
      <c r="I5" s="194">
        <f>'Datos Entrada'!J12</f>
        <v>25.6</v>
      </c>
      <c r="J5" s="194">
        <f>'Datos Entrada'!K12</f>
        <v>24.1</v>
      </c>
      <c r="K5" s="194">
        <f>'Datos Entrada'!L12</f>
        <v>18.7</v>
      </c>
      <c r="L5" s="194">
        <f>'Datos Entrada'!M12</f>
        <v>12.8</v>
      </c>
      <c r="M5" s="194">
        <f>'Datos Entrada'!N12</f>
        <v>9.9</v>
      </c>
    </row>
    <row r="6" spans="1:39" x14ac:dyDescent="0.25">
      <c r="A6" s="108" t="s">
        <v>19</v>
      </c>
      <c r="B6" s="131">
        <f t="shared" ref="B6:M6" si="0">(B4+B5)/2</f>
        <v>17.25</v>
      </c>
      <c r="C6" s="131">
        <f t="shared" si="0"/>
        <v>18.3</v>
      </c>
      <c r="D6" s="131">
        <f t="shared" si="0"/>
        <v>20.65</v>
      </c>
      <c r="E6" s="131">
        <f t="shared" si="0"/>
        <v>24.4</v>
      </c>
      <c r="F6" s="131">
        <f t="shared" si="0"/>
        <v>27.8</v>
      </c>
      <c r="G6" s="131">
        <f t="shared" si="0"/>
        <v>31.900000000000002</v>
      </c>
      <c r="H6" s="131">
        <f t="shared" si="0"/>
        <v>32.799999999999997</v>
      </c>
      <c r="I6" s="131">
        <f t="shared" si="0"/>
        <v>32.049999999999997</v>
      </c>
      <c r="J6" s="131">
        <f t="shared" si="0"/>
        <v>30.7</v>
      </c>
      <c r="K6" s="131">
        <f t="shared" si="0"/>
        <v>26.5</v>
      </c>
      <c r="L6" s="131">
        <f t="shared" si="0"/>
        <v>20.55</v>
      </c>
      <c r="M6" s="131">
        <f t="shared" si="0"/>
        <v>16.899999999999999</v>
      </c>
    </row>
    <row r="7" spans="1:39" x14ac:dyDescent="0.25">
      <c r="A7" s="108" t="s">
        <v>20</v>
      </c>
      <c r="B7" s="132">
        <f>12-(((180*ACOS((0.3896*TAN(((ABS(D2)*PI())/180)))))/PI())/15)</f>
        <v>6.8342366335718427</v>
      </c>
      <c r="C7" s="132">
        <f>12-(((180*ACOS((0.2368*TAN(((ABS(D2)*PI())/180)))))/PI())/15)</f>
        <v>6.5044954695816593</v>
      </c>
      <c r="D7" s="132">
        <f>12-(((180*ACOS((0.05*TAN(((ABS(D2)*PI())/180)))))/PI())/15)</f>
        <v>6.1062277956914484</v>
      </c>
      <c r="E7" s="132">
        <f>12-(((180*ACOS((-0.165*TAN(((ABS(D2)*PI())/180)))))/PI())/15)</f>
        <v>5.6489996890642677</v>
      </c>
      <c r="F7" s="132">
        <f>12-(((180*ACOS((-0.3397*TAN(((ABS(D2)*PI())/180)))))/PI())/15)</f>
        <v>5.2740184525066347</v>
      </c>
      <c r="G7" s="132">
        <f>12-(((180*ACOS((-0.4308*TAN(((ABS(D2)*PI())/180)))))/PI())/15)</f>
        <v>5.075870238105022</v>
      </c>
      <c r="H7" s="132">
        <f>12-(((180*ACOS((-0.3947*TAN(((ABS(D2)*PI())/180)))))/PI())/15)</f>
        <v>5.1546623096170574</v>
      </c>
      <c r="I7" s="132">
        <f>12-(((180*ACOS((-0.2463*TAN(((ABS(D2)*PI())/180)))))/PI())/15)</f>
        <v>5.475139235200059</v>
      </c>
      <c r="J7" s="132">
        <f>12-(((180*ACOS((-0.0399*TAN(((ABS(D2)*PI())/180)))))/PI())/15)</f>
        <v>5.915234188429606</v>
      </c>
      <c r="K7" s="132">
        <f>12-(((180*ACOS((0.168*TAN(((ABS(D2)*PI())/180)))))/PI())/15)</f>
        <v>6.3574006556551872</v>
      </c>
      <c r="L7" s="132">
        <f>12-(((180*ACOS((0.3464*TAN(((ABS(D2)*PI())/180)))))/PI())/15)</f>
        <v>6.7404805594747792</v>
      </c>
      <c r="M7" s="132">
        <f>12-(((180*ACOS((0.4312*TAN(((ABS(D2)*PI())/180)))))/PI())/15)</f>
        <v>6.9250049890260437</v>
      </c>
    </row>
    <row r="8" spans="1:39" x14ac:dyDescent="0.25">
      <c r="A8" s="108" t="s">
        <v>21</v>
      </c>
      <c r="B8" s="132">
        <f>IF((ABS(D2)&gt;=23.5),(B7+7.63),(B7+7.41))</f>
        <v>14.464236633571844</v>
      </c>
      <c r="C8" s="132">
        <f>IF((ABS(D2)&gt;=23.5),(C7+9.5),(C7+7.5))</f>
        <v>16.004495469581659</v>
      </c>
      <c r="D8" s="132">
        <f>IF((ABS(D2)&gt;=23.5),(D7+8.25),(D7+6.83))</f>
        <v>14.356227795691449</v>
      </c>
      <c r="E8" s="132">
        <f>IF((ABS(D2)&gt;=23.5),(E7+9.38),(E7+7.67))</f>
        <v>15.028999689064268</v>
      </c>
      <c r="F8" s="132">
        <f>IF((ABS(D2)&gt;=23.5),(F7+8.88),(F7+7.59))</f>
        <v>14.154018452506635</v>
      </c>
      <c r="G8" s="132">
        <f>IF((ABS(D2)&gt;=23.5),(G7+9.25),(G7+7.91))</f>
        <v>14.325870238105022</v>
      </c>
      <c r="H8" s="132">
        <f>IF((ABS(D2)&gt;=23.5),(H7+10.25),(H7+7.25))</f>
        <v>15.404662309617057</v>
      </c>
      <c r="I8" s="132">
        <f>IF((ABS(D2)&gt;=23.5),(I7+10),(I7+7.5))</f>
        <v>15.475139235200059</v>
      </c>
      <c r="J8" s="132">
        <f>IF((ABS(D2)&gt;=23.5),(J7+10.13),(J7+7.59))</f>
        <v>16.045234188429607</v>
      </c>
      <c r="K8" s="132">
        <f>IF((ABS(D2)&gt;=23.5),(K7+9.68),(K7+7.17))</f>
        <v>16.037400655655187</v>
      </c>
      <c r="L8" s="132">
        <f>IF((ABS(D2)&gt;=23.5),(L7+9.37),(L7+7.5))</f>
        <v>16.11048055947478</v>
      </c>
      <c r="M8" s="132">
        <f>IF((ABS(D2)&gt;=23.5),(M7+8.75),(M7+7.25))</f>
        <v>15.675004989026043</v>
      </c>
    </row>
    <row r="9" spans="1:39" ht="15.75" thickBot="1" x14ac:dyDescent="0.3">
      <c r="A9" s="110" t="s">
        <v>56</v>
      </c>
      <c r="B9" s="133"/>
      <c r="C9" s="133"/>
      <c r="D9" s="133"/>
      <c r="E9" s="134"/>
      <c r="F9" s="133"/>
      <c r="G9" s="134"/>
      <c r="H9" s="133"/>
      <c r="I9" s="134"/>
      <c r="J9" s="133"/>
      <c r="K9" s="133"/>
      <c r="L9" s="133"/>
      <c r="M9" s="133"/>
    </row>
    <row r="10" spans="1:39" x14ac:dyDescent="0.25">
      <c r="A10" s="111">
        <v>0</v>
      </c>
      <c r="B10" s="59">
        <f>IF((ABS($D$2)&gt;=23.5),IF((0&gt;=B7),(B5+(((0.023*((0-B7)^3.436))*(EXP((-0.421*(0-B7)))))*(B4-B5))),(B5+(((0.023*(((0+24)-B7)^3.436))*(EXP((-0.421*((0+24)-B7)))))*(B4-B5)))),IF((0&gt;=B7),(B5+(((0.096*((0-B7)^2.422))*(EXP((-0.339*(0-B7)))))*(B4-B5))),(B5+(((0.096*(((0+24)-B7)^2.422))*(EXP((-0.339*((0+24)-B7)))))*(B4-B5)))))</f>
        <v>14.234916754141189</v>
      </c>
      <c r="C10" s="60">
        <f t="shared" ref="C10:M10" si="1">IF((ABS($D$2)&gt;=23.5),IF((0&gt;=C7),(C5+(((0.023*((0-C7)^3.436))*(EXP((-0.421*(0-C7)))))*(C4-C5))),(C5+(((0.023*(((0+24)-C7)^3.436))*(EXP((-0.421*((0+24)-C7)))))*(C4-C5)))),IF((0&gt;=C7),(C5+(((0.096*((0-C7)^2.422))*(EXP((-0.339*(0-C7)))))*(C4-C5))),(C5+(((0.096*(((0+24)-C7)^2.422))*(EXP((-0.339*((0+24)-C7)))))*(C4-C5)))))</f>
        <v>14.73355431589439</v>
      </c>
      <c r="D10" s="60">
        <f t="shared" si="1"/>
        <v>16.339811816408435</v>
      </c>
      <c r="E10" s="60">
        <f t="shared" si="1"/>
        <v>19.414906594511965</v>
      </c>
      <c r="F10" s="60">
        <f t="shared" si="1"/>
        <v>22.238704829018218</v>
      </c>
      <c r="G10" s="60">
        <f t="shared" si="1"/>
        <v>26.527816743908332</v>
      </c>
      <c r="H10" s="60">
        <f t="shared" si="1"/>
        <v>28.45790372175837</v>
      </c>
      <c r="I10" s="60">
        <f t="shared" si="1"/>
        <v>28.362329609718117</v>
      </c>
      <c r="J10" s="60">
        <f t="shared" si="1"/>
        <v>27.232181075928228</v>
      </c>
      <c r="K10" s="60">
        <f t="shared" si="1"/>
        <v>22.795474812529811</v>
      </c>
      <c r="L10" s="60">
        <f t="shared" si="1"/>
        <v>17.233988158485985</v>
      </c>
      <c r="M10" s="61">
        <f t="shared" si="1"/>
        <v>14.07147168725287</v>
      </c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</row>
    <row r="11" spans="1:39" x14ac:dyDescent="0.25">
      <c r="A11" s="111">
        <v>4.1666666666666664E-2</v>
      </c>
      <c r="B11" s="62">
        <f>IF((ABS($D$2)&gt;=23.5),IF((1&gt;=B7),(B5+(((0.023*((1-B7)^3.436))*(EXP((-0.421*(1-B7)))))*(B4-B5))),(B5+(((0.023*(((1+24)-B7)^3.436))*(EXP((-0.421*((1+24)-B7)))))*(B4-B5)))),IF((1&gt;=B7),(B5+(((0.096*((1-B7)^2.422))*(EXP((-0.339*(1-B7)))))*(B4-B5))),(B5+(((0.096*(((1+24)-B7)^2.422))*(EXP((-0.339*((1+24)-B7)))))*(B4-B5)))))</f>
        <v>13.376758223815056</v>
      </c>
      <c r="C11" s="1">
        <f t="shared" ref="C11:M11" si="2">IF((ABS($D$2)&gt;=23.5),IF((1&gt;=C7),(C5+(((0.023*((1-C7)^3.436))*(EXP((-0.421*(1-C7)))))*(C4-C5))),(C5+(((0.023*(((1+24)-C7)^3.436))*(EXP((-0.421*((1+24)-C7)))))*(C4-C5)))),IF((1&gt;=C7),(C5+(((0.096*((1-C7)^2.422))*(EXP((-0.339*(1-C7)))))*(C4-C5))),(C5+(((0.096*(((1+24)-C7)^2.422))*(EXP((-0.339*((1+24)-C7)))))*(C4-C5)))))</f>
        <v>13.863653167330778</v>
      </c>
      <c r="D11" s="1">
        <f t="shared" si="2"/>
        <v>15.454716524506797</v>
      </c>
      <c r="E11" s="1">
        <f t="shared" si="2"/>
        <v>18.562390847835488</v>
      </c>
      <c r="F11" s="1">
        <f t="shared" si="2"/>
        <v>21.412866122799013</v>
      </c>
      <c r="G11" s="1">
        <f t="shared" si="2"/>
        <v>25.785470668894629</v>
      </c>
      <c r="H11" s="1">
        <f t="shared" si="2"/>
        <v>27.840595798607318</v>
      </c>
      <c r="I11" s="1">
        <f t="shared" si="2"/>
        <v>27.772159370147111</v>
      </c>
      <c r="J11" s="1">
        <f t="shared" si="2"/>
        <v>26.573556087719719</v>
      </c>
      <c r="K11" s="1">
        <f t="shared" si="2"/>
        <v>21.94890867603803</v>
      </c>
      <c r="L11" s="1">
        <f t="shared" si="2"/>
        <v>16.331858737872903</v>
      </c>
      <c r="M11" s="63">
        <f t="shared" si="2"/>
        <v>13.229515179150573</v>
      </c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</row>
    <row r="12" spans="1:39" x14ac:dyDescent="0.25">
      <c r="A12" s="111">
        <v>8.3333333333333329E-2</v>
      </c>
      <c r="B12" s="62">
        <f>IF((ABS($D$2)&gt;=23.5),IF((2&gt;=B7),(B5+(((0.023*((2-B7)^3.436))*(EXP((-0.421*(2-B7)))))*(B4-B5))),(B5+(((0.023*(((2+24)-B7)^3.436))*(EXP((-0.421*((2+24)-B7)))))*(B4-B5)))),IF((2&gt;=B7),(B5+(((0.096*((2-B7)^2.422))*(EXP((-0.339*(2-B7)))))*(B4-B5))),(B5+(((0.096*(((2+24)-B7)^2.422))*(EXP((-0.339*((2+24)-B7)))))*(B4-B5)))))</f>
        <v>12.664564228770711</v>
      </c>
      <c r="C12" s="1">
        <f t="shared" ref="C12:M12" si="3">IF((ABS($D$2)&gt;=23.5),IF((2&gt;=C7),(C5+(((0.023*((2-C7)^3.436))*(EXP((-0.421*(2-C7)))))*(C4-C5))),(C5+(((0.023*(((2+24)-C7)^3.436))*(EXP((-0.421*((2+24)-C7)))))*(C4-C5)))),IF((2&gt;=C7),(C5+(((0.096*((2-C7)^2.422))*(EXP((-0.339*(2-C7)))))*(C4-C5))),(C5+(((0.096*(((2+24)-C7)^2.422))*(EXP((-0.339*((2+24)-C7)))))*(C4-C5)))))</f>
        <v>13.145749345143003</v>
      </c>
      <c r="D12" s="1">
        <f t="shared" si="3"/>
        <v>14.72892974029269</v>
      </c>
      <c r="E12" s="1">
        <f t="shared" si="3"/>
        <v>17.868114430740288</v>
      </c>
      <c r="F12" s="1">
        <f t="shared" si="3"/>
        <v>20.743878301026687</v>
      </c>
      <c r="G12" s="1">
        <f t="shared" si="3"/>
        <v>25.185736458204861</v>
      </c>
      <c r="H12" s="1">
        <f t="shared" si="3"/>
        <v>27.34134834732761</v>
      </c>
      <c r="I12" s="1">
        <f t="shared" si="3"/>
        <v>27.292732618698015</v>
      </c>
      <c r="J12" s="1">
        <f t="shared" si="3"/>
        <v>26.035058279302756</v>
      </c>
      <c r="K12" s="1">
        <f t="shared" si="3"/>
        <v>21.251942768024801</v>
      </c>
      <c r="L12" s="1">
        <f t="shared" si="3"/>
        <v>15.584387774024028</v>
      </c>
      <c r="M12" s="63">
        <f t="shared" si="3"/>
        <v>12.529651319915317</v>
      </c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</row>
    <row r="13" spans="1:39" x14ac:dyDescent="0.25">
      <c r="A13" s="111">
        <v>0.125</v>
      </c>
      <c r="B13" s="62">
        <f>IF((ABS($D$2)&gt;=23.5),IF((3&gt;=B7),(B5+(((0.023*((3-B7)^3.436))*(EXP((-0.421*(3-B7)))))*(B4-B5))),(B5+(((0.023*(((3+24)-B7)^3.436))*(EXP((-0.421*((3+24)-B7)))))*(B4-B5)))),IF((3&gt;=B7),(B5+(((0.096*((3-B7)^2.422))*(EXP((-0.339*(3-B7)))))*(B4-B5))),(B5+(((0.096*(((3+24)-B7)^2.422))*(EXP((-0.339*((3+24)-B7)))))*(B4-B5)))))</f>
        <v>12.082976914947945</v>
      </c>
      <c r="C13" s="1">
        <f t="shared" ref="C13:M13" si="4">IF((ABS($D$2)&gt;=23.5),IF((3&gt;=C7),(C5+(((0.023*((3-C7)^3.436))*(EXP((-0.421*(3-C7)))))*(C4-C5))),(C5+(((0.023*(((3+24)-C7)^3.436))*(EXP((-0.421*((3+24)-C7)))))*(C4-C5)))),IF((3&gt;=C7),(C5+(((0.096*((3-C7)^2.422))*(EXP((-0.339*(3-C7)))))*(C4-C5))),(C5+(((0.096*(((3+24)-C7)^2.422))*(EXP((-0.339*((3+24)-C7)))))*(C4-C5)))))</f>
        <v>12.56231427255141</v>
      </c>
      <c r="D13" s="1">
        <f t="shared" si="4"/>
        <v>14.142334259497382</v>
      </c>
      <c r="E13" s="1">
        <f t="shared" si="4"/>
        <v>17.310326795415307</v>
      </c>
      <c r="F13" s="1">
        <f t="shared" si="4"/>
        <v>20.208891064977152</v>
      </c>
      <c r="G13" s="1">
        <f t="shared" si="4"/>
        <v>24.707260292283379</v>
      </c>
      <c r="H13" s="1">
        <f t="shared" si="4"/>
        <v>26.942671246532832</v>
      </c>
      <c r="I13" s="1">
        <f t="shared" si="4"/>
        <v>26.908394160066916</v>
      </c>
      <c r="J13" s="1">
        <f t="shared" si="4"/>
        <v>25.600937391896085</v>
      </c>
      <c r="K13" s="1">
        <f t="shared" si="4"/>
        <v>20.686697539378262</v>
      </c>
      <c r="L13" s="1">
        <f t="shared" si="4"/>
        <v>14.974841996864354</v>
      </c>
      <c r="M13" s="63">
        <f t="shared" si="4"/>
        <v>11.957351561351228</v>
      </c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</row>
    <row r="14" spans="1:39" x14ac:dyDescent="0.25">
      <c r="A14" s="111">
        <v>0.16666666666666666</v>
      </c>
      <c r="B14" s="62">
        <f>IF((ABS($D$2)&gt;=23.5),IF((4&gt;=B7),(B5+(((0.023*((4-B7)^3.436))*(EXP((-0.421*(4-B7)))))*(B4-B5))),(B5+(((0.023*(((4+24)-B7)^3.436))*(EXP((-0.421*((4+24)-B7)))))*(B4-B5)))),IF((4&gt;=B7),(B5+(((0.096*((4-B7)^2.422))*(EXP((-0.339*(4-B7)))))*(B4-B5))),(B5+(((0.096*(((4+24)-B7)^2.422))*(EXP((-0.339*((4+24)-B7)))))*(B4-B5)))))</f>
        <v>11.614613913771883</v>
      </c>
      <c r="C14" s="1">
        <f t="shared" ref="C14:M14" si="5">IF((ABS($D$2)&gt;=23.5),IF((4&gt;=C7),(C5+(((0.023*((4-C7)^3.436))*(EXP((-0.421*(4-C7)))))*(C4-C5))),(C5+(((0.023*(((4+24)-C7)^3.436))*(EXP((-0.421*((4+24)-C7)))))*(C4-C5)))),IF((4&gt;=C7),(C5+(((0.096*((4-C7)^2.422))*(EXP((-0.339*(4-C7)))))*(C4-C5))),(C5+(((0.096*(((4+24)-C7)^2.422))*(EXP((-0.339*((4+24)-C7)))))*(C4-C5)))))</f>
        <v>12.094426029130766</v>
      </c>
      <c r="D14" s="1">
        <f t="shared" si="5"/>
        <v>13.6741731302345</v>
      </c>
      <c r="E14" s="1">
        <f t="shared" si="5"/>
        <v>16.867482846138248</v>
      </c>
      <c r="F14" s="1">
        <f t="shared" si="5"/>
        <v>19.785878064655755</v>
      </c>
      <c r="G14" s="1">
        <f t="shared" si="5"/>
        <v>24.329717226464098</v>
      </c>
      <c r="H14" s="1">
        <f t="shared" si="5"/>
        <v>26.627835220398595</v>
      </c>
      <c r="I14" s="1">
        <f t="shared" si="5"/>
        <v>26.603840242820667</v>
      </c>
      <c r="J14" s="1">
        <f t="shared" si="5"/>
        <v>25.255236019354264</v>
      </c>
      <c r="K14" s="1">
        <f t="shared" si="5"/>
        <v>20.234216050523969</v>
      </c>
      <c r="L14" s="1">
        <f t="shared" si="5"/>
        <v>14.484556731394035</v>
      </c>
      <c r="M14" s="63">
        <f t="shared" si="5"/>
        <v>11.495921347672507</v>
      </c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</row>
    <row r="15" spans="1:39" x14ac:dyDescent="0.25">
      <c r="A15" s="111">
        <v>0.20833333333333334</v>
      </c>
      <c r="B15" s="62">
        <f>IF((ABS($D$2)&gt;=23.5),IF((5&gt;=B7),(B5+(((0.023*((5-B7)^3.436))*(EXP((-0.421*(5-B7)))))*(B4-B5))),(B5+(((0.023*(((5+24)-B7)^3.436))*(EXP((-0.421*((5+24)-B7)))))*(B4-B5)))),IF((5&gt;=B7),(B5+(((0.096*((5-B7)^2.422))*(EXP((-0.339*(5-B7)))))*(B4-B5))),(B5+(((0.096*(((5+24)-B7)^2.422))*(EXP((-0.339*((5+24)-B7)))))*(B4-B5)))))</f>
        <v>11.241990402751185</v>
      </c>
      <c r="C15" s="1">
        <f t="shared" ref="C15:M15" si="6">IF((ABS($D$2)&gt;=23.5),IF((5&gt;=C7),(C5+(((0.023*((5-C7)^3.436))*(EXP((-0.421*(5-C7)))))*(C4-C5))),(C5+(((0.023*(((5+24)-C7)^3.436))*(EXP((-0.421*((5+24)-C7)))))*(C4-C5)))),IF((5&gt;=C7),(C5+(((0.096*((5-C7)^2.422))*(EXP((-0.339*(5-C7)))))*(C4-C5))),(C5+(((0.096*(((5+24)-C7)^2.422))*(EXP((-0.339*((5+24)-C7)))))*(C4-C5)))))</f>
        <v>11.723547553104392</v>
      </c>
      <c r="D15" s="1">
        <f t="shared" si="6"/>
        <v>13.304652518214652</v>
      </c>
      <c r="E15" s="1">
        <f t="shared" si="6"/>
        <v>16.519562513435957</v>
      </c>
      <c r="F15" s="1">
        <f t="shared" si="6"/>
        <v>19.454740277086366</v>
      </c>
      <c r="G15" s="1">
        <f t="shared" si="6"/>
        <v>24.03472106164606</v>
      </c>
      <c r="H15" s="1">
        <f t="shared" si="6"/>
        <v>26.381655475146303</v>
      </c>
      <c r="I15" s="1">
        <f t="shared" si="6"/>
        <v>26.364973836208002</v>
      </c>
      <c r="J15" s="1">
        <f t="shared" si="6"/>
        <v>24.982909551391849</v>
      </c>
      <c r="K15" s="1">
        <f t="shared" si="6"/>
        <v>19.876121213866643</v>
      </c>
      <c r="L15" s="1">
        <f t="shared" si="6"/>
        <v>14.09490607289584</v>
      </c>
      <c r="M15" s="63">
        <f t="shared" si="6"/>
        <v>11.128431528211284</v>
      </c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</row>
    <row r="16" spans="1:39" x14ac:dyDescent="0.25">
      <c r="A16" s="111">
        <v>0.25</v>
      </c>
      <c r="B16" s="62">
        <f>IF((ABS($D$2)&gt;=23.5),IF((6&gt;=B7),(B5+(((0.023*((6-B7)^3.436))*(EXP((-0.421*(6-B7)))))*(B4-B5))),(B5+(((0.023*(((6+24)-B7)^3.436))*(EXP((-0.421*((6+24)-B7)))))*(B4-B5)))),IF((6&gt;=B7),(B5+(((0.096*((6-B7)^2.422))*(EXP((-0.339*(6-B7)))))*(B4-B5))),(B5+(((0.096*(((6+24)-B7)^2.422))*(EXP((-0.339*((6+24)-B7)))))*(B4-B5)))))</f>
        <v>10.948696947729628</v>
      </c>
      <c r="C16" s="1">
        <f t="shared" ref="C16:M16" si="7">IF((ABS($D$2)&gt;=23.5),IF((6&gt;=C7),(C5+(((0.023*((6-C7)^3.436))*(EXP((-0.421*(6-C7)))))*(C4-C5))),(C5+(((0.023*(((6+24)-C7)^3.436))*(EXP((-0.421*((6+24)-C7)))))*(C4-C5)))),IF((6&gt;=C7),(C5+(((0.096*((6-C7)^2.422))*(EXP((-0.339*(6-C7)))))*(C4-C5))),(C5+(((0.096*(((6+24)-C7)^2.422))*(EXP((-0.339*((6+24)-C7)))))*(C4-C5)))))</f>
        <v>11.432578949270605</v>
      </c>
      <c r="D16" s="1">
        <f t="shared" si="7"/>
        <v>13.015843507110258</v>
      </c>
      <c r="E16" s="1">
        <f t="shared" si="7"/>
        <v>15.409783645958523</v>
      </c>
      <c r="F16" s="1">
        <f t="shared" si="7"/>
        <v>18.50599588088884</v>
      </c>
      <c r="G16" s="1">
        <f t="shared" si="7"/>
        <v>23.309186150626896</v>
      </c>
      <c r="H16" s="1">
        <f t="shared" si="7"/>
        <v>25.730258590785578</v>
      </c>
      <c r="I16" s="1">
        <f t="shared" si="7"/>
        <v>25.625967170183323</v>
      </c>
      <c r="J16" s="1">
        <f t="shared" si="7"/>
        <v>24.100060837276931</v>
      </c>
      <c r="K16" s="1">
        <f t="shared" si="7"/>
        <v>19.595579588474642</v>
      </c>
      <c r="L16" s="1">
        <f t="shared" si="7"/>
        <v>13.788498901311497</v>
      </c>
      <c r="M16" s="63">
        <f t="shared" si="7"/>
        <v>10.838912366503731</v>
      </c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</row>
    <row r="17" spans="1:39" x14ac:dyDescent="0.25">
      <c r="A17" s="111">
        <v>0.29166666666666669</v>
      </c>
      <c r="B17" s="62">
        <f>IF((ABS($D$2)&gt;=23.5),IF((7&gt;=B7),(B5+(((0.023*((7-B7)^3.436))*(EXP((-0.421*(7-B7)))))*(B4-B5))),(B5+(((0.023*(((7+24)-B7)^3.436))*(EXP((-0.421*((7+24)-B7)))))*(B4-B5)))),IF((7&gt;=B7),(B5+(((0.096*((7-B7)^2.422))*(EXP((-0.339*(7-B7)))))*(B4-B5))),(B5+(((0.096*(((7+24)-B7)^2.422))*(EXP((-0.339*((7+24)-B7)))))*(B4-B5)))))</f>
        <v>10.000647069135995</v>
      </c>
      <c r="C17" s="1">
        <f t="shared" ref="C17:M17" si="8">IF((ABS($D$2)&gt;=23.5),IF((7&gt;=C7),(C5+(((0.023*((7-C7)^3.436))*(EXP((-0.421*(7-C7)))))*(C4-C5))),(C5+(((0.023*(((7+24)-C7)^3.436))*(EXP((-0.421*((7+24)-C7)))))*(C4-C5)))),IF((7&gt;=C7),(C5+(((0.096*((7-C7)^2.422))*(EXP((-0.339*(7-C7)))))*(C4-C5))),(C5+(((0.096*(((7+24)-C7)^2.422))*(EXP((-0.339*((7+24)-C7)))))*(C4-C5)))))</f>
        <v>10.526087895361137</v>
      </c>
      <c r="D17" s="1">
        <f t="shared" si="8"/>
        <v>12.283537106941065</v>
      </c>
      <c r="E17" s="1">
        <f t="shared" si="8"/>
        <v>16.059049902602084</v>
      </c>
      <c r="F17" s="1">
        <f t="shared" si="8"/>
        <v>19.76385096944885</v>
      </c>
      <c r="G17" s="1">
        <f t="shared" si="8"/>
        <v>24.806340748834746</v>
      </c>
      <c r="H17" s="1">
        <f t="shared" si="8"/>
        <v>26.850055070741991</v>
      </c>
      <c r="I17" s="1">
        <f t="shared" si="8"/>
        <v>26.265417199142092</v>
      </c>
      <c r="J17" s="1">
        <f t="shared" si="8"/>
        <v>24.354319604491291</v>
      </c>
      <c r="K17" s="1">
        <f t="shared" si="8"/>
        <v>18.759902323176803</v>
      </c>
      <c r="L17" s="1">
        <f t="shared" si="8"/>
        <v>12.803102396403863</v>
      </c>
      <c r="M17" s="63">
        <f t="shared" si="8"/>
        <v>9.9000425358552384</v>
      </c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</row>
    <row r="18" spans="1:39" x14ac:dyDescent="0.25">
      <c r="A18" s="111">
        <v>0.33333333333333331</v>
      </c>
      <c r="B18" s="62">
        <f>IF((ABS($D$2)&gt;=23.5),IF((8&gt;=B7),(B5+(((0.023*((8-B7)^3.436))*(EXP((-0.421*(8-B7)))))*(B4-B5))),(B5+(((0.023*(((8+24)-B7)^3.436))*(EXP((-0.421*((8+24)-B7)))))*(B4-B5)))),IF((8&gt;=B7),(B5+(((0.096*((8-B7)^2.422))*(EXP((-0.339*(8-B7)))))*(B4-B5))),(B5+(((0.096*(((8+24)-B7)^2.422))*(EXP((-0.339*((8+24)-B7)))))*(B4-B5)))))</f>
        <v>10.345798710878119</v>
      </c>
      <c r="C18" s="1">
        <f t="shared" ref="C18:M18" si="9">IF((ABS($D$2)&gt;=23.5),IF((8&gt;=C7),(C5+(((0.023*((8-C7)^3.436))*(EXP((-0.421*(8-C7)))))*(C4-C5))),(C5+(((0.023*(((8+24)-C7)^3.436))*(EXP((-0.421*((8+24)-C7)))))*(C4-C5)))),IF((8&gt;=C7),(C5+(((0.096*((8-C7)^2.422))*(EXP((-0.339*(8-C7)))))*(C4-C5))),(C5+(((0.096*(((8+24)-C7)^2.422))*(EXP((-0.339*((8+24)-C7)))))*(C4-C5)))))</f>
        <v>11.262058062456813</v>
      </c>
      <c r="D18" s="1">
        <f t="shared" si="9"/>
        <v>13.689895482914046</v>
      </c>
      <c r="E18" s="1">
        <f t="shared" si="9"/>
        <v>18.302501358325934</v>
      </c>
      <c r="F18" s="1">
        <f t="shared" si="9"/>
        <v>22.704566869516036</v>
      </c>
      <c r="G18" s="1">
        <f t="shared" si="9"/>
        <v>27.818054928833156</v>
      </c>
      <c r="H18" s="1">
        <f t="shared" si="9"/>
        <v>29.23294092211912</v>
      </c>
      <c r="I18" s="1">
        <f t="shared" si="9"/>
        <v>28.070386663915357</v>
      </c>
      <c r="J18" s="1">
        <f t="shared" si="9"/>
        <v>25.675462990478465</v>
      </c>
      <c r="K18" s="1">
        <f t="shared" si="9"/>
        <v>19.688757125170955</v>
      </c>
      <c r="L18" s="1">
        <f t="shared" si="9"/>
        <v>13.263527493590592</v>
      </c>
      <c r="M18" s="63">
        <f t="shared" si="9"/>
        <v>10.162553925853274</v>
      </c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</row>
    <row r="19" spans="1:39" x14ac:dyDescent="0.25">
      <c r="A19" s="111">
        <v>0.375</v>
      </c>
      <c r="B19" s="62">
        <f>IF((ABS($D$2)&gt;=23.5),IF((9&gt;=B7),(B5+(((0.023*((9-B7)^3.436))*(EXP((-0.421*(9-B7)))))*(B4-B5))),(B5+(((0.023*(((9+24)-B7)^3.436))*(EXP((-0.421*((9+24)-B7)))))*(B4-B5)))),IF((9&gt;=B7),(B5+(((0.096*((9-B7)^2.422))*(EXP((-0.339*(9-B7)))))*(B4-B5))),(B5+(((0.096*(((9+24)-B7)^2.422))*(EXP((-0.339*((9+24)-B7)))))*(B4-B5)))))</f>
        <v>11.906652089212187</v>
      </c>
      <c r="C19" s="1">
        <f t="shared" ref="C19:M19" si="10">IF((ABS($D$2)&gt;=23.5),IF((9&gt;=C7),(C5+(((0.023*((9-C7)^3.436))*(EXP((-0.421*(9-C7)))))*(C4-C5))),(C5+(((0.023*(((9+24)-C7)^3.436))*(EXP((-0.421*((9+24)-C7)))))*(C4-C5)))),IF((9&gt;=C7),(C5+(((0.096*((9-C7)^2.422))*(EXP((-0.339*(9-C7)))))*(C4-C5))),(C5+(((0.096*(((9+24)-C7)^2.422))*(EXP((-0.339*((9+24)-C7)))))*(C4-C5)))))</f>
        <v>13.405464468578106</v>
      </c>
      <c r="D19" s="1">
        <f t="shared" si="10"/>
        <v>16.579442497388573</v>
      </c>
      <c r="E19" s="1">
        <f t="shared" si="10"/>
        <v>21.838870584410962</v>
      </c>
      <c r="F19" s="1">
        <f t="shared" si="10"/>
        <v>26.668330001595674</v>
      </c>
      <c r="G19" s="1">
        <f t="shared" si="10"/>
        <v>31.608690806505038</v>
      </c>
      <c r="H19" s="1">
        <f t="shared" si="10"/>
        <v>32.311992367357966</v>
      </c>
      <c r="I19" s="1">
        <f t="shared" si="10"/>
        <v>30.702922030926388</v>
      </c>
      <c r="J19" s="1">
        <f t="shared" si="10"/>
        <v>28.074265738288489</v>
      </c>
      <c r="K19" s="1">
        <f t="shared" si="10"/>
        <v>22.024945583923877</v>
      </c>
      <c r="L19" s="1">
        <f t="shared" si="10"/>
        <v>15.066380525182115</v>
      </c>
      <c r="M19" s="63">
        <f t="shared" si="10"/>
        <v>11.550967747537506</v>
      </c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</row>
    <row r="20" spans="1:39" x14ac:dyDescent="0.25">
      <c r="A20" s="111">
        <v>0.41666666666666669</v>
      </c>
      <c r="B20" s="62">
        <f>IF((ABS($D$2)&gt;=23.5),IF((10&gt;=B7),(B5+(((0.023*((10-B7)^3.436))*(EXP((-0.421*(10-B7)))))*(B4-B5))),(B5+(((0.023*(((10+24)-B7)^3.436))*(EXP((-0.421*((10+24)-B7)))))*(B4-B5)))),IF((10&gt;=B7),(B5+(((0.096*((10-B7)^2.422))*(EXP((-0.339*(10-B7)))))*(B4-B5))),(B5+(((0.096*(((10+24)-B7)^2.422))*(EXP((-0.339*((10+24)-B7)))))*(B4-B5)))))</f>
        <v>14.612305023457058</v>
      </c>
      <c r="C20" s="1">
        <f t="shared" ref="C20:M20" si="11">IF((ABS($D$2)&gt;=23.5),IF((10&gt;=C7),(C5+(((0.023*((10-C7)^3.436))*(EXP((-0.421*(10-C7)))))*(C4-C5))),(C5+(((0.023*(((10+24)-C7)^3.436))*(EXP((-0.421*((10+24)-C7)))))*(C4-C5)))),IF((10&gt;=C7),(C5+(((0.096*((10-C7)^2.422))*(EXP((-0.339*(10-C7)))))*(C4-C5))),(C5+(((0.096*(((10+24)-C7)^2.422))*(EXP((-0.339*((10+24)-C7)))))*(C4-C5)))))</f>
        <v>16.570736306474338</v>
      </c>
      <c r="D20" s="1">
        <f t="shared" si="11"/>
        <v>20.25281695156016</v>
      </c>
      <c r="E20" s="1">
        <f t="shared" si="11"/>
        <v>25.767270822657679</v>
      </c>
      <c r="F20" s="1">
        <f t="shared" si="11"/>
        <v>30.684326945143333</v>
      </c>
      <c r="G20" s="1">
        <f t="shared" si="11"/>
        <v>35.283349549633208</v>
      </c>
      <c r="H20" s="1">
        <f t="shared" si="11"/>
        <v>35.348819369711492</v>
      </c>
      <c r="I20" s="1">
        <f t="shared" si="11"/>
        <v>33.500611277353222</v>
      </c>
      <c r="J20" s="1">
        <f t="shared" si="11"/>
        <v>30.945762383570461</v>
      </c>
      <c r="K20" s="1">
        <f t="shared" si="11"/>
        <v>25.274406110013288</v>
      </c>
      <c r="L20" s="1">
        <f t="shared" si="11"/>
        <v>18.039517314865023</v>
      </c>
      <c r="M20" s="63">
        <f t="shared" si="11"/>
        <v>14.086618773819819</v>
      </c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</row>
    <row r="21" spans="1:39" x14ac:dyDescent="0.25">
      <c r="A21" s="111">
        <v>0.45833333333333331</v>
      </c>
      <c r="B21" s="62">
        <f>IF((ABS($D$2)&gt;=23.5),IF((11&gt;=B7),(B5+(((0.023*((11-B7)^3.436))*(EXP((-0.421*(11-B7)))))*(B4-B5))),(B5+(((0.023*(((11+24)-B7)^3.436))*(EXP((-0.421*((11+24)-B7)))))*(B4-B5)))),IF((11&gt;=B7),(B5+(((0.096*((11-B7)^2.422))*(EXP((-0.339*(11-B7)))))*(B4-B5))),(B5+(((0.096*(((11+24)-B7)^2.422))*(EXP((-0.339*((11+24)-B7)))))*(B4-B5)))))</f>
        <v>17.775113288462908</v>
      </c>
      <c r="C21" s="1">
        <f t="shared" ref="C21:M21" si="12">IF((ABS($D$2)&gt;=23.5),IF((11&gt;=C7),(C5+(((0.023*((11-C7)^3.436))*(EXP((-0.421*(11-C7)))))*(C4-C5))),(C5+(((0.023*(((11+24)-C7)^3.436))*(EXP((-0.421*((11+24)-C7)))))*(C4-C5)))),IF((11&gt;=C7),(C5+(((0.096*((11-C7)^2.422))*(EXP((-0.339*(11-C7)))))*(C4-C5))),(C5+(((0.096*(((11+24)-C7)^2.422))*(EXP((-0.339*((11+24)-C7)))))*(C4-C5)))))</f>
        <v>19.959108339555698</v>
      </c>
      <c r="D21" s="1">
        <f t="shared" si="12"/>
        <v>23.837415047137014</v>
      </c>
      <c r="E21" s="1">
        <f t="shared" si="12"/>
        <v>29.252777164892894</v>
      </c>
      <c r="F21" s="1">
        <f t="shared" si="12"/>
        <v>33.993055027998032</v>
      </c>
      <c r="G21" s="1">
        <f t="shared" si="12"/>
        <v>38.194634478263325</v>
      </c>
      <c r="H21" s="1">
        <f t="shared" si="12"/>
        <v>37.792658673736817</v>
      </c>
      <c r="I21" s="1">
        <f t="shared" si="12"/>
        <v>35.898626253442337</v>
      </c>
      <c r="J21" s="1">
        <f t="shared" si="12"/>
        <v>33.635873392574545</v>
      </c>
      <c r="K21" s="1">
        <f t="shared" si="12"/>
        <v>28.631171133011254</v>
      </c>
      <c r="L21" s="1">
        <f t="shared" si="12"/>
        <v>21.424633619242872</v>
      </c>
      <c r="M21" s="63">
        <f t="shared" si="12"/>
        <v>17.13083879884049</v>
      </c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</row>
    <row r="22" spans="1:39" x14ac:dyDescent="0.25">
      <c r="A22" s="111">
        <v>0.5</v>
      </c>
      <c r="B22" s="62">
        <f>IF((ABS($D$2)&gt;=23.5),IF((12&gt;=B7),(B5+(((0.023*((12-B7)^3.436))*(EXP((-0.421*(12-B7)))))*(B4-B5))),(B5+(((0.023*(((12+24)-B7)^3.436))*(EXP((-0.421*((12+24)-B7)))))*(B4-B5)))),IF((12&gt;=B7),(B5+(((0.096*((12-B7)^2.422))*(EXP((-0.339*(12-B7)))))*(B4-B5))),(B5+(((0.096*(((12+24)-B7)^2.422))*(EXP((-0.339*((12+24)-B7)))))*(B4-B5)))))</f>
        <v>20.688783612390075</v>
      </c>
      <c r="C22" s="1">
        <f t="shared" ref="C22:M22" si="13">IF((ABS($D$2)&gt;=23.5),IF((12&gt;=C7),(C5+(((0.023*((12-C7)^3.436))*(EXP((-0.421*(12-C7)))))*(C4-C5))),(C5+(((0.023*(((12+24)-C7)^3.436))*(EXP((-0.421*((12+24)-C7)))))*(C4-C5)))),IF((12&gt;=C7),(C5+(((0.096*((12-C7)^2.422))*(EXP((-0.339*(12-C7)))))*(C4-C5))),(C5+(((0.096*(((12+24)-C7)^2.422))*(EXP((-0.339*((12+24)-C7)))))*(C4-C5)))))</f>
        <v>22.880309884469</v>
      </c>
      <c r="D22" s="1">
        <f t="shared" si="13"/>
        <v>26.694529479326512</v>
      </c>
      <c r="E22" s="1">
        <f t="shared" si="13"/>
        <v>31.781809281338454</v>
      </c>
      <c r="F22" s="1">
        <f t="shared" si="13"/>
        <v>36.194644408705074</v>
      </c>
      <c r="G22" s="1">
        <f t="shared" si="13"/>
        <v>40.033293949982237</v>
      </c>
      <c r="H22" s="1">
        <f t="shared" si="13"/>
        <v>39.369540012390161</v>
      </c>
      <c r="I22" s="1">
        <f t="shared" si="13"/>
        <v>37.57269763974513</v>
      </c>
      <c r="J22" s="1">
        <f t="shared" si="13"/>
        <v>35.699450784658701</v>
      </c>
      <c r="K22" s="1">
        <f t="shared" si="13"/>
        <v>31.442468404792841</v>
      </c>
      <c r="L22" s="1">
        <f t="shared" si="13"/>
        <v>24.483966918657764</v>
      </c>
      <c r="M22" s="63">
        <f t="shared" si="13"/>
        <v>19.988598540190054</v>
      </c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</row>
    <row r="23" spans="1:39" x14ac:dyDescent="0.25">
      <c r="A23" s="111">
        <v>0.54166666666666663</v>
      </c>
      <c r="B23" s="62">
        <f>IF((ABS($D$2)&gt;=23.5),(B5+(((0.023*((13-B7)^3.436))*(EXP((-0.421*(13-B7)))))*(B4-B5))),(B5+(((0.096*((13-B7)^2.422))*(EXP((-0.339*(13-B7)))))*(B4-B5))))</f>
        <v>22.887093088102048</v>
      </c>
      <c r="C23" s="1">
        <f t="shared" ref="C23:M23" si="14">IF((ABS($D$2)&gt;=23.5),(C5+(((0.023*((13-C7)^3.436))*(EXP((-0.421*(13-C7)))))*(C4-C5))),(C5+(((0.096*((13-C7)^2.422))*(EXP((-0.339*(13-C7)))))*(C4-C5))))</f>
        <v>24.933292643888656</v>
      </c>
      <c r="D23" s="1">
        <f t="shared" si="14"/>
        <v>28.51415726910809</v>
      </c>
      <c r="E23" s="1">
        <f t="shared" si="14"/>
        <v>33.171524634462941</v>
      </c>
      <c r="F23" s="1">
        <f t="shared" si="14"/>
        <v>37.205792852010511</v>
      </c>
      <c r="G23" s="1">
        <f t="shared" si="14"/>
        <v>40.768768238883908</v>
      </c>
      <c r="H23" s="1">
        <f t="shared" si="14"/>
        <v>40.039436934936298</v>
      </c>
      <c r="I23" s="1">
        <f t="shared" si="14"/>
        <v>38.427321069016926</v>
      </c>
      <c r="J23" s="1">
        <f t="shared" si="14"/>
        <v>36.942688077205418</v>
      </c>
      <c r="K23" s="1">
        <f t="shared" si="14"/>
        <v>33.351651404617158</v>
      </c>
      <c r="L23" s="1">
        <f t="shared" si="14"/>
        <v>26.74750462009893</v>
      </c>
      <c r="M23" s="63">
        <f t="shared" si="14"/>
        <v>22.185133344249639</v>
      </c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</row>
    <row r="24" spans="1:39" x14ac:dyDescent="0.25">
      <c r="A24" s="111">
        <v>0.58333333333333337</v>
      </c>
      <c r="B24" s="62">
        <f>IF((ABS($D$2)&gt;=23.5),(B5+(((0.023*((14-B7)^3.436))*(EXP((-0.421*(14-B7)))))*(B4-B5))),(B5+(((0.096*((14-B7)^2.422))*(EXP((-0.339*(14-B7)))))*(B4-B5))))</f>
        <v>24.17764123999838</v>
      </c>
      <c r="C24" s="1">
        <f t="shared" ref="C24:M24" si="15">IF((ABS($D$2)&gt;=23.5),(C5+(((0.023*((14-C7)^3.436))*(EXP((-0.421*(14-C7)))))*(C4-C5))),(C5+(((0.096*((14-C7)^2.422))*(EXP((-0.339*(14-C7)))))*(C4-C5))))</f>
        <v>25.99549103338277</v>
      </c>
      <c r="D24" s="1">
        <f t="shared" si="15"/>
        <v>29.259809263138557</v>
      </c>
      <c r="E24" s="1">
        <f t="shared" si="15"/>
        <v>33.480641070469581</v>
      </c>
      <c r="F24" s="1">
        <f t="shared" si="15"/>
        <v>37.153519059685223</v>
      </c>
      <c r="G24" s="1">
        <f t="shared" si="15"/>
        <v>40.546769547204555</v>
      </c>
      <c r="H24" s="1">
        <f t="shared" si="15"/>
        <v>39.913222393884482</v>
      </c>
      <c r="I24" s="1">
        <f t="shared" si="15"/>
        <v>38.526793007520055</v>
      </c>
      <c r="J24" s="1">
        <f t="shared" si="15"/>
        <v>37.36920432371857</v>
      </c>
      <c r="K24" s="1">
        <f t="shared" si="15"/>
        <v>34.270817938254588</v>
      </c>
      <c r="L24" s="1">
        <f t="shared" si="15"/>
        <v>28.034322209739656</v>
      </c>
      <c r="M24" s="63">
        <f t="shared" si="15"/>
        <v>23.512475384674268</v>
      </c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</row>
    <row r="25" spans="1:39" x14ac:dyDescent="0.25">
      <c r="A25" s="111">
        <v>0.625</v>
      </c>
      <c r="B25" s="62">
        <f>IF((ABS($D$2)&gt;=23.5),(B5+(((0.023*((15-B7)^3.436))*(EXP((-0.421*(15-B7)))))*(B4-B5))),(B5+(((0.096*((15-B7)^2.422))*(EXP((-0.339*(15-B7)))))*(B4-B5))))</f>
        <v>24.57824204664567</v>
      </c>
      <c r="C25" s="1">
        <f t="shared" ref="C25:M25" si="16">IF((ABS($D$2)&gt;=23.5),(C5+(((0.023*((15-C7)^3.436))*(EXP((-0.421*(15-C7)))))*(C4-C5))),(C5+(((0.096*((15-C7)^2.422))*(EXP((-0.339*(15-C7)))))*(C4-C5))))</f>
        <v>26.140318095307869</v>
      </c>
      <c r="D25" s="1">
        <f t="shared" si="16"/>
        <v>29.069307968386937</v>
      </c>
      <c r="E25" s="1">
        <f t="shared" si="16"/>
        <v>32.904539735649685</v>
      </c>
      <c r="F25" s="1">
        <f t="shared" si="16"/>
        <v>36.270890762720619</v>
      </c>
      <c r="G25" s="1">
        <f t="shared" si="16"/>
        <v>39.595591753672224</v>
      </c>
      <c r="H25" s="1">
        <f t="shared" si="16"/>
        <v>39.174664429926359</v>
      </c>
      <c r="I25" s="1">
        <f t="shared" si="16"/>
        <v>38.021371381123529</v>
      </c>
      <c r="J25" s="1">
        <f t="shared" si="16"/>
        <v>37.102521014415942</v>
      </c>
      <c r="K25" s="1">
        <f t="shared" si="16"/>
        <v>34.294345288859532</v>
      </c>
      <c r="L25" s="1">
        <f t="shared" si="16"/>
        <v>28.379816304832961</v>
      </c>
      <c r="M25" s="63">
        <f t="shared" si="16"/>
        <v>23.972813594499421</v>
      </c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</row>
    <row r="26" spans="1:39" x14ac:dyDescent="0.25">
      <c r="A26" s="111">
        <v>0.66666666666666663</v>
      </c>
      <c r="B26" s="62">
        <f>IF((ABS($D$2)&gt;=23.5),(B5+(((0.023*((16-B7)^3.436))*(EXP((-0.421*(16-B7)))))*(B4-B5))),(B5+(((0.096*((16-B7)^2.422))*(EXP((-0.339*(16-B7)))))*(B4-B5))))</f>
        <v>24.231728747418412</v>
      </c>
      <c r="C26" s="1">
        <f t="shared" ref="C26:M26" si="17">IF((ABS($D$2)&gt;=23.5),(C5+(((0.023*((16-C7)^3.436))*(EXP((-0.421*(16-C7)))))*(C4-C5))),(C5+(((0.096*((16-C7)^2.422))*(EXP((-0.339*(16-C7)))))*(C4-C5))))</f>
        <v>25.547543250746397</v>
      </c>
      <c r="D26" s="1">
        <f t="shared" si="17"/>
        <v>28.163129657822715</v>
      </c>
      <c r="E26" s="1">
        <f t="shared" si="17"/>
        <v>31.690095963172425</v>
      </c>
      <c r="F26" s="1">
        <f t="shared" si="17"/>
        <v>34.819147614811058</v>
      </c>
      <c r="G26" s="1">
        <f t="shared" si="17"/>
        <v>38.158854476345688</v>
      </c>
      <c r="H26" s="1">
        <f t="shared" si="17"/>
        <v>38.023556693337206</v>
      </c>
      <c r="I26" s="1">
        <f t="shared" si="17"/>
        <v>37.089700477228071</v>
      </c>
      <c r="J26" s="1">
        <f t="shared" si="17"/>
        <v>36.318540642912502</v>
      </c>
      <c r="K26" s="1">
        <f t="shared" si="17"/>
        <v>33.611113685765652</v>
      </c>
      <c r="L26" s="1">
        <f t="shared" si="17"/>
        <v>27.944873129425176</v>
      </c>
      <c r="M26" s="63">
        <f t="shared" si="17"/>
        <v>23.696291334693942</v>
      </c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</row>
    <row r="27" spans="1:39" x14ac:dyDescent="0.25">
      <c r="A27" s="111">
        <v>0.70833333333333337</v>
      </c>
      <c r="B27" s="62">
        <f>IF((ABS($D$2)&gt;=23.5),(B5+(((0.023*((17-B7)^3.436))*(EXP((-0.421*(17-B7)))))*(B4-B5))),(B5+(((0.096*((17-B7)^2.422))*(EXP((-0.339*(17-B7)))))*(B4-B5))))</f>
        <v>23.333410737106529</v>
      </c>
      <c r="C27" s="1">
        <f t="shared" ref="C27:M27" si="18">IF((ABS($D$2)&gt;=23.5),(C5+(((0.023*((17-C7)^3.436))*(EXP((-0.421*(17-C7)))))*(C4-C5))),(C5+(((0.096*((17-C7)^2.422))*(EXP((-0.339*(17-C7)))))*(C4-C5))))</f>
        <v>24.432948398807167</v>
      </c>
      <c r="D27" s="1">
        <f t="shared" si="18"/>
        <v>26.778216165095934</v>
      </c>
      <c r="E27" s="1">
        <f t="shared" si="18"/>
        <v>30.079244307015934</v>
      </c>
      <c r="F27" s="1">
        <f t="shared" si="18"/>
        <v>33.039546230174395</v>
      </c>
      <c r="G27" s="1">
        <f t="shared" si="18"/>
        <v>36.455460308612714</v>
      </c>
      <c r="H27" s="1">
        <f t="shared" si="18"/>
        <v>36.641339773781752</v>
      </c>
      <c r="I27" s="1">
        <f t="shared" si="18"/>
        <v>35.901857581246347</v>
      </c>
      <c r="J27" s="1">
        <f t="shared" si="18"/>
        <v>35.198542316591741</v>
      </c>
      <c r="K27" s="1">
        <f t="shared" si="18"/>
        <v>32.437795359989082</v>
      </c>
      <c r="L27" s="1">
        <f t="shared" si="18"/>
        <v>26.940416197613057</v>
      </c>
      <c r="M27" s="63">
        <f t="shared" si="18"/>
        <v>22.869207423087577</v>
      </c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</row>
    <row r="28" spans="1:39" x14ac:dyDescent="0.25">
      <c r="A28" s="111">
        <v>0.75</v>
      </c>
      <c r="B28" s="62">
        <f>IF((ABS($D$2)&gt;=23.5),(B5+(((0.023*((18-B7)^3.436))*(EXP((-0.421*(18-B7)))))*(B4-B5))),(B5+(((0.096*((18-B7)^2.422))*(EXP((-0.339*(18-B7)))))*(B4-B5))))</f>
        <v>22.081333252403212</v>
      </c>
      <c r="C28" s="1">
        <f t="shared" ref="C28:M28" si="19">IF((ABS($D$2)&gt;=23.5),(C5+(((0.023*((18-C7)^3.436))*(EXP((-0.421*(18-C7)))))*(C4-C5))),(C5+(((0.096*((18-C7)^2.422))*(EXP((-0.339*(18-C7)))))*(C4-C5))))</f>
        <v>23.002935124421324</v>
      </c>
      <c r="D28" s="1">
        <f t="shared" si="19"/>
        <v>25.128334518228787</v>
      </c>
      <c r="E28" s="1">
        <f t="shared" si="19"/>
        <v>28.278253202085185</v>
      </c>
      <c r="F28" s="1">
        <f t="shared" si="19"/>
        <v>31.129526072662557</v>
      </c>
      <c r="G28" s="1">
        <f t="shared" si="19"/>
        <v>34.660953801379968</v>
      </c>
      <c r="H28" s="1">
        <f t="shared" si="19"/>
        <v>35.174682894902659</v>
      </c>
      <c r="I28" s="1">
        <f t="shared" si="19"/>
        <v>34.600052660943362</v>
      </c>
      <c r="J28" s="1">
        <f t="shared" si="19"/>
        <v>33.902079563735434</v>
      </c>
      <c r="K28" s="1">
        <f t="shared" si="19"/>
        <v>30.976957742578094</v>
      </c>
      <c r="L28" s="1">
        <f t="shared" si="19"/>
        <v>25.576561834560458</v>
      </c>
      <c r="M28" s="63">
        <f t="shared" si="19"/>
        <v>21.683941851810154</v>
      </c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</row>
    <row r="29" spans="1:39" x14ac:dyDescent="0.25">
      <c r="A29" s="111">
        <v>0.79166666666666663</v>
      </c>
      <c r="B29" s="62">
        <f>IF((ABS($D$2)&gt;=23.5),(B5+(((0.023*((19-B7)^3.436))*(EXP((-0.421*(19-B7)))))*(B4-B5))),(B5+(((0.096*((19-B7)^2.422))*(EXP((-0.339*(19-B7)))))*(B4-B5))))</f>
        <v>20.648075815902608</v>
      </c>
      <c r="C29" s="1">
        <f t="shared" ref="C29:M29" si="20">IF((ABS($D$2)&gt;=23.5),(C5+(((0.023*((19-C7)^3.436))*(EXP((-0.421*(19-C7)))))*(C4-C5))),(C5+(((0.096*((19-C7)^2.422))*(EXP((-0.339*(19-C7)))))*(C4-C5))))</f>
        <v>21.43064299380881</v>
      </c>
      <c r="D29" s="1">
        <f t="shared" si="20"/>
        <v>23.385436953132977</v>
      </c>
      <c r="E29" s="1">
        <f t="shared" si="20"/>
        <v>26.445767367637487</v>
      </c>
      <c r="F29" s="1">
        <f t="shared" si="20"/>
        <v>29.235629518524686</v>
      </c>
      <c r="G29" s="1">
        <f t="shared" si="20"/>
        <v>32.903199685764967</v>
      </c>
      <c r="H29" s="1">
        <f t="shared" si="20"/>
        <v>33.7312217070549</v>
      </c>
      <c r="I29" s="1">
        <f t="shared" si="20"/>
        <v>33.291865420206477</v>
      </c>
      <c r="J29" s="1">
        <f t="shared" si="20"/>
        <v>32.555075240414638</v>
      </c>
      <c r="K29" s="1">
        <f t="shared" si="20"/>
        <v>29.395840848439214</v>
      </c>
      <c r="L29" s="1">
        <f t="shared" si="20"/>
        <v>24.03436590635372</v>
      </c>
      <c r="M29" s="63">
        <f t="shared" si="20"/>
        <v>20.310025840547979</v>
      </c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</row>
    <row r="30" spans="1:39" x14ac:dyDescent="0.25">
      <c r="A30" s="111">
        <v>0.83333333333333337</v>
      </c>
      <c r="B30" s="62">
        <f>IF((ABS($D$2)&gt;=23.5),(B5+(((0.023*((20-B7)^3.436))*(EXP((-0.421*(20-B7)))))*(B4-B5))),(B5+(((0.096*((20-B7)^2.422))*(EXP((-0.339*(20-B7)))))*(B4-B5))))</f>
        <v>19.168766465816269</v>
      </c>
      <c r="C30" s="1">
        <f t="shared" ref="C30:M30" si="21">IF((ABS($D$2)&gt;=23.5),(C5+(((0.023*((20-C7)^3.436))*(EXP((-0.421*(20-C7)))))*(C4-C5))),(C5+(((0.096*((20-C7)^2.422))*(EXP((-0.339*(20-C7)))))*(C4-C5))))</f>
        <v>19.847414979351257</v>
      </c>
      <c r="D30" s="1">
        <f t="shared" si="21"/>
        <v>21.675134068695861</v>
      </c>
      <c r="E30" s="1">
        <f t="shared" si="21"/>
        <v>24.692651011606731</v>
      </c>
      <c r="F30" s="1">
        <f t="shared" si="21"/>
        <v>27.456377169820136</v>
      </c>
      <c r="G30" s="1">
        <f t="shared" si="21"/>
        <v>31.266302666257697</v>
      </c>
      <c r="H30" s="1">
        <f t="shared" si="21"/>
        <v>32.382383413516408</v>
      </c>
      <c r="I30" s="1">
        <f t="shared" si="21"/>
        <v>32.051164939215901</v>
      </c>
      <c r="J30" s="1">
        <f t="shared" si="21"/>
        <v>31.247849689056416</v>
      </c>
      <c r="K30" s="1">
        <f t="shared" si="21"/>
        <v>27.819555951728606</v>
      </c>
      <c r="L30" s="1">
        <f t="shared" si="21"/>
        <v>22.454311167715588</v>
      </c>
      <c r="M30" s="63">
        <f t="shared" si="21"/>
        <v>18.881385538991196</v>
      </c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</row>
    <row r="31" spans="1:39" x14ac:dyDescent="0.25">
      <c r="A31" s="111">
        <v>0.875</v>
      </c>
      <c r="B31" s="62">
        <f>IF((ABS($D$2)&gt;=23.5),(B5+(((0.023*((21-B7)^3.436))*(EXP((-0.421*(21-B7)))))*(B4-B5))),(B5+(((0.096*((21-B7)^2.422))*(EXP((-0.339*(21-B7)))))*(B4-B5))))</f>
        <v>17.739571278189977</v>
      </c>
      <c r="C31" s="1">
        <f t="shared" ref="C31:M31" si="22">IF((ABS($D$2)&gt;=23.5),(C5+(((0.023*((21-C7)^3.436))*(EXP((-0.421*(21-C7)))))*(C4-C5))),(C5+(((0.096*((21-C7)^2.422))*(EXP((-0.339*(21-C7)))))*(C4-C5))))</f>
        <v>18.343708667866593</v>
      </c>
      <c r="D31" s="1">
        <f t="shared" si="22"/>
        <v>20.080331685184881</v>
      </c>
      <c r="E31" s="1">
        <f t="shared" si="22"/>
        <v>23.088119680050543</v>
      </c>
      <c r="F31" s="1">
        <f t="shared" si="22"/>
        <v>25.850023865961138</v>
      </c>
      <c r="G31" s="1">
        <f t="shared" si="22"/>
        <v>29.798356330791023</v>
      </c>
      <c r="H31" s="1">
        <f t="shared" si="22"/>
        <v>31.169579313827239</v>
      </c>
      <c r="I31" s="1">
        <f t="shared" si="22"/>
        <v>30.922977588065365</v>
      </c>
      <c r="J31" s="1">
        <f t="shared" si="22"/>
        <v>30.038711646119118</v>
      </c>
      <c r="K31" s="1">
        <f t="shared" si="22"/>
        <v>26.332964768305359</v>
      </c>
      <c r="L31" s="1">
        <f t="shared" si="22"/>
        <v>20.935462529304203</v>
      </c>
      <c r="M31" s="63">
        <f t="shared" si="22"/>
        <v>17.494172273058773</v>
      </c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</row>
    <row r="32" spans="1:39" x14ac:dyDescent="0.25">
      <c r="A32" s="111">
        <v>0.91666666666666663</v>
      </c>
      <c r="B32" s="62">
        <f>IF((ABS($D$2)&gt;=23.5),(B5+(((0.023*((22-B7)^3.436))*(EXP((-0.421*(22-B7)))))*(B4-B5))),(B5+(((0.096*((22-B7)^2.422))*(EXP((-0.339*(22-B7)))))*(B4-B5))))</f>
        <v>16.421965920445309</v>
      </c>
      <c r="C32" s="1">
        <f t="shared" ref="C32:M32" si="23">IF((ABS($D$2)&gt;=23.5),(C5+(((0.023*((22-C7)^3.436))*(EXP((-0.421*(22-C7)))))*(C4-C5))),(C5+(((0.096*((22-C7)^2.422))*(EXP((-0.339*(22-C7)))))*(C4-C5))))</f>
        <v>16.974892968358812</v>
      </c>
      <c r="D32" s="1">
        <f t="shared" si="23"/>
        <v>18.648694177363453</v>
      </c>
      <c r="E32" s="1">
        <f t="shared" si="23"/>
        <v>21.668372998063731</v>
      </c>
      <c r="F32" s="1">
        <f t="shared" si="23"/>
        <v>24.443863414891311</v>
      </c>
      <c r="G32" s="1">
        <f t="shared" si="23"/>
        <v>28.520191918695687</v>
      </c>
      <c r="H32" s="1">
        <f t="shared" si="23"/>
        <v>30.111356919329381</v>
      </c>
      <c r="I32" s="1">
        <f t="shared" si="23"/>
        <v>29.929791137882145</v>
      </c>
      <c r="J32" s="1">
        <f t="shared" si="23"/>
        <v>28.96000573249389</v>
      </c>
      <c r="K32" s="1">
        <f t="shared" si="23"/>
        <v>24.986901736522629</v>
      </c>
      <c r="L32" s="1">
        <f t="shared" si="23"/>
        <v>19.540409090075144</v>
      </c>
      <c r="M32" s="63">
        <f t="shared" si="23"/>
        <v>16.210531557063945</v>
      </c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</row>
    <row r="33" spans="1:39" ht="15.75" thickBot="1" x14ac:dyDescent="0.3">
      <c r="A33" s="111">
        <v>0.95833333333333337</v>
      </c>
      <c r="B33" s="64">
        <f>IF((ABS($D$2)&gt;=23.5),(B5+(((0.023*((23-B7)^3.436))*(EXP((-0.421*(23-B7)))))*(B4-B5))),(B5+(((0.096*((23-B7)^2.422))*(EXP((-0.339*(23-B7)))))*(B4-B5))))</f>
        <v>15.249488302797783</v>
      </c>
      <c r="C33" s="65">
        <f t="shared" ref="C33:M33" si="24">IF((ABS($D$2)&gt;=23.5),(C5+(((0.023*((23-C7)^3.436))*(EXP((-0.421*(23-C7)))))*(C4-C5))),(C5+(((0.096*((23-C7)^2.422))*(EXP((-0.339*(23-C7)))))*(C4-C5))))</f>
        <v>15.768851660923449</v>
      </c>
      <c r="D33" s="65">
        <f t="shared" si="24"/>
        <v>17.401143109868308</v>
      </c>
      <c r="E33" s="65">
        <f t="shared" si="24"/>
        <v>20.445423082926595</v>
      </c>
      <c r="F33" s="65">
        <f t="shared" si="24"/>
        <v>23.243151418248743</v>
      </c>
      <c r="G33" s="65">
        <f t="shared" si="24"/>
        <v>27.43353313282752</v>
      </c>
      <c r="H33" s="65">
        <f t="shared" si="24"/>
        <v>29.210139632511581</v>
      </c>
      <c r="I33" s="65">
        <f t="shared" si="24"/>
        <v>29.077799836321876</v>
      </c>
      <c r="J33" s="65">
        <f t="shared" si="24"/>
        <v>28.024663064973431</v>
      </c>
      <c r="K33" s="65">
        <f t="shared" si="24"/>
        <v>23.805862783813893</v>
      </c>
      <c r="L33" s="65">
        <f t="shared" si="24"/>
        <v>18.302600346082869</v>
      </c>
      <c r="M33" s="66">
        <f t="shared" si="24"/>
        <v>15.065003440515207</v>
      </c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</row>
    <row r="34" spans="1:39" x14ac:dyDescent="0.25"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spans="1:39" x14ac:dyDescent="0.25"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spans="1:39" x14ac:dyDescent="0.25"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</sheetData>
  <sheetProtection password="E6CB" sheet="1" objects="1" scenarios="1"/>
  <mergeCells count="2">
    <mergeCell ref="A1:M1"/>
    <mergeCell ref="I2:M2"/>
  </mergeCells>
  <conditionalFormatting sqref="B10:M33">
    <cfRule type="colorScale" priority="1">
      <colorScale>
        <cfvo type="min"/>
        <cfvo type="percentile" val="50"/>
        <cfvo type="max"/>
        <color rgb="FF5A8AC6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M44"/>
  <sheetViews>
    <sheetView showGridLines="0" showRowColHeaders="0" zoomScale="70" zoomScaleNormal="70" zoomScalePageLayoutView="70" workbookViewId="0">
      <selection activeCell="B13" sqref="B13"/>
    </sheetView>
  </sheetViews>
  <sheetFormatPr baseColWidth="10" defaultRowHeight="15" x14ac:dyDescent="0.25"/>
  <cols>
    <col min="1" max="1" width="15.140625" customWidth="1"/>
    <col min="14" max="14" width="4.140625" customWidth="1"/>
    <col min="15" max="15" width="4.28515625" customWidth="1"/>
  </cols>
  <sheetData>
    <row r="1" spans="1:13" x14ac:dyDescent="0.25">
      <c r="A1" s="288" t="s">
        <v>182</v>
      </c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</row>
    <row r="2" spans="1:13" x14ac:dyDescent="0.25">
      <c r="A2" s="112" t="s">
        <v>1</v>
      </c>
      <c r="B2" s="113" t="str">
        <f>+Temp!B2</f>
        <v>Hermosillo, Son.</v>
      </c>
      <c r="C2" s="112" t="s">
        <v>2</v>
      </c>
      <c r="D2" s="113">
        <f>+Temp!D2</f>
        <v>29.08</v>
      </c>
      <c r="E2" s="112" t="s">
        <v>3</v>
      </c>
      <c r="F2" s="113">
        <f>+Temp!F2</f>
        <v>-110.93</v>
      </c>
      <c r="G2" s="112" t="s">
        <v>4</v>
      </c>
      <c r="H2" s="114">
        <f>+Temp!H2</f>
        <v>211</v>
      </c>
      <c r="I2" s="115"/>
      <c r="J2" s="115"/>
      <c r="K2" s="115"/>
      <c r="L2" s="115"/>
      <c r="M2" s="115"/>
    </row>
    <row r="3" spans="1:13" x14ac:dyDescent="0.25">
      <c r="A3" s="116" t="s">
        <v>23</v>
      </c>
      <c r="B3" s="115"/>
      <c r="C3" s="112"/>
      <c r="D3" s="115"/>
      <c r="E3" s="112"/>
      <c r="F3" s="115"/>
      <c r="G3" s="112"/>
      <c r="H3" s="117"/>
      <c r="I3" s="115"/>
      <c r="J3" s="115"/>
      <c r="K3" s="115"/>
      <c r="L3" s="115"/>
      <c r="M3" s="115"/>
    </row>
    <row r="4" spans="1:13" x14ac:dyDescent="0.25">
      <c r="A4" s="118" t="s">
        <v>24</v>
      </c>
      <c r="B4" s="119"/>
      <c r="C4" s="119"/>
      <c r="D4" s="119"/>
      <c r="E4" s="119"/>
      <c r="F4" s="119"/>
      <c r="G4" s="119"/>
      <c r="H4" s="119"/>
      <c r="I4" s="119"/>
      <c r="J4" s="120"/>
      <c r="K4" s="120"/>
      <c r="L4" s="120"/>
      <c r="M4" s="120"/>
    </row>
    <row r="5" spans="1:13" x14ac:dyDescent="0.25">
      <c r="A5" s="118" t="s">
        <v>25</v>
      </c>
      <c r="B5" s="120"/>
      <c r="C5" s="120"/>
      <c r="D5" s="120"/>
      <c r="E5" s="119" t="s">
        <v>26</v>
      </c>
      <c r="F5" s="120"/>
      <c r="G5" s="191" t="str">
        <f>'Datos Entrada'!I14</f>
        <v>no</v>
      </c>
      <c r="H5" s="120"/>
      <c r="I5" s="120"/>
      <c r="J5" s="120"/>
      <c r="K5" s="120"/>
      <c r="L5" s="120"/>
      <c r="M5" s="120"/>
    </row>
    <row r="6" spans="1:13" x14ac:dyDescent="0.25">
      <c r="A6" s="118" t="s">
        <v>27</v>
      </c>
      <c r="B6" s="120"/>
      <c r="C6" s="120"/>
      <c r="D6" s="120"/>
      <c r="E6" s="119"/>
      <c r="F6" s="120"/>
      <c r="G6" s="120"/>
      <c r="H6" s="120"/>
      <c r="I6" s="120"/>
      <c r="J6" s="120"/>
      <c r="K6" s="120"/>
      <c r="L6" s="120"/>
      <c r="M6" s="120"/>
    </row>
    <row r="7" spans="1:13" x14ac:dyDescent="0.25">
      <c r="A7" s="118" t="s">
        <v>28</v>
      </c>
      <c r="B7" s="120"/>
      <c r="C7" s="120"/>
      <c r="D7" s="120"/>
      <c r="E7" s="119" t="s">
        <v>29</v>
      </c>
      <c r="F7" s="120"/>
      <c r="G7" s="191" t="str">
        <f>'Datos Entrada'!I18</f>
        <v>si</v>
      </c>
      <c r="H7" s="120"/>
      <c r="I7" s="120"/>
      <c r="J7" s="120"/>
      <c r="K7" s="120"/>
      <c r="L7" s="120"/>
      <c r="M7" s="120"/>
    </row>
    <row r="8" spans="1:13" x14ac:dyDescent="0.25">
      <c r="A8" s="115"/>
      <c r="B8" s="112" t="s">
        <v>5</v>
      </c>
      <c r="C8" s="112" t="s">
        <v>6</v>
      </c>
      <c r="D8" s="112" t="s">
        <v>7</v>
      </c>
      <c r="E8" s="112" t="s">
        <v>8</v>
      </c>
      <c r="F8" s="112" t="s">
        <v>9</v>
      </c>
      <c r="G8" s="112" t="s">
        <v>10</v>
      </c>
      <c r="H8" s="112" t="s">
        <v>11</v>
      </c>
      <c r="I8" s="112" t="s">
        <v>12</v>
      </c>
      <c r="J8" s="112" t="s">
        <v>13</v>
      </c>
      <c r="K8" s="112" t="s">
        <v>14</v>
      </c>
      <c r="L8" s="112" t="s">
        <v>15</v>
      </c>
      <c r="M8" s="112" t="s">
        <v>16</v>
      </c>
    </row>
    <row r="9" spans="1:13" x14ac:dyDescent="0.25">
      <c r="A9" s="112" t="s">
        <v>17</v>
      </c>
      <c r="B9" s="135">
        <f>+Temp!B4</f>
        <v>24.5</v>
      </c>
      <c r="C9" s="135">
        <f>+Temp!C4</f>
        <v>26.1</v>
      </c>
      <c r="D9" s="135">
        <f>+Temp!D4</f>
        <v>29.2</v>
      </c>
      <c r="E9" s="135">
        <f>+Temp!E4</f>
        <v>33.4</v>
      </c>
      <c r="F9" s="135">
        <f>+Temp!F4</f>
        <v>37.200000000000003</v>
      </c>
      <c r="G9" s="135">
        <f>+Temp!G4</f>
        <v>40.700000000000003</v>
      </c>
      <c r="H9" s="135">
        <f>+Temp!H4</f>
        <v>40</v>
      </c>
      <c r="I9" s="135">
        <f>+Temp!I4</f>
        <v>38.5</v>
      </c>
      <c r="J9" s="135">
        <f>+Temp!J4</f>
        <v>37.299999999999997</v>
      </c>
      <c r="K9" s="135">
        <f>+Temp!K4</f>
        <v>34.299999999999997</v>
      </c>
      <c r="L9" s="135">
        <f>+Temp!L4</f>
        <v>28.3</v>
      </c>
      <c r="M9" s="135">
        <f>+Temp!M4</f>
        <v>23.9</v>
      </c>
    </row>
    <row r="10" spans="1:13" x14ac:dyDescent="0.25">
      <c r="A10" s="112" t="s">
        <v>19</v>
      </c>
      <c r="B10" s="136">
        <f>+Temp!B6</f>
        <v>17.25</v>
      </c>
      <c r="C10" s="136">
        <f>+Temp!C6</f>
        <v>18.3</v>
      </c>
      <c r="D10" s="136">
        <f>+Temp!D6</f>
        <v>20.65</v>
      </c>
      <c r="E10" s="136">
        <f>+Temp!E6</f>
        <v>24.4</v>
      </c>
      <c r="F10" s="136">
        <f>+Temp!F6</f>
        <v>27.8</v>
      </c>
      <c r="G10" s="136">
        <f>+Temp!G6</f>
        <v>31.900000000000002</v>
      </c>
      <c r="H10" s="136">
        <f>+Temp!H6</f>
        <v>32.799999999999997</v>
      </c>
      <c r="I10" s="136">
        <f>+Temp!I6</f>
        <v>32.049999999999997</v>
      </c>
      <c r="J10" s="136">
        <f>+Temp!J6</f>
        <v>30.7</v>
      </c>
      <c r="K10" s="136">
        <f>+Temp!K6</f>
        <v>26.5</v>
      </c>
      <c r="L10" s="136">
        <f>+Temp!L6</f>
        <v>20.55</v>
      </c>
      <c r="M10" s="136">
        <f>+Temp!M6</f>
        <v>16.899999999999999</v>
      </c>
    </row>
    <row r="11" spans="1:13" x14ac:dyDescent="0.25">
      <c r="A11" s="121" t="s">
        <v>18</v>
      </c>
      <c r="B11" s="135">
        <f>+Temp!B5</f>
        <v>10</v>
      </c>
      <c r="C11" s="135">
        <f>+Temp!C5</f>
        <v>10.5</v>
      </c>
      <c r="D11" s="135">
        <f>+Temp!D5</f>
        <v>12.1</v>
      </c>
      <c r="E11" s="135">
        <f>+Temp!E5</f>
        <v>15.4</v>
      </c>
      <c r="F11" s="135">
        <f>+Temp!F5</f>
        <v>18.399999999999999</v>
      </c>
      <c r="G11" s="135">
        <f>+Temp!G5</f>
        <v>23.1</v>
      </c>
      <c r="H11" s="135">
        <f>+Temp!H5</f>
        <v>25.6</v>
      </c>
      <c r="I11" s="135">
        <f>+Temp!I5</f>
        <v>25.6</v>
      </c>
      <c r="J11" s="135">
        <f>+Temp!J5</f>
        <v>24.1</v>
      </c>
      <c r="K11" s="135">
        <f>+Temp!K5</f>
        <v>18.7</v>
      </c>
      <c r="L11" s="135">
        <f>+Temp!L5</f>
        <v>12.8</v>
      </c>
      <c r="M11" s="135">
        <f>+Temp!M5</f>
        <v>9.9</v>
      </c>
    </row>
    <row r="12" spans="1:13" x14ac:dyDescent="0.25">
      <c r="A12" s="121" t="s">
        <v>30</v>
      </c>
      <c r="B12" s="199">
        <f>'Datos Entrada'!C19</f>
        <v>50</v>
      </c>
      <c r="C12" s="199">
        <f>'Datos Entrada'!D19</f>
        <v>50</v>
      </c>
      <c r="D12" s="199">
        <f>'Datos Entrada'!E19</f>
        <v>46</v>
      </c>
      <c r="E12" s="199">
        <f>'Datos Entrada'!F19</f>
        <v>42</v>
      </c>
      <c r="F12" s="199">
        <f>'Datos Entrada'!G19</f>
        <v>41</v>
      </c>
      <c r="G12" s="199">
        <f>'Datos Entrada'!H19</f>
        <v>43</v>
      </c>
      <c r="H12" s="199">
        <f>'Datos Entrada'!I19</f>
        <v>48</v>
      </c>
      <c r="I12" s="199">
        <f>'Datos Entrada'!J19</f>
        <v>58</v>
      </c>
      <c r="J12" s="199">
        <f>'Datos Entrada'!K19</f>
        <v>55</v>
      </c>
      <c r="K12" s="199">
        <f>'Datos Entrada'!L19</f>
        <v>50</v>
      </c>
      <c r="L12" s="199">
        <f>'Datos Entrada'!M19</f>
        <v>53</v>
      </c>
      <c r="M12" s="199">
        <f>'Datos Entrada'!N19</f>
        <v>50</v>
      </c>
    </row>
    <row r="13" spans="1:13" x14ac:dyDescent="0.25">
      <c r="A13" s="121" t="s">
        <v>31</v>
      </c>
      <c r="B13" s="199">
        <f>'Datos Entrada'!C15</f>
        <v>0</v>
      </c>
      <c r="C13" s="199">
        <f>'Datos Entrada'!D15</f>
        <v>0</v>
      </c>
      <c r="D13" s="199">
        <f>'Datos Entrada'!E15</f>
        <v>0</v>
      </c>
      <c r="E13" s="199">
        <f>'Datos Entrada'!F15</f>
        <v>0</v>
      </c>
      <c r="F13" s="199">
        <f>'Datos Entrada'!G15</f>
        <v>0</v>
      </c>
      <c r="G13" s="199">
        <f>'Datos Entrada'!H15</f>
        <v>0</v>
      </c>
      <c r="H13" s="199">
        <f>'Datos Entrada'!I15</f>
        <v>0</v>
      </c>
      <c r="I13" s="199">
        <f>'Datos Entrada'!J15</f>
        <v>0</v>
      </c>
      <c r="J13" s="199">
        <f>'Datos Entrada'!K15</f>
        <v>0</v>
      </c>
      <c r="K13" s="199">
        <f>'Datos Entrada'!L15</f>
        <v>0</v>
      </c>
      <c r="L13" s="199">
        <f>'Datos Entrada'!M15</f>
        <v>0</v>
      </c>
      <c r="M13" s="199">
        <f>'Datos Entrada'!N15</f>
        <v>0</v>
      </c>
    </row>
    <row r="14" spans="1:13" x14ac:dyDescent="0.25">
      <c r="A14" s="121" t="s">
        <v>32</v>
      </c>
      <c r="B14" s="199">
        <f>'Datos Entrada'!C16</f>
        <v>0</v>
      </c>
      <c r="C14" s="199">
        <f>'Datos Entrada'!D16</f>
        <v>0</v>
      </c>
      <c r="D14" s="199">
        <f>'Datos Entrada'!E16</f>
        <v>0</v>
      </c>
      <c r="E14" s="199">
        <f>'Datos Entrada'!F16</f>
        <v>0</v>
      </c>
      <c r="F14" s="199">
        <f>'Datos Entrada'!G16</f>
        <v>0</v>
      </c>
      <c r="G14" s="199">
        <f>'Datos Entrada'!H16</f>
        <v>0</v>
      </c>
      <c r="H14" s="199">
        <f>'Datos Entrada'!I16</f>
        <v>0</v>
      </c>
      <c r="I14" s="199">
        <f>'Datos Entrada'!J16</f>
        <v>0</v>
      </c>
      <c r="J14" s="199">
        <f>'Datos Entrada'!K16</f>
        <v>0</v>
      </c>
      <c r="K14" s="199">
        <f>'Datos Entrada'!L16</f>
        <v>0</v>
      </c>
      <c r="L14" s="199">
        <f>'Datos Entrada'!M16</f>
        <v>0</v>
      </c>
      <c r="M14" s="199">
        <f>'Datos Entrada'!N16</f>
        <v>0</v>
      </c>
    </row>
    <row r="15" spans="1:13" x14ac:dyDescent="0.25">
      <c r="A15" s="122" t="s">
        <v>33</v>
      </c>
      <c r="B15" s="137">
        <f>IF(G7="no",((7.517268+0.084757*B11+0.03727*(B11^2)-0.001755*(B11^3)+0.000193*(B11^4)-0.000005*(B11^5))/(6.115+0.42915*B10+1.4206*(10^-2)*(B10^2)+3.046*(10^-4)*(B10^3)+3.2*(10^-6)*(B10^4)))*100,B12)</f>
        <v>50</v>
      </c>
      <c r="C15" s="137">
        <f>IF(G7="no",((7.517268+0.084757*C11+0.03727*(C11^2)-0.001755*(C11^3)+0.000193*(C11^4)-0.000005*(C11^5))/(6.115+0.42915*C10+1.4206*(10^-2)*(C10^2)+3.046*(10^-4)*(C10^3)+3.2*(10^-6)*(C10^4)))*100,C12)</f>
        <v>50</v>
      </c>
      <c r="D15" s="137">
        <f>IF(G7="no",((7.517268+0.084757*D11+0.03727*(D11^2)-0.001755*(D11^3)+0.000193*(D11^4)-0.000005*(D11^5))/(6.115+0.42915*D10+1.4206*(10^-2)*(D10^2)+3.046*(10^-4)*(D10^3)+3.2*(10^-6)*(D10^4)))*100,D12)</f>
        <v>46</v>
      </c>
      <c r="E15" s="137">
        <f>IF(G7="no",((7.517268+0.084757*E11+0.03727*(E11^2)-0.001755*(E11^3)+0.000193*(E11^4)-0.000005*(E11^5))/(6.115+0.42915*E10+1.4206*(10^-2)*(E10^2)+3.046*(10^-4)*(E10^3)+3.2*(10^-6)*(E10^4)))*100,E12)</f>
        <v>42</v>
      </c>
      <c r="F15" s="137">
        <f>IF(G7="no",((7.517268+0.084757*F11+0.03727*(F11^2)-0.001755*(F11^3)+0.000193*(F11^4)-0.000005*(F11^5))/(6.115+0.42915*F10+1.4206*(10^-2)*(F10^2)+3.046*(10^-4)*(F10^3)+3.2*(10^-6)*(F10^4)))*100,F12)</f>
        <v>41</v>
      </c>
      <c r="G15" s="137">
        <f>IF(G7="no",((7.517268+0.084757*G11+0.03727*(G11^2)-0.001755*(G11^3)+0.000193*(G11^4)-0.000005*(G11^5))/(6.115+0.42915*G10+1.4206*(10^-2)*(G10^2)+3.046*(10^-4)*(G10^3)+3.2*(10^-6)*(G10^4)))*100,G12)</f>
        <v>43</v>
      </c>
      <c r="H15" s="137">
        <f>IF(G7="no",((7.517268+0.084757*H11+0.03727*(H11^2)-0.001755*(H11^3)+0.000193*(H11^4)-0.000005*(H11^5))/(6.115+0.42915*H10+1.4206*(10^-2)*(H10^2)+3.046*(10^-4)*(H10^3)+3.2*(10^-6)*(H10^4)))*100,H12)</f>
        <v>48</v>
      </c>
      <c r="I15" s="137">
        <f>IF(G7="no",((7.517268+0.084757*I11+0.03727*(I11^2)-0.001755*(I11^3)+0.000193*(I11^4)-0.000005*(I11^5))/(6.115+0.42915*I10+1.4206*(10^-2)*(I10^2)+3.046*(10^-4)*(I10^3)+3.2*(10^-6)*(I10^4)))*100,I12)</f>
        <v>58</v>
      </c>
      <c r="J15" s="137">
        <f>IF(G7="no",((7.517268+0.084757*J11+0.03727*(J11^2)-0.001755*(J11^3)+0.000193*(J11^4)-0.000005*(J11^5))/(6.115+0.42915*J10+1.4206*(10^-2)*(J10^2)+3.046*(10^-4)*(J10^3)+3.2*(10^-6)*(J10^4)))*100,J12)</f>
        <v>55</v>
      </c>
      <c r="K15" s="137">
        <f>IF(G7="no",((7.517268+0.084757*K11+0.03727*(K11^2)-0.001755*(K11^3)+0.000193*(K11^4)-0.000005*(K11^5))/(6.115+0.42915*K10+1.4206*(10^-2)*(K10^2)+3.046*(10^-4)*(K10^3)+3.2*(10^-6)*(K10^4)))*100,K12)</f>
        <v>50</v>
      </c>
      <c r="L15" s="137">
        <f>IF(G7="no",((7.517268+0.084757*L11+0.03727*(L11^2)-0.001755*(L11^3)+0.000193*(L11^4)-0.000005*(L11^5))/(6.115+0.42915*L10+1.4206*(10^-2)*(L10^2)+3.046*(10^-4)*(L10^3)+3.2*(10^-6)*(L10^4)))*100,L12)</f>
        <v>53</v>
      </c>
      <c r="M15" s="137">
        <f>IF(G7="no",((7.517268+0.084757*M11+0.03727*(M11^2)-0.001755*(M11^3)+0.000193*(M11^4)-0.000005*(M11^5))/(6.115+0.42915*M10+1.4206*(10^-2)*(M10^2)+3.046*(10^-4)*(M10^3)+3.2*(10^-6)*(M10^4)))*100,M12)</f>
        <v>50</v>
      </c>
    </row>
    <row r="16" spans="1:13" x14ac:dyDescent="0.25">
      <c r="A16" s="122" t="s">
        <v>34</v>
      </c>
      <c r="B16" s="138">
        <f>IF(G5="no",IF((2*B15-(((B15/100)*(6.115+0.42915*B10+1.4206*(10^-2)*(B10^2)+3.046*(10^-4)*(B10^3)+3.2*(10^-6)*(B10^4)))/(6.115+0.42915*B9+1.4206*(10^-2)*(B9^2)+3.046*(10^-4)*(B9^3)+3.2*(10^-6)*(B9^4)))*100)&gt;100,100,2*B15-(((B15/100)*(6.115+0.42915*B10+1.4206*(10^-2)*(B10^2)+3.046*(10^-4)*(B10^3)+3.2*(10^-6)*(B10^4)))/(6.115+0.42915*B9+1.4206*(10^-2)*(B9^2)+3.046*(10^-4)*(B9^3)+3.2*(10^-6)*(B9^4)))*100),B13)</f>
        <v>68.183455529257685</v>
      </c>
      <c r="C16" s="138">
        <f>IF(G5="no",IF((2*C15-(((C15/100)*(6.115+0.42915*C10+1.4206*(10^-2)*(C10^2)+3.046*(10^-4)*(C10^3)+3.2*(10^-6)*(C10^4)))/(6.115+0.42915*C9+1.4206*(10^-2)*(C9^2)+3.046*(10^-4)*(C9^3)+3.2*(10^-6)*(C9^4)))*100)&gt;100,100,2*C15-(((C15/100)*(6.115+0.42915*C10+1.4206*(10^-2)*(C10^2)+3.046*(10^-4)*(C10^3)+3.2*(10^-6)*(C10^4)))/(6.115+0.42915*C9+1.4206*(10^-2)*(C9^2)+3.046*(10^-4)*(C9^3)+3.2*(10^-6)*(C9^4)))*100),C13)</f>
        <v>69.092314172337211</v>
      </c>
      <c r="D16" s="138">
        <f>IF(G5="no",IF((2*D15-(((D15/100)*(6.115+0.42915*D10+1.4206*(10^-2)*(D10^2)+3.046*(10^-4)*(D10^3)+3.2*(10^-6)*(D10^4)))/(6.115+0.42915*D9+1.4206*(10^-2)*(D9^2)+3.046*(10^-4)*(D9^3)+3.2*(10^-6)*(D9^4)))*100)&gt;100,100,2*D15-(((D15/100)*(6.115+0.42915*D10+1.4206*(10^-2)*(D10^2)+3.046*(10^-4)*(D10^3)+3.2*(10^-6)*(D10^4)))/(6.115+0.42915*D9+1.4206*(10^-2)*(D9^2)+3.046*(10^-4)*(D9^3)+3.2*(10^-6)*(D9^4)))*100),D13)</f>
        <v>64.515956816035043</v>
      </c>
      <c r="E16" s="138">
        <f>IF(G5="no",IF((2*E15-(((E15/100)*(6.115+0.42915*E10+1.4206*(10^-2)*(E10^2)+3.046*(10^-4)*(E10^3)+3.2*(10^-6)*(E10^4)))/(6.115+0.42915*E9+1.4206*(10^-2)*(E9^2)+3.046*(10^-4)*(E9^3)+3.2*(10^-6)*(E9^4)))*100)&gt;100,100,2*E15-(((E15/100)*(6.115+0.42915*E10+1.4206*(10^-2)*(E10^2)+3.046*(10^-4)*(E10^3)+3.2*(10^-6)*(E10^4)))/(6.115+0.42915*E9+1.4206*(10^-2)*(E9^2)+3.046*(10^-4)*(E9^3)+3.2*(10^-6)*(E9^4)))*100),E13)</f>
        <v>59.103988330555154</v>
      </c>
      <c r="F16" s="138">
        <f>IF(G5="no",IF((2*F15-(((F15/100)*(6.115+0.42915*F10+1.4206*(10^-2)*(F10^2)+3.046*(10^-4)*(F10^3)+3.2*(10^-6)*(F10^4)))/(6.115+0.42915*F9+1.4206*(10^-2)*(F9^2)+3.046*(10^-4)*(F9^3)+3.2*(10^-6)*(F9^4)))*100)&gt;100,100,2*F15-(((F15/100)*(6.115+0.42915*F10+1.4206*(10^-2)*(F10^2)+3.046*(10^-4)*(F10^3)+3.2*(10^-6)*(F10^4)))/(6.115+0.42915*F9+1.4206*(10^-2)*(F9^2)+3.046*(10^-4)*(F9^3)+3.2*(10^-6)*(F9^4)))*100),F13)</f>
        <v>57.818133500301684</v>
      </c>
      <c r="G16" s="138">
        <f>IF(G5="no",IF((2*G15-(((G15/100)*(6.115+0.42915*G10+1.4206*(10^-2)*(G10^2)+3.046*(10^-4)*(G10^3)+3.2*(10^-6)*(G10^4)))/(6.115+0.42915*G9+1.4206*(10^-2)*(G9^2)+3.046*(10^-4)*(G9^3)+3.2*(10^-6)*(G9^4)))*100)&gt;100,100,2*G15-(((G15/100)*(6.115+0.42915*G10+1.4206*(10^-2)*(G10^2)+3.046*(10^-4)*(G10^3)+3.2*(10^-6)*(G10^4)))/(6.115+0.42915*G9+1.4206*(10^-2)*(G9^2)+3.046*(10^-4)*(G9^3)+3.2*(10^-6)*(G9^4)))*100),G13)</f>
        <v>59.297256167380752</v>
      </c>
      <c r="H16" s="138">
        <f>IF(G5="no",IF((2*H15-(((H15/100)*(6.115+0.42915*H10+1.4206*(10^-2)*(H10^2)+3.046*(10^-4)*(H10^3)+3.2*(10^-6)*(H10^4)))/(6.115+0.42915*H9+1.4206*(10^-2)*(H9^2)+3.046*(10^-4)*(H9^3)+3.2*(10^-6)*(H9^4)))*100)&gt;100,100,2*H15-(((H15/100)*(6.115+0.42915*H10+1.4206*(10^-2)*(H10^2)+3.046*(10^-4)*(H10^3)+3.2*(10^-6)*(H10^4)))/(6.115+0.42915*H9+1.4206*(10^-2)*(H9^2)+3.046*(10^-4)*(H9^3)+3.2*(10^-6)*(H9^4)))*100),H13)</f>
        <v>63.481852773087638</v>
      </c>
      <c r="I16" s="138">
        <f>IF(G5="no",IF((2*I15-(((I15/100)*(6.115+0.42915*I10+1.4206*(10^-2)*(I10^2)+3.046*(10^-4)*(I10^3)+3.2*(10^-6)*(I10^4)))/(6.115+0.42915*I9+1.4206*(10^-2)*(I9^2)+3.046*(10^-4)*(I9^3)+3.2*(10^-6)*(I9^4)))*100)&gt;100,100,2*I15-(((I15/100)*(6.115+0.42915*I10+1.4206*(10^-2)*(I10^2)+3.046*(10^-4)*(I10^3)+3.2*(10^-6)*(I10^4)))/(6.115+0.42915*I9+1.4206*(10^-2)*(I9^2)+3.046*(10^-4)*(I9^3)+3.2*(10^-6)*(I9^4)))*100),I13)</f>
        <v>75.237261106498536</v>
      </c>
      <c r="J16" s="138">
        <f>IF(G5="no",IF((2*J15-(((J15/100)*(6.115+0.42915*J10+1.4206*(10^-2)*(J10^2)+3.046*(10^-4)*(J10^3)+3.2*(10^-6)*(J10^4)))/(6.115+0.42915*J9+1.4206*(10^-2)*(J9^2)+3.046*(10^-4)*(J9^3)+3.2*(10^-6)*(J9^4)))*100)&gt;100,100,2*J15-(((J15/100)*(6.115+0.42915*J10+1.4206*(10^-2)*(J10^2)+3.046*(10^-4)*(J10^3)+3.2*(10^-6)*(J10^4)))/(6.115+0.42915*J9+1.4206*(10^-2)*(J9^2)+3.046*(10^-4)*(J9^3)+3.2*(10^-6)*(J9^4)))*100),J13)</f>
        <v>71.833177264976371</v>
      </c>
      <c r="K16" s="138">
        <f>IF(G5="no",IF((2*K15-(((K15/100)*(6.115+0.42915*K10+1.4206*(10^-2)*(K10^2)+3.046*(10^-4)*(K10^3)+3.2*(10^-6)*(K10^4)))/(6.115+0.42915*K9+1.4206*(10^-2)*(K9^2)+3.046*(10^-4)*(K9^3)+3.2*(10^-6)*(K9^4)))*100)&gt;100,100,2*K15-(((K15/100)*(6.115+0.42915*K10+1.4206*(10^-2)*(K10^2)+3.046*(10^-4)*(K10^3)+3.2*(10^-6)*(K10^4)))/(6.115+0.42915*K9+1.4206*(10^-2)*(K9^2)+3.046*(10^-4)*(K9^3)+3.2*(10^-6)*(K9^4)))*100),K13)</f>
        <v>68.020197861972122</v>
      </c>
      <c r="L16" s="138">
        <f>IF(G5="no",IF((2*L15-(((L15/100)*(6.115+0.42915*L10+1.4206*(10^-2)*(L10^2)+3.046*(10^-4)*(L10^3)+3.2*(10^-6)*(L10^4)))/(6.115+0.42915*L9+1.4206*(10^-2)*(L9^2)+3.046*(10^-4)*(L9^3)+3.2*(10^-6)*(L9^4)))*100)&gt;100,100,2*L15-(((L15/100)*(6.115+0.42915*L10+1.4206*(10^-2)*(L10^2)+3.046*(10^-4)*(L10^3)+3.2*(10^-6)*(L10^4)))/(6.115+0.42915*L9+1.4206*(10^-2)*(L9^2)+3.046*(10^-4)*(L9^3)+3.2*(10^-6)*(L9^4)))*100),L13)</f>
        <v>72.838936604068309</v>
      </c>
      <c r="M16" s="138">
        <f>IF(G5="no",IF((2*M15-(((M15/100)*(6.115+0.42915*M10+1.4206*(10^-2)*(M10^2)+3.046*(10^-4)*(M10^3)+3.2*(10^-6)*(M10^4)))/(6.115+0.42915*M9+1.4206*(10^-2)*(M9^2)+3.046*(10^-4)*(M9^3)+3.2*(10^-6)*(M9^4)))*100)&gt;100,100,2*M15-(((M15/100)*(6.115+0.42915*M10+1.4206*(10^-2)*(M10^2)+3.046*(10^-4)*(M10^3)+3.2*(10^-6)*(M10^4)))/(6.115+0.42915*M9+1.4206*(10^-2)*(M9^2)+3.046*(10^-4)*(M9^3)+3.2*(10^-6)*(M9^4)))*100),M13)</f>
        <v>67.738151342536952</v>
      </c>
    </row>
    <row r="17" spans="1:13" x14ac:dyDescent="0.25">
      <c r="A17" s="122" t="s">
        <v>35</v>
      </c>
      <c r="B17" s="138">
        <f>IF(G5="no",IF((2*B15-(((B15/100)*(6.115+0.42915*B10+1.4206*(10^-2)*(B10^2)+3.046*(10^-4)*(B10^3)+3.2*(10^-6)*(B10^4)))/(6.115+0.42915*B9+1.4206*(10^-2)*(B9^2)+3.046*(10^-4)*(B9^3)+3.2*(10^-6)*(B9^4)))*100)&gt;100,2*B15-100,(((B15/100)*(6.115+0.42915*B10+1.4206*(10^-2)*(B10^2)+3.046*(10^-4)*(B10^3)+3.2*(10^-6)*(B10^4)))/(6.115+0.42915*B9+1.4206*(10^-2)*(B9^2)+3.046*(10^-4)*(B9^3)+3.2*(10^-6)*(B9^4)))*100),B14)</f>
        <v>31.816544470742318</v>
      </c>
      <c r="C17" s="138">
        <f>IF(G5="no",IF((2*C15-(((C15/100)*(6.115+0.42915*C10+1.4206*(10^-2)*(C10^2)+3.046*(10^-4)*(C10^3)+3.2*(10^-6)*(C10^4)))/(6.115+0.42915*C9+1.4206*(10^-2)*(C9^2)+3.046*(10^-4)*(C9^3)+3.2*(10^-6)*(C9^4)))*100)&gt;100,2*C15-100,(((C15/100)*(6.115+0.42915*C10+1.4206*(10^-2)*(C10^2)+3.046*(10^-4)*(C10^3)+3.2*(10^-6)*(C10^4)))/(6.115+0.42915*C9+1.4206*(10^-2)*(C9^2)+3.046*(10^-4)*(C9^3)+3.2*(10^-6)*(C9^4)))*100),C14)</f>
        <v>30.907685827662785</v>
      </c>
      <c r="D17" s="138">
        <f>IF(G5="no",IF((2*D15-(((D15/100)*(6.115+0.42915*D10+1.4206*(10^-2)*(D10^2)+3.046*(10^-4)*(D10^3)+3.2*(10^-6)*(D10^4)))/(6.115+0.42915*D9+1.4206*(10^-2)*(D9^2)+3.046*(10^-4)*(D9^3)+3.2*(10^-6)*(D9^4)))*100)&gt;100,2*D15-100,(((D15/100)*(6.115+0.42915*D10+1.4206*(10^-2)*(D10^2)+3.046*(10^-4)*(D10^3)+3.2*(10^-6)*(D10^4)))/(6.115+0.42915*D9+1.4206*(10^-2)*(D9^2)+3.046*(10^-4)*(D9^3)+3.2*(10^-6)*(D9^4)))*100),D14)</f>
        <v>27.484043183964964</v>
      </c>
      <c r="E17" s="138">
        <f>IF(G5="no",IF((2*E15-(((E15/100)*(6.115+0.42915*E10+1.4206*(10^-2)*(E10^2)+3.046*(10^-4)*(E10^3)+3.2*(10^-6)*(E10^4)))/(6.115+0.42915*E9+1.4206*(10^-2)*(E9^2)+3.046*(10^-4)*(E9^3)+3.2*(10^-6)*(E9^4)))*100)&gt;100,2*E15-100,(((E15/100)*(6.115+0.42915*E10+1.4206*(10^-2)*(E10^2)+3.046*(10^-4)*(E10^3)+3.2*(10^-6)*(E10^4)))/(6.115+0.42915*E9+1.4206*(10^-2)*(E9^2)+3.046*(10^-4)*(E9^3)+3.2*(10^-6)*(E9^4)))*100),E14)</f>
        <v>24.896011669444849</v>
      </c>
      <c r="F17" s="138">
        <f>IF(G5="no",IF((2*F15-(((F15/100)*(6.115+0.42915*F10+1.4206*(10^-2)*(F10^2)+3.046*(10^-4)*(F10^3)+3.2*(10^-6)*(F10^4)))/(6.115+0.42915*F9+1.4206*(10^-2)*(F9^2)+3.046*(10^-4)*(F9^3)+3.2*(10^-6)*(F9^4)))*100)&gt;100,2*F15-100,(((F15/100)*(6.115+0.42915*F10+1.4206*(10^-2)*(F10^2)+3.046*(10^-4)*(F10^3)+3.2*(10^-6)*(F10^4)))/(6.115+0.42915*F9+1.4206*(10^-2)*(F9^2)+3.046*(10^-4)*(F9^3)+3.2*(10^-6)*(F9^4)))*100),F14)</f>
        <v>24.181866499698319</v>
      </c>
      <c r="G17" s="138">
        <f>IF(G5="no",IF((2*G15-(((G15/100)*(6.115+0.42915*G10+1.4206*(10^-2)*(G10^2)+3.046*(10^-4)*(G10^3)+3.2*(10^-6)*(G10^4)))/(6.115+0.42915*G9+1.4206*(10^-2)*(G9^2)+3.046*(10^-4)*(G9^3)+3.2*(10^-6)*(G9^4)))*100)&gt;100,2*G15-100,(((G15/100)*(6.115+0.42915*G10+1.4206*(10^-2)*(G10^2)+3.046*(10^-4)*(G10^3)+3.2*(10^-6)*(G10^4)))/(6.115+0.42915*G9+1.4206*(10^-2)*(G9^2)+3.046*(10^-4)*(G9^3)+3.2*(10^-6)*(G9^4)))*100),G14)</f>
        <v>26.702743832619252</v>
      </c>
      <c r="H17" s="138">
        <f>IF(G5="no",IF((2*H15-(((H15/100)*(6.115+0.42915*H10+1.4206*(10^-2)*(H10^2)+3.046*(10^-4)*(H10^3)+3.2*(10^-6)*(H10^4)))/(6.115+0.42915*H9+1.4206*(10^-2)*(H9^2)+3.046*(10^-4)*(H9^3)+3.2*(10^-6)*(H9^4)))*100)&gt;100,2*H15-100,(((H15/100)*(6.115+0.42915*H10+1.4206*(10^-2)*(H10^2)+3.046*(10^-4)*(H10^3)+3.2*(10^-6)*(H10^4)))/(6.115+0.42915*H9+1.4206*(10^-2)*(H9^2)+3.046*(10^-4)*(H9^3)+3.2*(10^-6)*(H9^4)))*100),H14)</f>
        <v>32.518147226912362</v>
      </c>
      <c r="I17" s="138">
        <f>IF(G5="no",IF((2*I15-(((I15/100)*(6.115+0.42915*I10+1.4206*(10^-2)*(I10^2)+3.046*(10^-4)*(I10^3)+3.2*(10^-6)*(I10^4)))/(6.115+0.42915*I9+1.4206*(10^-2)*(I9^2)+3.046*(10^-4)*(I9^3)+3.2*(10^-6)*(I9^4)))*100)&gt;100,2*I15-100,(((I15/100)*(6.115+0.42915*I10+1.4206*(10^-2)*(I10^2)+3.046*(10^-4)*(I10^3)+3.2*(10^-6)*(I10^4)))/(6.115+0.42915*I9+1.4206*(10^-2)*(I9^2)+3.046*(10^-4)*(I9^3)+3.2*(10^-6)*(I9^4)))*100),I14)</f>
        <v>40.762738893501464</v>
      </c>
      <c r="J17" s="138">
        <f>IF(G5="no",IF((2*J15-(((J15/100)*(6.115+0.42915*J10+1.4206*(10^-2)*(J10^2)+3.046*(10^-4)*(J10^3)+3.2*(10^-6)*(J10^4)))/(6.115+0.42915*J9+1.4206*(10^-2)*(J9^2)+3.046*(10^-4)*(J9^3)+3.2*(10^-6)*(J9^4)))*100)&gt;100,2*J15-100,(((J15/100)*(6.115+0.42915*J10+1.4206*(10^-2)*(J10^2)+3.046*(10^-4)*(J10^3)+3.2*(10^-6)*(J10^4)))/(6.115+0.42915*J9+1.4206*(10^-2)*(J9^2)+3.046*(10^-4)*(J9^3)+3.2*(10^-6)*(J9^4)))*100),J14)</f>
        <v>38.166822735023636</v>
      </c>
      <c r="K17" s="138">
        <f>IF(G5="no",IF((2*K15-(((K15/100)*(6.115+0.42915*K10+1.4206*(10^-2)*(K10^2)+3.046*(10^-4)*(K10^3)+3.2*(10^-6)*(K10^4)))/(6.115+0.42915*K9+1.4206*(10^-2)*(K9^2)+3.046*(10^-4)*(K9^3)+3.2*(10^-6)*(K9^4)))*100)&gt;100,2*K15-100,(((K15/100)*(6.115+0.42915*K10+1.4206*(10^-2)*(K10^2)+3.046*(10^-4)*(K10^3)+3.2*(10^-6)*(K10^4)))/(6.115+0.42915*K9+1.4206*(10^-2)*(K9^2)+3.046*(10^-4)*(K9^3)+3.2*(10^-6)*(K9^4)))*100),K14)</f>
        <v>31.979802138027885</v>
      </c>
      <c r="L17" s="138">
        <f>IF(G5="no",IF((2*L15-(((L15/100)*(6.115+0.42915*L10+1.4206*(10^-2)*(L10^2)+3.046*(10^-4)*(L10^3)+3.2*(10^-6)*(L10^4)))/(6.115+0.42915*L9+1.4206*(10^-2)*(L9^2)+3.046*(10^-4)*(L9^3)+3.2*(10^-6)*(L9^4)))*100)&gt;100,2*L15-100,(((L15/100)*(6.115+0.42915*L10+1.4206*(10^-2)*(L10^2)+3.046*(10^-4)*(L10^3)+3.2*(10^-6)*(L10^4)))/(6.115+0.42915*L9+1.4206*(10^-2)*(L9^2)+3.046*(10^-4)*(L9^3)+3.2*(10^-6)*(L9^4)))*100),L14)</f>
        <v>33.161063395931691</v>
      </c>
      <c r="M17" s="138">
        <f>IF(G5="no",IF((2*M15-(((M15/100)*(6.115+0.42915*M10+1.4206*(10^-2)*(M10^2)+3.046*(10^-4)*(M10^3)+3.2*(10^-6)*(M10^4)))/(6.115+0.42915*M9+1.4206*(10^-2)*(M9^2)+3.046*(10^-4)*(M9^3)+3.2*(10^-6)*(M9^4)))*100)&gt;100,2*M15-100,(((M15/100)*(6.115+0.42915*M10+1.4206*(10^-2)*(M10^2)+3.046*(10^-4)*(M10^3)+3.2*(10^-6)*(M10^4)))/(6.115+0.42915*M9+1.4206*(10^-2)*(M9^2)+3.046*(10^-4)*(M9^3)+3.2*(10^-6)*(M9^4)))*100),M14)</f>
        <v>32.261848657463048</v>
      </c>
    </row>
    <row r="18" spans="1:13" x14ac:dyDescent="0.25">
      <c r="A18" s="122" t="s">
        <v>21</v>
      </c>
      <c r="B18" s="139">
        <f>12-(180*ACOS(0.3896*TAN(ABS($D$2)*PI()/180))/PI())/15</f>
        <v>6.8342366335718427</v>
      </c>
      <c r="C18" s="139">
        <f>12-(180*ACOS(0.2368*TAN(ABS($D$2)*PI()/180))/PI())/15</f>
        <v>6.5044954695816593</v>
      </c>
      <c r="D18" s="139">
        <f>12-(180*ACOS(0.05*TAN(ABS($D$2)*PI()/180))/PI())/15</f>
        <v>6.1062277956914484</v>
      </c>
      <c r="E18" s="139">
        <f>12-(180*ACOS(-0.165*TAN(ABS($D$2)*PI()/180))/PI())/15</f>
        <v>5.6489996890642677</v>
      </c>
      <c r="F18" s="139">
        <f>12-(180*ACOS(-0.3397*TAN(ABS($D$2)*PI()/180))/PI())/15</f>
        <v>5.2740184525066347</v>
      </c>
      <c r="G18" s="139">
        <f>12-(180*ACOS(-0.4308*TAN(ABS($D$2)*PI()/180))/PI())/15</f>
        <v>5.075870238105022</v>
      </c>
      <c r="H18" s="139">
        <f>12-(180*ACOS(-0.3947*TAN(ABS($D$2)*PI()/180))/PI())/15</f>
        <v>5.1546623096170574</v>
      </c>
      <c r="I18" s="139">
        <f>12-(180*ACOS(-0.2463*TAN(ABS($D$2)*PI()/180))/PI())/15</f>
        <v>5.475139235200059</v>
      </c>
      <c r="J18" s="139">
        <f>12-(180*ACOS(-0.0399*TAN(ABS($D$2)*PI()/180))/PI())/15</f>
        <v>5.915234188429606</v>
      </c>
      <c r="K18" s="139">
        <f>12-(180*ACOS(0.168*TAN(ABS($D$2)*PI()/180))/PI())/15</f>
        <v>6.3574006556551872</v>
      </c>
      <c r="L18" s="139">
        <f>12-(180*ACOS(0.3464*TAN(ABS($D$2)*PI()/180))/PI())/15</f>
        <v>6.7404805594747792</v>
      </c>
      <c r="M18" s="139">
        <f>12-(180*ACOS(0.4312*TAN(ABS($D$2)*PI()/180))/PI())/15</f>
        <v>6.9250049890260437</v>
      </c>
    </row>
    <row r="19" spans="1:13" x14ac:dyDescent="0.25">
      <c r="A19" s="122" t="s">
        <v>20</v>
      </c>
      <c r="B19" s="139">
        <f>IF(ABS($D$2)&gt;=23.5,B18+7.63,B18+7.41)</f>
        <v>14.464236633571844</v>
      </c>
      <c r="C19" s="139">
        <f>IF(ABS($D$2)&gt;=23.5,C18+9.5,C18+7.5)</f>
        <v>16.004495469581659</v>
      </c>
      <c r="D19" s="139">
        <f>IF(ABS($D$2)&gt;=23.5,D18+8.25,D18+6.83)</f>
        <v>14.356227795691449</v>
      </c>
      <c r="E19" s="139">
        <f>IF(ABS($D$2)&gt;=23.5,E18+9.38,E18+7.67)</f>
        <v>15.028999689064268</v>
      </c>
      <c r="F19" s="139">
        <f>IF(ABS($D$2)&gt;=23.5,F18+8.88,F18+7.59)</f>
        <v>14.154018452506635</v>
      </c>
      <c r="G19" s="139">
        <f>IF(ABS($D$2)&gt;=23.5,G18+9.25,G18+7.91)</f>
        <v>14.325870238105022</v>
      </c>
      <c r="H19" s="139">
        <f>IF(ABS($D$2)&gt;=23.5,H18+10.25,H18+7.25)</f>
        <v>15.404662309617057</v>
      </c>
      <c r="I19" s="139">
        <f>IF(ABS($D$2)&gt;=23.5,I18+10,I18+7.5)</f>
        <v>15.475139235200059</v>
      </c>
      <c r="J19" s="139">
        <f>IF(ABS($D$2)&gt;=23.5,J18+10.13,J18+7.59)</f>
        <v>16.045234188429607</v>
      </c>
      <c r="K19" s="139">
        <f>IF(ABS($D$2)&gt;=23.5,K18+9.68,K18+7.17)</f>
        <v>16.037400655655187</v>
      </c>
      <c r="L19" s="139">
        <f>IF(ABS($D$2)&gt;=23.5,L18+9.37,L18+7.5)</f>
        <v>16.11048055947478</v>
      </c>
      <c r="M19" s="139">
        <f>IF(ABS($D$2)&gt;=23.5,M18+8.75,M18+7.25)</f>
        <v>15.675004989026043</v>
      </c>
    </row>
    <row r="20" spans="1:13" ht="15.75" thickBot="1" x14ac:dyDescent="0.3">
      <c r="A20" s="123" t="s">
        <v>22</v>
      </c>
      <c r="B20" s="140"/>
      <c r="C20" s="140"/>
      <c r="D20" s="140"/>
      <c r="E20" s="140"/>
      <c r="F20" s="140"/>
      <c r="G20" s="140"/>
      <c r="H20" s="140"/>
      <c r="I20" s="140"/>
      <c r="J20" s="140"/>
      <c r="K20" s="140"/>
      <c r="L20" s="140"/>
      <c r="M20" s="140"/>
    </row>
    <row r="21" spans="1:13" x14ac:dyDescent="0.25">
      <c r="A21" s="111">
        <v>0</v>
      </c>
      <c r="B21" s="67">
        <f>IF(ABS($D$2)&gt;=23.5,IF(0&gt;=B18,B17+(1-(0.023*(0-B18)^3.436)*(EXP(-0.421*(0-B18))))*(B16-B17),B17+(1-(0.023*(0+24-B18)^3.436)*(EXP(-0.421*(0+24-B18))))*(B16-B17)),IF(0&gt;=B18,B17+(1-(0.096*(0-B18)^2.422)*(EXP(-0.339*(0-B18))))*(B16-B17),B17+(1-(0.096*(0+24-B18)^2.422)*(EXP(-0.339*(0+24-B18))))*(B16-B17)))</f>
        <v>57.562018223183941</v>
      </c>
      <c r="C21" s="185">
        <f t="shared" ref="C21:M21" si="0">IF(ABS($D$2)&gt;=23.5,IF(0&gt;=C18,C17+(1-(0.023*(0-C18)^3.436)*(EXP(-0.421*(0-C18))))*(C16-C17),C17+(1-(0.023*(0+24-C18)^3.436)*(EXP(-0.421*(0+24-C18))))*(C16-C17)),IF(0&gt;=C18,C17+(1-(0.096*(0-C18)^2.422)*(EXP(-0.339*(0-C18))))*(C16-C17),C17+(1-(0.096*(0+24-C18)^2.422)*(EXP(-0.339*(0+24-C18))))*(C16-C17)))</f>
        <v>58.72970531788723</v>
      </c>
      <c r="D21" s="185">
        <f t="shared" si="0"/>
        <v>55.334182254545723</v>
      </c>
      <c r="E21" s="185">
        <f t="shared" si="0"/>
        <v>51.473886603799428</v>
      </c>
      <c r="F21" s="185">
        <f t="shared" si="0"/>
        <v>50.950064321293056</v>
      </c>
      <c r="G21" s="185">
        <f t="shared" si="0"/>
        <v>52.949073488936321</v>
      </c>
      <c r="H21" s="185">
        <f t="shared" si="0"/>
        <v>57.336624348098432</v>
      </c>
      <c r="I21" s="185">
        <f t="shared" si="0"/>
        <v>67.855091068525923</v>
      </c>
      <c r="J21" s="185">
        <f t="shared" si="0"/>
        <v>63.844607677536331</v>
      </c>
      <c r="K21" s="185">
        <f t="shared" si="0"/>
        <v>58.558497033701563</v>
      </c>
      <c r="L21" s="185">
        <f t="shared" si="0"/>
        <v>61.488535316404693</v>
      </c>
      <c r="M21" s="186">
        <f t="shared" si="0"/>
        <v>57.167551898308467</v>
      </c>
    </row>
    <row r="22" spans="1:13" x14ac:dyDescent="0.25">
      <c r="A22" s="111">
        <v>4.1666666666666664E-2</v>
      </c>
      <c r="B22" s="68">
        <f>IF(ABS($D$2)&gt;=23.5,IF(1&gt;=B18,B17+(1-(0.023*(1-B18)^3.436)*(EXP(-0.421*(1-B18))))*(B16-B17),B17+(1-(0.023*(1+24-B18)^3.436)*(EXP(-0.421*(1+24-B18))))*(B16-B17)),IF(1&gt;=B18,B17+(1-(0.096*(1-B18)^2.422)*(EXP(-0.339*(1-B18))))*(B16-B17),B17+(1-(0.096*(1+24-B18)^2.422)*(EXP(-0.339*(1+24-B18))))*(B16-B17)))</f>
        <v>59.714333736734076</v>
      </c>
      <c r="C22" s="184">
        <f t="shared" ref="C22:M22" si="1">IF(ABS($D$2)&gt;=23.5,IF(1&gt;=C18,C17+(1-(0.023*(1-C18)^3.436)*(EXP(-0.421*(1-C18))))*(C16-C17),C17+(1-(0.023*(1+24-C18)^3.436)*(EXP(-0.421*(1+24-C18))))*(C16-C17)),IF(1&gt;=C18,C17+(1-(0.096*(1-C18)^2.422)*(EXP(-0.339*(1-C18))))*(C16-C17),C17+(1-(0.096*(1+24-C18)^2.422)*(EXP(-0.339*(1+24-C18))))*(C16-C17)))</f>
        <v>60.858990705996654</v>
      </c>
      <c r="D22" s="184">
        <f t="shared" si="1"/>
        <v>57.250952570677498</v>
      </c>
      <c r="E22" s="184">
        <f t="shared" si="1"/>
        <v>53.094044312995983</v>
      </c>
      <c r="F22" s="184">
        <f t="shared" si="1"/>
        <v>52.427624492666567</v>
      </c>
      <c r="G22" s="184">
        <f t="shared" si="1"/>
        <v>54.323869414998583</v>
      </c>
      <c r="H22" s="184">
        <f t="shared" si="1"/>
        <v>58.663995234471358</v>
      </c>
      <c r="I22" s="184">
        <f t="shared" si="1"/>
        <v>69.43228773779262</v>
      </c>
      <c r="J22" s="184">
        <f t="shared" si="1"/>
        <v>65.524418462029786</v>
      </c>
      <c r="K22" s="184">
        <f t="shared" si="1"/>
        <v>60.514303352012739</v>
      </c>
      <c r="L22" s="184">
        <f t="shared" si="1"/>
        <v>63.797862849850858</v>
      </c>
      <c r="M22" s="187">
        <f t="shared" si="1"/>
        <v>59.301087893244542</v>
      </c>
    </row>
    <row r="23" spans="1:13" x14ac:dyDescent="0.25">
      <c r="A23" s="111">
        <v>8.3333333333333329E-2</v>
      </c>
      <c r="B23" s="68">
        <f>IF(ABS($D$2)&gt;=23.5,IF(2&gt;=B18,B17+(1-(0.023*(2-B18)^3.436)*(EXP(-0.421*(2-B18))))*(B16-B17),B17+(1-(0.023*(2+24-B18)^3.436)*(EXP(-0.421*(2+24-B18))))*(B16-B17)),IF(2&gt;=B18,B17+(1-(0.096*(2-B18)^2.422)*(EXP(-0.339*(2-B18))))*(B16-B17),B17+(1-(0.096*(2+24-B18)^2.422)*(EXP(-0.339*(2+24-B18))))*(B16-B17)))</f>
        <v>61.500561024608992</v>
      </c>
      <c r="C23" s="184">
        <f t="shared" ref="C23:M23" si="2">IF(ABS($D$2)&gt;=23.5,IF(2&gt;=C18,C17+(1-(0.023*(2-C18)^3.436)*(EXP(-0.421*(2-C18))))*(C16-C17),C17+(1-(0.023*(2+24-C18)^3.436)*(EXP(-0.421*(2+24-C18))))*(C16-C17)),IF(2&gt;=C18,C17+(1-(0.096*(2-C18)^2.422)*(EXP(-0.339*(2-C18))))*(C16-C17),C17+(1-(0.096*(2+24-C18)^2.422)*(EXP(-0.339*(2+24-C18))))*(C16-C17)))</f>
        <v>62.616227285321102</v>
      </c>
      <c r="D23" s="184">
        <f t="shared" si="2"/>
        <v>58.822722951280696</v>
      </c>
      <c r="E23" s="184">
        <f t="shared" si="2"/>
        <v>54.413477172571078</v>
      </c>
      <c r="F23" s="184">
        <f t="shared" si="2"/>
        <v>53.624552843373273</v>
      </c>
      <c r="G23" s="184">
        <f t="shared" si="2"/>
        <v>55.434553740447797</v>
      </c>
      <c r="H23" s="184">
        <f t="shared" si="2"/>
        <v>59.737505725867422</v>
      </c>
      <c r="I23" s="184">
        <f t="shared" si="2"/>
        <v>70.713528682935021</v>
      </c>
      <c r="J23" s="184">
        <f t="shared" si="2"/>
        <v>66.897847108375856</v>
      </c>
      <c r="K23" s="184">
        <f t="shared" si="2"/>
        <v>62.124490988608564</v>
      </c>
      <c r="L23" s="184">
        <f t="shared" si="2"/>
        <v>65.711285955035336</v>
      </c>
      <c r="M23" s="187">
        <f t="shared" si="2"/>
        <v>61.07455804385696</v>
      </c>
    </row>
    <row r="24" spans="1:13" x14ac:dyDescent="0.25">
      <c r="A24" s="111">
        <v>0.125</v>
      </c>
      <c r="B24" s="68">
        <f>IF(ABS($D$2)&gt;=23.5,IF(3&gt;=B18,B17+(1-(0.023*(3-B18)^3.436)*(EXP(-0.421*(3-B18))))*(B16-B17),B17+(1-(0.023*(3+24-B18)^3.436)*(EXP(-0.421*(3+24-B18))))*(B16-B17)),IF(3&gt;=B18,B17+(1-(0.096*(3-B18)^2.422)*(EXP(-0.339*(3-B18))))*(B16-B17),B17+(1-(0.096*(3+24-B18)^2.422)*(EXP(-0.339*(3+24-B18))))*(B16-B17)))</f>
        <v>62.959218549750602</v>
      </c>
      <c r="C24" s="184">
        <f t="shared" ref="C24:M24" si="3">IF(ABS($D$2)&gt;=23.5,IF(3&gt;=C18,C17+(1-(0.023*(3-C18)^3.436)*(EXP(-0.421*(3-C18))))*(C16-C17),C17+(1-(0.023*(3+24-C18)^3.436)*(EXP(-0.421*(3+24-C18))))*(C16-C17)),IF(3&gt;=C18,C17+(1-(0.096*(3-C18)^2.422)*(EXP(-0.339*(3-C18))))*(C16-C17),C17+(1-(0.096*(3+24-C18)^2.422)*(EXP(-0.339*(3+24-C18))))*(C16-C17)))</f>
        <v>64.044320324433798</v>
      </c>
      <c r="D24" s="184">
        <f t="shared" si="3"/>
        <v>60.093059394659321</v>
      </c>
      <c r="E24" s="184">
        <f t="shared" si="3"/>
        <v>55.473520862074018</v>
      </c>
      <c r="F24" s="184">
        <f t="shared" si="3"/>
        <v>54.581732285590135</v>
      </c>
      <c r="G24" s="184">
        <f t="shared" si="3"/>
        <v>56.320672904766951</v>
      </c>
      <c r="H24" s="184">
        <f t="shared" si="3"/>
        <v>60.594764083993283</v>
      </c>
      <c r="I24" s="184">
        <f t="shared" si="3"/>
        <v>71.740651530174318</v>
      </c>
      <c r="J24" s="184">
        <f t="shared" si="3"/>
        <v>68.005064358700906</v>
      </c>
      <c r="K24" s="184">
        <f t="shared" si="3"/>
        <v>63.430366739986297</v>
      </c>
      <c r="L24" s="184">
        <f t="shared" si="3"/>
        <v>67.271639507338335</v>
      </c>
      <c r="M24" s="187">
        <f t="shared" si="3"/>
        <v>62.524778005386558</v>
      </c>
    </row>
    <row r="25" spans="1:13" x14ac:dyDescent="0.25">
      <c r="A25" s="111">
        <v>0.16666666666666666</v>
      </c>
      <c r="B25" s="68">
        <f>IF(ABS($D$2)&gt;=23.5,IF(4&gt;=B18,B17+(1-(0.023*(4-B18)^3.436)*(EXP(-0.421*(4-B18))))*(B16-B17),B17+(1-(0.023*(4+24-B18)^3.436)*(EXP(-0.421*(4+24-B18))))*(B16-B17)),IF(4&gt;=B18,B17+(1-(0.096*(4-B18)^2.422)*(EXP(-0.339*(4-B18))))*(B16-B17),B17+(1-(0.096*(4+24-B18)^2.422)*(EXP(-0.339*(4+24-B18))))*(B16-B17)))</f>
        <v>64.133902384707099</v>
      </c>
      <c r="C25" s="184">
        <f t="shared" ref="C25:M25" si="4">IF(ABS($D$2)&gt;=23.5,IF(4&gt;=C18,C17+(1-(0.023*(4-C18)^3.436)*(EXP(-0.421*(4-C18))))*(C16-C17),C17+(1-(0.023*(4+24-C18)^3.436)*(EXP(-0.421*(4+24-C18))))*(C16-C17)),IF(4&gt;=C18,C17+(1-(0.096*(4-C18)^2.422)*(EXP(-0.339*(4-C18))))*(C16-C17),C17+(1-(0.096*(4+24-C18)^2.422)*(EXP(-0.339*(4+24-C18))))*(C16-C17)))</f>
        <v>65.189585624553018</v>
      </c>
      <c r="D25" s="184">
        <f t="shared" si="4"/>
        <v>61.106913342305837</v>
      </c>
      <c r="E25" s="184">
        <f t="shared" si="4"/>
        <v>56.315120611039774</v>
      </c>
      <c r="F25" s="184">
        <f t="shared" si="4"/>
        <v>55.338571552799536</v>
      </c>
      <c r="G25" s="184">
        <f t="shared" si="4"/>
        <v>57.019867911343667</v>
      </c>
      <c r="H25" s="184">
        <f t="shared" si="4"/>
        <v>61.271742556809151</v>
      </c>
      <c r="I25" s="184">
        <f t="shared" si="4"/>
        <v>72.554554691814701</v>
      </c>
      <c r="J25" s="184">
        <f t="shared" si="4"/>
        <v>68.886769280631526</v>
      </c>
      <c r="K25" s="184">
        <f t="shared" si="4"/>
        <v>64.475726478195796</v>
      </c>
      <c r="L25" s="184">
        <f t="shared" si="4"/>
        <v>68.526702513735046</v>
      </c>
      <c r="M25" s="187">
        <f t="shared" si="4"/>
        <v>63.694052143136886</v>
      </c>
    </row>
    <row r="26" spans="1:13" x14ac:dyDescent="0.25">
      <c r="A26" s="111">
        <v>0.20833333333333334</v>
      </c>
      <c r="B26" s="68">
        <f>IF(ABS($D$2)&gt;=23.5,IF(5&gt;=B18,B17+(1-(0.023*(5-B18)^3.436)*(EXP(-0.421*(5-B18))))*(B16-B17),B17+(1-(0.023*(5+24-B18)^3.436)*(EXP(-0.421*(5+24-B18))))*(B16-B17)),IF(5&gt;=B18,B17+(1-(0.096*(5-B18)^2.422)*(EXP(-0.339*(5-B18))))*(B16-B17),B17+(1-(0.096*(5+24-B18)^2.422)*(EXP(-0.339*(5+24-B18))))*(B16-B17)))</f>
        <v>65.068465562886516</v>
      </c>
      <c r="C26" s="184">
        <f t="shared" ref="C26:M26" si="5">IF(ABS($D$2)&gt;=23.5,IF(5&gt;=C18,C17+(1-(0.023*(5-C18)^3.436)*(EXP(-0.421*(5-C18))))*(C16-C17),C17+(1-(0.023*(5+24-C18)^3.436)*(EXP(-0.421*(5+24-C18))))*(C16-C17)),IF(5&gt;=C18,C17+(1-(0.096*(5-C18)^2.422)*(EXP(-0.339*(5-C18))))*(C16-C17),C17+(1-(0.096*(5+24-C18)^2.422)*(EXP(-0.339*(5+24-C18))))*(C16-C17)))</f>
        <v>66.097396955841887</v>
      </c>
      <c r="D26" s="184">
        <f t="shared" si="5"/>
        <v>61.907150499591722</v>
      </c>
      <c r="E26" s="184">
        <f t="shared" si="5"/>
        <v>56.976323423317865</v>
      </c>
      <c r="F26" s="184">
        <f t="shared" si="5"/>
        <v>55.931031076026827</v>
      </c>
      <c r="G26" s="184">
        <f t="shared" si="5"/>
        <v>57.566189282529393</v>
      </c>
      <c r="H26" s="184">
        <f t="shared" si="5"/>
        <v>61.801092358435838</v>
      </c>
      <c r="I26" s="184">
        <f t="shared" si="5"/>
        <v>73.192911687218356</v>
      </c>
      <c r="J26" s="184">
        <f t="shared" si="5"/>
        <v>69.581332872927931</v>
      </c>
      <c r="K26" s="184">
        <f t="shared" si="5"/>
        <v>65.303026453825993</v>
      </c>
      <c r="L26" s="184">
        <f t="shared" si="5"/>
        <v>69.524154734596877</v>
      </c>
      <c r="M26" s="187">
        <f t="shared" si="5"/>
        <v>64.625279290914705</v>
      </c>
    </row>
    <row r="27" spans="1:13" x14ac:dyDescent="0.25">
      <c r="A27" s="111">
        <v>0.25</v>
      </c>
      <c r="B27" s="68">
        <f>IF(ABS($D$2)&gt;=23.5,IF(6&gt;=B18,B17+(1-(0.023*(6-B18)^3.436)*(EXP(-0.421*(6-B18))))*(B16-B17),B17+(1-(0.023*(6+24-B18)^3.436)*(EXP(-0.421*(6+24-B18))))*(B16-B17)),IF(6&gt;=B18,B17+(1-(0.096*(6-B18)^2.422)*(EXP(-0.339*(6-B18))))*(B16-B17),B17+(1-(0.096*(6+24-B18)^2.422)*(EXP(-0.339*(6+24-B18))))*(B16-B17)))</f>
        <v>65.804063976184011</v>
      </c>
      <c r="C27" s="184">
        <f t="shared" ref="C27:M27" si="6">IF(ABS($D$2)&gt;=23.5,IF(6&gt;=C18,C17+(1-(0.023*(6-C18)^3.436)*(EXP(-0.421*(6-C18))))*(C16-C17),C17+(1-(0.023*(6+24-C18)^3.436)*(EXP(-0.421*(6+24-C18))))*(C16-C17)),IF(6&gt;=C18,C17+(1-(0.096*(6-C18)^2.422)*(EXP(-0.339*(6-C18))))*(C16-C17),C17+(1-(0.096*(6+24-C18)^2.422)*(EXP(-0.339*(6+24-C18))))*(C16-C17)))</f>
        <v>66.809610289006116</v>
      </c>
      <c r="D27" s="184">
        <f t="shared" si="6"/>
        <v>62.532597888795323</v>
      </c>
      <c r="E27" s="184">
        <f t="shared" si="6"/>
        <v>59.08539506763239</v>
      </c>
      <c r="F27" s="184">
        <f t="shared" si="6"/>
        <v>57.628489577400558</v>
      </c>
      <c r="G27" s="184">
        <f t="shared" si="6"/>
        <v>58.909851589717704</v>
      </c>
      <c r="H27" s="184">
        <f t="shared" si="6"/>
        <v>63.201763283508171</v>
      </c>
      <c r="I27" s="184">
        <f t="shared" si="6"/>
        <v>75.167865309188954</v>
      </c>
      <c r="J27" s="184">
        <f t="shared" si="6"/>
        <v>71.833022100632903</v>
      </c>
      <c r="K27" s="184">
        <f t="shared" si="6"/>
        <v>65.951156658708442</v>
      </c>
      <c r="L27" s="184">
        <f t="shared" si="6"/>
        <v>70.30851505099605</v>
      </c>
      <c r="M27" s="187">
        <f t="shared" si="6"/>
        <v>65.358927106190848</v>
      </c>
    </row>
    <row r="28" spans="1:13" x14ac:dyDescent="0.25">
      <c r="A28" s="111">
        <v>0.29166666666666669</v>
      </c>
      <c r="B28" s="68">
        <f>IF(ABS($D$2)&gt;=23.5,IF(7&gt;=B18,B17+(1-(0.023*(7-B18)^3.436)*(EXP(-0.421*(7-B18))))*(B16-B17),B17+(1-(0.023*(7+24-B18)^3.436)*(EXP(-0.421*(7+24-B18))))*(B16-B17)),IF(7&gt;=B18,B17+(1-(0.096*(7-B18)^2.422)*(EXP(-0.339*(7-B18))))*(B16-B17),B17+(1-(0.096*(7+24-B18)^2.422)*(EXP(-0.339*(7+24-B18))))*(B16-B17)))</f>
        <v>68.18183263920821</v>
      </c>
      <c r="C28" s="184">
        <f t="shared" ref="C28:M28" si="7">IF(ABS($D$2)&gt;=23.5,IF(7&gt;=C18,C17+(1-(0.023*(7-C18)^3.436)*(EXP(-0.421*(7-C18))))*(C16-C17),C17+(1-(0.023*(7+24-C18)^3.436)*(EXP(-0.421*(7+24-C18))))*(C16-C17)),IF(7&gt;=C18,C17+(1-(0.096*(7-C18)^2.422)*(EXP(-0.339*(7-C18))))*(C16-C17),C17+(1-(0.096*(7+24-C18)^2.422)*(EXP(-0.339*(7+24-C18))))*(C16-C17)))</f>
        <v>69.028457980756457</v>
      </c>
      <c r="D28" s="184">
        <f t="shared" si="7"/>
        <v>64.118487208285245</v>
      </c>
      <c r="E28" s="184">
        <f t="shared" si="7"/>
        <v>57.851501459070761</v>
      </c>
      <c r="F28" s="184">
        <f t="shared" si="7"/>
        <v>55.377981619588212</v>
      </c>
      <c r="G28" s="184">
        <f t="shared" si="7"/>
        <v>56.13717977049437</v>
      </c>
      <c r="H28" s="184">
        <f t="shared" si="7"/>
        <v>60.793912694826645</v>
      </c>
      <c r="I28" s="184">
        <f t="shared" si="7"/>
        <v>73.458971183030769</v>
      </c>
      <c r="J28" s="184">
        <f t="shared" si="7"/>
        <v>71.184539843103551</v>
      </c>
      <c r="K28" s="184">
        <f t="shared" si="7"/>
        <v>67.881806616326259</v>
      </c>
      <c r="L28" s="184">
        <f t="shared" si="7"/>
        <v>72.830994894961606</v>
      </c>
      <c r="M28" s="187">
        <f t="shared" si="7"/>
        <v>67.738043555760129</v>
      </c>
    </row>
    <row r="29" spans="1:13" x14ac:dyDescent="0.25">
      <c r="A29" s="111">
        <v>0.33333333333333331</v>
      </c>
      <c r="B29" s="68">
        <f>IF(ABS($D$2)&gt;=23.5,IF(8&gt;=B18,B17+(1-(0.023*(8-B18)^3.436)*(EXP(-0.421*(8-B18))))*(B16-B17),B17+(1-(0.023*(8+24-B18)^3.436)*(EXP(-0.421*(8+24-B18))))*(B16-B17)),IF(8&gt;=B18,B17+(1-(0.096*(8-B18)^2.422)*(EXP(-0.339*(8-B18))))*(B16-B17),B17+(1-(0.096*(8+24-B18)^2.422)*(EXP(-0.339*(8+24-B18))))*(B16-B17)))</f>
        <v>67.316170635281566</v>
      </c>
      <c r="C29" s="184">
        <f t="shared" ref="C29:M29" si="8">IF(ABS($D$2)&gt;=23.5,IF(8&gt;=C18,C17+(1-(0.023*(8-C18)^3.436)*(EXP(-0.421*(8-C18))))*(C16-C17),C17+(1-(0.023*(8+24-C18)^3.436)*(EXP(-0.421*(8+24-C18))))*(C16-C17)),IF(8&gt;=C18,C17+(1-(0.096*(8-C18)^2.422)*(EXP(-0.339*(8-C18))))*(C16-C17),C17+(1-(0.096*(8+24-C18)^2.422)*(EXP(-0.339*(8+24-C18))))*(C16-C17)))</f>
        <v>67.22699982028746</v>
      </c>
      <c r="D29" s="184">
        <f t="shared" si="8"/>
        <v>61.072864874088182</v>
      </c>
      <c r="E29" s="184">
        <f t="shared" si="8"/>
        <v>53.587949512529903</v>
      </c>
      <c r="F29" s="184">
        <f t="shared" si="8"/>
        <v>50.116561130887177</v>
      </c>
      <c r="G29" s="184">
        <f t="shared" si="8"/>
        <v>50.559602782498104</v>
      </c>
      <c r="H29" s="184">
        <f t="shared" si="8"/>
        <v>55.670094927313556</v>
      </c>
      <c r="I29" s="184">
        <f t="shared" si="8"/>
        <v>68.6352921204643</v>
      </c>
      <c r="J29" s="184">
        <f t="shared" si="8"/>
        <v>67.814988205410643</v>
      </c>
      <c r="K29" s="184">
        <f t="shared" si="8"/>
        <v>65.735890293636814</v>
      </c>
      <c r="L29" s="184">
        <f t="shared" si="8"/>
        <v>71.652369822186188</v>
      </c>
      <c r="M29" s="187">
        <f t="shared" si="8"/>
        <v>67.072834017913721</v>
      </c>
    </row>
    <row r="30" spans="1:13" x14ac:dyDescent="0.25">
      <c r="A30" s="111">
        <v>0.375</v>
      </c>
      <c r="B30" s="68">
        <f>IF(ABS($D$2)&gt;=23.5,IF(9&gt;=B18,B17+(1-(0.023*(9-B18)^3.436)*(EXP(-0.421*(9-B18))))*(B16-B17),B17+(1-(0.023*(9+24-B18)^3.436)*(EXP(-0.421*(9+24-B18))))*(B16-B17)),IF(9&gt;=B18,B17+(1-(0.096*(9-B18)^2.422)*(EXP(-0.339*(9-B18))))*(B16-B17),B17+(1-(0.096*(9+24-B18)^2.422)*(EXP(-0.339*(9+24-B18))))*(B16-B17)))</f>
        <v>63.40145229147064</v>
      </c>
      <c r="C30" s="184">
        <f t="shared" ref="C30:M30" si="9">IF(ABS($D$2)&gt;=23.5,IF(9&gt;=C18,C17+(1-(0.023*(9-C18)^3.436)*(EXP(-0.421*(9-C18))))*(C16-C17),C17+(1-(0.023*(9+24-C18)^3.436)*(EXP(-0.421*(9+24-C18))))*(C16-C17)),IF(9&gt;=C18,C17+(1-(0.096*(9-C18)^2.422)*(EXP(-0.339*(9-C18))))*(C16-C17),C17+(1-(0.096*(9+24-C18)^2.422)*(EXP(-0.339*(9+24-C18))))*(C16-C17)))</f>
        <v>61.980514114560805</v>
      </c>
      <c r="D30" s="184">
        <f t="shared" si="9"/>
        <v>54.815235898893647</v>
      </c>
      <c r="E30" s="184">
        <f t="shared" si="9"/>
        <v>46.867280848586276</v>
      </c>
      <c r="F30" s="184">
        <f t="shared" si="9"/>
        <v>43.024742245898956</v>
      </c>
      <c r="G30" s="184">
        <f t="shared" si="9"/>
        <v>43.539493244352336</v>
      </c>
      <c r="H30" s="184">
        <f t="shared" si="9"/>
        <v>49.049341988987081</v>
      </c>
      <c r="I30" s="184">
        <f t="shared" si="9"/>
        <v>61.599989873447072</v>
      </c>
      <c r="J30" s="184">
        <f t="shared" si="9"/>
        <v>61.696886405774507</v>
      </c>
      <c r="K30" s="184">
        <f t="shared" si="9"/>
        <v>60.338636669331265</v>
      </c>
      <c r="L30" s="184">
        <f t="shared" si="9"/>
        <v>67.03731343506405</v>
      </c>
      <c r="M30" s="187">
        <f t="shared" si="9"/>
        <v>63.554563375755862</v>
      </c>
    </row>
    <row r="31" spans="1:13" x14ac:dyDescent="0.25">
      <c r="A31" s="111">
        <v>0.41666666666666669</v>
      </c>
      <c r="B31" s="68">
        <f>IF(ABS($D$2)&gt;=23.5,IF(10&gt;=B18,B17+(1-(0.023*(10-B18)^3.436)*(EXP(-0.421*(10-B18))))*(B16-B17),B17+(1-(0.023*(10+24-B18)^3.436)*(EXP(-0.421*(10+24-B18))))*(B16-B17)),IF(10&gt;=B18,B17+(1-(0.096*(10-B18)^2.422)*(EXP(-0.339*(10-B18))))*(B16-B17),B17+(1-(0.096*(10+24-B18)^2.422)*(EXP(-0.339*(10+24-B18))))*(B16-B17)))</f>
        <v>56.61550473182276</v>
      </c>
      <c r="C31" s="184">
        <f t="shared" ref="C31:M31" si="10">IF(ABS($D$2)&gt;=23.5,IF(10&gt;=C18,C17+(1-(0.023*(10-C18)^3.436)*(EXP(-0.421*(10-C18))))*(C16-C17),C17+(1-(0.023*(10+24-C18)^3.436)*(EXP(-0.421*(10+24-C18))))*(C16-C17)),IF(10&gt;=C18,C17+(1-(0.096*(10-C18)^2.422)*(EXP(-0.339*(10-C18))))*(C16-C17),C17+(1-(0.096*(10+24-C18)^2.422)*(EXP(-0.339*(10+24-C18))))*(C16-C17)))</f>
        <v>54.232775092770282</v>
      </c>
      <c r="D31" s="184">
        <f t="shared" si="10"/>
        <v>46.860143178125526</v>
      </c>
      <c r="E31" s="184">
        <f t="shared" si="10"/>
        <v>39.401579533839389</v>
      </c>
      <c r="F31" s="184">
        <f t="shared" si="10"/>
        <v>35.839468550857674</v>
      </c>
      <c r="G31" s="184">
        <f t="shared" si="10"/>
        <v>36.734168827935832</v>
      </c>
      <c r="H31" s="184">
        <f t="shared" si="10"/>
        <v>42.519382468462865</v>
      </c>
      <c r="I31" s="184">
        <f t="shared" si="10"/>
        <v>54.123323201276136</v>
      </c>
      <c r="J31" s="184">
        <f t="shared" si="10"/>
        <v>54.373187610953835</v>
      </c>
      <c r="K31" s="184">
        <f t="shared" si="10"/>
        <v>52.831467230254439</v>
      </c>
      <c r="L31" s="184">
        <f t="shared" si="10"/>
        <v>59.426491204645671</v>
      </c>
      <c r="M31" s="187">
        <f t="shared" si="10"/>
        <v>57.129168853462325</v>
      </c>
    </row>
    <row r="32" spans="1:13" x14ac:dyDescent="0.25">
      <c r="A32" s="111">
        <v>0.45833333333333331</v>
      </c>
      <c r="B32" s="68">
        <f>IF(ABS($D$2)&gt;=23.5,IF(11&gt;=B18,B17+(1-(0.023*(11-B18)^3.436)*(EXP(-0.421*(11-B18))))*(B16-B17),B17+(1-(0.023*(11+24-B18)^3.436)*(EXP(-0.421*(11+24-B18))))*(B16-B17)),IF(11&gt;=B18,B17+(1-(0.096*(11-B18)^2.422)*(EXP(-0.339*(11-B18))))*(B16-B17),B17+(1-(0.096*(11+24-B18)^2.422)*(EXP(-0.339*(11+24-B18))))*(B16-B17)))</f>
        <v>48.682982878815515</v>
      </c>
      <c r="C32" s="184">
        <f t="shared" ref="C32:M32" si="11">IF(ABS($D$2)&gt;=23.5,IF(11&gt;=C18,C17+(1-(0.023*(11-C18)^3.436)*(EXP(-0.421*(11-C18))))*(C16-C17),C17+(1-(0.023*(11+24-C18)^3.436)*(EXP(-0.421*(11+24-C18))))*(C16-C17)),IF(11&gt;=C18,C17+(1-(0.096*(11-C18)^2.422)*(EXP(-0.339*(11-C18))))*(C16-C17),C17+(1-(0.096*(11+24-C18)^2.422)*(EXP(-0.339*(11+24-C18))))*(C16-C17)))</f>
        <v>45.938946453238188</v>
      </c>
      <c r="D32" s="184">
        <f t="shared" si="11"/>
        <v>39.097305337126414</v>
      </c>
      <c r="E32" s="184">
        <f t="shared" si="11"/>
        <v>32.777572888987493</v>
      </c>
      <c r="F32" s="184">
        <f t="shared" si="11"/>
        <v>29.919614230256872</v>
      </c>
      <c r="G32" s="184">
        <f t="shared" si="11"/>
        <v>31.342582889513132</v>
      </c>
      <c r="H32" s="184">
        <f t="shared" si="11"/>
        <v>37.264499092628839</v>
      </c>
      <c r="I32" s="184">
        <f t="shared" si="11"/>
        <v>47.714763467920811</v>
      </c>
      <c r="J32" s="184">
        <f t="shared" si="11"/>
        <v>47.512109508373499</v>
      </c>
      <c r="K32" s="184">
        <f t="shared" si="11"/>
        <v>45.07639416736076</v>
      </c>
      <c r="L32" s="184">
        <f t="shared" si="11"/>
        <v>50.761057945297267</v>
      </c>
      <c r="M32" s="187">
        <f t="shared" si="11"/>
        <v>49.415049492919707</v>
      </c>
    </row>
    <row r="33" spans="1:13" x14ac:dyDescent="0.25">
      <c r="A33" s="111">
        <v>0.5</v>
      </c>
      <c r="B33" s="68">
        <f>IF(ABS($D$2)&gt;=23.5,IF(12&gt;=B18,B17+(1-(0.023*(12-B18)^3.436)*(EXP(-0.421*(12-B18))))*(B16-B17),B17+(1-(0.023*(12+24-B18)^3.436)*(EXP(-0.421*(12+24-B18))))*(B16-B17)),IF(12&gt;=B18,B17+(1-(0.096*(12-B18)^2.422)*(EXP(-0.339*(12-B18))))*(B16-B17),B17+(1-(0.096*(12+24-B18)^2.422)*(EXP(-0.339*(12+24-B18))))*(B16-B17)))</f>
        <v>41.37531463577448</v>
      </c>
      <c r="C33" s="184">
        <f t="shared" ref="C33:M33" si="12">IF(ABS($D$2)&gt;=23.5,IF(12&gt;=C18,C17+(1-(0.023*(12-C18)^3.436)*(EXP(-0.421*(12-C18))))*(C16-C17),C17+(1-(0.023*(12+24-C18)^3.436)*(EXP(-0.421*(12+24-C18))))*(C16-C17)),IF(12&gt;=C18,C17+(1-(0.096*(12-C18)^2.422)*(EXP(-0.339*(12-C18))))*(C16-C17),C17+(1-(0.096*(12+24-C18)^2.422)*(EXP(-0.339*(12+24-C18))))*(C16-C17)))</f>
        <v>38.788626240904648</v>
      </c>
      <c r="D33" s="184">
        <f t="shared" si="12"/>
        <v>32.909912653513402</v>
      </c>
      <c r="E33" s="184">
        <f t="shared" si="12"/>
        <v>27.971291132622596</v>
      </c>
      <c r="F33" s="184">
        <f t="shared" si="12"/>
        <v>25.980611664557138</v>
      </c>
      <c r="G33" s="184">
        <f t="shared" si="12"/>
        <v>27.937457387787664</v>
      </c>
      <c r="H33" s="184">
        <f t="shared" si="12"/>
        <v>33.87379843628711</v>
      </c>
      <c r="I33" s="184">
        <f t="shared" si="12"/>
        <v>43.240902135111632</v>
      </c>
      <c r="J33" s="184">
        <f t="shared" si="12"/>
        <v>42.248993744593164</v>
      </c>
      <c r="K33" s="184">
        <f t="shared" si="12"/>
        <v>38.581505310139399</v>
      </c>
      <c r="L33" s="184">
        <f t="shared" si="12"/>
        <v>42.929584477193124</v>
      </c>
      <c r="M33" s="187">
        <f t="shared" si="12"/>
        <v>42.173424522538582</v>
      </c>
    </row>
    <row r="34" spans="1:13" x14ac:dyDescent="0.25">
      <c r="A34" s="111">
        <v>0.54166666666666663</v>
      </c>
      <c r="B34" s="68">
        <f>IF(ABS($D$2)&gt;=23.5,B17+(1-(0.023*(13-B18)^3.436)*(EXP(-0.421*(13-B18))))*(B16-B17),B17+(1-(0.096*(13-B18)^2.422)*(EXP(-0.339*(13-B18))))*(B16-B17))</f>
        <v>35.861816347339392</v>
      </c>
      <c r="C34" s="184">
        <f t="shared" ref="C34:M34" si="13">IF(ABS($D$2)&gt;=23.5,C17+(1-(0.023*(13-C18)^3.436)*(EXP(-0.421*(13-C18))))*(C16-C17),C17+(1-(0.096*(13-C18)^2.422)*(EXP(-0.339*(13-C18))))*(C16-C17))</f>
        <v>33.763473441772369</v>
      </c>
      <c r="D34" s="184">
        <f t="shared" si="13"/>
        <v>28.969310363822995</v>
      </c>
      <c r="E34" s="184">
        <f t="shared" si="13"/>
        <v>25.330216112329868</v>
      </c>
      <c r="F34" s="184">
        <f t="shared" si="13"/>
        <v>24.171502142415321</v>
      </c>
      <c r="G34" s="184">
        <f t="shared" si="13"/>
        <v>26.575387741111232</v>
      </c>
      <c r="H34" s="184">
        <f t="shared" si="13"/>
        <v>32.433347668508809</v>
      </c>
      <c r="I34" s="184">
        <f t="shared" si="13"/>
        <v>40.95696923618307</v>
      </c>
      <c r="J34" s="184">
        <f t="shared" si="13"/>
        <v>39.078140149461632</v>
      </c>
      <c r="K34" s="184">
        <f t="shared" si="13"/>
        <v>34.170754616351239</v>
      </c>
      <c r="L34" s="184">
        <f t="shared" si="13"/>
        <v>37.135238546895089</v>
      </c>
      <c r="M34" s="187">
        <f t="shared" si="13"/>
        <v>36.607357839173062</v>
      </c>
    </row>
    <row r="35" spans="1:13" x14ac:dyDescent="0.25">
      <c r="A35" s="111">
        <v>0.58333333333333337</v>
      </c>
      <c r="B35" s="68">
        <f>IF(ABS($D$2)&gt;=23.5,B17+(1-(0.023*(14-B18)^3.436)*(EXP(-0.421*(14-B18))))*(B16-B17),B17+(1-(0.096*(14-B18)^2.422)*(EXP(-0.339*(14-B18))))*(B16-B17))</f>
        <v>32.62504049515006</v>
      </c>
      <c r="C35" s="184">
        <f t="shared" ref="C35:M35" si="14">IF(ABS($D$2)&gt;=23.5,C17+(1-(0.023*(14-C18)^3.436)*(EXP(-0.421*(14-C18))))*(C16-C17),C17+(1-(0.096*(14-C18)^2.422)*(EXP(-0.339*(14-C18))))*(C16-C17))</f>
        <v>31.163495830801569</v>
      </c>
      <c r="D35" s="184">
        <f t="shared" si="14"/>
        <v>27.354519706365849</v>
      </c>
      <c r="E35" s="184">
        <f t="shared" si="14"/>
        <v>24.742757899636501</v>
      </c>
      <c r="F35" s="184">
        <f t="shared" si="14"/>
        <v>24.265028484744445</v>
      </c>
      <c r="G35" s="184">
        <f t="shared" si="14"/>
        <v>26.986520644193249</v>
      </c>
      <c r="H35" s="184">
        <f t="shared" si="14"/>
        <v>32.704741410507005</v>
      </c>
      <c r="I35" s="184">
        <f t="shared" si="14"/>
        <v>40.691136092501225</v>
      </c>
      <c r="J35" s="184">
        <f t="shared" si="14"/>
        <v>37.990318394317953</v>
      </c>
      <c r="K35" s="184">
        <f t="shared" si="14"/>
        <v>32.04722092349872</v>
      </c>
      <c r="L35" s="184">
        <f t="shared" si="14"/>
        <v>33.841162084716714</v>
      </c>
      <c r="M35" s="187">
        <f t="shared" si="14"/>
        <v>33.243844411121088</v>
      </c>
    </row>
    <row r="36" spans="1:13" x14ac:dyDescent="0.25">
      <c r="A36" s="111">
        <v>0.625</v>
      </c>
      <c r="B36" s="68">
        <f>IF(ABS($D$2)&gt;=23.5,B17+(1-(0.023*(15-B18)^3.436)*(EXP(-0.421*(15-B18))))*(B16-B17),B17+(1-(0.096*(15-B18)^2.422)*(EXP(-0.339*(15-B18))))*(B16-B17))</f>
        <v>31.620308501680295</v>
      </c>
      <c r="C36" s="184">
        <f t="shared" ref="C36:M36" si="15">IF(ABS($D$2)&gt;=23.5,C17+(1-(0.023*(15-C18)^3.436)*(EXP(-0.421*(15-C18))))*(C16-C17),C17+(1-(0.096*(15-C18)^2.422)*(EXP(-0.339*(15-C18))))*(C16-C17))</f>
        <v>30.808997911964319</v>
      </c>
      <c r="D36" s="184">
        <f t="shared" si="15"/>
        <v>27.767071021806757</v>
      </c>
      <c r="E36" s="184">
        <f t="shared" si="15"/>
        <v>25.837605733856133</v>
      </c>
      <c r="F36" s="184">
        <f t="shared" si="15"/>
        <v>25.844194498520462</v>
      </c>
      <c r="G36" s="184">
        <f t="shared" si="15"/>
        <v>28.748064753502383</v>
      </c>
      <c r="H36" s="184">
        <f t="shared" si="15"/>
        <v>34.29283108583909</v>
      </c>
      <c r="I36" s="184">
        <f t="shared" si="15"/>
        <v>42.04184687437224</v>
      </c>
      <c r="J36" s="184">
        <f t="shared" si="15"/>
        <v>38.67048921539395</v>
      </c>
      <c r="K36" s="184">
        <f t="shared" si="15"/>
        <v>31.992866114130901</v>
      </c>
      <c r="L36" s="184">
        <f t="shared" si="15"/>
        <v>32.956744607344326</v>
      </c>
      <c r="M36" s="187">
        <f t="shared" si="15"/>
        <v>32.077337434745218</v>
      </c>
    </row>
    <row r="37" spans="1:13" x14ac:dyDescent="0.25">
      <c r="A37" s="111">
        <v>0.66666666666666663</v>
      </c>
      <c r="B37" s="68">
        <f>IF(ABS($D$2)&gt;=23.5,B17+(1-(0.023*(16-B18)^3.436)*(EXP(-0.421*(16-B18))))*(B16-B17),B17+(1-(0.096*(16-B18)^2.422)*(EXP(-0.339*(16-B18))))*(B16-B17))</f>
        <v>32.489385628134812</v>
      </c>
      <c r="C37" s="184">
        <f t="shared" ref="C37:M37" si="16">IF(ABS($D$2)&gt;=23.5,C17+(1-(0.023*(16-C18)^3.436)*(EXP(-0.421*(16-C18))))*(C16-C17),C17+(1-(0.096*(16-C18)^2.422)*(EXP(-0.339*(16-C18))))*(C16-C17))</f>
        <v>32.259952215275341</v>
      </c>
      <c r="D37" s="184">
        <f t="shared" si="16"/>
        <v>29.72949891257106</v>
      </c>
      <c r="E37" s="184">
        <f t="shared" si="16"/>
        <v>28.145587079696845</v>
      </c>
      <c r="F37" s="184">
        <f t="shared" si="16"/>
        <v>28.441599825083351</v>
      </c>
      <c r="G37" s="184">
        <f t="shared" si="16"/>
        <v>31.408846055072352</v>
      </c>
      <c r="H37" s="184">
        <f t="shared" si="16"/>
        <v>36.768008933594018</v>
      </c>
      <c r="I37" s="184">
        <f t="shared" si="16"/>
        <v>44.531684802399148</v>
      </c>
      <c r="J37" s="184">
        <f t="shared" si="16"/>
        <v>40.67001657384538</v>
      </c>
      <c r="K37" s="184">
        <f t="shared" si="16"/>
        <v>33.571323636349376</v>
      </c>
      <c r="L37" s="184">
        <f t="shared" si="16"/>
        <v>34.070139456800732</v>
      </c>
      <c r="M37" s="187">
        <f t="shared" si="16"/>
        <v>32.77805081960377</v>
      </c>
    </row>
    <row r="38" spans="1:13" x14ac:dyDescent="0.25">
      <c r="A38" s="111">
        <v>0.70833333333333337</v>
      </c>
      <c r="B38" s="68">
        <f>IF(ABS($D$2)&gt;=23.5,B17+(1-(0.023*(17-B18)^3.436)*(EXP(-0.421*(17-B18))))*(B16-B17),B17+(1-(0.096*(17-B18)^2.422)*(EXP(-0.339*(17-B18))))*(B16-B17))</f>
        <v>34.742423640774447</v>
      </c>
      <c r="C38" s="184">
        <f t="shared" ref="C38:M38" si="17">IF(ABS($D$2)&gt;=23.5,C17+(1-(0.023*(17-C18)^3.436)*(EXP(-0.421*(17-C18))))*(C16-C17),C17+(1-(0.096*(17-C18)^2.422)*(EXP(-0.339*(17-C18))))*(C16-C17))</f>
        <v>34.988182354774501</v>
      </c>
      <c r="D38" s="184">
        <f t="shared" si="17"/>
        <v>32.728680014942206</v>
      </c>
      <c r="E38" s="184">
        <f t="shared" si="17"/>
        <v>31.206919071825304</v>
      </c>
      <c r="F38" s="184">
        <f t="shared" si="17"/>
        <v>31.625597023396239</v>
      </c>
      <c r="G38" s="184">
        <f t="shared" si="17"/>
        <v>34.563465498886742</v>
      </c>
      <c r="H38" s="184">
        <f t="shared" si="17"/>
        <v>39.740130995959056</v>
      </c>
      <c r="I38" s="184">
        <f t="shared" si="17"/>
        <v>47.706127926668358</v>
      </c>
      <c r="J38" s="184">
        <f t="shared" si="17"/>
        <v>43.526551477396026</v>
      </c>
      <c r="K38" s="184">
        <f t="shared" si="17"/>
        <v>36.282019583217526</v>
      </c>
      <c r="L38" s="184">
        <f t="shared" si="17"/>
        <v>36.641411378315269</v>
      </c>
      <c r="M38" s="187">
        <f t="shared" si="17"/>
        <v>34.873899333468216</v>
      </c>
    </row>
    <row r="39" spans="1:13" x14ac:dyDescent="0.25">
      <c r="A39" s="111">
        <v>0.75</v>
      </c>
      <c r="B39" s="68">
        <f>IF(ABS($D$2)&gt;=23.5,B17+(1-(0.023*(18-B18)^3.436)*(EXP(-0.421*(18-B18))))*(B16-B17),B17+(1-(0.096*(18-B18)^2.422)*(EXP(-0.339*(18-B18))))*(B16-B17))</f>
        <v>37.882712642469279</v>
      </c>
      <c r="C39" s="184">
        <f t="shared" ref="C39:M39" si="18">IF(ABS($D$2)&gt;=23.5,C17+(1-(0.023*(18-C18)^3.436)*(EXP(-0.421*(18-C18))))*(C16-C17),C17+(1-(0.096*(18-C18)^2.422)*(EXP(-0.339*(18-C18))))*(C16-C17))</f>
        <v>38.488472445183113</v>
      </c>
      <c r="D39" s="184">
        <f t="shared" si="18"/>
        <v>36.301678532481489</v>
      </c>
      <c r="E39" s="184">
        <f t="shared" si="18"/>
        <v>34.629600276510764</v>
      </c>
      <c r="F39" s="184">
        <f t="shared" si="18"/>
        <v>35.042934682683622</v>
      </c>
      <c r="G39" s="184">
        <f t="shared" si="18"/>
        <v>37.88682143552353</v>
      </c>
      <c r="H39" s="184">
        <f t="shared" si="18"/>
        <v>42.893820699770473</v>
      </c>
      <c r="I39" s="184">
        <f t="shared" si="18"/>
        <v>51.185128131472538</v>
      </c>
      <c r="J39" s="184">
        <f t="shared" si="18"/>
        <v>46.833155619255045</v>
      </c>
      <c r="K39" s="184">
        <f t="shared" si="18"/>
        <v>39.656966110135215</v>
      </c>
      <c r="L39" s="184">
        <f t="shared" si="18"/>
        <v>40.132691410029139</v>
      </c>
      <c r="M39" s="187">
        <f t="shared" si="18"/>
        <v>37.87738791695643</v>
      </c>
    </row>
    <row r="40" spans="1:13" x14ac:dyDescent="0.25">
      <c r="A40" s="111">
        <v>0.79166666666666663</v>
      </c>
      <c r="B40" s="68">
        <f>IF(ABS($D$2)&gt;=23.5,B17+(1-(0.023*(19-B18)^3.436)*(EXP(-0.421*(19-B18))))*(B16-B17),B17+(1-(0.096*(19-B18)^2.422)*(EXP(-0.339*(19-B18))))*(B16-B17))</f>
        <v>41.477412347101918</v>
      </c>
      <c r="C40" s="184">
        <f t="shared" ref="C40:M40" si="19">IF(ABS($D$2)&gt;=23.5,C17+(1-(0.023*(19-C18)^3.436)*(EXP(-0.421*(19-C18))))*(C16-C17),C17+(1-(0.096*(19-C18)^2.422)*(EXP(-0.339*(19-C18))))*(C16-C17))</f>
        <v>42.337023128304594</v>
      </c>
      <c r="D40" s="184">
        <f t="shared" si="19"/>
        <v>40.076113158222611</v>
      </c>
      <c r="E40" s="184">
        <f t="shared" si="19"/>
        <v>38.112135424099769</v>
      </c>
      <c r="F40" s="184">
        <f t="shared" si="19"/>
        <v>38.431424585157245</v>
      </c>
      <c r="G40" s="184">
        <f t="shared" si="19"/>
        <v>41.142113378869603</v>
      </c>
      <c r="H40" s="184">
        <f t="shared" si="19"/>
        <v>45.997633698926762</v>
      </c>
      <c r="I40" s="184">
        <f t="shared" si="19"/>
        <v>54.68118472756116</v>
      </c>
      <c r="J40" s="184">
        <f t="shared" si="19"/>
        <v>50.268665096701781</v>
      </c>
      <c r="K40" s="184">
        <f t="shared" si="19"/>
        <v>43.309791658249253</v>
      </c>
      <c r="L40" s="184">
        <f t="shared" si="19"/>
        <v>44.0805013778673</v>
      </c>
      <c r="M40" s="187">
        <f t="shared" si="19"/>
        <v>41.358920794056878</v>
      </c>
    </row>
    <row r="41" spans="1:13" x14ac:dyDescent="0.25">
      <c r="A41" s="111">
        <v>0.83333333333333337</v>
      </c>
      <c r="B41" s="68">
        <f>IF(ABS($D$2)&gt;=23.5,B17+(1-(0.023*(20-B18)^3.436)*(EXP(-0.421*(20-B18))))*(B16-B17),B17+(1-(0.096*(20-B18)^2.422)*(EXP(-0.339*(20-B18))))*(B16-B17))</f>
        <v>45.187613144523993</v>
      </c>
      <c r="C41" s="184">
        <f t="shared" ref="C41:M41" si="20">IF(ABS($D$2)&gt;=23.5,C17+(1-(0.023*(20-C18)^3.436)*(EXP(-0.421*(20-C18))))*(C16-C17),C17+(1-(0.096*(20-C18)^2.422)*(EXP(-0.339*(20-C18))))*(C16-C17))</f>
        <v>46.212341930672451</v>
      </c>
      <c r="D41" s="184">
        <f t="shared" si="20"/>
        <v>43.779960450687852</v>
      </c>
      <c r="E41" s="184">
        <f t="shared" si="20"/>
        <v>41.4438333902837</v>
      </c>
      <c r="F41" s="184">
        <f t="shared" si="20"/>
        <v>41.614797301246433</v>
      </c>
      <c r="G41" s="184">
        <f t="shared" si="20"/>
        <v>44.173582702339161</v>
      </c>
      <c r="H41" s="184">
        <f t="shared" si="20"/>
        <v>48.897983126047009</v>
      </c>
      <c r="I41" s="184">
        <f t="shared" si="20"/>
        <v>57.996886765668577</v>
      </c>
      <c r="J41" s="184">
        <f t="shared" si="20"/>
        <v>53.6027195559926</v>
      </c>
      <c r="K41" s="184">
        <f t="shared" si="20"/>
        <v>46.951453930757381</v>
      </c>
      <c r="L41" s="184">
        <f t="shared" si="20"/>
        <v>48.125224705712405</v>
      </c>
      <c r="M41" s="187">
        <f t="shared" si="20"/>
        <v>44.97912620592286</v>
      </c>
    </row>
    <row r="42" spans="1:13" x14ac:dyDescent="0.25">
      <c r="A42" s="111">
        <v>0.875</v>
      </c>
      <c r="B42" s="68">
        <f>IF(ABS($D$2)&gt;=23.5,B17+(1-(0.023*(21-B18)^3.436)*(EXP(-0.421*(21-B18))))*(B16-B17),B17+(1-(0.096*(21-B18)^2.422)*(EXP(-0.339*(21-B18))))*(B16-B17))</f>
        <v>48.772124473742174</v>
      </c>
      <c r="C42" s="184">
        <f t="shared" ref="C42:M42" si="21">IF(ABS($D$2)&gt;=23.5,C17+(1-(0.023*(21-C18)^3.436)*(EXP(-0.421*(21-C18))))*(C16-C17),C17+(1-(0.096*(21-C18)^2.422)*(EXP(-0.339*(21-C18))))*(C16-C17))</f>
        <v>49.893012869363673</v>
      </c>
      <c r="D42" s="184">
        <f t="shared" si="21"/>
        <v>47.233678820652656</v>
      </c>
      <c r="E42" s="184">
        <f t="shared" si="21"/>
        <v>44.49315396483339</v>
      </c>
      <c r="F42" s="184">
        <f t="shared" si="21"/>
        <v>44.488825419645508</v>
      </c>
      <c r="G42" s="184">
        <f t="shared" si="21"/>
        <v>46.892161960187821</v>
      </c>
      <c r="H42" s="184">
        <f t="shared" si="21"/>
        <v>51.505824030767116</v>
      </c>
      <c r="I42" s="184">
        <f t="shared" si="21"/>
        <v>61.011903811998927</v>
      </c>
      <c r="J42" s="184">
        <f t="shared" si="21"/>
        <v>56.686603649112314</v>
      </c>
      <c r="K42" s="184">
        <f t="shared" si="21"/>
        <v>50.385898451930487</v>
      </c>
      <c r="L42" s="184">
        <f t="shared" si="21"/>
        <v>52.013268815211632</v>
      </c>
      <c r="M42" s="187">
        <f t="shared" si="21"/>
        <v>48.494354613849183</v>
      </c>
    </row>
    <row r="43" spans="1:13" x14ac:dyDescent="0.25">
      <c r="A43" s="111">
        <v>0.91666666666666663</v>
      </c>
      <c r="B43" s="68">
        <f>IF(ABS($D$2)&gt;=23.5,B17+(1-(0.023*(22-B18)^3.436)*(EXP(-0.421*(22-B18))))*(B16-B17),B17+(1-(0.096*(22-B18)^2.422)*(EXP(-0.339*(22-B18))))*(B16-B17))</f>
        <v>52.076761498247251</v>
      </c>
      <c r="C43" s="184">
        <f t="shared" ref="C43:M43" si="22">IF(ABS($D$2)&gt;=23.5,C17+(1-(0.023*(22-C18)^3.436)*(EXP(-0.421*(22-C18))))*(C16-C17),C17+(1-(0.096*(22-C18)^2.422)*(EXP(-0.339*(22-C18))))*(C16-C17))</f>
        <v>53.243507661547021</v>
      </c>
      <c r="D43" s="184">
        <f t="shared" si="22"/>
        <v>50.334045869896826</v>
      </c>
      <c r="E43" s="184">
        <f t="shared" si="22"/>
        <v>47.191301818283037</v>
      </c>
      <c r="F43" s="184">
        <f t="shared" si="22"/>
        <v>47.004675865277079</v>
      </c>
      <c r="G43" s="184">
        <f t="shared" si="22"/>
        <v>49.25927251109092</v>
      </c>
      <c r="H43" s="184">
        <f t="shared" si="22"/>
        <v>53.781274490878232</v>
      </c>
      <c r="I43" s="184">
        <f t="shared" si="22"/>
        <v>63.666138566920566</v>
      </c>
      <c r="J43" s="184">
        <f t="shared" si="22"/>
        <v>59.43782302196562</v>
      </c>
      <c r="K43" s="184">
        <f t="shared" si="22"/>
        <v>53.49568334518829</v>
      </c>
      <c r="L43" s="184">
        <f t="shared" si="22"/>
        <v>55.584414201037788</v>
      </c>
      <c r="M43" s="187">
        <f t="shared" si="22"/>
        <v>51.747127940957583</v>
      </c>
    </row>
    <row r="44" spans="1:13" ht="15.75" thickBot="1" x14ac:dyDescent="0.3">
      <c r="A44" s="111">
        <v>0.95833333333333337</v>
      </c>
      <c r="B44" s="69">
        <f>IF(ABS($D$2)&gt;=23.5,B17+(1-(0.023*(23-B18)^3.436)*(EXP(-0.421*(23-B18))))*(B16-B17),B17+(1-(0.096*(23-B18)^2.422)*(EXP(-0.339*(23-B18))))*(B16-B17))</f>
        <v>55.017409031977422</v>
      </c>
      <c r="C44" s="188">
        <f t="shared" ref="C44:M44" si="23">IF(ABS($D$2)&gt;=23.5,C17+(1-(0.023*(23-C18)^3.436)*(EXP(-0.421*(23-C18))))*(C16-C17),C17+(1-(0.096*(23-C18)^2.422)*(EXP(-0.339*(23-C18))))*(C16-C17))</f>
        <v>56.195574270056284</v>
      </c>
      <c r="D44" s="188">
        <f t="shared" si="23"/>
        <v>53.035753670076765</v>
      </c>
      <c r="E44" s="188">
        <f t="shared" si="23"/>
        <v>49.515448604656257</v>
      </c>
      <c r="F44" s="188">
        <f t="shared" si="23"/>
        <v>49.152945509420533</v>
      </c>
      <c r="G44" s="188">
        <f t="shared" si="23"/>
        <v>51.271722124707786</v>
      </c>
      <c r="H44" s="188">
        <f t="shared" si="23"/>
        <v>55.719123567416389</v>
      </c>
      <c r="I44" s="188">
        <f t="shared" si="23"/>
        <v>65.943037253038369</v>
      </c>
      <c r="J44" s="188">
        <f t="shared" si="23"/>
        <v>61.823397101642541</v>
      </c>
      <c r="K44" s="188">
        <f t="shared" si="23"/>
        <v>56.224216115766211</v>
      </c>
      <c r="L44" s="188">
        <f t="shared" si="23"/>
        <v>58.753034742976389</v>
      </c>
      <c r="M44" s="189">
        <f t="shared" si="23"/>
        <v>54.649920955025124</v>
      </c>
    </row>
  </sheetData>
  <sheetProtection password="E6CB" sheet="1" objects="1" scenarios="1"/>
  <mergeCells count="1">
    <mergeCell ref="A1:M1"/>
  </mergeCells>
  <conditionalFormatting sqref="B21:M44">
    <cfRule type="colorScale" priority="1">
      <colorScale>
        <cfvo type="min"/>
        <cfvo type="percentile" val="50"/>
        <cfvo type="max"/>
        <color rgb="FF5A8AC6"/>
        <color rgb="FFFFEB84"/>
        <color rgb="FFF8696B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2:M40"/>
  <sheetViews>
    <sheetView showGridLines="0" zoomScale="60" zoomScaleNormal="60" zoomScalePageLayoutView="60" workbookViewId="0">
      <selection activeCell="D27" sqref="D27"/>
    </sheetView>
  </sheetViews>
  <sheetFormatPr baseColWidth="10" defaultRowHeight="15" x14ac:dyDescent="0.25"/>
  <cols>
    <col min="1" max="1" width="16.7109375" bestFit="1" customWidth="1"/>
  </cols>
  <sheetData>
    <row r="2" spans="1:13" x14ac:dyDescent="0.25">
      <c r="A2" s="108" t="s">
        <v>1</v>
      </c>
      <c r="B2" s="124" t="str">
        <f>Temp!B2</f>
        <v>Hermosillo, Son.</v>
      </c>
      <c r="C2" s="108" t="s">
        <v>171</v>
      </c>
      <c r="D2" s="124">
        <f>Temp!D2</f>
        <v>29.08</v>
      </c>
      <c r="E2" s="108" t="s">
        <v>172</v>
      </c>
      <c r="F2" s="124">
        <f>Temp!F2</f>
        <v>-110.93</v>
      </c>
      <c r="G2" s="108" t="s">
        <v>4</v>
      </c>
      <c r="H2" s="124">
        <f>Temp!H2</f>
        <v>211</v>
      </c>
    </row>
    <row r="3" spans="1:13" x14ac:dyDescent="0.25">
      <c r="A3" s="125"/>
      <c r="B3" s="110" t="s">
        <v>53</v>
      </c>
      <c r="C3" s="110" t="s">
        <v>57</v>
      </c>
      <c r="D3" s="110" t="s">
        <v>58</v>
      </c>
      <c r="E3" s="110" t="s">
        <v>59</v>
      </c>
      <c r="F3" s="110" t="s">
        <v>60</v>
      </c>
      <c r="G3" s="110" t="s">
        <v>61</v>
      </c>
      <c r="H3" s="110" t="s">
        <v>62</v>
      </c>
      <c r="I3" s="110" t="s">
        <v>63</v>
      </c>
      <c r="J3" s="110" t="s">
        <v>64</v>
      </c>
      <c r="K3" s="110" t="s">
        <v>65</v>
      </c>
      <c r="L3" s="110" t="s">
        <v>66</v>
      </c>
      <c r="M3" s="110" t="s">
        <v>67</v>
      </c>
    </row>
    <row r="4" spans="1:13" x14ac:dyDescent="0.25">
      <c r="A4" s="125" t="s">
        <v>36</v>
      </c>
      <c r="B4" s="141">
        <f>+Temp!B6</f>
        <v>17.25</v>
      </c>
      <c r="C4" s="141">
        <f>+Temp!C6</f>
        <v>18.3</v>
      </c>
      <c r="D4" s="141">
        <f>+Temp!D6</f>
        <v>20.65</v>
      </c>
      <c r="E4" s="141">
        <f>+Temp!E6</f>
        <v>24.4</v>
      </c>
      <c r="F4" s="141">
        <f>+Temp!F6</f>
        <v>27.8</v>
      </c>
      <c r="G4" s="141">
        <f>+Temp!G6</f>
        <v>31.900000000000002</v>
      </c>
      <c r="H4" s="141">
        <f>+Temp!H6</f>
        <v>32.799999999999997</v>
      </c>
      <c r="I4" s="141">
        <f>+Temp!I6</f>
        <v>32.049999999999997</v>
      </c>
      <c r="J4" s="141">
        <f>+Temp!J6</f>
        <v>30.7</v>
      </c>
      <c r="K4" s="141">
        <f>+Temp!K6</f>
        <v>26.5</v>
      </c>
      <c r="L4" s="141">
        <f>+Temp!L6</f>
        <v>20.55</v>
      </c>
      <c r="M4" s="141">
        <f>+Temp!M6</f>
        <v>16.899999999999999</v>
      </c>
    </row>
    <row r="5" spans="1:13" x14ac:dyDescent="0.25">
      <c r="A5" s="125" t="s">
        <v>37</v>
      </c>
      <c r="B5" s="141">
        <f>17.6+0.31*B4</f>
        <v>22.947500000000002</v>
      </c>
      <c r="C5" s="141">
        <f t="shared" ref="C5:M5" si="0">17.6+0.31*C4</f>
        <v>23.273000000000003</v>
      </c>
      <c r="D5" s="141">
        <f t="shared" si="0"/>
        <v>24.0015</v>
      </c>
      <c r="E5" s="141">
        <f t="shared" si="0"/>
        <v>25.164000000000001</v>
      </c>
      <c r="F5" s="141">
        <f t="shared" si="0"/>
        <v>26.218000000000004</v>
      </c>
      <c r="G5" s="141">
        <f t="shared" si="0"/>
        <v>27.489000000000004</v>
      </c>
      <c r="H5" s="141">
        <f t="shared" si="0"/>
        <v>27.768000000000001</v>
      </c>
      <c r="I5" s="141">
        <f t="shared" si="0"/>
        <v>27.535499999999999</v>
      </c>
      <c r="J5" s="141">
        <f t="shared" si="0"/>
        <v>27.117000000000001</v>
      </c>
      <c r="K5" s="141">
        <f t="shared" si="0"/>
        <v>25.815000000000001</v>
      </c>
      <c r="L5" s="141">
        <f t="shared" si="0"/>
        <v>23.970500000000001</v>
      </c>
      <c r="M5" s="141">
        <f t="shared" si="0"/>
        <v>22.839000000000002</v>
      </c>
    </row>
    <row r="6" spans="1:13" x14ac:dyDescent="0.25">
      <c r="A6" s="126" t="s">
        <v>40</v>
      </c>
      <c r="B6" s="141">
        <f>+Temp!B4-Temp!B5</f>
        <v>14.5</v>
      </c>
      <c r="C6" s="141">
        <f>+Temp!C4-Temp!C5</f>
        <v>15.600000000000001</v>
      </c>
      <c r="D6" s="141">
        <f>+Temp!D4-Temp!D5</f>
        <v>17.100000000000001</v>
      </c>
      <c r="E6" s="141">
        <f>+Temp!E4-Temp!E5</f>
        <v>18</v>
      </c>
      <c r="F6" s="141">
        <f>+Temp!F4-Temp!F5</f>
        <v>18.800000000000004</v>
      </c>
      <c r="G6" s="141">
        <f>+Temp!G4-Temp!G5</f>
        <v>17.600000000000001</v>
      </c>
      <c r="H6" s="141">
        <f>+Temp!H4-Temp!H5</f>
        <v>14.399999999999999</v>
      </c>
      <c r="I6" s="141">
        <f>+Temp!I4-Temp!I5</f>
        <v>12.899999999999999</v>
      </c>
      <c r="J6" s="141">
        <f>+Temp!J4-Temp!J5</f>
        <v>13.199999999999996</v>
      </c>
      <c r="K6" s="141">
        <f>+Temp!K4-Temp!K5</f>
        <v>15.599999999999998</v>
      </c>
      <c r="L6" s="141">
        <f>+Temp!L4-Temp!L5</f>
        <v>15.5</v>
      </c>
      <c r="M6" s="141">
        <f>+Temp!M4-Temp!M5</f>
        <v>13.999999999999998</v>
      </c>
    </row>
    <row r="7" spans="1:13" x14ac:dyDescent="0.25">
      <c r="A7" s="126" t="s">
        <v>41</v>
      </c>
      <c r="B7" s="141">
        <f>+IF(B6&lt;13,$D$14,IF(B6&lt;16,$D$15,IF(B6&lt;19,$D$16,IF(B6&lt;24,$D$17,IF(B6&lt;28,$D$18,IF(B6&lt;33,$D$19,IF(B6&lt;38,$D$20,IF(B6&lt;45,$D$21,IF(B6&lt;=51,$D$22,D23)))))))))</f>
        <v>3</v>
      </c>
      <c r="C7" s="141">
        <f>+IF(C6&lt;13,$D$14,IF(C6&lt;16,$D$15,IF(C6&lt;19,$D$16,IF(C6&lt;24,$D$17,IF(C6&lt;28,$D$18,IF(C6&lt;33,$D$19,IF(C6&lt;38,$D$20,IF(C6&lt;45,$D$21,IF(C6&lt;=51,$D$22,E23)))))))))</f>
        <v>3</v>
      </c>
      <c r="D7" s="141">
        <f>+IF(D6&lt;13,$D$14,IF(D6&lt;16,$D$15,IF(D6&lt;19,$D$16,IF(D6&lt;24,$D$17,IF(D6&lt;28,$D$18,IF(D6&lt;33,$D$19,IF(D6&lt;38,$D$20,IF(D6&lt;45,$D$21,IF(D6&lt;=51,$D$22,F23)))))))))</f>
        <v>3.5</v>
      </c>
      <c r="E7" s="141">
        <f t="shared" ref="E7:M7" si="1">+IF(E6&lt;13,$D$14,IF(E6&lt;16,$D$15,IF(E6&lt;19,$D$16,IF(E6&lt;24,$D$17,IF(E6&lt;28,$D$18,IF(E6&lt;33,$D$19,IF(E6&lt;38,$D$20,IF(E6&lt;45,$D$21,IF(E6&lt;=51,$D$22,H51)))))))))</f>
        <v>3.5</v>
      </c>
      <c r="F7" s="141">
        <f t="shared" si="1"/>
        <v>3.5</v>
      </c>
      <c r="G7" s="141">
        <f t="shared" si="1"/>
        <v>3.5</v>
      </c>
      <c r="H7" s="141">
        <f t="shared" si="1"/>
        <v>3</v>
      </c>
      <c r="I7" s="141">
        <f t="shared" si="1"/>
        <v>2.5</v>
      </c>
      <c r="J7" s="141">
        <f t="shared" si="1"/>
        <v>3</v>
      </c>
      <c r="K7" s="141">
        <f t="shared" si="1"/>
        <v>3</v>
      </c>
      <c r="L7" s="141">
        <f t="shared" si="1"/>
        <v>3</v>
      </c>
      <c r="M7" s="141">
        <f t="shared" si="1"/>
        <v>3</v>
      </c>
    </row>
    <row r="8" spans="1:13" x14ac:dyDescent="0.25">
      <c r="A8" s="126" t="s">
        <v>38</v>
      </c>
      <c r="B8" s="141">
        <f>+B5-B7</f>
        <v>19.947500000000002</v>
      </c>
      <c r="C8" s="141">
        <f t="shared" ref="C8:M8" si="2">+C5-C7</f>
        <v>20.273000000000003</v>
      </c>
      <c r="D8" s="141">
        <f t="shared" si="2"/>
        <v>20.5015</v>
      </c>
      <c r="E8" s="141">
        <f t="shared" si="2"/>
        <v>21.664000000000001</v>
      </c>
      <c r="F8" s="141">
        <f t="shared" si="2"/>
        <v>22.718000000000004</v>
      </c>
      <c r="G8" s="141">
        <f t="shared" si="2"/>
        <v>23.989000000000004</v>
      </c>
      <c r="H8" s="141">
        <f t="shared" si="2"/>
        <v>24.768000000000001</v>
      </c>
      <c r="I8" s="141">
        <f t="shared" si="2"/>
        <v>25.035499999999999</v>
      </c>
      <c r="J8" s="141">
        <f t="shared" si="2"/>
        <v>24.117000000000001</v>
      </c>
      <c r="K8" s="141">
        <f t="shared" si="2"/>
        <v>22.815000000000001</v>
      </c>
      <c r="L8" s="141">
        <f t="shared" si="2"/>
        <v>20.970500000000001</v>
      </c>
      <c r="M8" s="141">
        <f t="shared" si="2"/>
        <v>19.839000000000002</v>
      </c>
    </row>
    <row r="9" spans="1:13" x14ac:dyDescent="0.25">
      <c r="A9" s="126" t="s">
        <v>39</v>
      </c>
      <c r="B9" s="141">
        <f>+B5+B7</f>
        <v>25.947500000000002</v>
      </c>
      <c r="C9" s="141">
        <f t="shared" ref="C9:M9" si="3">+C5+C7</f>
        <v>26.273000000000003</v>
      </c>
      <c r="D9" s="141">
        <f t="shared" si="3"/>
        <v>27.5015</v>
      </c>
      <c r="E9" s="141">
        <f t="shared" si="3"/>
        <v>28.664000000000001</v>
      </c>
      <c r="F9" s="141">
        <f t="shared" si="3"/>
        <v>29.718000000000004</v>
      </c>
      <c r="G9" s="141">
        <f t="shared" si="3"/>
        <v>30.989000000000004</v>
      </c>
      <c r="H9" s="141">
        <f t="shared" si="3"/>
        <v>30.768000000000001</v>
      </c>
      <c r="I9" s="141">
        <f t="shared" si="3"/>
        <v>30.035499999999999</v>
      </c>
      <c r="J9" s="141">
        <f t="shared" si="3"/>
        <v>30.117000000000001</v>
      </c>
      <c r="K9" s="141">
        <f t="shared" si="3"/>
        <v>28.815000000000001</v>
      </c>
      <c r="L9" s="141">
        <f t="shared" si="3"/>
        <v>26.970500000000001</v>
      </c>
      <c r="M9" s="141">
        <f t="shared" si="3"/>
        <v>25.839000000000002</v>
      </c>
    </row>
    <row r="12" spans="1:13" x14ac:dyDescent="0.25">
      <c r="A12" s="290" t="s">
        <v>78</v>
      </c>
      <c r="B12" s="290"/>
      <c r="C12" s="290"/>
      <c r="D12" s="290" t="s">
        <v>184</v>
      </c>
      <c r="E12" s="290"/>
      <c r="F12" s="290"/>
    </row>
    <row r="13" spans="1:13" x14ac:dyDescent="0.25">
      <c r="A13" s="290"/>
      <c r="B13" s="290"/>
      <c r="C13" s="290"/>
      <c r="D13" s="290"/>
      <c r="E13" s="290"/>
      <c r="F13" s="290"/>
    </row>
    <row r="14" spans="1:13" x14ac:dyDescent="0.25">
      <c r="A14" s="289" t="s">
        <v>79</v>
      </c>
      <c r="B14" s="289"/>
      <c r="C14" s="289"/>
      <c r="D14" s="289">
        <v>2.5</v>
      </c>
      <c r="E14" s="289"/>
      <c r="F14" s="289"/>
    </row>
    <row r="15" spans="1:13" x14ac:dyDescent="0.25">
      <c r="A15" s="289" t="s">
        <v>80</v>
      </c>
      <c r="B15" s="289"/>
      <c r="C15" s="289"/>
      <c r="D15" s="289">
        <v>3</v>
      </c>
      <c r="E15" s="289"/>
      <c r="F15" s="289"/>
    </row>
    <row r="16" spans="1:13" x14ac:dyDescent="0.25">
      <c r="A16" s="289" t="s">
        <v>81</v>
      </c>
      <c r="B16" s="289"/>
      <c r="C16" s="289"/>
      <c r="D16" s="289">
        <v>3.5</v>
      </c>
      <c r="E16" s="289"/>
      <c r="F16" s="289"/>
    </row>
    <row r="17" spans="1:6" x14ac:dyDescent="0.25">
      <c r="A17" s="289" t="s">
        <v>82</v>
      </c>
      <c r="B17" s="289"/>
      <c r="C17" s="289"/>
      <c r="D17" s="289">
        <v>4</v>
      </c>
      <c r="E17" s="289"/>
      <c r="F17" s="289"/>
    </row>
    <row r="18" spans="1:6" x14ac:dyDescent="0.25">
      <c r="A18" s="289" t="s">
        <v>83</v>
      </c>
      <c r="B18" s="289"/>
      <c r="C18" s="289"/>
      <c r="D18" s="289">
        <v>4.5</v>
      </c>
      <c r="E18" s="289"/>
      <c r="F18" s="289"/>
    </row>
    <row r="19" spans="1:6" x14ac:dyDescent="0.25">
      <c r="A19" s="289" t="s">
        <v>84</v>
      </c>
      <c r="B19" s="289"/>
      <c r="C19" s="289"/>
      <c r="D19" s="289">
        <v>5</v>
      </c>
      <c r="E19" s="289"/>
      <c r="F19" s="289"/>
    </row>
    <row r="20" spans="1:6" x14ac:dyDescent="0.25">
      <c r="A20" s="289" t="s">
        <v>85</v>
      </c>
      <c r="B20" s="289"/>
      <c r="C20" s="289"/>
      <c r="D20" s="289">
        <v>5.5</v>
      </c>
      <c r="E20" s="289"/>
      <c r="F20" s="289"/>
    </row>
    <row r="21" spans="1:6" x14ac:dyDescent="0.25">
      <c r="A21" s="289" t="s">
        <v>86</v>
      </c>
      <c r="B21" s="289"/>
      <c r="C21" s="289"/>
      <c r="D21" s="289">
        <v>6</v>
      </c>
      <c r="E21" s="289"/>
      <c r="F21" s="289"/>
    </row>
    <row r="22" spans="1:6" x14ac:dyDescent="0.25">
      <c r="A22" s="289" t="s">
        <v>87</v>
      </c>
      <c r="B22" s="289"/>
      <c r="C22" s="289"/>
      <c r="D22" s="289">
        <v>6.5</v>
      </c>
      <c r="E22" s="289"/>
      <c r="F22" s="289"/>
    </row>
    <row r="23" spans="1:6" x14ac:dyDescent="0.25">
      <c r="A23" s="289" t="s">
        <v>88</v>
      </c>
      <c r="B23" s="289"/>
      <c r="C23" s="289"/>
      <c r="D23" s="289">
        <v>7</v>
      </c>
      <c r="E23" s="289"/>
      <c r="F23" s="289"/>
    </row>
    <row r="40" ht="15" customHeight="1" x14ac:dyDescent="0.25"/>
  </sheetData>
  <sheetProtection password="E6CB" sheet="1" objects="1" scenarios="1"/>
  <mergeCells count="22">
    <mergeCell ref="A12:C13"/>
    <mergeCell ref="D12:F13"/>
    <mergeCell ref="A14:C14"/>
    <mergeCell ref="D14:F14"/>
    <mergeCell ref="A15:C15"/>
    <mergeCell ref="D15:F15"/>
    <mergeCell ref="A16:C16"/>
    <mergeCell ref="D16:F16"/>
    <mergeCell ref="A17:C17"/>
    <mergeCell ref="D17:F17"/>
    <mergeCell ref="A18:C18"/>
    <mergeCell ref="D18:F18"/>
    <mergeCell ref="A22:C22"/>
    <mergeCell ref="D22:F22"/>
    <mergeCell ref="A23:C23"/>
    <mergeCell ref="D23:F23"/>
    <mergeCell ref="A19:C19"/>
    <mergeCell ref="D19:F19"/>
    <mergeCell ref="A20:C20"/>
    <mergeCell ref="D20:F20"/>
    <mergeCell ref="A21:C21"/>
    <mergeCell ref="D21:F21"/>
  </mergeCells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"/>
  <sheetViews>
    <sheetView showGridLines="0" showRowColHeaders="0" topLeftCell="A115" zoomScale="60" zoomScaleNormal="60" zoomScalePageLayoutView="60" workbookViewId="0">
      <selection activeCell="G24" sqref="G24"/>
    </sheetView>
  </sheetViews>
  <sheetFormatPr baseColWidth="10" defaultRowHeight="15" x14ac:dyDescent="0.25"/>
  <sheetData/>
  <sheetProtection password="E6CB" sheet="1" objects="1" scenarios="1"/>
  <pageMargins left="0.7" right="0.7" top="0.75" bottom="0.75" header="0.3" footer="0.3"/>
  <pageSetup paperSize="9" orientation="portrait" horizontalDpi="0" verticalDpi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R334"/>
  <sheetViews>
    <sheetView zoomScale="70" zoomScaleNormal="70" zoomScalePageLayoutView="70" workbookViewId="0"/>
  </sheetViews>
  <sheetFormatPr baseColWidth="10" defaultRowHeight="15" x14ac:dyDescent="0.25"/>
  <sheetData>
    <row r="1" spans="1:18" x14ac:dyDescent="0.25">
      <c r="A1" s="9" t="s">
        <v>42</v>
      </c>
      <c r="B1" s="10" t="s">
        <v>43</v>
      </c>
      <c r="C1" s="9"/>
      <c r="D1" s="16" t="s">
        <v>52</v>
      </c>
      <c r="E1" s="13"/>
      <c r="F1" s="9" t="s">
        <v>44</v>
      </c>
      <c r="G1" s="17" t="s">
        <v>46</v>
      </c>
      <c r="H1" s="16"/>
      <c r="I1" s="14"/>
      <c r="J1" s="16"/>
      <c r="K1" s="14"/>
      <c r="L1" s="291" t="s">
        <v>53</v>
      </c>
      <c r="M1" s="293"/>
      <c r="N1" s="292"/>
      <c r="O1" s="291" t="s">
        <v>72</v>
      </c>
      <c r="P1" s="292"/>
      <c r="Q1" s="291" t="s">
        <v>73</v>
      </c>
      <c r="R1" s="292"/>
    </row>
    <row r="2" spans="1:18" x14ac:dyDescent="0.25">
      <c r="A2" s="9">
        <f>+A18</f>
        <v>50</v>
      </c>
      <c r="B2" s="11">
        <f>+(H11*A2)+B18+I11</f>
        <v>25.563300000000002</v>
      </c>
      <c r="C2" s="5">
        <f>+B2-B18</f>
        <v>2.6158000000000001</v>
      </c>
      <c r="D2" s="16">
        <v>2.5</v>
      </c>
      <c r="E2" s="18">
        <v>1</v>
      </c>
      <c r="F2" s="13">
        <v>-2.98</v>
      </c>
      <c r="G2" s="14">
        <v>4.2699999999999996</v>
      </c>
      <c r="H2" s="291" t="s">
        <v>51</v>
      </c>
      <c r="I2" s="292"/>
      <c r="J2" s="16"/>
      <c r="K2" s="14"/>
      <c r="L2" s="9" t="s">
        <v>56</v>
      </c>
      <c r="M2" s="9" t="s">
        <v>54</v>
      </c>
      <c r="N2" s="10" t="s">
        <v>55</v>
      </c>
      <c r="O2" s="19" t="s">
        <v>68</v>
      </c>
      <c r="P2" s="10" t="s">
        <v>69</v>
      </c>
      <c r="Q2" s="19" t="s">
        <v>70</v>
      </c>
      <c r="R2" s="10" t="s">
        <v>71</v>
      </c>
    </row>
    <row r="3" spans="1:18" x14ac:dyDescent="0.25">
      <c r="A3" s="9">
        <f>+A18</f>
        <v>50</v>
      </c>
      <c r="B3" s="11">
        <f>B18+I5</f>
        <v>19.5503</v>
      </c>
      <c r="C3" s="5">
        <f>+B18-B3</f>
        <v>3.3972000000000016</v>
      </c>
      <c r="D3" s="16">
        <v>3</v>
      </c>
      <c r="E3" s="18">
        <v>1.1399999999999999</v>
      </c>
      <c r="F3" s="13">
        <f t="shared" ref="F3:F11" si="0">+$F$2*E3</f>
        <v>-3.3971999999999998</v>
      </c>
      <c r="G3" s="14">
        <f t="shared" ref="G3:G11" si="1">+$G$2*E3</f>
        <v>4.867799999999999</v>
      </c>
      <c r="H3" s="19" t="s">
        <v>49</v>
      </c>
      <c r="I3" s="10" t="s">
        <v>50</v>
      </c>
      <c r="J3" s="16"/>
      <c r="K3" s="14"/>
      <c r="L3" s="21">
        <f>+Temp!A10</f>
        <v>0</v>
      </c>
      <c r="M3" s="22">
        <f>+Temp!B10</f>
        <v>14.234916754141189</v>
      </c>
      <c r="N3" s="23">
        <f>+HR!B21</f>
        <v>57.562018223183941</v>
      </c>
      <c r="O3" s="22">
        <f t="shared" ref="O3:O26" si="2">$B$5</f>
        <v>19.5503</v>
      </c>
      <c r="P3" s="28">
        <f t="shared" ref="P3:P26" si="3">+($H$11*N3)+$B$18+$I$11</f>
        <v>25.222706699227796</v>
      </c>
      <c r="Q3" s="26">
        <f t="shared" ref="Q3:Q26" si="4">+(M3-$B$18-$I$8)/$H$8</f>
        <v>105.16752526779095</v>
      </c>
      <c r="R3" s="27">
        <f t="shared" ref="R3:R26" si="5">+(M3-$B$18-$I$14)/$H$14</f>
        <v>32.551849433739164</v>
      </c>
    </row>
    <row r="4" spans="1:18" x14ac:dyDescent="0.25">
      <c r="A4" s="293" t="s">
        <v>44</v>
      </c>
      <c r="B4" s="292"/>
      <c r="C4" s="24">
        <f>+C2+C3</f>
        <v>6.0130000000000017</v>
      </c>
      <c r="D4" s="16">
        <v>3.5</v>
      </c>
      <c r="E4" s="18">
        <v>1.28</v>
      </c>
      <c r="F4" s="13">
        <f t="shared" si="0"/>
        <v>-3.8144</v>
      </c>
      <c r="G4" s="14">
        <f t="shared" si="1"/>
        <v>5.4655999999999993</v>
      </c>
      <c r="H4" s="291" t="s">
        <v>44</v>
      </c>
      <c r="I4" s="292"/>
      <c r="J4" s="16"/>
      <c r="K4" s="14"/>
      <c r="L4" s="21">
        <f>+Temp!A11</f>
        <v>4.1666666666666664E-2</v>
      </c>
      <c r="M4" s="22">
        <f>+Temp!B11</f>
        <v>13.376758223815056</v>
      </c>
      <c r="N4" s="23">
        <f>+HR!B22</f>
        <v>59.714333736734076</v>
      </c>
      <c r="O4" s="22">
        <f t="shared" si="2"/>
        <v>19.5503</v>
      </c>
      <c r="P4" s="28">
        <f t="shared" si="3"/>
        <v>25.125766408497498</v>
      </c>
      <c r="Q4" s="26">
        <f t="shared" si="4"/>
        <v>108.49281891031481</v>
      </c>
      <c r="R4" s="27">
        <f t="shared" si="5"/>
        <v>33.62187253888397</v>
      </c>
    </row>
    <row r="5" spans="1:18" x14ac:dyDescent="0.25">
      <c r="A5" s="2">
        <f>+J10</f>
        <v>25.924189526184534</v>
      </c>
      <c r="B5" s="11">
        <f>B18+I5</f>
        <v>19.5503</v>
      </c>
      <c r="C5" s="5"/>
      <c r="D5" s="16">
        <v>4</v>
      </c>
      <c r="E5" s="18">
        <v>1.42</v>
      </c>
      <c r="F5" s="13">
        <f t="shared" si="0"/>
        <v>-4.2315999999999994</v>
      </c>
      <c r="G5" s="14">
        <f t="shared" si="1"/>
        <v>6.0633999999999988</v>
      </c>
      <c r="H5" s="19">
        <v>0</v>
      </c>
      <c r="I5" s="10">
        <f>+IF(B19=D2,F2,IF(B19=D3,F3,IF(B19=D4,F4,IF(B19=D5,F5,IF(B19=D6,F6,IF(B19=D7,F7,IF(B19=D8,F8,IF(B19=D9,F9,IF(B19=D10,F10,F11)))))))))</f>
        <v>-3.3971999999999998</v>
      </c>
      <c r="J5" s="16">
        <f>+I14</f>
        <v>17.393999999999998</v>
      </c>
      <c r="K5" s="14">
        <f>+I8</f>
        <v>18.428000000000001</v>
      </c>
      <c r="L5" s="21">
        <f>+Temp!A12</f>
        <v>8.3333333333333329E-2</v>
      </c>
      <c r="M5" s="22">
        <f>+Temp!B12</f>
        <v>12.664564228770711</v>
      </c>
      <c r="N5" s="23">
        <f>+HR!B23</f>
        <v>61.500561024608992</v>
      </c>
      <c r="O5" s="22">
        <f t="shared" si="2"/>
        <v>19.5503</v>
      </c>
      <c r="P5" s="28">
        <f t="shared" si="3"/>
        <v>25.045314731451612</v>
      </c>
      <c r="Q5" s="26">
        <f t="shared" si="4"/>
        <v>111.25251199763355</v>
      </c>
      <c r="R5" s="27">
        <f t="shared" si="5"/>
        <v>34.50989497659512</v>
      </c>
    </row>
    <row r="6" spans="1:18" x14ac:dyDescent="0.25">
      <c r="A6" s="2">
        <f>+K10</f>
        <v>84.570852869376523</v>
      </c>
      <c r="B6" s="11">
        <f>B18+I5</f>
        <v>19.5503</v>
      </c>
      <c r="C6" s="5"/>
      <c r="D6" s="16">
        <v>4.5</v>
      </c>
      <c r="E6" s="18">
        <v>1.56</v>
      </c>
      <c r="F6" s="13">
        <f t="shared" si="0"/>
        <v>-4.6488000000000005</v>
      </c>
      <c r="G6" s="14">
        <f t="shared" si="1"/>
        <v>6.6611999999999991</v>
      </c>
      <c r="H6" s="19"/>
      <c r="I6" s="10"/>
      <c r="J6" s="16">
        <f>+H14</f>
        <v>-0.80200000000000005</v>
      </c>
      <c r="K6" s="14">
        <f>+H8</f>
        <v>-0.25807000000000002</v>
      </c>
      <c r="L6" s="21">
        <f>+Temp!A13</f>
        <v>0.125</v>
      </c>
      <c r="M6" s="22">
        <f>+Temp!B13</f>
        <v>12.082976914947945</v>
      </c>
      <c r="N6" s="23">
        <f>+HR!B24</f>
        <v>62.959218549750602</v>
      </c>
      <c r="O6" s="22">
        <f t="shared" si="2"/>
        <v>19.5503</v>
      </c>
      <c r="P6" s="28">
        <f t="shared" si="3"/>
        <v>24.979616796519235</v>
      </c>
      <c r="Q6" s="26">
        <f t="shared" si="4"/>
        <v>113.50611494963402</v>
      </c>
      <c r="R6" s="27">
        <f t="shared" si="5"/>
        <v>35.235066190837969</v>
      </c>
    </row>
    <row r="7" spans="1:18" x14ac:dyDescent="0.25">
      <c r="A7" s="294" t="s">
        <v>45</v>
      </c>
      <c r="B7" s="295"/>
      <c r="C7" s="8"/>
      <c r="D7" s="16">
        <v>5</v>
      </c>
      <c r="E7" s="18">
        <v>1.7</v>
      </c>
      <c r="F7" s="13">
        <f t="shared" si="0"/>
        <v>-5.0659999999999998</v>
      </c>
      <c r="G7" s="14">
        <f t="shared" si="1"/>
        <v>7.2589999999999995</v>
      </c>
      <c r="H7" s="296" t="s">
        <v>45</v>
      </c>
      <c r="I7" s="295"/>
      <c r="J7" s="16">
        <f>+I5</f>
        <v>-3.3971999999999998</v>
      </c>
      <c r="K7" s="14">
        <f>+I5</f>
        <v>-3.3971999999999998</v>
      </c>
      <c r="L7" s="21">
        <f>+Temp!A14</f>
        <v>0.16666666666666666</v>
      </c>
      <c r="M7" s="22">
        <f>+Temp!B14</f>
        <v>11.614613913771883</v>
      </c>
      <c r="N7" s="23">
        <f>+HR!B25</f>
        <v>64.133902384707099</v>
      </c>
      <c r="O7" s="22">
        <f t="shared" si="2"/>
        <v>19.5503</v>
      </c>
      <c r="P7" s="28">
        <f t="shared" si="3"/>
        <v>24.926709036592793</v>
      </c>
      <c r="Q7" s="26">
        <f t="shared" si="4"/>
        <v>115.32098301324493</v>
      </c>
      <c r="R7" s="27">
        <f t="shared" si="5"/>
        <v>35.819059957890417</v>
      </c>
    </row>
    <row r="8" spans="1:18" x14ac:dyDescent="0.25">
      <c r="A8" s="2">
        <f>+K20</f>
        <v>63.653945453691968</v>
      </c>
      <c r="B8" s="11">
        <f>+(H8*A8)+B18+I8</f>
        <v>24.948326296765714</v>
      </c>
      <c r="C8" s="5"/>
      <c r="D8" s="16">
        <v>5.5</v>
      </c>
      <c r="E8" s="18">
        <v>1.84</v>
      </c>
      <c r="F8" s="13">
        <f t="shared" si="0"/>
        <v>-5.4832000000000001</v>
      </c>
      <c r="G8" s="14">
        <f t="shared" si="1"/>
        <v>7.8567999999999998</v>
      </c>
      <c r="H8" s="19">
        <v>-0.25807000000000002</v>
      </c>
      <c r="I8" s="10">
        <v>18.428000000000001</v>
      </c>
      <c r="J8" s="16"/>
      <c r="K8" s="14"/>
      <c r="L8" s="21">
        <f>+Temp!A15</f>
        <v>0.20833333333333334</v>
      </c>
      <c r="M8" s="22">
        <f>+Temp!B15</f>
        <v>11.241990402751185</v>
      </c>
      <c r="N8" s="23">
        <f>+HR!B26</f>
        <v>65.068465562886516</v>
      </c>
      <c r="O8" s="22">
        <f t="shared" si="2"/>
        <v>19.5503</v>
      </c>
      <c r="P8" s="28">
        <f t="shared" si="3"/>
        <v>24.884616311047591</v>
      </c>
      <c r="Q8" s="26">
        <f t="shared" si="4"/>
        <v>116.76486843588489</v>
      </c>
      <c r="R8" s="27">
        <f t="shared" si="5"/>
        <v>36.283677802055877</v>
      </c>
    </row>
    <row r="9" spans="1:18" x14ac:dyDescent="0.25">
      <c r="A9" s="2">
        <f>+K10</f>
        <v>84.570852869376523</v>
      </c>
      <c r="B9" s="11">
        <f>+(H8*A9)+B18+I8</f>
        <v>19.5503</v>
      </c>
      <c r="C9" s="5"/>
      <c r="D9" s="16">
        <v>6</v>
      </c>
      <c r="E9" s="18">
        <v>1.98</v>
      </c>
      <c r="F9" s="13">
        <f t="shared" si="0"/>
        <v>-5.9004000000000003</v>
      </c>
      <c r="G9" s="14">
        <f t="shared" si="1"/>
        <v>8.4545999999999992</v>
      </c>
      <c r="H9" s="19"/>
      <c r="I9" s="10"/>
      <c r="J9" s="16">
        <f>+J7-J5</f>
        <v>-20.791199999999996</v>
      </c>
      <c r="K9" s="14">
        <f>+K7-K5</f>
        <v>-21.825200000000002</v>
      </c>
      <c r="L9" s="21">
        <f>+Temp!A16</f>
        <v>0.25</v>
      </c>
      <c r="M9" s="22">
        <f>+Temp!B16</f>
        <v>10.948696947729628</v>
      </c>
      <c r="N9" s="23">
        <f>+HR!B27</f>
        <v>65.804063976184011</v>
      </c>
      <c r="O9" s="22">
        <f t="shared" si="2"/>
        <v>19.5503</v>
      </c>
      <c r="P9" s="28">
        <f t="shared" si="3"/>
        <v>24.851484958512675</v>
      </c>
      <c r="Q9" s="26">
        <f t="shared" si="4"/>
        <v>117.90135642372368</v>
      </c>
      <c r="R9" s="27">
        <f t="shared" si="5"/>
        <v>36.649380364426897</v>
      </c>
    </row>
    <row r="10" spans="1:18" x14ac:dyDescent="0.25">
      <c r="A10" s="294" t="s">
        <v>46</v>
      </c>
      <c r="B10" s="295"/>
      <c r="C10" s="8"/>
      <c r="D10" s="16">
        <v>6.5</v>
      </c>
      <c r="E10" s="18">
        <v>2.12</v>
      </c>
      <c r="F10" s="13">
        <f t="shared" si="0"/>
        <v>-6.3176000000000005</v>
      </c>
      <c r="G10" s="14">
        <f t="shared" si="1"/>
        <v>9.0523999999999987</v>
      </c>
      <c r="H10" s="296" t="s">
        <v>46</v>
      </c>
      <c r="I10" s="295"/>
      <c r="J10" s="16">
        <f>+J9/J6</f>
        <v>25.924189526184534</v>
      </c>
      <c r="K10" s="14">
        <f>+K9/K6</f>
        <v>84.570852869376523</v>
      </c>
      <c r="L10" s="21">
        <f>+Temp!A17</f>
        <v>0.29166666666666669</v>
      </c>
      <c r="M10" s="22">
        <f>+Temp!B17</f>
        <v>10.000647069135995</v>
      </c>
      <c r="N10" s="23">
        <f>+HR!B28</f>
        <v>68.18183263920821</v>
      </c>
      <c r="O10" s="22">
        <f t="shared" si="2"/>
        <v>19.5503</v>
      </c>
      <c r="P10" s="28">
        <f t="shared" si="3"/>
        <v>24.744390257930064</v>
      </c>
      <c r="Q10" s="26">
        <f t="shared" si="4"/>
        <v>121.5749716389507</v>
      </c>
      <c r="R10" s="27">
        <f t="shared" si="5"/>
        <v>37.831487444967586</v>
      </c>
    </row>
    <row r="11" spans="1:18" x14ac:dyDescent="0.25">
      <c r="A11" s="2">
        <f>+J20</f>
        <v>16.548034242232085</v>
      </c>
      <c r="B11" s="11">
        <f>+($H$11*A11)+$B$18+$I$11</f>
        <v>27.069976537729868</v>
      </c>
      <c r="C11" s="5"/>
      <c r="D11" s="16">
        <v>7</v>
      </c>
      <c r="E11" s="18">
        <v>2.2599999999999998</v>
      </c>
      <c r="F11" s="13">
        <f t="shared" si="0"/>
        <v>-6.734799999999999</v>
      </c>
      <c r="G11" s="14">
        <f t="shared" si="1"/>
        <v>9.6501999999999981</v>
      </c>
      <c r="H11" s="19">
        <v>-4.5039999999999997E-2</v>
      </c>
      <c r="I11" s="10">
        <f>+IF(B19=D2,G2,IF(B19=D3,G3,IF(B19=D4,G4,IF(B19=D5,G5,IF(B19=D6,G6,IF(B19=D7,G7,IF(B19=D8,G8,IF(B19=D9,G9,IF(B19=D10,G10,G11)))))))))</f>
        <v>4.867799999999999</v>
      </c>
      <c r="J11" s="16"/>
      <c r="K11" s="14"/>
      <c r="L11" s="21">
        <f>+Temp!A18</f>
        <v>0.33333333333333331</v>
      </c>
      <c r="M11" s="22">
        <f>+Temp!B18</f>
        <v>10.345798710878119</v>
      </c>
      <c r="N11" s="23">
        <f>+HR!B29</f>
        <v>67.316170635281566</v>
      </c>
      <c r="O11" s="22">
        <f t="shared" si="2"/>
        <v>19.5503</v>
      </c>
      <c r="P11" s="28">
        <f t="shared" si="3"/>
        <v>24.783379674586918</v>
      </c>
      <c r="Q11" s="26">
        <f t="shared" si="4"/>
        <v>120.23753744767652</v>
      </c>
      <c r="R11" s="27">
        <f t="shared" si="5"/>
        <v>37.401123801897604</v>
      </c>
    </row>
    <row r="12" spans="1:18" x14ac:dyDescent="0.25">
      <c r="A12" s="2">
        <f>+K20</f>
        <v>63.653945453691968</v>
      </c>
      <c r="B12" s="11">
        <f>+(H11*A12)+B18+I11</f>
        <v>24.948326296765714</v>
      </c>
      <c r="C12" s="5"/>
      <c r="D12" s="16"/>
      <c r="E12" s="13"/>
      <c r="F12" s="13"/>
      <c r="G12" s="14"/>
      <c r="H12" s="19"/>
      <c r="I12" s="10"/>
      <c r="J12" s="16"/>
      <c r="K12" s="14"/>
      <c r="L12" s="21">
        <f>+Temp!A19</f>
        <v>0.375</v>
      </c>
      <c r="M12" s="22">
        <f>+Temp!B19</f>
        <v>11.906652089212187</v>
      </c>
      <c r="N12" s="23">
        <f>+HR!B30</f>
        <v>63.40145229147064</v>
      </c>
      <c r="O12" s="22">
        <f t="shared" si="2"/>
        <v>19.5503</v>
      </c>
      <c r="P12" s="28">
        <f t="shared" si="3"/>
        <v>24.959698588792161</v>
      </c>
      <c r="Q12" s="26">
        <f t="shared" si="4"/>
        <v>114.18935913042125</v>
      </c>
      <c r="R12" s="27">
        <f t="shared" si="5"/>
        <v>35.454922582029688</v>
      </c>
    </row>
    <row r="13" spans="1:18" x14ac:dyDescent="0.25">
      <c r="A13" s="293" t="s">
        <v>47</v>
      </c>
      <c r="B13" s="292"/>
      <c r="C13" s="9"/>
      <c r="D13" s="16"/>
      <c r="E13" s="13"/>
      <c r="F13" s="13"/>
      <c r="G13" s="14"/>
      <c r="H13" s="291" t="s">
        <v>47</v>
      </c>
      <c r="I13" s="292"/>
      <c r="J13" s="16">
        <f>+I14</f>
        <v>17.393999999999998</v>
      </c>
      <c r="K13" s="14">
        <f>+I8</f>
        <v>18.428000000000001</v>
      </c>
      <c r="L13" s="21">
        <f>+Temp!A20</f>
        <v>0.41666666666666669</v>
      </c>
      <c r="M13" s="22">
        <f>+Temp!B20</f>
        <v>14.612305023457058</v>
      </c>
      <c r="N13" s="23">
        <f>+HR!B31</f>
        <v>56.61550473182276</v>
      </c>
      <c r="O13" s="22">
        <f t="shared" si="2"/>
        <v>19.5503</v>
      </c>
      <c r="P13" s="28">
        <f t="shared" si="3"/>
        <v>25.265337666878704</v>
      </c>
      <c r="Q13" s="26">
        <f t="shared" si="4"/>
        <v>103.70517679909692</v>
      </c>
      <c r="R13" s="27">
        <f t="shared" si="5"/>
        <v>32.08129049444257</v>
      </c>
    </row>
    <row r="14" spans="1:18" x14ac:dyDescent="0.25">
      <c r="A14" s="3">
        <f>+J20</f>
        <v>16.548034242232085</v>
      </c>
      <c r="B14" s="12">
        <f>+(H14*A14)+B18+I14</f>
        <v>27.069976537729868</v>
      </c>
      <c r="C14" s="4"/>
      <c r="D14" s="16"/>
      <c r="E14" s="13"/>
      <c r="F14" s="13"/>
      <c r="G14" s="14"/>
      <c r="H14" s="19">
        <v>-0.80200000000000005</v>
      </c>
      <c r="I14" s="10">
        <v>17.393999999999998</v>
      </c>
      <c r="J14" s="16">
        <f>+H14</f>
        <v>-0.80200000000000005</v>
      </c>
      <c r="K14" s="14">
        <f>+H8</f>
        <v>-0.25807000000000002</v>
      </c>
      <c r="L14" s="21">
        <f>+Temp!A21</f>
        <v>0.45833333333333331</v>
      </c>
      <c r="M14" s="22">
        <f>+Temp!B21</f>
        <v>17.775113288462908</v>
      </c>
      <c r="N14" s="23">
        <f>+HR!B32</f>
        <v>48.682982878815515</v>
      </c>
      <c r="O14" s="22">
        <f t="shared" si="2"/>
        <v>19.5503</v>
      </c>
      <c r="P14" s="28">
        <f t="shared" si="3"/>
        <v>25.622618451138148</v>
      </c>
      <c r="Q14" s="26">
        <f t="shared" si="4"/>
        <v>91.449555204158145</v>
      </c>
      <c r="R14" s="27">
        <f t="shared" si="5"/>
        <v>28.137639291193381</v>
      </c>
    </row>
    <row r="15" spans="1:18" x14ac:dyDescent="0.25">
      <c r="A15" s="3">
        <f>+J10</f>
        <v>25.924189526184534</v>
      </c>
      <c r="B15" s="12">
        <f>+(H14*A15)+B18+I14</f>
        <v>19.550300000000004</v>
      </c>
      <c r="C15" s="4"/>
      <c r="D15" s="16"/>
      <c r="E15" s="13"/>
      <c r="F15" s="13"/>
      <c r="G15" s="14"/>
      <c r="H15" s="19"/>
      <c r="I15" s="10"/>
      <c r="J15" s="16">
        <f>+I11</f>
        <v>4.867799999999999</v>
      </c>
      <c r="K15" s="14">
        <f>+I11</f>
        <v>4.867799999999999</v>
      </c>
      <c r="L15" s="21">
        <f>+Temp!A22</f>
        <v>0.5</v>
      </c>
      <c r="M15" s="22">
        <f>+Temp!B22</f>
        <v>20.688783612390075</v>
      </c>
      <c r="N15" s="23">
        <f>+HR!B33</f>
        <v>41.37531463577448</v>
      </c>
      <c r="O15" s="22">
        <f t="shared" si="2"/>
        <v>19.5503</v>
      </c>
      <c r="P15" s="28">
        <f t="shared" si="3"/>
        <v>25.951755828804718</v>
      </c>
      <c r="Q15" s="26">
        <f t="shared" si="4"/>
        <v>80.159322616382866</v>
      </c>
      <c r="R15" s="27">
        <f t="shared" si="5"/>
        <v>24.504633899762997</v>
      </c>
    </row>
    <row r="16" spans="1:18" x14ac:dyDescent="0.25">
      <c r="A16" s="13"/>
      <c r="B16" s="14"/>
      <c r="C16" s="13"/>
      <c r="D16" s="16"/>
      <c r="E16" s="13"/>
      <c r="F16" s="13"/>
      <c r="G16" s="14"/>
      <c r="H16" s="19"/>
      <c r="I16" s="10"/>
      <c r="J16" s="16">
        <f>+H11</f>
        <v>-4.5039999999999997E-2</v>
      </c>
      <c r="K16" s="14">
        <f>+H11</f>
        <v>-4.5039999999999997E-2</v>
      </c>
      <c r="L16" s="21">
        <f>+Temp!A23</f>
        <v>0.54166666666666663</v>
      </c>
      <c r="M16" s="22">
        <f>+Temp!B23</f>
        <v>22.887093088102048</v>
      </c>
      <c r="N16" s="23">
        <f>+HR!B34</f>
        <v>35.861816347339392</v>
      </c>
      <c r="O16" s="22">
        <f t="shared" si="2"/>
        <v>19.5503</v>
      </c>
      <c r="P16" s="28">
        <f t="shared" si="3"/>
        <v>26.200083791715834</v>
      </c>
      <c r="Q16" s="26">
        <f t="shared" si="4"/>
        <v>71.641054411198326</v>
      </c>
      <c r="R16" s="27">
        <f t="shared" si="5"/>
        <v>21.763599640770511</v>
      </c>
    </row>
    <row r="17" spans="1:18" x14ac:dyDescent="0.25">
      <c r="A17" s="293" t="s">
        <v>48</v>
      </c>
      <c r="B17" s="292"/>
      <c r="C17" s="9"/>
      <c r="D17" s="16"/>
      <c r="E17" s="13"/>
      <c r="F17" s="13"/>
      <c r="G17" s="14"/>
      <c r="H17" s="19"/>
      <c r="I17" s="10"/>
      <c r="J17" s="16"/>
      <c r="K17" s="14"/>
      <c r="L17" s="21">
        <f>+Temp!A24</f>
        <v>0.58333333333333337</v>
      </c>
      <c r="M17" s="22">
        <f>+Temp!B24</f>
        <v>24.17764123999838</v>
      </c>
      <c r="N17" s="23">
        <f>+HR!B35</f>
        <v>32.62504049515006</v>
      </c>
      <c r="O17" s="22">
        <f t="shared" si="2"/>
        <v>19.5503</v>
      </c>
      <c r="P17" s="28">
        <f t="shared" si="3"/>
        <v>26.345868176098442</v>
      </c>
      <c r="Q17" s="26">
        <f t="shared" si="4"/>
        <v>66.640286588916268</v>
      </c>
      <c r="R17" s="27">
        <f t="shared" si="5"/>
        <v>20.154437356610497</v>
      </c>
    </row>
    <row r="18" spans="1:18" x14ac:dyDescent="0.25">
      <c r="A18" s="13">
        <v>50</v>
      </c>
      <c r="B18" s="15">
        <f>+Tn!$B$5</f>
        <v>22.947500000000002</v>
      </c>
      <c r="C18" s="20"/>
      <c r="D18" s="16"/>
      <c r="E18" s="13"/>
      <c r="F18" s="13"/>
      <c r="G18" s="14"/>
      <c r="H18" s="19"/>
      <c r="I18" s="10"/>
      <c r="J18" s="16">
        <f>+J14-J16</f>
        <v>-0.75696000000000008</v>
      </c>
      <c r="K18" s="14">
        <f>+K14-K16</f>
        <v>-0.21303000000000002</v>
      </c>
      <c r="L18" s="21">
        <f>+Temp!A25</f>
        <v>0.625</v>
      </c>
      <c r="M18" s="22">
        <f>+Temp!B25</f>
        <v>24.57824204664567</v>
      </c>
      <c r="N18" s="23">
        <f>+HR!B36</f>
        <v>31.620308501680295</v>
      </c>
      <c r="O18" s="22">
        <f t="shared" si="2"/>
        <v>19.5503</v>
      </c>
      <c r="P18" s="28">
        <f t="shared" si="3"/>
        <v>26.391121305084319</v>
      </c>
      <c r="Q18" s="26">
        <f t="shared" si="4"/>
        <v>65.087991449429737</v>
      </c>
      <c r="R18" s="27">
        <f t="shared" si="5"/>
        <v>19.654935103933077</v>
      </c>
    </row>
    <row r="19" spans="1:18" x14ac:dyDescent="0.25">
      <c r="A19" s="13" t="s">
        <v>52</v>
      </c>
      <c r="B19" s="15">
        <f>+Tn!B7</f>
        <v>3</v>
      </c>
      <c r="C19" s="20"/>
      <c r="D19" s="16"/>
      <c r="E19" s="13"/>
      <c r="F19" s="13"/>
      <c r="G19" s="14"/>
      <c r="H19" s="19"/>
      <c r="I19" s="10"/>
      <c r="J19" s="16">
        <f>+J15-J13</f>
        <v>-12.526199999999999</v>
      </c>
      <c r="K19" s="14">
        <f>+K15-K13</f>
        <v>-13.560200000000002</v>
      </c>
      <c r="L19" s="21">
        <f>+Temp!A26</f>
        <v>0.66666666666666663</v>
      </c>
      <c r="M19" s="22">
        <f>+Temp!B26</f>
        <v>24.231728747418412</v>
      </c>
      <c r="N19" s="23">
        <f>+HR!B37</f>
        <v>32.489385628134812</v>
      </c>
      <c r="O19" s="22">
        <f t="shared" si="2"/>
        <v>19.5503</v>
      </c>
      <c r="P19" s="28">
        <f t="shared" si="3"/>
        <v>26.35197807130881</v>
      </c>
      <c r="Q19" s="26">
        <f t="shared" si="4"/>
        <v>66.430701951337198</v>
      </c>
      <c r="R19" s="27">
        <f t="shared" si="5"/>
        <v>20.086996574291256</v>
      </c>
    </row>
    <row r="20" spans="1:18" x14ac:dyDescent="0.25">
      <c r="A20" s="13"/>
      <c r="B20" s="14"/>
      <c r="C20" s="13"/>
      <c r="D20" s="16"/>
      <c r="E20" s="13"/>
      <c r="F20" s="13"/>
      <c r="G20" s="14"/>
      <c r="H20" s="19"/>
      <c r="I20" s="10"/>
      <c r="J20" s="16">
        <f>+J19/J18</f>
        <v>16.548034242232085</v>
      </c>
      <c r="K20" s="14">
        <f>+K19/K18</f>
        <v>63.653945453691968</v>
      </c>
      <c r="L20" s="21">
        <f>+Temp!A27</f>
        <v>0.70833333333333337</v>
      </c>
      <c r="M20" s="22">
        <f>+Temp!B27</f>
        <v>23.333410737106529</v>
      </c>
      <c r="N20" s="23">
        <f>+HR!B38</f>
        <v>34.742423640774447</v>
      </c>
      <c r="O20" s="22">
        <f t="shared" si="2"/>
        <v>19.5503</v>
      </c>
      <c r="P20" s="28">
        <f t="shared" si="3"/>
        <v>26.25050123921952</v>
      </c>
      <c r="Q20" s="26">
        <f t="shared" si="4"/>
        <v>69.911610271993922</v>
      </c>
      <c r="R20" s="27">
        <f t="shared" si="5"/>
        <v>21.20709384400682</v>
      </c>
    </row>
    <row r="21" spans="1:18" x14ac:dyDescent="0.25">
      <c r="A21" s="13"/>
      <c r="B21" s="15"/>
      <c r="C21" s="20"/>
      <c r="D21" s="16"/>
      <c r="E21" s="13"/>
      <c r="F21" s="13"/>
      <c r="G21" s="14"/>
      <c r="H21" s="16"/>
      <c r="I21" s="14"/>
      <c r="J21" s="16"/>
      <c r="K21" s="14"/>
      <c r="L21" s="21">
        <f>+Temp!A28</f>
        <v>0.75</v>
      </c>
      <c r="M21" s="22">
        <f>+Temp!B28</f>
        <v>22.081333252403212</v>
      </c>
      <c r="N21" s="23">
        <f>+HR!B39</f>
        <v>37.882712642469279</v>
      </c>
      <c r="O21" s="22">
        <f t="shared" si="2"/>
        <v>19.5503</v>
      </c>
      <c r="P21" s="28">
        <f t="shared" si="3"/>
        <v>26.109062622583185</v>
      </c>
      <c r="Q21" s="26">
        <f t="shared" si="4"/>
        <v>74.763307426654734</v>
      </c>
      <c r="R21" s="27">
        <f t="shared" si="5"/>
        <v>22.768287715207965</v>
      </c>
    </row>
    <row r="22" spans="1:18" x14ac:dyDescent="0.25">
      <c r="A22" s="13"/>
      <c r="B22" s="15"/>
      <c r="C22" s="20"/>
      <c r="D22" s="16"/>
      <c r="E22" s="13"/>
      <c r="F22" s="13"/>
      <c r="G22" s="14"/>
      <c r="H22" s="16"/>
      <c r="I22" s="14"/>
      <c r="J22" s="16"/>
      <c r="K22" s="14"/>
      <c r="L22" s="21">
        <f>+Temp!A29</f>
        <v>0.79166666666666663</v>
      </c>
      <c r="M22" s="22">
        <f>+Temp!B29</f>
        <v>20.648075815902608</v>
      </c>
      <c r="N22" s="23">
        <f>+HR!B40</f>
        <v>41.477412347101918</v>
      </c>
      <c r="O22" s="22">
        <f t="shared" si="2"/>
        <v>19.5503</v>
      </c>
      <c r="P22" s="28">
        <f t="shared" si="3"/>
        <v>25.947157347886531</v>
      </c>
      <c r="Q22" s="26">
        <f t="shared" si="4"/>
        <v>80.317061975810404</v>
      </c>
      <c r="R22" s="27">
        <f t="shared" si="5"/>
        <v>24.555391750744874</v>
      </c>
    </row>
    <row r="23" spans="1:18" x14ac:dyDescent="0.25">
      <c r="A23" s="13"/>
      <c r="B23" s="15"/>
      <c r="C23" s="20"/>
      <c r="D23" s="16"/>
      <c r="E23" s="13"/>
      <c r="F23" s="13"/>
      <c r="G23" s="14"/>
      <c r="H23" s="16"/>
      <c r="I23" s="14"/>
      <c r="J23" s="16"/>
      <c r="K23" s="14"/>
      <c r="L23" s="21">
        <f>+Temp!A30</f>
        <v>0.83333333333333337</v>
      </c>
      <c r="M23" s="22">
        <f>+Temp!B30</f>
        <v>19.168766465816269</v>
      </c>
      <c r="N23" s="23">
        <f>+HR!B41</f>
        <v>45.187613144523993</v>
      </c>
      <c r="O23" s="22">
        <f t="shared" si="2"/>
        <v>19.5503</v>
      </c>
      <c r="P23" s="28">
        <f t="shared" si="3"/>
        <v>25.780049903970639</v>
      </c>
      <c r="Q23" s="26">
        <f t="shared" si="4"/>
        <v>86.04926389810413</v>
      </c>
      <c r="R23" s="27">
        <f t="shared" si="5"/>
        <v>26.399917124917369</v>
      </c>
    </row>
    <row r="24" spans="1:18" x14ac:dyDescent="0.25">
      <c r="A24" s="13"/>
      <c r="B24" s="14"/>
      <c r="C24" s="13"/>
      <c r="D24" s="16"/>
      <c r="E24" s="13"/>
      <c r="F24" s="13"/>
      <c r="G24" s="14"/>
      <c r="H24" s="16"/>
      <c r="I24" s="14"/>
      <c r="J24" s="16"/>
      <c r="K24" s="14"/>
      <c r="L24" s="21">
        <f>+Temp!A31</f>
        <v>0.875</v>
      </c>
      <c r="M24" s="22">
        <f>+Temp!B31</f>
        <v>17.739571278189977</v>
      </c>
      <c r="N24" s="23">
        <f>+HR!B42</f>
        <v>48.772124473742174</v>
      </c>
      <c r="O24" s="22">
        <f t="shared" si="2"/>
        <v>19.5503</v>
      </c>
      <c r="P24" s="28">
        <f t="shared" si="3"/>
        <v>25.618603513702652</v>
      </c>
      <c r="Q24" s="26">
        <f t="shared" si="4"/>
        <v>91.587277567365533</v>
      </c>
      <c r="R24" s="27">
        <f t="shared" si="5"/>
        <v>28.181956012231947</v>
      </c>
    </row>
    <row r="25" spans="1:18" x14ac:dyDescent="0.25">
      <c r="B25" s="14"/>
      <c r="C25" s="25"/>
      <c r="G25" s="14"/>
      <c r="I25" s="14"/>
      <c r="K25" s="14"/>
      <c r="L25" s="21">
        <f>+Temp!A32</f>
        <v>0.91666666666666663</v>
      </c>
      <c r="M25" s="22">
        <f>+Temp!B32</f>
        <v>16.421965920445309</v>
      </c>
      <c r="N25" s="23">
        <f>+HR!B43</f>
        <v>52.076761498247251</v>
      </c>
      <c r="O25" s="22">
        <f t="shared" si="2"/>
        <v>19.5503</v>
      </c>
      <c r="P25" s="28">
        <f t="shared" si="3"/>
        <v>25.469762662118946</v>
      </c>
      <c r="Q25" s="26">
        <f t="shared" si="4"/>
        <v>96.692889834365445</v>
      </c>
      <c r="R25" s="27">
        <f t="shared" si="5"/>
        <v>29.824855460791383</v>
      </c>
    </row>
    <row r="26" spans="1:18" x14ac:dyDescent="0.25">
      <c r="B26" s="14"/>
      <c r="C26" s="25"/>
      <c r="G26" s="14"/>
      <c r="I26" s="14"/>
      <c r="K26" s="14"/>
      <c r="L26" s="21">
        <f>+Temp!A33</f>
        <v>0.95833333333333337</v>
      </c>
      <c r="M26" s="22">
        <f>+Temp!B33</f>
        <v>15.249488302797783</v>
      </c>
      <c r="N26" s="23">
        <f>+HR!B44</f>
        <v>55.017409031977422</v>
      </c>
      <c r="O26" s="22">
        <f t="shared" si="2"/>
        <v>19.5503</v>
      </c>
      <c r="P26" s="28">
        <f t="shared" si="3"/>
        <v>25.337315897199737</v>
      </c>
      <c r="Q26" s="26">
        <f t="shared" si="4"/>
        <v>101.23614405859735</v>
      </c>
      <c r="R26" s="27">
        <f t="shared" si="5"/>
        <v>31.286797627434183</v>
      </c>
    </row>
    <row r="27" spans="1:18" x14ac:dyDescent="0.25">
      <c r="P27" s="7"/>
    </row>
    <row r="28" spans="1:18" x14ac:dyDescent="0.25">
      <c r="A28" s="6"/>
      <c r="P28" s="7"/>
    </row>
    <row r="29" spans="1:18" x14ac:dyDescent="0.25">
      <c r="A29" s="9" t="s">
        <v>42</v>
      </c>
      <c r="B29" s="10" t="s">
        <v>43</v>
      </c>
      <c r="C29" s="9"/>
      <c r="D29" s="16" t="s">
        <v>52</v>
      </c>
      <c r="E29" s="13"/>
      <c r="F29" s="9" t="s">
        <v>44</v>
      </c>
      <c r="G29" s="17" t="s">
        <v>46</v>
      </c>
      <c r="H29" s="16"/>
      <c r="I29" s="14"/>
      <c r="J29" s="16"/>
      <c r="K29" s="14"/>
      <c r="L29" s="291" t="s">
        <v>57</v>
      </c>
      <c r="M29" s="293"/>
      <c r="N29" s="292"/>
      <c r="O29" s="291" t="s">
        <v>72</v>
      </c>
      <c r="P29" s="292"/>
      <c r="Q29" s="291" t="s">
        <v>73</v>
      </c>
      <c r="R29" s="292"/>
    </row>
    <row r="30" spans="1:18" x14ac:dyDescent="0.25">
      <c r="A30" s="9">
        <f>+A46</f>
        <v>50</v>
      </c>
      <c r="B30" s="11">
        <f>+(H39*A30)+B46+I39</f>
        <v>25.888800000000003</v>
      </c>
      <c r="C30" s="5">
        <f>+B30-B46</f>
        <v>2.6158000000000001</v>
      </c>
      <c r="D30" s="16">
        <v>2.5</v>
      </c>
      <c r="E30" s="18">
        <v>1</v>
      </c>
      <c r="F30" s="13">
        <v>-2.98</v>
      </c>
      <c r="G30" s="14">
        <v>4.2699999999999996</v>
      </c>
      <c r="H30" s="291" t="s">
        <v>51</v>
      </c>
      <c r="I30" s="292"/>
      <c r="J30" s="16"/>
      <c r="K30" s="14"/>
      <c r="L30" s="9" t="s">
        <v>56</v>
      </c>
      <c r="M30" s="9" t="s">
        <v>54</v>
      </c>
      <c r="N30" s="10" t="s">
        <v>55</v>
      </c>
      <c r="O30" s="19" t="s">
        <v>68</v>
      </c>
      <c r="P30" s="10" t="s">
        <v>69</v>
      </c>
      <c r="Q30" s="19" t="s">
        <v>70</v>
      </c>
      <c r="R30" s="10" t="s">
        <v>71</v>
      </c>
    </row>
    <row r="31" spans="1:18" x14ac:dyDescent="0.25">
      <c r="A31" s="9">
        <f>+A46</f>
        <v>50</v>
      </c>
      <c r="B31" s="11">
        <f>B46+I33</f>
        <v>19.875800000000005</v>
      </c>
      <c r="C31" s="5">
        <f>+B46-B31</f>
        <v>3.397199999999998</v>
      </c>
      <c r="D31" s="16">
        <v>3</v>
      </c>
      <c r="E31" s="18">
        <v>1.1399999999999999</v>
      </c>
      <c r="F31" s="13">
        <f t="shared" ref="F31:F39" si="6">$F$30*E31</f>
        <v>-3.3971999999999998</v>
      </c>
      <c r="G31" s="14">
        <f t="shared" ref="G31:G39" si="7">$G$30*E31</f>
        <v>4.867799999999999</v>
      </c>
      <c r="H31" s="19" t="s">
        <v>49</v>
      </c>
      <c r="I31" s="10" t="s">
        <v>50</v>
      </c>
      <c r="J31" s="16"/>
      <c r="K31" s="14"/>
      <c r="L31" s="21">
        <f>+Temp!A10</f>
        <v>0</v>
      </c>
      <c r="M31" s="22">
        <f>+Temp!C10</f>
        <v>14.73355431589439</v>
      </c>
      <c r="N31" s="23">
        <f>+HR!C21</f>
        <v>58.72970531788723</v>
      </c>
      <c r="O31" s="22">
        <f t="shared" ref="O31:O54" si="8">$B$33</f>
        <v>19.875800000000005</v>
      </c>
      <c r="P31" s="28">
        <f t="shared" ref="P31:P54" si="9">+($H$39*N31)+$B$46+$I$39</f>
        <v>25.495614072482361</v>
      </c>
      <c r="Q31" s="26">
        <f t="shared" ref="Q31:Q54" si="10">+(M31-$B$46-$I$36)/$H$36</f>
        <v>104.49663147249045</v>
      </c>
      <c r="R31" s="27">
        <f t="shared" ref="R31:R54" si="11">+(M31-$B$46-$I$42)/$H$42</f>
        <v>32.335967187164108</v>
      </c>
    </row>
    <row r="32" spans="1:18" x14ac:dyDescent="0.25">
      <c r="A32" s="293" t="s">
        <v>44</v>
      </c>
      <c r="B32" s="292"/>
      <c r="C32" s="24">
        <f>+C30+C31</f>
        <v>6.0129999999999981</v>
      </c>
      <c r="D32" s="16">
        <v>3.5</v>
      </c>
      <c r="E32" s="18">
        <v>1.28</v>
      </c>
      <c r="F32" s="13">
        <f t="shared" si="6"/>
        <v>-3.8144</v>
      </c>
      <c r="G32" s="14">
        <f t="shared" si="7"/>
        <v>5.4655999999999993</v>
      </c>
      <c r="H32" s="291" t="s">
        <v>44</v>
      </c>
      <c r="I32" s="292"/>
      <c r="J32" s="16"/>
      <c r="K32" s="14"/>
      <c r="L32" s="21">
        <f>+Temp!A11</f>
        <v>4.1666666666666664E-2</v>
      </c>
      <c r="M32" s="22">
        <f>+Temp!C11</f>
        <v>13.863653167330778</v>
      </c>
      <c r="N32" s="23">
        <f>+HR!C22</f>
        <v>60.858990705996654</v>
      </c>
      <c r="O32" s="22">
        <f t="shared" si="8"/>
        <v>19.875800000000005</v>
      </c>
      <c r="P32" s="28">
        <f t="shared" si="9"/>
        <v>25.399711058601913</v>
      </c>
      <c r="Q32" s="26">
        <f t="shared" si="10"/>
        <v>107.86742679377387</v>
      </c>
      <c r="R32" s="27">
        <f t="shared" si="11"/>
        <v>33.420631960934195</v>
      </c>
    </row>
    <row r="33" spans="1:18" x14ac:dyDescent="0.25">
      <c r="A33" s="2">
        <f>+J38</f>
        <v>25.924189526184534</v>
      </c>
      <c r="B33" s="11">
        <f>B46+I33</f>
        <v>19.875800000000005</v>
      </c>
      <c r="C33" s="5"/>
      <c r="D33" s="16">
        <v>4</v>
      </c>
      <c r="E33" s="18">
        <v>1.42</v>
      </c>
      <c r="F33" s="13">
        <f t="shared" si="6"/>
        <v>-4.2315999999999994</v>
      </c>
      <c r="G33" s="14">
        <f t="shared" si="7"/>
        <v>6.0633999999999988</v>
      </c>
      <c r="H33" s="19">
        <v>0</v>
      </c>
      <c r="I33" s="10">
        <f>+IF(B47=D30,F30,IF(B47=D31,F31,IF(B47=D32,F32,IF(B47=D33,F33,IF(B47=D34,F34,IF(B47=D35,F35,IF(B47=D36,F36,IF(B47=D37,F37,IF(B47=D38,F38,F39)))))))))</f>
        <v>-3.3971999999999998</v>
      </c>
      <c r="J33" s="16">
        <f>+I42</f>
        <v>17.393999999999998</v>
      </c>
      <c r="K33" s="14">
        <f>+I36</f>
        <v>18.428000000000001</v>
      </c>
      <c r="L33" s="21">
        <f>+Temp!A12</f>
        <v>8.3333333333333329E-2</v>
      </c>
      <c r="M33" s="22">
        <f>+Temp!C12</f>
        <v>13.145749345143003</v>
      </c>
      <c r="N33" s="23">
        <f>+HR!C23</f>
        <v>62.616227285321102</v>
      </c>
      <c r="O33" s="22">
        <f t="shared" si="8"/>
        <v>19.875800000000005</v>
      </c>
      <c r="P33" s="28">
        <f t="shared" si="9"/>
        <v>25.320565123069141</v>
      </c>
      <c r="Q33" s="26">
        <f t="shared" si="10"/>
        <v>110.64924499111481</v>
      </c>
      <c r="R33" s="27">
        <f t="shared" si="11"/>
        <v>34.315773883861596</v>
      </c>
    </row>
    <row r="34" spans="1:18" x14ac:dyDescent="0.25">
      <c r="A34" s="2">
        <f>+K38</f>
        <v>84.570852869376523</v>
      </c>
      <c r="B34" s="11">
        <f>B46+I33</f>
        <v>19.875800000000005</v>
      </c>
      <c r="C34" s="5"/>
      <c r="D34" s="16">
        <v>4.5</v>
      </c>
      <c r="E34" s="18">
        <v>1.56</v>
      </c>
      <c r="F34" s="13">
        <f t="shared" si="6"/>
        <v>-4.6488000000000005</v>
      </c>
      <c r="G34" s="14">
        <f t="shared" si="7"/>
        <v>6.6611999999999991</v>
      </c>
      <c r="H34" s="19"/>
      <c r="I34" s="10"/>
      <c r="J34" s="16">
        <f>+H42</f>
        <v>-0.80200000000000005</v>
      </c>
      <c r="K34" s="14">
        <f>+H36</f>
        <v>-0.25807000000000002</v>
      </c>
      <c r="L34" s="21">
        <f>+Temp!A13</f>
        <v>0.125</v>
      </c>
      <c r="M34" s="22">
        <f>+Temp!C13</f>
        <v>12.56231427255141</v>
      </c>
      <c r="N34" s="23">
        <f>+HR!C24</f>
        <v>64.044320324433798</v>
      </c>
      <c r="O34" s="22">
        <f t="shared" si="8"/>
        <v>19.875800000000005</v>
      </c>
      <c r="P34" s="28">
        <f t="shared" si="9"/>
        <v>25.256243812587503</v>
      </c>
      <c r="Q34" s="26">
        <f t="shared" si="10"/>
        <v>112.91000785619636</v>
      </c>
      <c r="R34" s="27">
        <f t="shared" si="11"/>
        <v>35.04324903671894</v>
      </c>
    </row>
    <row r="35" spans="1:18" x14ac:dyDescent="0.25">
      <c r="A35" s="294" t="s">
        <v>45</v>
      </c>
      <c r="B35" s="295"/>
      <c r="C35" s="8"/>
      <c r="D35" s="16">
        <v>5</v>
      </c>
      <c r="E35" s="18">
        <v>1.7</v>
      </c>
      <c r="F35" s="13">
        <f t="shared" si="6"/>
        <v>-5.0659999999999998</v>
      </c>
      <c r="G35" s="14">
        <f t="shared" si="7"/>
        <v>7.2589999999999995</v>
      </c>
      <c r="H35" s="296" t="s">
        <v>45</v>
      </c>
      <c r="I35" s="295"/>
      <c r="J35" s="16">
        <f>+I33</f>
        <v>-3.3971999999999998</v>
      </c>
      <c r="K35" s="14">
        <f>+I33</f>
        <v>-3.3971999999999998</v>
      </c>
      <c r="L35" s="21">
        <f>+Temp!A14</f>
        <v>0.16666666666666666</v>
      </c>
      <c r="M35" s="22">
        <f>+Temp!C14</f>
        <v>12.094426029130766</v>
      </c>
      <c r="N35" s="23">
        <f>+HR!C25</f>
        <v>65.189585624553018</v>
      </c>
      <c r="O35" s="22">
        <f t="shared" si="8"/>
        <v>19.875800000000005</v>
      </c>
      <c r="P35" s="28">
        <f t="shared" si="9"/>
        <v>25.204661063470134</v>
      </c>
      <c r="Q35" s="26">
        <f t="shared" si="10"/>
        <v>114.7230362725975</v>
      </c>
      <c r="R35" s="27">
        <f t="shared" si="11"/>
        <v>35.626650836495301</v>
      </c>
    </row>
    <row r="36" spans="1:18" x14ac:dyDescent="0.25">
      <c r="A36" s="2">
        <f>+K48</f>
        <v>63.653945453691968</v>
      </c>
      <c r="B36" s="11">
        <f>+(H36*A36)+B46+I36</f>
        <v>25.273826296765716</v>
      </c>
      <c r="C36" s="5"/>
      <c r="D36" s="16">
        <v>5.5</v>
      </c>
      <c r="E36" s="18">
        <v>1.84</v>
      </c>
      <c r="F36" s="13">
        <f t="shared" si="6"/>
        <v>-5.4832000000000001</v>
      </c>
      <c r="G36" s="14">
        <f t="shared" si="7"/>
        <v>7.8567999999999998</v>
      </c>
      <c r="H36" s="19">
        <v>-0.25807000000000002</v>
      </c>
      <c r="I36" s="10">
        <v>18.428000000000001</v>
      </c>
      <c r="J36" s="16"/>
      <c r="K36" s="14"/>
      <c r="L36" s="21">
        <f>+Temp!A15</f>
        <v>0.20833333333333334</v>
      </c>
      <c r="M36" s="22">
        <f>+Temp!C15</f>
        <v>11.723547553104392</v>
      </c>
      <c r="N36" s="23">
        <f>+HR!C26</f>
        <v>66.097396955841887</v>
      </c>
      <c r="O36" s="22">
        <f t="shared" si="8"/>
        <v>19.875800000000005</v>
      </c>
      <c r="P36" s="28">
        <f t="shared" si="9"/>
        <v>25.163773241108885</v>
      </c>
      <c r="Q36" s="26">
        <f t="shared" si="10"/>
        <v>116.16015982832414</v>
      </c>
      <c r="R36" s="27">
        <f t="shared" si="11"/>
        <v>36.089092826553127</v>
      </c>
    </row>
    <row r="37" spans="1:18" x14ac:dyDescent="0.25">
      <c r="A37" s="2">
        <f>+K38</f>
        <v>84.570852869376523</v>
      </c>
      <c r="B37" s="11">
        <f>+(H36*A37)+B46+I36</f>
        <v>19.875800000000002</v>
      </c>
      <c r="C37" s="5"/>
      <c r="D37" s="16">
        <v>6</v>
      </c>
      <c r="E37" s="18">
        <v>1.98</v>
      </c>
      <c r="F37" s="13">
        <f t="shared" si="6"/>
        <v>-5.9004000000000003</v>
      </c>
      <c r="G37" s="14">
        <f t="shared" si="7"/>
        <v>8.4545999999999992</v>
      </c>
      <c r="H37" s="19"/>
      <c r="I37" s="10"/>
      <c r="J37" s="16">
        <f>+J35-J33</f>
        <v>-20.791199999999996</v>
      </c>
      <c r="K37" s="14">
        <f>+K35-K33</f>
        <v>-21.825200000000002</v>
      </c>
      <c r="L37" s="21">
        <f>+Temp!A16</f>
        <v>0.25</v>
      </c>
      <c r="M37" s="22">
        <f>+Temp!C16</f>
        <v>11.432578949270605</v>
      </c>
      <c r="N37" s="23">
        <f>+HR!C27</f>
        <v>66.809610289006116</v>
      </c>
      <c r="O37" s="22">
        <f t="shared" si="8"/>
        <v>19.875800000000005</v>
      </c>
      <c r="P37" s="28">
        <f t="shared" si="9"/>
        <v>25.131695152583166</v>
      </c>
      <c r="Q37" s="26">
        <f t="shared" si="10"/>
        <v>117.28763920924322</v>
      </c>
      <c r="R37" s="27">
        <f t="shared" si="11"/>
        <v>36.451896571981784</v>
      </c>
    </row>
    <row r="38" spans="1:18" x14ac:dyDescent="0.25">
      <c r="A38" s="294" t="s">
        <v>46</v>
      </c>
      <c r="B38" s="295"/>
      <c r="C38" s="8"/>
      <c r="D38" s="16">
        <v>6.5</v>
      </c>
      <c r="E38" s="18">
        <v>2.12</v>
      </c>
      <c r="F38" s="13">
        <f t="shared" si="6"/>
        <v>-6.3176000000000005</v>
      </c>
      <c r="G38" s="14">
        <f t="shared" si="7"/>
        <v>9.0523999999999987</v>
      </c>
      <c r="H38" s="296" t="s">
        <v>46</v>
      </c>
      <c r="I38" s="295"/>
      <c r="J38" s="16">
        <f>+J37/J34</f>
        <v>25.924189526184534</v>
      </c>
      <c r="K38" s="14">
        <f>+K37/K34</f>
        <v>84.570852869376523</v>
      </c>
      <c r="L38" s="21">
        <f>+Temp!A17</f>
        <v>0.29166666666666669</v>
      </c>
      <c r="M38" s="22">
        <f>+Temp!C17</f>
        <v>10.526087895361137</v>
      </c>
      <c r="N38" s="23">
        <f>+HR!C28</f>
        <v>69.028457980756457</v>
      </c>
      <c r="O38" s="22">
        <f t="shared" si="8"/>
        <v>19.875800000000005</v>
      </c>
      <c r="P38" s="28">
        <f t="shared" si="9"/>
        <v>25.03175825254673</v>
      </c>
      <c r="Q38" s="26">
        <f t="shared" si="10"/>
        <v>120.80021740085583</v>
      </c>
      <c r="R38" s="27">
        <f t="shared" si="11"/>
        <v>37.582184669125766</v>
      </c>
    </row>
    <row r="39" spans="1:18" x14ac:dyDescent="0.25">
      <c r="A39" s="2">
        <f>+J48</f>
        <v>16.548034242232085</v>
      </c>
      <c r="B39" s="11">
        <f>+(H39*A39)+B46+I39</f>
        <v>27.39547653772987</v>
      </c>
      <c r="C39" s="5"/>
      <c r="D39" s="16">
        <v>7</v>
      </c>
      <c r="E39" s="18">
        <v>2.2599999999999998</v>
      </c>
      <c r="F39" s="13">
        <f t="shared" si="6"/>
        <v>-6.734799999999999</v>
      </c>
      <c r="G39" s="14">
        <f t="shared" si="7"/>
        <v>9.6501999999999981</v>
      </c>
      <c r="H39" s="19">
        <v>-4.5039999999999997E-2</v>
      </c>
      <c r="I39" s="10">
        <f>+IF(B47=D30,G30,IF(B47=D31,G31,IF(B47=D32,G32,IF(B47=D33,G33,IF(B47=D34,G34,IF(B47=D35,G35,IF(B47=D36,G36,IF(B47=D37,G37,IF(B47=D38,G38,G39)))))))))</f>
        <v>4.867799999999999</v>
      </c>
      <c r="J39" s="16"/>
      <c r="K39" s="14"/>
      <c r="L39" s="21">
        <f>+Temp!A18</f>
        <v>0.33333333333333331</v>
      </c>
      <c r="M39" s="22">
        <f>+Temp!C18</f>
        <v>11.262058062456813</v>
      </c>
      <c r="N39" s="23">
        <f>+HR!C29</f>
        <v>67.22699982028746</v>
      </c>
      <c r="O39" s="22">
        <f t="shared" si="8"/>
        <v>19.875800000000005</v>
      </c>
      <c r="P39" s="28">
        <f t="shared" si="9"/>
        <v>25.112895928094254</v>
      </c>
      <c r="Q39" s="26">
        <f t="shared" si="10"/>
        <v>117.94839360461576</v>
      </c>
      <c r="R39" s="27">
        <f t="shared" si="11"/>
        <v>36.664516131599981</v>
      </c>
    </row>
    <row r="40" spans="1:18" x14ac:dyDescent="0.25">
      <c r="A40" s="2">
        <f>+K48</f>
        <v>63.653945453691968</v>
      </c>
      <c r="B40" s="11">
        <f>+(H39*A40)+B46+I39</f>
        <v>25.273826296765716</v>
      </c>
      <c r="C40" s="5"/>
      <c r="D40" s="16"/>
      <c r="E40" s="13"/>
      <c r="F40" s="13"/>
      <c r="G40" s="14"/>
      <c r="H40" s="19"/>
      <c r="I40" s="10"/>
      <c r="J40" s="16"/>
      <c r="K40" s="14"/>
      <c r="L40" s="21">
        <f>+Temp!A19</f>
        <v>0.375</v>
      </c>
      <c r="M40" s="22">
        <f>+Temp!C19</f>
        <v>13.405464468578106</v>
      </c>
      <c r="N40" s="23">
        <f>+HR!C30</f>
        <v>61.980514114560805</v>
      </c>
      <c r="O40" s="22">
        <f t="shared" si="8"/>
        <v>19.875800000000005</v>
      </c>
      <c r="P40" s="28">
        <f t="shared" si="9"/>
        <v>25.349197644280185</v>
      </c>
      <c r="Q40" s="26">
        <f t="shared" si="10"/>
        <v>109.64287027326654</v>
      </c>
      <c r="R40" s="27">
        <f t="shared" si="11"/>
        <v>33.991939565363957</v>
      </c>
    </row>
    <row r="41" spans="1:18" x14ac:dyDescent="0.25">
      <c r="A41" s="293" t="s">
        <v>47</v>
      </c>
      <c r="B41" s="292"/>
      <c r="C41" s="9"/>
      <c r="D41" s="16"/>
      <c r="E41" s="13"/>
      <c r="F41" s="13"/>
      <c r="G41" s="14"/>
      <c r="H41" s="291" t="s">
        <v>47</v>
      </c>
      <c r="I41" s="292"/>
      <c r="J41" s="16">
        <f>+I42</f>
        <v>17.393999999999998</v>
      </c>
      <c r="K41" s="14">
        <f>+I36</f>
        <v>18.428000000000001</v>
      </c>
      <c r="L41" s="21">
        <f>+Temp!A20</f>
        <v>0.41666666666666669</v>
      </c>
      <c r="M41" s="22">
        <f>+Temp!C20</f>
        <v>16.570736306474338</v>
      </c>
      <c r="N41" s="23">
        <f>+HR!C31</f>
        <v>54.232775092770282</v>
      </c>
      <c r="O41" s="22">
        <f t="shared" si="8"/>
        <v>19.875800000000005</v>
      </c>
      <c r="P41" s="28">
        <f t="shared" si="9"/>
        <v>25.698155809821628</v>
      </c>
      <c r="Q41" s="26">
        <f t="shared" si="10"/>
        <v>97.377702536233059</v>
      </c>
      <c r="R41" s="27">
        <f t="shared" si="11"/>
        <v>30.045216575468409</v>
      </c>
    </row>
    <row r="42" spans="1:18" x14ac:dyDescent="0.25">
      <c r="A42" s="3">
        <f>+J48</f>
        <v>16.548034242232085</v>
      </c>
      <c r="B42" s="12">
        <f>+(H42*A42)+B46+I42</f>
        <v>27.39547653772987</v>
      </c>
      <c r="C42" s="4"/>
      <c r="D42" s="16"/>
      <c r="E42" s="13"/>
      <c r="F42" s="13"/>
      <c r="G42" s="14"/>
      <c r="H42" s="19">
        <v>-0.80200000000000005</v>
      </c>
      <c r="I42" s="10">
        <v>17.393999999999998</v>
      </c>
      <c r="J42" s="16">
        <f>+H42</f>
        <v>-0.80200000000000005</v>
      </c>
      <c r="K42" s="14">
        <f>+H36</f>
        <v>-0.25807000000000002</v>
      </c>
      <c r="L42" s="21">
        <f>+Temp!A21</f>
        <v>0.45833333333333331</v>
      </c>
      <c r="M42" s="22">
        <f>+Temp!C21</f>
        <v>19.959108339555698</v>
      </c>
      <c r="N42" s="23">
        <f>+HR!C32</f>
        <v>45.938946453238188</v>
      </c>
      <c r="O42" s="22">
        <f t="shared" si="8"/>
        <v>19.875800000000005</v>
      </c>
      <c r="P42" s="28">
        <f t="shared" si="9"/>
        <v>26.071709851746153</v>
      </c>
      <c r="Q42" s="26">
        <f t="shared" si="10"/>
        <v>84.248039913373518</v>
      </c>
      <c r="R42" s="27">
        <f t="shared" si="11"/>
        <v>25.820313791077684</v>
      </c>
    </row>
    <row r="43" spans="1:18" x14ac:dyDescent="0.25">
      <c r="A43" s="3">
        <f>+J38</f>
        <v>25.924189526184534</v>
      </c>
      <c r="B43" s="12">
        <f>+(H42*A43)+B46+I42</f>
        <v>19.875800000000005</v>
      </c>
      <c r="C43" s="4"/>
      <c r="D43" s="16"/>
      <c r="E43" s="13"/>
      <c r="F43" s="13"/>
      <c r="G43" s="14"/>
      <c r="H43" s="19"/>
      <c r="I43" s="10"/>
      <c r="J43" s="16">
        <f>+I39</f>
        <v>4.867799999999999</v>
      </c>
      <c r="K43" s="14">
        <f>+I39</f>
        <v>4.867799999999999</v>
      </c>
      <c r="L43" s="21">
        <f>+Temp!A22</f>
        <v>0.5</v>
      </c>
      <c r="M43" s="22">
        <f>+Temp!C22</f>
        <v>22.880309884469</v>
      </c>
      <c r="N43" s="23">
        <f>+HR!C33</f>
        <v>38.788626240904648</v>
      </c>
      <c r="O43" s="22">
        <f t="shared" si="8"/>
        <v>19.875800000000005</v>
      </c>
      <c r="P43" s="28">
        <f t="shared" si="9"/>
        <v>26.393760274109656</v>
      </c>
      <c r="Q43" s="26">
        <f t="shared" si="10"/>
        <v>72.928624464412763</v>
      </c>
      <c r="R43" s="27">
        <f t="shared" si="11"/>
        <v>22.177917849789278</v>
      </c>
    </row>
    <row r="44" spans="1:18" x14ac:dyDescent="0.25">
      <c r="A44" s="13"/>
      <c r="B44" s="14"/>
      <c r="C44" s="13"/>
      <c r="D44" s="16"/>
      <c r="E44" s="13"/>
      <c r="F44" s="13"/>
      <c r="G44" s="14"/>
      <c r="H44" s="19"/>
      <c r="I44" s="10"/>
      <c r="J44" s="16">
        <f>+H39</f>
        <v>-4.5039999999999997E-2</v>
      </c>
      <c r="K44" s="14">
        <f>+H39</f>
        <v>-4.5039999999999997E-2</v>
      </c>
      <c r="L44" s="21">
        <f>+Temp!A23</f>
        <v>0.54166666666666663</v>
      </c>
      <c r="M44" s="22">
        <f>+Temp!C23</f>
        <v>24.933292643888656</v>
      </c>
      <c r="N44" s="23">
        <f>+HR!C34</f>
        <v>33.763473441772369</v>
      </c>
      <c r="O44" s="22">
        <f t="shared" si="8"/>
        <v>19.875800000000005</v>
      </c>
      <c r="P44" s="28">
        <f t="shared" si="9"/>
        <v>26.620093156182573</v>
      </c>
      <c r="Q44" s="26">
        <f t="shared" si="10"/>
        <v>64.973485318368446</v>
      </c>
      <c r="R44" s="27">
        <f t="shared" si="11"/>
        <v>19.618088972707412</v>
      </c>
    </row>
    <row r="45" spans="1:18" x14ac:dyDescent="0.25">
      <c r="A45" s="293" t="s">
        <v>48</v>
      </c>
      <c r="B45" s="292"/>
      <c r="C45" s="9"/>
      <c r="D45" s="16"/>
      <c r="E45" s="13"/>
      <c r="F45" s="13"/>
      <c r="G45" s="14"/>
      <c r="H45" s="19"/>
      <c r="I45" s="10"/>
      <c r="J45" s="16"/>
      <c r="K45" s="14"/>
      <c r="L45" s="21">
        <f>+Temp!A24</f>
        <v>0.58333333333333337</v>
      </c>
      <c r="M45" s="22">
        <f>+Temp!C24</f>
        <v>25.99549103338277</v>
      </c>
      <c r="N45" s="23">
        <f>+HR!C35</f>
        <v>31.163495830801569</v>
      </c>
      <c r="O45" s="22">
        <f t="shared" si="8"/>
        <v>19.875800000000005</v>
      </c>
      <c r="P45" s="28">
        <f t="shared" si="9"/>
        <v>26.737196147780701</v>
      </c>
      <c r="Q45" s="26">
        <f t="shared" si="10"/>
        <v>60.8575540226188</v>
      </c>
      <c r="R45" s="27">
        <f t="shared" si="11"/>
        <v>18.293652078076349</v>
      </c>
    </row>
    <row r="46" spans="1:18" x14ac:dyDescent="0.25">
      <c r="A46" s="13">
        <v>50</v>
      </c>
      <c r="B46" s="15">
        <f>Tn!C5</f>
        <v>23.273000000000003</v>
      </c>
      <c r="C46" s="20"/>
      <c r="D46" s="16"/>
      <c r="E46" s="13"/>
      <c r="F46" s="13"/>
      <c r="G46" s="14"/>
      <c r="H46" s="19"/>
      <c r="I46" s="10"/>
      <c r="J46" s="16">
        <f>+J42-J44</f>
        <v>-0.75696000000000008</v>
      </c>
      <c r="K46" s="14">
        <f>+K42-K44</f>
        <v>-0.21303000000000002</v>
      </c>
      <c r="L46" s="21">
        <f>+Temp!A25</f>
        <v>0.625</v>
      </c>
      <c r="M46" s="22">
        <f>+Temp!C25</f>
        <v>26.140318095307869</v>
      </c>
      <c r="N46" s="23">
        <f>+HR!C36</f>
        <v>30.808997911964319</v>
      </c>
      <c r="O46" s="22">
        <f t="shared" si="8"/>
        <v>19.875800000000005</v>
      </c>
      <c r="P46" s="28">
        <f t="shared" si="9"/>
        <v>26.75316273404513</v>
      </c>
      <c r="Q46" s="26">
        <f t="shared" si="10"/>
        <v>60.296361083009003</v>
      </c>
      <c r="R46" s="27">
        <f t="shared" si="11"/>
        <v>18.113069706598669</v>
      </c>
    </row>
    <row r="47" spans="1:18" x14ac:dyDescent="0.25">
      <c r="A47" s="13" t="s">
        <v>52</v>
      </c>
      <c r="B47" s="15">
        <f>Tn!C7</f>
        <v>3</v>
      </c>
      <c r="C47" s="20"/>
      <c r="D47" s="16"/>
      <c r="E47" s="13"/>
      <c r="F47" s="13"/>
      <c r="G47" s="14"/>
      <c r="H47" s="19"/>
      <c r="I47" s="10"/>
      <c r="J47" s="16">
        <f>+J43-J41</f>
        <v>-12.526199999999999</v>
      </c>
      <c r="K47" s="14">
        <f>+K43-K41</f>
        <v>-13.560200000000002</v>
      </c>
      <c r="L47" s="21">
        <f>+Temp!A26</f>
        <v>0.66666666666666663</v>
      </c>
      <c r="M47" s="22">
        <f>+Temp!C26</f>
        <v>25.547543250746397</v>
      </c>
      <c r="N47" s="23">
        <f>+HR!C37</f>
        <v>32.259952215275341</v>
      </c>
      <c r="O47" s="22">
        <f t="shared" si="8"/>
        <v>19.875800000000005</v>
      </c>
      <c r="P47" s="28">
        <f t="shared" si="9"/>
        <v>26.687811752224</v>
      </c>
      <c r="Q47" s="26">
        <f t="shared" si="10"/>
        <v>62.593314795418323</v>
      </c>
      <c r="R47" s="27">
        <f t="shared" si="11"/>
        <v>18.852190460415965</v>
      </c>
    </row>
    <row r="48" spans="1:18" x14ac:dyDescent="0.25">
      <c r="A48" s="13"/>
      <c r="B48" s="14"/>
      <c r="C48" s="13"/>
      <c r="D48" s="16"/>
      <c r="E48" s="13"/>
      <c r="F48" s="13"/>
      <c r="G48" s="14"/>
      <c r="H48" s="19"/>
      <c r="I48" s="10"/>
      <c r="J48" s="16">
        <f>+J47/J46</f>
        <v>16.548034242232085</v>
      </c>
      <c r="K48" s="14">
        <f>+K47/K46</f>
        <v>63.653945453691968</v>
      </c>
      <c r="L48" s="21">
        <f>+Temp!A27</f>
        <v>0.70833333333333337</v>
      </c>
      <c r="M48" s="22">
        <f>+Temp!C27</f>
        <v>24.432948398807167</v>
      </c>
      <c r="N48" s="23">
        <f>+HR!C38</f>
        <v>34.988182354774501</v>
      </c>
      <c r="O48" s="22">
        <f t="shared" si="8"/>
        <v>19.875800000000005</v>
      </c>
      <c r="P48" s="28">
        <f t="shared" si="9"/>
        <v>26.564932266740957</v>
      </c>
      <c r="Q48" s="26">
        <f t="shared" si="10"/>
        <v>66.912278068713277</v>
      </c>
      <c r="R48" s="27">
        <f t="shared" si="11"/>
        <v>20.24195960248483</v>
      </c>
    </row>
    <row r="49" spans="1:18" x14ac:dyDescent="0.25">
      <c r="A49" s="13"/>
      <c r="B49" s="15"/>
      <c r="C49" s="20"/>
      <c r="D49" s="16"/>
      <c r="E49" s="13"/>
      <c r="F49" s="13"/>
      <c r="G49" s="14"/>
      <c r="H49" s="16"/>
      <c r="I49" s="14"/>
      <c r="J49" s="16"/>
      <c r="K49" s="14"/>
      <c r="L49" s="21">
        <f>+Temp!A28</f>
        <v>0.75</v>
      </c>
      <c r="M49" s="22">
        <f>+Temp!C28</f>
        <v>23.002935124421324</v>
      </c>
      <c r="N49" s="23">
        <f>+HR!C39</f>
        <v>38.488472445183113</v>
      </c>
      <c r="O49" s="22">
        <f t="shared" si="8"/>
        <v>19.875800000000005</v>
      </c>
      <c r="P49" s="28">
        <f t="shared" si="9"/>
        <v>26.407279201068956</v>
      </c>
      <c r="Q49" s="26">
        <f t="shared" si="10"/>
        <v>72.453461756805041</v>
      </c>
      <c r="R49" s="27">
        <f t="shared" si="11"/>
        <v>22.025018548103088</v>
      </c>
    </row>
    <row r="50" spans="1:18" x14ac:dyDescent="0.25">
      <c r="A50" s="13"/>
      <c r="B50" s="15"/>
      <c r="C50" s="20"/>
      <c r="D50" s="16"/>
      <c r="E50" s="13"/>
      <c r="F50" s="13"/>
      <c r="G50" s="14"/>
      <c r="H50" s="16"/>
      <c r="I50" s="14"/>
      <c r="J50" s="16"/>
      <c r="K50" s="14"/>
      <c r="L50" s="21">
        <f>+Temp!A29</f>
        <v>0.79166666666666663</v>
      </c>
      <c r="M50" s="22">
        <f>+Temp!C29</f>
        <v>21.43064299380881</v>
      </c>
      <c r="N50" s="23">
        <f>+HR!C40</f>
        <v>42.337023128304594</v>
      </c>
      <c r="O50" s="22">
        <f t="shared" si="8"/>
        <v>19.875800000000005</v>
      </c>
      <c r="P50" s="28">
        <f t="shared" si="9"/>
        <v>26.233940478301164</v>
      </c>
      <c r="Q50" s="26">
        <f t="shared" si="10"/>
        <v>78.545964297249554</v>
      </c>
      <c r="R50" s="27">
        <f t="shared" si="11"/>
        <v>23.985482551360587</v>
      </c>
    </row>
    <row r="51" spans="1:18" x14ac:dyDescent="0.25">
      <c r="A51" s="13"/>
      <c r="B51" s="15"/>
      <c r="C51" s="20"/>
      <c r="D51" s="16"/>
      <c r="E51" s="13"/>
      <c r="F51" s="13"/>
      <c r="G51" s="14"/>
      <c r="H51" s="16"/>
      <c r="I51" s="14"/>
      <c r="J51" s="16"/>
      <c r="K51" s="14"/>
      <c r="L51" s="21">
        <f>+Temp!A30</f>
        <v>0.83333333333333337</v>
      </c>
      <c r="M51" s="22">
        <f>+Temp!C30</f>
        <v>19.847414979351257</v>
      </c>
      <c r="N51" s="23">
        <f>+HR!C41</f>
        <v>46.212341930672451</v>
      </c>
      <c r="O51" s="22">
        <f t="shared" si="8"/>
        <v>19.875800000000005</v>
      </c>
      <c r="P51" s="28">
        <f t="shared" si="9"/>
        <v>26.059396119442514</v>
      </c>
      <c r="Q51" s="26">
        <f t="shared" si="10"/>
        <v>84.680842487111036</v>
      </c>
      <c r="R51" s="27">
        <f t="shared" si="11"/>
        <v>25.959582320010902</v>
      </c>
    </row>
    <row r="52" spans="1:18" x14ac:dyDescent="0.25">
      <c r="A52" s="13"/>
      <c r="B52" s="14"/>
      <c r="C52" s="13"/>
      <c r="D52" s="16"/>
      <c r="E52" s="13"/>
      <c r="F52" s="13"/>
      <c r="G52" s="14"/>
      <c r="H52" s="16"/>
      <c r="I52" s="14"/>
      <c r="J52" s="16"/>
      <c r="K52" s="14"/>
      <c r="L52" s="21">
        <f>+Temp!A31</f>
        <v>0.875</v>
      </c>
      <c r="M52" s="22">
        <f>+Temp!C31</f>
        <v>18.343708667866593</v>
      </c>
      <c r="N52" s="23">
        <f>+HR!C42</f>
        <v>49.893012869363673</v>
      </c>
      <c r="O52" s="22">
        <f t="shared" si="8"/>
        <v>19.875800000000005</v>
      </c>
      <c r="P52" s="28">
        <f t="shared" si="9"/>
        <v>25.893618700363863</v>
      </c>
      <c r="Q52" s="26">
        <f t="shared" si="10"/>
        <v>90.507580625928654</v>
      </c>
      <c r="R52" s="27">
        <f t="shared" si="11"/>
        <v>27.834527845552877</v>
      </c>
    </row>
    <row r="53" spans="1:18" x14ac:dyDescent="0.25">
      <c r="B53" s="14"/>
      <c r="C53" s="25"/>
      <c r="G53" s="14"/>
      <c r="I53" s="14"/>
      <c r="K53" s="14"/>
      <c r="L53" s="21">
        <f>+Temp!A32</f>
        <v>0.91666666666666663</v>
      </c>
      <c r="M53" s="22">
        <f>+Temp!C32</f>
        <v>16.974892968358812</v>
      </c>
      <c r="N53" s="23">
        <f>+HR!C43</f>
        <v>53.243507661547021</v>
      </c>
      <c r="O53" s="22">
        <f t="shared" si="8"/>
        <v>19.875800000000005</v>
      </c>
      <c r="P53" s="28">
        <f t="shared" si="9"/>
        <v>25.742712414923925</v>
      </c>
      <c r="Q53" s="26">
        <f t="shared" si="10"/>
        <v>95.811628750498656</v>
      </c>
      <c r="R53" s="27">
        <f t="shared" si="11"/>
        <v>29.541280588081282</v>
      </c>
    </row>
    <row r="54" spans="1:18" x14ac:dyDescent="0.25">
      <c r="B54" s="14"/>
      <c r="C54" s="25"/>
      <c r="G54" s="14"/>
      <c r="I54" s="14"/>
      <c r="K54" s="14"/>
      <c r="L54" s="21">
        <f>+Temp!A33</f>
        <v>0.95833333333333337</v>
      </c>
      <c r="M54" s="22">
        <f>+Temp!C33</f>
        <v>15.768851660923449</v>
      </c>
      <c r="N54" s="23">
        <f>+HR!C44</f>
        <v>56.195574270056284</v>
      </c>
      <c r="O54" s="22">
        <f t="shared" si="8"/>
        <v>19.875800000000005</v>
      </c>
      <c r="P54" s="28">
        <f t="shared" si="9"/>
        <v>25.609751334876666</v>
      </c>
      <c r="Q54" s="26">
        <f t="shared" si="10"/>
        <v>100.48493950895708</v>
      </c>
      <c r="R54" s="27">
        <f t="shared" si="11"/>
        <v>31.045072741990712</v>
      </c>
    </row>
    <row r="55" spans="1:18" x14ac:dyDescent="0.25">
      <c r="P55" s="7"/>
    </row>
    <row r="56" spans="1:18" x14ac:dyDescent="0.25">
      <c r="P56" s="7"/>
    </row>
    <row r="57" spans="1:18" x14ac:dyDescent="0.25">
      <c r="A57" s="9" t="s">
        <v>42</v>
      </c>
      <c r="B57" s="10" t="s">
        <v>43</v>
      </c>
      <c r="C57" s="9"/>
      <c r="D57" s="16" t="s">
        <v>52</v>
      </c>
      <c r="E57" s="13"/>
      <c r="F57" s="9" t="s">
        <v>44</v>
      </c>
      <c r="G57" s="17" t="s">
        <v>46</v>
      </c>
      <c r="H57" s="16"/>
      <c r="I57" s="14"/>
      <c r="J57" s="16"/>
      <c r="K57" s="14"/>
      <c r="L57" s="291" t="s">
        <v>58</v>
      </c>
      <c r="M57" s="293"/>
      <c r="N57" s="292"/>
      <c r="O57" s="291" t="s">
        <v>72</v>
      </c>
      <c r="P57" s="292"/>
      <c r="Q57" s="291" t="s">
        <v>73</v>
      </c>
      <c r="R57" s="292"/>
    </row>
    <row r="58" spans="1:18" x14ac:dyDescent="0.25">
      <c r="A58" s="9">
        <f>+A74</f>
        <v>50</v>
      </c>
      <c r="B58" s="11">
        <f>+(H67*A58)+B74+I67</f>
        <v>27.2151</v>
      </c>
      <c r="C58" s="5">
        <f>+B58-B74</f>
        <v>3.2135999999999996</v>
      </c>
      <c r="D58" s="16">
        <v>2.5</v>
      </c>
      <c r="E58" s="18">
        <v>1</v>
      </c>
      <c r="F58" s="13">
        <v>-2.98</v>
      </c>
      <c r="G58" s="14">
        <v>4.2699999999999996</v>
      </c>
      <c r="H58" s="291" t="s">
        <v>51</v>
      </c>
      <c r="I58" s="292"/>
      <c r="J58" s="16"/>
      <c r="K58" s="14"/>
      <c r="L58" s="9" t="s">
        <v>56</v>
      </c>
      <c r="M58" s="9" t="s">
        <v>54</v>
      </c>
      <c r="N58" s="10" t="s">
        <v>55</v>
      </c>
      <c r="O58" s="19" t="s">
        <v>68</v>
      </c>
      <c r="P58" s="10" t="s">
        <v>69</v>
      </c>
      <c r="Q58" s="19" t="s">
        <v>70</v>
      </c>
      <c r="R58" s="10" t="s">
        <v>71</v>
      </c>
    </row>
    <row r="59" spans="1:18" x14ac:dyDescent="0.25">
      <c r="A59" s="9">
        <f>+A74</f>
        <v>50</v>
      </c>
      <c r="B59" s="11">
        <f>B74+I61</f>
        <v>20.187100000000001</v>
      </c>
      <c r="C59" s="5">
        <f>+B74-B59</f>
        <v>3.8143999999999991</v>
      </c>
      <c r="D59" s="16">
        <v>3</v>
      </c>
      <c r="E59" s="18">
        <v>1.1399999999999999</v>
      </c>
      <c r="F59" s="13">
        <f t="shared" ref="F59:F67" si="12">$F$58*E59</f>
        <v>-3.3971999999999998</v>
      </c>
      <c r="G59" s="14">
        <f t="shared" ref="G59:G67" si="13">$G$58*E59</f>
        <v>4.867799999999999</v>
      </c>
      <c r="H59" s="19" t="s">
        <v>49</v>
      </c>
      <c r="I59" s="10" t="s">
        <v>50</v>
      </c>
      <c r="J59" s="16"/>
      <c r="K59" s="14"/>
      <c r="L59" s="21">
        <f>+Temp!A10</f>
        <v>0</v>
      </c>
      <c r="M59" s="22">
        <f>+Temp!D10</f>
        <v>16.339811816408435</v>
      </c>
      <c r="N59" s="23">
        <f>+HR!D21</f>
        <v>55.334182254545723</v>
      </c>
      <c r="O59" s="22">
        <f t="shared" ref="O59:O82" si="14">$B$61</f>
        <v>20.187100000000001</v>
      </c>
      <c r="P59" s="28">
        <f t="shared" ref="P59:P82" si="15">+($H$67*N59)+$B$74+$I$67</f>
        <v>26.974848431255261</v>
      </c>
      <c r="Q59" s="26">
        <f t="shared" ref="Q59:Q82" si="16">+(M59-$B$74-$I$64)/$H$64</f>
        <v>101.09539343430683</v>
      </c>
      <c r="R59" s="27">
        <f t="shared" ref="R59:R82" si="17">+(M59-$B$74-$I$70)/$H$70</f>
        <v>31.241506463331124</v>
      </c>
    </row>
    <row r="60" spans="1:18" x14ac:dyDescent="0.25">
      <c r="A60" s="293" t="s">
        <v>44</v>
      </c>
      <c r="B60" s="292"/>
      <c r="C60" s="24">
        <f>+C58+C59</f>
        <v>7.0279999999999987</v>
      </c>
      <c r="D60" s="16">
        <v>3.5</v>
      </c>
      <c r="E60" s="18">
        <v>1.28</v>
      </c>
      <c r="F60" s="13">
        <f t="shared" si="12"/>
        <v>-3.8144</v>
      </c>
      <c r="G60" s="14">
        <f t="shared" si="13"/>
        <v>5.4655999999999993</v>
      </c>
      <c r="H60" s="291" t="s">
        <v>44</v>
      </c>
      <c r="I60" s="292"/>
      <c r="J60" s="16"/>
      <c r="K60" s="14"/>
      <c r="L60" s="21">
        <f>+Temp!A11</f>
        <v>4.1666666666666664E-2</v>
      </c>
      <c r="M60" s="22">
        <f>+Temp!D11</f>
        <v>15.454716524506797</v>
      </c>
      <c r="N60" s="23">
        <f>+HR!D22</f>
        <v>57.250952570677498</v>
      </c>
      <c r="O60" s="22">
        <f t="shared" si="14"/>
        <v>20.187100000000001</v>
      </c>
      <c r="P60" s="28">
        <f t="shared" si="15"/>
        <v>26.888517096216685</v>
      </c>
      <c r="Q60" s="26">
        <f t="shared" si="16"/>
        <v>104.52506480990894</v>
      </c>
      <c r="R60" s="27">
        <f t="shared" si="17"/>
        <v>32.345116552984038</v>
      </c>
    </row>
    <row r="61" spans="1:18" x14ac:dyDescent="0.25">
      <c r="A61" s="2">
        <f>+J66</f>
        <v>26.444389027431416</v>
      </c>
      <c r="B61" s="11">
        <f>B74+I61</f>
        <v>20.187100000000001</v>
      </c>
      <c r="C61" s="5"/>
      <c r="D61" s="16">
        <v>4</v>
      </c>
      <c r="E61" s="18">
        <v>1.42</v>
      </c>
      <c r="F61" s="13">
        <f t="shared" si="12"/>
        <v>-4.2315999999999994</v>
      </c>
      <c r="G61" s="14">
        <f t="shared" si="13"/>
        <v>6.0633999999999988</v>
      </c>
      <c r="H61" s="19">
        <v>0</v>
      </c>
      <c r="I61" s="10">
        <f>+IF(B75=D58,F58,IF(B75=D59,F59,IF(B75=D60,F60,IF(B75=D61,F61,IF(B75=D62,F62,IF(B75=D63,F63,IF(B75=D64,F64,IF(B75=D65,F65,IF(B75=D66,F66,F67)))))))))</f>
        <v>-3.8144</v>
      </c>
      <c r="J61" s="16">
        <f>+I70</f>
        <v>17.393999999999998</v>
      </c>
      <c r="K61" s="14">
        <f>+I64</f>
        <v>18.428000000000001</v>
      </c>
      <c r="L61" s="21">
        <f>+Temp!A12</f>
        <v>8.3333333333333329E-2</v>
      </c>
      <c r="M61" s="22">
        <f>+Temp!D12</f>
        <v>14.72892974029269</v>
      </c>
      <c r="N61" s="23">
        <f>+HR!D23</f>
        <v>58.822722951280696</v>
      </c>
      <c r="O61" s="22">
        <f t="shared" si="14"/>
        <v>20.187100000000001</v>
      </c>
      <c r="P61" s="28">
        <f t="shared" si="15"/>
        <v>26.817724558274318</v>
      </c>
      <c r="Q61" s="26">
        <f t="shared" si="16"/>
        <v>107.33742883600306</v>
      </c>
      <c r="R61" s="27">
        <f t="shared" si="17"/>
        <v>33.250087605620081</v>
      </c>
    </row>
    <row r="62" spans="1:18" x14ac:dyDescent="0.25">
      <c r="A62" s="2">
        <f>+K66</f>
        <v>86.187468516294018</v>
      </c>
      <c r="B62" s="11">
        <f>B74+I61</f>
        <v>20.187100000000001</v>
      </c>
      <c r="C62" s="5"/>
      <c r="D62" s="16">
        <v>4.5</v>
      </c>
      <c r="E62" s="18">
        <v>1.56</v>
      </c>
      <c r="F62" s="13">
        <f t="shared" si="12"/>
        <v>-4.6488000000000005</v>
      </c>
      <c r="G62" s="14">
        <f t="shared" si="13"/>
        <v>6.6611999999999991</v>
      </c>
      <c r="H62" s="19"/>
      <c r="I62" s="10"/>
      <c r="J62" s="16">
        <f>+H70</f>
        <v>-0.80200000000000005</v>
      </c>
      <c r="K62" s="14">
        <f>+H64</f>
        <v>-0.25807000000000002</v>
      </c>
      <c r="L62" s="21">
        <f>+Temp!A13</f>
        <v>0.125</v>
      </c>
      <c r="M62" s="22">
        <f>+Temp!D13</f>
        <v>14.142334259497382</v>
      </c>
      <c r="N62" s="23">
        <f>+HR!D24</f>
        <v>60.093059394659321</v>
      </c>
      <c r="O62" s="22">
        <f t="shared" si="14"/>
        <v>20.187100000000001</v>
      </c>
      <c r="P62" s="28">
        <f t="shared" si="15"/>
        <v>26.760508604864544</v>
      </c>
      <c r="Q62" s="26">
        <f t="shared" si="16"/>
        <v>109.61043802263966</v>
      </c>
      <c r="R62" s="27">
        <f t="shared" si="17"/>
        <v>33.981503417085555</v>
      </c>
    </row>
    <row r="63" spans="1:18" x14ac:dyDescent="0.25">
      <c r="A63" s="294" t="s">
        <v>45</v>
      </c>
      <c r="B63" s="295"/>
      <c r="C63" s="8"/>
      <c r="D63" s="16">
        <v>5</v>
      </c>
      <c r="E63" s="18">
        <v>1.7</v>
      </c>
      <c r="F63" s="13">
        <f t="shared" si="12"/>
        <v>-5.0659999999999998</v>
      </c>
      <c r="G63" s="14">
        <f t="shared" si="13"/>
        <v>7.2589999999999995</v>
      </c>
      <c r="H63" s="296" t="s">
        <v>45</v>
      </c>
      <c r="I63" s="295"/>
      <c r="J63" s="16">
        <f>+I61</f>
        <v>-3.8144</v>
      </c>
      <c r="K63" s="14">
        <f>+I61</f>
        <v>-3.8144</v>
      </c>
      <c r="L63" s="21">
        <f>+Temp!A14</f>
        <v>0.16666666666666666</v>
      </c>
      <c r="M63" s="22">
        <f>+Temp!D14</f>
        <v>13.6741731302345</v>
      </c>
      <c r="N63" s="23">
        <f>+HR!D25</f>
        <v>61.106913342305837</v>
      </c>
      <c r="O63" s="22">
        <f t="shared" si="14"/>
        <v>20.187100000000001</v>
      </c>
      <c r="P63" s="28">
        <f t="shared" si="15"/>
        <v>26.714844623062543</v>
      </c>
      <c r="Q63" s="26">
        <f t="shared" si="16"/>
        <v>111.42452384920951</v>
      </c>
      <c r="R63" s="27">
        <f t="shared" si="17"/>
        <v>34.565245473523063</v>
      </c>
    </row>
    <row r="64" spans="1:18" x14ac:dyDescent="0.25">
      <c r="A64" s="2">
        <f>+K76</f>
        <v>60.847767920011272</v>
      </c>
      <c r="B64" s="11">
        <f>+(H64*A64)+B74+I64</f>
        <v>26.726516532882691</v>
      </c>
      <c r="C64" s="5"/>
      <c r="D64" s="16">
        <v>5.5</v>
      </c>
      <c r="E64" s="18">
        <v>1.84</v>
      </c>
      <c r="F64" s="13">
        <f t="shared" si="12"/>
        <v>-5.4832000000000001</v>
      </c>
      <c r="G64" s="14">
        <f t="shared" si="13"/>
        <v>7.8567999999999998</v>
      </c>
      <c r="H64" s="19">
        <v>-0.25807000000000002</v>
      </c>
      <c r="I64" s="10">
        <v>18.428000000000001</v>
      </c>
      <c r="J64" s="16"/>
      <c r="K64" s="14"/>
      <c r="L64" s="21">
        <f>+Temp!A15</f>
        <v>0.20833333333333334</v>
      </c>
      <c r="M64" s="22">
        <f>+Temp!D15</f>
        <v>13.304652518214652</v>
      </c>
      <c r="N64" s="23">
        <f>+HR!D26</f>
        <v>61.907150499591722</v>
      </c>
      <c r="O64" s="22">
        <f t="shared" si="14"/>
        <v>20.187100000000001</v>
      </c>
      <c r="P64" s="28">
        <f t="shared" si="15"/>
        <v>26.678801941498389</v>
      </c>
      <c r="Q64" s="26">
        <f t="shared" si="16"/>
        <v>112.85638579372009</v>
      </c>
      <c r="R64" s="27">
        <f t="shared" si="17"/>
        <v>35.025994366315892</v>
      </c>
    </row>
    <row r="65" spans="1:18" x14ac:dyDescent="0.25">
      <c r="A65" s="2">
        <f>+K66</f>
        <v>86.187468516294018</v>
      </c>
      <c r="B65" s="11">
        <f>+(H64*A65)+B74+I64</f>
        <v>20.187100000000001</v>
      </c>
      <c r="C65" s="5"/>
      <c r="D65" s="16">
        <v>6</v>
      </c>
      <c r="E65" s="18">
        <v>1.98</v>
      </c>
      <c r="F65" s="13">
        <f t="shared" si="12"/>
        <v>-5.9004000000000003</v>
      </c>
      <c r="G65" s="14">
        <f t="shared" si="13"/>
        <v>8.4545999999999992</v>
      </c>
      <c r="H65" s="19"/>
      <c r="I65" s="10"/>
      <c r="J65" s="16">
        <f>+J63-J61</f>
        <v>-21.208399999999997</v>
      </c>
      <c r="K65" s="14">
        <f>+K63-K61</f>
        <v>-22.2424</v>
      </c>
      <c r="L65" s="21">
        <f>+Temp!A16</f>
        <v>0.25</v>
      </c>
      <c r="M65" s="22">
        <f>+Temp!D16</f>
        <v>13.015843507110258</v>
      </c>
      <c r="N65" s="23">
        <f>+HR!D27</f>
        <v>62.532597888795323</v>
      </c>
      <c r="O65" s="22">
        <f t="shared" si="14"/>
        <v>20.187100000000001</v>
      </c>
      <c r="P65" s="28">
        <f t="shared" si="15"/>
        <v>26.650631791088657</v>
      </c>
      <c r="Q65" s="26">
        <f t="shared" si="16"/>
        <v>113.97549693063797</v>
      </c>
      <c r="R65" s="27">
        <f t="shared" si="17"/>
        <v>35.386105352730347</v>
      </c>
    </row>
    <row r="66" spans="1:18" x14ac:dyDescent="0.25">
      <c r="A66" s="294" t="s">
        <v>46</v>
      </c>
      <c r="B66" s="295"/>
      <c r="C66" s="8"/>
      <c r="D66" s="16">
        <v>6.5</v>
      </c>
      <c r="E66" s="18">
        <v>2.12</v>
      </c>
      <c r="F66" s="13">
        <f t="shared" si="12"/>
        <v>-6.3176000000000005</v>
      </c>
      <c r="G66" s="14">
        <f t="shared" si="13"/>
        <v>9.0523999999999987</v>
      </c>
      <c r="H66" s="296" t="s">
        <v>46</v>
      </c>
      <c r="I66" s="295"/>
      <c r="J66" s="16">
        <f>+J65/J62</f>
        <v>26.444389027431416</v>
      </c>
      <c r="K66" s="14">
        <f>+K65/K62</f>
        <v>86.187468516294018</v>
      </c>
      <c r="L66" s="21">
        <f>+Temp!A17</f>
        <v>0.29166666666666669</v>
      </c>
      <c r="M66" s="22">
        <f>+Temp!D17</f>
        <v>12.283537106941065</v>
      </c>
      <c r="N66" s="23">
        <f>+HR!D28</f>
        <v>64.118487208285245</v>
      </c>
      <c r="O66" s="22">
        <f t="shared" si="14"/>
        <v>20.187100000000001</v>
      </c>
      <c r="P66" s="28">
        <f t="shared" si="15"/>
        <v>26.579203336138832</v>
      </c>
      <c r="Q66" s="26">
        <f t="shared" si="16"/>
        <v>116.81312393171982</v>
      </c>
      <c r="R66" s="27">
        <f t="shared" si="17"/>
        <v>36.299205602317869</v>
      </c>
    </row>
    <row r="67" spans="1:18" x14ac:dyDescent="0.25">
      <c r="A67" s="2">
        <f>+J76</f>
        <v>15.758296343267807</v>
      </c>
      <c r="B67" s="11">
        <f>+(H67*A67)+B74+I67</f>
        <v>28.757346332699218</v>
      </c>
      <c r="C67" s="5"/>
      <c r="D67" s="16">
        <v>7</v>
      </c>
      <c r="E67" s="18">
        <v>2.2599999999999998</v>
      </c>
      <c r="F67" s="13">
        <f t="shared" si="12"/>
        <v>-6.734799999999999</v>
      </c>
      <c r="G67" s="14">
        <f t="shared" si="13"/>
        <v>9.6501999999999981</v>
      </c>
      <c r="H67" s="19">
        <v>-4.5039999999999997E-2</v>
      </c>
      <c r="I67" s="10">
        <f>+IF(B75=D58,G58,IF(B75=D59,G59,IF(B75=D60,G60,IF(B75=D61,G61,IF(B75=D62,G62,IF(B75=D63,G63,IF(B75=D64,G64,IF(B75=D65,G65,IF(B75=D66,G66,G67)))))))))</f>
        <v>5.4655999999999993</v>
      </c>
      <c r="J67" s="16"/>
      <c r="K67" s="14"/>
      <c r="L67" s="21">
        <f>+Temp!A18</f>
        <v>0.33333333333333331</v>
      </c>
      <c r="M67" s="22">
        <f>+Temp!D18</f>
        <v>13.689895482914046</v>
      </c>
      <c r="N67" s="23">
        <f>+HR!D29</f>
        <v>61.072864874088182</v>
      </c>
      <c r="O67" s="22">
        <f t="shared" si="14"/>
        <v>20.187100000000001</v>
      </c>
      <c r="P67" s="28">
        <f t="shared" si="15"/>
        <v>26.716378166071067</v>
      </c>
      <c r="Q67" s="26">
        <f t="shared" si="16"/>
        <v>111.36360102718623</v>
      </c>
      <c r="R67" s="27">
        <f t="shared" si="17"/>
        <v>34.545641542501187</v>
      </c>
    </row>
    <row r="68" spans="1:18" x14ac:dyDescent="0.25">
      <c r="A68" s="2">
        <f>+K76</f>
        <v>60.847767920011272</v>
      </c>
      <c r="B68" s="11">
        <f>+(H67*A68)+B74+I67</f>
        <v>26.726516532882691</v>
      </c>
      <c r="C68" s="5"/>
      <c r="D68" s="16"/>
      <c r="E68" s="13"/>
      <c r="F68" s="13"/>
      <c r="G68" s="14"/>
      <c r="H68" s="19"/>
      <c r="I68" s="10"/>
      <c r="J68" s="16"/>
      <c r="K68" s="14"/>
      <c r="L68" s="21">
        <f>+Temp!A19</f>
        <v>0.375</v>
      </c>
      <c r="M68" s="22">
        <f>+Temp!D19</f>
        <v>16.579442497388573</v>
      </c>
      <c r="N68" s="23">
        <f>+HR!D30</f>
        <v>54.815235898893647</v>
      </c>
      <c r="O68" s="22">
        <f t="shared" si="14"/>
        <v>20.187100000000001</v>
      </c>
      <c r="P68" s="28">
        <f t="shared" si="15"/>
        <v>26.99822177511383</v>
      </c>
      <c r="Q68" s="26">
        <f t="shared" si="16"/>
        <v>100.16684427717838</v>
      </c>
      <c r="R68" s="27">
        <f t="shared" si="17"/>
        <v>30.942715090537934</v>
      </c>
    </row>
    <row r="69" spans="1:18" x14ac:dyDescent="0.25">
      <c r="A69" s="293" t="s">
        <v>47</v>
      </c>
      <c r="B69" s="292"/>
      <c r="C69" s="9"/>
      <c r="D69" s="16"/>
      <c r="E69" s="13"/>
      <c r="F69" s="13"/>
      <c r="G69" s="14"/>
      <c r="H69" s="291" t="s">
        <v>47</v>
      </c>
      <c r="I69" s="292"/>
      <c r="J69" s="16">
        <f>+I70</f>
        <v>17.393999999999998</v>
      </c>
      <c r="K69" s="14">
        <f>+I64</f>
        <v>18.428000000000001</v>
      </c>
      <c r="L69" s="21">
        <f>+Temp!A20</f>
        <v>0.41666666666666669</v>
      </c>
      <c r="M69" s="22">
        <f>+Temp!D20</f>
        <v>20.25281695156016</v>
      </c>
      <c r="N69" s="23">
        <f>+HR!D31</f>
        <v>46.860143178125526</v>
      </c>
      <c r="O69" s="22">
        <f t="shared" si="14"/>
        <v>20.187100000000001</v>
      </c>
      <c r="P69" s="28">
        <f t="shared" si="15"/>
        <v>27.356519151257224</v>
      </c>
      <c r="Q69" s="26">
        <f t="shared" si="16"/>
        <v>85.932820740263651</v>
      </c>
      <c r="R69" s="27">
        <f t="shared" si="17"/>
        <v>26.362447691321492</v>
      </c>
    </row>
    <row r="70" spans="1:18" x14ac:dyDescent="0.25">
      <c r="A70" s="3">
        <f>+J76</f>
        <v>15.758296343267807</v>
      </c>
      <c r="B70" s="12">
        <f>+(H70*A70)+B74+I70</f>
        <v>28.757346332699218</v>
      </c>
      <c r="C70" s="4"/>
      <c r="D70" s="16"/>
      <c r="E70" s="13"/>
      <c r="F70" s="13"/>
      <c r="G70" s="14"/>
      <c r="H70" s="19">
        <v>-0.80200000000000005</v>
      </c>
      <c r="I70" s="10">
        <v>17.393999999999998</v>
      </c>
      <c r="J70" s="16">
        <f>+H70</f>
        <v>-0.80200000000000005</v>
      </c>
      <c r="K70" s="14">
        <f>+H64</f>
        <v>-0.25807000000000002</v>
      </c>
      <c r="L70" s="21">
        <f>+Temp!A21</f>
        <v>0.45833333333333331</v>
      </c>
      <c r="M70" s="22">
        <f>+Temp!D21</f>
        <v>23.837415047137014</v>
      </c>
      <c r="N70" s="23">
        <f>+HR!D32</f>
        <v>39.097305337126414</v>
      </c>
      <c r="O70" s="22">
        <f t="shared" si="14"/>
        <v>20.187100000000001</v>
      </c>
      <c r="P70" s="28">
        <f t="shared" si="15"/>
        <v>27.706157367615827</v>
      </c>
      <c r="Q70" s="26">
        <f t="shared" si="16"/>
        <v>72.042798282880554</v>
      </c>
      <c r="R70" s="27">
        <f t="shared" si="17"/>
        <v>21.892874006063568</v>
      </c>
    </row>
    <row r="71" spans="1:18" x14ac:dyDescent="0.25">
      <c r="A71" s="3">
        <f>+J66</f>
        <v>26.444389027431416</v>
      </c>
      <c r="B71" s="12">
        <f>+(H70*A71)+B74+I70</f>
        <v>20.187100000000001</v>
      </c>
      <c r="C71" s="4"/>
      <c r="D71" s="16"/>
      <c r="E71" s="13"/>
      <c r="F71" s="13"/>
      <c r="G71" s="14"/>
      <c r="H71" s="19"/>
      <c r="I71" s="10"/>
      <c r="J71" s="16">
        <f>+I67</f>
        <v>5.4655999999999993</v>
      </c>
      <c r="K71" s="14">
        <f>+I67</f>
        <v>5.4655999999999993</v>
      </c>
      <c r="L71" s="21">
        <f>+Temp!A22</f>
        <v>0.5</v>
      </c>
      <c r="M71" s="22">
        <f>+Temp!D22</f>
        <v>26.694529479326512</v>
      </c>
      <c r="N71" s="23">
        <f>+HR!D33</f>
        <v>32.909912653513402</v>
      </c>
      <c r="O71" s="22">
        <f t="shared" si="14"/>
        <v>20.187100000000001</v>
      </c>
      <c r="P71" s="28">
        <f t="shared" si="15"/>
        <v>27.984837534085756</v>
      </c>
      <c r="Q71" s="26">
        <f t="shared" si="16"/>
        <v>60.971715118663489</v>
      </c>
      <c r="R71" s="27">
        <f t="shared" si="17"/>
        <v>18.330387182884646</v>
      </c>
    </row>
    <row r="72" spans="1:18" x14ac:dyDescent="0.25">
      <c r="A72" s="13"/>
      <c r="B72" s="14"/>
      <c r="C72" s="13"/>
      <c r="D72" s="16"/>
      <c r="E72" s="13"/>
      <c r="F72" s="13"/>
      <c r="G72" s="14"/>
      <c r="H72" s="19"/>
      <c r="I72" s="10"/>
      <c r="J72" s="16">
        <f>+H67</f>
        <v>-4.5039999999999997E-2</v>
      </c>
      <c r="K72" s="14">
        <f>+H67</f>
        <v>-4.5039999999999997E-2</v>
      </c>
      <c r="L72" s="21">
        <f>+Temp!A23</f>
        <v>0.54166666666666663</v>
      </c>
      <c r="M72" s="22">
        <f>+Temp!D23</f>
        <v>28.51415726910809</v>
      </c>
      <c r="N72" s="23">
        <f>+HR!D34</f>
        <v>28.969310363822995</v>
      </c>
      <c r="O72" s="22">
        <f t="shared" si="14"/>
        <v>20.187100000000001</v>
      </c>
      <c r="P72" s="28">
        <f t="shared" si="15"/>
        <v>28.162322261213411</v>
      </c>
      <c r="Q72" s="26">
        <f t="shared" si="16"/>
        <v>53.920807265051771</v>
      </c>
      <c r="R72" s="27">
        <f t="shared" si="17"/>
        <v>16.061524602109611</v>
      </c>
    </row>
    <row r="73" spans="1:18" x14ac:dyDescent="0.25">
      <c r="A73" s="293" t="s">
        <v>48</v>
      </c>
      <c r="B73" s="292"/>
      <c r="C73" s="9"/>
      <c r="D73" s="16"/>
      <c r="E73" s="13"/>
      <c r="F73" s="13"/>
      <c r="G73" s="14"/>
      <c r="H73" s="19"/>
      <c r="I73" s="10"/>
      <c r="J73" s="16"/>
      <c r="K73" s="14"/>
      <c r="L73" s="21">
        <f>+Temp!A24</f>
        <v>0.58333333333333337</v>
      </c>
      <c r="M73" s="22">
        <f>+Temp!D24</f>
        <v>29.259809263138557</v>
      </c>
      <c r="N73" s="23">
        <f>+HR!D35</f>
        <v>27.354519706365849</v>
      </c>
      <c r="O73" s="22">
        <f t="shared" si="14"/>
        <v>20.187100000000001</v>
      </c>
      <c r="P73" s="28">
        <f t="shared" si="15"/>
        <v>28.235052432425281</v>
      </c>
      <c r="Q73" s="26">
        <f t="shared" si="16"/>
        <v>51.031467186660372</v>
      </c>
      <c r="R73" s="27">
        <f t="shared" si="17"/>
        <v>15.131783961173866</v>
      </c>
    </row>
    <row r="74" spans="1:18" x14ac:dyDescent="0.25">
      <c r="A74" s="13">
        <v>50</v>
      </c>
      <c r="B74" s="15">
        <f>+Tn!D5</f>
        <v>24.0015</v>
      </c>
      <c r="C74" s="20"/>
      <c r="D74" s="16"/>
      <c r="E74" s="13"/>
      <c r="F74" s="13"/>
      <c r="G74" s="14"/>
      <c r="H74" s="19"/>
      <c r="I74" s="10"/>
      <c r="J74" s="16">
        <f>+J70-J72</f>
        <v>-0.75696000000000008</v>
      </c>
      <c r="K74" s="14">
        <f>+K70-K72</f>
        <v>-0.21303000000000002</v>
      </c>
      <c r="L74" s="21">
        <f>+Temp!A25</f>
        <v>0.625</v>
      </c>
      <c r="M74" s="22">
        <f>+Temp!D25</f>
        <v>29.069307968386937</v>
      </c>
      <c r="N74" s="23">
        <f>+HR!D36</f>
        <v>27.767071021806757</v>
      </c>
      <c r="O74" s="22">
        <f t="shared" si="14"/>
        <v>20.187100000000001</v>
      </c>
      <c r="P74" s="28">
        <f t="shared" si="15"/>
        <v>28.216471121177822</v>
      </c>
      <c r="Q74" s="26">
        <f t="shared" si="16"/>
        <v>51.769644017565241</v>
      </c>
      <c r="R74" s="27">
        <f t="shared" si="17"/>
        <v>15.369316747647208</v>
      </c>
    </row>
    <row r="75" spans="1:18" x14ac:dyDescent="0.25">
      <c r="A75" s="13" t="s">
        <v>52</v>
      </c>
      <c r="B75" s="15">
        <f>+Tn!D7</f>
        <v>3.5</v>
      </c>
      <c r="C75" s="20"/>
      <c r="D75" s="16"/>
      <c r="E75" s="13"/>
      <c r="F75" s="13"/>
      <c r="G75" s="14"/>
      <c r="H75" s="19"/>
      <c r="I75" s="10"/>
      <c r="J75" s="16">
        <f>+J71-J69</f>
        <v>-11.9284</v>
      </c>
      <c r="K75" s="14">
        <f>+K71-K69</f>
        <v>-12.962400000000002</v>
      </c>
      <c r="L75" s="21">
        <f>+Temp!A26</f>
        <v>0.66666666666666663</v>
      </c>
      <c r="M75" s="22">
        <f>+Temp!D26</f>
        <v>28.163129657822715</v>
      </c>
      <c r="N75" s="23">
        <f>+HR!D37</f>
        <v>29.72949891257106</v>
      </c>
      <c r="O75" s="22">
        <f t="shared" si="14"/>
        <v>20.187100000000001</v>
      </c>
      <c r="P75" s="28">
        <f t="shared" si="15"/>
        <v>28.128083368977798</v>
      </c>
      <c r="Q75" s="26">
        <f t="shared" si="16"/>
        <v>55.281010354466943</v>
      </c>
      <c r="R75" s="27">
        <f t="shared" si="17"/>
        <v>16.499214890495367</v>
      </c>
    </row>
    <row r="76" spans="1:18" x14ac:dyDescent="0.25">
      <c r="A76" s="13"/>
      <c r="B76" s="14"/>
      <c r="C76" s="13"/>
      <c r="D76" s="16"/>
      <c r="E76" s="13"/>
      <c r="F76" s="13"/>
      <c r="G76" s="14"/>
      <c r="H76" s="19"/>
      <c r="I76" s="10"/>
      <c r="J76" s="16">
        <f>+J75/J74</f>
        <v>15.758296343267807</v>
      </c>
      <c r="K76" s="14">
        <f>+K75/K74</f>
        <v>60.847767920011272</v>
      </c>
      <c r="L76" s="21">
        <f>+Temp!A27</f>
        <v>0.70833333333333337</v>
      </c>
      <c r="M76" s="22">
        <f>+Temp!D27</f>
        <v>26.778216165095934</v>
      </c>
      <c r="N76" s="23">
        <f>+HR!D38</f>
        <v>32.728680014942206</v>
      </c>
      <c r="O76" s="22">
        <f t="shared" si="14"/>
        <v>20.187100000000001</v>
      </c>
      <c r="P76" s="28">
        <f t="shared" si="15"/>
        <v>27.993000252127</v>
      </c>
      <c r="Q76" s="26">
        <f t="shared" si="16"/>
        <v>60.647436102236085</v>
      </c>
      <c r="R76" s="27">
        <f t="shared" si="17"/>
        <v>18.226039694394096</v>
      </c>
    </row>
    <row r="77" spans="1:18" x14ac:dyDescent="0.25">
      <c r="A77" s="13"/>
      <c r="B77" s="15"/>
      <c r="C77" s="20"/>
      <c r="D77" s="16"/>
      <c r="E77" s="13"/>
      <c r="F77" s="13"/>
      <c r="G77" s="14"/>
      <c r="H77" s="16"/>
      <c r="I77" s="14"/>
      <c r="J77" s="16"/>
      <c r="K77" s="14"/>
      <c r="L77" s="21">
        <f>+Temp!A28</f>
        <v>0.75</v>
      </c>
      <c r="M77" s="22">
        <f>+Temp!D28</f>
        <v>25.128334518228787</v>
      </c>
      <c r="N77" s="23">
        <f>+HR!D39</f>
        <v>36.301678532481489</v>
      </c>
      <c r="O77" s="22">
        <f t="shared" si="14"/>
        <v>20.187100000000001</v>
      </c>
      <c r="P77" s="28">
        <f t="shared" si="15"/>
        <v>27.832072398897033</v>
      </c>
      <c r="Q77" s="26">
        <f t="shared" si="16"/>
        <v>67.040591629291328</v>
      </c>
      <c r="R77" s="27">
        <f t="shared" si="17"/>
        <v>20.283248730388042</v>
      </c>
    </row>
    <row r="78" spans="1:18" x14ac:dyDescent="0.25">
      <c r="A78" s="13"/>
      <c r="B78" s="15"/>
      <c r="C78" s="20"/>
      <c r="D78" s="16"/>
      <c r="E78" s="13"/>
      <c r="F78" s="13"/>
      <c r="G78" s="14"/>
      <c r="H78" s="16"/>
      <c r="I78" s="14"/>
      <c r="J78" s="16"/>
      <c r="K78" s="14"/>
      <c r="L78" s="21">
        <f>+Temp!A29</f>
        <v>0.79166666666666663</v>
      </c>
      <c r="M78" s="22">
        <f>+Temp!D29</f>
        <v>23.385436953132977</v>
      </c>
      <c r="N78" s="23">
        <f>+HR!D40</f>
        <v>40.076113158222611</v>
      </c>
      <c r="O78" s="22">
        <f t="shared" si="14"/>
        <v>20.187100000000001</v>
      </c>
      <c r="P78" s="28">
        <f t="shared" si="15"/>
        <v>27.662071863353653</v>
      </c>
      <c r="Q78" s="26">
        <f t="shared" si="16"/>
        <v>73.794176180365881</v>
      </c>
      <c r="R78" s="27">
        <f t="shared" si="17"/>
        <v>22.45643771429803</v>
      </c>
    </row>
    <row r="79" spans="1:18" x14ac:dyDescent="0.25">
      <c r="A79" s="13"/>
      <c r="B79" s="15"/>
      <c r="C79" s="20"/>
      <c r="D79" s="16"/>
      <c r="E79" s="13"/>
      <c r="F79" s="13"/>
      <c r="G79" s="14"/>
      <c r="H79" s="16"/>
      <c r="I79" s="14"/>
      <c r="J79" s="16"/>
      <c r="K79" s="14"/>
      <c r="L79" s="21">
        <f>+Temp!A30</f>
        <v>0.83333333333333337</v>
      </c>
      <c r="M79" s="22">
        <f>+Temp!D30</f>
        <v>21.675134068695861</v>
      </c>
      <c r="N79" s="23">
        <f>+HR!D41</f>
        <v>43.779960450687852</v>
      </c>
      <c r="O79" s="22">
        <f t="shared" si="14"/>
        <v>20.187100000000001</v>
      </c>
      <c r="P79" s="28">
        <f t="shared" si="15"/>
        <v>27.495250581301018</v>
      </c>
      <c r="Q79" s="26">
        <f t="shared" si="16"/>
        <v>80.421459027799187</v>
      </c>
      <c r="R79" s="27">
        <f t="shared" si="17"/>
        <v>24.588984951750792</v>
      </c>
    </row>
    <row r="80" spans="1:18" x14ac:dyDescent="0.25">
      <c r="A80" s="13"/>
      <c r="B80" s="14"/>
      <c r="C80" s="13"/>
      <c r="D80" s="16"/>
      <c r="E80" s="13"/>
      <c r="F80" s="13"/>
      <c r="G80" s="14"/>
      <c r="H80" s="16"/>
      <c r="I80" s="14"/>
      <c r="J80" s="16"/>
      <c r="K80" s="14"/>
      <c r="L80" s="21">
        <f>+Temp!A31</f>
        <v>0.875</v>
      </c>
      <c r="M80" s="22">
        <f>+Temp!D31</f>
        <v>20.080331685184881</v>
      </c>
      <c r="N80" s="23">
        <f>+HR!D42</f>
        <v>47.233678820652656</v>
      </c>
      <c r="O80" s="22">
        <f t="shared" si="14"/>
        <v>20.187100000000001</v>
      </c>
      <c r="P80" s="28">
        <f t="shared" si="15"/>
        <v>27.339695105917801</v>
      </c>
      <c r="Q80" s="26">
        <f t="shared" si="16"/>
        <v>86.601186944686006</v>
      </c>
      <c r="R80" s="27">
        <f t="shared" si="17"/>
        <v>26.577516602013862</v>
      </c>
    </row>
    <row r="81" spans="1:18" x14ac:dyDescent="0.25">
      <c r="B81" s="14"/>
      <c r="C81" s="25"/>
      <c r="G81" s="14"/>
      <c r="I81" s="14"/>
      <c r="K81" s="14"/>
      <c r="L81" s="21">
        <f>+Temp!A32</f>
        <v>0.91666666666666663</v>
      </c>
      <c r="M81" s="22">
        <f>+Temp!D32</f>
        <v>18.648694177363453</v>
      </c>
      <c r="N81" s="23">
        <f>+HR!D43</f>
        <v>50.334045869896826</v>
      </c>
      <c r="O81" s="22">
        <f t="shared" si="14"/>
        <v>20.187100000000001</v>
      </c>
      <c r="P81" s="28">
        <f t="shared" si="15"/>
        <v>27.200054574019845</v>
      </c>
      <c r="Q81" s="26">
        <f t="shared" si="16"/>
        <v>92.148664403598033</v>
      </c>
      <c r="R81" s="27">
        <f t="shared" si="17"/>
        <v>28.362600776354792</v>
      </c>
    </row>
    <row r="82" spans="1:18" x14ac:dyDescent="0.25">
      <c r="B82" s="14"/>
      <c r="C82" s="25"/>
      <c r="G82" s="14"/>
      <c r="I82" s="14"/>
      <c r="K82" s="14"/>
      <c r="L82" s="21">
        <f>+Temp!A33</f>
        <v>0.95833333333333337</v>
      </c>
      <c r="M82" s="22">
        <f>+Temp!D33</f>
        <v>17.401143109868308</v>
      </c>
      <c r="N82" s="23">
        <f>+HR!D44</f>
        <v>53.035753670076765</v>
      </c>
      <c r="O82" s="22">
        <f t="shared" si="14"/>
        <v>20.187100000000001</v>
      </c>
      <c r="P82" s="28">
        <f t="shared" si="15"/>
        <v>27.078369654699742</v>
      </c>
      <c r="Q82" s="26">
        <f t="shared" si="16"/>
        <v>96.98282206429144</v>
      </c>
      <c r="R82" s="27">
        <f t="shared" si="17"/>
        <v>29.918150735825048</v>
      </c>
    </row>
    <row r="83" spans="1:18" x14ac:dyDescent="0.25">
      <c r="P83" s="7"/>
    </row>
    <row r="84" spans="1:18" x14ac:dyDescent="0.25">
      <c r="P84" s="7"/>
    </row>
    <row r="85" spans="1:18" x14ac:dyDescent="0.25">
      <c r="A85" s="9" t="s">
        <v>42</v>
      </c>
      <c r="B85" s="10" t="s">
        <v>43</v>
      </c>
      <c r="C85" s="9"/>
      <c r="D85" s="16" t="s">
        <v>52</v>
      </c>
      <c r="E85" s="13"/>
      <c r="F85" s="9" t="s">
        <v>44</v>
      </c>
      <c r="G85" s="17" t="s">
        <v>46</v>
      </c>
      <c r="H85" s="16"/>
      <c r="I85" s="14"/>
      <c r="J85" s="16"/>
      <c r="K85" s="14"/>
      <c r="L85" s="291" t="s">
        <v>59</v>
      </c>
      <c r="M85" s="293"/>
      <c r="N85" s="292"/>
      <c r="O85" s="291" t="s">
        <v>72</v>
      </c>
      <c r="P85" s="292"/>
      <c r="Q85" s="291" t="s">
        <v>73</v>
      </c>
      <c r="R85" s="292"/>
    </row>
    <row r="86" spans="1:18" x14ac:dyDescent="0.25">
      <c r="A86" s="9">
        <f>+A102</f>
        <v>50</v>
      </c>
      <c r="B86" s="11">
        <f>+(H95*A86)+B102+I95</f>
        <v>28.377600000000001</v>
      </c>
      <c r="C86" s="5">
        <f>+B86-B102</f>
        <v>3.2135999999999996</v>
      </c>
      <c r="D86" s="16">
        <v>2.5</v>
      </c>
      <c r="E86" s="18">
        <v>1</v>
      </c>
      <c r="F86" s="13">
        <v>-2.98</v>
      </c>
      <c r="G86" s="14">
        <v>4.2699999999999996</v>
      </c>
      <c r="H86" s="291" t="s">
        <v>51</v>
      </c>
      <c r="I86" s="292"/>
      <c r="J86" s="16"/>
      <c r="K86" s="14"/>
      <c r="L86" s="9" t="s">
        <v>56</v>
      </c>
      <c r="M86" s="9" t="s">
        <v>54</v>
      </c>
      <c r="N86" s="10" t="s">
        <v>55</v>
      </c>
      <c r="O86" s="19" t="s">
        <v>68</v>
      </c>
      <c r="P86" s="10" t="s">
        <v>69</v>
      </c>
      <c r="Q86" s="19" t="s">
        <v>70</v>
      </c>
      <c r="R86" s="10" t="s">
        <v>71</v>
      </c>
    </row>
    <row r="87" spans="1:18" x14ac:dyDescent="0.25">
      <c r="A87" s="9">
        <f>+A102</f>
        <v>50</v>
      </c>
      <c r="B87" s="11">
        <f>B102+I89</f>
        <v>21.349600000000002</v>
      </c>
      <c r="C87" s="5">
        <f>+B102-B87</f>
        <v>3.8143999999999991</v>
      </c>
      <c r="D87" s="16">
        <v>3</v>
      </c>
      <c r="E87" s="18">
        <v>1.1399999999999999</v>
      </c>
      <c r="F87" s="13">
        <f t="shared" ref="F87:F95" si="18">$F$86*E87</f>
        <v>-3.3971999999999998</v>
      </c>
      <c r="G87" s="14">
        <f t="shared" ref="G87:G95" si="19">$G$86*E87</f>
        <v>4.867799999999999</v>
      </c>
      <c r="H87" s="19" t="s">
        <v>49</v>
      </c>
      <c r="I87" s="10" t="s">
        <v>50</v>
      </c>
      <c r="J87" s="16"/>
      <c r="K87" s="14"/>
      <c r="L87" s="21">
        <f>+Temp!A10</f>
        <v>0</v>
      </c>
      <c r="M87" s="22">
        <f>+Temp!E10</f>
        <v>19.414906594511965</v>
      </c>
      <c r="N87" s="23">
        <f>+HR!E21</f>
        <v>51.473886603799428</v>
      </c>
      <c r="O87" s="22">
        <f t="shared" ref="O87:O110" si="20">$B$89</f>
        <v>21.349600000000002</v>
      </c>
      <c r="P87" s="28">
        <f t="shared" ref="P87:P110" si="21">+($H$95*N87)+$B$102+$I$95</f>
        <v>28.311216147364874</v>
      </c>
      <c r="Q87" s="26">
        <f t="shared" ref="Q87:Q110" si="22">+(M87-$B$102-$I$92)/$H$92</f>
        <v>93.684246156035314</v>
      </c>
      <c r="R87" s="27">
        <f t="shared" ref="R87:R110" si="23">+(M87-$B$102-$I$98)/$H$98</f>
        <v>28.856724944498794</v>
      </c>
    </row>
    <row r="88" spans="1:18" x14ac:dyDescent="0.25">
      <c r="A88" s="293" t="s">
        <v>44</v>
      </c>
      <c r="B88" s="292"/>
      <c r="C88" s="24">
        <f>+C86+C87</f>
        <v>7.0279999999999987</v>
      </c>
      <c r="D88" s="16">
        <v>3.5</v>
      </c>
      <c r="E88" s="18">
        <v>1.28</v>
      </c>
      <c r="F88" s="13">
        <f t="shared" si="18"/>
        <v>-3.8144</v>
      </c>
      <c r="G88" s="14">
        <f t="shared" si="19"/>
        <v>5.4655999999999993</v>
      </c>
      <c r="H88" s="291" t="s">
        <v>44</v>
      </c>
      <c r="I88" s="292"/>
      <c r="J88" s="16"/>
      <c r="K88" s="14"/>
      <c r="L88" s="21">
        <f>+Temp!A11</f>
        <v>4.1666666666666664E-2</v>
      </c>
      <c r="M88" s="22">
        <f>+Temp!E11</f>
        <v>18.562390847835488</v>
      </c>
      <c r="N88" s="23">
        <f>+HR!E22</f>
        <v>53.094044312995983</v>
      </c>
      <c r="O88" s="22">
        <f t="shared" si="20"/>
        <v>21.349600000000002</v>
      </c>
      <c r="P88" s="28">
        <f t="shared" si="21"/>
        <v>28.23824424414266</v>
      </c>
      <c r="Q88" s="26">
        <f t="shared" si="22"/>
        <v>96.987674476554858</v>
      </c>
      <c r="R88" s="27">
        <f t="shared" si="23"/>
        <v>29.919712159806124</v>
      </c>
    </row>
    <row r="89" spans="1:18" x14ac:dyDescent="0.25">
      <c r="A89" s="2">
        <f>+J94</f>
        <v>26.444389027431416</v>
      </c>
      <c r="B89" s="11">
        <f>B102+I89</f>
        <v>21.349600000000002</v>
      </c>
      <c r="C89" s="5"/>
      <c r="D89" s="16">
        <v>4</v>
      </c>
      <c r="E89" s="18">
        <v>1.42</v>
      </c>
      <c r="F89" s="13">
        <f t="shared" si="18"/>
        <v>-4.2315999999999994</v>
      </c>
      <c r="G89" s="14">
        <f t="shared" si="19"/>
        <v>6.0633999999999988</v>
      </c>
      <c r="H89" s="19">
        <v>0</v>
      </c>
      <c r="I89" s="10">
        <f>+IF(B103=D86,F86,IF(B103=D87,F87,IF(B103=D88,F88,IF(B103=D89,F89,IF(B103=D90,F90,IF(B103=D91,F91,IF(B103=D92,F92,IF(B103=D93,F93,IF(B103=D94,F94,F95)))))))))</f>
        <v>-3.8144</v>
      </c>
      <c r="J89" s="16">
        <f>+I98</f>
        <v>17.393999999999998</v>
      </c>
      <c r="K89" s="14">
        <f>+I92</f>
        <v>18.428000000000001</v>
      </c>
      <c r="L89" s="21">
        <f>+Temp!A12</f>
        <v>8.3333333333333329E-2</v>
      </c>
      <c r="M89" s="22">
        <f>+Temp!E12</f>
        <v>17.868114430740288</v>
      </c>
      <c r="N89" s="23">
        <f>+HR!E23</f>
        <v>54.413477172571078</v>
      </c>
      <c r="O89" s="22">
        <f t="shared" si="20"/>
        <v>21.349600000000002</v>
      </c>
      <c r="P89" s="28">
        <f t="shared" si="21"/>
        <v>28.1788169881474</v>
      </c>
      <c r="Q89" s="26">
        <f t="shared" si="22"/>
        <v>99.677938424689856</v>
      </c>
      <c r="R89" s="27">
        <f t="shared" si="23"/>
        <v>30.785393477879939</v>
      </c>
    </row>
    <row r="90" spans="1:18" x14ac:dyDescent="0.25">
      <c r="A90" s="2">
        <f>+K94</f>
        <v>86.187468516294018</v>
      </c>
      <c r="B90" s="11">
        <f>B102+I89</f>
        <v>21.349600000000002</v>
      </c>
      <c r="C90" s="5"/>
      <c r="D90" s="16">
        <v>4.5</v>
      </c>
      <c r="E90" s="18">
        <v>1.56</v>
      </c>
      <c r="F90" s="13">
        <f t="shared" si="18"/>
        <v>-4.6488000000000005</v>
      </c>
      <c r="G90" s="14">
        <f t="shared" si="19"/>
        <v>6.6611999999999991</v>
      </c>
      <c r="H90" s="19"/>
      <c r="I90" s="10"/>
      <c r="J90" s="16">
        <f>+H98</f>
        <v>-0.80200000000000005</v>
      </c>
      <c r="K90" s="14">
        <f>+H92</f>
        <v>-0.25807000000000002</v>
      </c>
      <c r="L90" s="21">
        <f>+Temp!A13</f>
        <v>0.125</v>
      </c>
      <c r="M90" s="22">
        <f>+Temp!E13</f>
        <v>17.310326795415307</v>
      </c>
      <c r="N90" s="23">
        <f>+HR!E24</f>
        <v>55.473520862074018</v>
      </c>
      <c r="O90" s="22">
        <f t="shared" si="20"/>
        <v>21.349600000000002</v>
      </c>
      <c r="P90" s="28">
        <f t="shared" si="21"/>
        <v>28.131072620372187</v>
      </c>
      <c r="Q90" s="26">
        <f t="shared" si="22"/>
        <v>101.83931958222456</v>
      </c>
      <c r="R90" s="27">
        <f t="shared" si="23"/>
        <v>31.480889282524554</v>
      </c>
    </row>
    <row r="91" spans="1:18" x14ac:dyDescent="0.25">
      <c r="A91" s="294" t="s">
        <v>45</v>
      </c>
      <c r="B91" s="295"/>
      <c r="C91" s="8"/>
      <c r="D91" s="16">
        <v>5</v>
      </c>
      <c r="E91" s="18">
        <v>1.7</v>
      </c>
      <c r="F91" s="13">
        <f t="shared" si="18"/>
        <v>-5.0659999999999998</v>
      </c>
      <c r="G91" s="14">
        <f t="shared" si="19"/>
        <v>7.2589999999999995</v>
      </c>
      <c r="H91" s="296" t="s">
        <v>45</v>
      </c>
      <c r="I91" s="295"/>
      <c r="J91" s="16">
        <f>+I89</f>
        <v>-3.8144</v>
      </c>
      <c r="K91" s="14">
        <f>+I89</f>
        <v>-3.8144</v>
      </c>
      <c r="L91" s="21">
        <f>+Temp!A14</f>
        <v>0.16666666666666666</v>
      </c>
      <c r="M91" s="22">
        <f>+Temp!E14</f>
        <v>16.867482846138248</v>
      </c>
      <c r="N91" s="23">
        <f>+HR!E25</f>
        <v>56.315120611039774</v>
      </c>
      <c r="O91" s="22">
        <f t="shared" si="20"/>
        <v>21.349600000000002</v>
      </c>
      <c r="P91" s="28">
        <f t="shared" si="21"/>
        <v>28.093166967678769</v>
      </c>
      <c r="Q91" s="26">
        <f t="shared" si="22"/>
        <v>103.55530342101659</v>
      </c>
      <c r="R91" s="27">
        <f t="shared" si="23"/>
        <v>32.033063782870009</v>
      </c>
    </row>
    <row r="92" spans="1:18" x14ac:dyDescent="0.25">
      <c r="A92" s="2">
        <f>+K104</f>
        <v>60.847767920011272</v>
      </c>
      <c r="B92" s="11">
        <f>+(H92*A92)+B102+I92</f>
        <v>27.889016532882692</v>
      </c>
      <c r="C92" s="5"/>
      <c r="D92" s="16">
        <v>5.5</v>
      </c>
      <c r="E92" s="18">
        <v>1.84</v>
      </c>
      <c r="F92" s="13">
        <f t="shared" si="18"/>
        <v>-5.4832000000000001</v>
      </c>
      <c r="G92" s="14">
        <f t="shared" si="19"/>
        <v>7.8567999999999998</v>
      </c>
      <c r="H92" s="19">
        <v>-0.25807000000000002</v>
      </c>
      <c r="I92" s="10">
        <v>18.428000000000001</v>
      </c>
      <c r="J92" s="16"/>
      <c r="K92" s="14"/>
      <c r="L92" s="21">
        <f>+Temp!A15</f>
        <v>0.20833333333333334</v>
      </c>
      <c r="M92" s="22">
        <f>+Temp!E15</f>
        <v>16.519562513435957</v>
      </c>
      <c r="N92" s="23">
        <f>+HR!E26</f>
        <v>56.976323423317865</v>
      </c>
      <c r="O92" s="22">
        <f t="shared" si="20"/>
        <v>21.349600000000002</v>
      </c>
      <c r="P92" s="28">
        <f t="shared" si="21"/>
        <v>28.063386393013765</v>
      </c>
      <c r="Q92" s="26">
        <f t="shared" si="22"/>
        <v>104.90346606178186</v>
      </c>
      <c r="R92" s="27">
        <f t="shared" si="23"/>
        <v>32.466879659057405</v>
      </c>
    </row>
    <row r="93" spans="1:18" x14ac:dyDescent="0.25">
      <c r="A93" s="2">
        <f>+K94</f>
        <v>86.187468516294018</v>
      </c>
      <c r="B93" s="11">
        <f>+(H92*A93)+B102+I92</f>
        <v>21.349600000000002</v>
      </c>
      <c r="C93" s="5"/>
      <c r="D93" s="16">
        <v>6</v>
      </c>
      <c r="E93" s="18">
        <v>1.98</v>
      </c>
      <c r="F93" s="13">
        <f t="shared" si="18"/>
        <v>-5.9004000000000003</v>
      </c>
      <c r="G93" s="14">
        <f t="shared" si="19"/>
        <v>8.4545999999999992</v>
      </c>
      <c r="H93" s="19"/>
      <c r="I93" s="10"/>
      <c r="J93" s="16">
        <f>+J91-J89</f>
        <v>-21.208399999999997</v>
      </c>
      <c r="K93" s="14">
        <f>+K91-K89</f>
        <v>-22.2424</v>
      </c>
      <c r="L93" s="21">
        <f>+Temp!A16</f>
        <v>0.25</v>
      </c>
      <c r="M93" s="22">
        <f>+Temp!E16</f>
        <v>15.409783645958523</v>
      </c>
      <c r="N93" s="23">
        <f>+HR!E27</f>
        <v>59.08539506763239</v>
      </c>
      <c r="O93" s="22">
        <f t="shared" si="20"/>
        <v>21.349600000000002</v>
      </c>
      <c r="P93" s="28">
        <f t="shared" si="21"/>
        <v>27.968393806153838</v>
      </c>
      <c r="Q93" s="26">
        <f t="shared" si="22"/>
        <v>109.20376779184515</v>
      </c>
      <c r="R93" s="27">
        <f t="shared" si="23"/>
        <v>33.850643832969418</v>
      </c>
    </row>
    <row r="94" spans="1:18" x14ac:dyDescent="0.25">
      <c r="A94" s="294" t="s">
        <v>46</v>
      </c>
      <c r="B94" s="295"/>
      <c r="C94" s="8"/>
      <c r="D94" s="16">
        <v>6.5</v>
      </c>
      <c r="E94" s="18">
        <v>2.12</v>
      </c>
      <c r="F94" s="13">
        <f t="shared" si="18"/>
        <v>-6.3176000000000005</v>
      </c>
      <c r="G94" s="14">
        <f t="shared" si="19"/>
        <v>9.0523999999999987</v>
      </c>
      <c r="H94" s="296" t="s">
        <v>46</v>
      </c>
      <c r="I94" s="295"/>
      <c r="J94" s="16">
        <f>+J93/J90</f>
        <v>26.444389027431416</v>
      </c>
      <c r="K94" s="14">
        <f>+K93/K90</f>
        <v>86.187468516294018</v>
      </c>
      <c r="L94" s="21">
        <f>+Temp!A17</f>
        <v>0.29166666666666669</v>
      </c>
      <c r="M94" s="22">
        <f>+Temp!E17</f>
        <v>16.059049902602084</v>
      </c>
      <c r="N94" s="23">
        <f>+HR!E28</f>
        <v>57.851501459070761</v>
      </c>
      <c r="O94" s="22">
        <f t="shared" si="20"/>
        <v>21.349600000000002</v>
      </c>
      <c r="P94" s="28">
        <f t="shared" si="21"/>
        <v>28.023968374283452</v>
      </c>
      <c r="Q94" s="26">
        <f t="shared" si="22"/>
        <v>106.68791450923361</v>
      </c>
      <c r="R94" s="27">
        <f t="shared" si="23"/>
        <v>33.04108490947371</v>
      </c>
    </row>
    <row r="95" spans="1:18" x14ac:dyDescent="0.25">
      <c r="A95" s="2">
        <f>+J104</f>
        <v>15.758296343267807</v>
      </c>
      <c r="B95" s="11">
        <f>+(H95*A95)+B102+I95</f>
        <v>29.919846332699219</v>
      </c>
      <c r="C95" s="5"/>
      <c r="D95" s="16">
        <v>7</v>
      </c>
      <c r="E95" s="18">
        <v>2.2599999999999998</v>
      </c>
      <c r="F95" s="13">
        <f t="shared" si="18"/>
        <v>-6.734799999999999</v>
      </c>
      <c r="G95" s="14">
        <f t="shared" si="19"/>
        <v>9.6501999999999981</v>
      </c>
      <c r="H95" s="19">
        <v>-4.5039999999999997E-2</v>
      </c>
      <c r="I95" s="10">
        <f>+IF(B103=D86,G86,IF(B103=D87,G87,IF(B103=D88,G88,IF(B103=D89,G89,IF(B103=D90,G90,IF(B103=D91,G91,IF(B103=D92,G92,IF(B103=D93,G93,IF(B103=D94,G94,G95)))))))))</f>
        <v>5.4655999999999993</v>
      </c>
      <c r="J95" s="16"/>
      <c r="K95" s="14"/>
      <c r="L95" s="21">
        <f>+Temp!A18</f>
        <v>0.33333333333333331</v>
      </c>
      <c r="M95" s="22">
        <f>+Temp!E18</f>
        <v>18.302501358325934</v>
      </c>
      <c r="N95" s="23">
        <f>+HR!E29</f>
        <v>53.587949512529903</v>
      </c>
      <c r="O95" s="22">
        <f t="shared" si="20"/>
        <v>21.349600000000002</v>
      </c>
      <c r="P95" s="28">
        <f t="shared" si="21"/>
        <v>28.215998753955652</v>
      </c>
      <c r="Q95" s="26">
        <f t="shared" si="22"/>
        <v>97.994724848583971</v>
      </c>
      <c r="R95" s="27">
        <f t="shared" si="23"/>
        <v>30.243763892361677</v>
      </c>
    </row>
    <row r="96" spans="1:18" x14ac:dyDescent="0.25">
      <c r="A96" s="2">
        <f>+K104</f>
        <v>60.847767920011272</v>
      </c>
      <c r="B96" s="11">
        <f>+(H95*A96)+B102+I95</f>
        <v>27.889016532882692</v>
      </c>
      <c r="C96" s="5"/>
      <c r="D96" s="16"/>
      <c r="E96" s="13"/>
      <c r="F96" s="13"/>
      <c r="G96" s="14"/>
      <c r="H96" s="19"/>
      <c r="I96" s="10"/>
      <c r="J96" s="16"/>
      <c r="K96" s="14"/>
      <c r="L96" s="21">
        <f>+Temp!A19</f>
        <v>0.375</v>
      </c>
      <c r="M96" s="22">
        <f>+Temp!E19</f>
        <v>21.838870584410962</v>
      </c>
      <c r="N96" s="23">
        <f>+HR!E30</f>
        <v>46.867280848586276</v>
      </c>
      <c r="O96" s="22">
        <f t="shared" si="20"/>
        <v>21.349600000000002</v>
      </c>
      <c r="P96" s="28">
        <f t="shared" si="21"/>
        <v>28.518697670579673</v>
      </c>
      <c r="Q96" s="26">
        <f t="shared" si="22"/>
        <v>84.291585289220123</v>
      </c>
      <c r="R96" s="27">
        <f t="shared" si="23"/>
        <v>25.834325954599795</v>
      </c>
    </row>
    <row r="97" spans="1:18" x14ac:dyDescent="0.25">
      <c r="A97" s="293" t="s">
        <v>47</v>
      </c>
      <c r="B97" s="292"/>
      <c r="C97" s="9"/>
      <c r="D97" s="16"/>
      <c r="E97" s="13"/>
      <c r="F97" s="13"/>
      <c r="G97" s="14"/>
      <c r="H97" s="291" t="s">
        <v>47</v>
      </c>
      <c r="I97" s="292"/>
      <c r="J97" s="16">
        <f>+I98</f>
        <v>17.393999999999998</v>
      </c>
      <c r="K97" s="14">
        <f>+I92</f>
        <v>18.428000000000001</v>
      </c>
      <c r="L97" s="21">
        <f>+Temp!A20</f>
        <v>0.41666666666666669</v>
      </c>
      <c r="M97" s="22">
        <f>+Temp!E20</f>
        <v>25.767270822657679</v>
      </c>
      <c r="N97" s="23">
        <f>+HR!E31</f>
        <v>39.401579533839389</v>
      </c>
      <c r="O97" s="22">
        <f t="shared" si="20"/>
        <v>21.349600000000002</v>
      </c>
      <c r="P97" s="28">
        <f t="shared" si="21"/>
        <v>28.854952857795872</v>
      </c>
      <c r="Q97" s="26">
        <f t="shared" si="22"/>
        <v>69.069357838347429</v>
      </c>
      <c r="R97" s="27">
        <f t="shared" si="23"/>
        <v>20.936071293444289</v>
      </c>
    </row>
    <row r="98" spans="1:18" x14ac:dyDescent="0.25">
      <c r="A98" s="3">
        <f>+J104</f>
        <v>15.758296343267807</v>
      </c>
      <c r="B98" s="12">
        <f>+(H98*A98)+B102+I98</f>
        <v>29.919846332699219</v>
      </c>
      <c r="C98" s="4"/>
      <c r="D98" s="16"/>
      <c r="E98" s="13"/>
      <c r="F98" s="13"/>
      <c r="G98" s="14"/>
      <c r="H98" s="19">
        <v>-0.80200000000000005</v>
      </c>
      <c r="I98" s="10">
        <v>17.393999999999998</v>
      </c>
      <c r="J98" s="16">
        <f>+H98</f>
        <v>-0.80200000000000005</v>
      </c>
      <c r="K98" s="14">
        <f>+H92</f>
        <v>-0.25807000000000002</v>
      </c>
      <c r="L98" s="21">
        <f>+Temp!A21</f>
        <v>0.45833333333333331</v>
      </c>
      <c r="M98" s="22">
        <f>+Temp!E21</f>
        <v>29.252777164892894</v>
      </c>
      <c r="N98" s="23">
        <f>+HR!E32</f>
        <v>32.777572888987493</v>
      </c>
      <c r="O98" s="22">
        <f t="shared" si="20"/>
        <v>21.349600000000002</v>
      </c>
      <c r="P98" s="28">
        <f t="shared" si="21"/>
        <v>29.153298117080002</v>
      </c>
      <c r="Q98" s="26">
        <f t="shared" si="22"/>
        <v>55.563307765750018</v>
      </c>
      <c r="R98" s="27">
        <f t="shared" si="23"/>
        <v>16.590053410357985</v>
      </c>
    </row>
    <row r="99" spans="1:18" x14ac:dyDescent="0.25">
      <c r="A99" s="3">
        <f>+J94</f>
        <v>26.444389027431416</v>
      </c>
      <c r="B99" s="12">
        <f>+(H98*A99)+B102+I98</f>
        <v>21.349600000000002</v>
      </c>
      <c r="C99" s="4"/>
      <c r="D99" s="16"/>
      <c r="E99" s="13"/>
      <c r="F99" s="13"/>
      <c r="G99" s="14"/>
      <c r="H99" s="19"/>
      <c r="I99" s="10"/>
      <c r="J99" s="16">
        <f>+I95</f>
        <v>5.4655999999999993</v>
      </c>
      <c r="K99" s="14">
        <f>+I95</f>
        <v>5.4655999999999993</v>
      </c>
      <c r="L99" s="21">
        <f>+Temp!A22</f>
        <v>0.5</v>
      </c>
      <c r="M99" s="22">
        <f>+Temp!E22</f>
        <v>31.781809281338454</v>
      </c>
      <c r="N99" s="23">
        <f>+HR!E33</f>
        <v>27.971291132622596</v>
      </c>
      <c r="O99" s="22">
        <f t="shared" si="20"/>
        <v>21.349600000000002</v>
      </c>
      <c r="P99" s="28">
        <f t="shared" si="21"/>
        <v>29.36977304738668</v>
      </c>
      <c r="Q99" s="26">
        <f t="shared" si="22"/>
        <v>45.763516560086593</v>
      </c>
      <c r="R99" s="27">
        <f t="shared" si="23"/>
        <v>13.436646781373497</v>
      </c>
    </row>
    <row r="100" spans="1:18" x14ac:dyDescent="0.25">
      <c r="A100" s="13"/>
      <c r="B100" s="14"/>
      <c r="C100" s="13"/>
      <c r="D100" s="16"/>
      <c r="E100" s="13"/>
      <c r="F100" s="13"/>
      <c r="G100" s="14"/>
      <c r="H100" s="19"/>
      <c r="I100" s="10"/>
      <c r="J100" s="16">
        <f>+H95</f>
        <v>-4.5039999999999997E-2</v>
      </c>
      <c r="K100" s="14">
        <f>+H95</f>
        <v>-4.5039999999999997E-2</v>
      </c>
      <c r="L100" s="21">
        <f>+Temp!A23</f>
        <v>0.54166666666666663</v>
      </c>
      <c r="M100" s="22">
        <f>+Temp!E23</f>
        <v>33.171524634462941</v>
      </c>
      <c r="N100" s="23">
        <f>+HR!E34</f>
        <v>25.330216112329868</v>
      </c>
      <c r="O100" s="22">
        <f t="shared" si="20"/>
        <v>21.349600000000002</v>
      </c>
      <c r="P100" s="28">
        <f t="shared" si="21"/>
        <v>29.488727066300662</v>
      </c>
      <c r="Q100" s="26">
        <f t="shared" si="22"/>
        <v>40.378483998671136</v>
      </c>
      <c r="R100" s="27">
        <f t="shared" si="23"/>
        <v>11.703834620370397</v>
      </c>
    </row>
    <row r="101" spans="1:18" x14ac:dyDescent="0.25">
      <c r="A101" s="293" t="s">
        <v>48</v>
      </c>
      <c r="B101" s="292"/>
      <c r="C101" s="9"/>
      <c r="D101" s="16"/>
      <c r="E101" s="13"/>
      <c r="F101" s="13"/>
      <c r="G101" s="14"/>
      <c r="H101" s="19"/>
      <c r="I101" s="10"/>
      <c r="J101" s="16"/>
      <c r="K101" s="14"/>
      <c r="L101" s="21">
        <f>+Temp!A24</f>
        <v>0.58333333333333337</v>
      </c>
      <c r="M101" s="22">
        <f>+Temp!E24</f>
        <v>33.480641070469581</v>
      </c>
      <c r="N101" s="23">
        <f>+HR!E35</f>
        <v>24.742757899636501</v>
      </c>
      <c r="O101" s="22">
        <f t="shared" si="20"/>
        <v>21.349600000000002</v>
      </c>
      <c r="P101" s="28">
        <f t="shared" si="21"/>
        <v>29.51518618420037</v>
      </c>
      <c r="Q101" s="26">
        <f t="shared" si="22"/>
        <v>39.180683262411051</v>
      </c>
      <c r="R101" s="27">
        <f t="shared" si="23"/>
        <v>11.318402655274836</v>
      </c>
    </row>
    <row r="102" spans="1:18" x14ac:dyDescent="0.25">
      <c r="A102" s="13">
        <v>50</v>
      </c>
      <c r="B102" s="15">
        <f>+Tn!E5</f>
        <v>25.164000000000001</v>
      </c>
      <c r="C102" s="20"/>
      <c r="D102" s="16"/>
      <c r="E102" s="13"/>
      <c r="F102" s="13"/>
      <c r="G102" s="14"/>
      <c r="H102" s="19"/>
      <c r="I102" s="10"/>
      <c r="J102" s="16">
        <f>+J98-J100</f>
        <v>-0.75696000000000008</v>
      </c>
      <c r="K102" s="14">
        <f>+K98-K100</f>
        <v>-0.21303000000000002</v>
      </c>
      <c r="L102" s="21">
        <f>+Temp!A25</f>
        <v>0.625</v>
      </c>
      <c r="M102" s="22">
        <f>+Temp!E25</f>
        <v>32.904539735649685</v>
      </c>
      <c r="N102" s="23">
        <f>+HR!E36</f>
        <v>25.837605733856133</v>
      </c>
      <c r="O102" s="22">
        <f t="shared" si="20"/>
        <v>21.349600000000002</v>
      </c>
      <c r="P102" s="28">
        <f t="shared" si="21"/>
        <v>29.465874237747119</v>
      </c>
      <c r="Q102" s="26">
        <f t="shared" si="22"/>
        <v>41.413028497501905</v>
      </c>
      <c r="R102" s="27">
        <f t="shared" si="23"/>
        <v>12.036733496696153</v>
      </c>
    </row>
    <row r="103" spans="1:18" x14ac:dyDescent="0.25">
      <c r="A103" s="13" t="s">
        <v>52</v>
      </c>
      <c r="B103" s="15">
        <f>+Tn!E7</f>
        <v>3.5</v>
      </c>
      <c r="C103" s="20"/>
      <c r="D103" s="16"/>
      <c r="E103" s="13"/>
      <c r="F103" s="13"/>
      <c r="G103" s="14"/>
      <c r="H103" s="19"/>
      <c r="I103" s="10"/>
      <c r="J103" s="16">
        <f>+J99-J97</f>
        <v>-11.9284</v>
      </c>
      <c r="K103" s="14">
        <f>+K99-K97</f>
        <v>-12.962400000000002</v>
      </c>
      <c r="L103" s="21">
        <f>+Temp!A26</f>
        <v>0.66666666666666663</v>
      </c>
      <c r="M103" s="22">
        <f>+Temp!E26</f>
        <v>31.690095963172425</v>
      </c>
      <c r="N103" s="23">
        <f>+HR!E37</f>
        <v>28.145587079696845</v>
      </c>
      <c r="O103" s="22">
        <f t="shared" si="20"/>
        <v>21.349600000000002</v>
      </c>
      <c r="P103" s="28">
        <f t="shared" si="21"/>
        <v>29.361922757930454</v>
      </c>
      <c r="Q103" s="26">
        <f t="shared" si="22"/>
        <v>46.11889811612189</v>
      </c>
      <c r="R103" s="27">
        <f t="shared" si="23"/>
        <v>13.551002539685255</v>
      </c>
    </row>
    <row r="104" spans="1:18" x14ac:dyDescent="0.25">
      <c r="A104" s="13"/>
      <c r="B104" s="14"/>
      <c r="C104" s="13"/>
      <c r="D104" s="16"/>
      <c r="E104" s="13"/>
      <c r="F104" s="13"/>
      <c r="G104" s="14"/>
      <c r="H104" s="19"/>
      <c r="I104" s="10"/>
      <c r="J104" s="16">
        <f>+J103/J102</f>
        <v>15.758296343267807</v>
      </c>
      <c r="K104" s="14">
        <f>+K103/K102</f>
        <v>60.847767920011272</v>
      </c>
      <c r="L104" s="21">
        <f>+Temp!A27</f>
        <v>0.70833333333333337</v>
      </c>
      <c r="M104" s="22">
        <f>+Temp!E27</f>
        <v>30.079244307015934</v>
      </c>
      <c r="N104" s="23">
        <f>+HR!E38</f>
        <v>31.206919071825304</v>
      </c>
      <c r="O104" s="22">
        <f t="shared" si="20"/>
        <v>21.349600000000002</v>
      </c>
      <c r="P104" s="28">
        <f t="shared" si="21"/>
        <v>29.224040365004988</v>
      </c>
      <c r="Q104" s="26">
        <f t="shared" si="22"/>
        <v>52.360815642980846</v>
      </c>
      <c r="R104" s="27">
        <f t="shared" si="23"/>
        <v>15.559545751850456</v>
      </c>
    </row>
    <row r="105" spans="1:18" x14ac:dyDescent="0.25">
      <c r="A105" s="13"/>
      <c r="B105" s="15"/>
      <c r="C105" s="20"/>
      <c r="D105" s="16"/>
      <c r="E105" s="13"/>
      <c r="F105" s="13"/>
      <c r="G105" s="14"/>
      <c r="H105" s="16"/>
      <c r="I105" s="14"/>
      <c r="J105" s="16"/>
      <c r="K105" s="14"/>
      <c r="L105" s="21">
        <f>+Temp!A28</f>
        <v>0.75</v>
      </c>
      <c r="M105" s="22">
        <f>+Temp!E28</f>
        <v>28.278253202085185</v>
      </c>
      <c r="N105" s="23">
        <f>+HR!E39</f>
        <v>34.629600276510764</v>
      </c>
      <c r="O105" s="22">
        <f t="shared" si="20"/>
        <v>21.349600000000002</v>
      </c>
      <c r="P105" s="28">
        <f t="shared" si="21"/>
        <v>29.069882803545955</v>
      </c>
      <c r="Q105" s="26">
        <f t="shared" si="22"/>
        <v>59.339507877377514</v>
      </c>
      <c r="R105" s="27">
        <f t="shared" si="23"/>
        <v>17.805170570966101</v>
      </c>
    </row>
    <row r="106" spans="1:18" x14ac:dyDescent="0.25">
      <c r="A106" s="13"/>
      <c r="B106" s="15"/>
      <c r="C106" s="20"/>
      <c r="D106" s="16"/>
      <c r="E106" s="13"/>
      <c r="F106" s="13"/>
      <c r="G106" s="14"/>
      <c r="H106" s="16"/>
      <c r="I106" s="14"/>
      <c r="J106" s="16"/>
      <c r="K106" s="14"/>
      <c r="L106" s="21">
        <f>+Temp!A29</f>
        <v>0.79166666666666663</v>
      </c>
      <c r="M106" s="22">
        <f>+Temp!E29</f>
        <v>26.445767367637487</v>
      </c>
      <c r="N106" s="23">
        <f>+HR!E40</f>
        <v>38.112135424099769</v>
      </c>
      <c r="O106" s="22">
        <f t="shared" si="20"/>
        <v>21.349600000000002</v>
      </c>
      <c r="P106" s="28">
        <f t="shared" si="21"/>
        <v>28.913029420498546</v>
      </c>
      <c r="Q106" s="26">
        <f t="shared" si="22"/>
        <v>66.440239595313344</v>
      </c>
      <c r="R106" s="27">
        <f t="shared" si="23"/>
        <v>20.090065626387172</v>
      </c>
    </row>
    <row r="107" spans="1:18" x14ac:dyDescent="0.25">
      <c r="A107" s="13"/>
      <c r="B107" s="15"/>
      <c r="C107" s="20"/>
      <c r="D107" s="16"/>
      <c r="E107" s="13"/>
      <c r="F107" s="13"/>
      <c r="G107" s="14"/>
      <c r="H107" s="16"/>
      <c r="I107" s="14"/>
      <c r="J107" s="16"/>
      <c r="K107" s="14"/>
      <c r="L107" s="21">
        <f>+Temp!A30</f>
        <v>0.83333333333333337</v>
      </c>
      <c r="M107" s="22">
        <f>+Temp!E30</f>
        <v>24.692651011606731</v>
      </c>
      <c r="N107" s="23">
        <f>+HR!E41</f>
        <v>41.4438333902837</v>
      </c>
      <c r="O107" s="22">
        <f t="shared" si="20"/>
        <v>21.349600000000002</v>
      </c>
      <c r="P107" s="28">
        <f t="shared" si="21"/>
        <v>28.762969744101621</v>
      </c>
      <c r="Q107" s="26">
        <f t="shared" si="22"/>
        <v>73.233421119825124</v>
      </c>
      <c r="R107" s="27">
        <f t="shared" si="23"/>
        <v>22.275996244879387</v>
      </c>
    </row>
    <row r="108" spans="1:18" x14ac:dyDescent="0.25">
      <c r="A108" s="13"/>
      <c r="B108" s="14"/>
      <c r="C108" s="13"/>
      <c r="D108" s="16"/>
      <c r="E108" s="13"/>
      <c r="F108" s="13"/>
      <c r="G108" s="14"/>
      <c r="H108" s="16"/>
      <c r="I108" s="14"/>
      <c r="J108" s="16"/>
      <c r="K108" s="14"/>
      <c r="L108" s="21">
        <f>+Temp!A31</f>
        <v>0.875</v>
      </c>
      <c r="M108" s="22">
        <f>+Temp!E31</f>
        <v>23.088119680050543</v>
      </c>
      <c r="N108" s="23">
        <f>+HR!E42</f>
        <v>44.49315396483339</v>
      </c>
      <c r="O108" s="22">
        <f t="shared" si="20"/>
        <v>21.349600000000002</v>
      </c>
      <c r="P108" s="28">
        <f t="shared" si="21"/>
        <v>28.625628345423905</v>
      </c>
      <c r="Q108" s="26">
        <f t="shared" si="22"/>
        <v>79.450847909286082</v>
      </c>
      <c r="R108" s="27">
        <f t="shared" si="23"/>
        <v>24.276658753054186</v>
      </c>
    </row>
    <row r="109" spans="1:18" x14ac:dyDescent="0.25">
      <c r="B109" s="14"/>
      <c r="C109" s="25"/>
      <c r="G109" s="14"/>
      <c r="I109" s="14"/>
      <c r="K109" s="14"/>
      <c r="L109" s="21">
        <f>+Temp!A32</f>
        <v>0.91666666666666663</v>
      </c>
      <c r="M109" s="22">
        <f>+Temp!E32</f>
        <v>21.668372998063731</v>
      </c>
      <c r="N109" s="23">
        <f>+HR!E43</f>
        <v>47.191301818283037</v>
      </c>
      <c r="O109" s="22">
        <f t="shared" si="20"/>
        <v>21.349600000000002</v>
      </c>
      <c r="P109" s="28">
        <f t="shared" si="21"/>
        <v>28.504103766104532</v>
      </c>
      <c r="Q109" s="26">
        <f t="shared" si="22"/>
        <v>84.95224939720336</v>
      </c>
      <c r="R109" s="27">
        <f t="shared" si="23"/>
        <v>26.046916461267166</v>
      </c>
    </row>
    <row r="110" spans="1:18" x14ac:dyDescent="0.25">
      <c r="B110" s="14"/>
      <c r="C110" s="25"/>
      <c r="G110" s="14"/>
      <c r="I110" s="14"/>
      <c r="K110" s="14"/>
      <c r="L110" s="21">
        <f>+Temp!A33</f>
        <v>0.95833333333333337</v>
      </c>
      <c r="M110" s="22">
        <f>+Temp!E33</f>
        <v>20.445423082926595</v>
      </c>
      <c r="N110" s="23">
        <f>+HR!E44</f>
        <v>49.515448604656257</v>
      </c>
      <c r="O110" s="22">
        <f t="shared" si="20"/>
        <v>21.349600000000002</v>
      </c>
      <c r="P110" s="28">
        <f t="shared" si="21"/>
        <v>28.399424194846283</v>
      </c>
      <c r="Q110" s="26">
        <f t="shared" si="22"/>
        <v>89.691079618217557</v>
      </c>
      <c r="R110" s="27">
        <f t="shared" si="23"/>
        <v>27.571791667173819</v>
      </c>
    </row>
    <row r="111" spans="1:18" x14ac:dyDescent="0.25">
      <c r="P111" s="7"/>
    </row>
    <row r="112" spans="1:18" x14ac:dyDescent="0.25">
      <c r="P112" s="7"/>
    </row>
    <row r="113" spans="1:18" x14ac:dyDescent="0.25">
      <c r="A113" s="9" t="s">
        <v>42</v>
      </c>
      <c r="B113" s="10" t="s">
        <v>43</v>
      </c>
      <c r="C113" s="9"/>
      <c r="D113" s="16" t="s">
        <v>52</v>
      </c>
      <c r="E113" s="13"/>
      <c r="F113" s="9" t="s">
        <v>44</v>
      </c>
      <c r="G113" s="17" t="s">
        <v>46</v>
      </c>
      <c r="H113" s="16"/>
      <c r="I113" s="14"/>
      <c r="J113" s="16"/>
      <c r="K113" s="14"/>
      <c r="L113" s="291" t="s">
        <v>60</v>
      </c>
      <c r="M113" s="293"/>
      <c r="N113" s="292"/>
      <c r="O113" s="291" t="s">
        <v>72</v>
      </c>
      <c r="P113" s="292"/>
      <c r="Q113" s="291" t="s">
        <v>73</v>
      </c>
      <c r="R113" s="292"/>
    </row>
    <row r="114" spans="1:18" x14ac:dyDescent="0.25">
      <c r="A114" s="9">
        <f>+A130</f>
        <v>50</v>
      </c>
      <c r="B114" s="11">
        <f>+(H123*A114)+B130+I123</f>
        <v>29.431600000000003</v>
      </c>
      <c r="C114" s="5">
        <f>+B114-B130</f>
        <v>3.2135999999999996</v>
      </c>
      <c r="D114" s="16">
        <v>2.5</v>
      </c>
      <c r="E114" s="18">
        <v>1</v>
      </c>
      <c r="F114" s="13">
        <v>-2.98</v>
      </c>
      <c r="G114" s="14">
        <v>4.2699999999999996</v>
      </c>
      <c r="H114" s="291" t="s">
        <v>51</v>
      </c>
      <c r="I114" s="292"/>
      <c r="J114" s="16"/>
      <c r="K114" s="14"/>
      <c r="L114" s="9" t="s">
        <v>56</v>
      </c>
      <c r="M114" s="9" t="s">
        <v>54</v>
      </c>
      <c r="N114" s="10" t="s">
        <v>55</v>
      </c>
      <c r="O114" s="19" t="s">
        <v>68</v>
      </c>
      <c r="P114" s="10" t="s">
        <v>69</v>
      </c>
      <c r="Q114" s="19" t="s">
        <v>70</v>
      </c>
      <c r="R114" s="10" t="s">
        <v>71</v>
      </c>
    </row>
    <row r="115" spans="1:18" x14ac:dyDescent="0.25">
      <c r="A115" s="9">
        <f>+A130</f>
        <v>50</v>
      </c>
      <c r="B115" s="11">
        <f>B130+I117</f>
        <v>22.403600000000004</v>
      </c>
      <c r="C115" s="5">
        <f>+B130-B115</f>
        <v>3.8143999999999991</v>
      </c>
      <c r="D115" s="16">
        <v>3</v>
      </c>
      <c r="E115" s="18">
        <v>1.1399999999999999</v>
      </c>
      <c r="F115" s="13">
        <f t="shared" ref="F115:F123" si="24">$F$114*E115</f>
        <v>-3.3971999999999998</v>
      </c>
      <c r="G115" s="14">
        <f t="shared" ref="G115:G123" si="25">$G$114*E115</f>
        <v>4.867799999999999</v>
      </c>
      <c r="H115" s="19" t="s">
        <v>49</v>
      </c>
      <c r="I115" s="10" t="s">
        <v>50</v>
      </c>
      <c r="J115" s="16"/>
      <c r="K115" s="14"/>
      <c r="L115" s="21">
        <f>+Temp!A10</f>
        <v>0</v>
      </c>
      <c r="M115" s="22">
        <f>+Temp!F10</f>
        <v>22.238704829018218</v>
      </c>
      <c r="N115" s="23">
        <f>+HR!F21</f>
        <v>50.950064321293056</v>
      </c>
      <c r="O115" s="22">
        <f t="shared" ref="O115:O138" si="26">$B$117</f>
        <v>22.403600000000004</v>
      </c>
      <c r="P115" s="28">
        <f t="shared" ref="P115:P138" si="27">+($H$123*N115)+$B$130+$I$123</f>
        <v>29.388809102968963</v>
      </c>
      <c r="Q115" s="26">
        <f t="shared" ref="Q115:Q138" si="28">+(M115-$B$130-$I$120)/$H$120</f>
        <v>86.826423726050237</v>
      </c>
      <c r="R115" s="27">
        <f t="shared" ref="R115:R138" si="29">+(M115-$B$130-$I$126)/$H$126</f>
        <v>26.649993978780277</v>
      </c>
    </row>
    <row r="116" spans="1:18" x14ac:dyDescent="0.25">
      <c r="A116" s="293" t="s">
        <v>44</v>
      </c>
      <c r="B116" s="292"/>
      <c r="C116" s="24">
        <f>+C114+C115</f>
        <v>7.0279999999999987</v>
      </c>
      <c r="D116" s="16">
        <v>3.5</v>
      </c>
      <c r="E116" s="18">
        <v>1.28</v>
      </c>
      <c r="F116" s="13">
        <f t="shared" si="24"/>
        <v>-3.8144</v>
      </c>
      <c r="G116" s="14">
        <f t="shared" si="25"/>
        <v>5.4655999999999993</v>
      </c>
      <c r="H116" s="291" t="s">
        <v>44</v>
      </c>
      <c r="I116" s="292"/>
      <c r="J116" s="16"/>
      <c r="K116" s="14"/>
      <c r="L116" s="21">
        <f>+Temp!A11</f>
        <v>4.1666666666666664E-2</v>
      </c>
      <c r="M116" s="22">
        <f>+Temp!F11</f>
        <v>21.412866122799013</v>
      </c>
      <c r="N116" s="23">
        <f>+HR!F22</f>
        <v>52.427624492666567</v>
      </c>
      <c r="O116" s="22">
        <f t="shared" si="26"/>
        <v>22.403600000000004</v>
      </c>
      <c r="P116" s="28">
        <f t="shared" si="27"/>
        <v>29.3222597928503</v>
      </c>
      <c r="Q116" s="26">
        <f t="shared" si="28"/>
        <v>90.026480711438722</v>
      </c>
      <c r="R116" s="27">
        <f t="shared" si="29"/>
        <v>27.679718051372802</v>
      </c>
    </row>
    <row r="117" spans="1:18" x14ac:dyDescent="0.25">
      <c r="A117" s="2">
        <f>+J122</f>
        <v>26.444389027431416</v>
      </c>
      <c r="B117" s="11">
        <f>B130+I117</f>
        <v>22.403600000000004</v>
      </c>
      <c r="C117" s="5"/>
      <c r="D117" s="16">
        <v>4</v>
      </c>
      <c r="E117" s="18">
        <v>1.42</v>
      </c>
      <c r="F117" s="13">
        <f t="shared" si="24"/>
        <v>-4.2315999999999994</v>
      </c>
      <c r="G117" s="14">
        <f t="shared" si="25"/>
        <v>6.0633999999999988</v>
      </c>
      <c r="H117" s="19">
        <v>0</v>
      </c>
      <c r="I117" s="10">
        <f>+IF(B131=D114,F114,IF(B131=D115,F115,IF(B131=D116,F116,IF(B131=D117,F117,IF(B131=D118,F118,IF(B131=D119,F119,IF(B131=D120,F120,IF(B131=D121,F121,IF(B131=D122,F122,F123)))))))))</f>
        <v>-3.8144</v>
      </c>
      <c r="J117" s="16">
        <f>+I126</f>
        <v>17.393999999999998</v>
      </c>
      <c r="K117" s="14">
        <f>+I120</f>
        <v>18.428000000000001</v>
      </c>
      <c r="L117" s="21">
        <f>+Temp!A12</f>
        <v>8.3333333333333329E-2</v>
      </c>
      <c r="M117" s="22">
        <f>+Temp!F12</f>
        <v>20.743878301026687</v>
      </c>
      <c r="N117" s="23">
        <f>+HR!F23</f>
        <v>53.624552843373273</v>
      </c>
      <c r="O117" s="22">
        <f t="shared" si="26"/>
        <v>22.403600000000004</v>
      </c>
      <c r="P117" s="28">
        <f t="shared" si="27"/>
        <v>29.268350139934469</v>
      </c>
      <c r="Q117" s="26">
        <f t="shared" si="28"/>
        <v>92.618753435011101</v>
      </c>
      <c r="R117" s="27">
        <f t="shared" si="29"/>
        <v>28.513867455078945</v>
      </c>
    </row>
    <row r="118" spans="1:18" x14ac:dyDescent="0.25">
      <c r="A118" s="2">
        <f>+K122</f>
        <v>86.187468516294018</v>
      </c>
      <c r="B118" s="11">
        <f>B130+I117</f>
        <v>22.403600000000004</v>
      </c>
      <c r="C118" s="5"/>
      <c r="D118" s="16">
        <v>4.5</v>
      </c>
      <c r="E118" s="18">
        <v>1.56</v>
      </c>
      <c r="F118" s="13">
        <f t="shared" si="24"/>
        <v>-4.6488000000000005</v>
      </c>
      <c r="G118" s="14">
        <f t="shared" si="25"/>
        <v>6.6611999999999991</v>
      </c>
      <c r="H118" s="19"/>
      <c r="I118" s="10"/>
      <c r="J118" s="16">
        <f>+H126</f>
        <v>-0.80200000000000005</v>
      </c>
      <c r="K118" s="14">
        <f>+H120</f>
        <v>-0.25807000000000002</v>
      </c>
      <c r="L118" s="21">
        <f>+Temp!A13</f>
        <v>0.125</v>
      </c>
      <c r="M118" s="22">
        <f>+Temp!F13</f>
        <v>20.208891064977152</v>
      </c>
      <c r="N118" s="23">
        <f>+HR!F24</f>
        <v>54.581732285590135</v>
      </c>
      <c r="O118" s="22">
        <f t="shared" si="26"/>
        <v>22.403600000000004</v>
      </c>
      <c r="P118" s="28">
        <f t="shared" si="27"/>
        <v>29.225238777857022</v>
      </c>
      <c r="Q118" s="26">
        <f t="shared" si="28"/>
        <v>94.691784922783938</v>
      </c>
      <c r="R118" s="27">
        <f t="shared" si="29"/>
        <v>29.180933834193077</v>
      </c>
    </row>
    <row r="119" spans="1:18" x14ac:dyDescent="0.25">
      <c r="A119" s="294" t="s">
        <v>45</v>
      </c>
      <c r="B119" s="295"/>
      <c r="C119" s="8"/>
      <c r="D119" s="16">
        <v>5</v>
      </c>
      <c r="E119" s="18">
        <v>1.7</v>
      </c>
      <c r="F119" s="13">
        <f t="shared" si="24"/>
        <v>-5.0659999999999998</v>
      </c>
      <c r="G119" s="14">
        <f t="shared" si="25"/>
        <v>7.2589999999999995</v>
      </c>
      <c r="H119" s="296" t="s">
        <v>45</v>
      </c>
      <c r="I119" s="295"/>
      <c r="J119" s="16">
        <f>+I117</f>
        <v>-3.8144</v>
      </c>
      <c r="K119" s="14">
        <f>+I117</f>
        <v>-3.8144</v>
      </c>
      <c r="L119" s="21">
        <f>+Temp!A14</f>
        <v>0.16666666666666666</v>
      </c>
      <c r="M119" s="22">
        <f>+Temp!F14</f>
        <v>19.785878064655755</v>
      </c>
      <c r="N119" s="23">
        <f>+HR!F25</f>
        <v>55.338571552799536</v>
      </c>
      <c r="O119" s="22">
        <f t="shared" si="26"/>
        <v>22.403600000000004</v>
      </c>
      <c r="P119" s="28">
        <f t="shared" si="27"/>
        <v>29.191150737261911</v>
      </c>
      <c r="Q119" s="26">
        <f t="shared" si="28"/>
        <v>96.330925467292772</v>
      </c>
      <c r="R119" s="27">
        <f t="shared" si="29"/>
        <v>29.708381465516517</v>
      </c>
    </row>
    <row r="120" spans="1:18" x14ac:dyDescent="0.25">
      <c r="A120" s="2">
        <f>+K132</f>
        <v>60.847767920011272</v>
      </c>
      <c r="B120" s="11">
        <f>+(H120*A120)+B130+I120</f>
        <v>28.943016532882694</v>
      </c>
      <c r="C120" s="5"/>
      <c r="D120" s="16">
        <v>5.5</v>
      </c>
      <c r="E120" s="18">
        <v>1.84</v>
      </c>
      <c r="F120" s="13">
        <f t="shared" si="24"/>
        <v>-5.4832000000000001</v>
      </c>
      <c r="G120" s="14">
        <f t="shared" si="25"/>
        <v>7.8567999999999998</v>
      </c>
      <c r="H120" s="19">
        <v>-0.25807000000000002</v>
      </c>
      <c r="I120" s="10">
        <v>18.428000000000001</v>
      </c>
      <c r="J120" s="16"/>
      <c r="K120" s="14"/>
      <c r="L120" s="21">
        <f>+Temp!A15</f>
        <v>0.20833333333333334</v>
      </c>
      <c r="M120" s="22">
        <f>+Temp!F15</f>
        <v>19.454740277086366</v>
      </c>
      <c r="N120" s="23">
        <f>+HR!F26</f>
        <v>55.931031076026827</v>
      </c>
      <c r="O120" s="22">
        <f t="shared" si="26"/>
        <v>22.403600000000004</v>
      </c>
      <c r="P120" s="28">
        <f t="shared" si="27"/>
        <v>29.164466360335755</v>
      </c>
      <c r="Q120" s="26">
        <f t="shared" si="28"/>
        <v>97.614057127576388</v>
      </c>
      <c r="R120" s="27">
        <f t="shared" si="29"/>
        <v>30.121271474954657</v>
      </c>
    </row>
    <row r="121" spans="1:18" x14ac:dyDescent="0.25">
      <c r="A121" s="2">
        <f>+K122</f>
        <v>86.187468516294018</v>
      </c>
      <c r="B121" s="11">
        <f>+(H120*A121)+B130+I120</f>
        <v>22.403600000000004</v>
      </c>
      <c r="C121" s="5"/>
      <c r="D121" s="16">
        <v>6</v>
      </c>
      <c r="E121" s="18">
        <v>1.98</v>
      </c>
      <c r="F121" s="13">
        <f t="shared" si="24"/>
        <v>-5.9004000000000003</v>
      </c>
      <c r="G121" s="14">
        <f t="shared" si="25"/>
        <v>8.4545999999999992</v>
      </c>
      <c r="H121" s="19"/>
      <c r="I121" s="10"/>
      <c r="J121" s="16">
        <f>+J119-J117</f>
        <v>-21.208399999999997</v>
      </c>
      <c r="K121" s="14">
        <f>+K119-K117</f>
        <v>-22.2424</v>
      </c>
      <c r="L121" s="21">
        <f>+Temp!A16</f>
        <v>0.25</v>
      </c>
      <c r="M121" s="22">
        <f>+Temp!F16</f>
        <v>18.50599588088884</v>
      </c>
      <c r="N121" s="23">
        <f>+HR!F27</f>
        <v>57.628489577400558</v>
      </c>
      <c r="O121" s="22">
        <f t="shared" si="26"/>
        <v>22.403600000000004</v>
      </c>
      <c r="P121" s="28">
        <f t="shared" si="27"/>
        <v>29.088012829433882</v>
      </c>
      <c r="Q121" s="26">
        <f t="shared" si="28"/>
        <v>101.29036354133051</v>
      </c>
      <c r="R121" s="27">
        <f t="shared" si="29"/>
        <v>31.304244537545088</v>
      </c>
    </row>
    <row r="122" spans="1:18" x14ac:dyDescent="0.25">
      <c r="A122" s="294" t="s">
        <v>46</v>
      </c>
      <c r="B122" s="295"/>
      <c r="C122" s="8"/>
      <c r="D122" s="16">
        <v>6.5</v>
      </c>
      <c r="E122" s="18">
        <v>2.12</v>
      </c>
      <c r="F122" s="13">
        <f t="shared" si="24"/>
        <v>-6.3176000000000005</v>
      </c>
      <c r="G122" s="14">
        <f t="shared" si="25"/>
        <v>9.0523999999999987</v>
      </c>
      <c r="H122" s="296" t="s">
        <v>46</v>
      </c>
      <c r="I122" s="295"/>
      <c r="J122" s="16">
        <f>+J121/J118</f>
        <v>26.444389027431416</v>
      </c>
      <c r="K122" s="14">
        <f>+K121/K118</f>
        <v>86.187468516294018</v>
      </c>
      <c r="L122" s="21">
        <f>+Temp!A17</f>
        <v>0.29166666666666669</v>
      </c>
      <c r="M122" s="22">
        <f>+Temp!F17</f>
        <v>19.76385096944885</v>
      </c>
      <c r="N122" s="23">
        <f>+HR!F28</f>
        <v>55.377981619588212</v>
      </c>
      <c r="O122" s="22">
        <f t="shared" si="26"/>
        <v>22.403600000000004</v>
      </c>
      <c r="P122" s="28">
        <f t="shared" si="27"/>
        <v>29.189375707853749</v>
      </c>
      <c r="Q122" s="26">
        <f t="shared" si="28"/>
        <v>96.416278647464452</v>
      </c>
      <c r="R122" s="27">
        <f t="shared" si="29"/>
        <v>29.735846671510163</v>
      </c>
    </row>
    <row r="123" spans="1:18" x14ac:dyDescent="0.25">
      <c r="A123" s="2">
        <f>+J132</f>
        <v>15.758296343267807</v>
      </c>
      <c r="B123" s="11">
        <f>+(H123*A123)+B130+I123</f>
        <v>30.973846332699221</v>
      </c>
      <c r="C123" s="5"/>
      <c r="D123" s="16">
        <v>7</v>
      </c>
      <c r="E123" s="18">
        <v>2.2599999999999998</v>
      </c>
      <c r="F123" s="13">
        <f t="shared" si="24"/>
        <v>-6.734799999999999</v>
      </c>
      <c r="G123" s="14">
        <f t="shared" si="25"/>
        <v>9.6501999999999981</v>
      </c>
      <c r="H123" s="19">
        <v>-4.5039999999999997E-2</v>
      </c>
      <c r="I123" s="10">
        <f>+IF(B131=D114,G114,IF(B131=D115,G115,IF(B131=D116,G116,IF(B131=D117,G117,IF(B131=D118,G118,IF(B131=D119,G119,IF(B131=D120,G120,IF(B131=D121,G121,IF(B131=D122,G122,G123)))))))))</f>
        <v>5.4655999999999993</v>
      </c>
      <c r="J123" s="16"/>
      <c r="K123" s="14"/>
      <c r="L123" s="21">
        <f>+Temp!A18</f>
        <v>0.33333333333333331</v>
      </c>
      <c r="M123" s="22">
        <f>+Temp!F18</f>
        <v>22.704566869516036</v>
      </c>
      <c r="N123" s="23">
        <f>+HR!F29</f>
        <v>50.116561130887177</v>
      </c>
      <c r="O123" s="22">
        <f t="shared" si="26"/>
        <v>22.403600000000004</v>
      </c>
      <c r="P123" s="28">
        <f t="shared" si="27"/>
        <v>29.426350086664844</v>
      </c>
      <c r="Q123" s="26">
        <f t="shared" si="28"/>
        <v>85.021246679133441</v>
      </c>
      <c r="R123" s="27">
        <f t="shared" si="29"/>
        <v>26.069118616563546</v>
      </c>
    </row>
    <row r="124" spans="1:18" x14ac:dyDescent="0.25">
      <c r="A124" s="2">
        <f>+K132</f>
        <v>60.847767920011272</v>
      </c>
      <c r="B124" s="11">
        <f>+(H123*A124)+B130+I123</f>
        <v>28.943016532882694</v>
      </c>
      <c r="C124" s="5"/>
      <c r="D124" s="16"/>
      <c r="E124" s="13"/>
      <c r="F124" s="13"/>
      <c r="G124" s="14"/>
      <c r="H124" s="19"/>
      <c r="I124" s="10"/>
      <c r="J124" s="16"/>
      <c r="K124" s="14"/>
      <c r="L124" s="21">
        <f>+Temp!A19</f>
        <v>0.375</v>
      </c>
      <c r="M124" s="22">
        <f>+Temp!F19</f>
        <v>26.668330001595674</v>
      </c>
      <c r="N124" s="23">
        <f>+HR!F30</f>
        <v>43.024742245898956</v>
      </c>
      <c r="O124" s="22">
        <f t="shared" si="26"/>
        <v>22.403600000000004</v>
      </c>
      <c r="P124" s="28">
        <f t="shared" si="27"/>
        <v>29.745765609244714</v>
      </c>
      <c r="Q124" s="26">
        <f t="shared" si="28"/>
        <v>69.661990926509588</v>
      </c>
      <c r="R124" s="27">
        <f t="shared" si="29"/>
        <v>21.126770571576468</v>
      </c>
    </row>
    <row r="125" spans="1:18" x14ac:dyDescent="0.25">
      <c r="A125" s="293" t="s">
        <v>47</v>
      </c>
      <c r="B125" s="292"/>
      <c r="C125" s="9"/>
      <c r="D125" s="16"/>
      <c r="E125" s="13"/>
      <c r="F125" s="13"/>
      <c r="G125" s="14"/>
      <c r="H125" s="291" t="s">
        <v>47</v>
      </c>
      <c r="I125" s="292"/>
      <c r="J125" s="16">
        <f>+I126</f>
        <v>17.393999999999998</v>
      </c>
      <c r="K125" s="14">
        <f>+I120</f>
        <v>18.428000000000001</v>
      </c>
      <c r="L125" s="21">
        <f>+Temp!A20</f>
        <v>0.41666666666666669</v>
      </c>
      <c r="M125" s="22">
        <f>+Temp!F20</f>
        <v>30.684326945143333</v>
      </c>
      <c r="N125" s="23">
        <f>+HR!F31</f>
        <v>35.839468550857674</v>
      </c>
      <c r="O125" s="22">
        <f t="shared" si="26"/>
        <v>22.403600000000004</v>
      </c>
      <c r="P125" s="28">
        <f t="shared" si="27"/>
        <v>30.069390336469372</v>
      </c>
      <c r="Q125" s="26">
        <f t="shared" si="28"/>
        <v>54.100333455483671</v>
      </c>
      <c r="R125" s="27">
        <f t="shared" si="29"/>
        <v>16.119293085856196</v>
      </c>
    </row>
    <row r="126" spans="1:18" x14ac:dyDescent="0.25">
      <c r="A126" s="3">
        <f>+J132</f>
        <v>15.758296343267807</v>
      </c>
      <c r="B126" s="12">
        <f>+(H126*A126)+B130+I126</f>
        <v>30.973846332699221</v>
      </c>
      <c r="C126" s="4"/>
      <c r="D126" s="16"/>
      <c r="E126" s="13"/>
      <c r="F126" s="13"/>
      <c r="G126" s="14"/>
      <c r="H126" s="19">
        <v>-0.80200000000000005</v>
      </c>
      <c r="I126" s="10">
        <v>17.393999999999998</v>
      </c>
      <c r="J126" s="16">
        <f>+H126</f>
        <v>-0.80200000000000005</v>
      </c>
      <c r="K126" s="14">
        <f>+H120</f>
        <v>-0.25807000000000002</v>
      </c>
      <c r="L126" s="21">
        <f>+Temp!A21</f>
        <v>0.45833333333333331</v>
      </c>
      <c r="M126" s="22">
        <f>+Temp!F21</f>
        <v>33.993055027998032</v>
      </c>
      <c r="N126" s="23">
        <f>+HR!F32</f>
        <v>29.919614230256872</v>
      </c>
      <c r="O126" s="22">
        <f t="shared" si="26"/>
        <v>22.403600000000004</v>
      </c>
      <c r="P126" s="28">
        <f t="shared" si="27"/>
        <v>30.336020575069231</v>
      </c>
      <c r="Q126" s="26">
        <f t="shared" si="28"/>
        <v>41.279284581710279</v>
      </c>
      <c r="R126" s="27">
        <f t="shared" si="29"/>
        <v>11.993696972571033</v>
      </c>
    </row>
    <row r="127" spans="1:18" x14ac:dyDescent="0.25">
      <c r="A127" s="3">
        <f>+J122</f>
        <v>26.444389027431416</v>
      </c>
      <c r="B127" s="12">
        <f>+(H126*A127)+B130+I126</f>
        <v>22.403600000000004</v>
      </c>
      <c r="C127" s="4"/>
      <c r="D127" s="16"/>
      <c r="E127" s="13"/>
      <c r="F127" s="13"/>
      <c r="G127" s="14"/>
      <c r="H127" s="19"/>
      <c r="I127" s="10"/>
      <c r="J127" s="16">
        <f>+I123</f>
        <v>5.4655999999999993</v>
      </c>
      <c r="K127" s="14">
        <f>+I123</f>
        <v>5.4655999999999993</v>
      </c>
      <c r="L127" s="21">
        <f>+Temp!A22</f>
        <v>0.5</v>
      </c>
      <c r="M127" s="22">
        <f>+Temp!F22</f>
        <v>36.194644408705074</v>
      </c>
      <c r="N127" s="23">
        <f>+HR!F33</f>
        <v>25.980611664557138</v>
      </c>
      <c r="O127" s="22">
        <f t="shared" si="26"/>
        <v>22.403600000000004</v>
      </c>
      <c r="P127" s="28">
        <f t="shared" si="27"/>
        <v>30.513433250628349</v>
      </c>
      <c r="Q127" s="26">
        <f t="shared" si="28"/>
        <v>32.748307014743787</v>
      </c>
      <c r="R127" s="27">
        <f t="shared" si="29"/>
        <v>9.2485730564774666</v>
      </c>
    </row>
    <row r="128" spans="1:18" x14ac:dyDescent="0.25">
      <c r="A128" s="13"/>
      <c r="B128" s="14"/>
      <c r="C128" s="13"/>
      <c r="D128" s="16"/>
      <c r="E128" s="13"/>
      <c r="F128" s="13"/>
      <c r="G128" s="14"/>
      <c r="H128" s="19"/>
      <c r="I128" s="10"/>
      <c r="J128" s="16">
        <f>+H123</f>
        <v>-4.5039999999999997E-2</v>
      </c>
      <c r="K128" s="14">
        <f>+H123</f>
        <v>-4.5039999999999997E-2</v>
      </c>
      <c r="L128" s="21">
        <f>+Temp!A23</f>
        <v>0.54166666666666663</v>
      </c>
      <c r="M128" s="22">
        <f>+Temp!F23</f>
        <v>37.205792852010511</v>
      </c>
      <c r="N128" s="23">
        <f>+HR!F34</f>
        <v>24.171502142415321</v>
      </c>
      <c r="O128" s="22">
        <f t="shared" si="26"/>
        <v>22.403600000000004</v>
      </c>
      <c r="P128" s="28">
        <f t="shared" si="27"/>
        <v>30.594915543505618</v>
      </c>
      <c r="Q128" s="26">
        <f t="shared" si="28"/>
        <v>28.830190056920575</v>
      </c>
      <c r="R128" s="27">
        <f t="shared" si="29"/>
        <v>7.9877894613335299</v>
      </c>
    </row>
    <row r="129" spans="1:18" x14ac:dyDescent="0.25">
      <c r="A129" s="293" t="s">
        <v>48</v>
      </c>
      <c r="B129" s="292"/>
      <c r="C129" s="9"/>
      <c r="D129" s="16"/>
      <c r="E129" s="13"/>
      <c r="F129" s="13"/>
      <c r="G129" s="14"/>
      <c r="H129" s="19"/>
      <c r="I129" s="10"/>
      <c r="J129" s="16"/>
      <c r="K129" s="14"/>
      <c r="L129" s="21">
        <f>+Temp!A24</f>
        <v>0.58333333333333337</v>
      </c>
      <c r="M129" s="22">
        <f>+Temp!F24</f>
        <v>37.153519059685223</v>
      </c>
      <c r="N129" s="23">
        <f>+HR!F35</f>
        <v>24.265028484744445</v>
      </c>
      <c r="O129" s="22">
        <f t="shared" si="26"/>
        <v>22.403600000000004</v>
      </c>
      <c r="P129" s="28">
        <f t="shared" si="27"/>
        <v>30.590703117047113</v>
      </c>
      <c r="Q129" s="26">
        <f t="shared" si="28"/>
        <v>29.032746697852446</v>
      </c>
      <c r="R129" s="27">
        <f t="shared" si="29"/>
        <v>8.052968753509699</v>
      </c>
    </row>
    <row r="130" spans="1:18" x14ac:dyDescent="0.25">
      <c r="A130" s="13">
        <v>50</v>
      </c>
      <c r="B130" s="15">
        <f>+Tn!F5</f>
        <v>26.218000000000004</v>
      </c>
      <c r="C130" s="20"/>
      <c r="D130" s="16"/>
      <c r="E130" s="13"/>
      <c r="F130" s="13"/>
      <c r="G130" s="14"/>
      <c r="H130" s="19"/>
      <c r="I130" s="10"/>
      <c r="J130" s="16">
        <f>+J126-J128</f>
        <v>-0.75696000000000008</v>
      </c>
      <c r="K130" s="14">
        <f>+K126-K128</f>
        <v>-0.21303000000000002</v>
      </c>
      <c r="L130" s="21">
        <f>+Temp!A25</f>
        <v>0.625</v>
      </c>
      <c r="M130" s="22">
        <f>+Temp!F25</f>
        <v>36.270890762720619</v>
      </c>
      <c r="N130" s="23">
        <f>+HR!F36</f>
        <v>25.844194498520462</v>
      </c>
      <c r="O130" s="22">
        <f t="shared" si="26"/>
        <v>22.403600000000004</v>
      </c>
      <c r="P130" s="28">
        <f t="shared" si="27"/>
        <v>30.519577479786641</v>
      </c>
      <c r="Q130" s="26">
        <f t="shared" si="28"/>
        <v>32.452858671210855</v>
      </c>
      <c r="R130" s="27">
        <f t="shared" si="29"/>
        <v>9.1535027896251648</v>
      </c>
    </row>
    <row r="131" spans="1:18" x14ac:dyDescent="0.25">
      <c r="A131" s="13" t="s">
        <v>52</v>
      </c>
      <c r="B131" s="15">
        <f>+Tn!F7</f>
        <v>3.5</v>
      </c>
      <c r="C131" s="20"/>
      <c r="D131" s="16"/>
      <c r="E131" s="13"/>
      <c r="F131" s="13"/>
      <c r="G131" s="14"/>
      <c r="H131" s="19"/>
      <c r="I131" s="10"/>
      <c r="J131" s="16">
        <f>+J127-J125</f>
        <v>-11.9284</v>
      </c>
      <c r="K131" s="14">
        <f>+K127-K125</f>
        <v>-12.962400000000002</v>
      </c>
      <c r="L131" s="21">
        <f>+Temp!A26</f>
        <v>0.66666666666666663</v>
      </c>
      <c r="M131" s="22">
        <f>+Temp!F26</f>
        <v>34.819147614811058</v>
      </c>
      <c r="N131" s="23">
        <f>+HR!F37</f>
        <v>28.441599825083351</v>
      </c>
      <c r="O131" s="22">
        <f t="shared" si="26"/>
        <v>22.403600000000004</v>
      </c>
      <c r="P131" s="28">
        <f t="shared" si="27"/>
        <v>30.402590343878249</v>
      </c>
      <c r="Q131" s="26">
        <f t="shared" si="28"/>
        <v>38.078243829925775</v>
      </c>
      <c r="R131" s="27">
        <f t="shared" si="29"/>
        <v>10.963656340634593</v>
      </c>
    </row>
    <row r="132" spans="1:18" x14ac:dyDescent="0.25">
      <c r="A132" s="13"/>
      <c r="B132" s="14"/>
      <c r="C132" s="13"/>
      <c r="D132" s="16"/>
      <c r="E132" s="13"/>
      <c r="F132" s="13"/>
      <c r="G132" s="14"/>
      <c r="H132" s="19"/>
      <c r="I132" s="10"/>
      <c r="J132" s="16">
        <f>+J131/J130</f>
        <v>15.758296343267807</v>
      </c>
      <c r="K132" s="14">
        <f>+K131/K130</f>
        <v>60.847767920011272</v>
      </c>
      <c r="L132" s="21">
        <f>+Temp!A27</f>
        <v>0.70833333333333337</v>
      </c>
      <c r="M132" s="22">
        <f>+Temp!F27</f>
        <v>33.039546230174395</v>
      </c>
      <c r="N132" s="23">
        <f>+HR!F38</f>
        <v>31.625597023396239</v>
      </c>
      <c r="O132" s="22">
        <f t="shared" si="26"/>
        <v>22.403600000000004</v>
      </c>
      <c r="P132" s="28">
        <f t="shared" si="27"/>
        <v>30.259183110066235</v>
      </c>
      <c r="Q132" s="26">
        <f t="shared" si="28"/>
        <v>44.974052659455218</v>
      </c>
      <c r="R132" s="27">
        <f t="shared" si="29"/>
        <v>13.182610685568088</v>
      </c>
    </row>
    <row r="133" spans="1:18" x14ac:dyDescent="0.25">
      <c r="A133" s="13"/>
      <c r="B133" s="15"/>
      <c r="C133" s="20"/>
      <c r="D133" s="16"/>
      <c r="E133" s="13"/>
      <c r="F133" s="13"/>
      <c r="G133" s="14"/>
      <c r="H133" s="16"/>
      <c r="I133" s="14"/>
      <c r="J133" s="16"/>
      <c r="K133" s="14"/>
      <c r="L133" s="21">
        <f>+Temp!A28</f>
        <v>0.75</v>
      </c>
      <c r="M133" s="22">
        <f>+Temp!F28</f>
        <v>31.129526072662557</v>
      </c>
      <c r="N133" s="23">
        <f>+HR!F39</f>
        <v>35.042934682683622</v>
      </c>
      <c r="O133" s="22">
        <f t="shared" si="26"/>
        <v>22.403600000000004</v>
      </c>
      <c r="P133" s="28">
        <f t="shared" si="27"/>
        <v>30.105266221891931</v>
      </c>
      <c r="Q133" s="26">
        <f t="shared" si="28"/>
        <v>52.375223494933337</v>
      </c>
      <c r="R133" s="27">
        <f t="shared" si="29"/>
        <v>15.56418195428609</v>
      </c>
    </row>
    <row r="134" spans="1:18" x14ac:dyDescent="0.25">
      <c r="A134" s="13"/>
      <c r="B134" s="15"/>
      <c r="C134" s="20"/>
      <c r="D134" s="16"/>
      <c r="E134" s="13"/>
      <c r="F134" s="13"/>
      <c r="G134" s="14"/>
      <c r="H134" s="16"/>
      <c r="I134" s="14"/>
      <c r="J134" s="16"/>
      <c r="K134" s="14"/>
      <c r="L134" s="21">
        <f>+Temp!A29</f>
        <v>0.79166666666666663</v>
      </c>
      <c r="M134" s="22">
        <f>+Temp!F29</f>
        <v>29.235629518524686</v>
      </c>
      <c r="N134" s="23">
        <f>+HR!F40</f>
        <v>38.431424585157245</v>
      </c>
      <c r="O134" s="22">
        <f t="shared" si="26"/>
        <v>22.403600000000004</v>
      </c>
      <c r="P134" s="28">
        <f t="shared" si="27"/>
        <v>29.952648636684518</v>
      </c>
      <c r="Q134" s="26">
        <f t="shared" si="28"/>
        <v>59.713916694987084</v>
      </c>
      <c r="R134" s="27">
        <f t="shared" si="29"/>
        <v>17.925648979395653</v>
      </c>
    </row>
    <row r="135" spans="1:18" x14ac:dyDescent="0.25">
      <c r="A135" s="13"/>
      <c r="B135" s="15"/>
      <c r="C135" s="20"/>
      <c r="D135" s="16"/>
      <c r="E135" s="13"/>
      <c r="F135" s="13"/>
      <c r="G135" s="14"/>
      <c r="H135" s="16"/>
      <c r="I135" s="14"/>
      <c r="J135" s="16"/>
      <c r="K135" s="14"/>
      <c r="L135" s="21">
        <f>+Temp!A30</f>
        <v>0.83333333333333337</v>
      </c>
      <c r="M135" s="22">
        <f>+Temp!F30</f>
        <v>27.456377169820136</v>
      </c>
      <c r="N135" s="23">
        <f>+HR!F41</f>
        <v>41.614797301246433</v>
      </c>
      <c r="O135" s="22">
        <f t="shared" si="26"/>
        <v>22.403600000000004</v>
      </c>
      <c r="P135" s="28">
        <f t="shared" si="27"/>
        <v>29.809269529551862</v>
      </c>
      <c r="Q135" s="26">
        <f t="shared" si="28"/>
        <v>66.608373039019909</v>
      </c>
      <c r="R135" s="27">
        <f t="shared" si="29"/>
        <v>20.144168117431253</v>
      </c>
    </row>
    <row r="136" spans="1:18" x14ac:dyDescent="0.25">
      <c r="A136" s="13"/>
      <c r="B136" s="14"/>
      <c r="C136" s="13"/>
      <c r="D136" s="16"/>
      <c r="E136" s="13"/>
      <c r="F136" s="13"/>
      <c r="G136" s="14"/>
      <c r="H136" s="16"/>
      <c r="I136" s="14"/>
      <c r="J136" s="16"/>
      <c r="K136" s="14"/>
      <c r="L136" s="21">
        <f>+Temp!A31</f>
        <v>0.875</v>
      </c>
      <c r="M136" s="22">
        <f>+Temp!F31</f>
        <v>25.850023865961138</v>
      </c>
      <c r="N136" s="23">
        <f>+HR!F42</f>
        <v>44.488825419645508</v>
      </c>
      <c r="O136" s="22">
        <f t="shared" si="26"/>
        <v>22.403600000000004</v>
      </c>
      <c r="P136" s="28">
        <f t="shared" si="27"/>
        <v>29.67982330309917</v>
      </c>
      <c r="Q136" s="26">
        <f t="shared" si="28"/>
        <v>72.832859821129404</v>
      </c>
      <c r="R136" s="27">
        <f t="shared" si="29"/>
        <v>22.147102411519779</v>
      </c>
    </row>
    <row r="137" spans="1:18" x14ac:dyDescent="0.25">
      <c r="B137" s="14"/>
      <c r="C137" s="25"/>
      <c r="G137" s="14"/>
      <c r="I137" s="14"/>
      <c r="K137" s="14"/>
      <c r="L137" s="21">
        <f>+Temp!A32</f>
        <v>0.91666666666666663</v>
      </c>
      <c r="M137" s="22">
        <f>+Temp!F32</f>
        <v>24.443863414891311</v>
      </c>
      <c r="N137" s="23">
        <f>+HR!F43</f>
        <v>47.004675865277079</v>
      </c>
      <c r="O137" s="22">
        <f t="shared" si="26"/>
        <v>22.403600000000004</v>
      </c>
      <c r="P137" s="28">
        <f t="shared" si="27"/>
        <v>29.566509399027922</v>
      </c>
      <c r="Q137" s="26">
        <f t="shared" si="28"/>
        <v>78.281615782960799</v>
      </c>
      <c r="R137" s="27">
        <f t="shared" si="29"/>
        <v>23.900419682180413</v>
      </c>
    </row>
    <row r="138" spans="1:18" x14ac:dyDescent="0.25">
      <c r="B138" s="14"/>
      <c r="C138" s="25"/>
      <c r="G138" s="14"/>
      <c r="I138" s="14"/>
      <c r="K138" s="14"/>
      <c r="L138" s="21">
        <f>+Temp!A33</f>
        <v>0.95833333333333337</v>
      </c>
      <c r="M138" s="22">
        <f>+Temp!F33</f>
        <v>23.243151418248743</v>
      </c>
      <c r="N138" s="23">
        <f>+HR!F44</f>
        <v>49.152945509420533</v>
      </c>
      <c r="O138" s="22">
        <f t="shared" si="26"/>
        <v>22.403600000000004</v>
      </c>
      <c r="P138" s="28">
        <f t="shared" si="27"/>
        <v>29.469751334255701</v>
      </c>
      <c r="Q138" s="26">
        <f t="shared" si="28"/>
        <v>82.93427590092324</v>
      </c>
      <c r="R138" s="27">
        <f t="shared" si="29"/>
        <v>25.397566810163664</v>
      </c>
    </row>
    <row r="139" spans="1:18" x14ac:dyDescent="0.25">
      <c r="P139" s="7"/>
    </row>
    <row r="140" spans="1:18" x14ac:dyDescent="0.25">
      <c r="P140" s="7"/>
    </row>
    <row r="141" spans="1:18" x14ac:dyDescent="0.25">
      <c r="A141" s="9" t="s">
        <v>42</v>
      </c>
      <c r="B141" s="10" t="s">
        <v>43</v>
      </c>
      <c r="C141" s="9"/>
      <c r="D141" s="16" t="s">
        <v>52</v>
      </c>
      <c r="E141" s="13"/>
      <c r="F141" s="9" t="s">
        <v>44</v>
      </c>
      <c r="G141" s="17" t="s">
        <v>46</v>
      </c>
      <c r="H141" s="16"/>
      <c r="I141" s="14"/>
      <c r="J141" s="16"/>
      <c r="K141" s="14"/>
      <c r="L141" s="291" t="s">
        <v>61</v>
      </c>
      <c r="M141" s="293"/>
      <c r="N141" s="292"/>
      <c r="O141" s="291" t="s">
        <v>72</v>
      </c>
      <c r="P141" s="292"/>
      <c r="Q141" s="291" t="s">
        <v>73</v>
      </c>
      <c r="R141" s="292"/>
    </row>
    <row r="142" spans="1:18" x14ac:dyDescent="0.25">
      <c r="A142" s="9">
        <f>+A158</f>
        <v>50</v>
      </c>
      <c r="B142" s="11">
        <f>+(H151*A142)+B158+I151</f>
        <v>30.702600000000004</v>
      </c>
      <c r="C142" s="5">
        <f>+B142-B158</f>
        <v>3.2135999999999996</v>
      </c>
      <c r="D142" s="16">
        <v>2.5</v>
      </c>
      <c r="E142" s="18">
        <v>1</v>
      </c>
      <c r="F142" s="13">
        <v>-2.98</v>
      </c>
      <c r="G142" s="14">
        <v>4.2699999999999996</v>
      </c>
      <c r="H142" s="291" t="s">
        <v>51</v>
      </c>
      <c r="I142" s="292"/>
      <c r="J142" s="16"/>
      <c r="K142" s="14"/>
      <c r="L142" s="9" t="s">
        <v>56</v>
      </c>
      <c r="M142" s="9" t="s">
        <v>54</v>
      </c>
      <c r="N142" s="10" t="s">
        <v>55</v>
      </c>
      <c r="O142" s="19" t="s">
        <v>68</v>
      </c>
      <c r="P142" s="10" t="s">
        <v>69</v>
      </c>
      <c r="Q142" s="19" t="s">
        <v>70</v>
      </c>
      <c r="R142" s="10" t="s">
        <v>71</v>
      </c>
    </row>
    <row r="143" spans="1:18" x14ac:dyDescent="0.25">
      <c r="A143" s="9">
        <f>+A158</f>
        <v>50</v>
      </c>
      <c r="B143" s="11">
        <f>B158+I145</f>
        <v>23.674600000000005</v>
      </c>
      <c r="C143" s="5">
        <f>+B158-B143</f>
        <v>3.8143999999999991</v>
      </c>
      <c r="D143" s="16">
        <v>3</v>
      </c>
      <c r="E143" s="18">
        <v>1.1399999999999999</v>
      </c>
      <c r="F143" s="13">
        <f t="shared" ref="F143:F151" si="30">$F$142*E143</f>
        <v>-3.3971999999999998</v>
      </c>
      <c r="G143" s="14">
        <f t="shared" ref="G143:G151" si="31">$G$142*E143</f>
        <v>4.867799999999999</v>
      </c>
      <c r="H143" s="19" t="s">
        <v>49</v>
      </c>
      <c r="I143" s="10" t="s">
        <v>50</v>
      </c>
      <c r="J143" s="16"/>
      <c r="K143" s="14"/>
      <c r="L143" s="21">
        <f>+Temp!A10</f>
        <v>0</v>
      </c>
      <c r="M143" s="22">
        <f>+Temp!G10</f>
        <v>26.527816743908332</v>
      </c>
      <c r="N143" s="23">
        <f>+HR!G21</f>
        <v>52.949073488936321</v>
      </c>
      <c r="O143" s="22">
        <f t="shared" ref="O143:O166" si="32">$B$145</f>
        <v>23.674600000000005</v>
      </c>
      <c r="P143" s="28">
        <f t="shared" ref="P143:P166" si="33">+($H$151*N143)+$B$158+$I$151</f>
        <v>30.569773730058312</v>
      </c>
      <c r="Q143" s="26">
        <f t="shared" ref="Q143:Q166" si="34">+(M143-$B$158-$I$148)/$H$148</f>
        <v>75.131488573223052</v>
      </c>
      <c r="R143" s="27">
        <f t="shared" ref="R143:R166" si="35">+(M143-$B$158-$I$154)/$H$154</f>
        <v>22.88676216470283</v>
      </c>
    </row>
    <row r="144" spans="1:18" x14ac:dyDescent="0.25">
      <c r="A144" s="293" t="s">
        <v>44</v>
      </c>
      <c r="B144" s="292"/>
      <c r="C144" s="24">
        <f>+C142+C143</f>
        <v>7.0279999999999987</v>
      </c>
      <c r="D144" s="16">
        <v>3.5</v>
      </c>
      <c r="E144" s="18">
        <v>1.28</v>
      </c>
      <c r="F144" s="13">
        <f t="shared" si="30"/>
        <v>-3.8144</v>
      </c>
      <c r="G144" s="14">
        <f t="shared" si="31"/>
        <v>5.4655999999999993</v>
      </c>
      <c r="H144" s="291" t="s">
        <v>44</v>
      </c>
      <c r="I144" s="292"/>
      <c r="J144" s="16"/>
      <c r="K144" s="14"/>
      <c r="L144" s="21">
        <f>+Temp!A11</f>
        <v>4.1666666666666664E-2</v>
      </c>
      <c r="M144" s="22">
        <f>+Temp!G11</f>
        <v>25.785470668894629</v>
      </c>
      <c r="N144" s="23">
        <f>+HR!G22</f>
        <v>54.323869414998583</v>
      </c>
      <c r="O144" s="22">
        <f t="shared" si="32"/>
        <v>23.674600000000005</v>
      </c>
      <c r="P144" s="28">
        <f t="shared" si="33"/>
        <v>30.507852921548466</v>
      </c>
      <c r="Q144" s="26">
        <f t="shared" si="34"/>
        <v>78.00801848764047</v>
      </c>
      <c r="R144" s="27">
        <f t="shared" si="35"/>
        <v>23.812380712101461</v>
      </c>
    </row>
    <row r="145" spans="1:18" x14ac:dyDescent="0.25">
      <c r="A145" s="2">
        <f>+J150</f>
        <v>26.444389027431416</v>
      </c>
      <c r="B145" s="11">
        <f>B158+I145</f>
        <v>23.674600000000005</v>
      </c>
      <c r="C145" s="5"/>
      <c r="D145" s="16">
        <v>4</v>
      </c>
      <c r="E145" s="18">
        <v>1.42</v>
      </c>
      <c r="F145" s="13">
        <f t="shared" si="30"/>
        <v>-4.2315999999999994</v>
      </c>
      <c r="G145" s="14">
        <f t="shared" si="31"/>
        <v>6.0633999999999988</v>
      </c>
      <c r="H145" s="19">
        <v>0</v>
      </c>
      <c r="I145" s="10">
        <f>+IF(B159=D142,F142,IF(B159=D143,F143,IF(B159=D144,F144,IF(B159=D145,F145,IF(B159=D146,F146,IF(B159=D147,F147,IF(B159=D148,F148,IF(B159=D149,F149,IF(B159=D150,F150,F151)))))))))</f>
        <v>-3.8144</v>
      </c>
      <c r="J145" s="16">
        <f>+I154</f>
        <v>17.393999999999998</v>
      </c>
      <c r="K145" s="14">
        <f>+I148</f>
        <v>18.428000000000001</v>
      </c>
      <c r="L145" s="21">
        <f>+Temp!A12</f>
        <v>8.3333333333333329E-2</v>
      </c>
      <c r="M145" s="22">
        <f>+Temp!G12</f>
        <v>25.185736458204861</v>
      </c>
      <c r="N145" s="23">
        <f>+HR!G23</f>
        <v>55.434553740447797</v>
      </c>
      <c r="O145" s="22">
        <f t="shared" si="32"/>
        <v>23.674600000000005</v>
      </c>
      <c r="P145" s="28">
        <f t="shared" si="33"/>
        <v>30.457827699530235</v>
      </c>
      <c r="Q145" s="26">
        <f t="shared" si="34"/>
        <v>80.331939170748797</v>
      </c>
      <c r="R145" s="27">
        <f t="shared" si="35"/>
        <v>24.56017897979444</v>
      </c>
    </row>
    <row r="146" spans="1:18" x14ac:dyDescent="0.25">
      <c r="A146" s="2">
        <f>+K150</f>
        <v>86.187468516294018</v>
      </c>
      <c r="B146" s="11">
        <f>B158+I145</f>
        <v>23.674600000000005</v>
      </c>
      <c r="C146" s="5"/>
      <c r="D146" s="16">
        <v>4.5</v>
      </c>
      <c r="E146" s="18">
        <v>1.56</v>
      </c>
      <c r="F146" s="13">
        <f t="shared" si="30"/>
        <v>-4.6488000000000005</v>
      </c>
      <c r="G146" s="14">
        <f t="shared" si="31"/>
        <v>6.6611999999999991</v>
      </c>
      <c r="H146" s="19"/>
      <c r="I146" s="10"/>
      <c r="J146" s="16">
        <f>+H154</f>
        <v>-0.80200000000000005</v>
      </c>
      <c r="K146" s="14">
        <f>+H148</f>
        <v>-0.25807000000000002</v>
      </c>
      <c r="L146" s="21">
        <f>+Temp!A13</f>
        <v>0.125</v>
      </c>
      <c r="M146" s="22">
        <f>+Temp!G13</f>
        <v>24.707260292283379</v>
      </c>
      <c r="N146" s="23">
        <f>+HR!G24</f>
        <v>56.320672904766951</v>
      </c>
      <c r="O146" s="22">
        <f t="shared" si="32"/>
        <v>23.674600000000005</v>
      </c>
      <c r="P146" s="28">
        <f t="shared" si="33"/>
        <v>30.417916892369298</v>
      </c>
      <c r="Q146" s="26">
        <f t="shared" si="34"/>
        <v>82.185994915009971</v>
      </c>
      <c r="R146" s="27">
        <f t="shared" si="35"/>
        <v>25.156782677950901</v>
      </c>
    </row>
    <row r="147" spans="1:18" x14ac:dyDescent="0.25">
      <c r="A147" s="294" t="s">
        <v>45</v>
      </c>
      <c r="B147" s="295"/>
      <c r="C147" s="8"/>
      <c r="D147" s="16">
        <v>5</v>
      </c>
      <c r="E147" s="18">
        <v>1.7</v>
      </c>
      <c r="F147" s="13">
        <f t="shared" si="30"/>
        <v>-5.0659999999999998</v>
      </c>
      <c r="G147" s="14">
        <f t="shared" si="31"/>
        <v>7.2589999999999995</v>
      </c>
      <c r="H147" s="296" t="s">
        <v>45</v>
      </c>
      <c r="I147" s="295"/>
      <c r="J147" s="16">
        <f>+I145</f>
        <v>-3.8144</v>
      </c>
      <c r="K147" s="14">
        <f>+I145</f>
        <v>-3.8144</v>
      </c>
      <c r="L147" s="21">
        <f>+Temp!A14</f>
        <v>0.16666666666666666</v>
      </c>
      <c r="M147" s="22">
        <f>+Temp!G14</f>
        <v>24.329717226464098</v>
      </c>
      <c r="N147" s="23">
        <f>+HR!G25</f>
        <v>57.019867911343667</v>
      </c>
      <c r="O147" s="22">
        <f t="shared" si="32"/>
        <v>23.674600000000005</v>
      </c>
      <c r="P147" s="28">
        <f t="shared" si="33"/>
        <v>30.386425149273084</v>
      </c>
      <c r="Q147" s="26">
        <f t="shared" si="34"/>
        <v>83.648943207408479</v>
      </c>
      <c r="R147" s="27">
        <f t="shared" si="35"/>
        <v>25.627534630344019</v>
      </c>
    </row>
    <row r="148" spans="1:18" x14ac:dyDescent="0.25">
      <c r="A148" s="2">
        <f>+K160</f>
        <v>60.847767920011272</v>
      </c>
      <c r="B148" s="11">
        <f>+(H148*A148)+B158+I148</f>
        <v>30.214016532882695</v>
      </c>
      <c r="C148" s="5"/>
      <c r="D148" s="16">
        <v>5.5</v>
      </c>
      <c r="E148" s="18">
        <v>1.84</v>
      </c>
      <c r="F148" s="13">
        <f t="shared" si="30"/>
        <v>-5.4832000000000001</v>
      </c>
      <c r="G148" s="14">
        <f t="shared" si="31"/>
        <v>7.8567999999999998</v>
      </c>
      <c r="H148" s="19">
        <v>-0.25807000000000002</v>
      </c>
      <c r="I148" s="10">
        <v>18.428000000000001</v>
      </c>
      <c r="J148" s="16"/>
      <c r="K148" s="14"/>
      <c r="L148" s="21">
        <f>+Temp!A15</f>
        <v>0.20833333333333334</v>
      </c>
      <c r="M148" s="22">
        <f>+Temp!G15</f>
        <v>24.03472106164606</v>
      </c>
      <c r="N148" s="23">
        <f>+HR!G26</f>
        <v>57.566189282529393</v>
      </c>
      <c r="O148" s="22">
        <f t="shared" si="32"/>
        <v>23.674600000000005</v>
      </c>
      <c r="P148" s="28">
        <f t="shared" si="33"/>
        <v>30.361818834714878</v>
      </c>
      <c r="Q148" s="26">
        <f t="shared" si="34"/>
        <v>84.792029055504102</v>
      </c>
      <c r="R148" s="27">
        <f t="shared" si="35"/>
        <v>25.995360272261774</v>
      </c>
    </row>
    <row r="149" spans="1:18" x14ac:dyDescent="0.25">
      <c r="A149" s="2">
        <f>+K150</f>
        <v>86.187468516294018</v>
      </c>
      <c r="B149" s="11">
        <f>+(H148*A149)+B158+I148</f>
        <v>23.674600000000005</v>
      </c>
      <c r="C149" s="5"/>
      <c r="D149" s="16">
        <v>6</v>
      </c>
      <c r="E149" s="18">
        <v>1.98</v>
      </c>
      <c r="F149" s="13">
        <f t="shared" si="30"/>
        <v>-5.9004000000000003</v>
      </c>
      <c r="G149" s="14">
        <f t="shared" si="31"/>
        <v>8.4545999999999992</v>
      </c>
      <c r="H149" s="19"/>
      <c r="I149" s="10"/>
      <c r="J149" s="16">
        <f>+J147-J145</f>
        <v>-21.208399999999997</v>
      </c>
      <c r="K149" s="14">
        <f>+K147-K145</f>
        <v>-22.2424</v>
      </c>
      <c r="L149" s="21">
        <f>+Temp!A16</f>
        <v>0.25</v>
      </c>
      <c r="M149" s="22">
        <f>+Temp!G16</f>
        <v>23.309186150626896</v>
      </c>
      <c r="N149" s="23">
        <f>+HR!G27</f>
        <v>58.909851589717704</v>
      </c>
      <c r="O149" s="22">
        <f t="shared" si="32"/>
        <v>23.674600000000005</v>
      </c>
      <c r="P149" s="28">
        <f t="shared" si="33"/>
        <v>30.301300284399119</v>
      </c>
      <c r="Q149" s="26">
        <f t="shared" si="34"/>
        <v>87.603417093707549</v>
      </c>
      <c r="R149" s="27">
        <f t="shared" si="35"/>
        <v>26.900017268545017</v>
      </c>
    </row>
    <row r="150" spans="1:18" x14ac:dyDescent="0.25">
      <c r="A150" s="294" t="s">
        <v>46</v>
      </c>
      <c r="B150" s="295"/>
      <c r="C150" s="8"/>
      <c r="D150" s="16">
        <v>6.5</v>
      </c>
      <c r="E150" s="18">
        <v>2.12</v>
      </c>
      <c r="F150" s="13">
        <f t="shared" si="30"/>
        <v>-6.3176000000000005</v>
      </c>
      <c r="G150" s="14">
        <f t="shared" si="31"/>
        <v>9.0523999999999987</v>
      </c>
      <c r="H150" s="296" t="s">
        <v>46</v>
      </c>
      <c r="I150" s="295"/>
      <c r="J150" s="16">
        <f>+J149/J146</f>
        <v>26.444389027431416</v>
      </c>
      <c r="K150" s="14">
        <f>+K149/K146</f>
        <v>86.187468516294018</v>
      </c>
      <c r="L150" s="21">
        <f>+Temp!A17</f>
        <v>0.29166666666666669</v>
      </c>
      <c r="M150" s="22">
        <f>+Temp!G17</f>
        <v>24.806340748834746</v>
      </c>
      <c r="N150" s="23">
        <f>+HR!G28</f>
        <v>56.13717977049437</v>
      </c>
      <c r="O150" s="22">
        <f t="shared" si="32"/>
        <v>23.674600000000005</v>
      </c>
      <c r="P150" s="28">
        <f t="shared" si="33"/>
        <v>30.426181423136935</v>
      </c>
      <c r="Q150" s="26">
        <f t="shared" si="34"/>
        <v>81.802066304356401</v>
      </c>
      <c r="R150" s="27">
        <f t="shared" si="35"/>
        <v>25.033240961552689</v>
      </c>
    </row>
    <row r="151" spans="1:18" x14ac:dyDescent="0.25">
      <c r="A151" s="2">
        <f>+J160</f>
        <v>15.758296343267807</v>
      </c>
      <c r="B151" s="11">
        <f>+(H151*A151)+B158+I151</f>
        <v>32.244846332699225</v>
      </c>
      <c r="C151" s="5"/>
      <c r="D151" s="16">
        <v>7</v>
      </c>
      <c r="E151" s="18">
        <v>2.2599999999999998</v>
      </c>
      <c r="F151" s="13">
        <f t="shared" si="30"/>
        <v>-6.734799999999999</v>
      </c>
      <c r="G151" s="14">
        <f t="shared" si="31"/>
        <v>9.6501999999999981</v>
      </c>
      <c r="H151" s="19">
        <v>-4.5039999999999997E-2</v>
      </c>
      <c r="I151" s="10">
        <f>+IF(B159=D142,G142,IF(B159=D143,G143,IF(B159=D144,G144,IF(B159=D145,G145,IF(B159=D146,G146,IF(B159=D147,G147,IF(B159=D148,G148,IF(B159=D149,G149,IF(B159=D150,G150,G151)))))))))</f>
        <v>5.4655999999999993</v>
      </c>
      <c r="J151" s="16"/>
      <c r="K151" s="14"/>
      <c r="L151" s="21">
        <f>+Temp!A18</f>
        <v>0.33333333333333331</v>
      </c>
      <c r="M151" s="22">
        <f>+Temp!G18</f>
        <v>27.818054928833156</v>
      </c>
      <c r="N151" s="23">
        <f>+HR!G29</f>
        <v>50.559602782498104</v>
      </c>
      <c r="O151" s="22">
        <f t="shared" si="32"/>
        <v>23.674600000000005</v>
      </c>
      <c r="P151" s="28">
        <f t="shared" si="33"/>
        <v>30.67739549067629</v>
      </c>
      <c r="Q151" s="26">
        <f t="shared" si="34"/>
        <v>70.131921847432281</v>
      </c>
      <c r="R151" s="27">
        <f t="shared" si="35"/>
        <v>21.277986373025993</v>
      </c>
    </row>
    <row r="152" spans="1:18" x14ac:dyDescent="0.25">
      <c r="A152" s="2">
        <f>+K160</f>
        <v>60.847767920011272</v>
      </c>
      <c r="B152" s="11">
        <f>+(H151*A152)+B158+I151</f>
        <v>30.214016532882695</v>
      </c>
      <c r="C152" s="5"/>
      <c r="D152" s="16"/>
      <c r="E152" s="13"/>
      <c r="F152" s="13"/>
      <c r="G152" s="14"/>
      <c r="H152" s="19"/>
      <c r="I152" s="10"/>
      <c r="J152" s="16"/>
      <c r="K152" s="14"/>
      <c r="L152" s="21">
        <f>+Temp!A19</f>
        <v>0.375</v>
      </c>
      <c r="M152" s="22">
        <f>+Temp!G19</f>
        <v>31.608690806505038</v>
      </c>
      <c r="N152" s="23">
        <f>+HR!G30</f>
        <v>43.539493244352336</v>
      </c>
      <c r="O152" s="22">
        <f t="shared" si="32"/>
        <v>23.674600000000005</v>
      </c>
      <c r="P152" s="28">
        <f t="shared" si="33"/>
        <v>30.993581224274372</v>
      </c>
      <c r="Q152" s="26">
        <f t="shared" si="34"/>
        <v>55.443519949994055</v>
      </c>
      <c r="R152" s="27">
        <f t="shared" si="35"/>
        <v>16.551507722562299</v>
      </c>
    </row>
    <row r="153" spans="1:18" x14ac:dyDescent="0.25">
      <c r="A153" s="293" t="s">
        <v>47</v>
      </c>
      <c r="B153" s="292"/>
      <c r="C153" s="9"/>
      <c r="D153" s="16"/>
      <c r="E153" s="13"/>
      <c r="F153" s="13"/>
      <c r="G153" s="14"/>
      <c r="H153" s="291" t="s">
        <v>47</v>
      </c>
      <c r="I153" s="292"/>
      <c r="J153" s="16">
        <f>+I154</f>
        <v>17.393999999999998</v>
      </c>
      <c r="K153" s="14">
        <f>+I148</f>
        <v>18.428000000000001</v>
      </c>
      <c r="L153" s="21">
        <f>+Temp!A20</f>
        <v>0.41666666666666669</v>
      </c>
      <c r="M153" s="22">
        <f>+Temp!G20</f>
        <v>35.283349549633208</v>
      </c>
      <c r="N153" s="23">
        <f>+HR!G31</f>
        <v>36.734168827935832</v>
      </c>
      <c r="O153" s="22">
        <f t="shared" si="32"/>
        <v>23.674600000000005</v>
      </c>
      <c r="P153" s="28">
        <f t="shared" si="33"/>
        <v>31.300093035989772</v>
      </c>
      <c r="Q153" s="26">
        <f t="shared" si="34"/>
        <v>41.204519899123483</v>
      </c>
      <c r="R153" s="27">
        <f t="shared" si="35"/>
        <v>11.969638965544631</v>
      </c>
    </row>
    <row r="154" spans="1:18" x14ac:dyDescent="0.25">
      <c r="A154" s="3">
        <f>+J160</f>
        <v>15.758296343267807</v>
      </c>
      <c r="B154" s="12">
        <f>+(H154*A154)+B158+I154</f>
        <v>32.244846332699225</v>
      </c>
      <c r="C154" s="4"/>
      <c r="D154" s="16"/>
      <c r="E154" s="13"/>
      <c r="F154" s="13"/>
      <c r="G154" s="14"/>
      <c r="H154" s="19">
        <v>-0.80200000000000005</v>
      </c>
      <c r="I154" s="10">
        <v>17.393999999999998</v>
      </c>
      <c r="J154" s="16">
        <f>+H154</f>
        <v>-0.80200000000000005</v>
      </c>
      <c r="K154" s="14">
        <f>+H148</f>
        <v>-0.25807000000000002</v>
      </c>
      <c r="L154" s="21">
        <f>+Temp!A21</f>
        <v>0.45833333333333331</v>
      </c>
      <c r="M154" s="22">
        <f>+Temp!G21</f>
        <v>38.194634478263325</v>
      </c>
      <c r="N154" s="23">
        <f>+HR!G32</f>
        <v>31.342582889513132</v>
      </c>
      <c r="O154" s="22">
        <f t="shared" si="32"/>
        <v>23.674600000000005</v>
      </c>
      <c r="P154" s="28">
        <f t="shared" si="33"/>
        <v>31.542930066656332</v>
      </c>
      <c r="Q154" s="26">
        <f t="shared" si="34"/>
        <v>29.923530521706049</v>
      </c>
      <c r="R154" s="27">
        <f t="shared" si="35"/>
        <v>8.3396078824646853</v>
      </c>
    </row>
    <row r="155" spans="1:18" x14ac:dyDescent="0.25">
      <c r="A155" s="3">
        <f>+J150</f>
        <v>26.444389027431416</v>
      </c>
      <c r="B155" s="12">
        <f>+(H154*A155)+B158+I154</f>
        <v>23.674600000000005</v>
      </c>
      <c r="C155" s="4"/>
      <c r="D155" s="16"/>
      <c r="E155" s="13"/>
      <c r="F155" s="13"/>
      <c r="G155" s="14"/>
      <c r="H155" s="19"/>
      <c r="I155" s="10"/>
      <c r="J155" s="16">
        <f>+I151</f>
        <v>5.4655999999999993</v>
      </c>
      <c r="K155" s="14">
        <f>+I151</f>
        <v>5.4655999999999993</v>
      </c>
      <c r="L155" s="21">
        <f>+Temp!A22</f>
        <v>0.5</v>
      </c>
      <c r="M155" s="22">
        <f>+Temp!G22</f>
        <v>40.033293949982237</v>
      </c>
      <c r="N155" s="23">
        <f>+HR!G33</f>
        <v>27.937457387787664</v>
      </c>
      <c r="O155" s="22">
        <f t="shared" si="32"/>
        <v>23.674600000000005</v>
      </c>
      <c r="P155" s="28">
        <f t="shared" si="33"/>
        <v>31.696296919254046</v>
      </c>
      <c r="Q155" s="26">
        <f t="shared" si="34"/>
        <v>22.798876467693908</v>
      </c>
      <c r="R155" s="27">
        <f t="shared" si="35"/>
        <v>6.0470150249598067</v>
      </c>
    </row>
    <row r="156" spans="1:18" x14ac:dyDescent="0.25">
      <c r="A156" s="13"/>
      <c r="B156" s="14"/>
      <c r="C156" s="13"/>
      <c r="D156" s="16"/>
      <c r="E156" s="13"/>
      <c r="F156" s="13"/>
      <c r="G156" s="14"/>
      <c r="H156" s="19"/>
      <c r="I156" s="10"/>
      <c r="J156" s="16">
        <f>+H151</f>
        <v>-4.5039999999999997E-2</v>
      </c>
      <c r="K156" s="14">
        <f>+H151</f>
        <v>-4.5039999999999997E-2</v>
      </c>
      <c r="L156" s="21">
        <f>+Temp!A23</f>
        <v>0.54166666666666663</v>
      </c>
      <c r="M156" s="22">
        <f>+Temp!G23</f>
        <v>40.768768238883908</v>
      </c>
      <c r="N156" s="23">
        <f>+HR!G34</f>
        <v>26.575387741111232</v>
      </c>
      <c r="O156" s="22">
        <f t="shared" si="32"/>
        <v>23.674600000000005</v>
      </c>
      <c r="P156" s="28">
        <f t="shared" si="33"/>
        <v>31.757644536140354</v>
      </c>
      <c r="Q156" s="26">
        <f t="shared" si="34"/>
        <v>19.948974158624004</v>
      </c>
      <c r="R156" s="27">
        <f t="shared" si="35"/>
        <v>5.1299647894215639</v>
      </c>
    </row>
    <row r="157" spans="1:18" x14ac:dyDescent="0.25">
      <c r="A157" s="293" t="s">
        <v>48</v>
      </c>
      <c r="B157" s="292"/>
      <c r="C157" s="9"/>
      <c r="D157" s="16"/>
      <c r="E157" s="13"/>
      <c r="F157" s="13"/>
      <c r="G157" s="14"/>
      <c r="H157" s="19"/>
      <c r="I157" s="10"/>
      <c r="J157" s="16"/>
      <c r="K157" s="14"/>
      <c r="L157" s="21">
        <f>+Temp!A24</f>
        <v>0.58333333333333337</v>
      </c>
      <c r="M157" s="22">
        <f>+Temp!G24</f>
        <v>40.546769547204555</v>
      </c>
      <c r="N157" s="23">
        <f>+HR!G35</f>
        <v>26.986520644193249</v>
      </c>
      <c r="O157" s="22">
        <f t="shared" si="32"/>
        <v>23.674600000000005</v>
      </c>
      <c r="P157" s="28">
        <f t="shared" si="33"/>
        <v>31.739127110185539</v>
      </c>
      <c r="Q157" s="26">
        <f t="shared" si="34"/>
        <v>20.809200809065175</v>
      </c>
      <c r="R157" s="27">
        <f t="shared" si="35"/>
        <v>5.4067711381489367</v>
      </c>
    </row>
    <row r="158" spans="1:18" x14ac:dyDescent="0.25">
      <c r="A158" s="13">
        <v>50</v>
      </c>
      <c r="B158" s="15">
        <f>+Tn!G5</f>
        <v>27.489000000000004</v>
      </c>
      <c r="C158" s="20"/>
      <c r="D158" s="16"/>
      <c r="E158" s="13"/>
      <c r="F158" s="13"/>
      <c r="G158" s="14"/>
      <c r="H158" s="19"/>
      <c r="I158" s="10"/>
      <c r="J158" s="16">
        <f>+J154-J156</f>
        <v>-0.75696000000000008</v>
      </c>
      <c r="K158" s="14">
        <f>+K154-K156</f>
        <v>-0.21303000000000002</v>
      </c>
      <c r="L158" s="21">
        <f>+Temp!A25</f>
        <v>0.625</v>
      </c>
      <c r="M158" s="22">
        <f>+Temp!G25</f>
        <v>39.595591753672224</v>
      </c>
      <c r="N158" s="23">
        <f>+HR!G36</f>
        <v>28.748064753502383</v>
      </c>
      <c r="O158" s="22">
        <f t="shared" si="32"/>
        <v>23.674600000000005</v>
      </c>
      <c r="P158" s="28">
        <f t="shared" si="33"/>
        <v>31.659787163502255</v>
      </c>
      <c r="Q158" s="26">
        <f t="shared" si="34"/>
        <v>24.49493643712086</v>
      </c>
      <c r="R158" s="27">
        <f t="shared" si="35"/>
        <v>6.5927783620047116</v>
      </c>
    </row>
    <row r="159" spans="1:18" x14ac:dyDescent="0.25">
      <c r="A159" s="13" t="s">
        <v>52</v>
      </c>
      <c r="B159" s="15">
        <f>+Tn!G7</f>
        <v>3.5</v>
      </c>
      <c r="C159" s="20"/>
      <c r="D159" s="16"/>
      <c r="E159" s="13"/>
      <c r="F159" s="13"/>
      <c r="G159" s="14"/>
      <c r="H159" s="19"/>
      <c r="I159" s="10"/>
      <c r="J159" s="16">
        <f>+J155-J153</f>
        <v>-11.9284</v>
      </c>
      <c r="K159" s="14">
        <f>+K155-K153</f>
        <v>-12.962400000000002</v>
      </c>
      <c r="L159" s="21">
        <f>+Temp!A26</f>
        <v>0.66666666666666663</v>
      </c>
      <c r="M159" s="22">
        <f>+Temp!G26</f>
        <v>38.158854476345688</v>
      </c>
      <c r="N159" s="23">
        <f>+HR!G37</f>
        <v>31.408846055072352</v>
      </c>
      <c r="O159" s="22">
        <f t="shared" si="32"/>
        <v>23.674600000000005</v>
      </c>
      <c r="P159" s="28">
        <f t="shared" si="33"/>
        <v>31.539945573679542</v>
      </c>
      <c r="Q159" s="26">
        <f t="shared" si="34"/>
        <v>30.062175082939962</v>
      </c>
      <c r="R159" s="27">
        <f t="shared" si="35"/>
        <v>8.3842213511899182</v>
      </c>
    </row>
    <row r="160" spans="1:18" x14ac:dyDescent="0.25">
      <c r="A160" s="13"/>
      <c r="B160" s="14"/>
      <c r="C160" s="13"/>
      <c r="D160" s="16"/>
      <c r="E160" s="13"/>
      <c r="F160" s="13"/>
      <c r="G160" s="14"/>
      <c r="H160" s="19"/>
      <c r="I160" s="10"/>
      <c r="J160" s="16">
        <f>+J159/J158</f>
        <v>15.758296343267807</v>
      </c>
      <c r="K160" s="14">
        <f>+K159/K158</f>
        <v>60.847767920011272</v>
      </c>
      <c r="L160" s="21">
        <f>+Temp!A27</f>
        <v>0.70833333333333337</v>
      </c>
      <c r="M160" s="22">
        <f>+Temp!G27</f>
        <v>36.455460308612714</v>
      </c>
      <c r="N160" s="23">
        <f>+HR!G38</f>
        <v>34.563465498886742</v>
      </c>
      <c r="O160" s="22">
        <f t="shared" si="32"/>
        <v>23.674600000000005</v>
      </c>
      <c r="P160" s="28">
        <f t="shared" si="33"/>
        <v>31.397861513930145</v>
      </c>
      <c r="Q160" s="26">
        <f t="shared" si="34"/>
        <v>36.662687222022278</v>
      </c>
      <c r="R160" s="27">
        <f t="shared" si="35"/>
        <v>10.508154228662454</v>
      </c>
    </row>
    <row r="161" spans="1:18" x14ac:dyDescent="0.25">
      <c r="A161" s="13"/>
      <c r="B161" s="15"/>
      <c r="C161" s="20"/>
      <c r="D161" s="16"/>
      <c r="E161" s="13"/>
      <c r="F161" s="13"/>
      <c r="G161" s="14"/>
      <c r="H161" s="16"/>
      <c r="I161" s="14"/>
      <c r="J161" s="16"/>
      <c r="K161" s="14"/>
      <c r="L161" s="21">
        <f>+Temp!A28</f>
        <v>0.75</v>
      </c>
      <c r="M161" s="22">
        <f>+Temp!G28</f>
        <v>34.660953801379968</v>
      </c>
      <c r="N161" s="23">
        <f>+HR!G39</f>
        <v>37.88682143552353</v>
      </c>
      <c r="O161" s="22">
        <f t="shared" si="32"/>
        <v>23.674600000000005</v>
      </c>
      <c r="P161" s="28">
        <f t="shared" si="33"/>
        <v>31.248177562544022</v>
      </c>
      <c r="Q161" s="26">
        <f t="shared" si="34"/>
        <v>43.61625217429394</v>
      </c>
      <c r="R161" s="27">
        <f t="shared" si="35"/>
        <v>12.745693514488821</v>
      </c>
    </row>
    <row r="162" spans="1:18" x14ac:dyDescent="0.25">
      <c r="A162" s="13"/>
      <c r="B162" s="15"/>
      <c r="C162" s="20"/>
      <c r="D162" s="16"/>
      <c r="E162" s="13"/>
      <c r="F162" s="13"/>
      <c r="G162" s="14"/>
      <c r="H162" s="16"/>
      <c r="I162" s="14"/>
      <c r="J162" s="16"/>
      <c r="K162" s="14"/>
      <c r="L162" s="21">
        <f>+Temp!A29</f>
        <v>0.79166666666666663</v>
      </c>
      <c r="M162" s="22">
        <f>+Temp!G29</f>
        <v>32.903199685764967</v>
      </c>
      <c r="N162" s="23">
        <f>+HR!G40</f>
        <v>41.142113378869603</v>
      </c>
      <c r="O162" s="22">
        <f t="shared" si="32"/>
        <v>23.674600000000005</v>
      </c>
      <c r="P162" s="28">
        <f t="shared" si="33"/>
        <v>31.101559213415715</v>
      </c>
      <c r="Q162" s="26">
        <f t="shared" si="34"/>
        <v>50.427404635312264</v>
      </c>
      <c r="R162" s="27">
        <f t="shared" si="35"/>
        <v>14.937406875604781</v>
      </c>
    </row>
    <row r="163" spans="1:18" x14ac:dyDescent="0.25">
      <c r="A163" s="13"/>
      <c r="B163" s="15"/>
      <c r="C163" s="20"/>
      <c r="D163" s="16"/>
      <c r="E163" s="13"/>
      <c r="F163" s="13"/>
      <c r="G163" s="14"/>
      <c r="H163" s="16"/>
      <c r="I163" s="14"/>
      <c r="J163" s="16"/>
      <c r="K163" s="14"/>
      <c r="L163" s="21">
        <f>+Temp!A30</f>
        <v>0.83333333333333337</v>
      </c>
      <c r="M163" s="22">
        <f>+Temp!G30</f>
        <v>31.266302666257697</v>
      </c>
      <c r="N163" s="23">
        <f>+HR!G41</f>
        <v>44.173582702339161</v>
      </c>
      <c r="O163" s="22">
        <f t="shared" si="32"/>
        <v>23.674600000000005</v>
      </c>
      <c r="P163" s="28">
        <f t="shared" si="33"/>
        <v>30.965021835086649</v>
      </c>
      <c r="Q163" s="26">
        <f t="shared" si="34"/>
        <v>56.770245800528173</v>
      </c>
      <c r="R163" s="27">
        <f t="shared" si="35"/>
        <v>16.978425603169956</v>
      </c>
    </row>
    <row r="164" spans="1:18" x14ac:dyDescent="0.25">
      <c r="A164" s="13"/>
      <c r="B164" s="14"/>
      <c r="C164" s="13"/>
      <c r="D164" s="16"/>
      <c r="E164" s="13"/>
      <c r="F164" s="13"/>
      <c r="G164" s="14"/>
      <c r="H164" s="16"/>
      <c r="I164" s="14"/>
      <c r="J164" s="16"/>
      <c r="K164" s="14"/>
      <c r="L164" s="21">
        <f>+Temp!A31</f>
        <v>0.875</v>
      </c>
      <c r="M164" s="22">
        <f>+Temp!G31</f>
        <v>29.798356330791023</v>
      </c>
      <c r="N164" s="23">
        <f>+HR!G42</f>
        <v>46.892161960187821</v>
      </c>
      <c r="O164" s="22">
        <f t="shared" si="32"/>
        <v>23.674600000000005</v>
      </c>
      <c r="P164" s="28">
        <f t="shared" si="33"/>
        <v>30.842577025313144</v>
      </c>
      <c r="Q164" s="26">
        <f t="shared" si="34"/>
        <v>62.45841697682404</v>
      </c>
      <c r="R164" s="27">
        <f t="shared" si="35"/>
        <v>18.808782629936381</v>
      </c>
    </row>
    <row r="165" spans="1:18" x14ac:dyDescent="0.25">
      <c r="B165" s="14"/>
      <c r="C165" s="25"/>
      <c r="G165" s="14"/>
      <c r="I165" s="14"/>
      <c r="K165" s="14"/>
      <c r="L165" s="21">
        <f>+Temp!A32</f>
        <v>0.91666666666666663</v>
      </c>
      <c r="M165" s="22">
        <f>+Temp!G32</f>
        <v>28.520191918695687</v>
      </c>
      <c r="N165" s="23">
        <f>+HR!G43</f>
        <v>49.25927251109092</v>
      </c>
      <c r="O165" s="22">
        <f t="shared" si="32"/>
        <v>23.674600000000005</v>
      </c>
      <c r="P165" s="28">
        <f t="shared" si="33"/>
        <v>30.73596236610047</v>
      </c>
      <c r="Q165" s="26">
        <f t="shared" si="34"/>
        <v>67.411198827079147</v>
      </c>
      <c r="R165" s="27">
        <f t="shared" si="35"/>
        <v>20.402503842025329</v>
      </c>
    </row>
    <row r="166" spans="1:18" x14ac:dyDescent="0.25">
      <c r="B166" s="14"/>
      <c r="C166" s="25"/>
      <c r="G166" s="14"/>
      <c r="I166" s="14"/>
      <c r="K166" s="14"/>
      <c r="L166" s="21">
        <f>+Temp!A33</f>
        <v>0.95833333333333337</v>
      </c>
      <c r="M166" s="22">
        <f>+Temp!G33</f>
        <v>27.43353313282752</v>
      </c>
      <c r="N166" s="23">
        <f>+HR!G44</f>
        <v>51.271722124707786</v>
      </c>
      <c r="O166" s="22">
        <f t="shared" si="32"/>
        <v>23.674600000000005</v>
      </c>
      <c r="P166" s="28">
        <f t="shared" si="33"/>
        <v>30.645321635503166</v>
      </c>
      <c r="Q166" s="26">
        <f t="shared" si="34"/>
        <v>71.6219121446603</v>
      </c>
      <c r="R166" s="27">
        <f t="shared" si="35"/>
        <v>21.757439984005586</v>
      </c>
    </row>
    <row r="167" spans="1:18" x14ac:dyDescent="0.25">
      <c r="P167" s="7"/>
    </row>
    <row r="168" spans="1:18" x14ac:dyDescent="0.25">
      <c r="P168" s="7"/>
    </row>
    <row r="169" spans="1:18" x14ac:dyDescent="0.25">
      <c r="A169" s="9" t="s">
        <v>42</v>
      </c>
      <c r="B169" s="10" t="s">
        <v>43</v>
      </c>
      <c r="C169" s="9"/>
      <c r="D169" s="16" t="s">
        <v>52</v>
      </c>
      <c r="E169" s="13"/>
      <c r="F169" s="9" t="s">
        <v>44</v>
      </c>
      <c r="G169" s="17" t="s">
        <v>46</v>
      </c>
      <c r="H169" s="16"/>
      <c r="I169" s="14"/>
      <c r="J169" s="16"/>
      <c r="K169" s="14"/>
      <c r="L169" s="291" t="s">
        <v>62</v>
      </c>
      <c r="M169" s="293"/>
      <c r="N169" s="292"/>
      <c r="O169" s="291" t="s">
        <v>72</v>
      </c>
      <c r="P169" s="292"/>
      <c r="Q169" s="291" t="s">
        <v>73</v>
      </c>
      <c r="R169" s="292"/>
    </row>
    <row r="170" spans="1:18" x14ac:dyDescent="0.25">
      <c r="A170" s="9">
        <f>+A186</f>
        <v>50</v>
      </c>
      <c r="B170" s="11">
        <f>+(H179*A170)+B186+I179</f>
        <v>30.383800000000001</v>
      </c>
      <c r="C170" s="5">
        <f>+B170-B186</f>
        <v>2.6158000000000001</v>
      </c>
      <c r="D170" s="16">
        <v>2.5</v>
      </c>
      <c r="E170" s="18">
        <v>1</v>
      </c>
      <c r="F170" s="13">
        <v>-2.98</v>
      </c>
      <c r="G170" s="14">
        <v>4.2699999999999996</v>
      </c>
      <c r="H170" s="291" t="s">
        <v>51</v>
      </c>
      <c r="I170" s="292"/>
      <c r="J170" s="16"/>
      <c r="K170" s="14"/>
      <c r="L170" s="9" t="s">
        <v>56</v>
      </c>
      <c r="M170" s="9" t="s">
        <v>54</v>
      </c>
      <c r="N170" s="10" t="s">
        <v>55</v>
      </c>
      <c r="O170" s="19" t="s">
        <v>68</v>
      </c>
      <c r="P170" s="10" t="s">
        <v>69</v>
      </c>
      <c r="Q170" s="19" t="s">
        <v>70</v>
      </c>
      <c r="R170" s="10" t="s">
        <v>71</v>
      </c>
    </row>
    <row r="171" spans="1:18" x14ac:dyDescent="0.25">
      <c r="A171" s="9">
        <f>+A186</f>
        <v>50</v>
      </c>
      <c r="B171" s="11">
        <f>B186+I173</f>
        <v>24.370800000000003</v>
      </c>
      <c r="C171" s="5">
        <f>+B186-B171</f>
        <v>3.397199999999998</v>
      </c>
      <c r="D171" s="16">
        <v>3</v>
      </c>
      <c r="E171" s="18">
        <v>1.1399999999999999</v>
      </c>
      <c r="F171" s="13">
        <f t="shared" ref="F171:F179" si="36">$F$170*E171</f>
        <v>-3.3971999999999998</v>
      </c>
      <c r="G171" s="14">
        <f t="shared" ref="G171:G179" si="37">$G$170*E171</f>
        <v>4.867799999999999</v>
      </c>
      <c r="H171" s="19" t="s">
        <v>49</v>
      </c>
      <c r="I171" s="10" t="s">
        <v>50</v>
      </c>
      <c r="J171" s="16"/>
      <c r="K171" s="14"/>
      <c r="L171" s="21">
        <f>+Temp!A10</f>
        <v>0</v>
      </c>
      <c r="M171" s="22">
        <f>+Temp!H10</f>
        <v>28.45790372175837</v>
      </c>
      <c r="N171" s="23">
        <f>+HR!H21</f>
        <v>57.336624348098432</v>
      </c>
      <c r="O171" s="22">
        <f t="shared" ref="O171:O194" si="38">$B$173</f>
        <v>24.370800000000003</v>
      </c>
      <c r="P171" s="28">
        <f t="shared" ref="P171:P194" si="39">+($H$179*N171)+$B$186+$I$179</f>
        <v>30.053358439361645</v>
      </c>
      <c r="Q171" s="26">
        <f t="shared" ref="Q171:Q194" si="40">+(M171-$B$186-$I$176)/$H$176</f>
        <v>68.733662487858453</v>
      </c>
      <c r="R171" s="27">
        <f t="shared" ref="R171:R194" si="41">+(M171-$B$186-$I$182)/$H$182</f>
        <v>20.828050222246418</v>
      </c>
    </row>
    <row r="172" spans="1:18" x14ac:dyDescent="0.25">
      <c r="A172" s="293" t="s">
        <v>44</v>
      </c>
      <c r="B172" s="292"/>
      <c r="C172" s="24">
        <f>+C170+C171</f>
        <v>6.0129999999999981</v>
      </c>
      <c r="D172" s="16">
        <v>3.5</v>
      </c>
      <c r="E172" s="18">
        <v>1.28</v>
      </c>
      <c r="F172" s="13">
        <f t="shared" si="36"/>
        <v>-3.8144</v>
      </c>
      <c r="G172" s="14">
        <f t="shared" si="37"/>
        <v>5.4655999999999993</v>
      </c>
      <c r="H172" s="291" t="s">
        <v>44</v>
      </c>
      <c r="I172" s="292"/>
      <c r="J172" s="16"/>
      <c r="K172" s="14"/>
      <c r="L172" s="21">
        <f>+Temp!A11</f>
        <v>4.1666666666666664E-2</v>
      </c>
      <c r="M172" s="22">
        <f>+Temp!H11</f>
        <v>27.840595798607318</v>
      </c>
      <c r="N172" s="23">
        <f>+HR!H22</f>
        <v>58.663995234471358</v>
      </c>
      <c r="O172" s="22">
        <f t="shared" si="38"/>
        <v>24.370800000000003</v>
      </c>
      <c r="P172" s="28">
        <f t="shared" si="39"/>
        <v>29.993573654639409</v>
      </c>
      <c r="Q172" s="26">
        <f t="shared" si="40"/>
        <v>71.12567985969963</v>
      </c>
      <c r="R172" s="27">
        <f t="shared" si="41"/>
        <v>21.597760849616808</v>
      </c>
    </row>
    <row r="173" spans="1:18" x14ac:dyDescent="0.25">
      <c r="A173" s="2">
        <f>+J178</f>
        <v>25.924189526184534</v>
      </c>
      <c r="B173" s="11">
        <f>B186+I173</f>
        <v>24.370800000000003</v>
      </c>
      <c r="C173" s="5"/>
      <c r="D173" s="16">
        <v>4</v>
      </c>
      <c r="E173" s="18">
        <v>1.42</v>
      </c>
      <c r="F173" s="13">
        <f t="shared" si="36"/>
        <v>-4.2315999999999994</v>
      </c>
      <c r="G173" s="14">
        <f t="shared" si="37"/>
        <v>6.0633999999999988</v>
      </c>
      <c r="H173" s="19">
        <v>0</v>
      </c>
      <c r="I173" s="10">
        <f>+IF(B187=D170,F170,IF(B187=D171,F171,IF(B187=D172,F172,IF(B187=D173,F173,IF(B187=D174,F174,IF(B187=D175,F175,IF(B187=D176,F176,IF(B187=D177,F177,IF(B187=D178,F178,F179)))))))))</f>
        <v>-3.3971999999999998</v>
      </c>
      <c r="J173" s="16">
        <f>+I182</f>
        <v>17.393999999999998</v>
      </c>
      <c r="K173" s="14">
        <f>+I176</f>
        <v>18.428000000000001</v>
      </c>
      <c r="L173" s="21">
        <f>+Temp!A12</f>
        <v>8.3333333333333329E-2</v>
      </c>
      <c r="M173" s="22">
        <f>+Temp!H12</f>
        <v>27.34134834732761</v>
      </c>
      <c r="N173" s="23">
        <f>+HR!H23</f>
        <v>59.737505725867422</v>
      </c>
      <c r="O173" s="22">
        <f t="shared" si="38"/>
        <v>24.370800000000003</v>
      </c>
      <c r="P173" s="28">
        <f t="shared" si="39"/>
        <v>29.945222742106932</v>
      </c>
      <c r="Q173" s="26">
        <f t="shared" si="40"/>
        <v>73.060222624374745</v>
      </c>
      <c r="R173" s="27">
        <f t="shared" si="41"/>
        <v>22.220263906075296</v>
      </c>
    </row>
    <row r="174" spans="1:18" x14ac:dyDescent="0.25">
      <c r="A174" s="2">
        <f>+K178</f>
        <v>84.570852869376523</v>
      </c>
      <c r="B174" s="11">
        <f>B186+I173</f>
        <v>24.370800000000003</v>
      </c>
      <c r="C174" s="5"/>
      <c r="D174" s="16">
        <v>4.5</v>
      </c>
      <c r="E174" s="18">
        <v>1.56</v>
      </c>
      <c r="F174" s="13">
        <f t="shared" si="36"/>
        <v>-4.6488000000000005</v>
      </c>
      <c r="G174" s="14">
        <f t="shared" si="37"/>
        <v>6.6611999999999991</v>
      </c>
      <c r="H174" s="19"/>
      <c r="I174" s="10"/>
      <c r="J174" s="16">
        <f>+H182</f>
        <v>-0.80200000000000005</v>
      </c>
      <c r="K174" s="14">
        <f>+H176</f>
        <v>-0.25807000000000002</v>
      </c>
      <c r="L174" s="21">
        <f>+Temp!A13</f>
        <v>0.125</v>
      </c>
      <c r="M174" s="22">
        <f>+Temp!H13</f>
        <v>26.942671246532832</v>
      </c>
      <c r="N174" s="23">
        <f>+HR!H24</f>
        <v>60.594764083993283</v>
      </c>
      <c r="O174" s="22">
        <f t="shared" si="38"/>
        <v>24.370800000000003</v>
      </c>
      <c r="P174" s="28">
        <f t="shared" si="39"/>
        <v>29.906611825656942</v>
      </c>
      <c r="Q174" s="26">
        <f t="shared" si="40"/>
        <v>74.605063562084581</v>
      </c>
      <c r="R174" s="27">
        <f t="shared" si="41"/>
        <v>22.71736752302639</v>
      </c>
    </row>
    <row r="175" spans="1:18" x14ac:dyDescent="0.25">
      <c r="A175" s="294" t="s">
        <v>45</v>
      </c>
      <c r="B175" s="295"/>
      <c r="C175" s="8"/>
      <c r="D175" s="16">
        <v>5</v>
      </c>
      <c r="E175" s="18">
        <v>1.7</v>
      </c>
      <c r="F175" s="13">
        <f t="shared" si="36"/>
        <v>-5.0659999999999998</v>
      </c>
      <c r="G175" s="14">
        <f t="shared" si="37"/>
        <v>7.2589999999999995</v>
      </c>
      <c r="H175" s="296" t="s">
        <v>45</v>
      </c>
      <c r="I175" s="295"/>
      <c r="J175" s="16">
        <f>+I173</f>
        <v>-3.3971999999999998</v>
      </c>
      <c r="K175" s="14">
        <f>+I173</f>
        <v>-3.3971999999999998</v>
      </c>
      <c r="L175" s="21">
        <f>+Temp!A14</f>
        <v>0.16666666666666666</v>
      </c>
      <c r="M175" s="22">
        <f>+Temp!H14</f>
        <v>26.627835220398595</v>
      </c>
      <c r="N175" s="23">
        <f>+HR!H25</f>
        <v>61.271742556809151</v>
      </c>
      <c r="O175" s="22">
        <f t="shared" si="38"/>
        <v>24.370800000000003</v>
      </c>
      <c r="P175" s="28">
        <f t="shared" si="39"/>
        <v>29.876120715241317</v>
      </c>
      <c r="Q175" s="26">
        <f t="shared" si="40"/>
        <v>75.825027239126612</v>
      </c>
      <c r="R175" s="27">
        <f t="shared" si="41"/>
        <v>23.109931146635166</v>
      </c>
    </row>
    <row r="176" spans="1:18" x14ac:dyDescent="0.25">
      <c r="A176" s="2">
        <f>+K188</f>
        <v>63.653945453691968</v>
      </c>
      <c r="B176" s="11">
        <f>+(H176*A176)+B186+I176</f>
        <v>29.768826296765713</v>
      </c>
      <c r="C176" s="5"/>
      <c r="D176" s="16">
        <v>5.5</v>
      </c>
      <c r="E176" s="18">
        <v>1.84</v>
      </c>
      <c r="F176" s="13">
        <f t="shared" si="36"/>
        <v>-5.4832000000000001</v>
      </c>
      <c r="G176" s="14">
        <f t="shared" si="37"/>
        <v>7.8567999999999998</v>
      </c>
      <c r="H176" s="19">
        <v>-0.25807000000000002</v>
      </c>
      <c r="I176" s="10">
        <v>18.428000000000001</v>
      </c>
      <c r="J176" s="16"/>
      <c r="K176" s="14"/>
      <c r="L176" s="21">
        <f>+Temp!A15</f>
        <v>0.20833333333333334</v>
      </c>
      <c r="M176" s="22">
        <f>+Temp!H15</f>
        <v>26.381655475146303</v>
      </c>
      <c r="N176" s="23">
        <f>+HR!H26</f>
        <v>61.801092358435838</v>
      </c>
      <c r="O176" s="22">
        <f t="shared" si="38"/>
        <v>24.370800000000003</v>
      </c>
      <c r="P176" s="28">
        <f t="shared" si="39"/>
        <v>29.852278800176048</v>
      </c>
      <c r="Q176" s="26">
        <f t="shared" si="40"/>
        <v>76.778953481046599</v>
      </c>
      <c r="R176" s="27">
        <f t="shared" si="41"/>
        <v>23.416888434979668</v>
      </c>
    </row>
    <row r="177" spans="1:18" x14ac:dyDescent="0.25">
      <c r="A177" s="2">
        <f>+K178</f>
        <v>84.570852869376523</v>
      </c>
      <c r="B177" s="11">
        <f>+(H176*A177)+B186+I176</f>
        <v>24.370799999999999</v>
      </c>
      <c r="C177" s="5"/>
      <c r="D177" s="16">
        <v>6</v>
      </c>
      <c r="E177" s="18">
        <v>1.98</v>
      </c>
      <c r="F177" s="13">
        <f t="shared" si="36"/>
        <v>-5.9004000000000003</v>
      </c>
      <c r="G177" s="14">
        <f t="shared" si="37"/>
        <v>8.4545999999999992</v>
      </c>
      <c r="H177" s="19"/>
      <c r="I177" s="10"/>
      <c r="J177" s="16">
        <f>+J175-J173</f>
        <v>-20.791199999999996</v>
      </c>
      <c r="K177" s="14">
        <f>+K175-K173</f>
        <v>-21.825200000000002</v>
      </c>
      <c r="L177" s="21">
        <f>+Temp!A16</f>
        <v>0.25</v>
      </c>
      <c r="M177" s="22">
        <f>+Temp!H16</f>
        <v>25.730258590785578</v>
      </c>
      <c r="N177" s="23">
        <f>+HR!H27</f>
        <v>63.201763283508171</v>
      </c>
      <c r="O177" s="22">
        <f t="shared" si="38"/>
        <v>24.370800000000003</v>
      </c>
      <c r="P177" s="28">
        <f t="shared" si="39"/>
        <v>29.789192581710793</v>
      </c>
      <c r="Q177" s="26">
        <f t="shared" si="40"/>
        <v>79.303062770622006</v>
      </c>
      <c r="R177" s="27">
        <f t="shared" si="41"/>
        <v>24.229104001514241</v>
      </c>
    </row>
    <row r="178" spans="1:18" x14ac:dyDescent="0.25">
      <c r="A178" s="294" t="s">
        <v>46</v>
      </c>
      <c r="B178" s="295"/>
      <c r="C178" s="8"/>
      <c r="D178" s="16">
        <v>6.5</v>
      </c>
      <c r="E178" s="18">
        <v>2.12</v>
      </c>
      <c r="F178" s="13">
        <f t="shared" si="36"/>
        <v>-6.3176000000000005</v>
      </c>
      <c r="G178" s="14">
        <f t="shared" si="37"/>
        <v>9.0523999999999987</v>
      </c>
      <c r="H178" s="296" t="s">
        <v>46</v>
      </c>
      <c r="I178" s="295"/>
      <c r="J178" s="16">
        <f>+J177/J174</f>
        <v>25.924189526184534</v>
      </c>
      <c r="K178" s="14">
        <f>+K177/K174</f>
        <v>84.570852869376523</v>
      </c>
      <c r="L178" s="21">
        <f>+Temp!A17</f>
        <v>0.29166666666666669</v>
      </c>
      <c r="M178" s="22">
        <f>+Temp!H17</f>
        <v>26.850055070741991</v>
      </c>
      <c r="N178" s="23">
        <f>+HR!H28</f>
        <v>60.793912694826645</v>
      </c>
      <c r="O178" s="22">
        <f t="shared" si="38"/>
        <v>24.370800000000003</v>
      </c>
      <c r="P178" s="28">
        <f t="shared" si="39"/>
        <v>29.897642172225009</v>
      </c>
      <c r="Q178" s="26">
        <f t="shared" si="40"/>
        <v>74.963943617072914</v>
      </c>
      <c r="R178" s="27">
        <f t="shared" si="41"/>
        <v>22.83284903897507</v>
      </c>
    </row>
    <row r="179" spans="1:18" x14ac:dyDescent="0.25">
      <c r="A179" s="2">
        <f>+J188</f>
        <v>16.548034242232085</v>
      </c>
      <c r="B179" s="11">
        <f>+(H179*A179)+B186+I179</f>
        <v>31.890476537729867</v>
      </c>
      <c r="C179" s="5"/>
      <c r="D179" s="16">
        <v>7</v>
      </c>
      <c r="E179" s="18">
        <v>2.2599999999999998</v>
      </c>
      <c r="F179" s="13">
        <f t="shared" si="36"/>
        <v>-6.734799999999999</v>
      </c>
      <c r="G179" s="14">
        <f t="shared" si="37"/>
        <v>9.6501999999999981</v>
      </c>
      <c r="H179" s="19">
        <v>-4.5039999999999997E-2</v>
      </c>
      <c r="I179" s="10">
        <f>+IF(B187=D170,G170,IF(B187=D171,G171,IF(B187=D172,G172,IF(B187=D173,G173,IF(B187=D174,G174,IF(B187=D175,G175,IF(B187=D176,G176,IF(B187=D177,G177,IF(B187=D178,G178,G179)))))))))</f>
        <v>4.867799999999999</v>
      </c>
      <c r="J179" s="16"/>
      <c r="K179" s="14"/>
      <c r="L179" s="21">
        <f>+Temp!A18</f>
        <v>0.33333333333333331</v>
      </c>
      <c r="M179" s="22">
        <f>+Temp!H18</f>
        <v>29.23294092211912</v>
      </c>
      <c r="N179" s="23">
        <f>+HR!H29</f>
        <v>55.670094927313556</v>
      </c>
      <c r="O179" s="22">
        <f t="shared" si="38"/>
        <v>24.370800000000003</v>
      </c>
      <c r="P179" s="28">
        <f t="shared" si="39"/>
        <v>30.128418924473799</v>
      </c>
      <c r="Q179" s="26">
        <f t="shared" si="40"/>
        <v>65.73045715457387</v>
      </c>
      <c r="R179" s="27">
        <f t="shared" si="41"/>
        <v>19.861669673168176</v>
      </c>
    </row>
    <row r="180" spans="1:18" x14ac:dyDescent="0.25">
      <c r="A180" s="2">
        <f>+K188</f>
        <v>63.653945453691968</v>
      </c>
      <c r="B180" s="11">
        <f>+(H179*A180)+B186+I179</f>
        <v>29.768826296765713</v>
      </c>
      <c r="C180" s="5"/>
      <c r="D180" s="16"/>
      <c r="E180" s="13"/>
      <c r="F180" s="13"/>
      <c r="G180" s="14"/>
      <c r="H180" s="19"/>
      <c r="I180" s="10"/>
      <c r="J180" s="16"/>
      <c r="K180" s="14"/>
      <c r="L180" s="21">
        <f>+Temp!A19</f>
        <v>0.375</v>
      </c>
      <c r="M180" s="22">
        <f>+Temp!H19</f>
        <v>32.311992367357966</v>
      </c>
      <c r="N180" s="23">
        <f>+HR!H30</f>
        <v>49.049341988987081</v>
      </c>
      <c r="O180" s="22">
        <f t="shared" si="38"/>
        <v>24.370800000000003</v>
      </c>
      <c r="P180" s="28">
        <f t="shared" si="39"/>
        <v>30.426617636816022</v>
      </c>
      <c r="Q180" s="26">
        <f t="shared" si="40"/>
        <v>53.799386339528169</v>
      </c>
      <c r="R180" s="27">
        <f t="shared" si="41"/>
        <v>16.022453407284328</v>
      </c>
    </row>
    <row r="181" spans="1:18" x14ac:dyDescent="0.25">
      <c r="A181" s="293" t="s">
        <v>47</v>
      </c>
      <c r="B181" s="292"/>
      <c r="C181" s="9"/>
      <c r="D181" s="16"/>
      <c r="E181" s="13"/>
      <c r="F181" s="13"/>
      <c r="G181" s="14"/>
      <c r="H181" s="291" t="s">
        <v>47</v>
      </c>
      <c r="I181" s="292"/>
      <c r="J181" s="16">
        <f>+I182</f>
        <v>17.393999999999998</v>
      </c>
      <c r="K181" s="14">
        <f>+I176</f>
        <v>18.428000000000001</v>
      </c>
      <c r="L181" s="21">
        <f>+Temp!A20</f>
        <v>0.41666666666666669</v>
      </c>
      <c r="M181" s="22">
        <f>+Temp!H20</f>
        <v>35.348819369711492</v>
      </c>
      <c r="N181" s="23">
        <f>+HR!H31</f>
        <v>42.519382468462865</v>
      </c>
      <c r="O181" s="22">
        <f t="shared" si="38"/>
        <v>24.370800000000003</v>
      </c>
      <c r="P181" s="28">
        <f t="shared" si="39"/>
        <v>30.720727013620433</v>
      </c>
      <c r="Q181" s="26">
        <f t="shared" si="40"/>
        <v>42.031931763817987</v>
      </c>
      <c r="R181" s="27">
        <f t="shared" si="41"/>
        <v>12.235886072678936</v>
      </c>
    </row>
    <row r="182" spans="1:18" x14ac:dyDescent="0.25">
      <c r="A182" s="3">
        <f>+J188</f>
        <v>16.548034242232085</v>
      </c>
      <c r="B182" s="12">
        <f>+(H182*A182)+B186+I182</f>
        <v>31.890476537729867</v>
      </c>
      <c r="C182" s="4"/>
      <c r="D182" s="16"/>
      <c r="E182" s="13"/>
      <c r="F182" s="13"/>
      <c r="G182" s="14"/>
      <c r="H182" s="19">
        <v>-0.80200000000000005</v>
      </c>
      <c r="I182" s="10">
        <v>17.393999999999998</v>
      </c>
      <c r="J182" s="16">
        <f>+H182</f>
        <v>-0.80200000000000005</v>
      </c>
      <c r="K182" s="14">
        <f>+H176</f>
        <v>-0.25807000000000002</v>
      </c>
      <c r="L182" s="21">
        <f>+Temp!A21</f>
        <v>0.45833333333333331</v>
      </c>
      <c r="M182" s="22">
        <f>+Temp!H21</f>
        <v>37.792658673736817</v>
      </c>
      <c r="N182" s="23">
        <f>+HR!H32</f>
        <v>37.264499092628839</v>
      </c>
      <c r="O182" s="22">
        <f t="shared" si="38"/>
        <v>24.370800000000003</v>
      </c>
      <c r="P182" s="28">
        <f t="shared" si="39"/>
        <v>30.957406960867996</v>
      </c>
      <c r="Q182" s="26">
        <f t="shared" si="40"/>
        <v>32.562255691336397</v>
      </c>
      <c r="R182" s="27">
        <f t="shared" si="41"/>
        <v>9.1887048955900017</v>
      </c>
    </row>
    <row r="183" spans="1:18" x14ac:dyDescent="0.25">
      <c r="A183" s="3">
        <f>+J178</f>
        <v>25.924189526184534</v>
      </c>
      <c r="B183" s="12">
        <f>+(H182*A183)+B186+I182</f>
        <v>24.370800000000003</v>
      </c>
      <c r="C183" s="4"/>
      <c r="D183" s="16"/>
      <c r="E183" s="13"/>
      <c r="F183" s="13"/>
      <c r="G183" s="14"/>
      <c r="H183" s="19"/>
      <c r="I183" s="10"/>
      <c r="J183" s="16">
        <f>+I179</f>
        <v>4.867799999999999</v>
      </c>
      <c r="K183" s="14">
        <f>+I179</f>
        <v>4.867799999999999</v>
      </c>
      <c r="L183" s="21">
        <f>+Temp!A22</f>
        <v>0.5</v>
      </c>
      <c r="M183" s="22">
        <f>+Temp!H22</f>
        <v>39.369540012390161</v>
      </c>
      <c r="N183" s="23">
        <f>+HR!H33</f>
        <v>33.87379843628711</v>
      </c>
      <c r="O183" s="22">
        <f t="shared" si="38"/>
        <v>24.370800000000003</v>
      </c>
      <c r="P183" s="28">
        <f t="shared" si="39"/>
        <v>31.110124118429628</v>
      </c>
      <c r="Q183" s="26">
        <f t="shared" si="40"/>
        <v>26.451970347618243</v>
      </c>
      <c r="R183" s="27">
        <f t="shared" si="41"/>
        <v>7.2225186877928156</v>
      </c>
    </row>
    <row r="184" spans="1:18" x14ac:dyDescent="0.25">
      <c r="A184" s="13"/>
      <c r="B184" s="14"/>
      <c r="C184" s="13"/>
      <c r="D184" s="16"/>
      <c r="E184" s="13"/>
      <c r="F184" s="13"/>
      <c r="G184" s="14"/>
      <c r="H184" s="19"/>
      <c r="I184" s="10"/>
      <c r="J184" s="16">
        <f>+H179</f>
        <v>-4.5039999999999997E-2</v>
      </c>
      <c r="K184" s="14">
        <f>+H179</f>
        <v>-4.5039999999999997E-2</v>
      </c>
      <c r="L184" s="21">
        <f>+Temp!A23</f>
        <v>0.54166666666666663</v>
      </c>
      <c r="M184" s="22">
        <f>+Temp!H23</f>
        <v>40.039436934936298</v>
      </c>
      <c r="N184" s="23">
        <f>+HR!H34</f>
        <v>32.433347668508809</v>
      </c>
      <c r="O184" s="22">
        <f t="shared" si="38"/>
        <v>24.370800000000003</v>
      </c>
      <c r="P184" s="28">
        <f t="shared" si="39"/>
        <v>31.175002021010364</v>
      </c>
      <c r="Q184" s="26">
        <f t="shared" si="40"/>
        <v>23.856174933404517</v>
      </c>
      <c r="R184" s="27">
        <f t="shared" si="41"/>
        <v>6.3872357419746901</v>
      </c>
    </row>
    <row r="185" spans="1:18" x14ac:dyDescent="0.25">
      <c r="A185" s="293" t="s">
        <v>48</v>
      </c>
      <c r="B185" s="292"/>
      <c r="C185" s="9"/>
      <c r="D185" s="16"/>
      <c r="E185" s="13"/>
      <c r="F185" s="13"/>
      <c r="G185" s="14"/>
      <c r="H185" s="19"/>
      <c r="I185" s="10"/>
      <c r="J185" s="16"/>
      <c r="K185" s="14"/>
      <c r="L185" s="21">
        <f>+Temp!A24</f>
        <v>0.58333333333333337</v>
      </c>
      <c r="M185" s="22">
        <f>+Temp!H24</f>
        <v>39.913222393884482</v>
      </c>
      <c r="N185" s="23">
        <f>+HR!H35</f>
        <v>32.704741410507005</v>
      </c>
      <c r="O185" s="22">
        <f t="shared" si="38"/>
        <v>24.370800000000003</v>
      </c>
      <c r="P185" s="28">
        <f t="shared" si="39"/>
        <v>31.162778446870764</v>
      </c>
      <c r="Q185" s="26">
        <f t="shared" si="40"/>
        <v>24.345245887222532</v>
      </c>
      <c r="R185" s="27">
        <f t="shared" si="41"/>
        <v>6.5446104814407944</v>
      </c>
    </row>
    <row r="186" spans="1:18" x14ac:dyDescent="0.25">
      <c r="A186" s="13">
        <v>50</v>
      </c>
      <c r="B186" s="15">
        <f>+Tn!H5</f>
        <v>27.768000000000001</v>
      </c>
      <c r="C186" s="20"/>
      <c r="D186" s="16"/>
      <c r="E186" s="13"/>
      <c r="F186" s="13"/>
      <c r="G186" s="14"/>
      <c r="H186" s="19"/>
      <c r="I186" s="10"/>
      <c r="J186" s="16">
        <f>+J182-J184</f>
        <v>-0.75696000000000008</v>
      </c>
      <c r="K186" s="14">
        <f>+K182-K184</f>
        <v>-0.21303000000000002</v>
      </c>
      <c r="L186" s="21">
        <f>+Temp!A25</f>
        <v>0.625</v>
      </c>
      <c r="M186" s="22">
        <f>+Temp!H25</f>
        <v>39.174664429926359</v>
      </c>
      <c r="N186" s="23">
        <f>+HR!H36</f>
        <v>34.29283108583909</v>
      </c>
      <c r="O186" s="22">
        <f t="shared" si="38"/>
        <v>24.370800000000003</v>
      </c>
      <c r="P186" s="28">
        <f t="shared" si="39"/>
        <v>31.091250887893807</v>
      </c>
      <c r="Q186" s="26">
        <f t="shared" si="40"/>
        <v>27.207097183220217</v>
      </c>
      <c r="R186" s="27">
        <f t="shared" si="41"/>
        <v>7.4655056983461838</v>
      </c>
    </row>
    <row r="187" spans="1:18" x14ac:dyDescent="0.25">
      <c r="A187" s="13" t="s">
        <v>52</v>
      </c>
      <c r="B187" s="15">
        <f>+Tn!H7</f>
        <v>3</v>
      </c>
      <c r="C187" s="20"/>
      <c r="D187" s="16"/>
      <c r="E187" s="13"/>
      <c r="F187" s="13"/>
      <c r="G187" s="14"/>
      <c r="H187" s="19"/>
      <c r="I187" s="10"/>
      <c r="J187" s="16">
        <f>+J183-J181</f>
        <v>-12.526199999999999</v>
      </c>
      <c r="K187" s="14">
        <f>+K183-K181</f>
        <v>-13.560200000000002</v>
      </c>
      <c r="L187" s="21">
        <f>+Temp!A26</f>
        <v>0.66666666666666663</v>
      </c>
      <c r="M187" s="22">
        <f>+Temp!H26</f>
        <v>38.023556693337206</v>
      </c>
      <c r="N187" s="23">
        <f>+HR!H37</f>
        <v>36.768008933594018</v>
      </c>
      <c r="O187" s="22">
        <f t="shared" si="38"/>
        <v>24.370800000000003</v>
      </c>
      <c r="P187" s="28">
        <f t="shared" si="39"/>
        <v>30.979768877630924</v>
      </c>
      <c r="Q187" s="26">
        <f t="shared" si="40"/>
        <v>31.667544877989673</v>
      </c>
      <c r="R187" s="27">
        <f t="shared" si="41"/>
        <v>8.9008021280084701</v>
      </c>
    </row>
    <row r="188" spans="1:18" x14ac:dyDescent="0.25">
      <c r="A188" s="13"/>
      <c r="B188" s="14"/>
      <c r="C188" s="13"/>
      <c r="D188" s="16"/>
      <c r="E188" s="13"/>
      <c r="F188" s="13"/>
      <c r="G188" s="14"/>
      <c r="H188" s="19"/>
      <c r="I188" s="10"/>
      <c r="J188" s="16">
        <f>+J187/J186</f>
        <v>16.548034242232085</v>
      </c>
      <c r="K188" s="14">
        <f>+K187/K186</f>
        <v>63.653945453691968</v>
      </c>
      <c r="L188" s="21">
        <f>+Temp!A27</f>
        <v>0.70833333333333337</v>
      </c>
      <c r="M188" s="22">
        <f>+Temp!H27</f>
        <v>36.641339773781752</v>
      </c>
      <c r="N188" s="23">
        <f>+HR!H38</f>
        <v>39.740130995959056</v>
      </c>
      <c r="O188" s="22">
        <f t="shared" si="38"/>
        <v>24.370800000000003</v>
      </c>
      <c r="P188" s="28">
        <f t="shared" si="39"/>
        <v>30.845904499942005</v>
      </c>
      <c r="Q188" s="26">
        <f t="shared" si="40"/>
        <v>37.023521626761145</v>
      </c>
      <c r="R188" s="27">
        <f t="shared" si="41"/>
        <v>10.624264621219758</v>
      </c>
    </row>
    <row r="189" spans="1:18" x14ac:dyDescent="0.25">
      <c r="A189" s="13"/>
      <c r="B189" s="15"/>
      <c r="C189" s="20"/>
      <c r="D189" s="16"/>
      <c r="E189" s="13"/>
      <c r="F189" s="13"/>
      <c r="G189" s="14"/>
      <c r="H189" s="16"/>
      <c r="I189" s="14"/>
      <c r="J189" s="16"/>
      <c r="K189" s="14"/>
      <c r="L189" s="21">
        <f>+Temp!A28</f>
        <v>0.75</v>
      </c>
      <c r="M189" s="22">
        <f>+Temp!H28</f>
        <v>35.174682894902659</v>
      </c>
      <c r="N189" s="23">
        <f>+HR!H39</f>
        <v>42.893820699770473</v>
      </c>
      <c r="O189" s="22">
        <f t="shared" si="38"/>
        <v>24.370800000000003</v>
      </c>
      <c r="P189" s="28">
        <f t="shared" si="39"/>
        <v>30.703862315682336</v>
      </c>
      <c r="Q189" s="26">
        <f t="shared" si="40"/>
        <v>42.70669626495657</v>
      </c>
      <c r="R189" s="27">
        <f t="shared" si="41"/>
        <v>12.453013846754788</v>
      </c>
    </row>
    <row r="190" spans="1:18" x14ac:dyDescent="0.25">
      <c r="A190" s="13"/>
      <c r="B190" s="15"/>
      <c r="C190" s="20"/>
      <c r="D190" s="16"/>
      <c r="E190" s="13"/>
      <c r="F190" s="13"/>
      <c r="G190" s="14"/>
      <c r="H190" s="16"/>
      <c r="I190" s="14"/>
      <c r="J190" s="16"/>
      <c r="K190" s="14"/>
      <c r="L190" s="21">
        <f>+Temp!A29</f>
        <v>0.79166666666666663</v>
      </c>
      <c r="M190" s="22">
        <f>+Temp!H29</f>
        <v>33.7312217070549</v>
      </c>
      <c r="N190" s="23">
        <f>+HR!H40</f>
        <v>45.997633698926762</v>
      </c>
      <c r="O190" s="22">
        <f t="shared" si="38"/>
        <v>24.370800000000003</v>
      </c>
      <c r="P190" s="28">
        <f t="shared" si="39"/>
        <v>30.56406657820034</v>
      </c>
      <c r="Q190" s="26">
        <f t="shared" si="40"/>
        <v>48.299989510385167</v>
      </c>
      <c r="R190" s="27">
        <f t="shared" si="41"/>
        <v>14.252840764270697</v>
      </c>
    </row>
    <row r="191" spans="1:18" x14ac:dyDescent="0.25">
      <c r="A191" s="13"/>
      <c r="B191" s="15"/>
      <c r="C191" s="20"/>
      <c r="D191" s="16"/>
      <c r="E191" s="13"/>
      <c r="F191" s="13"/>
      <c r="G191" s="14"/>
      <c r="H191" s="16"/>
      <c r="I191" s="14"/>
      <c r="J191" s="16"/>
      <c r="K191" s="14"/>
      <c r="L191" s="21">
        <f>+Temp!A30</f>
        <v>0.83333333333333337</v>
      </c>
      <c r="M191" s="22">
        <f>+Temp!H30</f>
        <v>32.382383413516408</v>
      </c>
      <c r="N191" s="23">
        <f>+HR!H41</f>
        <v>48.897983126047009</v>
      </c>
      <c r="O191" s="22">
        <f t="shared" si="38"/>
        <v>24.370800000000003</v>
      </c>
      <c r="P191" s="28">
        <f t="shared" si="39"/>
        <v>30.433434840002842</v>
      </c>
      <c r="Q191" s="26">
        <f t="shared" si="40"/>
        <v>53.526626831803746</v>
      </c>
      <c r="R191" s="27">
        <f t="shared" si="41"/>
        <v>15.934684023046872</v>
      </c>
    </row>
    <row r="192" spans="1:18" x14ac:dyDescent="0.25">
      <c r="A192" s="13"/>
      <c r="B192" s="14"/>
      <c r="C192" s="13"/>
      <c r="D192" s="16"/>
      <c r="E192" s="13"/>
      <c r="F192" s="13"/>
      <c r="G192" s="14"/>
      <c r="H192" s="16"/>
      <c r="I192" s="14"/>
      <c r="J192" s="16"/>
      <c r="K192" s="14"/>
      <c r="L192" s="21">
        <f>+Temp!A31</f>
        <v>0.875</v>
      </c>
      <c r="M192" s="22">
        <f>+Temp!H31</f>
        <v>31.169579313827239</v>
      </c>
      <c r="N192" s="23">
        <f>+HR!H42</f>
        <v>51.505824030767116</v>
      </c>
      <c r="O192" s="22">
        <f t="shared" si="38"/>
        <v>24.370800000000003</v>
      </c>
      <c r="P192" s="28">
        <f t="shared" si="39"/>
        <v>30.31597768565425</v>
      </c>
      <c r="Q192" s="26">
        <f t="shared" si="40"/>
        <v>58.22614285338382</v>
      </c>
      <c r="R192" s="27">
        <f t="shared" si="41"/>
        <v>17.446908586250323</v>
      </c>
    </row>
    <row r="193" spans="1:18" x14ac:dyDescent="0.25">
      <c r="B193" s="14"/>
      <c r="C193" s="25"/>
      <c r="G193" s="14"/>
      <c r="I193" s="14"/>
      <c r="K193" s="14"/>
      <c r="L193" s="21">
        <f>+Temp!A32</f>
        <v>0.91666666666666663</v>
      </c>
      <c r="M193" s="22">
        <f>+Temp!H32</f>
        <v>30.111356919329381</v>
      </c>
      <c r="N193" s="23">
        <f>+HR!H43</f>
        <v>53.781274490878232</v>
      </c>
      <c r="O193" s="22">
        <f t="shared" si="38"/>
        <v>24.370800000000003</v>
      </c>
      <c r="P193" s="28">
        <f t="shared" si="39"/>
        <v>30.213491396930845</v>
      </c>
      <c r="Q193" s="26">
        <f t="shared" si="40"/>
        <v>62.326667495914357</v>
      </c>
      <c r="R193" s="27">
        <f t="shared" si="41"/>
        <v>18.766387881135433</v>
      </c>
    </row>
    <row r="194" spans="1:18" x14ac:dyDescent="0.25">
      <c r="B194" s="14"/>
      <c r="C194" s="25"/>
      <c r="G194" s="14"/>
      <c r="I194" s="14"/>
      <c r="K194" s="14"/>
      <c r="L194" s="21">
        <f>+Temp!A33</f>
        <v>0.95833333333333337</v>
      </c>
      <c r="M194" s="22">
        <f>+Temp!H33</f>
        <v>29.210139632511581</v>
      </c>
      <c r="N194" s="23">
        <f>+HR!H44</f>
        <v>55.719123567416389</v>
      </c>
      <c r="O194" s="22">
        <f t="shared" si="38"/>
        <v>24.370800000000003</v>
      </c>
      <c r="P194" s="28">
        <f t="shared" si="39"/>
        <v>30.126210674523566</v>
      </c>
      <c r="Q194" s="26">
        <f t="shared" si="40"/>
        <v>65.818810274299295</v>
      </c>
      <c r="R194" s="27">
        <f t="shared" si="41"/>
        <v>19.890100208838426</v>
      </c>
    </row>
    <row r="195" spans="1:18" x14ac:dyDescent="0.25">
      <c r="P195" s="7"/>
    </row>
    <row r="196" spans="1:18" x14ac:dyDescent="0.25">
      <c r="P196" s="7"/>
    </row>
    <row r="197" spans="1:18" x14ac:dyDescent="0.25">
      <c r="A197" s="9" t="s">
        <v>42</v>
      </c>
      <c r="B197" s="10" t="s">
        <v>43</v>
      </c>
      <c r="C197" s="9"/>
      <c r="D197" s="16" t="s">
        <v>52</v>
      </c>
      <c r="E197" s="13"/>
      <c r="F197" s="9" t="s">
        <v>44</v>
      </c>
      <c r="G197" s="17" t="s">
        <v>46</v>
      </c>
      <c r="H197" s="16"/>
      <c r="I197" s="14"/>
      <c r="J197" s="16"/>
      <c r="K197" s="14"/>
      <c r="L197" s="291" t="s">
        <v>63</v>
      </c>
      <c r="M197" s="293"/>
      <c r="N197" s="292"/>
      <c r="O197" s="291" t="s">
        <v>72</v>
      </c>
      <c r="P197" s="292"/>
      <c r="Q197" s="291" t="s">
        <v>73</v>
      </c>
      <c r="R197" s="292"/>
    </row>
    <row r="198" spans="1:18" x14ac:dyDescent="0.25">
      <c r="A198" s="9">
        <f>+A214</f>
        <v>50</v>
      </c>
      <c r="B198" s="11">
        <f>+(H207*A198)+B214+I207</f>
        <v>29.5535</v>
      </c>
      <c r="C198" s="5">
        <f>+B198-B214</f>
        <v>2.0180000000000007</v>
      </c>
      <c r="D198" s="16">
        <v>2.5</v>
      </c>
      <c r="E198" s="18">
        <v>1</v>
      </c>
      <c r="F198" s="13">
        <v>-2.98</v>
      </c>
      <c r="G198" s="14">
        <v>4.2699999999999996</v>
      </c>
      <c r="H198" s="291" t="s">
        <v>51</v>
      </c>
      <c r="I198" s="292"/>
      <c r="J198" s="16"/>
      <c r="K198" s="14"/>
      <c r="L198" s="9" t="s">
        <v>56</v>
      </c>
      <c r="M198" s="9" t="s">
        <v>54</v>
      </c>
      <c r="N198" s="10" t="s">
        <v>55</v>
      </c>
      <c r="O198" s="19" t="s">
        <v>68</v>
      </c>
      <c r="P198" s="10" t="s">
        <v>69</v>
      </c>
      <c r="Q198" s="19" t="s">
        <v>70</v>
      </c>
      <c r="R198" s="10" t="s">
        <v>71</v>
      </c>
    </row>
    <row r="199" spans="1:18" x14ac:dyDescent="0.25">
      <c r="A199" s="9">
        <f>+A214</f>
        <v>50</v>
      </c>
      <c r="B199" s="11">
        <f>B214+I201</f>
        <v>24.555499999999999</v>
      </c>
      <c r="C199" s="5">
        <f>+B214-B199</f>
        <v>2.9800000000000004</v>
      </c>
      <c r="D199" s="16">
        <v>3</v>
      </c>
      <c r="E199" s="18">
        <v>1.1399999999999999</v>
      </c>
      <c r="F199" s="13">
        <f t="shared" ref="F199:F207" si="42">$F$198*E199</f>
        <v>-3.3971999999999998</v>
      </c>
      <c r="G199" s="14">
        <f t="shared" ref="G199:G207" si="43">$G$198*E199</f>
        <v>4.867799999999999</v>
      </c>
      <c r="H199" s="19" t="s">
        <v>49</v>
      </c>
      <c r="I199" s="10" t="s">
        <v>50</v>
      </c>
      <c r="J199" s="16"/>
      <c r="K199" s="14"/>
      <c r="L199" s="21">
        <f>+Temp!A10</f>
        <v>0</v>
      </c>
      <c r="M199" s="22">
        <f>+Temp!I10</f>
        <v>28.362329609718117</v>
      </c>
      <c r="N199" s="23">
        <f>+HR!I21</f>
        <v>67.855091068525923</v>
      </c>
      <c r="O199" s="22">
        <f t="shared" ref="O199:O222" si="44">$B$201</f>
        <v>24.555499999999999</v>
      </c>
      <c r="P199" s="28">
        <f t="shared" ref="P199:P222" si="45">+($H$207*N199)+$B$214+$I$207</f>
        <v>28.749306698273593</v>
      </c>
      <c r="Q199" s="26">
        <f t="shared" ref="Q199:Q222" si="46">+(M199-$B$214-$I$204)/$H$204</f>
        <v>68.203085946765924</v>
      </c>
      <c r="R199" s="27">
        <f t="shared" ref="R199:R222" si="47">+(M199-$B$214-$I$210)/$H$210</f>
        <v>20.657319688630771</v>
      </c>
    </row>
    <row r="200" spans="1:18" x14ac:dyDescent="0.25">
      <c r="A200" s="293" t="s">
        <v>44</v>
      </c>
      <c r="B200" s="292"/>
      <c r="C200" s="24">
        <f>+C198+C199</f>
        <v>4.9980000000000011</v>
      </c>
      <c r="D200" s="16">
        <v>3.5</v>
      </c>
      <c r="E200" s="18">
        <v>1.28</v>
      </c>
      <c r="F200" s="13">
        <f t="shared" si="42"/>
        <v>-3.8144</v>
      </c>
      <c r="G200" s="14">
        <f t="shared" si="43"/>
        <v>5.4655999999999993</v>
      </c>
      <c r="H200" s="291" t="s">
        <v>44</v>
      </c>
      <c r="I200" s="292"/>
      <c r="J200" s="16"/>
      <c r="K200" s="14"/>
      <c r="L200" s="21">
        <f>+Temp!A11</f>
        <v>4.1666666666666664E-2</v>
      </c>
      <c r="M200" s="22">
        <f>+Temp!I11</f>
        <v>27.772159370147111</v>
      </c>
      <c r="N200" s="23">
        <f>+HR!I22</f>
        <v>69.43228773779262</v>
      </c>
      <c r="O200" s="22">
        <f t="shared" si="44"/>
        <v>24.555499999999999</v>
      </c>
      <c r="P200" s="28">
        <f t="shared" si="45"/>
        <v>28.678269760289819</v>
      </c>
      <c r="Q200" s="26">
        <f t="shared" si="46"/>
        <v>70.489947029305569</v>
      </c>
      <c r="R200" s="27">
        <f t="shared" si="47"/>
        <v>21.393192805302849</v>
      </c>
    </row>
    <row r="201" spans="1:18" x14ac:dyDescent="0.25">
      <c r="A201" s="2">
        <f>+J206</f>
        <v>25.403990024937652</v>
      </c>
      <c r="B201" s="11">
        <f>B214+I201</f>
        <v>24.555499999999999</v>
      </c>
      <c r="C201" s="5"/>
      <c r="D201" s="16">
        <v>4</v>
      </c>
      <c r="E201" s="18">
        <v>1.42</v>
      </c>
      <c r="F201" s="13">
        <f t="shared" si="42"/>
        <v>-4.2315999999999994</v>
      </c>
      <c r="G201" s="14">
        <f t="shared" si="43"/>
        <v>6.0633999999999988</v>
      </c>
      <c r="H201" s="19">
        <v>0</v>
      </c>
      <c r="I201" s="10">
        <f>+IF(B215=D198,F198,IF(B215=D199,F199,IF(B215=D200,F200,IF(B215=D201,F201,IF(B215=D202,F202,IF(B215=D203,F203,IF(B215=D204,F204,IF(B215=D205,F205,IF(B215=D206,F206,F207)))))))))</f>
        <v>-2.98</v>
      </c>
      <c r="J201" s="16">
        <f>+I210</f>
        <v>17.393999999999998</v>
      </c>
      <c r="K201" s="14">
        <f>+I204</f>
        <v>18.428000000000001</v>
      </c>
      <c r="L201" s="21">
        <f>+Temp!A12</f>
        <v>8.3333333333333329E-2</v>
      </c>
      <c r="M201" s="22">
        <f>+Temp!I12</f>
        <v>27.292732618698015</v>
      </c>
      <c r="N201" s="23">
        <f>+HR!I23</f>
        <v>70.713528682935021</v>
      </c>
      <c r="O201" s="22">
        <f t="shared" si="44"/>
        <v>24.555499999999999</v>
      </c>
      <c r="P201" s="28">
        <f t="shared" si="45"/>
        <v>28.620562668120606</v>
      </c>
      <c r="Q201" s="26">
        <f t="shared" si="46"/>
        <v>72.347686214213141</v>
      </c>
      <c r="R201" s="27">
        <f t="shared" si="47"/>
        <v>21.990981772196985</v>
      </c>
    </row>
    <row r="202" spans="1:18" x14ac:dyDescent="0.25">
      <c r="A202" s="2">
        <f>+K206</f>
        <v>82.954237222459014</v>
      </c>
      <c r="B202" s="11">
        <f>B214+I201</f>
        <v>24.555499999999999</v>
      </c>
      <c r="C202" s="5"/>
      <c r="D202" s="16">
        <v>4.5</v>
      </c>
      <c r="E202" s="18">
        <v>1.56</v>
      </c>
      <c r="F202" s="13">
        <f t="shared" si="42"/>
        <v>-4.6488000000000005</v>
      </c>
      <c r="G202" s="14">
        <f t="shared" si="43"/>
        <v>6.6611999999999991</v>
      </c>
      <c r="H202" s="19"/>
      <c r="I202" s="10"/>
      <c r="J202" s="16">
        <f>+H210</f>
        <v>-0.80200000000000005</v>
      </c>
      <c r="K202" s="14">
        <f>+H204</f>
        <v>-0.25807000000000002</v>
      </c>
      <c r="L202" s="21">
        <f>+Temp!A13</f>
        <v>0.125</v>
      </c>
      <c r="M202" s="22">
        <f>+Temp!I13</f>
        <v>26.908394160066916</v>
      </c>
      <c r="N202" s="23">
        <f>+HR!I24</f>
        <v>71.740651530174318</v>
      </c>
      <c r="O202" s="22">
        <f t="shared" si="44"/>
        <v>24.555499999999999</v>
      </c>
      <c r="P202" s="28">
        <f t="shared" si="45"/>
        <v>28.574301055080948</v>
      </c>
      <c r="Q202" s="26">
        <f t="shared" si="46"/>
        <v>73.836966094211192</v>
      </c>
      <c r="R202" s="27">
        <f t="shared" si="47"/>
        <v>22.470206782958954</v>
      </c>
    </row>
    <row r="203" spans="1:18" x14ac:dyDescent="0.25">
      <c r="A203" s="294" t="s">
        <v>45</v>
      </c>
      <c r="B203" s="295"/>
      <c r="C203" s="8"/>
      <c r="D203" s="16">
        <v>5</v>
      </c>
      <c r="E203" s="18">
        <v>1.7</v>
      </c>
      <c r="F203" s="13">
        <f t="shared" si="42"/>
        <v>-5.0659999999999998</v>
      </c>
      <c r="G203" s="14">
        <f t="shared" si="43"/>
        <v>7.2589999999999995</v>
      </c>
      <c r="H203" s="296" t="s">
        <v>45</v>
      </c>
      <c r="I203" s="295"/>
      <c r="J203" s="16">
        <f>+I201</f>
        <v>-2.98</v>
      </c>
      <c r="K203" s="14">
        <f>+I201</f>
        <v>-2.98</v>
      </c>
      <c r="L203" s="21">
        <f>+Temp!A14</f>
        <v>0.16666666666666666</v>
      </c>
      <c r="M203" s="22">
        <f>+Temp!I14</f>
        <v>26.603840242820667</v>
      </c>
      <c r="N203" s="23">
        <f>+HR!I25</f>
        <v>72.554554691814701</v>
      </c>
      <c r="O203" s="22">
        <f t="shared" si="44"/>
        <v>24.555499999999999</v>
      </c>
      <c r="P203" s="28">
        <f t="shared" si="45"/>
        <v>28.537642856680666</v>
      </c>
      <c r="Q203" s="26">
        <f t="shared" si="46"/>
        <v>75.017087445961678</v>
      </c>
      <c r="R203" s="27">
        <f t="shared" si="47"/>
        <v>22.849949821919363</v>
      </c>
    </row>
    <row r="204" spans="1:18" x14ac:dyDescent="0.25">
      <c r="A204" s="2">
        <f>+K216</f>
        <v>66.460122987372671</v>
      </c>
      <c r="B204" s="11">
        <f>+(H204*A204)+B214+I204</f>
        <v>28.812136060648733</v>
      </c>
      <c r="C204" s="5"/>
      <c r="D204" s="16">
        <v>5.5</v>
      </c>
      <c r="E204" s="18">
        <v>1.84</v>
      </c>
      <c r="F204" s="13">
        <f t="shared" si="42"/>
        <v>-5.4832000000000001</v>
      </c>
      <c r="G204" s="14">
        <f t="shared" si="43"/>
        <v>7.8567999999999998</v>
      </c>
      <c r="H204" s="19">
        <v>-0.25807000000000002</v>
      </c>
      <c r="I204" s="10">
        <v>18.428000000000001</v>
      </c>
      <c r="J204" s="16"/>
      <c r="K204" s="14"/>
      <c r="L204" s="21">
        <f>+Temp!A15</f>
        <v>0.20833333333333334</v>
      </c>
      <c r="M204" s="22">
        <f>+Temp!I15</f>
        <v>26.364973836208002</v>
      </c>
      <c r="N204" s="23">
        <f>+HR!I26</f>
        <v>73.192911687218356</v>
      </c>
      <c r="O204" s="22">
        <f t="shared" si="44"/>
        <v>24.555499999999999</v>
      </c>
      <c r="P204" s="28">
        <f t="shared" si="45"/>
        <v>28.508891257607683</v>
      </c>
      <c r="Q204" s="26">
        <f t="shared" si="46"/>
        <v>75.942675102848057</v>
      </c>
      <c r="R204" s="27">
        <f t="shared" si="47"/>
        <v>23.147788234154607</v>
      </c>
    </row>
    <row r="205" spans="1:18" x14ac:dyDescent="0.25">
      <c r="A205" s="2">
        <f>+K206</f>
        <v>82.954237222459014</v>
      </c>
      <c r="B205" s="11">
        <f>+(H204*A205)+B214+I204</f>
        <v>24.555499999999999</v>
      </c>
      <c r="C205" s="5"/>
      <c r="D205" s="16">
        <v>6</v>
      </c>
      <c r="E205" s="18">
        <v>1.98</v>
      </c>
      <c r="F205" s="13">
        <f t="shared" si="42"/>
        <v>-5.9004000000000003</v>
      </c>
      <c r="G205" s="14">
        <f t="shared" si="43"/>
        <v>8.4545999999999992</v>
      </c>
      <c r="H205" s="19"/>
      <c r="I205" s="10"/>
      <c r="J205" s="16">
        <f>+J203-J201</f>
        <v>-20.373999999999999</v>
      </c>
      <c r="K205" s="14">
        <f>+K203-K201</f>
        <v>-21.408000000000001</v>
      </c>
      <c r="L205" s="21">
        <f>+Temp!A16</f>
        <v>0.25</v>
      </c>
      <c r="M205" s="22">
        <f>+Temp!I16</f>
        <v>25.625967170183323</v>
      </c>
      <c r="N205" s="23">
        <f>+HR!I27</f>
        <v>75.167865309188954</v>
      </c>
      <c r="O205" s="22">
        <f t="shared" si="44"/>
        <v>24.555499999999999</v>
      </c>
      <c r="P205" s="28">
        <f t="shared" si="45"/>
        <v>28.419939346474127</v>
      </c>
      <c r="Q205" s="26">
        <f t="shared" si="46"/>
        <v>78.806265082406611</v>
      </c>
      <c r="R205" s="27">
        <f t="shared" si="47"/>
        <v>24.069242929945975</v>
      </c>
    </row>
    <row r="206" spans="1:18" x14ac:dyDescent="0.25">
      <c r="A206" s="294" t="s">
        <v>46</v>
      </c>
      <c r="B206" s="295"/>
      <c r="C206" s="8"/>
      <c r="D206" s="16">
        <v>6.5</v>
      </c>
      <c r="E206" s="18">
        <v>2.12</v>
      </c>
      <c r="F206" s="13">
        <f t="shared" si="42"/>
        <v>-6.3176000000000005</v>
      </c>
      <c r="G206" s="14">
        <f t="shared" si="43"/>
        <v>9.0523999999999987</v>
      </c>
      <c r="H206" s="296" t="s">
        <v>46</v>
      </c>
      <c r="I206" s="295"/>
      <c r="J206" s="16">
        <f>+J205/J202</f>
        <v>25.403990024937652</v>
      </c>
      <c r="K206" s="14">
        <f>+K205/K202</f>
        <v>82.954237222459014</v>
      </c>
      <c r="L206" s="21">
        <f>+Temp!A17</f>
        <v>0.29166666666666669</v>
      </c>
      <c r="M206" s="22">
        <f>+Temp!I17</f>
        <v>26.265417199142092</v>
      </c>
      <c r="N206" s="23">
        <f>+HR!I28</f>
        <v>73.458971183030769</v>
      </c>
      <c r="O206" s="22">
        <f t="shared" si="44"/>
        <v>24.555499999999999</v>
      </c>
      <c r="P206" s="28">
        <f t="shared" si="45"/>
        <v>28.496907937916294</v>
      </c>
      <c r="Q206" s="26">
        <f t="shared" si="46"/>
        <v>76.328448873785817</v>
      </c>
      <c r="R206" s="27">
        <f t="shared" si="47"/>
        <v>23.271923691842773</v>
      </c>
    </row>
    <row r="207" spans="1:18" x14ac:dyDescent="0.25">
      <c r="A207" s="2">
        <f>+J216</f>
        <v>17.337772141196361</v>
      </c>
      <c r="B207" s="11">
        <f>+(H207*A207)+B214+I207</f>
        <v>31.024606742760515</v>
      </c>
      <c r="C207" s="5"/>
      <c r="D207" s="16">
        <v>7</v>
      </c>
      <c r="E207" s="18">
        <v>2.2599999999999998</v>
      </c>
      <c r="F207" s="13">
        <f t="shared" si="42"/>
        <v>-6.734799999999999</v>
      </c>
      <c r="G207" s="14">
        <f t="shared" si="43"/>
        <v>9.6501999999999981</v>
      </c>
      <c r="H207" s="19">
        <v>-4.5039999999999997E-2</v>
      </c>
      <c r="I207" s="10">
        <f>+IF(B215=D198,G198,IF(B215=D199,G199,IF(B215=D200,G200,IF(B215=D201,G201,IF(B215=D202,G202,IF(B215=D203,G203,IF(B215=D204,G204,IF(B215=D205,G205,IF(B215=D206,G206,G207)))))))))</f>
        <v>4.2699999999999996</v>
      </c>
      <c r="J207" s="16"/>
      <c r="K207" s="14"/>
      <c r="L207" s="21">
        <f>+Temp!A18</f>
        <v>0.33333333333333331</v>
      </c>
      <c r="M207" s="22">
        <f>+Temp!I18</f>
        <v>28.070386663915357</v>
      </c>
      <c r="N207" s="23">
        <f>+HR!I29</f>
        <v>68.6352921204643</v>
      </c>
      <c r="O207" s="22">
        <f t="shared" si="44"/>
        <v>24.555499999999999</v>
      </c>
      <c r="P207" s="28">
        <f t="shared" si="45"/>
        <v>28.714166442894285</v>
      </c>
      <c r="Q207" s="26">
        <f t="shared" si="46"/>
        <v>69.334340822585503</v>
      </c>
      <c r="R207" s="27">
        <f t="shared" si="47"/>
        <v>21.021338324295062</v>
      </c>
    </row>
    <row r="208" spans="1:18" x14ac:dyDescent="0.25">
      <c r="A208" s="2">
        <f>+K216</f>
        <v>66.460122987372671</v>
      </c>
      <c r="B208" s="11">
        <f>+(H207*A208)+B214+I207</f>
        <v>28.812136060648733</v>
      </c>
      <c r="C208" s="5"/>
      <c r="D208" s="16"/>
      <c r="E208" s="13"/>
      <c r="F208" s="13"/>
      <c r="G208" s="14"/>
      <c r="H208" s="19"/>
      <c r="I208" s="10"/>
      <c r="J208" s="16"/>
      <c r="K208" s="14"/>
      <c r="L208" s="21">
        <f>+Temp!A19</f>
        <v>0.375</v>
      </c>
      <c r="M208" s="22">
        <f>+Temp!I19</f>
        <v>30.702922030926388</v>
      </c>
      <c r="N208" s="23">
        <f>+HR!I30</f>
        <v>61.599989873447072</v>
      </c>
      <c r="O208" s="22">
        <f t="shared" si="44"/>
        <v>24.555499999999999</v>
      </c>
      <c r="P208" s="28">
        <f t="shared" si="45"/>
        <v>29.031036456099944</v>
      </c>
      <c r="Q208" s="26">
        <f t="shared" si="46"/>
        <v>59.133483043645562</v>
      </c>
      <c r="R208" s="27">
        <f t="shared" si="47"/>
        <v>17.738875273159113</v>
      </c>
    </row>
    <row r="209" spans="1:18" x14ac:dyDescent="0.25">
      <c r="A209" s="293" t="s">
        <v>47</v>
      </c>
      <c r="B209" s="292"/>
      <c r="C209" s="9"/>
      <c r="D209" s="16"/>
      <c r="E209" s="13"/>
      <c r="F209" s="13"/>
      <c r="G209" s="14"/>
      <c r="H209" s="291" t="s">
        <v>47</v>
      </c>
      <c r="I209" s="292"/>
      <c r="J209" s="16">
        <f>+I210</f>
        <v>17.393999999999998</v>
      </c>
      <c r="K209" s="14">
        <f>+I204</f>
        <v>18.428000000000001</v>
      </c>
      <c r="L209" s="21">
        <f>+Temp!A20</f>
        <v>0.41666666666666669</v>
      </c>
      <c r="M209" s="22">
        <f>+Temp!I20</f>
        <v>33.500611277353222</v>
      </c>
      <c r="N209" s="23">
        <f>+HR!I31</f>
        <v>54.123323201276136</v>
      </c>
      <c r="O209" s="22">
        <f t="shared" si="44"/>
        <v>24.555499999999999</v>
      </c>
      <c r="P209" s="28">
        <f t="shared" si="45"/>
        <v>29.367785523014522</v>
      </c>
      <c r="Q209" s="26">
        <f t="shared" si="46"/>
        <v>48.292667581070162</v>
      </c>
      <c r="R209" s="27">
        <f t="shared" si="47"/>
        <v>14.250484691579519</v>
      </c>
    </row>
    <row r="210" spans="1:18" x14ac:dyDescent="0.25">
      <c r="A210" s="3">
        <f>+J216</f>
        <v>17.337772141196361</v>
      </c>
      <c r="B210" s="12">
        <f>+(H210*A210)+B214+I210</f>
        <v>31.024606742760515</v>
      </c>
      <c r="C210" s="4"/>
      <c r="D210" s="16"/>
      <c r="E210" s="13"/>
      <c r="F210" s="13"/>
      <c r="G210" s="14"/>
      <c r="H210" s="19">
        <v>-0.80200000000000005</v>
      </c>
      <c r="I210" s="10">
        <v>17.393999999999998</v>
      </c>
      <c r="J210" s="16">
        <f>+H210</f>
        <v>-0.80200000000000005</v>
      </c>
      <c r="K210" s="14">
        <f>+H204</f>
        <v>-0.25807000000000002</v>
      </c>
      <c r="L210" s="21">
        <f>+Temp!A21</f>
        <v>0.45833333333333331</v>
      </c>
      <c r="M210" s="22">
        <f>+Temp!I21</f>
        <v>35.898626253442337</v>
      </c>
      <c r="N210" s="23">
        <f>+HR!I32</f>
        <v>47.714763467920811</v>
      </c>
      <c r="O210" s="22">
        <f t="shared" si="44"/>
        <v>24.555499999999999</v>
      </c>
      <c r="P210" s="28">
        <f t="shared" si="45"/>
        <v>29.656427053404844</v>
      </c>
      <c r="Q210" s="26">
        <f t="shared" si="46"/>
        <v>39.000557006074558</v>
      </c>
      <c r="R210" s="27">
        <f t="shared" si="47"/>
        <v>11.260441080495834</v>
      </c>
    </row>
    <row r="211" spans="1:18" x14ac:dyDescent="0.25">
      <c r="A211" s="3">
        <f>+J206</f>
        <v>25.403990024937652</v>
      </c>
      <c r="B211" s="12">
        <f>+(H210*A211)+B214+I210</f>
        <v>24.555499999999999</v>
      </c>
      <c r="C211" s="4"/>
      <c r="D211" s="16"/>
      <c r="E211" s="13"/>
      <c r="F211" s="13"/>
      <c r="G211" s="14"/>
      <c r="H211" s="19"/>
      <c r="I211" s="10"/>
      <c r="J211" s="16">
        <f>+I207</f>
        <v>4.2699999999999996</v>
      </c>
      <c r="K211" s="14">
        <f>+I207</f>
        <v>4.2699999999999996</v>
      </c>
      <c r="L211" s="21">
        <f>+Temp!A22</f>
        <v>0.5</v>
      </c>
      <c r="M211" s="22">
        <f>+Temp!I22</f>
        <v>37.57269763974513</v>
      </c>
      <c r="N211" s="23">
        <f>+HR!I33</f>
        <v>43.240902135111632</v>
      </c>
      <c r="O211" s="22">
        <f t="shared" si="44"/>
        <v>24.555499999999999</v>
      </c>
      <c r="P211" s="28">
        <f t="shared" si="45"/>
        <v>29.85792976783457</v>
      </c>
      <c r="Q211" s="26">
        <f t="shared" si="46"/>
        <v>32.513668230537718</v>
      </c>
      <c r="R211" s="27">
        <f t="shared" si="47"/>
        <v>9.1730702746320034</v>
      </c>
    </row>
    <row r="212" spans="1:18" x14ac:dyDescent="0.25">
      <c r="A212" s="13"/>
      <c r="B212" s="14"/>
      <c r="C212" s="13"/>
      <c r="D212" s="16"/>
      <c r="E212" s="13"/>
      <c r="F212" s="13"/>
      <c r="G212" s="14"/>
      <c r="H212" s="19"/>
      <c r="I212" s="10"/>
      <c r="J212" s="16">
        <f>+H207</f>
        <v>-4.5039999999999997E-2</v>
      </c>
      <c r="K212" s="14">
        <f>+H207</f>
        <v>-4.5039999999999997E-2</v>
      </c>
      <c r="L212" s="21">
        <f>+Temp!A23</f>
        <v>0.54166666666666663</v>
      </c>
      <c r="M212" s="22">
        <f>+Temp!I23</f>
        <v>38.427321069016926</v>
      </c>
      <c r="N212" s="23">
        <f>+HR!I34</f>
        <v>40.95696923618307</v>
      </c>
      <c r="O212" s="22">
        <f t="shared" si="44"/>
        <v>24.555499999999999</v>
      </c>
      <c r="P212" s="28">
        <f t="shared" si="45"/>
        <v>29.960798105602311</v>
      </c>
      <c r="Q212" s="26">
        <f t="shared" si="46"/>
        <v>29.202072813512121</v>
      </c>
      <c r="R212" s="27">
        <f t="shared" si="47"/>
        <v>8.1074550261634304</v>
      </c>
    </row>
    <row r="213" spans="1:18" x14ac:dyDescent="0.25">
      <c r="A213" s="293" t="s">
        <v>48</v>
      </c>
      <c r="B213" s="292"/>
      <c r="C213" s="9"/>
      <c r="D213" s="16"/>
      <c r="E213" s="13"/>
      <c r="F213" s="13"/>
      <c r="G213" s="14"/>
      <c r="H213" s="19"/>
      <c r="I213" s="10"/>
      <c r="J213" s="16"/>
      <c r="K213" s="14"/>
      <c r="L213" s="21">
        <f>+Temp!A24</f>
        <v>0.58333333333333337</v>
      </c>
      <c r="M213" s="22">
        <f>+Temp!I24</f>
        <v>38.526793007520055</v>
      </c>
      <c r="N213" s="23">
        <f>+HR!I35</f>
        <v>40.691136092501225</v>
      </c>
      <c r="O213" s="22">
        <f t="shared" si="44"/>
        <v>24.555499999999999</v>
      </c>
      <c r="P213" s="28">
        <f t="shared" si="45"/>
        <v>29.972771230393743</v>
      </c>
      <c r="Q213" s="26">
        <f t="shared" si="46"/>
        <v>28.816627242530878</v>
      </c>
      <c r="R213" s="27">
        <f t="shared" si="47"/>
        <v>7.9834251776557874</v>
      </c>
    </row>
    <row r="214" spans="1:18" x14ac:dyDescent="0.25">
      <c r="A214" s="13">
        <v>50</v>
      </c>
      <c r="B214" s="15">
        <f>+Tn!I5</f>
        <v>27.535499999999999</v>
      </c>
      <c r="C214" s="20"/>
      <c r="D214" s="16"/>
      <c r="E214" s="13"/>
      <c r="F214" s="13"/>
      <c r="G214" s="14"/>
      <c r="H214" s="19"/>
      <c r="I214" s="10"/>
      <c r="J214" s="16">
        <f>+J210-J212</f>
        <v>-0.75696000000000008</v>
      </c>
      <c r="K214" s="14">
        <f>+K210-K212</f>
        <v>-0.21303000000000002</v>
      </c>
      <c r="L214" s="21">
        <f>+Temp!A25</f>
        <v>0.625</v>
      </c>
      <c r="M214" s="22">
        <f>+Temp!I25</f>
        <v>38.021371381123529</v>
      </c>
      <c r="N214" s="23">
        <f>+HR!I36</f>
        <v>42.04184687437224</v>
      </c>
      <c r="O214" s="22">
        <f t="shared" si="44"/>
        <v>24.555499999999999</v>
      </c>
      <c r="P214" s="28">
        <f t="shared" si="45"/>
        <v>29.911935216778271</v>
      </c>
      <c r="Q214" s="26">
        <f t="shared" si="46"/>
        <v>30.775094427389739</v>
      </c>
      <c r="R214" s="27">
        <f t="shared" si="47"/>
        <v>8.6136267068285139</v>
      </c>
    </row>
    <row r="215" spans="1:18" x14ac:dyDescent="0.25">
      <c r="A215" s="13" t="s">
        <v>52</v>
      </c>
      <c r="B215" s="15">
        <f>+Tn!I7</f>
        <v>2.5</v>
      </c>
      <c r="C215" s="20"/>
      <c r="D215" s="16"/>
      <c r="E215" s="13"/>
      <c r="F215" s="13"/>
      <c r="G215" s="14"/>
      <c r="H215" s="19"/>
      <c r="I215" s="10"/>
      <c r="J215" s="16">
        <f>+J211-J209</f>
        <v>-13.123999999999999</v>
      </c>
      <c r="K215" s="14">
        <f>+K211-K209</f>
        <v>-14.158000000000001</v>
      </c>
      <c r="L215" s="21">
        <f>+Temp!A26</f>
        <v>0.66666666666666663</v>
      </c>
      <c r="M215" s="22">
        <f>+Temp!I26</f>
        <v>37.089700477228071</v>
      </c>
      <c r="N215" s="23">
        <f>+HR!I37</f>
        <v>44.531684802399148</v>
      </c>
      <c r="O215" s="22">
        <f t="shared" si="44"/>
        <v>24.555499999999999</v>
      </c>
      <c r="P215" s="28">
        <f t="shared" si="45"/>
        <v>29.799792916499943</v>
      </c>
      <c r="Q215" s="26">
        <f t="shared" si="46"/>
        <v>34.385242464338852</v>
      </c>
      <c r="R215" s="27">
        <f t="shared" si="47"/>
        <v>9.7753111256507808</v>
      </c>
    </row>
    <row r="216" spans="1:18" x14ac:dyDescent="0.25">
      <c r="A216" s="13"/>
      <c r="B216" s="14"/>
      <c r="C216" s="13"/>
      <c r="D216" s="16"/>
      <c r="E216" s="13"/>
      <c r="F216" s="13"/>
      <c r="G216" s="14"/>
      <c r="H216" s="19"/>
      <c r="I216" s="10"/>
      <c r="J216" s="16">
        <f>+J215/J214</f>
        <v>17.337772141196361</v>
      </c>
      <c r="K216" s="14">
        <f>+K215/K214</f>
        <v>66.460122987372671</v>
      </c>
      <c r="L216" s="21">
        <f>+Temp!A27</f>
        <v>0.70833333333333337</v>
      </c>
      <c r="M216" s="22">
        <f>+Temp!I27</f>
        <v>35.901857581246347</v>
      </c>
      <c r="N216" s="23">
        <f>+HR!I38</f>
        <v>47.706127926668358</v>
      </c>
      <c r="O216" s="22">
        <f t="shared" si="44"/>
        <v>24.555499999999999</v>
      </c>
      <c r="P216" s="28">
        <f t="shared" si="45"/>
        <v>29.656815998182857</v>
      </c>
      <c r="Q216" s="26">
        <f t="shared" si="46"/>
        <v>38.988035876908015</v>
      </c>
      <c r="R216" s="27">
        <f t="shared" si="47"/>
        <v>11.256411993458416</v>
      </c>
    </row>
    <row r="217" spans="1:18" x14ac:dyDescent="0.25">
      <c r="A217" s="13"/>
      <c r="B217" s="15"/>
      <c r="C217" s="20"/>
      <c r="D217" s="16"/>
      <c r="E217" s="13"/>
      <c r="F217" s="13"/>
      <c r="G217" s="14"/>
      <c r="H217" s="16"/>
      <c r="I217" s="14"/>
      <c r="J217" s="16"/>
      <c r="K217" s="14"/>
      <c r="L217" s="21">
        <f>+Temp!A28</f>
        <v>0.75</v>
      </c>
      <c r="M217" s="22">
        <f>+Temp!I28</f>
        <v>34.600052660943362</v>
      </c>
      <c r="N217" s="23">
        <f>+HR!I39</f>
        <v>51.185128131472538</v>
      </c>
      <c r="O217" s="22">
        <f t="shared" si="44"/>
        <v>24.555499999999999</v>
      </c>
      <c r="P217" s="28">
        <f t="shared" si="45"/>
        <v>29.500121828958477</v>
      </c>
      <c r="Q217" s="26">
        <f t="shared" si="46"/>
        <v>44.032422749861034</v>
      </c>
      <c r="R217" s="27">
        <f t="shared" si="47"/>
        <v>12.87961014844967</v>
      </c>
    </row>
    <row r="218" spans="1:18" x14ac:dyDescent="0.25">
      <c r="A218" s="13"/>
      <c r="B218" s="15"/>
      <c r="C218" s="20"/>
      <c r="D218" s="16"/>
      <c r="E218" s="13"/>
      <c r="F218" s="13"/>
      <c r="G218" s="14"/>
      <c r="H218" s="16"/>
      <c r="I218" s="14"/>
      <c r="J218" s="16"/>
      <c r="K218" s="14"/>
      <c r="L218" s="21">
        <f>+Temp!A29</f>
        <v>0.79166666666666663</v>
      </c>
      <c r="M218" s="22">
        <f>+Temp!I29</f>
        <v>33.291865420206477</v>
      </c>
      <c r="N218" s="23">
        <f>+HR!I40</f>
        <v>54.68118472756116</v>
      </c>
      <c r="O218" s="22">
        <f t="shared" si="44"/>
        <v>24.555499999999999</v>
      </c>
      <c r="P218" s="28">
        <f t="shared" si="45"/>
        <v>29.342659439870644</v>
      </c>
      <c r="Q218" s="26">
        <f t="shared" si="46"/>
        <v>49.101540588962379</v>
      </c>
      <c r="R218" s="27">
        <f t="shared" si="47"/>
        <v>14.510766308969476</v>
      </c>
    </row>
    <row r="219" spans="1:18" x14ac:dyDescent="0.25">
      <c r="A219" s="13"/>
      <c r="B219" s="15"/>
      <c r="C219" s="20"/>
      <c r="D219" s="16"/>
      <c r="E219" s="13"/>
      <c r="F219" s="13"/>
      <c r="G219" s="14"/>
      <c r="H219" s="16"/>
      <c r="I219" s="14"/>
      <c r="J219" s="16"/>
      <c r="K219" s="14"/>
      <c r="L219" s="21">
        <f>+Temp!A30</f>
        <v>0.83333333333333337</v>
      </c>
      <c r="M219" s="22">
        <f>+Temp!I30</f>
        <v>32.051164939215901</v>
      </c>
      <c r="N219" s="23">
        <f>+HR!I41</f>
        <v>57.996886765668577</v>
      </c>
      <c r="O219" s="22">
        <f t="shared" si="44"/>
        <v>24.555499999999999</v>
      </c>
      <c r="P219" s="28">
        <f t="shared" si="45"/>
        <v>29.193320220074288</v>
      </c>
      <c r="Q219" s="26">
        <f t="shared" si="46"/>
        <v>53.909152791041564</v>
      </c>
      <c r="R219" s="27">
        <f t="shared" si="47"/>
        <v>16.057774390005108</v>
      </c>
    </row>
    <row r="220" spans="1:18" x14ac:dyDescent="0.25">
      <c r="A220" s="13"/>
      <c r="B220" s="14"/>
      <c r="C220" s="13"/>
      <c r="D220" s="16"/>
      <c r="E220" s="13"/>
      <c r="F220" s="13"/>
      <c r="G220" s="14"/>
      <c r="H220" s="16"/>
      <c r="I220" s="14"/>
      <c r="J220" s="16"/>
      <c r="K220" s="14"/>
      <c r="L220" s="21">
        <f>+Temp!A31</f>
        <v>0.875</v>
      </c>
      <c r="M220" s="22">
        <f>+Temp!I31</f>
        <v>30.922977588065365</v>
      </c>
      <c r="N220" s="23">
        <f>+HR!I42</f>
        <v>61.011903811998927</v>
      </c>
      <c r="O220" s="22">
        <f t="shared" si="44"/>
        <v>24.555499999999999</v>
      </c>
      <c r="P220" s="28">
        <f t="shared" si="45"/>
        <v>29.057523852307568</v>
      </c>
      <c r="Q220" s="26">
        <f t="shared" si="46"/>
        <v>58.280785879546762</v>
      </c>
      <c r="R220" s="27">
        <f t="shared" si="47"/>
        <v>17.464491785454651</v>
      </c>
    </row>
    <row r="221" spans="1:18" x14ac:dyDescent="0.25">
      <c r="B221" s="14"/>
      <c r="C221" s="25"/>
      <c r="G221" s="14"/>
      <c r="I221" s="14"/>
      <c r="K221" s="14"/>
      <c r="L221" s="21">
        <f>+Temp!A32</f>
        <v>0.91666666666666663</v>
      </c>
      <c r="M221" s="22">
        <f>+Temp!I32</f>
        <v>29.929791137882145</v>
      </c>
      <c r="N221" s="23">
        <f>+HR!I43</f>
        <v>63.666138566920566</v>
      </c>
      <c r="O221" s="22">
        <f t="shared" si="44"/>
        <v>24.555499999999999</v>
      </c>
      <c r="P221" s="28">
        <f t="shared" si="45"/>
        <v>28.937977118945895</v>
      </c>
      <c r="Q221" s="26">
        <f t="shared" si="46"/>
        <v>62.129301593047835</v>
      </c>
      <c r="R221" s="27">
        <f t="shared" si="47"/>
        <v>18.7028788804462</v>
      </c>
    </row>
    <row r="222" spans="1:18" x14ac:dyDescent="0.25">
      <c r="B222" s="14"/>
      <c r="C222" s="25"/>
      <c r="G222" s="14"/>
      <c r="I222" s="14"/>
      <c r="K222" s="14"/>
      <c r="L222" s="21">
        <f>+Temp!A33</f>
        <v>0.95833333333333337</v>
      </c>
      <c r="M222" s="22">
        <f>+Temp!I33</f>
        <v>29.077799836321876</v>
      </c>
      <c r="N222" s="23">
        <f>+HR!I44</f>
        <v>65.943037253038369</v>
      </c>
      <c r="O222" s="22">
        <f t="shared" si="44"/>
        <v>24.555499999999999</v>
      </c>
      <c r="P222" s="28">
        <f t="shared" si="45"/>
        <v>28.835425602123152</v>
      </c>
      <c r="Q222" s="26">
        <f t="shared" si="46"/>
        <v>65.430697731925918</v>
      </c>
      <c r="R222" s="27">
        <f t="shared" si="47"/>
        <v>19.765212174162244</v>
      </c>
    </row>
    <row r="223" spans="1:18" x14ac:dyDescent="0.25">
      <c r="P223" s="7"/>
    </row>
    <row r="224" spans="1:18" x14ac:dyDescent="0.25">
      <c r="P224" s="7"/>
    </row>
    <row r="225" spans="1:18" x14ac:dyDescent="0.25">
      <c r="A225" s="9" t="s">
        <v>42</v>
      </c>
      <c r="B225" s="10" t="s">
        <v>43</v>
      </c>
      <c r="C225" s="9"/>
      <c r="D225" s="16" t="s">
        <v>52</v>
      </c>
      <c r="E225" s="13"/>
      <c r="F225" s="9" t="s">
        <v>44</v>
      </c>
      <c r="G225" s="17" t="s">
        <v>46</v>
      </c>
      <c r="H225" s="16"/>
      <c r="I225" s="14"/>
      <c r="J225" s="16"/>
      <c r="K225" s="14"/>
      <c r="L225" s="291" t="s">
        <v>64</v>
      </c>
      <c r="M225" s="293"/>
      <c r="N225" s="292"/>
      <c r="O225" s="291" t="s">
        <v>72</v>
      </c>
      <c r="P225" s="292"/>
      <c r="Q225" s="291" t="s">
        <v>73</v>
      </c>
      <c r="R225" s="292"/>
    </row>
    <row r="226" spans="1:18" x14ac:dyDescent="0.25">
      <c r="A226" s="9">
        <f>+A242</f>
        <v>50</v>
      </c>
      <c r="B226" s="11">
        <f>+(H235*A226)+B242+I235</f>
        <v>29.732800000000001</v>
      </c>
      <c r="C226" s="5">
        <f>+B226-B242</f>
        <v>2.6158000000000001</v>
      </c>
      <c r="D226" s="16">
        <v>2.5</v>
      </c>
      <c r="E226" s="18">
        <v>1</v>
      </c>
      <c r="F226" s="13">
        <v>-2.98</v>
      </c>
      <c r="G226" s="14">
        <v>4.2699999999999996</v>
      </c>
      <c r="H226" s="291" t="s">
        <v>51</v>
      </c>
      <c r="I226" s="292"/>
      <c r="J226" s="16"/>
      <c r="K226" s="14"/>
      <c r="L226" s="9" t="s">
        <v>56</v>
      </c>
      <c r="M226" s="9" t="s">
        <v>54</v>
      </c>
      <c r="N226" s="10" t="s">
        <v>55</v>
      </c>
      <c r="O226" s="19" t="s">
        <v>68</v>
      </c>
      <c r="P226" s="10" t="s">
        <v>69</v>
      </c>
      <c r="Q226" s="19" t="s">
        <v>70</v>
      </c>
      <c r="R226" s="10" t="s">
        <v>71</v>
      </c>
    </row>
    <row r="227" spans="1:18" x14ac:dyDescent="0.25">
      <c r="A227" s="9">
        <f>+A242</f>
        <v>50</v>
      </c>
      <c r="B227" s="11">
        <f>B242+I229</f>
        <v>23.719799999999999</v>
      </c>
      <c r="C227" s="5">
        <f>+B242-B227</f>
        <v>3.3972000000000016</v>
      </c>
      <c r="D227" s="16">
        <v>3</v>
      </c>
      <c r="E227" s="18">
        <v>1.1399999999999999</v>
      </c>
      <c r="F227" s="13">
        <f t="shared" ref="F227:F235" si="48">$F$226*E227</f>
        <v>-3.3971999999999998</v>
      </c>
      <c r="G227" s="14">
        <f t="shared" ref="G227:G235" si="49">$G$226*E227</f>
        <v>4.867799999999999</v>
      </c>
      <c r="H227" s="19" t="s">
        <v>49</v>
      </c>
      <c r="I227" s="10" t="s">
        <v>50</v>
      </c>
      <c r="J227" s="16"/>
      <c r="K227" s="14"/>
      <c r="L227" s="21">
        <f>+Temp!A10</f>
        <v>0</v>
      </c>
      <c r="M227" s="22">
        <f>+Temp!J10</f>
        <v>27.232181075928228</v>
      </c>
      <c r="N227" s="23">
        <f>+HR!J21</f>
        <v>63.844607677536331</v>
      </c>
      <c r="O227" s="22">
        <f t="shared" ref="O227:O250" si="50">$B$229</f>
        <v>23.719799999999999</v>
      </c>
      <c r="P227" s="28">
        <f t="shared" ref="P227:P250" si="51">+($H$235*N227)+$B$242+$I$235</f>
        <v>29.109238870203765</v>
      </c>
      <c r="Q227" s="26">
        <f t="shared" ref="Q227:Q250" si="52">+(M227-$B$242-$I$232)/$H$232</f>
        <v>70.960665416638008</v>
      </c>
      <c r="R227" s="27">
        <f t="shared" ref="R227:R250" si="53">+(M227-$B$242-$I$238)/$H$238</f>
        <v>21.544662000089488</v>
      </c>
    </row>
    <row r="228" spans="1:18" x14ac:dyDescent="0.25">
      <c r="A228" s="293" t="s">
        <v>44</v>
      </c>
      <c r="B228" s="292"/>
      <c r="C228" s="24">
        <f>+C226+C227</f>
        <v>6.0130000000000017</v>
      </c>
      <c r="D228" s="16">
        <v>3.5</v>
      </c>
      <c r="E228" s="18">
        <v>1.28</v>
      </c>
      <c r="F228" s="13">
        <f t="shared" si="48"/>
        <v>-3.8144</v>
      </c>
      <c r="G228" s="14">
        <f t="shared" si="49"/>
        <v>5.4655999999999993</v>
      </c>
      <c r="H228" s="291" t="s">
        <v>44</v>
      </c>
      <c r="I228" s="292"/>
      <c r="J228" s="16"/>
      <c r="K228" s="14"/>
      <c r="L228" s="21">
        <f>+Temp!A11</f>
        <v>4.1666666666666664E-2</v>
      </c>
      <c r="M228" s="22">
        <f>+Temp!J11</f>
        <v>26.573556087719719</v>
      </c>
      <c r="N228" s="23">
        <f>+HR!J22</f>
        <v>65.524418462029786</v>
      </c>
      <c r="O228" s="22">
        <f t="shared" si="50"/>
        <v>23.719799999999999</v>
      </c>
      <c r="P228" s="28">
        <f t="shared" si="51"/>
        <v>29.033580192470179</v>
      </c>
      <c r="Q228" s="26">
        <f t="shared" si="52"/>
        <v>73.512783013447049</v>
      </c>
      <c r="R228" s="27">
        <f t="shared" si="53"/>
        <v>22.365890164938005</v>
      </c>
    </row>
    <row r="229" spans="1:18" x14ac:dyDescent="0.25">
      <c r="A229" s="2">
        <f>+J234</f>
        <v>25.924189526184534</v>
      </c>
      <c r="B229" s="11">
        <f>B242+I229</f>
        <v>23.719799999999999</v>
      </c>
      <c r="C229" s="5"/>
      <c r="D229" s="16">
        <v>4</v>
      </c>
      <c r="E229" s="18">
        <v>1.42</v>
      </c>
      <c r="F229" s="13">
        <f t="shared" si="48"/>
        <v>-4.2315999999999994</v>
      </c>
      <c r="G229" s="14">
        <f t="shared" si="49"/>
        <v>6.0633999999999988</v>
      </c>
      <c r="H229" s="19">
        <v>0</v>
      </c>
      <c r="I229" s="10">
        <f>+IF(B243=D226,F226,IF(B243=D227,F227,IF(B243=D228,F228,IF(B243=D229,F229,IF(B243=D230,F230,IF(B243=D231,F231,IF(B243=D232,F232,IF(B243=D233,F233,IF(B243=D234,F234,F235)))))))))</f>
        <v>-3.3971999999999998</v>
      </c>
      <c r="J229" s="16">
        <f>+I238</f>
        <v>17.393999999999998</v>
      </c>
      <c r="K229" s="14">
        <f>+I232</f>
        <v>18.428000000000001</v>
      </c>
      <c r="L229" s="21">
        <f>+Temp!A12</f>
        <v>8.3333333333333329E-2</v>
      </c>
      <c r="M229" s="22">
        <f>+Temp!J12</f>
        <v>26.035058279302756</v>
      </c>
      <c r="N229" s="23">
        <f>+HR!J23</f>
        <v>66.897847108375856</v>
      </c>
      <c r="O229" s="22">
        <f t="shared" si="50"/>
        <v>23.719799999999999</v>
      </c>
      <c r="P229" s="28">
        <f t="shared" si="51"/>
        <v>28.971720966238752</v>
      </c>
      <c r="Q229" s="26">
        <f t="shared" si="52"/>
        <v>75.599417680076115</v>
      </c>
      <c r="R229" s="27">
        <f t="shared" si="53"/>
        <v>23.037333816330726</v>
      </c>
    </row>
    <row r="230" spans="1:18" x14ac:dyDescent="0.25">
      <c r="A230" s="2">
        <f>+K234</f>
        <v>84.570852869376523</v>
      </c>
      <c r="B230" s="11">
        <f>B242+I229</f>
        <v>23.719799999999999</v>
      </c>
      <c r="C230" s="5"/>
      <c r="D230" s="16">
        <v>4.5</v>
      </c>
      <c r="E230" s="18">
        <v>1.56</v>
      </c>
      <c r="F230" s="13">
        <f t="shared" si="48"/>
        <v>-4.6488000000000005</v>
      </c>
      <c r="G230" s="14">
        <f t="shared" si="49"/>
        <v>6.6611999999999991</v>
      </c>
      <c r="H230" s="19"/>
      <c r="I230" s="10"/>
      <c r="J230" s="16">
        <f>+H238</f>
        <v>-0.80200000000000005</v>
      </c>
      <c r="K230" s="14">
        <f>+H232</f>
        <v>-0.25807000000000002</v>
      </c>
      <c r="L230" s="21">
        <f>+Temp!A13</f>
        <v>0.125</v>
      </c>
      <c r="M230" s="22">
        <f>+Temp!J13</f>
        <v>25.600937391896085</v>
      </c>
      <c r="N230" s="23">
        <f>+HR!J24</f>
        <v>68.005064358700906</v>
      </c>
      <c r="O230" s="22">
        <f t="shared" si="50"/>
        <v>23.719799999999999</v>
      </c>
      <c r="P230" s="28">
        <f t="shared" si="51"/>
        <v>28.921851901284111</v>
      </c>
      <c r="Q230" s="26">
        <f t="shared" si="52"/>
        <v>77.281600372394749</v>
      </c>
      <c r="R230" s="27">
        <f t="shared" si="53"/>
        <v>23.578631680927572</v>
      </c>
    </row>
    <row r="231" spans="1:18" x14ac:dyDescent="0.25">
      <c r="A231" s="294" t="s">
        <v>45</v>
      </c>
      <c r="B231" s="295"/>
      <c r="C231" s="8"/>
      <c r="D231" s="16">
        <v>5</v>
      </c>
      <c r="E231" s="18">
        <v>1.7</v>
      </c>
      <c r="F231" s="13">
        <f t="shared" si="48"/>
        <v>-5.0659999999999998</v>
      </c>
      <c r="G231" s="14">
        <f t="shared" si="49"/>
        <v>7.2589999999999995</v>
      </c>
      <c r="H231" s="296" t="s">
        <v>45</v>
      </c>
      <c r="I231" s="295"/>
      <c r="J231" s="16">
        <f>+I229</f>
        <v>-3.3971999999999998</v>
      </c>
      <c r="K231" s="14">
        <f>+I229</f>
        <v>-3.3971999999999998</v>
      </c>
      <c r="L231" s="21">
        <f>+Temp!A14</f>
        <v>0.16666666666666666</v>
      </c>
      <c r="M231" s="22">
        <f>+Temp!J14</f>
        <v>25.255236019354264</v>
      </c>
      <c r="N231" s="23">
        <f>+HR!J25</f>
        <v>68.886769280631526</v>
      </c>
      <c r="O231" s="22">
        <f t="shared" si="50"/>
        <v>23.719799999999999</v>
      </c>
      <c r="P231" s="28">
        <f t="shared" si="51"/>
        <v>28.882139911600355</v>
      </c>
      <c r="Q231" s="26">
        <f t="shared" si="52"/>
        <v>78.621164725251816</v>
      </c>
      <c r="R231" s="27">
        <f t="shared" si="53"/>
        <v>24.009680773872486</v>
      </c>
    </row>
    <row r="232" spans="1:18" x14ac:dyDescent="0.25">
      <c r="A232" s="2">
        <f>+K244</f>
        <v>63.653945453691968</v>
      </c>
      <c r="B232" s="11">
        <f>+(H232*A232)+B242+I232</f>
        <v>29.117826296765713</v>
      </c>
      <c r="C232" s="5"/>
      <c r="D232" s="16">
        <v>5.5</v>
      </c>
      <c r="E232" s="18">
        <v>1.84</v>
      </c>
      <c r="F232" s="13">
        <f t="shared" si="48"/>
        <v>-5.4832000000000001</v>
      </c>
      <c r="G232" s="14">
        <f t="shared" si="49"/>
        <v>7.8567999999999998</v>
      </c>
      <c r="H232" s="19">
        <v>-0.25807000000000002</v>
      </c>
      <c r="I232" s="10">
        <v>18.428000000000001</v>
      </c>
      <c r="J232" s="16"/>
      <c r="K232" s="14"/>
      <c r="L232" s="21">
        <f>+Temp!A15</f>
        <v>0.20833333333333334</v>
      </c>
      <c r="M232" s="22">
        <f>+Temp!J15</f>
        <v>24.982909551391849</v>
      </c>
      <c r="N232" s="23">
        <f>+HR!J26</f>
        <v>69.581332872927931</v>
      </c>
      <c r="O232" s="22">
        <f t="shared" si="50"/>
        <v>23.719799999999999</v>
      </c>
      <c r="P232" s="28">
        <f t="shared" si="51"/>
        <v>28.850856767403325</v>
      </c>
      <c r="Q232" s="26">
        <f t="shared" si="52"/>
        <v>79.676407364700083</v>
      </c>
      <c r="R232" s="27">
        <f t="shared" si="53"/>
        <v>24.349239960858043</v>
      </c>
    </row>
    <row r="233" spans="1:18" x14ac:dyDescent="0.25">
      <c r="A233" s="2">
        <f>+K234</f>
        <v>84.570852869376523</v>
      </c>
      <c r="B233" s="11">
        <f>+(H232*A233)+B242+I232</f>
        <v>23.719799999999999</v>
      </c>
      <c r="C233" s="5"/>
      <c r="D233" s="16">
        <v>6</v>
      </c>
      <c r="E233" s="18">
        <v>1.98</v>
      </c>
      <c r="F233" s="13">
        <f t="shared" si="48"/>
        <v>-5.9004000000000003</v>
      </c>
      <c r="G233" s="14">
        <f t="shared" si="49"/>
        <v>8.4545999999999992</v>
      </c>
      <c r="H233" s="19"/>
      <c r="I233" s="10"/>
      <c r="J233" s="16">
        <f>+J231-J229</f>
        <v>-20.791199999999996</v>
      </c>
      <c r="K233" s="14">
        <f>+K231-K229</f>
        <v>-21.825200000000002</v>
      </c>
      <c r="L233" s="21">
        <f>+Temp!A16</f>
        <v>0.25</v>
      </c>
      <c r="M233" s="22">
        <f>+Temp!J16</f>
        <v>24.100060837276931</v>
      </c>
      <c r="N233" s="23">
        <f>+HR!J27</f>
        <v>71.833022100632903</v>
      </c>
      <c r="O233" s="22">
        <f t="shared" si="50"/>
        <v>23.719799999999999</v>
      </c>
      <c r="P233" s="28">
        <f t="shared" si="51"/>
        <v>28.749440684587494</v>
      </c>
      <c r="Q233" s="26">
        <f t="shared" si="52"/>
        <v>83.097373436366368</v>
      </c>
      <c r="R233" s="27">
        <f t="shared" si="53"/>
        <v>25.450048831325521</v>
      </c>
    </row>
    <row r="234" spans="1:18" x14ac:dyDescent="0.25">
      <c r="A234" s="294" t="s">
        <v>46</v>
      </c>
      <c r="B234" s="295"/>
      <c r="C234" s="8"/>
      <c r="D234" s="16">
        <v>6.5</v>
      </c>
      <c r="E234" s="18">
        <v>2.12</v>
      </c>
      <c r="F234" s="13">
        <f t="shared" si="48"/>
        <v>-6.3176000000000005</v>
      </c>
      <c r="G234" s="14">
        <f t="shared" si="49"/>
        <v>9.0523999999999987</v>
      </c>
      <c r="H234" s="296" t="s">
        <v>46</v>
      </c>
      <c r="I234" s="295"/>
      <c r="J234" s="16">
        <f>+J233/J230</f>
        <v>25.924189526184534</v>
      </c>
      <c r="K234" s="14">
        <f>+K233/K230</f>
        <v>84.570852869376523</v>
      </c>
      <c r="L234" s="21">
        <f>+Temp!A17</f>
        <v>0.29166666666666669</v>
      </c>
      <c r="M234" s="22">
        <f>+Temp!J17</f>
        <v>24.354319604491291</v>
      </c>
      <c r="N234" s="23">
        <f>+HR!J28</f>
        <v>71.184539843103551</v>
      </c>
      <c r="O234" s="22">
        <f t="shared" si="50"/>
        <v>23.719799999999999</v>
      </c>
      <c r="P234" s="28">
        <f t="shared" si="51"/>
        <v>28.778648325466616</v>
      </c>
      <c r="Q234" s="26">
        <f t="shared" si="52"/>
        <v>82.112141649586192</v>
      </c>
      <c r="R234" s="27">
        <f t="shared" si="53"/>
        <v>25.133017949512105</v>
      </c>
    </row>
    <row r="235" spans="1:18" x14ac:dyDescent="0.25">
      <c r="A235" s="2">
        <f>+J244</f>
        <v>16.548034242232085</v>
      </c>
      <c r="B235" s="11">
        <f>+(H235*A235)+B242+I235</f>
        <v>31.239476537729868</v>
      </c>
      <c r="C235" s="5"/>
      <c r="D235" s="16">
        <v>7</v>
      </c>
      <c r="E235" s="18">
        <v>2.2599999999999998</v>
      </c>
      <c r="F235" s="13">
        <f t="shared" si="48"/>
        <v>-6.734799999999999</v>
      </c>
      <c r="G235" s="14">
        <f t="shared" si="49"/>
        <v>9.6501999999999981</v>
      </c>
      <c r="H235" s="19">
        <v>-4.5039999999999997E-2</v>
      </c>
      <c r="I235" s="10">
        <f>+IF(B243=D226,G226,IF(B243=D227,G227,IF(B243=D228,G228,IF(B243=D229,G229,IF(B243=D230,G230,IF(B243=D231,G231,IF(B243=D232,G232,IF(B243=D233,G233,IF(B243=D234,G234,G235)))))))))</f>
        <v>4.867799999999999</v>
      </c>
      <c r="J235" s="16"/>
      <c r="K235" s="14"/>
      <c r="L235" s="21">
        <f>+Temp!A18</f>
        <v>0.33333333333333331</v>
      </c>
      <c r="M235" s="22">
        <f>+Temp!J18</f>
        <v>25.675462990478465</v>
      </c>
      <c r="N235" s="23">
        <f>+HR!J29</f>
        <v>67.814988205410643</v>
      </c>
      <c r="O235" s="22">
        <f t="shared" si="50"/>
        <v>23.719799999999999</v>
      </c>
      <c r="P235" s="28">
        <f t="shared" si="51"/>
        <v>28.930412931228304</v>
      </c>
      <c r="Q235" s="26">
        <f t="shared" si="52"/>
        <v>76.992819814474885</v>
      </c>
      <c r="R235" s="27">
        <f t="shared" si="53"/>
        <v>23.485706994415878</v>
      </c>
    </row>
    <row r="236" spans="1:18" x14ac:dyDescent="0.25">
      <c r="A236" s="2">
        <f>+K244</f>
        <v>63.653945453691968</v>
      </c>
      <c r="B236" s="11">
        <f>+(H235*A236)+B242+I235</f>
        <v>29.117826296765713</v>
      </c>
      <c r="C236" s="5"/>
      <c r="D236" s="16"/>
      <c r="E236" s="13"/>
      <c r="F236" s="13"/>
      <c r="G236" s="14"/>
      <c r="H236" s="19"/>
      <c r="I236" s="10"/>
      <c r="J236" s="16"/>
      <c r="K236" s="14"/>
      <c r="L236" s="21">
        <f>+Temp!A19</f>
        <v>0.375</v>
      </c>
      <c r="M236" s="22">
        <f>+Temp!J19</f>
        <v>28.074265738288489</v>
      </c>
      <c r="N236" s="23">
        <f>+HR!J30</f>
        <v>61.696886405774507</v>
      </c>
      <c r="O236" s="22">
        <f t="shared" si="50"/>
        <v>23.719799999999999</v>
      </c>
      <c r="P236" s="28">
        <f t="shared" si="51"/>
        <v>29.205972236283916</v>
      </c>
      <c r="Q236" s="26">
        <f t="shared" si="52"/>
        <v>67.697656688927466</v>
      </c>
      <c r="R236" s="27">
        <f t="shared" si="53"/>
        <v>20.494681124328565</v>
      </c>
    </row>
    <row r="237" spans="1:18" x14ac:dyDescent="0.25">
      <c r="A237" s="293" t="s">
        <v>47</v>
      </c>
      <c r="B237" s="292"/>
      <c r="C237" s="9"/>
      <c r="D237" s="16"/>
      <c r="E237" s="13"/>
      <c r="F237" s="13"/>
      <c r="G237" s="14"/>
      <c r="H237" s="291" t="s">
        <v>47</v>
      </c>
      <c r="I237" s="292"/>
      <c r="J237" s="16">
        <f>+I238</f>
        <v>17.393999999999998</v>
      </c>
      <c r="K237" s="14">
        <f>+I232</f>
        <v>18.428000000000001</v>
      </c>
      <c r="L237" s="21">
        <f>+Temp!A20</f>
        <v>0.41666666666666669</v>
      </c>
      <c r="M237" s="22">
        <f>+Temp!J20</f>
        <v>30.945762383570461</v>
      </c>
      <c r="N237" s="23">
        <f>+HR!J31</f>
        <v>54.373187610953835</v>
      </c>
      <c r="O237" s="22">
        <f t="shared" si="50"/>
        <v>23.719799999999999</v>
      </c>
      <c r="P237" s="28">
        <f t="shared" si="51"/>
        <v>29.53583163000264</v>
      </c>
      <c r="Q237" s="26">
        <f t="shared" si="52"/>
        <v>56.57084363323726</v>
      </c>
      <c r="R237" s="27">
        <f t="shared" si="53"/>
        <v>16.914261367119124</v>
      </c>
    </row>
    <row r="238" spans="1:18" x14ac:dyDescent="0.25">
      <c r="A238" s="3">
        <f>+J244</f>
        <v>16.548034242232085</v>
      </c>
      <c r="B238" s="12">
        <f>+(H238*A238)+B242+I238</f>
        <v>31.239476537729868</v>
      </c>
      <c r="C238" s="4"/>
      <c r="D238" s="16"/>
      <c r="E238" s="13"/>
      <c r="F238" s="13"/>
      <c r="G238" s="14"/>
      <c r="H238" s="19">
        <v>-0.80200000000000005</v>
      </c>
      <c r="I238" s="10">
        <v>17.393999999999998</v>
      </c>
      <c r="J238" s="16">
        <f>+H238</f>
        <v>-0.80200000000000005</v>
      </c>
      <c r="K238" s="14">
        <f>+H232</f>
        <v>-0.25807000000000002</v>
      </c>
      <c r="L238" s="21">
        <f>+Temp!A21</f>
        <v>0.45833333333333331</v>
      </c>
      <c r="M238" s="22">
        <f>+Temp!J21</f>
        <v>33.635873392574545</v>
      </c>
      <c r="N238" s="23">
        <f>+HR!J32</f>
        <v>47.512109508373499</v>
      </c>
      <c r="O238" s="22">
        <f t="shared" si="50"/>
        <v>23.719799999999999</v>
      </c>
      <c r="P238" s="28">
        <f t="shared" si="51"/>
        <v>29.844854587742859</v>
      </c>
      <c r="Q238" s="26">
        <f t="shared" si="52"/>
        <v>46.14688498246776</v>
      </c>
      <c r="R238" s="27">
        <f t="shared" si="53"/>
        <v>13.560008238685104</v>
      </c>
    </row>
    <row r="239" spans="1:18" x14ac:dyDescent="0.25">
      <c r="A239" s="3">
        <f>+J234</f>
        <v>25.924189526184534</v>
      </c>
      <c r="B239" s="12">
        <f>+(H238*A239)+B242+I238</f>
        <v>23.719800000000003</v>
      </c>
      <c r="C239" s="4"/>
      <c r="D239" s="16"/>
      <c r="E239" s="13"/>
      <c r="F239" s="13"/>
      <c r="G239" s="14"/>
      <c r="H239" s="19"/>
      <c r="I239" s="10"/>
      <c r="J239" s="16">
        <f>+I235</f>
        <v>4.867799999999999</v>
      </c>
      <c r="K239" s="14">
        <f>+I235</f>
        <v>4.867799999999999</v>
      </c>
      <c r="L239" s="21">
        <f>+Temp!A22</f>
        <v>0.5</v>
      </c>
      <c r="M239" s="22">
        <f>+Temp!J22</f>
        <v>35.699450784658701</v>
      </c>
      <c r="N239" s="23">
        <f>+HR!J33</f>
        <v>42.248993744593164</v>
      </c>
      <c r="O239" s="22">
        <f t="shared" si="50"/>
        <v>23.719799999999999</v>
      </c>
      <c r="P239" s="28">
        <f t="shared" si="51"/>
        <v>30.081905321743523</v>
      </c>
      <c r="Q239" s="26">
        <f t="shared" si="52"/>
        <v>38.15069250723176</v>
      </c>
      <c r="R239" s="27">
        <f t="shared" si="53"/>
        <v>10.986969096435534</v>
      </c>
    </row>
    <row r="240" spans="1:18" x14ac:dyDescent="0.25">
      <c r="A240" s="13"/>
      <c r="B240" s="14"/>
      <c r="C240" s="13"/>
      <c r="D240" s="16"/>
      <c r="E240" s="13"/>
      <c r="F240" s="13"/>
      <c r="G240" s="14"/>
      <c r="H240" s="19"/>
      <c r="I240" s="10"/>
      <c r="J240" s="16">
        <f>+H235</f>
        <v>-4.5039999999999997E-2</v>
      </c>
      <c r="K240" s="14">
        <f>+H235</f>
        <v>-4.5039999999999997E-2</v>
      </c>
      <c r="L240" s="21">
        <f>+Temp!A23</f>
        <v>0.54166666666666663</v>
      </c>
      <c r="M240" s="22">
        <f>+Temp!J23</f>
        <v>36.942688077205418</v>
      </c>
      <c r="N240" s="23">
        <f>+HR!J34</f>
        <v>39.078140149461632</v>
      </c>
      <c r="O240" s="22">
        <f t="shared" si="50"/>
        <v>23.719799999999999</v>
      </c>
      <c r="P240" s="28">
        <f t="shared" si="51"/>
        <v>30.22472056766825</v>
      </c>
      <c r="Q240" s="26">
        <f t="shared" si="52"/>
        <v>33.333250369258664</v>
      </c>
      <c r="R240" s="27">
        <f t="shared" si="53"/>
        <v>9.4367979087214238</v>
      </c>
    </row>
    <row r="241" spans="1:18" x14ac:dyDescent="0.25">
      <c r="A241" s="293" t="s">
        <v>48</v>
      </c>
      <c r="B241" s="292"/>
      <c r="C241" s="9"/>
      <c r="D241" s="16"/>
      <c r="E241" s="13"/>
      <c r="F241" s="13"/>
      <c r="G241" s="14"/>
      <c r="H241" s="19"/>
      <c r="I241" s="10"/>
      <c r="J241" s="16"/>
      <c r="K241" s="14"/>
      <c r="L241" s="21">
        <f>+Temp!A24</f>
        <v>0.58333333333333337</v>
      </c>
      <c r="M241" s="22">
        <f>+Temp!J24</f>
        <v>37.36920432371857</v>
      </c>
      <c r="N241" s="23">
        <f>+HR!J35</f>
        <v>37.990318394317953</v>
      </c>
      <c r="O241" s="22">
        <f t="shared" si="50"/>
        <v>23.719799999999999</v>
      </c>
      <c r="P241" s="28">
        <f t="shared" si="51"/>
        <v>30.27371605951992</v>
      </c>
      <c r="Q241" s="26">
        <f t="shared" si="52"/>
        <v>31.680535034221069</v>
      </c>
      <c r="R241" s="27">
        <f t="shared" si="53"/>
        <v>8.9049821400017812</v>
      </c>
    </row>
    <row r="242" spans="1:18" x14ac:dyDescent="0.25">
      <c r="A242" s="13">
        <v>50</v>
      </c>
      <c r="B242" s="15">
        <f>+Tn!J5</f>
        <v>27.117000000000001</v>
      </c>
      <c r="C242" s="20"/>
      <c r="D242" s="16"/>
      <c r="E242" s="13"/>
      <c r="F242" s="13"/>
      <c r="G242" s="14"/>
      <c r="H242" s="19"/>
      <c r="I242" s="10"/>
      <c r="J242" s="16">
        <f>+J238-J240</f>
        <v>-0.75696000000000008</v>
      </c>
      <c r="K242" s="14">
        <f>+K238-K240</f>
        <v>-0.21303000000000002</v>
      </c>
      <c r="L242" s="21">
        <f>+Temp!A25</f>
        <v>0.625</v>
      </c>
      <c r="M242" s="22">
        <f>+Temp!J25</f>
        <v>37.102521014415942</v>
      </c>
      <c r="N242" s="23">
        <f>+HR!J36</f>
        <v>38.67048921539395</v>
      </c>
      <c r="O242" s="22">
        <f t="shared" si="50"/>
        <v>23.719799999999999</v>
      </c>
      <c r="P242" s="28">
        <f t="shared" si="51"/>
        <v>30.243081165738655</v>
      </c>
      <c r="Q242" s="26">
        <f t="shared" si="52"/>
        <v>32.713910898531637</v>
      </c>
      <c r="R242" s="27">
        <f t="shared" si="53"/>
        <v>9.2375049695561806</v>
      </c>
    </row>
    <row r="243" spans="1:18" x14ac:dyDescent="0.25">
      <c r="A243" s="13" t="s">
        <v>52</v>
      </c>
      <c r="B243" s="15">
        <f>+Tn!J7</f>
        <v>3</v>
      </c>
      <c r="C243" s="20"/>
      <c r="D243" s="16"/>
      <c r="E243" s="13"/>
      <c r="F243" s="13"/>
      <c r="G243" s="14"/>
      <c r="H243" s="19"/>
      <c r="I243" s="10"/>
      <c r="J243" s="16">
        <f>+J239-J237</f>
        <v>-12.526199999999999</v>
      </c>
      <c r="K243" s="14">
        <f>+K239-K237</f>
        <v>-13.560200000000002</v>
      </c>
      <c r="L243" s="21">
        <f>+Temp!A26</f>
        <v>0.66666666666666663</v>
      </c>
      <c r="M243" s="22">
        <f>+Temp!J26</f>
        <v>36.318540642912502</v>
      </c>
      <c r="N243" s="23">
        <f>+HR!J37</f>
        <v>40.67001657384538</v>
      </c>
      <c r="O243" s="22">
        <f t="shared" si="50"/>
        <v>23.719799999999999</v>
      </c>
      <c r="P243" s="28">
        <f t="shared" si="51"/>
        <v>30.153022453514005</v>
      </c>
      <c r="Q243" s="26">
        <f t="shared" si="52"/>
        <v>35.751770283595533</v>
      </c>
      <c r="R243" s="27">
        <f t="shared" si="53"/>
        <v>10.215036604847253</v>
      </c>
    </row>
    <row r="244" spans="1:18" x14ac:dyDescent="0.25">
      <c r="A244" s="13"/>
      <c r="B244" s="14"/>
      <c r="C244" s="13"/>
      <c r="D244" s="16"/>
      <c r="E244" s="13"/>
      <c r="F244" s="13"/>
      <c r="G244" s="14"/>
      <c r="H244" s="19"/>
      <c r="I244" s="10"/>
      <c r="J244" s="16">
        <f>+J243/J242</f>
        <v>16.548034242232085</v>
      </c>
      <c r="K244" s="14">
        <f>+K243/K242</f>
        <v>63.653945453691968</v>
      </c>
      <c r="L244" s="21">
        <f>+Temp!A27</f>
        <v>0.70833333333333337</v>
      </c>
      <c r="M244" s="22">
        <f>+Temp!J27</f>
        <v>35.198542316591741</v>
      </c>
      <c r="N244" s="23">
        <f>+HR!J38</f>
        <v>43.526551477396026</v>
      </c>
      <c r="O244" s="22">
        <f t="shared" si="50"/>
        <v>23.719799999999999</v>
      </c>
      <c r="P244" s="28">
        <f t="shared" si="51"/>
        <v>30.024364121458081</v>
      </c>
      <c r="Q244" s="26">
        <f t="shared" si="52"/>
        <v>40.091671575186034</v>
      </c>
      <c r="R244" s="27">
        <f t="shared" si="53"/>
        <v>11.61154324614496</v>
      </c>
    </row>
    <row r="245" spans="1:18" x14ac:dyDescent="0.25">
      <c r="A245" s="13"/>
      <c r="B245" s="15"/>
      <c r="C245" s="20"/>
      <c r="D245" s="16"/>
      <c r="E245" s="13"/>
      <c r="F245" s="13"/>
      <c r="G245" s="14"/>
      <c r="H245" s="16"/>
      <c r="I245" s="14"/>
      <c r="J245" s="16"/>
      <c r="K245" s="14"/>
      <c r="L245" s="21">
        <f>+Temp!A28</f>
        <v>0.75</v>
      </c>
      <c r="M245" s="22">
        <f>+Temp!J28</f>
        <v>33.902079563735434</v>
      </c>
      <c r="N245" s="23">
        <f>+HR!J39</f>
        <v>46.833155619255045</v>
      </c>
      <c r="O245" s="22">
        <f t="shared" si="50"/>
        <v>23.719799999999999</v>
      </c>
      <c r="P245" s="28">
        <f t="shared" si="51"/>
        <v>29.875434670908753</v>
      </c>
      <c r="Q245" s="26">
        <f t="shared" si="52"/>
        <v>45.115357989167926</v>
      </c>
      <c r="R245" s="27">
        <f t="shared" si="53"/>
        <v>13.228080344469532</v>
      </c>
    </row>
    <row r="246" spans="1:18" x14ac:dyDescent="0.25">
      <c r="A246" s="13"/>
      <c r="B246" s="15"/>
      <c r="C246" s="20"/>
      <c r="D246" s="16"/>
      <c r="E246" s="13"/>
      <c r="F246" s="13"/>
      <c r="G246" s="14"/>
      <c r="H246" s="16"/>
      <c r="I246" s="14"/>
      <c r="J246" s="16"/>
      <c r="K246" s="14"/>
      <c r="L246" s="21">
        <f>+Temp!A29</f>
        <v>0.79166666666666663</v>
      </c>
      <c r="M246" s="22">
        <f>+Temp!J29</f>
        <v>32.555075240414638</v>
      </c>
      <c r="N246" s="23">
        <f>+HR!J40</f>
        <v>50.268665096701781</v>
      </c>
      <c r="O246" s="22">
        <f t="shared" si="50"/>
        <v>23.719799999999999</v>
      </c>
      <c r="P246" s="28">
        <f t="shared" si="51"/>
        <v>29.720699324044553</v>
      </c>
      <c r="Q246" s="26">
        <f t="shared" si="52"/>
        <v>50.334888827005706</v>
      </c>
      <c r="R246" s="27">
        <f t="shared" si="53"/>
        <v>14.907636857338355</v>
      </c>
    </row>
    <row r="247" spans="1:18" x14ac:dyDescent="0.25">
      <c r="A247" s="13"/>
      <c r="B247" s="15"/>
      <c r="C247" s="20"/>
      <c r="D247" s="16"/>
      <c r="E247" s="13"/>
      <c r="F247" s="13"/>
      <c r="G247" s="14"/>
      <c r="H247" s="16"/>
      <c r="I247" s="14"/>
      <c r="J247" s="16"/>
      <c r="K247" s="14"/>
      <c r="L247" s="21">
        <f>+Temp!A30</f>
        <v>0.83333333333333337</v>
      </c>
      <c r="M247" s="22">
        <f>+Temp!J30</f>
        <v>31.247849689056416</v>
      </c>
      <c r="N247" s="23">
        <f>+HR!J41</f>
        <v>53.6027195559926</v>
      </c>
      <c r="O247" s="22">
        <f t="shared" si="50"/>
        <v>23.719799999999999</v>
      </c>
      <c r="P247" s="28">
        <f t="shared" si="51"/>
        <v>29.570533511198093</v>
      </c>
      <c r="Q247" s="26">
        <f t="shared" si="52"/>
        <v>55.40028019895216</v>
      </c>
      <c r="R247" s="27">
        <f t="shared" si="53"/>
        <v>16.537593903919678</v>
      </c>
    </row>
    <row r="248" spans="1:18" x14ac:dyDescent="0.25">
      <c r="A248" s="13"/>
      <c r="B248" s="14"/>
      <c r="C248" s="13"/>
      <c r="D248" s="16"/>
      <c r="E248" s="13"/>
      <c r="F248" s="13"/>
      <c r="G248" s="14"/>
      <c r="H248" s="16"/>
      <c r="I248" s="14"/>
      <c r="J248" s="16"/>
      <c r="K248" s="14"/>
      <c r="L248" s="21">
        <f>+Temp!A31</f>
        <v>0.875</v>
      </c>
      <c r="M248" s="22">
        <f>+Temp!J31</f>
        <v>30.038711646119118</v>
      </c>
      <c r="N248" s="23">
        <f>+HR!J42</f>
        <v>56.686603649112314</v>
      </c>
      <c r="O248" s="22">
        <f t="shared" si="50"/>
        <v>23.719799999999999</v>
      </c>
      <c r="P248" s="28">
        <f t="shared" si="51"/>
        <v>29.431635371643981</v>
      </c>
      <c r="Q248" s="26">
        <f t="shared" si="52"/>
        <v>60.08559055248918</v>
      </c>
      <c r="R248" s="27">
        <f t="shared" si="53"/>
        <v>18.045247324040997</v>
      </c>
    </row>
    <row r="249" spans="1:18" x14ac:dyDescent="0.25">
      <c r="B249" s="14"/>
      <c r="C249" s="25"/>
      <c r="G249" s="14"/>
      <c r="I249" s="14"/>
      <c r="K249" s="14"/>
      <c r="L249" s="21">
        <f>+Temp!A32</f>
        <v>0.91666666666666663</v>
      </c>
      <c r="M249" s="22">
        <f>+Temp!J32</f>
        <v>28.96000573249389</v>
      </c>
      <c r="N249" s="23">
        <f>+HR!J43</f>
        <v>59.43782302196562</v>
      </c>
      <c r="O249" s="22">
        <f t="shared" si="50"/>
        <v>23.719799999999999</v>
      </c>
      <c r="P249" s="28">
        <f t="shared" si="51"/>
        <v>29.30772045109067</v>
      </c>
      <c r="Q249" s="26">
        <f t="shared" si="52"/>
        <v>64.265487144984348</v>
      </c>
      <c r="R249" s="27">
        <f t="shared" si="53"/>
        <v>19.390267166466469</v>
      </c>
    </row>
    <row r="250" spans="1:18" x14ac:dyDescent="0.25">
      <c r="B250" s="14"/>
      <c r="C250" s="25"/>
      <c r="G250" s="14"/>
      <c r="I250" s="14"/>
      <c r="K250" s="14"/>
      <c r="L250" s="21">
        <f>+Temp!A33</f>
        <v>0.95833333333333337</v>
      </c>
      <c r="M250" s="22">
        <f>+Temp!J33</f>
        <v>28.024663064973431</v>
      </c>
      <c r="N250" s="23">
        <f>+HR!J44</f>
        <v>61.823397101642541</v>
      </c>
      <c r="O250" s="22">
        <f t="shared" si="50"/>
        <v>23.719799999999999</v>
      </c>
      <c r="P250" s="28">
        <f t="shared" si="51"/>
        <v>29.200274194542022</v>
      </c>
      <c r="Q250" s="26">
        <f t="shared" si="52"/>
        <v>67.88986296363997</v>
      </c>
      <c r="R250" s="27">
        <f t="shared" si="53"/>
        <v>20.556529844172776</v>
      </c>
    </row>
    <row r="251" spans="1:18" x14ac:dyDescent="0.25">
      <c r="P251" s="7"/>
    </row>
    <row r="252" spans="1:18" x14ac:dyDescent="0.25">
      <c r="P252" s="7"/>
    </row>
    <row r="253" spans="1:18" x14ac:dyDescent="0.25">
      <c r="A253" s="9" t="s">
        <v>42</v>
      </c>
      <c r="B253" s="10" t="s">
        <v>43</v>
      </c>
      <c r="C253" s="9"/>
      <c r="D253" s="16" t="s">
        <v>52</v>
      </c>
      <c r="E253" s="13"/>
      <c r="F253" s="9" t="s">
        <v>44</v>
      </c>
      <c r="G253" s="17" t="s">
        <v>46</v>
      </c>
      <c r="H253" s="16"/>
      <c r="I253" s="14"/>
      <c r="J253" s="16"/>
      <c r="K253" s="14"/>
      <c r="L253" s="291" t="s">
        <v>65</v>
      </c>
      <c r="M253" s="293"/>
      <c r="N253" s="292"/>
      <c r="O253" s="291" t="s">
        <v>72</v>
      </c>
      <c r="P253" s="292"/>
      <c r="Q253" s="291" t="s">
        <v>73</v>
      </c>
      <c r="R253" s="292"/>
    </row>
    <row r="254" spans="1:18" x14ac:dyDescent="0.25">
      <c r="A254" s="9">
        <f>+A270</f>
        <v>50</v>
      </c>
      <c r="B254" s="11">
        <f>+(H263*A254)+B270+I263</f>
        <v>28.430800000000001</v>
      </c>
      <c r="C254" s="5">
        <f>+B254-B270</f>
        <v>2.6158000000000001</v>
      </c>
      <c r="D254" s="16">
        <v>2.5</v>
      </c>
      <c r="E254" s="18">
        <v>1</v>
      </c>
      <c r="F254" s="13">
        <v>-2.98</v>
      </c>
      <c r="G254" s="14">
        <v>4.2699999999999996</v>
      </c>
      <c r="H254" s="291" t="s">
        <v>51</v>
      </c>
      <c r="I254" s="292"/>
      <c r="J254" s="16"/>
      <c r="K254" s="14"/>
      <c r="L254" s="9" t="s">
        <v>56</v>
      </c>
      <c r="M254" s="9" t="s">
        <v>54</v>
      </c>
      <c r="N254" s="10" t="s">
        <v>55</v>
      </c>
      <c r="O254" s="19" t="s">
        <v>68</v>
      </c>
      <c r="P254" s="10" t="s">
        <v>69</v>
      </c>
      <c r="Q254" s="19" t="s">
        <v>70</v>
      </c>
      <c r="R254" s="10" t="s">
        <v>71</v>
      </c>
    </row>
    <row r="255" spans="1:18" x14ac:dyDescent="0.25">
      <c r="A255" s="9">
        <f>+A270</f>
        <v>50</v>
      </c>
      <c r="B255" s="11">
        <f>B270+I257</f>
        <v>22.4178</v>
      </c>
      <c r="C255" s="5">
        <f>+B270-B255</f>
        <v>3.3972000000000016</v>
      </c>
      <c r="D255" s="16">
        <v>3</v>
      </c>
      <c r="E255" s="18">
        <v>1.1399999999999999</v>
      </c>
      <c r="F255" s="13">
        <f t="shared" ref="F255:F263" si="54">$F$254*E255</f>
        <v>-3.3971999999999998</v>
      </c>
      <c r="G255" s="14">
        <f t="shared" ref="G255:G263" si="55">$G$254*E255</f>
        <v>4.867799999999999</v>
      </c>
      <c r="H255" s="19" t="s">
        <v>49</v>
      </c>
      <c r="I255" s="10" t="s">
        <v>50</v>
      </c>
      <c r="J255" s="16"/>
      <c r="K255" s="14"/>
      <c r="L255" s="21">
        <f>+Temp!A10</f>
        <v>0</v>
      </c>
      <c r="M255" s="22">
        <f>+Temp!K10</f>
        <v>22.795474812529811</v>
      </c>
      <c r="N255" s="23">
        <f>+HR!K21</f>
        <v>58.558497033701563</v>
      </c>
      <c r="O255" s="22">
        <f t="shared" ref="O255:O278" si="56">$B$257</f>
        <v>22.4178</v>
      </c>
      <c r="P255" s="28">
        <f t="shared" ref="P255:P278" si="57">+($H$263*N255)+$B$270+$I$263</f>
        <v>28.045325293602083</v>
      </c>
      <c r="Q255" s="26">
        <f t="shared" ref="Q255:Q278" si="58">+(M255-$B$270-$I$260)/$H$260</f>
        <v>83.107394069323007</v>
      </c>
      <c r="R255" s="27">
        <f t="shared" ref="R255:R278" si="59">+(M255-$B$270-$I$266)/$H$266</f>
        <v>25.453273301085023</v>
      </c>
    </row>
    <row r="256" spans="1:18" x14ac:dyDescent="0.25">
      <c r="A256" s="293" t="s">
        <v>44</v>
      </c>
      <c r="B256" s="292"/>
      <c r="C256" s="24">
        <f>+C254+C255</f>
        <v>6.0130000000000017</v>
      </c>
      <c r="D256" s="16">
        <v>3.5</v>
      </c>
      <c r="E256" s="18">
        <v>1.28</v>
      </c>
      <c r="F256" s="13">
        <f t="shared" si="54"/>
        <v>-3.8144</v>
      </c>
      <c r="G256" s="14">
        <f t="shared" si="55"/>
        <v>5.4655999999999993</v>
      </c>
      <c r="H256" s="291" t="s">
        <v>44</v>
      </c>
      <c r="I256" s="292"/>
      <c r="J256" s="16"/>
      <c r="K256" s="14"/>
      <c r="L256" s="21">
        <f>+Temp!A11</f>
        <v>4.1666666666666664E-2</v>
      </c>
      <c r="M256" s="22">
        <f>+Temp!K11</f>
        <v>21.94890867603803</v>
      </c>
      <c r="N256" s="23">
        <f>+HR!K22</f>
        <v>60.514303352012739</v>
      </c>
      <c r="O256" s="22">
        <f t="shared" si="56"/>
        <v>22.4178</v>
      </c>
      <c r="P256" s="28">
        <f t="shared" si="57"/>
        <v>27.957235777025346</v>
      </c>
      <c r="Q256" s="26">
        <f t="shared" si="58"/>
        <v>86.387768140279647</v>
      </c>
      <c r="R256" s="27">
        <f t="shared" si="59"/>
        <v>26.508842049827891</v>
      </c>
    </row>
    <row r="257" spans="1:18" x14ac:dyDescent="0.25">
      <c r="A257" s="2">
        <f>+J262</f>
        <v>25.924189526184534</v>
      </c>
      <c r="B257" s="11">
        <f>B270+I257</f>
        <v>22.4178</v>
      </c>
      <c r="C257" s="5"/>
      <c r="D257" s="16">
        <v>4</v>
      </c>
      <c r="E257" s="18">
        <v>1.42</v>
      </c>
      <c r="F257" s="13">
        <f t="shared" si="54"/>
        <v>-4.2315999999999994</v>
      </c>
      <c r="G257" s="14">
        <f t="shared" si="55"/>
        <v>6.0633999999999988</v>
      </c>
      <c r="H257" s="19">
        <v>0</v>
      </c>
      <c r="I257" s="10">
        <f>+IF(B271=D254,F254,IF(B271=D255,F255,IF(B271=D256,F256,IF(B271=D257,F257,IF(B271=D258,F258,IF(B271=D259,F259,IF(B271=D260,F260,IF(B271=D261,F261,IF(B271=D262,F262,F263)))))))))</f>
        <v>-3.3971999999999998</v>
      </c>
      <c r="J257" s="16">
        <f>+I266</f>
        <v>17.393999999999998</v>
      </c>
      <c r="K257" s="14">
        <f>+I260</f>
        <v>18.428000000000001</v>
      </c>
      <c r="L257" s="21">
        <f>+Temp!A12</f>
        <v>8.3333333333333329E-2</v>
      </c>
      <c r="M257" s="22">
        <f>+Temp!K12</f>
        <v>21.251942768024801</v>
      </c>
      <c r="N257" s="23">
        <f>+HR!K23</f>
        <v>62.124490988608564</v>
      </c>
      <c r="O257" s="22">
        <f t="shared" si="56"/>
        <v>22.4178</v>
      </c>
      <c r="P257" s="28">
        <f t="shared" si="57"/>
        <v>27.884712925873071</v>
      </c>
      <c r="Q257" s="26">
        <f t="shared" si="58"/>
        <v>89.08845364426395</v>
      </c>
      <c r="R257" s="27">
        <f t="shared" si="59"/>
        <v>27.377876847849375</v>
      </c>
    </row>
    <row r="258" spans="1:18" x14ac:dyDescent="0.25">
      <c r="A258" s="2">
        <f>+K262</f>
        <v>84.570852869376523</v>
      </c>
      <c r="B258" s="11">
        <f>B270+I257</f>
        <v>22.4178</v>
      </c>
      <c r="C258" s="5"/>
      <c r="D258" s="16">
        <v>4.5</v>
      </c>
      <c r="E258" s="18">
        <v>1.56</v>
      </c>
      <c r="F258" s="13">
        <f t="shared" si="54"/>
        <v>-4.6488000000000005</v>
      </c>
      <c r="G258" s="14">
        <f t="shared" si="55"/>
        <v>6.6611999999999991</v>
      </c>
      <c r="H258" s="19"/>
      <c r="I258" s="10"/>
      <c r="J258" s="16">
        <f>+H266</f>
        <v>-0.80200000000000005</v>
      </c>
      <c r="K258" s="14">
        <f>+H260</f>
        <v>-0.25807000000000002</v>
      </c>
      <c r="L258" s="21">
        <f>+Temp!A13</f>
        <v>0.125</v>
      </c>
      <c r="M258" s="22">
        <f>+Temp!K13</f>
        <v>20.686697539378262</v>
      </c>
      <c r="N258" s="23">
        <f>+HR!K24</f>
        <v>63.430366739986297</v>
      </c>
      <c r="O258" s="22">
        <f t="shared" si="56"/>
        <v>22.4178</v>
      </c>
      <c r="P258" s="28">
        <f t="shared" si="57"/>
        <v>27.825896282031017</v>
      </c>
      <c r="Q258" s="26">
        <f t="shared" si="58"/>
        <v>91.278732361846551</v>
      </c>
      <c r="R258" s="27">
        <f t="shared" si="59"/>
        <v>28.08267139728396</v>
      </c>
    </row>
    <row r="259" spans="1:18" x14ac:dyDescent="0.25">
      <c r="A259" s="294" t="s">
        <v>45</v>
      </c>
      <c r="B259" s="295"/>
      <c r="C259" s="8"/>
      <c r="D259" s="16">
        <v>5</v>
      </c>
      <c r="E259" s="18">
        <v>1.7</v>
      </c>
      <c r="F259" s="13">
        <f t="shared" si="54"/>
        <v>-5.0659999999999998</v>
      </c>
      <c r="G259" s="14">
        <f t="shared" si="55"/>
        <v>7.2589999999999995</v>
      </c>
      <c r="H259" s="296" t="s">
        <v>45</v>
      </c>
      <c r="I259" s="295"/>
      <c r="J259" s="16">
        <f>+I257</f>
        <v>-3.3971999999999998</v>
      </c>
      <c r="K259" s="14">
        <f>+I257</f>
        <v>-3.3971999999999998</v>
      </c>
      <c r="L259" s="21">
        <f>+Temp!A14</f>
        <v>0.16666666666666666</v>
      </c>
      <c r="M259" s="22">
        <f>+Temp!K14</f>
        <v>20.234216050523969</v>
      </c>
      <c r="N259" s="23">
        <f>+HR!K25</f>
        <v>64.475726478195796</v>
      </c>
      <c r="O259" s="22">
        <f t="shared" si="56"/>
        <v>22.4178</v>
      </c>
      <c r="P259" s="28">
        <f t="shared" si="57"/>
        <v>27.778813279422064</v>
      </c>
      <c r="Q259" s="26">
        <f t="shared" si="58"/>
        <v>93.032060872926067</v>
      </c>
      <c r="R259" s="27">
        <f t="shared" si="59"/>
        <v>28.646862779895297</v>
      </c>
    </row>
    <row r="260" spans="1:18" x14ac:dyDescent="0.25">
      <c r="A260" s="2">
        <f>+K272</f>
        <v>63.653945453691968</v>
      </c>
      <c r="B260" s="11">
        <f>+(H260*A260)+B270+I260</f>
        <v>27.815826296765714</v>
      </c>
      <c r="C260" s="5"/>
      <c r="D260" s="16">
        <v>5.5</v>
      </c>
      <c r="E260" s="18">
        <v>1.84</v>
      </c>
      <c r="F260" s="13">
        <f t="shared" si="54"/>
        <v>-5.4832000000000001</v>
      </c>
      <c r="G260" s="14">
        <f t="shared" si="55"/>
        <v>7.8567999999999998</v>
      </c>
      <c r="H260" s="19">
        <v>-0.25807000000000002</v>
      </c>
      <c r="I260" s="10">
        <v>18.428000000000001</v>
      </c>
      <c r="J260" s="16"/>
      <c r="K260" s="14"/>
      <c r="L260" s="21">
        <f>+Temp!A15</f>
        <v>0.20833333333333334</v>
      </c>
      <c r="M260" s="22">
        <f>+Temp!K15</f>
        <v>19.876121213866643</v>
      </c>
      <c r="N260" s="23">
        <f>+HR!K26</f>
        <v>65.303026453825993</v>
      </c>
      <c r="O260" s="22">
        <f t="shared" si="56"/>
        <v>22.4178</v>
      </c>
      <c r="P260" s="28">
        <f t="shared" si="57"/>
        <v>27.741551688519678</v>
      </c>
      <c r="Q260" s="26">
        <f t="shared" si="58"/>
        <v>94.419648878728083</v>
      </c>
      <c r="R260" s="27">
        <f t="shared" si="59"/>
        <v>29.093365069991716</v>
      </c>
    </row>
    <row r="261" spans="1:18" x14ac:dyDescent="0.25">
      <c r="A261" s="2">
        <f>+K262</f>
        <v>84.570852869376523</v>
      </c>
      <c r="B261" s="11">
        <f>+(H260*A261)+B270+I260</f>
        <v>22.4178</v>
      </c>
      <c r="C261" s="5"/>
      <c r="D261" s="16">
        <v>6</v>
      </c>
      <c r="E261" s="18">
        <v>1.98</v>
      </c>
      <c r="F261" s="13">
        <f t="shared" si="54"/>
        <v>-5.9004000000000003</v>
      </c>
      <c r="G261" s="14">
        <f t="shared" si="55"/>
        <v>8.4545999999999992</v>
      </c>
      <c r="H261" s="19"/>
      <c r="I261" s="10"/>
      <c r="J261" s="16">
        <f>+J259-J257</f>
        <v>-20.791199999999996</v>
      </c>
      <c r="K261" s="14">
        <f>+K259-K257</f>
        <v>-21.825200000000002</v>
      </c>
      <c r="L261" s="21">
        <f>+Temp!A16</f>
        <v>0.25</v>
      </c>
      <c r="M261" s="22">
        <f>+Temp!K16</f>
        <v>19.595579588474642</v>
      </c>
      <c r="N261" s="23">
        <f>+HR!K27</f>
        <v>65.951156658708442</v>
      </c>
      <c r="O261" s="22">
        <f t="shared" si="56"/>
        <v>22.4178</v>
      </c>
      <c r="P261" s="28">
        <f t="shared" si="57"/>
        <v>27.712359904091773</v>
      </c>
      <c r="Q261" s="26">
        <f t="shared" si="58"/>
        <v>95.506724576763503</v>
      </c>
      <c r="R261" s="27">
        <f t="shared" si="59"/>
        <v>29.443167595418149</v>
      </c>
    </row>
    <row r="262" spans="1:18" x14ac:dyDescent="0.25">
      <c r="A262" s="294" t="s">
        <v>46</v>
      </c>
      <c r="B262" s="295"/>
      <c r="C262" s="8"/>
      <c r="D262" s="16">
        <v>6.5</v>
      </c>
      <c r="E262" s="18">
        <v>2.12</v>
      </c>
      <c r="F262" s="13">
        <f t="shared" si="54"/>
        <v>-6.3176000000000005</v>
      </c>
      <c r="G262" s="14">
        <f t="shared" si="55"/>
        <v>9.0523999999999987</v>
      </c>
      <c r="H262" s="296" t="s">
        <v>46</v>
      </c>
      <c r="I262" s="295"/>
      <c r="J262" s="16">
        <f>+J261/J258</f>
        <v>25.924189526184534</v>
      </c>
      <c r="K262" s="14">
        <f>+K261/K258</f>
        <v>84.570852869376523</v>
      </c>
      <c r="L262" s="21">
        <f>+Temp!A17</f>
        <v>0.29166666666666669</v>
      </c>
      <c r="M262" s="22">
        <f>+Temp!K17</f>
        <v>18.759902323176803</v>
      </c>
      <c r="N262" s="23">
        <f>+HR!K28</f>
        <v>67.881806616326259</v>
      </c>
      <c r="O262" s="22">
        <f t="shared" si="56"/>
        <v>22.4178</v>
      </c>
      <c r="P262" s="28">
        <f t="shared" si="57"/>
        <v>27.625403430000667</v>
      </c>
      <c r="Q262" s="26">
        <f t="shared" si="58"/>
        <v>98.744905168455062</v>
      </c>
      <c r="R262" s="27">
        <f t="shared" si="59"/>
        <v>30.485159198033909</v>
      </c>
    </row>
    <row r="263" spans="1:18" x14ac:dyDescent="0.25">
      <c r="A263" s="2">
        <f>+J272</f>
        <v>16.548034242232085</v>
      </c>
      <c r="B263" s="11">
        <f>+(H263*A263)+B270+I263</f>
        <v>29.937476537729868</v>
      </c>
      <c r="C263" s="5"/>
      <c r="D263" s="16">
        <v>7</v>
      </c>
      <c r="E263" s="18">
        <v>2.2599999999999998</v>
      </c>
      <c r="F263" s="13">
        <f t="shared" si="54"/>
        <v>-6.734799999999999</v>
      </c>
      <c r="G263" s="14">
        <f t="shared" si="55"/>
        <v>9.6501999999999981</v>
      </c>
      <c r="H263" s="19">
        <v>-4.5039999999999997E-2</v>
      </c>
      <c r="I263" s="10">
        <f>+IF(B271=D254,G254,IF(B271=D255,G255,IF(B271=D256,G256,IF(B271=D257,G257,IF(B271=D258,G258,IF(B271=D259,G259,IF(B271=D260,G260,IF(B271=D261,G261,IF(B271=D262,G262,G263)))))))))</f>
        <v>4.867799999999999</v>
      </c>
      <c r="J263" s="16"/>
      <c r="K263" s="14"/>
      <c r="L263" s="21">
        <f>+Temp!A18</f>
        <v>0.33333333333333331</v>
      </c>
      <c r="M263" s="22">
        <f>+Temp!K18</f>
        <v>19.688757125170955</v>
      </c>
      <c r="N263" s="23">
        <f>+HR!K29</f>
        <v>65.735890293636814</v>
      </c>
      <c r="O263" s="22">
        <f t="shared" si="56"/>
        <v>22.4178</v>
      </c>
      <c r="P263" s="28">
        <f t="shared" si="57"/>
        <v>27.722055501174598</v>
      </c>
      <c r="Q263" s="26">
        <f t="shared" si="58"/>
        <v>95.145669294490034</v>
      </c>
      <c r="R263" s="27">
        <f t="shared" si="59"/>
        <v>29.326986128215765</v>
      </c>
    </row>
    <row r="264" spans="1:18" x14ac:dyDescent="0.25">
      <c r="A264" s="2">
        <f>+K272</f>
        <v>63.653945453691968</v>
      </c>
      <c r="B264" s="11">
        <f>+(H263*A264)+B270+I263</f>
        <v>27.815826296765714</v>
      </c>
      <c r="C264" s="5"/>
      <c r="D264" s="16"/>
      <c r="E264" s="13"/>
      <c r="F264" s="13"/>
      <c r="G264" s="14"/>
      <c r="H264" s="19"/>
      <c r="I264" s="10"/>
      <c r="J264" s="16"/>
      <c r="K264" s="14"/>
      <c r="L264" s="21">
        <f>+Temp!A19</f>
        <v>0.375</v>
      </c>
      <c r="M264" s="22">
        <f>+Temp!K19</f>
        <v>22.024945583923877</v>
      </c>
      <c r="N264" s="23">
        <f>+HR!K30</f>
        <v>60.338636669331265</v>
      </c>
      <c r="O264" s="22">
        <f t="shared" si="56"/>
        <v>22.4178</v>
      </c>
      <c r="P264" s="28">
        <f t="shared" si="57"/>
        <v>27.96514780441332</v>
      </c>
      <c r="Q264" s="26">
        <f t="shared" si="58"/>
        <v>86.09313138325308</v>
      </c>
      <c r="R264" s="27">
        <f t="shared" si="59"/>
        <v>26.414032937750775</v>
      </c>
    </row>
    <row r="265" spans="1:18" x14ac:dyDescent="0.25">
      <c r="A265" s="293" t="s">
        <v>47</v>
      </c>
      <c r="B265" s="292"/>
      <c r="C265" s="9"/>
      <c r="D265" s="16"/>
      <c r="E265" s="13"/>
      <c r="F265" s="13"/>
      <c r="G265" s="14"/>
      <c r="H265" s="291" t="s">
        <v>47</v>
      </c>
      <c r="I265" s="292"/>
      <c r="J265" s="16">
        <f>+I266</f>
        <v>17.393999999999998</v>
      </c>
      <c r="K265" s="14">
        <f>+I260</f>
        <v>18.428000000000001</v>
      </c>
      <c r="L265" s="21">
        <f>+Temp!A20</f>
        <v>0.41666666666666669</v>
      </c>
      <c r="M265" s="22">
        <f>+Temp!K20</f>
        <v>25.274406110013288</v>
      </c>
      <c r="N265" s="23">
        <f>+HR!K31</f>
        <v>52.831467230254439</v>
      </c>
      <c r="O265" s="22">
        <f t="shared" si="56"/>
        <v>22.4178</v>
      </c>
      <c r="P265" s="28">
        <f t="shared" si="57"/>
        <v>28.303270715949342</v>
      </c>
      <c r="Q265" s="26">
        <f t="shared" si="58"/>
        <v>73.501739411736011</v>
      </c>
      <c r="R265" s="27">
        <f t="shared" si="59"/>
        <v>22.362336521180438</v>
      </c>
    </row>
    <row r="266" spans="1:18" x14ac:dyDescent="0.25">
      <c r="A266" s="3">
        <f>+J272</f>
        <v>16.548034242232085</v>
      </c>
      <c r="B266" s="12">
        <f>+(H266*A266)+B270+I266</f>
        <v>29.937476537729868</v>
      </c>
      <c r="C266" s="4"/>
      <c r="D266" s="16"/>
      <c r="E266" s="13"/>
      <c r="F266" s="13"/>
      <c r="G266" s="14"/>
      <c r="H266" s="19">
        <v>-0.80200000000000005</v>
      </c>
      <c r="I266" s="10">
        <v>17.393999999999998</v>
      </c>
      <c r="J266" s="16">
        <f>+H266</f>
        <v>-0.80200000000000005</v>
      </c>
      <c r="K266" s="14">
        <f>+H260</f>
        <v>-0.25807000000000002</v>
      </c>
      <c r="L266" s="21">
        <f>+Temp!A21</f>
        <v>0.45833333333333331</v>
      </c>
      <c r="M266" s="22">
        <f>+Temp!K21</f>
        <v>28.631171133011254</v>
      </c>
      <c r="N266" s="23">
        <f>+HR!K32</f>
        <v>45.07639416736076</v>
      </c>
      <c r="O266" s="22">
        <f t="shared" si="56"/>
        <v>22.4178</v>
      </c>
      <c r="P266" s="28">
        <f t="shared" si="57"/>
        <v>28.652559206702072</v>
      </c>
      <c r="Q266" s="26">
        <f t="shared" si="58"/>
        <v>60.494551350365199</v>
      </c>
      <c r="R266" s="27">
        <f t="shared" si="59"/>
        <v>18.176843973801429</v>
      </c>
    </row>
    <row r="267" spans="1:18" x14ac:dyDescent="0.25">
      <c r="A267" s="3">
        <f>+J262</f>
        <v>25.924189526184534</v>
      </c>
      <c r="B267" s="12">
        <f>+(H266*A267)+B270+I266</f>
        <v>22.417800000000003</v>
      </c>
      <c r="C267" s="4"/>
      <c r="D267" s="16"/>
      <c r="E267" s="13"/>
      <c r="F267" s="13"/>
      <c r="G267" s="14"/>
      <c r="H267" s="19"/>
      <c r="I267" s="10"/>
      <c r="J267" s="16">
        <f>+I263</f>
        <v>4.867799999999999</v>
      </c>
      <c r="K267" s="14">
        <f>+I263</f>
        <v>4.867799999999999</v>
      </c>
      <c r="L267" s="21">
        <f>+Temp!A22</f>
        <v>0.5</v>
      </c>
      <c r="M267" s="22">
        <f>+Temp!K22</f>
        <v>31.442468404792841</v>
      </c>
      <c r="N267" s="23">
        <f>+HR!K33</f>
        <v>38.581505310139399</v>
      </c>
      <c r="O267" s="22">
        <f t="shared" si="56"/>
        <v>22.4178</v>
      </c>
      <c r="P267" s="28">
        <f t="shared" si="57"/>
        <v>28.94508900083132</v>
      </c>
      <c r="Q267" s="26">
        <f t="shared" si="58"/>
        <v>49.601005910052159</v>
      </c>
      <c r="R267" s="27">
        <f t="shared" si="59"/>
        <v>14.671485779560047</v>
      </c>
    </row>
    <row r="268" spans="1:18" x14ac:dyDescent="0.25">
      <c r="A268" s="13"/>
      <c r="B268" s="14"/>
      <c r="C268" s="13"/>
      <c r="D268" s="16"/>
      <c r="E268" s="13"/>
      <c r="F268" s="13"/>
      <c r="G268" s="14"/>
      <c r="H268" s="19"/>
      <c r="I268" s="10"/>
      <c r="J268" s="16">
        <f>+H263</f>
        <v>-4.5039999999999997E-2</v>
      </c>
      <c r="K268" s="14">
        <f>+H263</f>
        <v>-4.5039999999999997E-2</v>
      </c>
      <c r="L268" s="21">
        <f>+Temp!A23</f>
        <v>0.54166666666666663</v>
      </c>
      <c r="M268" s="22">
        <f>+Temp!K23</f>
        <v>33.351651404617158</v>
      </c>
      <c r="N268" s="23">
        <f>+HR!K34</f>
        <v>34.170754616351239</v>
      </c>
      <c r="O268" s="22">
        <f t="shared" si="56"/>
        <v>22.4178</v>
      </c>
      <c r="P268" s="28">
        <f t="shared" si="57"/>
        <v>29.143749212079541</v>
      </c>
      <c r="Q268" s="26">
        <f t="shared" si="58"/>
        <v>42.203078991679945</v>
      </c>
      <c r="R268" s="27">
        <f t="shared" si="59"/>
        <v>12.290958348357657</v>
      </c>
    </row>
    <row r="269" spans="1:18" x14ac:dyDescent="0.25">
      <c r="A269" s="293" t="s">
        <v>48</v>
      </c>
      <c r="B269" s="292"/>
      <c r="C269" s="9"/>
      <c r="D269" s="16"/>
      <c r="E269" s="13"/>
      <c r="F269" s="13"/>
      <c r="G269" s="14"/>
      <c r="H269" s="19"/>
      <c r="I269" s="10"/>
      <c r="J269" s="16"/>
      <c r="K269" s="14"/>
      <c r="L269" s="21">
        <f>+Temp!A24</f>
        <v>0.58333333333333337</v>
      </c>
      <c r="M269" s="22">
        <f>+Temp!K24</f>
        <v>34.270817938254588</v>
      </c>
      <c r="N269" s="23">
        <f>+HR!K35</f>
        <v>32.04722092349872</v>
      </c>
      <c r="O269" s="22">
        <f t="shared" si="56"/>
        <v>22.4178</v>
      </c>
      <c r="P269" s="28">
        <f t="shared" si="57"/>
        <v>29.239393169605616</v>
      </c>
      <c r="Q269" s="26">
        <f t="shared" si="58"/>
        <v>38.64138435984583</v>
      </c>
      <c r="R269" s="27">
        <f t="shared" si="59"/>
        <v>11.144865413647645</v>
      </c>
    </row>
    <row r="270" spans="1:18" x14ac:dyDescent="0.25">
      <c r="A270" s="13">
        <v>50</v>
      </c>
      <c r="B270" s="15">
        <f>+Tn!K5</f>
        <v>25.815000000000001</v>
      </c>
      <c r="C270" s="20"/>
      <c r="D270" s="16"/>
      <c r="E270" s="13"/>
      <c r="F270" s="13"/>
      <c r="G270" s="14"/>
      <c r="H270" s="19"/>
      <c r="I270" s="10"/>
      <c r="J270" s="16">
        <f>+J266-J268</f>
        <v>-0.75696000000000008</v>
      </c>
      <c r="K270" s="14">
        <f>+K266-K268</f>
        <v>-0.21303000000000002</v>
      </c>
      <c r="L270" s="21">
        <f>+Temp!A25</f>
        <v>0.625</v>
      </c>
      <c r="M270" s="22">
        <f>+Temp!K25</f>
        <v>34.294345288859532</v>
      </c>
      <c r="N270" s="23">
        <f>+HR!K36</f>
        <v>31.992866114130901</v>
      </c>
      <c r="O270" s="22">
        <f t="shared" si="56"/>
        <v>22.4178</v>
      </c>
      <c r="P270" s="28">
        <f t="shared" si="57"/>
        <v>29.241841310219545</v>
      </c>
      <c r="Q270" s="26">
        <f t="shared" si="58"/>
        <v>38.550217813540783</v>
      </c>
      <c r="R270" s="27">
        <f t="shared" si="59"/>
        <v>11.115529565013052</v>
      </c>
    </row>
    <row r="271" spans="1:18" x14ac:dyDescent="0.25">
      <c r="A271" s="13" t="s">
        <v>52</v>
      </c>
      <c r="B271" s="15">
        <f>+Tn!K7</f>
        <v>3</v>
      </c>
      <c r="C271" s="20"/>
      <c r="D271" s="16"/>
      <c r="E271" s="13"/>
      <c r="F271" s="13"/>
      <c r="G271" s="14"/>
      <c r="H271" s="19"/>
      <c r="I271" s="10"/>
      <c r="J271" s="16">
        <f>+J267-J265</f>
        <v>-12.526199999999999</v>
      </c>
      <c r="K271" s="14">
        <f>+K267-K265</f>
        <v>-13.560200000000002</v>
      </c>
      <c r="L271" s="21">
        <f>+Temp!A26</f>
        <v>0.66666666666666663</v>
      </c>
      <c r="M271" s="22">
        <f>+Temp!K26</f>
        <v>33.611113685765652</v>
      </c>
      <c r="N271" s="23">
        <f>+HR!K37</f>
        <v>33.571323636349376</v>
      </c>
      <c r="O271" s="22">
        <f t="shared" si="56"/>
        <v>22.4178</v>
      </c>
      <c r="P271" s="28">
        <f t="shared" si="57"/>
        <v>29.170747583418823</v>
      </c>
      <c r="Q271" s="26">
        <f t="shared" si="58"/>
        <v>41.197684016872742</v>
      </c>
      <c r="R271" s="27">
        <f t="shared" si="59"/>
        <v>11.967439294556543</v>
      </c>
    </row>
    <row r="272" spans="1:18" x14ac:dyDescent="0.25">
      <c r="A272" s="13"/>
      <c r="B272" s="14"/>
      <c r="C272" s="13"/>
      <c r="D272" s="16"/>
      <c r="E272" s="13"/>
      <c r="F272" s="13"/>
      <c r="G272" s="14"/>
      <c r="H272" s="19"/>
      <c r="I272" s="10"/>
      <c r="J272" s="16">
        <f>+J271/J270</f>
        <v>16.548034242232085</v>
      </c>
      <c r="K272" s="14">
        <f>+K271/K270</f>
        <v>63.653945453691968</v>
      </c>
      <c r="L272" s="21">
        <f>+Temp!A27</f>
        <v>0.70833333333333337</v>
      </c>
      <c r="M272" s="22">
        <f>+Temp!K27</f>
        <v>32.437795359989082</v>
      </c>
      <c r="N272" s="23">
        <f>+HR!K38</f>
        <v>36.282019583217526</v>
      </c>
      <c r="O272" s="22">
        <f t="shared" si="56"/>
        <v>22.4178</v>
      </c>
      <c r="P272" s="28">
        <f t="shared" si="57"/>
        <v>29.048657837971884</v>
      </c>
      <c r="Q272" s="26">
        <f t="shared" si="58"/>
        <v>45.744195915879104</v>
      </c>
      <c r="R272" s="27">
        <f t="shared" si="59"/>
        <v>13.430429725699398</v>
      </c>
    </row>
    <row r="273" spans="1:18" x14ac:dyDescent="0.25">
      <c r="A273" s="13"/>
      <c r="B273" s="15"/>
      <c r="C273" s="20"/>
      <c r="D273" s="16"/>
      <c r="E273" s="13"/>
      <c r="F273" s="13"/>
      <c r="G273" s="14"/>
      <c r="H273" s="16"/>
      <c r="I273" s="14"/>
      <c r="J273" s="16"/>
      <c r="K273" s="14"/>
      <c r="L273" s="21">
        <f>+Temp!A28</f>
        <v>0.75</v>
      </c>
      <c r="M273" s="22">
        <f>+Temp!K28</f>
        <v>30.976957742578094</v>
      </c>
      <c r="N273" s="23">
        <f>+HR!K39</f>
        <v>39.656966110135215</v>
      </c>
      <c r="O273" s="22">
        <f t="shared" si="56"/>
        <v>22.4178</v>
      </c>
      <c r="P273" s="28">
        <f t="shared" si="57"/>
        <v>28.89665024639951</v>
      </c>
      <c r="Q273" s="26">
        <f t="shared" si="58"/>
        <v>51.404821395055244</v>
      </c>
      <c r="R273" s="27">
        <f t="shared" si="59"/>
        <v>15.251923014241777</v>
      </c>
    </row>
    <row r="274" spans="1:18" x14ac:dyDescent="0.25">
      <c r="A274" s="13"/>
      <c r="B274" s="15"/>
      <c r="C274" s="20"/>
      <c r="D274" s="16"/>
      <c r="E274" s="13"/>
      <c r="F274" s="13"/>
      <c r="G274" s="14"/>
      <c r="H274" s="16"/>
      <c r="I274" s="14"/>
      <c r="J274" s="16"/>
      <c r="K274" s="14"/>
      <c r="L274" s="21">
        <f>+Temp!A29</f>
        <v>0.79166666666666663</v>
      </c>
      <c r="M274" s="22">
        <f>+Temp!K29</f>
        <v>29.395840848439214</v>
      </c>
      <c r="N274" s="23">
        <f>+HR!K40</f>
        <v>43.309791658249253</v>
      </c>
      <c r="O274" s="22">
        <f t="shared" si="56"/>
        <v>22.4178</v>
      </c>
      <c r="P274" s="28">
        <f t="shared" si="57"/>
        <v>28.732126983712455</v>
      </c>
      <c r="Q274" s="26">
        <f t="shared" si="58"/>
        <v>57.531519167515739</v>
      </c>
      <c r="R274" s="27">
        <f t="shared" si="59"/>
        <v>17.223390463292748</v>
      </c>
    </row>
    <row r="275" spans="1:18" x14ac:dyDescent="0.25">
      <c r="A275" s="13"/>
      <c r="B275" s="15"/>
      <c r="C275" s="20"/>
      <c r="D275" s="16"/>
      <c r="E275" s="13"/>
      <c r="F275" s="13"/>
      <c r="G275" s="14"/>
      <c r="H275" s="16"/>
      <c r="I275" s="14"/>
      <c r="J275" s="16"/>
      <c r="K275" s="14"/>
      <c r="L275" s="21">
        <f>+Temp!A30</f>
        <v>0.83333333333333337</v>
      </c>
      <c r="M275" s="22">
        <f>+Temp!K30</f>
        <v>27.819555951728606</v>
      </c>
      <c r="N275" s="23">
        <f>+HR!K41</f>
        <v>46.951453930757381</v>
      </c>
      <c r="O275" s="22">
        <f t="shared" si="56"/>
        <v>22.4178</v>
      </c>
      <c r="P275" s="28">
        <f t="shared" si="57"/>
        <v>28.568106514958689</v>
      </c>
      <c r="Q275" s="26">
        <f t="shared" si="58"/>
        <v>63.639493347818011</v>
      </c>
      <c r="R275" s="27">
        <f t="shared" si="59"/>
        <v>19.188832977894503</v>
      </c>
    </row>
    <row r="276" spans="1:18" x14ac:dyDescent="0.25">
      <c r="A276" s="13"/>
      <c r="B276" s="14"/>
      <c r="C276" s="13"/>
      <c r="D276" s="16"/>
      <c r="E276" s="13"/>
      <c r="F276" s="13"/>
      <c r="G276" s="14"/>
      <c r="H276" s="16"/>
      <c r="I276" s="14"/>
      <c r="J276" s="16"/>
      <c r="K276" s="14"/>
      <c r="L276" s="21">
        <f>+Temp!A31</f>
        <v>0.875</v>
      </c>
      <c r="M276" s="22">
        <f>+Temp!K31</f>
        <v>26.332964768305359</v>
      </c>
      <c r="N276" s="23">
        <f>+HR!K42</f>
        <v>50.385898451930487</v>
      </c>
      <c r="O276" s="22">
        <f t="shared" si="56"/>
        <v>22.4178</v>
      </c>
      <c r="P276" s="28">
        <f t="shared" si="57"/>
        <v>28.41341913372505</v>
      </c>
      <c r="Q276" s="26">
        <f t="shared" si="58"/>
        <v>69.399911774691518</v>
      </c>
      <c r="R276" s="27">
        <f t="shared" si="59"/>
        <v>21.042437944756408</v>
      </c>
    </row>
    <row r="277" spans="1:18" x14ac:dyDescent="0.25">
      <c r="B277" s="14"/>
      <c r="C277" s="25"/>
      <c r="G277" s="14"/>
      <c r="I277" s="14"/>
      <c r="K277" s="14"/>
      <c r="L277" s="21">
        <f>+Temp!A32</f>
        <v>0.91666666666666663</v>
      </c>
      <c r="M277" s="22">
        <f>+Temp!K32</f>
        <v>24.986901736522629</v>
      </c>
      <c r="N277" s="23">
        <f>+HR!K43</f>
        <v>53.49568334518829</v>
      </c>
      <c r="O277" s="22">
        <f t="shared" si="56"/>
        <v>22.4178</v>
      </c>
      <c r="P277" s="28">
        <f t="shared" si="57"/>
        <v>28.273354422132719</v>
      </c>
      <c r="Q277" s="26">
        <f t="shared" si="58"/>
        <v>74.61579518532713</v>
      </c>
      <c r="R277" s="27">
        <f t="shared" si="59"/>
        <v>22.720820777403205</v>
      </c>
    </row>
    <row r="278" spans="1:18" x14ac:dyDescent="0.25">
      <c r="B278" s="14"/>
      <c r="C278" s="25"/>
      <c r="G278" s="14"/>
      <c r="I278" s="14"/>
      <c r="K278" s="14"/>
      <c r="L278" s="21">
        <f>+Temp!A33</f>
        <v>0.95833333333333337</v>
      </c>
      <c r="M278" s="22">
        <f>+Temp!K33</f>
        <v>23.805862783813893</v>
      </c>
      <c r="N278" s="23">
        <f>+HR!K44</f>
        <v>56.224216115766211</v>
      </c>
      <c r="O278" s="22">
        <f t="shared" si="56"/>
        <v>22.4178</v>
      </c>
      <c r="P278" s="28">
        <f t="shared" si="57"/>
        <v>28.150461306145889</v>
      </c>
      <c r="Q278" s="26">
        <f t="shared" si="58"/>
        <v>79.192223877963755</v>
      </c>
      <c r="R278" s="27">
        <f t="shared" si="59"/>
        <v>24.193437925419083</v>
      </c>
    </row>
    <row r="279" spans="1:18" x14ac:dyDescent="0.25">
      <c r="P279" s="7"/>
    </row>
    <row r="280" spans="1:18" x14ac:dyDescent="0.25">
      <c r="P280" s="7"/>
    </row>
    <row r="281" spans="1:18" x14ac:dyDescent="0.25">
      <c r="A281" s="9" t="s">
        <v>42</v>
      </c>
      <c r="B281" s="10" t="s">
        <v>43</v>
      </c>
      <c r="C281" s="9"/>
      <c r="D281" s="16" t="s">
        <v>52</v>
      </c>
      <c r="E281" s="13"/>
      <c r="F281" s="9" t="s">
        <v>44</v>
      </c>
      <c r="G281" s="17" t="s">
        <v>46</v>
      </c>
      <c r="H281" s="16"/>
      <c r="I281" s="14"/>
      <c r="J281" s="16"/>
      <c r="K281" s="14"/>
      <c r="L281" s="291" t="s">
        <v>66</v>
      </c>
      <c r="M281" s="293"/>
      <c r="N281" s="292"/>
      <c r="O281" s="291" t="s">
        <v>72</v>
      </c>
      <c r="P281" s="292"/>
      <c r="Q281" s="291" t="s">
        <v>73</v>
      </c>
      <c r="R281" s="292"/>
    </row>
    <row r="282" spans="1:18" x14ac:dyDescent="0.25">
      <c r="A282" s="9">
        <f>+A298</f>
        <v>50</v>
      </c>
      <c r="B282" s="11">
        <f>+(H291*A282)+B298+I291</f>
        <v>26.586300000000001</v>
      </c>
      <c r="C282" s="5">
        <f>+B282-B298</f>
        <v>2.6158000000000001</v>
      </c>
      <c r="D282" s="16">
        <v>2.5</v>
      </c>
      <c r="E282" s="18">
        <v>1</v>
      </c>
      <c r="F282" s="13">
        <v>-2.98</v>
      </c>
      <c r="G282" s="14">
        <v>4.2699999999999996</v>
      </c>
      <c r="H282" s="291" t="s">
        <v>51</v>
      </c>
      <c r="I282" s="292"/>
      <c r="J282" s="16"/>
      <c r="K282" s="14"/>
      <c r="L282" s="9" t="s">
        <v>56</v>
      </c>
      <c r="M282" s="9" t="s">
        <v>54</v>
      </c>
      <c r="N282" s="10" t="s">
        <v>55</v>
      </c>
      <c r="O282" s="19" t="s">
        <v>68</v>
      </c>
      <c r="P282" s="10" t="s">
        <v>69</v>
      </c>
      <c r="Q282" s="19" t="s">
        <v>70</v>
      </c>
      <c r="R282" s="10" t="s">
        <v>71</v>
      </c>
    </row>
    <row r="283" spans="1:18" x14ac:dyDescent="0.25">
      <c r="A283" s="9">
        <f>+A298</f>
        <v>50</v>
      </c>
      <c r="B283" s="11">
        <f>B298+I285</f>
        <v>20.573300000000003</v>
      </c>
      <c r="C283" s="5">
        <f>+B298-B283</f>
        <v>3.397199999999998</v>
      </c>
      <c r="D283" s="16">
        <v>3</v>
      </c>
      <c r="E283" s="18">
        <v>1.1399999999999999</v>
      </c>
      <c r="F283" s="13">
        <f t="shared" ref="F283:F291" si="60">$F$282*E283</f>
        <v>-3.3971999999999998</v>
      </c>
      <c r="G283" s="14">
        <f t="shared" ref="G283:G291" si="61">$G$282*E283</f>
        <v>4.867799999999999</v>
      </c>
      <c r="H283" s="19" t="s">
        <v>49</v>
      </c>
      <c r="I283" s="10" t="s">
        <v>50</v>
      </c>
      <c r="J283" s="16"/>
      <c r="K283" s="14"/>
      <c r="L283" s="21">
        <f>+Temp!A10</f>
        <v>0</v>
      </c>
      <c r="M283" s="22">
        <f>+Temp!L10</f>
        <v>17.233988158485985</v>
      </c>
      <c r="N283" s="23">
        <f>+HR!L21</f>
        <v>61.488535316404693</v>
      </c>
      <c r="O283" s="22">
        <f t="shared" ref="O283:O306" si="62">$B$285</f>
        <v>20.573300000000003</v>
      </c>
      <c r="P283" s="28">
        <f t="shared" ref="P283:P306" si="63">+($H$291*N283)+$B$298+$I$291</f>
        <v>26.068856369349135</v>
      </c>
      <c r="Q283" s="26">
        <f t="shared" ref="Q283:Q306" si="64">+(M283-$B$298-$I$288)/$H$288</f>
        <v>97.510411289626902</v>
      </c>
      <c r="R283" s="27">
        <f t="shared" ref="R283:R306" si="65">+(M283-$B$298-$I$294)/$H$294</f>
        <v>30.087920001887795</v>
      </c>
    </row>
    <row r="284" spans="1:18" x14ac:dyDescent="0.25">
      <c r="A284" s="293" t="s">
        <v>44</v>
      </c>
      <c r="B284" s="292"/>
      <c r="C284" s="24">
        <f>+C282+C283</f>
        <v>6.0129999999999981</v>
      </c>
      <c r="D284" s="16">
        <v>3.5</v>
      </c>
      <c r="E284" s="18">
        <v>1.28</v>
      </c>
      <c r="F284" s="13">
        <f t="shared" si="60"/>
        <v>-3.8144</v>
      </c>
      <c r="G284" s="14">
        <f t="shared" si="61"/>
        <v>5.4655999999999993</v>
      </c>
      <c r="H284" s="291" t="s">
        <v>44</v>
      </c>
      <c r="I284" s="292"/>
      <c r="J284" s="16"/>
      <c r="K284" s="14"/>
      <c r="L284" s="21">
        <f>+Temp!A11</f>
        <v>4.1666666666666664E-2</v>
      </c>
      <c r="M284" s="22">
        <f>+Temp!L11</f>
        <v>16.331858737872903</v>
      </c>
      <c r="N284" s="23">
        <f>+HR!L22</f>
        <v>63.797862849850858</v>
      </c>
      <c r="O284" s="22">
        <f t="shared" si="62"/>
        <v>20.573300000000003</v>
      </c>
      <c r="P284" s="28">
        <f t="shared" si="63"/>
        <v>25.964844257242717</v>
      </c>
      <c r="Q284" s="26">
        <f t="shared" si="64"/>
        <v>101.00608851136164</v>
      </c>
      <c r="R284" s="27">
        <f t="shared" si="65"/>
        <v>31.212769653525058</v>
      </c>
    </row>
    <row r="285" spans="1:18" x14ac:dyDescent="0.25">
      <c r="A285" s="2">
        <f>+J290</f>
        <v>25.924189526184534</v>
      </c>
      <c r="B285" s="11">
        <f>B298+I285</f>
        <v>20.573300000000003</v>
      </c>
      <c r="C285" s="5"/>
      <c r="D285" s="16">
        <v>4</v>
      </c>
      <c r="E285" s="18">
        <v>1.42</v>
      </c>
      <c r="F285" s="13">
        <f t="shared" si="60"/>
        <v>-4.2315999999999994</v>
      </c>
      <c r="G285" s="14">
        <f t="shared" si="61"/>
        <v>6.0633999999999988</v>
      </c>
      <c r="H285" s="19">
        <v>0</v>
      </c>
      <c r="I285" s="10">
        <f>+IF(B299=D282,F282,IF(B299=D283,F283,IF(B299=D284,F284,IF(B299=D285,F285,IF(B299=D286,F286,IF(B299=D287,F287,IF(B299=D288,F288,IF(B299=D289,F289,IF(B299=D290,F290,F291)))))))))</f>
        <v>-3.3971999999999998</v>
      </c>
      <c r="J285" s="16">
        <f>+I294</f>
        <v>17.393999999999998</v>
      </c>
      <c r="K285" s="14">
        <f>+I288</f>
        <v>18.428000000000001</v>
      </c>
      <c r="L285" s="21">
        <f>+Temp!A12</f>
        <v>8.3333333333333329E-2</v>
      </c>
      <c r="M285" s="22">
        <f>+Temp!L12</f>
        <v>15.584387774024028</v>
      </c>
      <c r="N285" s="23">
        <f>+HR!L23</f>
        <v>65.711285955035336</v>
      </c>
      <c r="O285" s="22">
        <f t="shared" si="62"/>
        <v>20.573300000000003</v>
      </c>
      <c r="P285" s="28">
        <f t="shared" si="63"/>
        <v>25.878663680585209</v>
      </c>
      <c r="Q285" s="26">
        <f t="shared" si="64"/>
        <v>103.90247694802176</v>
      </c>
      <c r="R285" s="27">
        <f t="shared" si="65"/>
        <v>32.144778336628391</v>
      </c>
    </row>
    <row r="286" spans="1:18" x14ac:dyDescent="0.25">
      <c r="A286" s="2">
        <f>+K290</f>
        <v>84.570852869376523</v>
      </c>
      <c r="B286" s="11">
        <f>B298+I285</f>
        <v>20.573300000000003</v>
      </c>
      <c r="C286" s="5"/>
      <c r="D286" s="16">
        <v>4.5</v>
      </c>
      <c r="E286" s="18">
        <v>1.56</v>
      </c>
      <c r="F286" s="13">
        <f t="shared" si="60"/>
        <v>-4.6488000000000005</v>
      </c>
      <c r="G286" s="14">
        <f t="shared" si="61"/>
        <v>6.6611999999999991</v>
      </c>
      <c r="H286" s="19"/>
      <c r="I286" s="10"/>
      <c r="J286" s="16">
        <f>+H294</f>
        <v>-0.80200000000000005</v>
      </c>
      <c r="K286" s="14">
        <f>+H288</f>
        <v>-0.25807000000000002</v>
      </c>
      <c r="L286" s="21">
        <f>+Temp!A13</f>
        <v>0.125</v>
      </c>
      <c r="M286" s="22">
        <f>+Temp!L13</f>
        <v>14.974841996864354</v>
      </c>
      <c r="N286" s="23">
        <f>+HR!L24</f>
        <v>67.271639507338335</v>
      </c>
      <c r="O286" s="22">
        <f t="shared" si="62"/>
        <v>20.573300000000003</v>
      </c>
      <c r="P286" s="28">
        <f t="shared" si="63"/>
        <v>25.808385356589483</v>
      </c>
      <c r="Q286" s="26">
        <f t="shared" si="64"/>
        <v>106.26441664329697</v>
      </c>
      <c r="R286" s="27">
        <f t="shared" si="65"/>
        <v>32.904810477725242</v>
      </c>
    </row>
    <row r="287" spans="1:18" x14ac:dyDescent="0.25">
      <c r="A287" s="294" t="s">
        <v>45</v>
      </c>
      <c r="B287" s="295"/>
      <c r="C287" s="8"/>
      <c r="D287" s="16">
        <v>5</v>
      </c>
      <c r="E287" s="18">
        <v>1.7</v>
      </c>
      <c r="F287" s="13">
        <f t="shared" si="60"/>
        <v>-5.0659999999999998</v>
      </c>
      <c r="G287" s="14">
        <f t="shared" si="61"/>
        <v>7.2589999999999995</v>
      </c>
      <c r="H287" s="296" t="s">
        <v>45</v>
      </c>
      <c r="I287" s="295"/>
      <c r="J287" s="16">
        <f>+I285</f>
        <v>-3.3971999999999998</v>
      </c>
      <c r="K287" s="14">
        <f>+I285</f>
        <v>-3.3971999999999998</v>
      </c>
      <c r="L287" s="21">
        <f>+Temp!A14</f>
        <v>0.16666666666666666</v>
      </c>
      <c r="M287" s="22">
        <f>+Temp!L14</f>
        <v>14.484556731394035</v>
      </c>
      <c r="N287" s="23">
        <f>+HR!L25</f>
        <v>68.526702513735046</v>
      </c>
      <c r="O287" s="22">
        <f t="shared" si="62"/>
        <v>20.573300000000003</v>
      </c>
      <c r="P287" s="28">
        <f t="shared" si="63"/>
        <v>25.751857318781372</v>
      </c>
      <c r="Q287" s="26">
        <f t="shared" si="64"/>
        <v>108.16423167592501</v>
      </c>
      <c r="R287" s="27">
        <f t="shared" si="65"/>
        <v>33.516138738910179</v>
      </c>
    </row>
    <row r="288" spans="1:18" x14ac:dyDescent="0.25">
      <c r="A288" s="2">
        <f>+K300</f>
        <v>63.653945453691968</v>
      </c>
      <c r="B288" s="11">
        <f>+(H288*A288)+B298+I288</f>
        <v>25.971326296765714</v>
      </c>
      <c r="C288" s="5"/>
      <c r="D288" s="16">
        <v>5.5</v>
      </c>
      <c r="E288" s="18">
        <v>1.84</v>
      </c>
      <c r="F288" s="13">
        <f t="shared" si="60"/>
        <v>-5.4832000000000001</v>
      </c>
      <c r="G288" s="14">
        <f t="shared" si="61"/>
        <v>7.8567999999999998</v>
      </c>
      <c r="H288" s="19">
        <v>-0.25807000000000002</v>
      </c>
      <c r="I288" s="10">
        <v>18.428000000000001</v>
      </c>
      <c r="J288" s="16"/>
      <c r="K288" s="14"/>
      <c r="L288" s="21">
        <f>+Temp!A15</f>
        <v>0.20833333333333334</v>
      </c>
      <c r="M288" s="22">
        <f>+Temp!L15</f>
        <v>14.09490607289584</v>
      </c>
      <c r="N288" s="23">
        <f>+HR!L26</f>
        <v>69.524154734596877</v>
      </c>
      <c r="O288" s="22">
        <f t="shared" si="62"/>
        <v>20.573300000000003</v>
      </c>
      <c r="P288" s="28">
        <f t="shared" si="63"/>
        <v>25.706932070753759</v>
      </c>
      <c r="Q288" s="26">
        <f t="shared" si="64"/>
        <v>109.67409589299089</v>
      </c>
      <c r="R288" s="27">
        <f t="shared" si="65"/>
        <v>34.0019874402795</v>
      </c>
    </row>
    <row r="289" spans="1:18" x14ac:dyDescent="0.25">
      <c r="A289" s="2">
        <f>+K290</f>
        <v>84.570852869376523</v>
      </c>
      <c r="B289" s="11">
        <f>+(H288*A289)+B298+I288</f>
        <v>20.5733</v>
      </c>
      <c r="C289" s="5"/>
      <c r="D289" s="16">
        <v>6</v>
      </c>
      <c r="E289" s="18">
        <v>1.98</v>
      </c>
      <c r="F289" s="13">
        <f t="shared" si="60"/>
        <v>-5.9004000000000003</v>
      </c>
      <c r="G289" s="14">
        <f t="shared" si="61"/>
        <v>8.4545999999999992</v>
      </c>
      <c r="H289" s="19"/>
      <c r="I289" s="10"/>
      <c r="J289" s="16">
        <f>+J287-J285</f>
        <v>-20.791199999999996</v>
      </c>
      <c r="K289" s="14">
        <f>+K287-K285</f>
        <v>-21.825200000000002</v>
      </c>
      <c r="L289" s="21">
        <f>+Temp!A16</f>
        <v>0.25</v>
      </c>
      <c r="M289" s="22">
        <f>+Temp!L16</f>
        <v>13.788498901311497</v>
      </c>
      <c r="N289" s="23">
        <f>+HR!L27</f>
        <v>70.30851505099605</v>
      </c>
      <c r="O289" s="22">
        <f t="shared" si="62"/>
        <v>20.573300000000003</v>
      </c>
      <c r="P289" s="28">
        <f t="shared" si="63"/>
        <v>25.671604482103138</v>
      </c>
      <c r="Q289" s="26">
        <f t="shared" si="64"/>
        <v>110.86139845270084</v>
      </c>
      <c r="R289" s="27">
        <f t="shared" si="65"/>
        <v>34.384041270185158</v>
      </c>
    </row>
    <row r="290" spans="1:18" x14ac:dyDescent="0.25">
      <c r="A290" s="294" t="s">
        <v>46</v>
      </c>
      <c r="B290" s="295"/>
      <c r="C290" s="8"/>
      <c r="D290" s="16">
        <v>6.5</v>
      </c>
      <c r="E290" s="18">
        <v>2.12</v>
      </c>
      <c r="F290" s="13">
        <f t="shared" si="60"/>
        <v>-6.3176000000000005</v>
      </c>
      <c r="G290" s="14">
        <f t="shared" si="61"/>
        <v>9.0523999999999987</v>
      </c>
      <c r="H290" s="296" t="s">
        <v>46</v>
      </c>
      <c r="I290" s="295"/>
      <c r="J290" s="16">
        <f>+J289/J286</f>
        <v>25.924189526184534</v>
      </c>
      <c r="K290" s="14">
        <f>+K289/K286</f>
        <v>84.570852869376523</v>
      </c>
      <c r="L290" s="21">
        <f>+Temp!A17</f>
        <v>0.29166666666666669</v>
      </c>
      <c r="M290" s="22">
        <f>+Temp!L17</f>
        <v>12.803102396403863</v>
      </c>
      <c r="N290" s="23">
        <f>+HR!L28</f>
        <v>72.830994894961606</v>
      </c>
      <c r="O290" s="22">
        <f t="shared" si="62"/>
        <v>20.573300000000003</v>
      </c>
      <c r="P290" s="28">
        <f t="shared" si="63"/>
        <v>25.55799198993093</v>
      </c>
      <c r="Q290" s="26">
        <f t="shared" si="64"/>
        <v>114.67972876969868</v>
      </c>
      <c r="R290" s="27">
        <f t="shared" si="65"/>
        <v>35.612715216454028</v>
      </c>
    </row>
    <row r="291" spans="1:18" x14ac:dyDescent="0.25">
      <c r="A291" s="2">
        <f>+J300</f>
        <v>16.548034242232085</v>
      </c>
      <c r="B291" s="11">
        <f>+(H291*A291)+B298+I291</f>
        <v>28.092976537729868</v>
      </c>
      <c r="C291" s="5"/>
      <c r="D291" s="16">
        <v>7</v>
      </c>
      <c r="E291" s="18">
        <v>2.2599999999999998</v>
      </c>
      <c r="F291" s="13">
        <f t="shared" si="60"/>
        <v>-6.734799999999999</v>
      </c>
      <c r="G291" s="14">
        <f t="shared" si="61"/>
        <v>9.6501999999999981</v>
      </c>
      <c r="H291" s="19">
        <v>-4.5039999999999997E-2</v>
      </c>
      <c r="I291" s="10">
        <f>+IF(B299=D282,G282,IF(B299=D283,G283,IF(B299=D284,G284,IF(B299=D285,G285,IF(B299=D286,G286,IF(B299=D287,G287,IF(B299=D288,G288,IF(B299=D289,G289,IF(B299=D290,G290,G291)))))))))</f>
        <v>4.867799999999999</v>
      </c>
      <c r="J291" s="16"/>
      <c r="K291" s="14"/>
      <c r="L291" s="21">
        <f>+Temp!A18</f>
        <v>0.33333333333333331</v>
      </c>
      <c r="M291" s="22">
        <f>+Temp!L18</f>
        <v>13.263527493590592</v>
      </c>
      <c r="N291" s="23">
        <f>+HR!L29</f>
        <v>71.652369822186188</v>
      </c>
      <c r="O291" s="22">
        <f t="shared" si="62"/>
        <v>20.573300000000003</v>
      </c>
      <c r="P291" s="28">
        <f t="shared" si="63"/>
        <v>25.611077263208735</v>
      </c>
      <c r="Q291" s="26">
        <f t="shared" si="64"/>
        <v>112.89561943042357</v>
      </c>
      <c r="R291" s="27">
        <f t="shared" si="65"/>
        <v>35.038619085298507</v>
      </c>
    </row>
    <row r="292" spans="1:18" x14ac:dyDescent="0.25">
      <c r="A292" s="2">
        <f>+K300</f>
        <v>63.653945453691968</v>
      </c>
      <c r="B292" s="11">
        <f>+(H291*A292)+B298+I291</f>
        <v>25.971326296765714</v>
      </c>
      <c r="C292" s="5"/>
      <c r="D292" s="16"/>
      <c r="E292" s="13"/>
      <c r="F292" s="13"/>
      <c r="G292" s="14"/>
      <c r="H292" s="19"/>
      <c r="I292" s="10"/>
      <c r="J292" s="16"/>
      <c r="K292" s="14"/>
      <c r="L292" s="21">
        <f>+Temp!A19</f>
        <v>0.375</v>
      </c>
      <c r="M292" s="22">
        <f>+Temp!L19</f>
        <v>15.066380525182115</v>
      </c>
      <c r="N292" s="23">
        <f>+HR!L30</f>
        <v>67.03731343506405</v>
      </c>
      <c r="O292" s="22">
        <f t="shared" si="62"/>
        <v>20.573300000000003</v>
      </c>
      <c r="P292" s="28">
        <f t="shared" si="63"/>
        <v>25.818939402884716</v>
      </c>
      <c r="Q292" s="26">
        <f t="shared" si="64"/>
        <v>105.90971238353116</v>
      </c>
      <c r="R292" s="27">
        <f t="shared" si="65"/>
        <v>32.790672661867681</v>
      </c>
    </row>
    <row r="293" spans="1:18" x14ac:dyDescent="0.25">
      <c r="A293" s="293" t="s">
        <v>47</v>
      </c>
      <c r="B293" s="292"/>
      <c r="C293" s="9"/>
      <c r="D293" s="16"/>
      <c r="E293" s="13"/>
      <c r="F293" s="13"/>
      <c r="G293" s="14"/>
      <c r="H293" s="291" t="s">
        <v>47</v>
      </c>
      <c r="I293" s="292"/>
      <c r="J293" s="16">
        <f>+I294</f>
        <v>17.393999999999998</v>
      </c>
      <c r="K293" s="14">
        <f>+I288</f>
        <v>18.428000000000001</v>
      </c>
      <c r="L293" s="21">
        <f>+Temp!A20</f>
        <v>0.41666666666666669</v>
      </c>
      <c r="M293" s="22">
        <f>+Temp!L20</f>
        <v>18.039517314865023</v>
      </c>
      <c r="N293" s="23">
        <f>+HR!L31</f>
        <v>59.426491204645671</v>
      </c>
      <c r="O293" s="22">
        <f t="shared" si="62"/>
        <v>20.573300000000003</v>
      </c>
      <c r="P293" s="28">
        <f t="shared" si="63"/>
        <v>26.161730836142759</v>
      </c>
      <c r="Q293" s="26">
        <f t="shared" si="64"/>
        <v>94.389052137540119</v>
      </c>
      <c r="R293" s="27">
        <f t="shared" si="65"/>
        <v>29.083519557524905</v>
      </c>
    </row>
    <row r="294" spans="1:18" x14ac:dyDescent="0.25">
      <c r="A294" s="3">
        <f>+J300</f>
        <v>16.548034242232085</v>
      </c>
      <c r="B294" s="12">
        <f>+(H294*A294)+B298+I294</f>
        <v>28.092976537729868</v>
      </c>
      <c r="C294" s="4"/>
      <c r="D294" s="16"/>
      <c r="E294" s="13"/>
      <c r="F294" s="13"/>
      <c r="G294" s="14"/>
      <c r="H294" s="19">
        <v>-0.80200000000000005</v>
      </c>
      <c r="I294" s="10">
        <v>17.393999999999998</v>
      </c>
      <c r="J294" s="16">
        <f>+H294</f>
        <v>-0.80200000000000005</v>
      </c>
      <c r="K294" s="14">
        <f>+H288</f>
        <v>-0.25807000000000002</v>
      </c>
      <c r="L294" s="21">
        <f>+Temp!A21</f>
        <v>0.45833333333333331</v>
      </c>
      <c r="M294" s="22">
        <f>+Temp!L21</f>
        <v>21.424633619242872</v>
      </c>
      <c r="N294" s="23">
        <f>+HR!L32</f>
        <v>50.761057945297267</v>
      </c>
      <c r="O294" s="22">
        <f t="shared" si="62"/>
        <v>20.573300000000003</v>
      </c>
      <c r="P294" s="28">
        <f t="shared" si="63"/>
        <v>26.552021950143811</v>
      </c>
      <c r="Q294" s="26">
        <f t="shared" si="64"/>
        <v>81.272005195323473</v>
      </c>
      <c r="R294" s="27">
        <f t="shared" si="65"/>
        <v>24.862676285233324</v>
      </c>
    </row>
    <row r="295" spans="1:18" x14ac:dyDescent="0.25">
      <c r="A295" s="3">
        <f>+J290</f>
        <v>25.924189526184534</v>
      </c>
      <c r="B295" s="12">
        <f>+(H294*A295)+B298+I294</f>
        <v>20.573300000000003</v>
      </c>
      <c r="C295" s="4"/>
      <c r="D295" s="16"/>
      <c r="E295" s="13"/>
      <c r="F295" s="13"/>
      <c r="G295" s="14"/>
      <c r="H295" s="19"/>
      <c r="I295" s="10"/>
      <c r="J295" s="16">
        <f>+I291</f>
        <v>4.867799999999999</v>
      </c>
      <c r="K295" s="14">
        <f>+I291</f>
        <v>4.867799999999999</v>
      </c>
      <c r="L295" s="21">
        <f>+Temp!A22</f>
        <v>0.5</v>
      </c>
      <c r="M295" s="22">
        <f>+Temp!L22</f>
        <v>24.483966918657764</v>
      </c>
      <c r="N295" s="23">
        <f>+HR!L33</f>
        <v>42.929584477193124</v>
      </c>
      <c r="O295" s="22">
        <f t="shared" si="62"/>
        <v>20.573300000000003</v>
      </c>
      <c r="P295" s="28">
        <f t="shared" si="63"/>
        <v>26.904751515147222</v>
      </c>
      <c r="Q295" s="26">
        <f t="shared" si="64"/>
        <v>69.417340571714021</v>
      </c>
      <c r="R295" s="27">
        <f t="shared" si="65"/>
        <v>21.048046236087576</v>
      </c>
    </row>
    <row r="296" spans="1:18" x14ac:dyDescent="0.25">
      <c r="A296" s="13"/>
      <c r="B296" s="14"/>
      <c r="C296" s="13"/>
      <c r="D296" s="16"/>
      <c r="E296" s="13"/>
      <c r="F296" s="13"/>
      <c r="G296" s="14"/>
      <c r="H296" s="19"/>
      <c r="I296" s="10"/>
      <c r="J296" s="16">
        <f>+H291</f>
        <v>-4.5039999999999997E-2</v>
      </c>
      <c r="K296" s="14">
        <f>+H291</f>
        <v>-4.5039999999999997E-2</v>
      </c>
      <c r="L296" s="21">
        <f>+Temp!A23</f>
        <v>0.54166666666666663</v>
      </c>
      <c r="M296" s="22">
        <f>+Temp!L23</f>
        <v>26.74750462009893</v>
      </c>
      <c r="N296" s="23">
        <f>+HR!L34</f>
        <v>37.135238546895089</v>
      </c>
      <c r="O296" s="22">
        <f t="shared" si="62"/>
        <v>20.573300000000003</v>
      </c>
      <c r="P296" s="28">
        <f t="shared" si="63"/>
        <v>27.165728855847846</v>
      </c>
      <c r="Q296" s="26">
        <f t="shared" si="64"/>
        <v>60.646318362851439</v>
      </c>
      <c r="R296" s="27">
        <f t="shared" si="65"/>
        <v>18.225680024814302</v>
      </c>
    </row>
    <row r="297" spans="1:18" x14ac:dyDescent="0.25">
      <c r="A297" s="293" t="s">
        <v>48</v>
      </c>
      <c r="B297" s="292"/>
      <c r="C297" s="9"/>
      <c r="D297" s="16"/>
      <c r="E297" s="13"/>
      <c r="F297" s="13"/>
      <c r="G297" s="14"/>
      <c r="H297" s="19"/>
      <c r="I297" s="10"/>
      <c r="J297" s="16"/>
      <c r="K297" s="14"/>
      <c r="L297" s="21">
        <f>+Temp!A24</f>
        <v>0.58333333333333337</v>
      </c>
      <c r="M297" s="22">
        <f>+Temp!L24</f>
        <v>28.034322209739656</v>
      </c>
      <c r="N297" s="23">
        <f>+HR!L35</f>
        <v>33.841162084716714</v>
      </c>
      <c r="O297" s="22">
        <f t="shared" si="62"/>
        <v>20.573300000000003</v>
      </c>
      <c r="P297" s="28">
        <f t="shared" si="63"/>
        <v>27.31409405970436</v>
      </c>
      <c r="Q297" s="26">
        <f t="shared" si="64"/>
        <v>55.660006162127893</v>
      </c>
      <c r="R297" s="27">
        <f t="shared" si="65"/>
        <v>16.621169314539081</v>
      </c>
    </row>
    <row r="298" spans="1:18" x14ac:dyDescent="0.25">
      <c r="A298" s="13">
        <v>50</v>
      </c>
      <c r="B298" s="15">
        <f>+Tn!L5</f>
        <v>23.970500000000001</v>
      </c>
      <c r="C298" s="20"/>
      <c r="D298" s="16"/>
      <c r="E298" s="13"/>
      <c r="F298" s="13"/>
      <c r="G298" s="14"/>
      <c r="H298" s="19"/>
      <c r="I298" s="10"/>
      <c r="J298" s="16">
        <f>+J294-J296</f>
        <v>-0.75696000000000008</v>
      </c>
      <c r="K298" s="14">
        <f>+K294-K296</f>
        <v>-0.21303000000000002</v>
      </c>
      <c r="L298" s="21">
        <f>+Temp!A25</f>
        <v>0.625</v>
      </c>
      <c r="M298" s="22">
        <f>+Temp!L25</f>
        <v>28.379816304832961</v>
      </c>
      <c r="N298" s="23">
        <f>+HR!L36</f>
        <v>32.956744607344326</v>
      </c>
      <c r="O298" s="22">
        <f t="shared" si="62"/>
        <v>20.573300000000003</v>
      </c>
      <c r="P298" s="28">
        <f t="shared" si="63"/>
        <v>27.353928222885212</v>
      </c>
      <c r="Q298" s="26">
        <f t="shared" si="64"/>
        <v>54.321244992316196</v>
      </c>
      <c r="R298" s="27">
        <f t="shared" si="65"/>
        <v>16.190378672278104</v>
      </c>
    </row>
    <row r="299" spans="1:18" x14ac:dyDescent="0.25">
      <c r="A299" s="13" t="s">
        <v>52</v>
      </c>
      <c r="B299" s="15">
        <f>+Tn!L7</f>
        <v>3</v>
      </c>
      <c r="C299" s="20"/>
      <c r="D299" s="16"/>
      <c r="E299" s="13"/>
      <c r="F299" s="13"/>
      <c r="G299" s="14"/>
      <c r="H299" s="19"/>
      <c r="I299" s="10"/>
      <c r="J299" s="16">
        <f>+J295-J293</f>
        <v>-12.526199999999999</v>
      </c>
      <c r="K299" s="14">
        <f>+K295-K293</f>
        <v>-13.560200000000002</v>
      </c>
      <c r="L299" s="21">
        <f>+Temp!A26</f>
        <v>0.66666666666666663</v>
      </c>
      <c r="M299" s="22">
        <f>+Temp!L26</f>
        <v>27.944873129425176</v>
      </c>
      <c r="N299" s="23">
        <f>+HR!L37</f>
        <v>34.070139456800732</v>
      </c>
      <c r="O299" s="22">
        <f t="shared" si="62"/>
        <v>20.573300000000003</v>
      </c>
      <c r="P299" s="28">
        <f t="shared" si="63"/>
        <v>27.303780918865694</v>
      </c>
      <c r="Q299" s="26">
        <f t="shared" si="64"/>
        <v>56.006613982930311</v>
      </c>
      <c r="R299" s="27">
        <f t="shared" si="65"/>
        <v>16.732701833634444</v>
      </c>
    </row>
    <row r="300" spans="1:18" x14ac:dyDescent="0.25">
      <c r="A300" s="13"/>
      <c r="B300" s="14"/>
      <c r="C300" s="13"/>
      <c r="D300" s="16"/>
      <c r="E300" s="13"/>
      <c r="F300" s="13"/>
      <c r="G300" s="14"/>
      <c r="H300" s="19"/>
      <c r="I300" s="10"/>
      <c r="J300" s="16">
        <f>+J299/J298</f>
        <v>16.548034242232085</v>
      </c>
      <c r="K300" s="14">
        <f>+K299/K298</f>
        <v>63.653945453691968</v>
      </c>
      <c r="L300" s="21">
        <f>+Temp!A27</f>
        <v>0.70833333333333337</v>
      </c>
      <c r="M300" s="22">
        <f>+Temp!L27</f>
        <v>26.940416197613057</v>
      </c>
      <c r="N300" s="23">
        <f>+HR!L38</f>
        <v>36.641411378315269</v>
      </c>
      <c r="O300" s="22">
        <f t="shared" si="62"/>
        <v>20.573300000000003</v>
      </c>
      <c r="P300" s="28">
        <f t="shared" si="63"/>
        <v>27.18797083152068</v>
      </c>
      <c r="Q300" s="26">
        <f t="shared" si="64"/>
        <v>59.898801884709357</v>
      </c>
      <c r="R300" s="27">
        <f t="shared" si="65"/>
        <v>17.98514189823808</v>
      </c>
    </row>
    <row r="301" spans="1:18" x14ac:dyDescent="0.25">
      <c r="A301" s="13"/>
      <c r="B301" s="15"/>
      <c r="C301" s="20"/>
      <c r="D301" s="16"/>
      <c r="E301" s="13"/>
      <c r="F301" s="13"/>
      <c r="G301" s="14"/>
      <c r="H301" s="16"/>
      <c r="I301" s="14"/>
      <c r="J301" s="16"/>
      <c r="K301" s="14"/>
      <c r="L301" s="21">
        <f>+Temp!A28</f>
        <v>0.75</v>
      </c>
      <c r="M301" s="22">
        <f>+Temp!L28</f>
        <v>25.576561834560458</v>
      </c>
      <c r="N301" s="23">
        <f>+HR!L39</f>
        <v>40.132691410029139</v>
      </c>
      <c r="O301" s="22">
        <f t="shared" si="62"/>
        <v>20.573300000000003</v>
      </c>
      <c r="P301" s="28">
        <f t="shared" si="63"/>
        <v>27.030723578892289</v>
      </c>
      <c r="Q301" s="26">
        <f t="shared" si="64"/>
        <v>65.183625239041902</v>
      </c>
      <c r="R301" s="27">
        <f t="shared" si="65"/>
        <v>19.685708435710151</v>
      </c>
    </row>
    <row r="302" spans="1:18" x14ac:dyDescent="0.25">
      <c r="A302" s="13"/>
      <c r="B302" s="15"/>
      <c r="C302" s="20"/>
      <c r="D302" s="16"/>
      <c r="E302" s="13"/>
      <c r="F302" s="13"/>
      <c r="G302" s="14"/>
      <c r="H302" s="16"/>
      <c r="I302" s="14"/>
      <c r="J302" s="16"/>
      <c r="K302" s="14"/>
      <c r="L302" s="21">
        <f>+Temp!A29</f>
        <v>0.79166666666666663</v>
      </c>
      <c r="M302" s="22">
        <f>+Temp!L29</f>
        <v>24.03436590635372</v>
      </c>
      <c r="N302" s="23">
        <f>+HR!L40</f>
        <v>44.0805013778673</v>
      </c>
      <c r="O302" s="22">
        <f t="shared" si="62"/>
        <v>20.573300000000003</v>
      </c>
      <c r="P302" s="28">
        <f t="shared" si="63"/>
        <v>26.852914217940857</v>
      </c>
      <c r="Q302" s="26">
        <f t="shared" si="64"/>
        <v>71.159507473345528</v>
      </c>
      <c r="R302" s="27">
        <f t="shared" si="65"/>
        <v>21.608646002052716</v>
      </c>
    </row>
    <row r="303" spans="1:18" x14ac:dyDescent="0.25">
      <c r="A303" s="13"/>
      <c r="B303" s="15"/>
      <c r="C303" s="20"/>
      <c r="D303" s="16"/>
      <c r="E303" s="13"/>
      <c r="F303" s="13"/>
      <c r="G303" s="14"/>
      <c r="H303" s="16"/>
      <c r="I303" s="14"/>
      <c r="J303" s="16"/>
      <c r="K303" s="14"/>
      <c r="L303" s="21">
        <f>+Temp!A30</f>
        <v>0.83333333333333337</v>
      </c>
      <c r="M303" s="22">
        <f>+Temp!L30</f>
        <v>22.454311167715588</v>
      </c>
      <c r="N303" s="23">
        <f>+HR!L41</f>
        <v>48.125224705712405</v>
      </c>
      <c r="O303" s="22">
        <f t="shared" si="62"/>
        <v>20.573300000000003</v>
      </c>
      <c r="P303" s="28">
        <f t="shared" si="63"/>
        <v>26.670739879254715</v>
      </c>
      <c r="Q303" s="26">
        <f t="shared" si="64"/>
        <v>77.282089480700634</v>
      </c>
      <c r="R303" s="27">
        <f t="shared" si="65"/>
        <v>23.578789067686298</v>
      </c>
    </row>
    <row r="304" spans="1:18" x14ac:dyDescent="0.25">
      <c r="A304" s="13"/>
      <c r="B304" s="14"/>
      <c r="C304" s="13"/>
      <c r="D304" s="16"/>
      <c r="E304" s="13"/>
      <c r="F304" s="13"/>
      <c r="G304" s="14"/>
      <c r="H304" s="16"/>
      <c r="I304" s="14"/>
      <c r="J304" s="16"/>
      <c r="K304" s="14"/>
      <c r="L304" s="21">
        <f>+Temp!A31</f>
        <v>0.875</v>
      </c>
      <c r="M304" s="22">
        <f>+Temp!L31</f>
        <v>20.935462529304203</v>
      </c>
      <c r="N304" s="23">
        <f>+HR!L42</f>
        <v>52.013268815211632</v>
      </c>
      <c r="O304" s="22">
        <f t="shared" si="62"/>
        <v>20.573300000000003</v>
      </c>
      <c r="P304" s="28">
        <f t="shared" si="63"/>
        <v>26.495622372562867</v>
      </c>
      <c r="Q304" s="26">
        <f t="shared" si="64"/>
        <v>83.167502889509805</v>
      </c>
      <c r="R304" s="27">
        <f t="shared" si="65"/>
        <v>25.472615300119447</v>
      </c>
    </row>
    <row r="305" spans="1:18" x14ac:dyDescent="0.25">
      <c r="B305" s="14"/>
      <c r="C305" s="25"/>
      <c r="G305" s="14"/>
      <c r="I305" s="14"/>
      <c r="K305" s="14"/>
      <c r="L305" s="21">
        <f>+Temp!A32</f>
        <v>0.91666666666666663</v>
      </c>
      <c r="M305" s="22">
        <f>+Temp!L32</f>
        <v>19.540409090075144</v>
      </c>
      <c r="N305" s="23">
        <f>+HR!L43</f>
        <v>55.584414201037788</v>
      </c>
      <c r="O305" s="22">
        <f t="shared" si="62"/>
        <v>20.573300000000003</v>
      </c>
      <c r="P305" s="28">
        <f t="shared" si="63"/>
        <v>26.334777984385259</v>
      </c>
      <c r="Q305" s="26">
        <f t="shared" si="64"/>
        <v>88.5732200950318</v>
      </c>
      <c r="R305" s="27">
        <f t="shared" si="65"/>
        <v>27.212083428833981</v>
      </c>
    </row>
    <row r="306" spans="1:18" x14ac:dyDescent="0.25">
      <c r="B306" s="14"/>
      <c r="C306" s="25"/>
      <c r="G306" s="14"/>
      <c r="I306" s="14"/>
      <c r="K306" s="14"/>
      <c r="L306" s="21">
        <f>+Temp!A33</f>
        <v>0.95833333333333337</v>
      </c>
      <c r="M306" s="22">
        <f>+Temp!L33</f>
        <v>18.302600346082869</v>
      </c>
      <c r="N306" s="23">
        <f>+HR!L44</f>
        <v>58.753034742976389</v>
      </c>
      <c r="O306" s="22">
        <f t="shared" si="62"/>
        <v>20.573300000000003</v>
      </c>
      <c r="P306" s="28">
        <f t="shared" si="63"/>
        <v>26.192063315176345</v>
      </c>
      <c r="Q306" s="26">
        <f t="shared" si="64"/>
        <v>93.369627054353984</v>
      </c>
      <c r="R306" s="27">
        <f t="shared" si="65"/>
        <v>28.755485852764501</v>
      </c>
    </row>
    <row r="307" spans="1:18" x14ac:dyDescent="0.25">
      <c r="P307" s="7"/>
    </row>
    <row r="308" spans="1:18" x14ac:dyDescent="0.25">
      <c r="P308" s="7"/>
    </row>
    <row r="309" spans="1:18" x14ac:dyDescent="0.25">
      <c r="A309" s="9" t="s">
        <v>42</v>
      </c>
      <c r="B309" s="10" t="s">
        <v>43</v>
      </c>
      <c r="C309" s="9"/>
      <c r="D309" s="16" t="s">
        <v>52</v>
      </c>
      <c r="E309" s="13"/>
      <c r="F309" s="9" t="s">
        <v>44</v>
      </c>
      <c r="G309" s="17" t="s">
        <v>46</v>
      </c>
      <c r="H309" s="16"/>
      <c r="I309" s="14"/>
      <c r="J309" s="16"/>
      <c r="K309" s="14"/>
      <c r="L309" s="291" t="s">
        <v>67</v>
      </c>
      <c r="M309" s="293"/>
      <c r="N309" s="292"/>
      <c r="O309" s="291" t="s">
        <v>72</v>
      </c>
      <c r="P309" s="292"/>
      <c r="Q309" s="291" t="s">
        <v>73</v>
      </c>
      <c r="R309" s="292"/>
    </row>
    <row r="310" spans="1:18" x14ac:dyDescent="0.25">
      <c r="A310" s="9">
        <f>+A326</f>
        <v>50</v>
      </c>
      <c r="B310" s="11">
        <f>+(H319*A310)+B326+I319</f>
        <v>25.454800000000002</v>
      </c>
      <c r="C310" s="5">
        <f>+B310-B326</f>
        <v>2.6158000000000001</v>
      </c>
      <c r="D310" s="16">
        <v>2.5</v>
      </c>
      <c r="E310" s="18">
        <v>1</v>
      </c>
      <c r="F310" s="13">
        <v>-2.98</v>
      </c>
      <c r="G310" s="14">
        <v>4.2699999999999996</v>
      </c>
      <c r="H310" s="291" t="s">
        <v>51</v>
      </c>
      <c r="I310" s="292"/>
      <c r="J310" s="16"/>
      <c r="K310" s="14"/>
      <c r="L310" s="9" t="s">
        <v>56</v>
      </c>
      <c r="M310" s="9" t="s">
        <v>54</v>
      </c>
      <c r="N310" s="10" t="s">
        <v>55</v>
      </c>
      <c r="O310" s="19" t="s">
        <v>68</v>
      </c>
      <c r="P310" s="10" t="s">
        <v>69</v>
      </c>
      <c r="Q310" s="19" t="s">
        <v>70</v>
      </c>
      <c r="R310" s="10" t="s">
        <v>71</v>
      </c>
    </row>
    <row r="311" spans="1:18" x14ac:dyDescent="0.25">
      <c r="A311" s="9">
        <f>+A326</f>
        <v>50</v>
      </c>
      <c r="B311" s="11">
        <f>B326+I313</f>
        <v>19.441800000000001</v>
      </c>
      <c r="C311" s="5">
        <f>+B326-B311</f>
        <v>3.3972000000000016</v>
      </c>
      <c r="D311" s="16">
        <v>3</v>
      </c>
      <c r="E311" s="18">
        <v>1.1399999999999999</v>
      </c>
      <c r="F311" s="13">
        <f t="shared" ref="F311:F319" si="66">$F$310*E311</f>
        <v>-3.3971999999999998</v>
      </c>
      <c r="G311" s="14">
        <f t="shared" ref="G311:G319" si="67">$G$310*E311</f>
        <v>4.867799999999999</v>
      </c>
      <c r="H311" s="19" t="s">
        <v>49</v>
      </c>
      <c r="I311" s="10" t="s">
        <v>50</v>
      </c>
      <c r="J311" s="16"/>
      <c r="K311" s="14"/>
      <c r="L311" s="21">
        <f>+Temp!A10</f>
        <v>0</v>
      </c>
      <c r="M311" s="22">
        <f>+Temp!M10</f>
        <v>14.07147168725287</v>
      </c>
      <c r="N311" s="23">
        <f>+HR!M21</f>
        <v>57.167551898308467</v>
      </c>
      <c r="O311" s="22">
        <f t="shared" ref="O311:O334" si="68">$B$313</f>
        <v>19.441800000000001</v>
      </c>
      <c r="P311" s="28">
        <f t="shared" ref="P311:P334" si="69">+($H$319*N311)+$B$326+$I$319</f>
        <v>25.131973462500188</v>
      </c>
      <c r="Q311" s="26">
        <f t="shared" ref="Q311:Q334" si="70">+(M311-$B$326-$I$316)/$H$316</f>
        <v>105.38043287769648</v>
      </c>
      <c r="R311" s="27">
        <f t="shared" ref="R311:R334" si="71">+(M311-$B$326-$I$322)/$H$322</f>
        <v>32.620359492203406</v>
      </c>
    </row>
    <row r="312" spans="1:18" x14ac:dyDescent="0.25">
      <c r="A312" s="293" t="s">
        <v>44</v>
      </c>
      <c r="B312" s="292"/>
      <c r="C312" s="24">
        <f>+C310+C311</f>
        <v>6.0130000000000017</v>
      </c>
      <c r="D312" s="16">
        <v>3.5</v>
      </c>
      <c r="E312" s="18">
        <v>1.28</v>
      </c>
      <c r="F312" s="13">
        <f t="shared" si="66"/>
        <v>-3.8144</v>
      </c>
      <c r="G312" s="14">
        <f t="shared" si="67"/>
        <v>5.4655999999999993</v>
      </c>
      <c r="H312" s="291" t="s">
        <v>44</v>
      </c>
      <c r="I312" s="292"/>
      <c r="J312" s="16"/>
      <c r="K312" s="14"/>
      <c r="L312" s="21">
        <f>+Temp!A11</f>
        <v>4.1666666666666664E-2</v>
      </c>
      <c r="M312" s="22">
        <f>+Temp!M11</f>
        <v>13.229515179150573</v>
      </c>
      <c r="N312" s="23">
        <f>+HR!M22</f>
        <v>59.301087893244542</v>
      </c>
      <c r="O312" s="22">
        <f t="shared" si="68"/>
        <v>19.441800000000001</v>
      </c>
      <c r="P312" s="28">
        <f t="shared" si="69"/>
        <v>25.035879001288269</v>
      </c>
      <c r="Q312" s="26">
        <f t="shared" si="70"/>
        <v>108.64294501820989</v>
      </c>
      <c r="R312" s="27">
        <f t="shared" si="71"/>
        <v>33.670180574625221</v>
      </c>
    </row>
    <row r="313" spans="1:18" x14ac:dyDescent="0.25">
      <c r="A313" s="2">
        <f>+J318</f>
        <v>25.924189526184534</v>
      </c>
      <c r="B313" s="11">
        <f>B326+I313</f>
        <v>19.441800000000001</v>
      </c>
      <c r="C313" s="5"/>
      <c r="D313" s="16">
        <v>4</v>
      </c>
      <c r="E313" s="18">
        <v>1.42</v>
      </c>
      <c r="F313" s="13">
        <f t="shared" si="66"/>
        <v>-4.2315999999999994</v>
      </c>
      <c r="G313" s="14">
        <f t="shared" si="67"/>
        <v>6.0633999999999988</v>
      </c>
      <c r="H313" s="19">
        <v>0</v>
      </c>
      <c r="I313" s="10">
        <f>+IF(B327=D310,F310,IF(B327=D311,F311,IF(B327=D312,F312,IF(B327=D313,F313,IF(B327=D314,F314,IF(B327=D315,F315,IF(B327=D316,F316,IF(B327=D317,F317,IF(B327=D318,F318,F319)))))))))</f>
        <v>-3.3971999999999998</v>
      </c>
      <c r="J313" s="16">
        <f>+I322</f>
        <v>17.393999999999998</v>
      </c>
      <c r="K313" s="14">
        <f>+I316</f>
        <v>18.428000000000001</v>
      </c>
      <c r="L313" s="21">
        <f>+Temp!A12</f>
        <v>8.3333333333333329E-2</v>
      </c>
      <c r="M313" s="22">
        <f>+Temp!M12</f>
        <v>12.529651319915317</v>
      </c>
      <c r="N313" s="23">
        <f>+HR!M23</f>
        <v>61.07455804385696</v>
      </c>
      <c r="O313" s="22">
        <f t="shared" si="68"/>
        <v>19.441800000000001</v>
      </c>
      <c r="P313" s="28">
        <f t="shared" si="69"/>
        <v>24.956001905704685</v>
      </c>
      <c r="Q313" s="26">
        <f t="shared" si="70"/>
        <v>111.35485984455646</v>
      </c>
      <c r="R313" s="27">
        <f t="shared" si="71"/>
        <v>34.542828778160448</v>
      </c>
    </row>
    <row r="314" spans="1:18" x14ac:dyDescent="0.25">
      <c r="A314" s="2">
        <f>+K318</f>
        <v>84.570852869376523</v>
      </c>
      <c r="B314" s="11">
        <f>B326+I313</f>
        <v>19.441800000000001</v>
      </c>
      <c r="C314" s="5"/>
      <c r="D314" s="16">
        <v>4.5</v>
      </c>
      <c r="E314" s="18">
        <v>1.56</v>
      </c>
      <c r="F314" s="13">
        <f t="shared" si="66"/>
        <v>-4.6488000000000005</v>
      </c>
      <c r="G314" s="14">
        <f t="shared" si="67"/>
        <v>6.6611999999999991</v>
      </c>
      <c r="H314" s="19"/>
      <c r="I314" s="10"/>
      <c r="J314" s="16">
        <f>+H322</f>
        <v>-0.80200000000000005</v>
      </c>
      <c r="K314" s="14">
        <f>+H316</f>
        <v>-0.25807000000000002</v>
      </c>
      <c r="L314" s="21">
        <f>+Temp!A13</f>
        <v>0.125</v>
      </c>
      <c r="M314" s="22">
        <f>+Temp!M13</f>
        <v>11.957351561351228</v>
      </c>
      <c r="N314" s="23">
        <f>+HR!M24</f>
        <v>62.524778005386558</v>
      </c>
      <c r="O314" s="22">
        <f t="shared" si="68"/>
        <v>19.441800000000001</v>
      </c>
      <c r="P314" s="28">
        <f t="shared" si="69"/>
        <v>24.890683998637389</v>
      </c>
      <c r="Q314" s="26">
        <f t="shared" si="70"/>
        <v>113.57247428468544</v>
      </c>
      <c r="R314" s="27">
        <f t="shared" si="71"/>
        <v>35.256419499562057</v>
      </c>
    </row>
    <row r="315" spans="1:18" x14ac:dyDescent="0.25">
      <c r="A315" s="294" t="s">
        <v>45</v>
      </c>
      <c r="B315" s="295"/>
      <c r="C315" s="8"/>
      <c r="D315" s="16">
        <v>5</v>
      </c>
      <c r="E315" s="18">
        <v>1.7</v>
      </c>
      <c r="F315" s="13">
        <f t="shared" si="66"/>
        <v>-5.0659999999999998</v>
      </c>
      <c r="G315" s="14">
        <f t="shared" si="67"/>
        <v>7.2589999999999995</v>
      </c>
      <c r="H315" s="296" t="s">
        <v>45</v>
      </c>
      <c r="I315" s="295"/>
      <c r="J315" s="16">
        <f>+I313</f>
        <v>-3.3971999999999998</v>
      </c>
      <c r="K315" s="14">
        <f>+I313</f>
        <v>-3.3971999999999998</v>
      </c>
      <c r="L315" s="21">
        <f>+Temp!A14</f>
        <v>0.16666666666666666</v>
      </c>
      <c r="M315" s="22">
        <f>+Temp!M14</f>
        <v>11.495921347672507</v>
      </c>
      <c r="N315" s="23">
        <f>+HR!M25</f>
        <v>63.694052143136886</v>
      </c>
      <c r="O315" s="22">
        <f t="shared" si="68"/>
        <v>19.441800000000001</v>
      </c>
      <c r="P315" s="28">
        <f t="shared" si="69"/>
        <v>24.838019891473117</v>
      </c>
      <c r="Q315" s="26">
        <f t="shared" si="70"/>
        <v>115.36047836760373</v>
      </c>
      <c r="R315" s="27">
        <f t="shared" si="71"/>
        <v>35.831768893176424</v>
      </c>
    </row>
    <row r="316" spans="1:18" x14ac:dyDescent="0.25">
      <c r="A316" s="2">
        <f>+K328</f>
        <v>63.653945453691968</v>
      </c>
      <c r="B316" s="11">
        <f>+(H316*A316)+B326+I316</f>
        <v>24.839826296765715</v>
      </c>
      <c r="C316" s="5"/>
      <c r="D316" s="16">
        <v>5.5</v>
      </c>
      <c r="E316" s="18">
        <v>1.84</v>
      </c>
      <c r="F316" s="13">
        <f t="shared" si="66"/>
        <v>-5.4832000000000001</v>
      </c>
      <c r="G316" s="14">
        <f t="shared" si="67"/>
        <v>7.8567999999999998</v>
      </c>
      <c r="H316" s="19">
        <v>-0.25807000000000002</v>
      </c>
      <c r="I316" s="10">
        <v>18.428000000000001</v>
      </c>
      <c r="J316" s="16"/>
      <c r="K316" s="14"/>
      <c r="L316" s="21">
        <f>+Temp!A15</f>
        <v>0.20833333333333334</v>
      </c>
      <c r="M316" s="22">
        <f>+Temp!M15</f>
        <v>11.128431528211284</v>
      </c>
      <c r="N316" s="23">
        <f>+HR!M26</f>
        <v>64.625279290914705</v>
      </c>
      <c r="O316" s="22">
        <f t="shared" si="68"/>
        <v>19.441800000000001</v>
      </c>
      <c r="P316" s="28">
        <f t="shared" si="69"/>
        <v>24.796077420737202</v>
      </c>
      <c r="Q316" s="26">
        <f t="shared" si="70"/>
        <v>116.78447115816917</v>
      </c>
      <c r="R316" s="27">
        <f t="shared" si="71"/>
        <v>36.289985625671711</v>
      </c>
    </row>
    <row r="317" spans="1:18" x14ac:dyDescent="0.25">
      <c r="A317" s="2">
        <f>+K318</f>
        <v>84.570852869376523</v>
      </c>
      <c r="B317" s="11">
        <f>+(H316*A317)+B326+I316</f>
        <v>19.441800000000001</v>
      </c>
      <c r="C317" s="5"/>
      <c r="D317" s="16">
        <v>6</v>
      </c>
      <c r="E317" s="18">
        <v>1.98</v>
      </c>
      <c r="F317" s="13">
        <f t="shared" si="66"/>
        <v>-5.9004000000000003</v>
      </c>
      <c r="G317" s="14">
        <f t="shared" si="67"/>
        <v>8.4545999999999992</v>
      </c>
      <c r="H317" s="19"/>
      <c r="I317" s="10"/>
      <c r="J317" s="16">
        <f>+J315-J313</f>
        <v>-20.791199999999996</v>
      </c>
      <c r="K317" s="14">
        <f>+K315-K313</f>
        <v>-21.825200000000002</v>
      </c>
      <c r="L317" s="21">
        <f>+Temp!A16</f>
        <v>0.25</v>
      </c>
      <c r="M317" s="22">
        <f>+Temp!M16</f>
        <v>10.838912366503731</v>
      </c>
      <c r="N317" s="23">
        <f>+HR!M27</f>
        <v>65.358927106190848</v>
      </c>
      <c r="O317" s="22">
        <f t="shared" si="68"/>
        <v>19.441800000000001</v>
      </c>
      <c r="P317" s="28">
        <f t="shared" si="69"/>
        <v>24.763033923137165</v>
      </c>
      <c r="Q317" s="26">
        <f t="shared" si="70"/>
        <v>117.90633407019905</v>
      </c>
      <c r="R317" s="27">
        <f t="shared" si="71"/>
        <v>36.650982086653698</v>
      </c>
    </row>
    <row r="318" spans="1:18" x14ac:dyDescent="0.25">
      <c r="A318" s="294" t="s">
        <v>46</v>
      </c>
      <c r="B318" s="295"/>
      <c r="C318" s="8"/>
      <c r="D318" s="16">
        <v>6.5</v>
      </c>
      <c r="E318" s="18">
        <v>2.12</v>
      </c>
      <c r="F318" s="13">
        <f t="shared" si="66"/>
        <v>-6.3176000000000005</v>
      </c>
      <c r="G318" s="14">
        <f t="shared" si="67"/>
        <v>9.0523999999999987</v>
      </c>
      <c r="H318" s="296" t="s">
        <v>46</v>
      </c>
      <c r="I318" s="295"/>
      <c r="J318" s="16">
        <f>+J317/J314</f>
        <v>25.924189526184534</v>
      </c>
      <c r="K318" s="14">
        <f>+K317/K314</f>
        <v>84.570852869376523</v>
      </c>
      <c r="L318" s="21">
        <f>+Temp!A17</f>
        <v>0.29166666666666669</v>
      </c>
      <c r="M318" s="22">
        <f>+Temp!M17</f>
        <v>9.9000425358552384</v>
      </c>
      <c r="N318" s="23">
        <f>+HR!M28</f>
        <v>67.738043555760129</v>
      </c>
      <c r="O318" s="22">
        <f t="shared" si="68"/>
        <v>19.441800000000001</v>
      </c>
      <c r="P318" s="28">
        <f t="shared" si="69"/>
        <v>24.655878518248567</v>
      </c>
      <c r="Q318" s="26">
        <f t="shared" si="70"/>
        <v>121.54437735554215</v>
      </c>
      <c r="R318" s="27">
        <f t="shared" si="71"/>
        <v>37.82164272337252</v>
      </c>
    </row>
    <row r="319" spans="1:18" x14ac:dyDescent="0.25">
      <c r="A319" s="2">
        <f>+J328</f>
        <v>16.548034242232085</v>
      </c>
      <c r="B319" s="11">
        <f>+(H319*A319)+B326+I319</f>
        <v>26.961476537729869</v>
      </c>
      <c r="C319" s="5"/>
      <c r="D319" s="16">
        <v>7</v>
      </c>
      <c r="E319" s="18">
        <v>2.2599999999999998</v>
      </c>
      <c r="F319" s="13">
        <f t="shared" si="66"/>
        <v>-6.734799999999999</v>
      </c>
      <c r="G319" s="14">
        <f t="shared" si="67"/>
        <v>9.6501999999999981</v>
      </c>
      <c r="H319" s="19">
        <v>-4.5039999999999997E-2</v>
      </c>
      <c r="I319" s="10">
        <f>+IF(B327=D310,G310,IF(B327=D311,G311,IF(B327=D312,G312,IF(B327=D313,G313,IF(B327=D314,G314,IF(B327=D315,G315,IF(B327=D316,G316,IF(B327=D317,G317,IF(B327=D318,G318,G319)))))))))</f>
        <v>4.867799999999999</v>
      </c>
      <c r="J319" s="16"/>
      <c r="K319" s="14"/>
      <c r="L319" s="21">
        <f>+Temp!A18</f>
        <v>0.33333333333333331</v>
      </c>
      <c r="M319" s="22">
        <f>+Temp!M18</f>
        <v>10.162553925853274</v>
      </c>
      <c r="N319" s="23">
        <f>+HR!M29</f>
        <v>67.072834017913721</v>
      </c>
      <c r="O319" s="22">
        <f t="shared" si="68"/>
        <v>19.441800000000001</v>
      </c>
      <c r="P319" s="28">
        <f t="shared" si="69"/>
        <v>24.685839555833166</v>
      </c>
      <c r="Q319" s="26">
        <f t="shared" si="70"/>
        <v>120.52716733501269</v>
      </c>
      <c r="R319" s="27">
        <f t="shared" si="71"/>
        <v>37.494321788212872</v>
      </c>
    </row>
    <row r="320" spans="1:18" x14ac:dyDescent="0.25">
      <c r="A320" s="2">
        <f>+K328</f>
        <v>63.653945453691968</v>
      </c>
      <c r="B320" s="11">
        <f>+(H319*A320)+B326+I319</f>
        <v>24.839826296765715</v>
      </c>
      <c r="C320" s="5"/>
      <c r="D320" s="16"/>
      <c r="E320" s="13"/>
      <c r="F320" s="13"/>
      <c r="G320" s="14"/>
      <c r="H320" s="19"/>
      <c r="I320" s="10"/>
      <c r="J320" s="16"/>
      <c r="K320" s="14"/>
      <c r="L320" s="21">
        <f>+Temp!A19</f>
        <v>0.375</v>
      </c>
      <c r="M320" s="22">
        <f>+Temp!M19</f>
        <v>11.550967747537506</v>
      </c>
      <c r="N320" s="23">
        <f>+HR!M30</f>
        <v>63.554563375755862</v>
      </c>
      <c r="O320" s="22">
        <f t="shared" si="68"/>
        <v>19.441800000000001</v>
      </c>
      <c r="P320" s="28">
        <f t="shared" si="69"/>
        <v>24.844302465555959</v>
      </c>
      <c r="Q320" s="26">
        <f t="shared" si="70"/>
        <v>115.14717810075753</v>
      </c>
      <c r="R320" s="27">
        <f t="shared" si="71"/>
        <v>35.763132484367198</v>
      </c>
    </row>
    <row r="321" spans="1:18" x14ac:dyDescent="0.25">
      <c r="A321" s="293" t="s">
        <v>47</v>
      </c>
      <c r="B321" s="292"/>
      <c r="C321" s="9"/>
      <c r="D321" s="16"/>
      <c r="E321" s="13"/>
      <c r="F321" s="13"/>
      <c r="G321" s="14"/>
      <c r="H321" s="291" t="s">
        <v>47</v>
      </c>
      <c r="I321" s="292"/>
      <c r="J321" s="16">
        <f>+I322</f>
        <v>17.393999999999998</v>
      </c>
      <c r="K321" s="14">
        <f>+I316</f>
        <v>18.428000000000001</v>
      </c>
      <c r="L321" s="21">
        <f>+Temp!A20</f>
        <v>0.41666666666666669</v>
      </c>
      <c r="M321" s="22">
        <f>+Temp!M20</f>
        <v>14.086618773819819</v>
      </c>
      <c r="N321" s="23">
        <f>+HR!M31</f>
        <v>57.129168853462325</v>
      </c>
      <c r="O321" s="22">
        <f t="shared" si="68"/>
        <v>19.441800000000001</v>
      </c>
      <c r="P321" s="28">
        <f t="shared" si="69"/>
        <v>25.133702234840058</v>
      </c>
      <c r="Q321" s="26">
        <f t="shared" si="70"/>
        <v>105.32173916449096</v>
      </c>
      <c r="R321" s="27">
        <f t="shared" si="71"/>
        <v>32.601472850598732</v>
      </c>
    </row>
    <row r="322" spans="1:18" x14ac:dyDescent="0.25">
      <c r="A322" s="3">
        <f>+J328</f>
        <v>16.548034242232085</v>
      </c>
      <c r="B322" s="12">
        <f>+(H322*A322)+B326+I322</f>
        <v>26.961476537729869</v>
      </c>
      <c r="C322" s="4"/>
      <c r="D322" s="16"/>
      <c r="E322" s="13"/>
      <c r="F322" s="13"/>
      <c r="G322" s="14"/>
      <c r="H322" s="19">
        <v>-0.80200000000000005</v>
      </c>
      <c r="I322" s="10">
        <v>17.393999999999998</v>
      </c>
      <c r="J322" s="16">
        <f>+H322</f>
        <v>-0.80200000000000005</v>
      </c>
      <c r="K322" s="14">
        <f>+H316</f>
        <v>-0.25807000000000002</v>
      </c>
      <c r="L322" s="21">
        <f>+Temp!A21</f>
        <v>0.45833333333333331</v>
      </c>
      <c r="M322" s="22">
        <f>+Temp!M21</f>
        <v>17.13083879884049</v>
      </c>
      <c r="N322" s="23">
        <f>+HR!M32</f>
        <v>49.415049492919707</v>
      </c>
      <c r="O322" s="22">
        <f t="shared" si="68"/>
        <v>19.441800000000001</v>
      </c>
      <c r="P322" s="28">
        <f t="shared" si="69"/>
        <v>25.481146170838898</v>
      </c>
      <c r="Q322" s="26">
        <f t="shared" si="70"/>
        <v>93.525637234701875</v>
      </c>
      <c r="R322" s="27">
        <f t="shared" si="71"/>
        <v>28.805687283241284</v>
      </c>
    </row>
    <row r="323" spans="1:18" x14ac:dyDescent="0.25">
      <c r="A323" s="3">
        <f>+J318</f>
        <v>25.924189526184534</v>
      </c>
      <c r="B323" s="12">
        <f>+(H322*A323)+B326+I322</f>
        <v>19.441800000000004</v>
      </c>
      <c r="C323" s="4"/>
      <c r="D323" s="16"/>
      <c r="E323" s="13"/>
      <c r="F323" s="13"/>
      <c r="G323" s="14"/>
      <c r="H323" s="19"/>
      <c r="I323" s="10"/>
      <c r="J323" s="16">
        <f>+I319</f>
        <v>4.867799999999999</v>
      </c>
      <c r="K323" s="14">
        <f>+I319</f>
        <v>4.867799999999999</v>
      </c>
      <c r="L323" s="21">
        <f>+Temp!A22</f>
        <v>0.5</v>
      </c>
      <c r="M323" s="22">
        <f>+Temp!M22</f>
        <v>19.988598540190054</v>
      </c>
      <c r="N323" s="23">
        <f>+HR!M33</f>
        <v>42.173424522538582</v>
      </c>
      <c r="O323" s="22">
        <f t="shared" si="68"/>
        <v>19.441800000000001</v>
      </c>
      <c r="P323" s="28">
        <f t="shared" si="69"/>
        <v>25.807308959504862</v>
      </c>
      <c r="Q323" s="26">
        <f t="shared" si="70"/>
        <v>82.452053550625592</v>
      </c>
      <c r="R323" s="27">
        <f t="shared" si="71"/>
        <v>25.242395835174495</v>
      </c>
    </row>
    <row r="324" spans="1:18" x14ac:dyDescent="0.25">
      <c r="A324" s="13"/>
      <c r="B324" s="14"/>
      <c r="C324" s="13"/>
      <c r="D324" s="16"/>
      <c r="E324" s="13"/>
      <c r="F324" s="13"/>
      <c r="G324" s="14"/>
      <c r="H324" s="19"/>
      <c r="I324" s="10"/>
      <c r="J324" s="16">
        <f>+H319</f>
        <v>-4.5039999999999997E-2</v>
      </c>
      <c r="K324" s="14">
        <f>+H319</f>
        <v>-4.5039999999999997E-2</v>
      </c>
      <c r="L324" s="21">
        <f>+Temp!A23</f>
        <v>0.54166666666666663</v>
      </c>
      <c r="M324" s="22">
        <f>+Temp!M23</f>
        <v>22.185133344249639</v>
      </c>
      <c r="N324" s="23">
        <f>+HR!M34</f>
        <v>36.607357839173062</v>
      </c>
      <c r="O324" s="22">
        <f t="shared" si="68"/>
        <v>19.441800000000001</v>
      </c>
      <c r="P324" s="28">
        <f t="shared" si="69"/>
        <v>26.058004602923646</v>
      </c>
      <c r="Q324" s="26">
        <f t="shared" si="70"/>
        <v>73.940662051964054</v>
      </c>
      <c r="R324" s="27">
        <f t="shared" si="71"/>
        <v>22.50357438372863</v>
      </c>
    </row>
    <row r="325" spans="1:18" x14ac:dyDescent="0.25">
      <c r="A325" s="293" t="s">
        <v>48</v>
      </c>
      <c r="B325" s="292"/>
      <c r="C325" s="9"/>
      <c r="D325" s="16"/>
      <c r="E325" s="13"/>
      <c r="F325" s="13"/>
      <c r="G325" s="14"/>
      <c r="H325" s="19"/>
      <c r="I325" s="10"/>
      <c r="J325" s="16"/>
      <c r="K325" s="14"/>
      <c r="L325" s="21">
        <f>+Temp!A24</f>
        <v>0.58333333333333337</v>
      </c>
      <c r="M325" s="22">
        <f>+Temp!M24</f>
        <v>23.512475384674268</v>
      </c>
      <c r="N325" s="23">
        <f>+HR!M35</f>
        <v>33.243844411121088</v>
      </c>
      <c r="O325" s="22">
        <f t="shared" si="68"/>
        <v>19.441800000000001</v>
      </c>
      <c r="P325" s="28">
        <f t="shared" si="69"/>
        <v>26.209497247723107</v>
      </c>
      <c r="Q325" s="26">
        <f t="shared" si="70"/>
        <v>68.79732094131721</v>
      </c>
      <c r="R325" s="27">
        <f t="shared" si="71"/>
        <v>20.84853443307448</v>
      </c>
    </row>
    <row r="326" spans="1:18" x14ac:dyDescent="0.25">
      <c r="A326" s="13">
        <v>50</v>
      </c>
      <c r="B326" s="15">
        <f>+Tn!M5</f>
        <v>22.839000000000002</v>
      </c>
      <c r="C326" s="20"/>
      <c r="D326" s="16"/>
      <c r="E326" s="13"/>
      <c r="F326" s="13"/>
      <c r="G326" s="14"/>
      <c r="H326" s="19"/>
      <c r="I326" s="10"/>
      <c r="J326" s="16">
        <f>+J322-J324</f>
        <v>-0.75696000000000008</v>
      </c>
      <c r="K326" s="14">
        <f>+K322-K324</f>
        <v>-0.21303000000000002</v>
      </c>
      <c r="L326" s="21">
        <f>+Temp!A25</f>
        <v>0.625</v>
      </c>
      <c r="M326" s="22">
        <f>+Temp!M25</f>
        <v>23.972813594499421</v>
      </c>
      <c r="N326" s="23">
        <f>+HR!M36</f>
        <v>32.077337434745218</v>
      </c>
      <c r="O326" s="22">
        <f t="shared" si="68"/>
        <v>19.441800000000001</v>
      </c>
      <c r="P326" s="28">
        <f t="shared" si="69"/>
        <v>26.262036721939076</v>
      </c>
      <c r="Q326" s="26">
        <f t="shared" si="70"/>
        <v>67.013548283413726</v>
      </c>
      <c r="R326" s="27">
        <f t="shared" si="71"/>
        <v>20.274546640275037</v>
      </c>
    </row>
    <row r="327" spans="1:18" x14ac:dyDescent="0.25">
      <c r="A327" s="13" t="s">
        <v>52</v>
      </c>
      <c r="B327" s="15">
        <f>+Tn!M7</f>
        <v>3</v>
      </c>
      <c r="C327" s="20"/>
      <c r="D327" s="16"/>
      <c r="E327" s="13"/>
      <c r="F327" s="13"/>
      <c r="G327" s="14"/>
      <c r="H327" s="19"/>
      <c r="I327" s="10"/>
      <c r="J327" s="16">
        <f>+J323-J321</f>
        <v>-12.526199999999999</v>
      </c>
      <c r="K327" s="14">
        <f>+K323-K321</f>
        <v>-13.560200000000002</v>
      </c>
      <c r="L327" s="21">
        <f>+Temp!A26</f>
        <v>0.66666666666666663</v>
      </c>
      <c r="M327" s="22">
        <f>+Temp!M26</f>
        <v>23.696291334693942</v>
      </c>
      <c r="N327" s="23">
        <f>+HR!M37</f>
        <v>32.77805081960377</v>
      </c>
      <c r="O327" s="22">
        <f t="shared" si="68"/>
        <v>19.441800000000001</v>
      </c>
      <c r="P327" s="28">
        <f t="shared" si="69"/>
        <v>26.230476591085047</v>
      </c>
      <c r="Q327" s="26">
        <f t="shared" si="70"/>
        <v>68.085049270763975</v>
      </c>
      <c r="R327" s="27">
        <f t="shared" si="71"/>
        <v>20.619337487912791</v>
      </c>
    </row>
    <row r="328" spans="1:18" x14ac:dyDescent="0.25">
      <c r="A328" s="13"/>
      <c r="B328" s="14"/>
      <c r="C328" s="13"/>
      <c r="D328" s="16"/>
      <c r="E328" s="13"/>
      <c r="F328" s="13"/>
      <c r="G328" s="14"/>
      <c r="H328" s="19"/>
      <c r="I328" s="10"/>
      <c r="J328" s="16">
        <f>+J327/J326</f>
        <v>16.548034242232085</v>
      </c>
      <c r="K328" s="14">
        <f>+K327/K326</f>
        <v>63.653945453691968</v>
      </c>
      <c r="L328" s="21">
        <f>+Temp!A27</f>
        <v>0.70833333333333337</v>
      </c>
      <c r="M328" s="22">
        <f>+Temp!M27</f>
        <v>22.869207423087577</v>
      </c>
      <c r="N328" s="23">
        <f>+HR!M38</f>
        <v>34.873899333468216</v>
      </c>
      <c r="O328" s="22">
        <f t="shared" si="68"/>
        <v>19.441800000000001</v>
      </c>
      <c r="P328" s="28">
        <f t="shared" si="69"/>
        <v>26.136079574020592</v>
      </c>
      <c r="Q328" s="26">
        <f t="shared" si="70"/>
        <v>71.289931324495001</v>
      </c>
      <c r="R328" s="27">
        <f t="shared" si="71"/>
        <v>21.650614185676339</v>
      </c>
    </row>
    <row r="329" spans="1:18" x14ac:dyDescent="0.25">
      <c r="A329" s="13"/>
      <c r="B329" s="15"/>
      <c r="C329" s="20"/>
      <c r="D329" s="16"/>
      <c r="E329" s="13"/>
      <c r="F329" s="13"/>
      <c r="G329" s="14"/>
      <c r="H329" s="16"/>
      <c r="I329" s="14"/>
      <c r="J329" s="16"/>
      <c r="K329" s="14"/>
      <c r="L329" s="21">
        <f>+Temp!A28</f>
        <v>0.75</v>
      </c>
      <c r="M329" s="22">
        <f>+Temp!M28</f>
        <v>21.683941851810154</v>
      </c>
      <c r="N329" s="23">
        <f>+HR!M39</f>
        <v>37.87738791695643</v>
      </c>
      <c r="O329" s="22">
        <f t="shared" si="68"/>
        <v>19.441800000000001</v>
      </c>
      <c r="P329" s="28">
        <f t="shared" si="69"/>
        <v>26.000802448220284</v>
      </c>
      <c r="Q329" s="26">
        <f t="shared" si="70"/>
        <v>75.882737816057073</v>
      </c>
      <c r="R329" s="27">
        <f t="shared" si="71"/>
        <v>23.128501431658162</v>
      </c>
    </row>
    <row r="330" spans="1:18" x14ac:dyDescent="0.25">
      <c r="A330" s="13"/>
      <c r="B330" s="15"/>
      <c r="C330" s="20"/>
      <c r="D330" s="16"/>
      <c r="E330" s="13"/>
      <c r="F330" s="13"/>
      <c r="G330" s="14"/>
      <c r="H330" s="16"/>
      <c r="I330" s="14"/>
      <c r="J330" s="16"/>
      <c r="K330" s="14"/>
      <c r="L330" s="21">
        <f>+Temp!A29</f>
        <v>0.79166666666666663</v>
      </c>
      <c r="M330" s="22">
        <f>+Temp!M29</f>
        <v>20.310025840547979</v>
      </c>
      <c r="N330" s="23">
        <f>+HR!M40</f>
        <v>41.358920794056878</v>
      </c>
      <c r="O330" s="22">
        <f t="shared" si="68"/>
        <v>19.441800000000001</v>
      </c>
      <c r="P330" s="28">
        <f t="shared" si="69"/>
        <v>25.843994207435678</v>
      </c>
      <c r="Q330" s="26">
        <f t="shared" si="70"/>
        <v>81.20654922870547</v>
      </c>
      <c r="R330" s="27">
        <f t="shared" si="71"/>
        <v>24.841613665152146</v>
      </c>
    </row>
    <row r="331" spans="1:18" x14ac:dyDescent="0.25">
      <c r="A331" s="13"/>
      <c r="B331" s="15"/>
      <c r="C331" s="20"/>
      <c r="D331" s="16"/>
      <c r="E331" s="13"/>
      <c r="F331" s="13"/>
      <c r="G331" s="14"/>
      <c r="H331" s="16"/>
      <c r="I331" s="14"/>
      <c r="J331" s="16"/>
      <c r="K331" s="14"/>
      <c r="L331" s="21">
        <f>+Temp!A30</f>
        <v>0.83333333333333337</v>
      </c>
      <c r="M331" s="22">
        <f>+Temp!M30</f>
        <v>18.881385538991196</v>
      </c>
      <c r="N331" s="23">
        <f>+HR!M41</f>
        <v>44.97912620592286</v>
      </c>
      <c r="O331" s="22">
        <f t="shared" si="68"/>
        <v>19.441800000000001</v>
      </c>
      <c r="P331" s="28">
        <f t="shared" si="69"/>
        <v>25.680940155685235</v>
      </c>
      <c r="Q331" s="26">
        <f t="shared" si="70"/>
        <v>86.742412760137967</v>
      </c>
      <c r="R331" s="27">
        <f t="shared" si="71"/>
        <v>26.622960674574568</v>
      </c>
    </row>
    <row r="332" spans="1:18" x14ac:dyDescent="0.25">
      <c r="A332" s="13"/>
      <c r="B332" s="14"/>
      <c r="C332" s="13"/>
      <c r="D332" s="16"/>
      <c r="E332" s="13"/>
      <c r="F332" s="13"/>
      <c r="G332" s="14"/>
      <c r="H332" s="16"/>
      <c r="I332" s="14"/>
      <c r="J332" s="16"/>
      <c r="K332" s="14"/>
      <c r="L332" s="21">
        <f>+Temp!A31</f>
        <v>0.875</v>
      </c>
      <c r="M332" s="22">
        <f>+Temp!M31</f>
        <v>17.494172273058773</v>
      </c>
      <c r="N332" s="23">
        <f>+HR!M42</f>
        <v>48.494354613849183</v>
      </c>
      <c r="O332" s="22">
        <f t="shared" si="68"/>
        <v>19.441800000000001</v>
      </c>
      <c r="P332" s="28">
        <f t="shared" si="69"/>
        <v>25.522614268192235</v>
      </c>
      <c r="Q332" s="26">
        <f t="shared" si="70"/>
        <v>92.117749939711047</v>
      </c>
      <c r="R332" s="27">
        <f t="shared" si="71"/>
        <v>28.352653026111255</v>
      </c>
    </row>
    <row r="333" spans="1:18" x14ac:dyDescent="0.25">
      <c r="B333" s="14"/>
      <c r="C333" s="25"/>
      <c r="G333" s="14"/>
      <c r="I333" s="14"/>
      <c r="K333" s="14"/>
      <c r="L333" s="21">
        <f>+Temp!A32</f>
        <v>0.91666666666666663</v>
      </c>
      <c r="M333" s="22">
        <f>+Temp!M32</f>
        <v>16.210531557063945</v>
      </c>
      <c r="N333" s="23">
        <f>+HR!M43</f>
        <v>51.747127940957583</v>
      </c>
      <c r="O333" s="22">
        <f t="shared" si="68"/>
        <v>19.441800000000001</v>
      </c>
      <c r="P333" s="28">
        <f t="shared" si="69"/>
        <v>25.376109357539271</v>
      </c>
      <c r="Q333" s="26">
        <f t="shared" si="70"/>
        <v>97.091752016646865</v>
      </c>
      <c r="R333" s="27">
        <f t="shared" si="71"/>
        <v>29.953202547301814</v>
      </c>
    </row>
    <row r="334" spans="1:18" x14ac:dyDescent="0.25">
      <c r="B334" s="14"/>
      <c r="C334" s="25"/>
      <c r="G334" s="14"/>
      <c r="I334" s="14"/>
      <c r="K334" s="14"/>
      <c r="L334" s="21">
        <f>+Temp!A33</f>
        <v>0.95833333333333337</v>
      </c>
      <c r="M334" s="22">
        <f>+Temp!M33</f>
        <v>15.065003440515207</v>
      </c>
      <c r="N334" s="23">
        <f>+HR!M44</f>
        <v>54.649920955025124</v>
      </c>
      <c r="O334" s="22">
        <f t="shared" si="68"/>
        <v>19.441800000000001</v>
      </c>
      <c r="P334" s="28">
        <f t="shared" si="69"/>
        <v>25.24536756018567</v>
      </c>
      <c r="Q334" s="26">
        <f t="shared" si="70"/>
        <v>101.53057914319679</v>
      </c>
      <c r="R334" s="27">
        <f t="shared" si="71"/>
        <v>31.381541844744127</v>
      </c>
    </row>
  </sheetData>
  <sheetProtection password="E6CB" sheet="1" objects="1" scenarios="1"/>
  <mergeCells count="156">
    <mergeCell ref="H10:I10"/>
    <mergeCell ref="H13:I13"/>
    <mergeCell ref="H2:I2"/>
    <mergeCell ref="L1:N1"/>
    <mergeCell ref="L29:N29"/>
    <mergeCell ref="A4:B4"/>
    <mergeCell ref="A7:B7"/>
    <mergeCell ref="A10:B10"/>
    <mergeCell ref="A13:B13"/>
    <mergeCell ref="A17:B17"/>
    <mergeCell ref="H4:I4"/>
    <mergeCell ref="H7:I7"/>
    <mergeCell ref="H30:I30"/>
    <mergeCell ref="A32:B32"/>
    <mergeCell ref="H32:I32"/>
    <mergeCell ref="A35:B35"/>
    <mergeCell ref="H35:I35"/>
    <mergeCell ref="A38:B38"/>
    <mergeCell ref="H38:I38"/>
    <mergeCell ref="A41:B41"/>
    <mergeCell ref="H41:I41"/>
    <mergeCell ref="A45:B45"/>
    <mergeCell ref="L57:N57"/>
    <mergeCell ref="H58:I58"/>
    <mergeCell ref="A60:B60"/>
    <mergeCell ref="H60:I60"/>
    <mergeCell ref="A63:B63"/>
    <mergeCell ref="H63:I63"/>
    <mergeCell ref="A66:B66"/>
    <mergeCell ref="H66:I66"/>
    <mergeCell ref="A69:B69"/>
    <mergeCell ref="H69:I69"/>
    <mergeCell ref="A73:B73"/>
    <mergeCell ref="L85:N85"/>
    <mergeCell ref="H86:I86"/>
    <mergeCell ref="A88:B88"/>
    <mergeCell ref="H88:I88"/>
    <mergeCell ref="A91:B91"/>
    <mergeCell ref="H91:I91"/>
    <mergeCell ref="A94:B94"/>
    <mergeCell ref="H94:I94"/>
    <mergeCell ref="A97:B97"/>
    <mergeCell ref="H97:I97"/>
    <mergeCell ref="A101:B101"/>
    <mergeCell ref="L113:N113"/>
    <mergeCell ref="H114:I114"/>
    <mergeCell ref="A116:B116"/>
    <mergeCell ref="H116:I116"/>
    <mergeCell ref="A119:B119"/>
    <mergeCell ref="H119:I119"/>
    <mergeCell ref="A122:B122"/>
    <mergeCell ref="H122:I122"/>
    <mergeCell ref="A125:B125"/>
    <mergeCell ref="H125:I125"/>
    <mergeCell ref="A129:B129"/>
    <mergeCell ref="L141:N141"/>
    <mergeCell ref="H142:I142"/>
    <mergeCell ref="A144:B144"/>
    <mergeCell ref="H144:I144"/>
    <mergeCell ref="A147:B147"/>
    <mergeCell ref="H147:I147"/>
    <mergeCell ref="A150:B150"/>
    <mergeCell ref="H150:I150"/>
    <mergeCell ref="A153:B153"/>
    <mergeCell ref="H153:I153"/>
    <mergeCell ref="A157:B157"/>
    <mergeCell ref="L169:N169"/>
    <mergeCell ref="H170:I170"/>
    <mergeCell ref="A172:B172"/>
    <mergeCell ref="H172:I172"/>
    <mergeCell ref="A175:B175"/>
    <mergeCell ref="H175:I175"/>
    <mergeCell ref="A178:B178"/>
    <mergeCell ref="H178:I178"/>
    <mergeCell ref="A181:B181"/>
    <mergeCell ref="H181:I181"/>
    <mergeCell ref="A185:B185"/>
    <mergeCell ref="L197:N197"/>
    <mergeCell ref="H198:I198"/>
    <mergeCell ref="A200:B200"/>
    <mergeCell ref="H200:I200"/>
    <mergeCell ref="A203:B203"/>
    <mergeCell ref="H203:I203"/>
    <mergeCell ref="A206:B206"/>
    <mergeCell ref="H206:I206"/>
    <mergeCell ref="A209:B209"/>
    <mergeCell ref="H209:I209"/>
    <mergeCell ref="A213:B213"/>
    <mergeCell ref="L225:N225"/>
    <mergeCell ref="H226:I226"/>
    <mergeCell ref="A228:B228"/>
    <mergeCell ref="H228:I228"/>
    <mergeCell ref="H259:I259"/>
    <mergeCell ref="A231:B231"/>
    <mergeCell ref="H231:I231"/>
    <mergeCell ref="A234:B234"/>
    <mergeCell ref="H234:I234"/>
    <mergeCell ref="A237:B237"/>
    <mergeCell ref="H237:I237"/>
    <mergeCell ref="L309:N309"/>
    <mergeCell ref="H310:I310"/>
    <mergeCell ref="A241:B241"/>
    <mergeCell ref="L253:N253"/>
    <mergeCell ref="H254:I254"/>
    <mergeCell ref="A256:B256"/>
    <mergeCell ref="H256:I256"/>
    <mergeCell ref="A259:B259"/>
    <mergeCell ref="L281:N281"/>
    <mergeCell ref="A325:B325"/>
    <mergeCell ref="A315:B315"/>
    <mergeCell ref="H315:I315"/>
    <mergeCell ref="A318:B318"/>
    <mergeCell ref="H318:I318"/>
    <mergeCell ref="A321:B321"/>
    <mergeCell ref="H321:I321"/>
    <mergeCell ref="A262:B262"/>
    <mergeCell ref="H262:I262"/>
    <mergeCell ref="A265:B265"/>
    <mergeCell ref="H265:I265"/>
    <mergeCell ref="A269:B269"/>
    <mergeCell ref="A312:B312"/>
    <mergeCell ref="H312:I312"/>
    <mergeCell ref="H282:I282"/>
    <mergeCell ref="A284:B284"/>
    <mergeCell ref="H284:I284"/>
    <mergeCell ref="A287:B287"/>
    <mergeCell ref="H287:I287"/>
    <mergeCell ref="A290:B290"/>
    <mergeCell ref="H290:I290"/>
    <mergeCell ref="A293:B293"/>
    <mergeCell ref="H293:I293"/>
    <mergeCell ref="A297:B297"/>
    <mergeCell ref="O113:P113"/>
    <mergeCell ref="Q225:R225"/>
    <mergeCell ref="O253:P253"/>
    <mergeCell ref="Q253:R253"/>
    <mergeCell ref="Q1:R1"/>
    <mergeCell ref="O29:P29"/>
    <mergeCell ref="Q29:R29"/>
    <mergeCell ref="O57:P57"/>
    <mergeCell ref="Q57:R57"/>
    <mergeCell ref="O85:P85"/>
    <mergeCell ref="Q85:R85"/>
    <mergeCell ref="O1:P1"/>
    <mergeCell ref="Q113:R113"/>
    <mergeCell ref="O281:P281"/>
    <mergeCell ref="Q281:R281"/>
    <mergeCell ref="O309:P309"/>
    <mergeCell ref="Q309:R309"/>
    <mergeCell ref="O225:P225"/>
    <mergeCell ref="O141:P141"/>
    <mergeCell ref="Q141:R141"/>
    <mergeCell ref="O169:P169"/>
    <mergeCell ref="Q169:R169"/>
    <mergeCell ref="O197:P197"/>
    <mergeCell ref="Q197:R197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336"/>
  <sheetViews>
    <sheetView showGridLines="0" showRowColHeaders="0" zoomScale="125" zoomScaleNormal="125" zoomScalePageLayoutView="125" workbookViewId="0">
      <selection activeCell="H41" sqref="H41"/>
    </sheetView>
  </sheetViews>
  <sheetFormatPr baseColWidth="10" defaultRowHeight="15" x14ac:dyDescent="0.25"/>
  <cols>
    <col min="1" max="1" width="3" customWidth="1"/>
    <col min="2" max="14" width="10.7109375" customWidth="1"/>
  </cols>
  <sheetData>
    <row r="2" spans="2:14" x14ac:dyDescent="0.25">
      <c r="B2" s="297" t="s">
        <v>74</v>
      </c>
      <c r="C2" s="297"/>
      <c r="D2" s="297"/>
      <c r="E2" s="297"/>
      <c r="F2" s="297"/>
      <c r="G2" s="297"/>
      <c r="H2" s="297"/>
      <c r="I2" s="297"/>
      <c r="J2" s="297"/>
      <c r="K2" s="297"/>
      <c r="L2" s="297"/>
      <c r="M2" s="297"/>
      <c r="N2" s="297"/>
    </row>
    <row r="3" spans="2:14" x14ac:dyDescent="0.25">
      <c r="B3" s="298" t="s">
        <v>1</v>
      </c>
      <c r="C3" s="299"/>
      <c r="D3" s="213" t="str">
        <f>'Datos Entrada'!D8</f>
        <v>Hermosillo, Son.</v>
      </c>
      <c r="E3" s="214"/>
      <c r="F3" s="298" t="s">
        <v>170</v>
      </c>
      <c r="G3" s="299"/>
      <c r="H3" s="215">
        <f>'Datos Entrada'!H8</f>
        <v>29.08</v>
      </c>
      <c r="I3" s="298" t="s">
        <v>202</v>
      </c>
      <c r="J3" s="299"/>
      <c r="K3" s="215">
        <f>'Datos Entrada'!K8</f>
        <v>-110.93</v>
      </c>
      <c r="L3" s="298" t="s">
        <v>201</v>
      </c>
      <c r="M3" s="299"/>
      <c r="N3" s="215">
        <f>'Datos Entrada'!N8</f>
        <v>211</v>
      </c>
    </row>
    <row r="4" spans="2:14" ht="15.75" thickBot="1" x14ac:dyDescent="0.3">
      <c r="B4" s="241" t="s">
        <v>195</v>
      </c>
      <c r="C4" s="229" t="s">
        <v>5</v>
      </c>
      <c r="D4" s="229" t="s">
        <v>6</v>
      </c>
      <c r="E4" s="229" t="s">
        <v>7</v>
      </c>
      <c r="F4" s="229" t="s">
        <v>8</v>
      </c>
      <c r="G4" s="229" t="s">
        <v>9</v>
      </c>
      <c r="H4" s="229" t="s">
        <v>10</v>
      </c>
      <c r="I4" s="229" t="s">
        <v>11</v>
      </c>
      <c r="J4" s="229" t="s">
        <v>12</v>
      </c>
      <c r="K4" s="229" t="s">
        <v>13</v>
      </c>
      <c r="L4" s="229" t="s">
        <v>14</v>
      </c>
      <c r="M4" s="229" t="s">
        <v>15</v>
      </c>
      <c r="N4" s="229" t="s">
        <v>16</v>
      </c>
    </row>
    <row r="5" spans="2:14" x14ac:dyDescent="0.25">
      <c r="B5" s="228">
        <v>4.1666666666666699E-2</v>
      </c>
      <c r="C5" s="230">
        <f>+IF('Olgyay datos'!M4&lt;'Olgyay datos'!O4,-1,IF('Olgyay datos'!M4&gt;'Olgyay datos'!P4,1,IF('Olgyay datos'!N4&lt;'Olgyay datos'!R4,1,IF('Olgyay datos'!N4&gt;'Olgyay datos'!Q4,1,0))))</f>
        <v>-1</v>
      </c>
      <c r="D5" s="231">
        <f>+IF('Olgyay datos'!M32&lt;'Olgyay datos'!O32,-1,IF('Olgyay datos'!M32&gt;'Olgyay datos'!P32,1,IF('Olgyay datos'!N32&lt;'Olgyay datos'!R32,1,IF('Olgyay datos'!N32&gt;'Olgyay datos'!Q32,1,0))))</f>
        <v>-1</v>
      </c>
      <c r="E5" s="231">
        <f>+IF('Olgyay datos'!M60&lt;'Olgyay datos'!O60,-1,IF('Olgyay datos'!M60&gt;'Olgyay datos'!P60,1,IF('Olgyay datos'!N60&lt;'Olgyay datos'!R60,1,IF('Olgyay datos'!N60&gt;'Olgyay datos'!Q60,1,0))))</f>
        <v>-1</v>
      </c>
      <c r="F5" s="231">
        <f>+IF('Olgyay datos'!M88&lt;'Olgyay datos'!O88,-1,IF('Olgyay datos'!M88&gt;'Olgyay datos'!P88,1,IF('Olgyay datos'!N88&lt;'Olgyay datos'!R88,1,IF('Olgyay datos'!N88&gt;'Olgyay datos'!Q88,1,0))))</f>
        <v>-1</v>
      </c>
      <c r="G5" s="231">
        <f>+IF('Olgyay datos'!M116&lt;'Olgyay datos'!O116,-1,IF('Olgyay datos'!M116&gt;'Olgyay datos'!P116,1,IF('Olgyay datos'!N116&lt;'Olgyay datos'!R116,1,IF('Olgyay datos'!N116&gt;'Olgyay datos'!Q116,1,0))))</f>
        <v>-1</v>
      </c>
      <c r="H5" s="231">
        <f>+IF('Olgyay datos'!M144&lt;'Olgyay datos'!O144,-1,IF('Olgyay datos'!M144&gt;'Olgyay datos'!P144,1,IF('Olgyay datos'!N144&lt;'Olgyay datos'!R144,1,IF('Olgyay datos'!N144&gt;'Olgyay datos'!Q144,1,0))))</f>
        <v>0</v>
      </c>
      <c r="I5" s="231">
        <f>+IF('Olgyay datos'!M172&lt;'Olgyay datos'!O172,-1,IF('Olgyay datos'!M172&gt;'Olgyay datos'!P172,1,IF('Olgyay datos'!N172&lt;'Olgyay datos'!R172,1,IF('Olgyay datos'!N172&gt;'Olgyay datos'!Q172,1,0))))</f>
        <v>0</v>
      </c>
      <c r="J5" s="231">
        <f>+IF('Olgyay datos'!M200&lt;'Olgyay datos'!O200,-1,IF('Olgyay datos'!M200&gt;'Olgyay datos'!P200,1,IF('Olgyay datos'!N200&lt;'Olgyay datos'!R200,1,IF('Olgyay datos'!N200&gt;'Olgyay datos'!Q200,1,0))))</f>
        <v>0</v>
      </c>
      <c r="K5" s="231">
        <f>+IF('Olgyay datos'!M228&lt;'Olgyay datos'!O228,-1,IF('Olgyay datos'!M228&gt;'Olgyay datos'!P228,1,IF('Olgyay datos'!N228&lt;'Olgyay datos'!R228,1,IF('Olgyay datos'!N228&gt;'Olgyay datos'!Q228,1,0))))</f>
        <v>0</v>
      </c>
      <c r="L5" s="231">
        <f>+IF('Olgyay datos'!M256&lt;'Olgyay datos'!O256,-1,IF('Olgyay datos'!M256&gt;'Olgyay datos'!P256,1,IF('Olgyay datos'!N256&lt;'Olgyay datos'!R256,1,IF('Olgyay datos'!N256&gt;'Olgyay datos'!Q256,1,0))))</f>
        <v>-1</v>
      </c>
      <c r="M5" s="231">
        <f>+IF('Olgyay datos'!M284&lt;'Olgyay datos'!O284,-1,IF('Olgyay datos'!M284&gt;'Olgyay datos'!P284,1,IF('Olgyay datos'!N284&lt;'Olgyay datos'!R284,1,IF('Olgyay datos'!N284&gt;'Olgyay datos'!Q284,1,0))))</f>
        <v>-1</v>
      </c>
      <c r="N5" s="232">
        <f>+IF('Olgyay datos'!M312&lt;'Olgyay datos'!O312,-1,IF('Olgyay datos'!M312&gt;'Olgyay datos'!P312,1,IF('Olgyay datos'!N312&lt;'Olgyay datos'!R312,1,IF('Olgyay datos'!N312&gt;'Olgyay datos'!Q312,1,0))))</f>
        <v>-1</v>
      </c>
    </row>
    <row r="6" spans="2:14" x14ac:dyDescent="0.25">
      <c r="B6" s="228">
        <v>8.3333333333333301E-2</v>
      </c>
      <c r="C6" s="233">
        <f>+IF('Olgyay datos'!M5&lt;'Olgyay datos'!O5,-1,IF('Olgyay datos'!M5&gt;'Olgyay datos'!P5,1,IF('Olgyay datos'!N5&lt;'Olgyay datos'!R5,1,IF('Olgyay datos'!N5&gt;'Olgyay datos'!Q5,1,0))))</f>
        <v>-1</v>
      </c>
      <c r="D6" s="209">
        <f>+IF('Olgyay datos'!M33&lt;'Olgyay datos'!O33,-1,IF('Olgyay datos'!M33&gt;'Olgyay datos'!P33,1,IF('Olgyay datos'!N33&lt;'Olgyay datos'!R33,1,IF('Olgyay datos'!N33&gt;'Olgyay datos'!Q33,1,0))))</f>
        <v>-1</v>
      </c>
      <c r="E6" s="209">
        <f>+IF('Olgyay datos'!M61&lt;'Olgyay datos'!O61,-1,IF('Olgyay datos'!M61&gt;'Olgyay datos'!P61,1,IF('Olgyay datos'!N61&lt;'Olgyay datos'!R61,1,IF('Olgyay datos'!N61&gt;'Olgyay datos'!Q61,1,0))))</f>
        <v>-1</v>
      </c>
      <c r="F6" s="209">
        <f>+IF('Olgyay datos'!M89&lt;'Olgyay datos'!O89,-1,IF('Olgyay datos'!M89&gt;'Olgyay datos'!P89,1,IF('Olgyay datos'!N89&lt;'Olgyay datos'!R89,1,IF('Olgyay datos'!N89&gt;'Olgyay datos'!Q89,1,0))))</f>
        <v>-1</v>
      </c>
      <c r="G6" s="209">
        <f>+IF('Olgyay datos'!M117&lt;'Olgyay datos'!O117,-1,IF('Olgyay datos'!M117&gt;'Olgyay datos'!P117,1,IF('Olgyay datos'!N117&lt;'Olgyay datos'!R117,1,IF('Olgyay datos'!N117&gt;'Olgyay datos'!Q117,1,0))))</f>
        <v>-1</v>
      </c>
      <c r="H6" s="209">
        <f>+IF('Olgyay datos'!M145&lt;'Olgyay datos'!O145,-1,IF('Olgyay datos'!M145&gt;'Olgyay datos'!P145,1,IF('Olgyay datos'!N145&lt;'Olgyay datos'!R145,1,IF('Olgyay datos'!N145&gt;'Olgyay datos'!Q145,1,0))))</f>
        <v>0</v>
      </c>
      <c r="I6" s="209">
        <f>+IF('Olgyay datos'!M173&lt;'Olgyay datos'!O173,-1,IF('Olgyay datos'!M173&gt;'Olgyay datos'!P173,1,IF('Olgyay datos'!N173&lt;'Olgyay datos'!R173,1,IF('Olgyay datos'!N173&gt;'Olgyay datos'!Q173,1,0))))</f>
        <v>0</v>
      </c>
      <c r="J6" s="209">
        <f>+IF('Olgyay datos'!M201&lt;'Olgyay datos'!O201,-1,IF('Olgyay datos'!M201&gt;'Olgyay datos'!P201,1,IF('Olgyay datos'!N201&lt;'Olgyay datos'!R201,1,IF('Olgyay datos'!N201&gt;'Olgyay datos'!Q201,1,0))))</f>
        <v>0</v>
      </c>
      <c r="K6" s="209">
        <f>+IF('Olgyay datos'!M229&lt;'Olgyay datos'!O229,-1,IF('Olgyay datos'!M229&gt;'Olgyay datos'!P229,1,IF('Olgyay datos'!N229&lt;'Olgyay datos'!R229,1,IF('Olgyay datos'!N229&gt;'Olgyay datos'!Q229,1,0))))</f>
        <v>0</v>
      </c>
      <c r="L6" s="209">
        <f>+IF('Olgyay datos'!M257&lt;'Olgyay datos'!O257,-1,IF('Olgyay datos'!M257&gt;'Olgyay datos'!P257,1,IF('Olgyay datos'!N257&lt;'Olgyay datos'!R257,1,IF('Olgyay datos'!N257&gt;'Olgyay datos'!Q257,1,0))))</f>
        <v>-1</v>
      </c>
      <c r="M6" s="209">
        <f>+IF('Olgyay datos'!M285&lt;'Olgyay datos'!O285,-1,IF('Olgyay datos'!M285&gt;'Olgyay datos'!P285,1,IF('Olgyay datos'!N285&lt;'Olgyay datos'!R285,1,IF('Olgyay datos'!N285&gt;'Olgyay datos'!Q285,1,0))))</f>
        <v>-1</v>
      </c>
      <c r="N6" s="234">
        <f>+IF('Olgyay datos'!M313&lt;'Olgyay datos'!O313,-1,IF('Olgyay datos'!M313&gt;'Olgyay datos'!P313,1,IF('Olgyay datos'!N313&lt;'Olgyay datos'!R313,1,IF('Olgyay datos'!N313&gt;'Olgyay datos'!Q313,1,0))))</f>
        <v>-1</v>
      </c>
    </row>
    <row r="7" spans="2:14" x14ac:dyDescent="0.25">
      <c r="B7" s="228">
        <v>0.125</v>
      </c>
      <c r="C7" s="233">
        <f>+IF('Olgyay datos'!M6&lt;'Olgyay datos'!O6,-1,IF('Olgyay datos'!M6&gt;'Olgyay datos'!P6,1,IF('Olgyay datos'!N6&lt;'Olgyay datos'!R6,1,IF('Olgyay datos'!N6&gt;'Olgyay datos'!Q6,1,0))))</f>
        <v>-1</v>
      </c>
      <c r="D7" s="209">
        <f>+IF('Olgyay datos'!M34&lt;'Olgyay datos'!O34,-1,IF('Olgyay datos'!M34&gt;'Olgyay datos'!P34,1,IF('Olgyay datos'!N34&lt;'Olgyay datos'!R34,1,IF('Olgyay datos'!N34&gt;'Olgyay datos'!Q34,1,0))))</f>
        <v>-1</v>
      </c>
      <c r="E7" s="209">
        <f>+IF('Olgyay datos'!M62&lt;'Olgyay datos'!O62,-1,IF('Olgyay datos'!M62&gt;'Olgyay datos'!P62,1,IF('Olgyay datos'!N62&lt;'Olgyay datos'!R62,1,IF('Olgyay datos'!N62&gt;'Olgyay datos'!Q62,1,0))))</f>
        <v>-1</v>
      </c>
      <c r="F7" s="209">
        <f>+IF('Olgyay datos'!M90&lt;'Olgyay datos'!O90,-1,IF('Olgyay datos'!M90&gt;'Olgyay datos'!P90,1,IF('Olgyay datos'!N90&lt;'Olgyay datos'!R90,1,IF('Olgyay datos'!N90&gt;'Olgyay datos'!Q90,1,0))))</f>
        <v>-1</v>
      </c>
      <c r="G7" s="209">
        <f>+IF('Olgyay datos'!M118&lt;'Olgyay datos'!O118,-1,IF('Olgyay datos'!M118&gt;'Olgyay datos'!P118,1,IF('Olgyay datos'!N118&lt;'Olgyay datos'!R118,1,IF('Olgyay datos'!N118&gt;'Olgyay datos'!Q118,1,0))))</f>
        <v>-1</v>
      </c>
      <c r="H7" s="209">
        <f>+IF('Olgyay datos'!M146&lt;'Olgyay datos'!O146,-1,IF('Olgyay datos'!M146&gt;'Olgyay datos'!P146,1,IF('Olgyay datos'!N146&lt;'Olgyay datos'!R146,1,IF('Olgyay datos'!N146&gt;'Olgyay datos'!Q146,1,0))))</f>
        <v>0</v>
      </c>
      <c r="I7" s="209">
        <f>+IF('Olgyay datos'!M174&lt;'Olgyay datos'!O174,-1,IF('Olgyay datos'!M174&gt;'Olgyay datos'!P174,1,IF('Olgyay datos'!N174&lt;'Olgyay datos'!R174,1,IF('Olgyay datos'!N174&gt;'Olgyay datos'!Q174,1,0))))</f>
        <v>0</v>
      </c>
      <c r="J7" s="209">
        <f>+IF('Olgyay datos'!M202&lt;'Olgyay datos'!O202,-1,IF('Olgyay datos'!M202&gt;'Olgyay datos'!P202,1,IF('Olgyay datos'!N202&lt;'Olgyay datos'!R202,1,IF('Olgyay datos'!N202&gt;'Olgyay datos'!Q202,1,0))))</f>
        <v>0</v>
      </c>
      <c r="K7" s="209">
        <f>+IF('Olgyay datos'!M230&lt;'Olgyay datos'!O230,-1,IF('Olgyay datos'!M230&gt;'Olgyay datos'!P230,1,IF('Olgyay datos'!N230&lt;'Olgyay datos'!R230,1,IF('Olgyay datos'!N230&gt;'Olgyay datos'!Q230,1,0))))</f>
        <v>0</v>
      </c>
      <c r="L7" s="209">
        <f>+IF('Olgyay datos'!M258&lt;'Olgyay datos'!O258,-1,IF('Olgyay datos'!M258&gt;'Olgyay datos'!P258,1,IF('Olgyay datos'!N258&lt;'Olgyay datos'!R258,1,IF('Olgyay datos'!N258&gt;'Olgyay datos'!Q258,1,0))))</f>
        <v>-1</v>
      </c>
      <c r="M7" s="209">
        <f>+IF('Olgyay datos'!M286&lt;'Olgyay datos'!O286,-1,IF('Olgyay datos'!M286&gt;'Olgyay datos'!P286,1,IF('Olgyay datos'!N286&lt;'Olgyay datos'!R286,1,IF('Olgyay datos'!N286&gt;'Olgyay datos'!Q286,1,0))))</f>
        <v>-1</v>
      </c>
      <c r="N7" s="234">
        <f>+IF('Olgyay datos'!M314&lt;'Olgyay datos'!O314,-1,IF('Olgyay datos'!M314&gt;'Olgyay datos'!P314,1,IF('Olgyay datos'!N314&lt;'Olgyay datos'!R314,1,IF('Olgyay datos'!N314&gt;'Olgyay datos'!Q314,1,0))))</f>
        <v>-1</v>
      </c>
    </row>
    <row r="8" spans="2:14" x14ac:dyDescent="0.25">
      <c r="B8" s="228">
        <v>0.16666666666666699</v>
      </c>
      <c r="C8" s="233">
        <f>+IF('Olgyay datos'!M7&lt;'Olgyay datos'!O7,-1,IF('Olgyay datos'!M7&gt;'Olgyay datos'!P7,1,IF('Olgyay datos'!N7&lt;'Olgyay datos'!R7,1,IF('Olgyay datos'!N7&gt;'Olgyay datos'!Q7,1,0))))</f>
        <v>-1</v>
      </c>
      <c r="D8" s="209">
        <f>+IF('Olgyay datos'!M35&lt;'Olgyay datos'!O35,-1,IF('Olgyay datos'!M35&gt;'Olgyay datos'!P35,1,IF('Olgyay datos'!N35&lt;'Olgyay datos'!R35,1,IF('Olgyay datos'!N35&gt;'Olgyay datos'!Q35,1,0))))</f>
        <v>-1</v>
      </c>
      <c r="E8" s="209">
        <f>+IF('Olgyay datos'!M63&lt;'Olgyay datos'!O63,-1,IF('Olgyay datos'!M63&gt;'Olgyay datos'!P63,1,IF('Olgyay datos'!N63&lt;'Olgyay datos'!R63,1,IF('Olgyay datos'!N63&gt;'Olgyay datos'!Q63,1,0))))</f>
        <v>-1</v>
      </c>
      <c r="F8" s="209">
        <f>+IF('Olgyay datos'!M91&lt;'Olgyay datos'!O91,-1,IF('Olgyay datos'!M91&gt;'Olgyay datos'!P91,1,IF('Olgyay datos'!N91&lt;'Olgyay datos'!R91,1,IF('Olgyay datos'!N91&gt;'Olgyay datos'!Q91,1,0))))</f>
        <v>-1</v>
      </c>
      <c r="G8" s="209">
        <f>+IF('Olgyay datos'!M119&lt;'Olgyay datos'!O119,-1,IF('Olgyay datos'!M119&gt;'Olgyay datos'!P119,1,IF('Olgyay datos'!N119&lt;'Olgyay datos'!R119,1,IF('Olgyay datos'!N119&gt;'Olgyay datos'!Q119,1,0))))</f>
        <v>-1</v>
      </c>
      <c r="H8" s="209">
        <f>+IF('Olgyay datos'!M147&lt;'Olgyay datos'!O147,-1,IF('Olgyay datos'!M147&gt;'Olgyay datos'!P147,1,IF('Olgyay datos'!N147&lt;'Olgyay datos'!R147,1,IF('Olgyay datos'!N147&gt;'Olgyay datos'!Q147,1,0))))</f>
        <v>0</v>
      </c>
      <c r="I8" s="209">
        <f>+IF('Olgyay datos'!M175&lt;'Olgyay datos'!O175,-1,IF('Olgyay datos'!M175&gt;'Olgyay datos'!P175,1,IF('Olgyay datos'!N175&lt;'Olgyay datos'!R175,1,IF('Olgyay datos'!N175&gt;'Olgyay datos'!Q175,1,0))))</f>
        <v>0</v>
      </c>
      <c r="J8" s="209">
        <f>+IF('Olgyay datos'!M203&lt;'Olgyay datos'!O203,-1,IF('Olgyay datos'!M203&gt;'Olgyay datos'!P203,1,IF('Olgyay datos'!N203&lt;'Olgyay datos'!R203,1,IF('Olgyay datos'!N203&gt;'Olgyay datos'!Q203,1,0))))</f>
        <v>0</v>
      </c>
      <c r="K8" s="209">
        <f>+IF('Olgyay datos'!M231&lt;'Olgyay datos'!O231,-1,IF('Olgyay datos'!M231&gt;'Olgyay datos'!P231,1,IF('Olgyay datos'!N231&lt;'Olgyay datos'!R231,1,IF('Olgyay datos'!N231&gt;'Olgyay datos'!Q231,1,0))))</f>
        <v>0</v>
      </c>
      <c r="L8" s="209">
        <f>+IF('Olgyay datos'!M259&lt;'Olgyay datos'!O259,-1,IF('Olgyay datos'!M259&gt;'Olgyay datos'!P259,1,IF('Olgyay datos'!N259&lt;'Olgyay datos'!R259,1,IF('Olgyay datos'!N259&gt;'Olgyay datos'!Q259,1,0))))</f>
        <v>-1</v>
      </c>
      <c r="M8" s="209">
        <f>+IF('Olgyay datos'!M287&lt;'Olgyay datos'!O287,-1,IF('Olgyay datos'!M287&gt;'Olgyay datos'!P287,1,IF('Olgyay datos'!N287&lt;'Olgyay datos'!R287,1,IF('Olgyay datos'!N287&gt;'Olgyay datos'!Q287,1,0))))</f>
        <v>-1</v>
      </c>
      <c r="N8" s="234">
        <f>+IF('Olgyay datos'!M315&lt;'Olgyay datos'!O315,-1,IF('Olgyay datos'!M315&gt;'Olgyay datos'!P315,1,IF('Olgyay datos'!N315&lt;'Olgyay datos'!R315,1,IF('Olgyay datos'!N315&gt;'Olgyay datos'!Q315,1,0))))</f>
        <v>-1</v>
      </c>
    </row>
    <row r="9" spans="2:14" x14ac:dyDescent="0.25">
      <c r="B9" s="228">
        <v>0.20833333333333301</v>
      </c>
      <c r="C9" s="233">
        <f>+IF('Olgyay datos'!M8&lt;'Olgyay datos'!O8,-1,IF('Olgyay datos'!M8&gt;'Olgyay datos'!P8,1,IF('Olgyay datos'!N8&lt;'Olgyay datos'!R8,1,IF('Olgyay datos'!N8&gt;'Olgyay datos'!Q8,1,0))))</f>
        <v>-1</v>
      </c>
      <c r="D9" s="209">
        <f>+IF('Olgyay datos'!M36&lt;'Olgyay datos'!O36,-1,IF('Olgyay datos'!M36&gt;'Olgyay datos'!P36,1,IF('Olgyay datos'!N36&lt;'Olgyay datos'!R36,1,IF('Olgyay datos'!N36&gt;'Olgyay datos'!Q36,1,0))))</f>
        <v>-1</v>
      </c>
      <c r="E9" s="209">
        <f>+IF('Olgyay datos'!M64&lt;'Olgyay datos'!O64,-1,IF('Olgyay datos'!M64&gt;'Olgyay datos'!P64,1,IF('Olgyay datos'!N64&lt;'Olgyay datos'!R64,1,IF('Olgyay datos'!N64&gt;'Olgyay datos'!Q64,1,0))))</f>
        <v>-1</v>
      </c>
      <c r="F9" s="209">
        <f>+IF('Olgyay datos'!M92&lt;'Olgyay datos'!O92,-1,IF('Olgyay datos'!M92&gt;'Olgyay datos'!P92,1,IF('Olgyay datos'!N92&lt;'Olgyay datos'!R92,1,IF('Olgyay datos'!N92&gt;'Olgyay datos'!Q92,1,0))))</f>
        <v>-1</v>
      </c>
      <c r="G9" s="209">
        <f>+IF('Olgyay datos'!M120&lt;'Olgyay datos'!O120,-1,IF('Olgyay datos'!M120&gt;'Olgyay datos'!P120,1,IF('Olgyay datos'!N120&lt;'Olgyay datos'!R120,1,IF('Olgyay datos'!N120&gt;'Olgyay datos'!Q120,1,0))))</f>
        <v>-1</v>
      </c>
      <c r="H9" s="209">
        <f>+IF('Olgyay datos'!M148&lt;'Olgyay datos'!O148,-1,IF('Olgyay datos'!M148&gt;'Olgyay datos'!P148,1,IF('Olgyay datos'!N148&lt;'Olgyay datos'!R148,1,IF('Olgyay datos'!N148&gt;'Olgyay datos'!Q148,1,0))))</f>
        <v>0</v>
      </c>
      <c r="I9" s="209">
        <f>+IF('Olgyay datos'!M176&lt;'Olgyay datos'!O176,-1,IF('Olgyay datos'!M176&gt;'Olgyay datos'!P176,1,IF('Olgyay datos'!N176&lt;'Olgyay datos'!R176,1,IF('Olgyay datos'!N176&gt;'Olgyay datos'!Q176,1,0))))</f>
        <v>0</v>
      </c>
      <c r="J9" s="209">
        <f>+IF('Olgyay datos'!M204&lt;'Olgyay datos'!O204,-1,IF('Olgyay datos'!M204&gt;'Olgyay datos'!P204,1,IF('Olgyay datos'!N204&lt;'Olgyay datos'!R204,1,IF('Olgyay datos'!N204&gt;'Olgyay datos'!Q204,1,0))))</f>
        <v>0</v>
      </c>
      <c r="K9" s="209">
        <f>+IF('Olgyay datos'!M232&lt;'Olgyay datos'!O232,-1,IF('Olgyay datos'!M232&gt;'Olgyay datos'!P232,1,IF('Olgyay datos'!N232&lt;'Olgyay datos'!R232,1,IF('Olgyay datos'!N232&gt;'Olgyay datos'!Q232,1,0))))</f>
        <v>0</v>
      </c>
      <c r="L9" s="209">
        <f>+IF('Olgyay datos'!M260&lt;'Olgyay datos'!O260,-1,IF('Olgyay datos'!M260&gt;'Olgyay datos'!P260,1,IF('Olgyay datos'!N260&lt;'Olgyay datos'!R260,1,IF('Olgyay datos'!N260&gt;'Olgyay datos'!Q260,1,0))))</f>
        <v>-1</v>
      </c>
      <c r="M9" s="209">
        <f>+IF('Olgyay datos'!M288&lt;'Olgyay datos'!O288,-1,IF('Olgyay datos'!M288&gt;'Olgyay datos'!P288,1,IF('Olgyay datos'!N288&lt;'Olgyay datos'!R288,1,IF('Olgyay datos'!N288&gt;'Olgyay datos'!Q288,1,0))))</f>
        <v>-1</v>
      </c>
      <c r="N9" s="234">
        <f>+IF('Olgyay datos'!M316&lt;'Olgyay datos'!O316,-1,IF('Olgyay datos'!M316&gt;'Olgyay datos'!P316,1,IF('Olgyay datos'!N316&lt;'Olgyay datos'!R316,1,IF('Olgyay datos'!N316&gt;'Olgyay datos'!Q316,1,0))))</f>
        <v>-1</v>
      </c>
    </row>
    <row r="10" spans="2:14" x14ac:dyDescent="0.25">
      <c r="B10" s="228">
        <v>0.25</v>
      </c>
      <c r="C10" s="233">
        <f>+IF('Olgyay datos'!M9&lt;'Olgyay datos'!O9,-1,IF('Olgyay datos'!M9&gt;'Olgyay datos'!P9,1,IF('Olgyay datos'!N9&lt;'Olgyay datos'!R9,1,IF('Olgyay datos'!N9&gt;'Olgyay datos'!Q9,1,0))))</f>
        <v>-1</v>
      </c>
      <c r="D10" s="209">
        <f>+IF('Olgyay datos'!M37&lt;'Olgyay datos'!O37,-1,IF('Olgyay datos'!M37&gt;'Olgyay datos'!P37,1,IF('Olgyay datos'!N37&lt;'Olgyay datos'!R37,1,IF('Olgyay datos'!N37&gt;'Olgyay datos'!Q37,1,0))))</f>
        <v>-1</v>
      </c>
      <c r="E10" s="209">
        <f>+IF('Olgyay datos'!M65&lt;'Olgyay datos'!O65,-1,IF('Olgyay datos'!M65&gt;'Olgyay datos'!P65,1,IF('Olgyay datos'!N65&lt;'Olgyay datos'!R65,1,IF('Olgyay datos'!N65&gt;'Olgyay datos'!Q65,1,0))))</f>
        <v>-1</v>
      </c>
      <c r="F10" s="209">
        <f>+IF('Olgyay datos'!M93&lt;'Olgyay datos'!O93,-1,IF('Olgyay datos'!M93&gt;'Olgyay datos'!P93,1,IF('Olgyay datos'!N93&lt;'Olgyay datos'!R93,1,IF('Olgyay datos'!N93&gt;'Olgyay datos'!Q93,1,0))))</f>
        <v>-1</v>
      </c>
      <c r="G10" s="209">
        <f>+IF('Olgyay datos'!M121&lt;'Olgyay datos'!O121,-1,IF('Olgyay datos'!M121&gt;'Olgyay datos'!P121,1,IF('Olgyay datos'!N121&lt;'Olgyay datos'!R121,1,IF('Olgyay datos'!N121&gt;'Olgyay datos'!Q121,1,0))))</f>
        <v>-1</v>
      </c>
      <c r="H10" s="209">
        <f>+IF('Olgyay datos'!M149&lt;'Olgyay datos'!O149,-1,IF('Olgyay datos'!M149&gt;'Olgyay datos'!P149,1,IF('Olgyay datos'!N149&lt;'Olgyay datos'!R149,1,IF('Olgyay datos'!N149&gt;'Olgyay datos'!Q149,1,0))))</f>
        <v>-1</v>
      </c>
      <c r="I10" s="209">
        <f>+IF('Olgyay datos'!M177&lt;'Olgyay datos'!O177,-1,IF('Olgyay datos'!M177&gt;'Olgyay datos'!P177,1,IF('Olgyay datos'!N177&lt;'Olgyay datos'!R177,1,IF('Olgyay datos'!N177&gt;'Olgyay datos'!Q177,1,0))))</f>
        <v>0</v>
      </c>
      <c r="J10" s="209">
        <f>+IF('Olgyay datos'!M205&lt;'Olgyay datos'!O205,-1,IF('Olgyay datos'!M205&gt;'Olgyay datos'!P205,1,IF('Olgyay datos'!N205&lt;'Olgyay datos'!R205,1,IF('Olgyay datos'!N205&gt;'Olgyay datos'!Q205,1,0))))</f>
        <v>0</v>
      </c>
      <c r="K10" s="209">
        <f>+IF('Olgyay datos'!M233&lt;'Olgyay datos'!O233,-1,IF('Olgyay datos'!M233&gt;'Olgyay datos'!P233,1,IF('Olgyay datos'!N233&lt;'Olgyay datos'!R233,1,IF('Olgyay datos'!N233&gt;'Olgyay datos'!Q233,1,0))))</f>
        <v>0</v>
      </c>
      <c r="L10" s="209">
        <f>+IF('Olgyay datos'!M261&lt;'Olgyay datos'!O261,-1,IF('Olgyay datos'!M261&gt;'Olgyay datos'!P261,1,IF('Olgyay datos'!N261&lt;'Olgyay datos'!R261,1,IF('Olgyay datos'!N261&gt;'Olgyay datos'!Q261,1,0))))</f>
        <v>-1</v>
      </c>
      <c r="M10" s="209">
        <f>+IF('Olgyay datos'!M289&lt;'Olgyay datos'!O289,-1,IF('Olgyay datos'!M289&gt;'Olgyay datos'!P289,1,IF('Olgyay datos'!N289&lt;'Olgyay datos'!R289,1,IF('Olgyay datos'!N289&gt;'Olgyay datos'!Q289,1,0))))</f>
        <v>-1</v>
      </c>
      <c r="N10" s="234">
        <f>+IF('Olgyay datos'!M317&lt;'Olgyay datos'!O317,-1,IF('Olgyay datos'!M317&gt;'Olgyay datos'!P317,1,IF('Olgyay datos'!N317&lt;'Olgyay datos'!R317,1,IF('Olgyay datos'!N317&gt;'Olgyay datos'!Q317,1,0))))</f>
        <v>-1</v>
      </c>
    </row>
    <row r="11" spans="2:14" x14ac:dyDescent="0.25">
      <c r="B11" s="228">
        <v>0.29166666666666702</v>
      </c>
      <c r="C11" s="233">
        <f>+IF('Olgyay datos'!M10&lt;'Olgyay datos'!O10,-1,IF('Olgyay datos'!M10&gt;'Olgyay datos'!P10,1,IF('Olgyay datos'!N10&lt;'Olgyay datos'!R10,1,IF('Olgyay datos'!N10&gt;'Olgyay datos'!Q10,1,0))))</f>
        <v>-1</v>
      </c>
      <c r="D11" s="209">
        <f>+IF('Olgyay datos'!M38&lt;'Olgyay datos'!O38,-1,IF('Olgyay datos'!M38&gt;'Olgyay datos'!P38,1,IF('Olgyay datos'!N38&lt;'Olgyay datos'!R38,1,IF('Olgyay datos'!N38&gt;'Olgyay datos'!Q38,1,0))))</f>
        <v>-1</v>
      </c>
      <c r="E11" s="209">
        <f>+IF('Olgyay datos'!M66&lt;'Olgyay datos'!O66,-1,IF('Olgyay datos'!M66&gt;'Olgyay datos'!P66,1,IF('Olgyay datos'!N66&lt;'Olgyay datos'!R66,1,IF('Olgyay datos'!N66&gt;'Olgyay datos'!Q66,1,0))))</f>
        <v>-1</v>
      </c>
      <c r="F11" s="209">
        <f>+IF('Olgyay datos'!M94&lt;'Olgyay datos'!O94,-1,IF('Olgyay datos'!M94&gt;'Olgyay datos'!P94,1,IF('Olgyay datos'!N94&lt;'Olgyay datos'!R94,1,IF('Olgyay datos'!N94&gt;'Olgyay datos'!Q94,1,0))))</f>
        <v>-1</v>
      </c>
      <c r="G11" s="209">
        <f>+IF('Olgyay datos'!M122&lt;'Olgyay datos'!O122,-1,IF('Olgyay datos'!M122&gt;'Olgyay datos'!P122,1,IF('Olgyay datos'!N122&lt;'Olgyay datos'!R122,1,IF('Olgyay datos'!N122&gt;'Olgyay datos'!Q122,1,0))))</f>
        <v>-1</v>
      </c>
      <c r="H11" s="209">
        <f>+IF('Olgyay datos'!M150&lt;'Olgyay datos'!O150,-1,IF('Olgyay datos'!M150&gt;'Olgyay datos'!P150,1,IF('Olgyay datos'!N150&lt;'Olgyay datos'!R150,1,IF('Olgyay datos'!N150&gt;'Olgyay datos'!Q150,1,0))))</f>
        <v>0</v>
      </c>
      <c r="I11" s="209">
        <f>+IF('Olgyay datos'!M178&lt;'Olgyay datos'!O178,-1,IF('Olgyay datos'!M178&gt;'Olgyay datos'!P178,1,IF('Olgyay datos'!N178&lt;'Olgyay datos'!R178,1,IF('Olgyay datos'!N178&gt;'Olgyay datos'!Q178,1,0))))</f>
        <v>0</v>
      </c>
      <c r="J11" s="209">
        <f>+IF('Olgyay datos'!M206&lt;'Olgyay datos'!O206,-1,IF('Olgyay datos'!M206&gt;'Olgyay datos'!P206,1,IF('Olgyay datos'!N206&lt;'Olgyay datos'!R206,1,IF('Olgyay datos'!N206&gt;'Olgyay datos'!Q206,1,0))))</f>
        <v>0</v>
      </c>
      <c r="K11" s="209">
        <f>+IF('Olgyay datos'!M234&lt;'Olgyay datos'!O234,-1,IF('Olgyay datos'!M234&gt;'Olgyay datos'!P234,1,IF('Olgyay datos'!N234&lt;'Olgyay datos'!R234,1,IF('Olgyay datos'!N234&gt;'Olgyay datos'!Q234,1,0))))</f>
        <v>0</v>
      </c>
      <c r="L11" s="209">
        <f>+IF('Olgyay datos'!M262&lt;'Olgyay datos'!O262,-1,IF('Olgyay datos'!M262&gt;'Olgyay datos'!P262,1,IF('Olgyay datos'!N262&lt;'Olgyay datos'!R262,1,IF('Olgyay datos'!N262&gt;'Olgyay datos'!Q262,1,0))))</f>
        <v>-1</v>
      </c>
      <c r="M11" s="209">
        <f>+IF('Olgyay datos'!M290&lt;'Olgyay datos'!O290,-1,IF('Olgyay datos'!M290&gt;'Olgyay datos'!P290,1,IF('Olgyay datos'!N290&lt;'Olgyay datos'!R290,1,IF('Olgyay datos'!N290&gt;'Olgyay datos'!Q290,1,0))))</f>
        <v>-1</v>
      </c>
      <c r="N11" s="234">
        <f>+IF('Olgyay datos'!M318&lt;'Olgyay datos'!O318,-1,IF('Olgyay datos'!M318&gt;'Olgyay datos'!P318,1,IF('Olgyay datos'!N318&lt;'Olgyay datos'!R318,1,IF('Olgyay datos'!N318&gt;'Olgyay datos'!Q318,1,0))))</f>
        <v>-1</v>
      </c>
    </row>
    <row r="12" spans="2:14" x14ac:dyDescent="0.25">
      <c r="B12" s="228">
        <v>0.33333333333333298</v>
      </c>
      <c r="C12" s="233">
        <f>+IF('Olgyay datos'!M11&lt;'Olgyay datos'!O11,-1,IF('Olgyay datos'!M11&gt;'Olgyay datos'!P11,1,IF('Olgyay datos'!N11&lt;'Olgyay datos'!R11,1,IF('Olgyay datos'!N11&gt;'Olgyay datos'!Q11,1,0))))</f>
        <v>-1</v>
      </c>
      <c r="D12" s="209">
        <f>+IF('Olgyay datos'!M39&lt;'Olgyay datos'!O39,-1,IF('Olgyay datos'!M39&gt;'Olgyay datos'!P39,1,IF('Olgyay datos'!N39&lt;'Olgyay datos'!R39,1,IF('Olgyay datos'!N39&gt;'Olgyay datos'!Q39,1,0))))</f>
        <v>-1</v>
      </c>
      <c r="E12" s="209">
        <f>+IF('Olgyay datos'!M67&lt;'Olgyay datos'!O67,-1,IF('Olgyay datos'!M67&gt;'Olgyay datos'!P67,1,IF('Olgyay datos'!N67&lt;'Olgyay datos'!R67,1,IF('Olgyay datos'!N67&gt;'Olgyay datos'!Q67,1,0))))</f>
        <v>-1</v>
      </c>
      <c r="F12" s="209">
        <f>+IF('Olgyay datos'!M95&lt;'Olgyay datos'!O95,-1,IF('Olgyay datos'!M95&gt;'Olgyay datos'!P95,1,IF('Olgyay datos'!N95&lt;'Olgyay datos'!R95,1,IF('Olgyay datos'!N95&gt;'Olgyay datos'!Q95,1,0))))</f>
        <v>-1</v>
      </c>
      <c r="G12" s="209">
        <f>+IF('Olgyay datos'!M123&lt;'Olgyay datos'!O123,-1,IF('Olgyay datos'!M123&gt;'Olgyay datos'!P123,1,IF('Olgyay datos'!N123&lt;'Olgyay datos'!R123,1,IF('Olgyay datos'!N123&gt;'Olgyay datos'!Q123,1,0))))</f>
        <v>0</v>
      </c>
      <c r="H12" s="209">
        <f>+IF('Olgyay datos'!M151&lt;'Olgyay datos'!O151,-1,IF('Olgyay datos'!M151&gt;'Olgyay datos'!P151,1,IF('Olgyay datos'!N151&lt;'Olgyay datos'!R151,1,IF('Olgyay datos'!N151&gt;'Olgyay datos'!Q151,1,0))))</f>
        <v>0</v>
      </c>
      <c r="I12" s="209">
        <f>+IF('Olgyay datos'!M179&lt;'Olgyay datos'!O179,-1,IF('Olgyay datos'!M179&gt;'Olgyay datos'!P179,1,IF('Olgyay datos'!N179&lt;'Olgyay datos'!R179,1,IF('Olgyay datos'!N179&gt;'Olgyay datos'!Q179,1,0))))</f>
        <v>0</v>
      </c>
      <c r="J12" s="209">
        <f>+IF('Olgyay datos'!M207&lt;'Olgyay datos'!O207,-1,IF('Olgyay datos'!M207&gt;'Olgyay datos'!P207,1,IF('Olgyay datos'!N207&lt;'Olgyay datos'!R207,1,IF('Olgyay datos'!N207&gt;'Olgyay datos'!Q207,1,0))))</f>
        <v>0</v>
      </c>
      <c r="K12" s="209">
        <f>+IF('Olgyay datos'!M235&lt;'Olgyay datos'!O235,-1,IF('Olgyay datos'!M235&gt;'Olgyay datos'!P235,1,IF('Olgyay datos'!N235&lt;'Olgyay datos'!R235,1,IF('Olgyay datos'!N235&gt;'Olgyay datos'!Q235,1,0))))</f>
        <v>0</v>
      </c>
      <c r="L12" s="209">
        <f>+IF('Olgyay datos'!M263&lt;'Olgyay datos'!O263,-1,IF('Olgyay datos'!M263&gt;'Olgyay datos'!P263,1,IF('Olgyay datos'!N263&lt;'Olgyay datos'!R263,1,IF('Olgyay datos'!N263&gt;'Olgyay datos'!Q263,1,0))))</f>
        <v>-1</v>
      </c>
      <c r="M12" s="209">
        <f>+IF('Olgyay datos'!M291&lt;'Olgyay datos'!O291,-1,IF('Olgyay datos'!M291&gt;'Olgyay datos'!P291,1,IF('Olgyay datos'!N291&lt;'Olgyay datos'!R291,1,IF('Olgyay datos'!N291&gt;'Olgyay datos'!Q291,1,0))))</f>
        <v>-1</v>
      </c>
      <c r="N12" s="234">
        <f>+IF('Olgyay datos'!M319&lt;'Olgyay datos'!O319,-1,IF('Olgyay datos'!M319&gt;'Olgyay datos'!P319,1,IF('Olgyay datos'!N319&lt;'Olgyay datos'!R319,1,IF('Olgyay datos'!N319&gt;'Olgyay datos'!Q319,1,0))))</f>
        <v>-1</v>
      </c>
    </row>
    <row r="13" spans="2:14" x14ac:dyDescent="0.25">
      <c r="B13" s="228">
        <v>0.375</v>
      </c>
      <c r="C13" s="233">
        <f>+IF('Olgyay datos'!M12&lt;'Olgyay datos'!O12,-1,IF('Olgyay datos'!M12&gt;'Olgyay datos'!P12,1,IF('Olgyay datos'!N12&lt;'Olgyay datos'!R12,1,IF('Olgyay datos'!N12&gt;'Olgyay datos'!Q12,1,0))))</f>
        <v>-1</v>
      </c>
      <c r="D13" s="209">
        <f>+IF('Olgyay datos'!M40&lt;'Olgyay datos'!O40,-1,IF('Olgyay datos'!M40&gt;'Olgyay datos'!P40,1,IF('Olgyay datos'!N40&lt;'Olgyay datos'!R40,1,IF('Olgyay datos'!N40&gt;'Olgyay datos'!Q40,1,0))))</f>
        <v>-1</v>
      </c>
      <c r="E13" s="209">
        <f>+IF('Olgyay datos'!M68&lt;'Olgyay datos'!O68,-1,IF('Olgyay datos'!M68&gt;'Olgyay datos'!P68,1,IF('Olgyay datos'!N68&lt;'Olgyay datos'!R68,1,IF('Olgyay datos'!N68&gt;'Olgyay datos'!Q68,1,0))))</f>
        <v>-1</v>
      </c>
      <c r="F13" s="209">
        <f>+IF('Olgyay datos'!M96&lt;'Olgyay datos'!O96,-1,IF('Olgyay datos'!M96&gt;'Olgyay datos'!P96,1,IF('Olgyay datos'!N96&lt;'Olgyay datos'!R96,1,IF('Olgyay datos'!N96&gt;'Olgyay datos'!Q96,1,0))))</f>
        <v>0</v>
      </c>
      <c r="G13" s="209">
        <f>+IF('Olgyay datos'!M124&lt;'Olgyay datos'!O124,-1,IF('Olgyay datos'!M124&gt;'Olgyay datos'!P124,1,IF('Olgyay datos'!N124&lt;'Olgyay datos'!R124,1,IF('Olgyay datos'!N124&gt;'Olgyay datos'!Q124,1,0))))</f>
        <v>0</v>
      </c>
      <c r="H13" s="209">
        <f>+IF('Olgyay datos'!M152&lt;'Olgyay datos'!O152,-1,IF('Olgyay datos'!M152&gt;'Olgyay datos'!P152,1,IF('Olgyay datos'!N152&lt;'Olgyay datos'!R152,1,IF('Olgyay datos'!N152&gt;'Olgyay datos'!Q152,1,0))))</f>
        <v>1</v>
      </c>
      <c r="I13" s="209">
        <f>+IF('Olgyay datos'!M180&lt;'Olgyay datos'!O180,-1,IF('Olgyay datos'!M180&gt;'Olgyay datos'!P180,1,IF('Olgyay datos'!N180&lt;'Olgyay datos'!R180,1,IF('Olgyay datos'!N180&gt;'Olgyay datos'!Q180,1,0))))</f>
        <v>1</v>
      </c>
      <c r="J13" s="209">
        <f>+IF('Olgyay datos'!M208&lt;'Olgyay datos'!O208,-1,IF('Olgyay datos'!M208&gt;'Olgyay datos'!P208,1,IF('Olgyay datos'!N208&lt;'Olgyay datos'!R208,1,IF('Olgyay datos'!N208&gt;'Olgyay datos'!Q208,1,0))))</f>
        <v>1</v>
      </c>
      <c r="K13" s="209">
        <f>+IF('Olgyay datos'!M236&lt;'Olgyay datos'!O236,-1,IF('Olgyay datos'!M236&gt;'Olgyay datos'!P236,1,IF('Olgyay datos'!N236&lt;'Olgyay datos'!R236,1,IF('Olgyay datos'!N236&gt;'Olgyay datos'!Q236,1,0))))</f>
        <v>0</v>
      </c>
      <c r="L13" s="209">
        <f>+IF('Olgyay datos'!M264&lt;'Olgyay datos'!O264,-1,IF('Olgyay datos'!M264&gt;'Olgyay datos'!P264,1,IF('Olgyay datos'!N264&lt;'Olgyay datos'!R264,1,IF('Olgyay datos'!N264&gt;'Olgyay datos'!Q264,1,0))))</f>
        <v>-1</v>
      </c>
      <c r="M13" s="209">
        <f>+IF('Olgyay datos'!M292&lt;'Olgyay datos'!O292,-1,IF('Olgyay datos'!M292&gt;'Olgyay datos'!P292,1,IF('Olgyay datos'!N292&lt;'Olgyay datos'!R292,1,IF('Olgyay datos'!N292&gt;'Olgyay datos'!Q292,1,0))))</f>
        <v>-1</v>
      </c>
      <c r="N13" s="234">
        <f>+IF('Olgyay datos'!M320&lt;'Olgyay datos'!O320,-1,IF('Olgyay datos'!M320&gt;'Olgyay datos'!P320,1,IF('Olgyay datos'!N320&lt;'Olgyay datos'!R320,1,IF('Olgyay datos'!N320&gt;'Olgyay datos'!Q320,1,0))))</f>
        <v>-1</v>
      </c>
    </row>
    <row r="14" spans="2:14" x14ac:dyDescent="0.25">
      <c r="B14" s="228">
        <v>0.41666666666666702</v>
      </c>
      <c r="C14" s="233">
        <f>+IF('Olgyay datos'!M13&lt;'Olgyay datos'!O13,-1,IF('Olgyay datos'!M13&gt;'Olgyay datos'!P13,1,IF('Olgyay datos'!N13&lt;'Olgyay datos'!R13,1,IF('Olgyay datos'!N13&gt;'Olgyay datos'!Q13,1,0))))</f>
        <v>-1</v>
      </c>
      <c r="D14" s="209">
        <f>+IF('Olgyay datos'!M41&lt;'Olgyay datos'!O41,-1,IF('Olgyay datos'!M41&gt;'Olgyay datos'!P41,1,IF('Olgyay datos'!N41&lt;'Olgyay datos'!R41,1,IF('Olgyay datos'!N41&gt;'Olgyay datos'!Q41,1,0))))</f>
        <v>-1</v>
      </c>
      <c r="E14" s="209">
        <f>+IF('Olgyay datos'!M69&lt;'Olgyay datos'!O69,-1,IF('Olgyay datos'!M69&gt;'Olgyay datos'!P69,1,IF('Olgyay datos'!N69&lt;'Olgyay datos'!R69,1,IF('Olgyay datos'!N69&gt;'Olgyay datos'!Q69,1,0))))</f>
        <v>0</v>
      </c>
      <c r="F14" s="209">
        <f>+IF('Olgyay datos'!M97&lt;'Olgyay datos'!O97,-1,IF('Olgyay datos'!M97&gt;'Olgyay datos'!P97,1,IF('Olgyay datos'!N97&lt;'Olgyay datos'!R97,1,IF('Olgyay datos'!N97&gt;'Olgyay datos'!Q97,1,0))))</f>
        <v>0</v>
      </c>
      <c r="G14" s="209">
        <f>+IF('Olgyay datos'!M125&lt;'Olgyay datos'!O125,-1,IF('Olgyay datos'!M125&gt;'Olgyay datos'!P125,1,IF('Olgyay datos'!N125&lt;'Olgyay datos'!R125,1,IF('Olgyay datos'!N125&gt;'Olgyay datos'!Q125,1,0))))</f>
        <v>1</v>
      </c>
      <c r="H14" s="209">
        <f>+IF('Olgyay datos'!M153&lt;'Olgyay datos'!O153,-1,IF('Olgyay datos'!M153&gt;'Olgyay datos'!P153,1,IF('Olgyay datos'!N153&lt;'Olgyay datos'!R153,1,IF('Olgyay datos'!N153&gt;'Olgyay datos'!Q153,1,0))))</f>
        <v>1</v>
      </c>
      <c r="I14" s="209">
        <f>+IF('Olgyay datos'!M181&lt;'Olgyay datos'!O181,-1,IF('Olgyay datos'!M181&gt;'Olgyay datos'!P181,1,IF('Olgyay datos'!N181&lt;'Olgyay datos'!R181,1,IF('Olgyay datos'!N181&gt;'Olgyay datos'!Q181,1,0))))</f>
        <v>1</v>
      </c>
      <c r="J14" s="209">
        <f>+IF('Olgyay datos'!M209&lt;'Olgyay datos'!O209,-1,IF('Olgyay datos'!M209&gt;'Olgyay datos'!P209,1,IF('Olgyay datos'!N209&lt;'Olgyay datos'!R209,1,IF('Olgyay datos'!N209&gt;'Olgyay datos'!Q209,1,0))))</f>
        <v>1</v>
      </c>
      <c r="K14" s="209">
        <f>+IF('Olgyay datos'!M237&lt;'Olgyay datos'!O237,-1,IF('Olgyay datos'!M237&gt;'Olgyay datos'!P237,1,IF('Olgyay datos'!N237&lt;'Olgyay datos'!R237,1,IF('Olgyay datos'!N237&gt;'Olgyay datos'!Q237,1,0))))</f>
        <v>1</v>
      </c>
      <c r="L14" s="209">
        <f>+IF('Olgyay datos'!M265&lt;'Olgyay datos'!O265,-1,IF('Olgyay datos'!M265&gt;'Olgyay datos'!P265,1,IF('Olgyay datos'!N265&lt;'Olgyay datos'!R265,1,IF('Olgyay datos'!N265&gt;'Olgyay datos'!Q265,1,0))))</f>
        <v>0</v>
      </c>
      <c r="M14" s="209">
        <f>+IF('Olgyay datos'!M293&lt;'Olgyay datos'!O293,-1,IF('Olgyay datos'!M293&gt;'Olgyay datos'!P293,1,IF('Olgyay datos'!N293&lt;'Olgyay datos'!R293,1,IF('Olgyay datos'!N293&gt;'Olgyay datos'!Q293,1,0))))</f>
        <v>-1</v>
      </c>
      <c r="N14" s="234">
        <f>+IF('Olgyay datos'!M321&lt;'Olgyay datos'!O321,-1,IF('Olgyay datos'!M321&gt;'Olgyay datos'!P321,1,IF('Olgyay datos'!N321&lt;'Olgyay datos'!R321,1,IF('Olgyay datos'!N321&gt;'Olgyay datos'!Q321,1,0))))</f>
        <v>-1</v>
      </c>
    </row>
    <row r="15" spans="2:14" x14ac:dyDescent="0.25">
      <c r="B15" s="228">
        <v>0.45833333333333298</v>
      </c>
      <c r="C15" s="233">
        <f>+IF('Olgyay datos'!M14&lt;'Olgyay datos'!O14,-1,IF('Olgyay datos'!M14&gt;'Olgyay datos'!P14,1,IF('Olgyay datos'!N14&lt;'Olgyay datos'!R14,1,IF('Olgyay datos'!N14&gt;'Olgyay datos'!Q14,1,0))))</f>
        <v>-1</v>
      </c>
      <c r="D15" s="209">
        <f>+IF('Olgyay datos'!M42&lt;'Olgyay datos'!O42,-1,IF('Olgyay datos'!M42&gt;'Olgyay datos'!P42,1,IF('Olgyay datos'!N42&lt;'Olgyay datos'!R42,1,IF('Olgyay datos'!N42&gt;'Olgyay datos'!Q42,1,0))))</f>
        <v>0</v>
      </c>
      <c r="E15" s="209">
        <f>+IF('Olgyay datos'!M70&lt;'Olgyay datos'!O70,-1,IF('Olgyay datos'!M70&gt;'Olgyay datos'!P70,1,IF('Olgyay datos'!N70&lt;'Olgyay datos'!R70,1,IF('Olgyay datos'!N70&gt;'Olgyay datos'!Q70,1,0))))</f>
        <v>0</v>
      </c>
      <c r="F15" s="209">
        <f>+IF('Olgyay datos'!M98&lt;'Olgyay datos'!O98,-1,IF('Olgyay datos'!M98&gt;'Olgyay datos'!P98,1,IF('Olgyay datos'!N98&lt;'Olgyay datos'!R98,1,IF('Olgyay datos'!N98&gt;'Olgyay datos'!Q98,1,0))))</f>
        <v>1</v>
      </c>
      <c r="G15" s="209">
        <f>+IF('Olgyay datos'!M126&lt;'Olgyay datos'!O126,-1,IF('Olgyay datos'!M126&gt;'Olgyay datos'!P126,1,IF('Olgyay datos'!N126&lt;'Olgyay datos'!R126,1,IF('Olgyay datos'!N126&gt;'Olgyay datos'!Q126,1,0))))</f>
        <v>1</v>
      </c>
      <c r="H15" s="209">
        <f>+IF('Olgyay datos'!M154&lt;'Olgyay datos'!O154,-1,IF('Olgyay datos'!M154&gt;'Olgyay datos'!P154,1,IF('Olgyay datos'!N154&lt;'Olgyay datos'!R154,1,IF('Olgyay datos'!N154&gt;'Olgyay datos'!Q154,1,0))))</f>
        <v>1</v>
      </c>
      <c r="I15" s="209">
        <f>+IF('Olgyay datos'!M182&lt;'Olgyay datos'!O182,-1,IF('Olgyay datos'!M182&gt;'Olgyay datos'!P182,1,IF('Olgyay datos'!N182&lt;'Olgyay datos'!R182,1,IF('Olgyay datos'!N182&gt;'Olgyay datos'!Q182,1,0))))</f>
        <v>1</v>
      </c>
      <c r="J15" s="209">
        <f>+IF('Olgyay datos'!M210&lt;'Olgyay datos'!O210,-1,IF('Olgyay datos'!M210&gt;'Olgyay datos'!P210,1,IF('Olgyay datos'!N210&lt;'Olgyay datos'!R210,1,IF('Olgyay datos'!N210&gt;'Olgyay datos'!Q210,1,0))))</f>
        <v>1</v>
      </c>
      <c r="K15" s="209">
        <f>+IF('Olgyay datos'!M238&lt;'Olgyay datos'!O238,-1,IF('Olgyay datos'!M238&gt;'Olgyay datos'!P238,1,IF('Olgyay datos'!N238&lt;'Olgyay datos'!R238,1,IF('Olgyay datos'!N238&gt;'Olgyay datos'!Q238,1,0))))</f>
        <v>1</v>
      </c>
      <c r="L15" s="209">
        <f>+IF('Olgyay datos'!M266&lt;'Olgyay datos'!O266,-1,IF('Olgyay datos'!M266&gt;'Olgyay datos'!P266,1,IF('Olgyay datos'!N266&lt;'Olgyay datos'!R266,1,IF('Olgyay datos'!N266&gt;'Olgyay datos'!Q266,1,0))))</f>
        <v>0</v>
      </c>
      <c r="M15" s="209">
        <f>+IF('Olgyay datos'!M294&lt;'Olgyay datos'!O294,-1,IF('Olgyay datos'!M294&gt;'Olgyay datos'!P294,1,IF('Olgyay datos'!N294&lt;'Olgyay datos'!R294,1,IF('Olgyay datos'!N294&gt;'Olgyay datos'!Q294,1,0))))</f>
        <v>0</v>
      </c>
      <c r="N15" s="234">
        <f>+IF('Olgyay datos'!M322&lt;'Olgyay datos'!O322,-1,IF('Olgyay datos'!M322&gt;'Olgyay datos'!P322,1,IF('Olgyay datos'!N322&lt;'Olgyay datos'!R322,1,IF('Olgyay datos'!N322&gt;'Olgyay datos'!Q322,1,0))))</f>
        <v>-1</v>
      </c>
    </row>
    <row r="16" spans="2:14" x14ac:dyDescent="0.25">
      <c r="B16" s="228">
        <v>0.5</v>
      </c>
      <c r="C16" s="233">
        <f>+IF('Olgyay datos'!M15&lt;'Olgyay datos'!O15,-1,IF('Olgyay datos'!M15&gt;'Olgyay datos'!P15,1,IF('Olgyay datos'!N15&lt;'Olgyay datos'!R15,1,IF('Olgyay datos'!N15&gt;'Olgyay datos'!Q15,1,0))))</f>
        <v>0</v>
      </c>
      <c r="D16" s="209">
        <f>+IF('Olgyay datos'!M43&lt;'Olgyay datos'!O43,-1,IF('Olgyay datos'!M43&gt;'Olgyay datos'!P43,1,IF('Olgyay datos'!N43&lt;'Olgyay datos'!R43,1,IF('Olgyay datos'!N43&gt;'Olgyay datos'!Q43,1,0))))</f>
        <v>0</v>
      </c>
      <c r="E16" s="209">
        <f>+IF('Olgyay datos'!M71&lt;'Olgyay datos'!O71,-1,IF('Olgyay datos'!M71&gt;'Olgyay datos'!P71,1,IF('Olgyay datos'!N71&lt;'Olgyay datos'!R71,1,IF('Olgyay datos'!N71&gt;'Olgyay datos'!Q71,1,0))))</f>
        <v>0</v>
      </c>
      <c r="F16" s="209">
        <f>+IF('Olgyay datos'!M99&lt;'Olgyay datos'!O99,-1,IF('Olgyay datos'!M99&gt;'Olgyay datos'!P99,1,IF('Olgyay datos'!N99&lt;'Olgyay datos'!R99,1,IF('Olgyay datos'!N99&gt;'Olgyay datos'!Q99,1,0))))</f>
        <v>1</v>
      </c>
      <c r="G16" s="209">
        <f>+IF('Olgyay datos'!M127&lt;'Olgyay datos'!O127,-1,IF('Olgyay datos'!M127&gt;'Olgyay datos'!P127,1,IF('Olgyay datos'!N127&lt;'Olgyay datos'!R127,1,IF('Olgyay datos'!N127&gt;'Olgyay datos'!Q127,1,0))))</f>
        <v>1</v>
      </c>
      <c r="H16" s="209">
        <f>+IF('Olgyay datos'!M155&lt;'Olgyay datos'!O155,-1,IF('Olgyay datos'!M155&gt;'Olgyay datos'!P155,1,IF('Olgyay datos'!N155&lt;'Olgyay datos'!R155,1,IF('Olgyay datos'!N155&gt;'Olgyay datos'!Q155,1,0))))</f>
        <v>1</v>
      </c>
      <c r="I16" s="209">
        <f>+IF('Olgyay datos'!M183&lt;'Olgyay datos'!O183,-1,IF('Olgyay datos'!M183&gt;'Olgyay datos'!P183,1,IF('Olgyay datos'!N183&lt;'Olgyay datos'!R183,1,IF('Olgyay datos'!N183&gt;'Olgyay datos'!Q183,1,0))))</f>
        <v>1</v>
      </c>
      <c r="J16" s="209">
        <f>+IF('Olgyay datos'!M211&lt;'Olgyay datos'!O211,-1,IF('Olgyay datos'!M211&gt;'Olgyay datos'!P211,1,IF('Olgyay datos'!N211&lt;'Olgyay datos'!R211,1,IF('Olgyay datos'!N211&gt;'Olgyay datos'!Q211,1,0))))</f>
        <v>1</v>
      </c>
      <c r="K16" s="209">
        <f>+IF('Olgyay datos'!M239&lt;'Olgyay datos'!O239,-1,IF('Olgyay datos'!M239&gt;'Olgyay datos'!P239,1,IF('Olgyay datos'!N239&lt;'Olgyay datos'!R239,1,IF('Olgyay datos'!N239&gt;'Olgyay datos'!Q239,1,0))))</f>
        <v>1</v>
      </c>
      <c r="L16" s="209">
        <f>+IF('Olgyay datos'!M267&lt;'Olgyay datos'!O267,-1,IF('Olgyay datos'!M267&gt;'Olgyay datos'!P267,1,IF('Olgyay datos'!N267&lt;'Olgyay datos'!R267,1,IF('Olgyay datos'!N267&gt;'Olgyay datos'!Q267,1,0))))</f>
        <v>1</v>
      </c>
      <c r="M16" s="209">
        <f>+IF('Olgyay datos'!M295&lt;'Olgyay datos'!O295,-1,IF('Olgyay datos'!M295&gt;'Olgyay datos'!P295,1,IF('Olgyay datos'!N295&lt;'Olgyay datos'!R295,1,IF('Olgyay datos'!N295&gt;'Olgyay datos'!Q295,1,0))))</f>
        <v>0</v>
      </c>
      <c r="N16" s="234">
        <f>+IF('Olgyay datos'!M323&lt;'Olgyay datos'!O323,-1,IF('Olgyay datos'!M323&gt;'Olgyay datos'!P323,1,IF('Olgyay datos'!N323&lt;'Olgyay datos'!R323,1,IF('Olgyay datos'!N323&gt;'Olgyay datos'!Q323,1,0))))</f>
        <v>0</v>
      </c>
    </row>
    <row r="17" spans="2:14" x14ac:dyDescent="0.25">
      <c r="B17" s="228">
        <v>0.54166666666666696</v>
      </c>
      <c r="C17" s="233">
        <f>+IF('Olgyay datos'!M16&lt;'Olgyay datos'!O16,-1,IF('Olgyay datos'!M16&gt;'Olgyay datos'!P16,1,IF('Olgyay datos'!N16&lt;'Olgyay datos'!R16,1,IF('Olgyay datos'!N16&gt;'Olgyay datos'!Q16,1,0))))</f>
        <v>0</v>
      </c>
      <c r="D17" s="209">
        <f>+IF('Olgyay datos'!M44&lt;'Olgyay datos'!O44,-1,IF('Olgyay datos'!M44&gt;'Olgyay datos'!P44,1,IF('Olgyay datos'!N44&lt;'Olgyay datos'!R44,1,IF('Olgyay datos'!N44&gt;'Olgyay datos'!Q44,1,0))))</f>
        <v>0</v>
      </c>
      <c r="E17" s="209">
        <f>+IF('Olgyay datos'!M72&lt;'Olgyay datos'!O72,-1,IF('Olgyay datos'!M72&gt;'Olgyay datos'!P72,1,IF('Olgyay datos'!N72&lt;'Olgyay datos'!R72,1,IF('Olgyay datos'!N72&gt;'Olgyay datos'!Q72,1,0))))</f>
        <v>1</v>
      </c>
      <c r="F17" s="209">
        <f>+IF('Olgyay datos'!M100&lt;'Olgyay datos'!O100,-1,IF('Olgyay datos'!M100&gt;'Olgyay datos'!P100,1,IF('Olgyay datos'!N100&lt;'Olgyay datos'!R100,1,IF('Olgyay datos'!N100&gt;'Olgyay datos'!Q100,1,0))))</f>
        <v>1</v>
      </c>
      <c r="G17" s="209">
        <f>+IF('Olgyay datos'!M128&lt;'Olgyay datos'!O128,-1,IF('Olgyay datos'!M128&gt;'Olgyay datos'!P128,1,IF('Olgyay datos'!N128&lt;'Olgyay datos'!R128,1,IF('Olgyay datos'!N128&gt;'Olgyay datos'!Q128,1,0))))</f>
        <v>1</v>
      </c>
      <c r="H17" s="209">
        <f>+IF('Olgyay datos'!M156&lt;'Olgyay datos'!O156,-1,IF('Olgyay datos'!M156&gt;'Olgyay datos'!P156,1,IF('Olgyay datos'!N156&lt;'Olgyay datos'!R156,1,IF('Olgyay datos'!N156&gt;'Olgyay datos'!Q156,1,0))))</f>
        <v>1</v>
      </c>
      <c r="I17" s="209">
        <f>+IF('Olgyay datos'!M184&lt;'Olgyay datos'!O184,-1,IF('Olgyay datos'!M184&gt;'Olgyay datos'!P184,1,IF('Olgyay datos'!N184&lt;'Olgyay datos'!R184,1,IF('Olgyay datos'!N184&gt;'Olgyay datos'!Q184,1,0))))</f>
        <v>1</v>
      </c>
      <c r="J17" s="209">
        <f>+IF('Olgyay datos'!M212&lt;'Olgyay datos'!O212,-1,IF('Olgyay datos'!M212&gt;'Olgyay datos'!P212,1,IF('Olgyay datos'!N212&lt;'Olgyay datos'!R212,1,IF('Olgyay datos'!N212&gt;'Olgyay datos'!Q212,1,0))))</f>
        <v>1</v>
      </c>
      <c r="K17" s="209">
        <f>+IF('Olgyay datos'!M240&lt;'Olgyay datos'!O240,-1,IF('Olgyay datos'!M240&gt;'Olgyay datos'!P240,1,IF('Olgyay datos'!N240&lt;'Olgyay datos'!R240,1,IF('Olgyay datos'!N240&gt;'Olgyay datos'!Q240,1,0))))</f>
        <v>1</v>
      </c>
      <c r="L17" s="209">
        <f>+IF('Olgyay datos'!M268&lt;'Olgyay datos'!O268,-1,IF('Olgyay datos'!M268&gt;'Olgyay datos'!P268,1,IF('Olgyay datos'!N268&lt;'Olgyay datos'!R268,1,IF('Olgyay datos'!N268&gt;'Olgyay datos'!Q268,1,0))))</f>
        <v>1</v>
      </c>
      <c r="M17" s="209">
        <f>+IF('Olgyay datos'!M296&lt;'Olgyay datos'!O296,-1,IF('Olgyay datos'!M296&gt;'Olgyay datos'!P296,1,IF('Olgyay datos'!N296&lt;'Olgyay datos'!R296,1,IF('Olgyay datos'!N296&gt;'Olgyay datos'!Q296,1,0))))</f>
        <v>0</v>
      </c>
      <c r="N17" s="234">
        <f>+IF('Olgyay datos'!M324&lt;'Olgyay datos'!O324,-1,IF('Olgyay datos'!M324&gt;'Olgyay datos'!P324,1,IF('Olgyay datos'!N324&lt;'Olgyay datos'!R324,1,IF('Olgyay datos'!N324&gt;'Olgyay datos'!Q324,1,0))))</f>
        <v>0</v>
      </c>
    </row>
    <row r="18" spans="2:14" x14ac:dyDescent="0.25">
      <c r="B18" s="228">
        <v>0.58333333333333304</v>
      </c>
      <c r="C18" s="233">
        <f>+IF('Olgyay datos'!M17&lt;'Olgyay datos'!O17,-1,IF('Olgyay datos'!M17&gt;'Olgyay datos'!P17,1,IF('Olgyay datos'!N17&lt;'Olgyay datos'!R17,1,IF('Olgyay datos'!N17&gt;'Olgyay datos'!Q17,1,0))))</f>
        <v>0</v>
      </c>
      <c r="D18" s="209">
        <f>+IF('Olgyay datos'!M45&lt;'Olgyay datos'!O45,-1,IF('Olgyay datos'!M45&gt;'Olgyay datos'!P45,1,IF('Olgyay datos'!N45&lt;'Olgyay datos'!R45,1,IF('Olgyay datos'!N45&gt;'Olgyay datos'!Q45,1,0))))</f>
        <v>0</v>
      </c>
      <c r="E18" s="209">
        <f>+IF('Olgyay datos'!M73&lt;'Olgyay datos'!O73,-1,IF('Olgyay datos'!M73&gt;'Olgyay datos'!P73,1,IF('Olgyay datos'!N73&lt;'Olgyay datos'!R73,1,IF('Olgyay datos'!N73&gt;'Olgyay datos'!Q73,1,0))))</f>
        <v>1</v>
      </c>
      <c r="F18" s="209">
        <f>+IF('Olgyay datos'!M101&lt;'Olgyay datos'!O101,-1,IF('Olgyay datos'!M101&gt;'Olgyay datos'!P101,1,IF('Olgyay datos'!N101&lt;'Olgyay datos'!R101,1,IF('Olgyay datos'!N101&gt;'Olgyay datos'!Q101,1,0))))</f>
        <v>1</v>
      </c>
      <c r="G18" s="209">
        <f>+IF('Olgyay datos'!M129&lt;'Olgyay datos'!O129,-1,IF('Olgyay datos'!M129&gt;'Olgyay datos'!P129,1,IF('Olgyay datos'!N129&lt;'Olgyay datos'!R129,1,IF('Olgyay datos'!N129&gt;'Olgyay datos'!Q129,1,0))))</f>
        <v>1</v>
      </c>
      <c r="H18" s="209">
        <f>+IF('Olgyay datos'!M157&lt;'Olgyay datos'!O157,-1,IF('Olgyay datos'!M157&gt;'Olgyay datos'!P157,1,IF('Olgyay datos'!N157&lt;'Olgyay datos'!R157,1,IF('Olgyay datos'!N157&gt;'Olgyay datos'!Q157,1,0))))</f>
        <v>1</v>
      </c>
      <c r="I18" s="209">
        <f>+IF('Olgyay datos'!M185&lt;'Olgyay datos'!O185,-1,IF('Olgyay datos'!M185&gt;'Olgyay datos'!P185,1,IF('Olgyay datos'!N185&lt;'Olgyay datos'!R185,1,IF('Olgyay datos'!N185&gt;'Olgyay datos'!Q185,1,0))))</f>
        <v>1</v>
      </c>
      <c r="J18" s="209">
        <f>+IF('Olgyay datos'!M213&lt;'Olgyay datos'!O213,-1,IF('Olgyay datos'!M213&gt;'Olgyay datos'!P213,1,IF('Olgyay datos'!N213&lt;'Olgyay datos'!R213,1,IF('Olgyay datos'!N213&gt;'Olgyay datos'!Q213,1,0))))</f>
        <v>1</v>
      </c>
      <c r="K18" s="209">
        <f>+IF('Olgyay datos'!M241&lt;'Olgyay datos'!O241,-1,IF('Olgyay datos'!M241&gt;'Olgyay datos'!P241,1,IF('Olgyay datos'!N241&lt;'Olgyay datos'!R241,1,IF('Olgyay datos'!N241&gt;'Olgyay datos'!Q241,1,0))))</f>
        <v>1</v>
      </c>
      <c r="L18" s="209">
        <f>+IF('Olgyay datos'!M269&lt;'Olgyay datos'!O269,-1,IF('Olgyay datos'!M269&gt;'Olgyay datos'!P269,1,IF('Olgyay datos'!N269&lt;'Olgyay datos'!R269,1,IF('Olgyay datos'!N269&gt;'Olgyay datos'!Q269,1,0))))</f>
        <v>1</v>
      </c>
      <c r="M18" s="209">
        <f>+IF('Olgyay datos'!M297&lt;'Olgyay datos'!O297,-1,IF('Olgyay datos'!M297&gt;'Olgyay datos'!P297,1,IF('Olgyay datos'!N297&lt;'Olgyay datos'!R297,1,IF('Olgyay datos'!N297&gt;'Olgyay datos'!Q297,1,0))))</f>
        <v>1</v>
      </c>
      <c r="N18" s="234">
        <f>+IF('Olgyay datos'!M325&lt;'Olgyay datos'!O325,-1,IF('Olgyay datos'!M325&gt;'Olgyay datos'!P325,1,IF('Olgyay datos'!N325&lt;'Olgyay datos'!R325,1,IF('Olgyay datos'!N325&gt;'Olgyay datos'!Q325,1,0))))</f>
        <v>0</v>
      </c>
    </row>
    <row r="19" spans="2:14" x14ac:dyDescent="0.25">
      <c r="B19" s="228">
        <v>0.625</v>
      </c>
      <c r="C19" s="233">
        <f>+IF('Olgyay datos'!M18&lt;'Olgyay datos'!O18,-1,IF('Olgyay datos'!M18&gt;'Olgyay datos'!P18,1,IF('Olgyay datos'!N18&lt;'Olgyay datos'!R18,1,IF('Olgyay datos'!N18&gt;'Olgyay datos'!Q18,1,0))))</f>
        <v>0</v>
      </c>
      <c r="D19" s="209">
        <f>+IF('Olgyay datos'!M46&lt;'Olgyay datos'!O46,-1,IF('Olgyay datos'!M46&gt;'Olgyay datos'!P46,1,IF('Olgyay datos'!N46&lt;'Olgyay datos'!R46,1,IF('Olgyay datos'!N46&gt;'Olgyay datos'!Q46,1,0))))</f>
        <v>0</v>
      </c>
      <c r="E19" s="209">
        <f>+IF('Olgyay datos'!M74&lt;'Olgyay datos'!O74,-1,IF('Olgyay datos'!M74&gt;'Olgyay datos'!P74,1,IF('Olgyay datos'!N74&lt;'Olgyay datos'!R74,1,IF('Olgyay datos'!N74&gt;'Olgyay datos'!Q74,1,0))))</f>
        <v>1</v>
      </c>
      <c r="F19" s="209">
        <f>+IF('Olgyay datos'!M102&lt;'Olgyay datos'!O102,-1,IF('Olgyay datos'!M102&gt;'Olgyay datos'!P102,1,IF('Olgyay datos'!N102&lt;'Olgyay datos'!R102,1,IF('Olgyay datos'!N102&gt;'Olgyay datos'!Q102,1,0))))</f>
        <v>1</v>
      </c>
      <c r="G19" s="209">
        <f>+IF('Olgyay datos'!M130&lt;'Olgyay datos'!O130,-1,IF('Olgyay datos'!M130&gt;'Olgyay datos'!P130,1,IF('Olgyay datos'!N130&lt;'Olgyay datos'!R130,1,IF('Olgyay datos'!N130&gt;'Olgyay datos'!Q130,1,0))))</f>
        <v>1</v>
      </c>
      <c r="H19" s="209">
        <f>+IF('Olgyay datos'!M158&lt;'Olgyay datos'!O158,-1,IF('Olgyay datos'!M158&gt;'Olgyay datos'!P158,1,IF('Olgyay datos'!N158&lt;'Olgyay datos'!R158,1,IF('Olgyay datos'!N158&gt;'Olgyay datos'!Q158,1,0))))</f>
        <v>1</v>
      </c>
      <c r="I19" s="209">
        <f>+IF('Olgyay datos'!M186&lt;'Olgyay datos'!O186,-1,IF('Olgyay datos'!M186&gt;'Olgyay datos'!P186,1,IF('Olgyay datos'!N186&lt;'Olgyay datos'!R186,1,IF('Olgyay datos'!N186&gt;'Olgyay datos'!Q186,1,0))))</f>
        <v>1</v>
      </c>
      <c r="J19" s="209">
        <f>+IF('Olgyay datos'!M214&lt;'Olgyay datos'!O214,-1,IF('Olgyay datos'!M214&gt;'Olgyay datos'!P214,1,IF('Olgyay datos'!N214&lt;'Olgyay datos'!R214,1,IF('Olgyay datos'!N214&gt;'Olgyay datos'!Q214,1,0))))</f>
        <v>1</v>
      </c>
      <c r="K19" s="209">
        <f>+IF('Olgyay datos'!M242&lt;'Olgyay datos'!O242,-1,IF('Olgyay datos'!M242&gt;'Olgyay datos'!P242,1,IF('Olgyay datos'!N242&lt;'Olgyay datos'!R242,1,IF('Olgyay datos'!N242&gt;'Olgyay datos'!Q242,1,0))))</f>
        <v>1</v>
      </c>
      <c r="L19" s="209">
        <f>+IF('Olgyay datos'!M270&lt;'Olgyay datos'!O270,-1,IF('Olgyay datos'!M270&gt;'Olgyay datos'!P270,1,IF('Olgyay datos'!N270&lt;'Olgyay datos'!R270,1,IF('Olgyay datos'!N270&gt;'Olgyay datos'!Q270,1,0))))</f>
        <v>1</v>
      </c>
      <c r="M19" s="209">
        <f>+IF('Olgyay datos'!M298&lt;'Olgyay datos'!O298,-1,IF('Olgyay datos'!M298&gt;'Olgyay datos'!P298,1,IF('Olgyay datos'!N298&lt;'Olgyay datos'!R298,1,IF('Olgyay datos'!N298&gt;'Olgyay datos'!Q298,1,0))))</f>
        <v>1</v>
      </c>
      <c r="N19" s="234">
        <f>+IF('Olgyay datos'!M326&lt;'Olgyay datos'!O326,-1,IF('Olgyay datos'!M326&gt;'Olgyay datos'!P326,1,IF('Olgyay datos'!N326&lt;'Olgyay datos'!R326,1,IF('Olgyay datos'!N326&gt;'Olgyay datos'!Q326,1,0))))</f>
        <v>0</v>
      </c>
    </row>
    <row r="20" spans="2:14" x14ac:dyDescent="0.25">
      <c r="B20" s="228">
        <v>0.66666666666666696</v>
      </c>
      <c r="C20" s="233">
        <f>+IF('Olgyay datos'!M19&lt;'Olgyay datos'!O19,-1,IF('Olgyay datos'!M19&gt;'Olgyay datos'!P19,1,IF('Olgyay datos'!N19&lt;'Olgyay datos'!R19,1,IF('Olgyay datos'!N19&gt;'Olgyay datos'!Q19,1,0))))</f>
        <v>0</v>
      </c>
      <c r="D20" s="209">
        <f>+IF('Olgyay datos'!M47&lt;'Olgyay datos'!O47,-1,IF('Olgyay datos'!M47&gt;'Olgyay datos'!P47,1,IF('Olgyay datos'!N47&lt;'Olgyay datos'!R47,1,IF('Olgyay datos'!N47&gt;'Olgyay datos'!Q47,1,0))))</f>
        <v>0</v>
      </c>
      <c r="E20" s="209">
        <f>+IF('Olgyay datos'!M75&lt;'Olgyay datos'!O75,-1,IF('Olgyay datos'!M75&gt;'Olgyay datos'!P75,1,IF('Olgyay datos'!N75&lt;'Olgyay datos'!R75,1,IF('Olgyay datos'!N75&gt;'Olgyay datos'!Q75,1,0))))</f>
        <v>1</v>
      </c>
      <c r="F20" s="209">
        <f>+IF('Olgyay datos'!M103&lt;'Olgyay datos'!O103,-1,IF('Olgyay datos'!M103&gt;'Olgyay datos'!P103,1,IF('Olgyay datos'!N103&lt;'Olgyay datos'!R103,1,IF('Olgyay datos'!N103&gt;'Olgyay datos'!Q103,1,0))))</f>
        <v>1</v>
      </c>
      <c r="G20" s="209">
        <f>+IF('Olgyay datos'!M131&lt;'Olgyay datos'!O131,-1,IF('Olgyay datos'!M131&gt;'Olgyay datos'!P131,1,IF('Olgyay datos'!N131&lt;'Olgyay datos'!R131,1,IF('Olgyay datos'!N131&gt;'Olgyay datos'!Q131,1,0))))</f>
        <v>1</v>
      </c>
      <c r="H20" s="209">
        <f>+IF('Olgyay datos'!M159&lt;'Olgyay datos'!O159,-1,IF('Olgyay datos'!M159&gt;'Olgyay datos'!P159,1,IF('Olgyay datos'!N159&lt;'Olgyay datos'!R159,1,IF('Olgyay datos'!N159&gt;'Olgyay datos'!Q159,1,0))))</f>
        <v>1</v>
      </c>
      <c r="I20" s="209">
        <f>+IF('Olgyay datos'!M187&lt;'Olgyay datos'!O187,-1,IF('Olgyay datos'!M187&gt;'Olgyay datos'!P187,1,IF('Olgyay datos'!N187&lt;'Olgyay datos'!R187,1,IF('Olgyay datos'!N187&gt;'Olgyay datos'!Q187,1,0))))</f>
        <v>1</v>
      </c>
      <c r="J20" s="209">
        <f>+IF('Olgyay datos'!M215&lt;'Olgyay datos'!O215,-1,IF('Olgyay datos'!M215&gt;'Olgyay datos'!P215,1,IF('Olgyay datos'!N215&lt;'Olgyay datos'!R215,1,IF('Olgyay datos'!N215&gt;'Olgyay datos'!Q215,1,0))))</f>
        <v>1</v>
      </c>
      <c r="K20" s="209">
        <f>+IF('Olgyay datos'!M243&lt;'Olgyay datos'!O243,-1,IF('Olgyay datos'!M243&gt;'Olgyay datos'!P243,1,IF('Olgyay datos'!N243&lt;'Olgyay datos'!R243,1,IF('Olgyay datos'!N243&gt;'Olgyay datos'!Q243,1,0))))</f>
        <v>1</v>
      </c>
      <c r="L20" s="209">
        <f>+IF('Olgyay datos'!M271&lt;'Olgyay datos'!O271,-1,IF('Olgyay datos'!M271&gt;'Olgyay datos'!P271,1,IF('Olgyay datos'!N271&lt;'Olgyay datos'!R271,1,IF('Olgyay datos'!N271&gt;'Olgyay datos'!Q271,1,0))))</f>
        <v>1</v>
      </c>
      <c r="M20" s="209">
        <f>+IF('Olgyay datos'!M299&lt;'Olgyay datos'!O299,-1,IF('Olgyay datos'!M299&gt;'Olgyay datos'!P299,1,IF('Olgyay datos'!N299&lt;'Olgyay datos'!R299,1,IF('Olgyay datos'!N299&gt;'Olgyay datos'!Q299,1,0))))</f>
        <v>1</v>
      </c>
      <c r="N20" s="234">
        <f>+IF('Olgyay datos'!M327&lt;'Olgyay datos'!O327,-1,IF('Olgyay datos'!M327&gt;'Olgyay datos'!P327,1,IF('Olgyay datos'!N327&lt;'Olgyay datos'!R327,1,IF('Olgyay datos'!N327&gt;'Olgyay datos'!Q327,1,0))))</f>
        <v>0</v>
      </c>
    </row>
    <row r="21" spans="2:14" x14ac:dyDescent="0.25">
      <c r="B21" s="228">
        <v>0.70833333333333304</v>
      </c>
      <c r="C21" s="233">
        <f>+IF('Olgyay datos'!M20&lt;'Olgyay datos'!O20,-1,IF('Olgyay datos'!M20&gt;'Olgyay datos'!P20,1,IF('Olgyay datos'!N20&lt;'Olgyay datos'!R20,1,IF('Olgyay datos'!N20&gt;'Olgyay datos'!Q20,1,0))))</f>
        <v>0</v>
      </c>
      <c r="D21" s="209">
        <f>+IF('Olgyay datos'!M48&lt;'Olgyay datos'!O48,-1,IF('Olgyay datos'!M48&gt;'Olgyay datos'!P48,1,IF('Olgyay datos'!N48&lt;'Olgyay datos'!R48,1,IF('Olgyay datos'!N48&gt;'Olgyay datos'!Q48,1,0))))</f>
        <v>0</v>
      </c>
      <c r="E21" s="209">
        <f>+IF('Olgyay datos'!M76&lt;'Olgyay datos'!O76,-1,IF('Olgyay datos'!M76&gt;'Olgyay datos'!P76,1,IF('Olgyay datos'!N76&lt;'Olgyay datos'!R76,1,IF('Olgyay datos'!N76&gt;'Olgyay datos'!Q76,1,0))))</f>
        <v>0</v>
      </c>
      <c r="F21" s="209">
        <f>+IF('Olgyay datos'!M104&lt;'Olgyay datos'!O104,-1,IF('Olgyay datos'!M104&gt;'Olgyay datos'!P104,1,IF('Olgyay datos'!N104&lt;'Olgyay datos'!R104,1,IF('Olgyay datos'!N104&gt;'Olgyay datos'!Q104,1,0))))</f>
        <v>1</v>
      </c>
      <c r="G21" s="209">
        <f>+IF('Olgyay datos'!M132&lt;'Olgyay datos'!O132,-1,IF('Olgyay datos'!M132&gt;'Olgyay datos'!P132,1,IF('Olgyay datos'!N132&lt;'Olgyay datos'!R132,1,IF('Olgyay datos'!N132&gt;'Olgyay datos'!Q132,1,0))))</f>
        <v>1</v>
      </c>
      <c r="H21" s="209">
        <f>+IF('Olgyay datos'!M160&lt;'Olgyay datos'!O160,-1,IF('Olgyay datos'!M160&gt;'Olgyay datos'!P160,1,IF('Olgyay datos'!N160&lt;'Olgyay datos'!R160,1,IF('Olgyay datos'!N160&gt;'Olgyay datos'!Q160,1,0))))</f>
        <v>1</v>
      </c>
      <c r="I21" s="209">
        <f>+IF('Olgyay datos'!M188&lt;'Olgyay datos'!O188,-1,IF('Olgyay datos'!M188&gt;'Olgyay datos'!P188,1,IF('Olgyay datos'!N188&lt;'Olgyay datos'!R188,1,IF('Olgyay datos'!N188&gt;'Olgyay datos'!Q188,1,0))))</f>
        <v>1</v>
      </c>
      <c r="J21" s="209">
        <f>+IF('Olgyay datos'!M216&lt;'Olgyay datos'!O216,-1,IF('Olgyay datos'!M216&gt;'Olgyay datos'!P216,1,IF('Olgyay datos'!N216&lt;'Olgyay datos'!R216,1,IF('Olgyay datos'!N216&gt;'Olgyay datos'!Q216,1,0))))</f>
        <v>1</v>
      </c>
      <c r="K21" s="209">
        <f>+IF('Olgyay datos'!M244&lt;'Olgyay datos'!O244,-1,IF('Olgyay datos'!M244&gt;'Olgyay datos'!P244,1,IF('Olgyay datos'!N244&lt;'Olgyay datos'!R244,1,IF('Olgyay datos'!N244&gt;'Olgyay datos'!Q244,1,0))))</f>
        <v>1</v>
      </c>
      <c r="L21" s="209">
        <f>+IF('Olgyay datos'!M272&lt;'Olgyay datos'!O272,-1,IF('Olgyay datos'!M272&gt;'Olgyay datos'!P272,1,IF('Olgyay datos'!N272&lt;'Olgyay datos'!R272,1,IF('Olgyay datos'!N272&gt;'Olgyay datos'!Q272,1,0))))</f>
        <v>1</v>
      </c>
      <c r="M21" s="209">
        <f>+IF('Olgyay datos'!M300&lt;'Olgyay datos'!O300,-1,IF('Olgyay datos'!M300&gt;'Olgyay datos'!P300,1,IF('Olgyay datos'!N300&lt;'Olgyay datos'!R300,1,IF('Olgyay datos'!N300&gt;'Olgyay datos'!Q300,1,0))))</f>
        <v>0</v>
      </c>
      <c r="N21" s="234">
        <f>+IF('Olgyay datos'!M328&lt;'Olgyay datos'!O328,-1,IF('Olgyay datos'!M328&gt;'Olgyay datos'!P328,1,IF('Olgyay datos'!N328&lt;'Olgyay datos'!R328,1,IF('Olgyay datos'!N328&gt;'Olgyay datos'!Q328,1,0))))</f>
        <v>0</v>
      </c>
    </row>
    <row r="22" spans="2:14" x14ac:dyDescent="0.25">
      <c r="B22" s="228">
        <v>0.75</v>
      </c>
      <c r="C22" s="233">
        <f>+IF('Olgyay datos'!M21&lt;'Olgyay datos'!O21,-1,IF('Olgyay datos'!M21&gt;'Olgyay datos'!P21,1,IF('Olgyay datos'!N21&lt;'Olgyay datos'!R21,1,IF('Olgyay datos'!N21&gt;'Olgyay datos'!Q21,1,0))))</f>
        <v>0</v>
      </c>
      <c r="D22" s="209">
        <f>+IF('Olgyay datos'!M49&lt;'Olgyay datos'!O49,-1,IF('Olgyay datos'!M49&gt;'Olgyay datos'!P49,1,IF('Olgyay datos'!N49&lt;'Olgyay datos'!R49,1,IF('Olgyay datos'!N49&gt;'Olgyay datos'!Q49,1,0))))</f>
        <v>0</v>
      </c>
      <c r="E22" s="209">
        <f>+IF('Olgyay datos'!M77&lt;'Olgyay datos'!O77,-1,IF('Olgyay datos'!M77&gt;'Olgyay datos'!P77,1,IF('Olgyay datos'!N77&lt;'Olgyay datos'!R77,1,IF('Olgyay datos'!N77&gt;'Olgyay datos'!Q77,1,0))))</f>
        <v>0</v>
      </c>
      <c r="F22" s="209">
        <f>+IF('Olgyay datos'!M105&lt;'Olgyay datos'!O105,-1,IF('Olgyay datos'!M105&gt;'Olgyay datos'!P105,1,IF('Olgyay datos'!N105&lt;'Olgyay datos'!R105,1,IF('Olgyay datos'!N105&gt;'Olgyay datos'!Q105,1,0))))</f>
        <v>0</v>
      </c>
      <c r="G22" s="209">
        <f>+IF('Olgyay datos'!M133&lt;'Olgyay datos'!O133,-1,IF('Olgyay datos'!M133&gt;'Olgyay datos'!P133,1,IF('Olgyay datos'!N133&lt;'Olgyay datos'!R133,1,IF('Olgyay datos'!N133&gt;'Olgyay datos'!Q133,1,0))))</f>
        <v>1</v>
      </c>
      <c r="H22" s="209">
        <f>+IF('Olgyay datos'!M161&lt;'Olgyay datos'!O161,-1,IF('Olgyay datos'!M161&gt;'Olgyay datos'!P161,1,IF('Olgyay datos'!N161&lt;'Olgyay datos'!R161,1,IF('Olgyay datos'!N161&gt;'Olgyay datos'!Q161,1,0))))</f>
        <v>1</v>
      </c>
      <c r="I22" s="209">
        <f>+IF('Olgyay datos'!M189&lt;'Olgyay datos'!O189,-1,IF('Olgyay datos'!M189&gt;'Olgyay datos'!P189,1,IF('Olgyay datos'!N189&lt;'Olgyay datos'!R189,1,IF('Olgyay datos'!N189&gt;'Olgyay datos'!Q189,1,0))))</f>
        <v>1</v>
      </c>
      <c r="J22" s="209">
        <f>+IF('Olgyay datos'!M217&lt;'Olgyay datos'!O217,-1,IF('Olgyay datos'!M217&gt;'Olgyay datos'!P217,1,IF('Olgyay datos'!N217&lt;'Olgyay datos'!R217,1,IF('Olgyay datos'!N217&gt;'Olgyay datos'!Q217,1,0))))</f>
        <v>1</v>
      </c>
      <c r="K22" s="209">
        <f>+IF('Olgyay datos'!M245&lt;'Olgyay datos'!O245,-1,IF('Olgyay datos'!M245&gt;'Olgyay datos'!P245,1,IF('Olgyay datos'!N245&lt;'Olgyay datos'!R245,1,IF('Olgyay datos'!N245&gt;'Olgyay datos'!Q245,1,0))))</f>
        <v>1</v>
      </c>
      <c r="L22" s="209">
        <f>+IF('Olgyay datos'!M273&lt;'Olgyay datos'!O273,-1,IF('Olgyay datos'!M273&gt;'Olgyay datos'!P273,1,IF('Olgyay datos'!N273&lt;'Olgyay datos'!R273,1,IF('Olgyay datos'!N273&gt;'Olgyay datos'!Q273,1,0))))</f>
        <v>1</v>
      </c>
      <c r="M22" s="209">
        <f>+IF('Olgyay datos'!M301&lt;'Olgyay datos'!O301,-1,IF('Olgyay datos'!M301&gt;'Olgyay datos'!P301,1,IF('Olgyay datos'!N301&lt;'Olgyay datos'!R301,1,IF('Olgyay datos'!N301&gt;'Olgyay datos'!Q301,1,0))))</f>
        <v>0</v>
      </c>
      <c r="N22" s="234">
        <f>+IF('Olgyay datos'!M329&lt;'Olgyay datos'!O329,-1,IF('Olgyay datos'!M329&gt;'Olgyay datos'!P329,1,IF('Olgyay datos'!N329&lt;'Olgyay datos'!R329,1,IF('Olgyay datos'!N329&gt;'Olgyay datos'!Q329,1,0))))</f>
        <v>0</v>
      </c>
    </row>
    <row r="23" spans="2:14" x14ac:dyDescent="0.25">
      <c r="B23" s="228">
        <v>0.79166666666666696</v>
      </c>
      <c r="C23" s="233">
        <f>+IF('Olgyay datos'!M22&lt;'Olgyay datos'!O22,-1,IF('Olgyay datos'!M22&gt;'Olgyay datos'!P22,1,IF('Olgyay datos'!N22&lt;'Olgyay datos'!R22,1,IF('Olgyay datos'!N22&gt;'Olgyay datos'!Q22,1,0))))</f>
        <v>0</v>
      </c>
      <c r="D23" s="209">
        <f>+IF('Olgyay datos'!M50&lt;'Olgyay datos'!O50,-1,IF('Olgyay datos'!M50&gt;'Olgyay datos'!P50,1,IF('Olgyay datos'!N50&lt;'Olgyay datos'!R50,1,IF('Olgyay datos'!N50&gt;'Olgyay datos'!Q50,1,0))))</f>
        <v>0</v>
      </c>
      <c r="E23" s="209">
        <f>+IF('Olgyay datos'!M78&lt;'Olgyay datos'!O78,-1,IF('Olgyay datos'!M78&gt;'Olgyay datos'!P78,1,IF('Olgyay datos'!N78&lt;'Olgyay datos'!R78,1,IF('Olgyay datos'!N78&gt;'Olgyay datos'!Q78,1,0))))</f>
        <v>0</v>
      </c>
      <c r="F23" s="209">
        <f>+IF('Olgyay datos'!M106&lt;'Olgyay datos'!O106,-1,IF('Olgyay datos'!M106&gt;'Olgyay datos'!P106,1,IF('Olgyay datos'!N106&lt;'Olgyay datos'!R106,1,IF('Olgyay datos'!N106&gt;'Olgyay datos'!Q106,1,0))))</f>
        <v>0</v>
      </c>
      <c r="G23" s="209">
        <f>+IF('Olgyay datos'!M134&lt;'Olgyay datos'!O134,-1,IF('Olgyay datos'!M134&gt;'Olgyay datos'!P134,1,IF('Olgyay datos'!N134&lt;'Olgyay datos'!R134,1,IF('Olgyay datos'!N134&gt;'Olgyay datos'!Q134,1,0))))</f>
        <v>0</v>
      </c>
      <c r="H23" s="209">
        <f>+IF('Olgyay datos'!M162&lt;'Olgyay datos'!O162,-1,IF('Olgyay datos'!M162&gt;'Olgyay datos'!P162,1,IF('Olgyay datos'!N162&lt;'Olgyay datos'!R162,1,IF('Olgyay datos'!N162&gt;'Olgyay datos'!Q162,1,0))))</f>
        <v>1</v>
      </c>
      <c r="I23" s="209">
        <f>+IF('Olgyay datos'!M190&lt;'Olgyay datos'!O190,-1,IF('Olgyay datos'!M190&gt;'Olgyay datos'!P190,1,IF('Olgyay datos'!N190&lt;'Olgyay datos'!R190,1,IF('Olgyay datos'!N190&gt;'Olgyay datos'!Q190,1,0))))</f>
        <v>1</v>
      </c>
      <c r="J23" s="209">
        <f>+IF('Olgyay datos'!M218&lt;'Olgyay datos'!O218,-1,IF('Olgyay datos'!M218&gt;'Olgyay datos'!P218,1,IF('Olgyay datos'!N218&lt;'Olgyay datos'!R218,1,IF('Olgyay datos'!N218&gt;'Olgyay datos'!Q218,1,0))))</f>
        <v>1</v>
      </c>
      <c r="K23" s="209">
        <f>+IF('Olgyay datos'!M246&lt;'Olgyay datos'!O246,-1,IF('Olgyay datos'!M246&gt;'Olgyay datos'!P246,1,IF('Olgyay datos'!N246&lt;'Olgyay datos'!R246,1,IF('Olgyay datos'!N246&gt;'Olgyay datos'!Q246,1,0))))</f>
        <v>1</v>
      </c>
      <c r="L23" s="209">
        <f>+IF('Olgyay datos'!M274&lt;'Olgyay datos'!O274,-1,IF('Olgyay datos'!M274&gt;'Olgyay datos'!P274,1,IF('Olgyay datos'!N274&lt;'Olgyay datos'!R274,1,IF('Olgyay datos'!N274&gt;'Olgyay datos'!Q274,1,0))))</f>
        <v>1</v>
      </c>
      <c r="M23" s="209">
        <f>+IF('Olgyay datos'!M302&lt;'Olgyay datos'!O302,-1,IF('Olgyay datos'!M302&gt;'Olgyay datos'!P302,1,IF('Olgyay datos'!N302&lt;'Olgyay datos'!R302,1,IF('Olgyay datos'!N302&gt;'Olgyay datos'!Q302,1,0))))</f>
        <v>0</v>
      </c>
      <c r="N23" s="234">
        <f>+IF('Olgyay datos'!M330&lt;'Olgyay datos'!O330,-1,IF('Olgyay datos'!M330&gt;'Olgyay datos'!P330,1,IF('Olgyay datos'!N330&lt;'Olgyay datos'!R330,1,IF('Olgyay datos'!N330&gt;'Olgyay datos'!Q330,1,0))))</f>
        <v>0</v>
      </c>
    </row>
    <row r="24" spans="2:14" x14ac:dyDescent="0.25">
      <c r="B24" s="228">
        <v>0.83333333333333304</v>
      </c>
      <c r="C24" s="233">
        <f>+IF('Olgyay datos'!M23&lt;'Olgyay datos'!O23,-1,IF('Olgyay datos'!M23&gt;'Olgyay datos'!P23,1,IF('Olgyay datos'!N23&lt;'Olgyay datos'!R23,1,IF('Olgyay datos'!N23&gt;'Olgyay datos'!Q23,1,0))))</f>
        <v>-1</v>
      </c>
      <c r="D24" s="209">
        <f>+IF('Olgyay datos'!M51&lt;'Olgyay datos'!O51,-1,IF('Olgyay datos'!M51&gt;'Olgyay datos'!P51,1,IF('Olgyay datos'!N51&lt;'Olgyay datos'!R51,1,IF('Olgyay datos'!N51&gt;'Olgyay datos'!Q51,1,0))))</f>
        <v>-1</v>
      </c>
      <c r="E24" s="209">
        <f>+IF('Olgyay datos'!M79&lt;'Olgyay datos'!O79,-1,IF('Olgyay datos'!M79&gt;'Olgyay datos'!P79,1,IF('Olgyay datos'!N79&lt;'Olgyay datos'!R79,1,IF('Olgyay datos'!N79&gt;'Olgyay datos'!Q79,1,0))))</f>
        <v>0</v>
      </c>
      <c r="F24" s="209">
        <f>+IF('Olgyay datos'!M107&lt;'Olgyay datos'!O107,-1,IF('Olgyay datos'!M107&gt;'Olgyay datos'!P107,1,IF('Olgyay datos'!N107&lt;'Olgyay datos'!R107,1,IF('Olgyay datos'!N107&gt;'Olgyay datos'!Q107,1,0))))</f>
        <v>0</v>
      </c>
      <c r="G24" s="209">
        <f>+IF('Olgyay datos'!M135&lt;'Olgyay datos'!O135,-1,IF('Olgyay datos'!M135&gt;'Olgyay datos'!P135,1,IF('Olgyay datos'!N135&lt;'Olgyay datos'!R135,1,IF('Olgyay datos'!N135&gt;'Olgyay datos'!Q135,1,0))))</f>
        <v>0</v>
      </c>
      <c r="H24" s="209">
        <f>+IF('Olgyay datos'!M163&lt;'Olgyay datos'!O163,-1,IF('Olgyay datos'!M163&gt;'Olgyay datos'!P163,1,IF('Olgyay datos'!N163&lt;'Olgyay datos'!R163,1,IF('Olgyay datos'!N163&gt;'Olgyay datos'!Q163,1,0))))</f>
        <v>1</v>
      </c>
      <c r="I24" s="209">
        <f>+IF('Olgyay datos'!M191&lt;'Olgyay datos'!O191,-1,IF('Olgyay datos'!M191&gt;'Olgyay datos'!P191,1,IF('Olgyay datos'!N191&lt;'Olgyay datos'!R191,1,IF('Olgyay datos'!N191&gt;'Olgyay datos'!Q191,1,0))))</f>
        <v>1</v>
      </c>
      <c r="J24" s="209">
        <f>+IF('Olgyay datos'!M219&lt;'Olgyay datos'!O219,-1,IF('Olgyay datos'!M219&gt;'Olgyay datos'!P219,1,IF('Olgyay datos'!N219&lt;'Olgyay datos'!R219,1,IF('Olgyay datos'!N219&gt;'Olgyay datos'!Q219,1,0))))</f>
        <v>1</v>
      </c>
      <c r="K24" s="209">
        <f>+IF('Olgyay datos'!M247&lt;'Olgyay datos'!O247,-1,IF('Olgyay datos'!M247&gt;'Olgyay datos'!P247,1,IF('Olgyay datos'!N247&lt;'Olgyay datos'!R247,1,IF('Olgyay datos'!N247&gt;'Olgyay datos'!Q247,1,0))))</f>
        <v>1</v>
      </c>
      <c r="L24" s="209">
        <f>+IF('Olgyay datos'!M275&lt;'Olgyay datos'!O275,-1,IF('Olgyay datos'!M275&gt;'Olgyay datos'!P275,1,IF('Olgyay datos'!N275&lt;'Olgyay datos'!R275,1,IF('Olgyay datos'!N275&gt;'Olgyay datos'!Q275,1,0))))</f>
        <v>0</v>
      </c>
      <c r="M24" s="209">
        <f>+IF('Olgyay datos'!M303&lt;'Olgyay datos'!O303,-1,IF('Olgyay datos'!M303&gt;'Olgyay datos'!P303,1,IF('Olgyay datos'!N303&lt;'Olgyay datos'!R303,1,IF('Olgyay datos'!N303&gt;'Olgyay datos'!Q303,1,0))))</f>
        <v>0</v>
      </c>
      <c r="N24" s="234">
        <f>+IF('Olgyay datos'!M331&lt;'Olgyay datos'!O331,-1,IF('Olgyay datos'!M331&gt;'Olgyay datos'!P331,1,IF('Olgyay datos'!N331&lt;'Olgyay datos'!R331,1,IF('Olgyay datos'!N331&gt;'Olgyay datos'!Q331,1,0))))</f>
        <v>-1</v>
      </c>
    </row>
    <row r="25" spans="2:14" x14ac:dyDescent="0.25">
      <c r="B25" s="228">
        <v>0.875</v>
      </c>
      <c r="C25" s="233">
        <f>+IF('Olgyay datos'!M24&lt;'Olgyay datos'!O24,-1,IF('Olgyay datos'!M24&gt;'Olgyay datos'!P24,1,IF('Olgyay datos'!N24&lt;'Olgyay datos'!R24,1,IF('Olgyay datos'!N24&gt;'Olgyay datos'!Q24,1,0))))</f>
        <v>-1</v>
      </c>
      <c r="D25" s="209">
        <f>+IF('Olgyay datos'!M52&lt;'Olgyay datos'!O52,-1,IF('Olgyay datos'!M52&gt;'Olgyay datos'!P52,1,IF('Olgyay datos'!N52&lt;'Olgyay datos'!R52,1,IF('Olgyay datos'!N52&gt;'Olgyay datos'!Q52,1,0))))</f>
        <v>-1</v>
      </c>
      <c r="E25" s="209">
        <f>+IF('Olgyay datos'!M80&lt;'Olgyay datos'!O80,-1,IF('Olgyay datos'!M80&gt;'Olgyay datos'!P80,1,IF('Olgyay datos'!N80&lt;'Olgyay datos'!R80,1,IF('Olgyay datos'!N80&gt;'Olgyay datos'!Q80,1,0))))</f>
        <v>-1</v>
      </c>
      <c r="F25" s="209">
        <f>+IF('Olgyay datos'!M108&lt;'Olgyay datos'!O108,-1,IF('Olgyay datos'!M108&gt;'Olgyay datos'!P108,1,IF('Olgyay datos'!N108&lt;'Olgyay datos'!R108,1,IF('Olgyay datos'!N108&gt;'Olgyay datos'!Q108,1,0))))</f>
        <v>0</v>
      </c>
      <c r="G25" s="209">
        <f>+IF('Olgyay datos'!M136&lt;'Olgyay datos'!O136,-1,IF('Olgyay datos'!M136&gt;'Olgyay datos'!P136,1,IF('Olgyay datos'!N136&lt;'Olgyay datos'!R136,1,IF('Olgyay datos'!N136&gt;'Olgyay datos'!Q136,1,0))))</f>
        <v>0</v>
      </c>
      <c r="H25" s="209">
        <f>+IF('Olgyay datos'!M164&lt;'Olgyay datos'!O164,-1,IF('Olgyay datos'!M164&gt;'Olgyay datos'!P164,1,IF('Olgyay datos'!N164&lt;'Olgyay datos'!R164,1,IF('Olgyay datos'!N164&gt;'Olgyay datos'!Q164,1,0))))</f>
        <v>0</v>
      </c>
      <c r="I25" s="209">
        <f>+IF('Olgyay datos'!M192&lt;'Olgyay datos'!O192,-1,IF('Olgyay datos'!M192&gt;'Olgyay datos'!P192,1,IF('Olgyay datos'!N192&lt;'Olgyay datos'!R192,1,IF('Olgyay datos'!N192&gt;'Olgyay datos'!Q192,1,0))))</f>
        <v>1</v>
      </c>
      <c r="J25" s="209">
        <f>+IF('Olgyay datos'!M220&lt;'Olgyay datos'!O220,-1,IF('Olgyay datos'!M220&gt;'Olgyay datos'!P220,1,IF('Olgyay datos'!N220&lt;'Olgyay datos'!R220,1,IF('Olgyay datos'!N220&gt;'Olgyay datos'!Q220,1,0))))</f>
        <v>1</v>
      </c>
      <c r="K25" s="209">
        <f>+IF('Olgyay datos'!M248&lt;'Olgyay datos'!O248,-1,IF('Olgyay datos'!M248&gt;'Olgyay datos'!P248,1,IF('Olgyay datos'!N248&lt;'Olgyay datos'!R248,1,IF('Olgyay datos'!N248&gt;'Olgyay datos'!Q248,1,0))))</f>
        <v>1</v>
      </c>
      <c r="L25" s="209">
        <f>+IF('Olgyay datos'!M276&lt;'Olgyay datos'!O276,-1,IF('Olgyay datos'!M276&gt;'Olgyay datos'!P276,1,IF('Olgyay datos'!N276&lt;'Olgyay datos'!R276,1,IF('Olgyay datos'!N276&gt;'Olgyay datos'!Q276,1,0))))</f>
        <v>0</v>
      </c>
      <c r="M25" s="209">
        <f>+IF('Olgyay datos'!M304&lt;'Olgyay datos'!O304,-1,IF('Olgyay datos'!M304&gt;'Olgyay datos'!P304,1,IF('Olgyay datos'!N304&lt;'Olgyay datos'!R304,1,IF('Olgyay datos'!N304&gt;'Olgyay datos'!Q304,1,0))))</f>
        <v>0</v>
      </c>
      <c r="N25" s="234">
        <f>+IF('Olgyay datos'!M332&lt;'Olgyay datos'!O332,-1,IF('Olgyay datos'!M332&gt;'Olgyay datos'!P332,1,IF('Olgyay datos'!N332&lt;'Olgyay datos'!R332,1,IF('Olgyay datos'!N332&gt;'Olgyay datos'!Q332,1,0))))</f>
        <v>-1</v>
      </c>
    </row>
    <row r="26" spans="2:14" x14ac:dyDescent="0.25">
      <c r="B26" s="228">
        <v>0.91666666666666696</v>
      </c>
      <c r="C26" s="233">
        <f>+IF('Olgyay datos'!M25&lt;'Olgyay datos'!O25,-1,IF('Olgyay datos'!M25&gt;'Olgyay datos'!P25,1,IF('Olgyay datos'!N25&lt;'Olgyay datos'!R25,1,IF('Olgyay datos'!N25&gt;'Olgyay datos'!Q25,1,0))))</f>
        <v>-1</v>
      </c>
      <c r="D26" s="209">
        <f>+IF('Olgyay datos'!M53&lt;'Olgyay datos'!O53,-1,IF('Olgyay datos'!M53&gt;'Olgyay datos'!P53,1,IF('Olgyay datos'!N53&lt;'Olgyay datos'!R53,1,IF('Olgyay datos'!N53&gt;'Olgyay datos'!Q53,1,0))))</f>
        <v>-1</v>
      </c>
      <c r="E26" s="209">
        <f>+IF('Olgyay datos'!M81&lt;'Olgyay datos'!O81,-1,IF('Olgyay datos'!M81&gt;'Olgyay datos'!P81,1,IF('Olgyay datos'!N81&lt;'Olgyay datos'!R81,1,IF('Olgyay datos'!N81&gt;'Olgyay datos'!Q81,1,0))))</f>
        <v>-1</v>
      </c>
      <c r="F26" s="209">
        <f>+IF('Olgyay datos'!M109&lt;'Olgyay datos'!O109,-1,IF('Olgyay datos'!M109&gt;'Olgyay datos'!P109,1,IF('Olgyay datos'!N109&lt;'Olgyay datos'!R109,1,IF('Olgyay datos'!N109&gt;'Olgyay datos'!Q109,1,0))))</f>
        <v>0</v>
      </c>
      <c r="G26" s="209">
        <f>+IF('Olgyay datos'!M137&lt;'Olgyay datos'!O137,-1,IF('Olgyay datos'!M137&gt;'Olgyay datos'!P137,1,IF('Olgyay datos'!N137&lt;'Olgyay datos'!R137,1,IF('Olgyay datos'!N137&gt;'Olgyay datos'!Q137,1,0))))</f>
        <v>0</v>
      </c>
      <c r="H26" s="209">
        <f>+IF('Olgyay datos'!M165&lt;'Olgyay datos'!O165,-1,IF('Olgyay datos'!M165&gt;'Olgyay datos'!P165,1,IF('Olgyay datos'!N165&lt;'Olgyay datos'!R165,1,IF('Olgyay datos'!N165&gt;'Olgyay datos'!Q165,1,0))))</f>
        <v>0</v>
      </c>
      <c r="I26" s="209">
        <f>+IF('Olgyay datos'!M193&lt;'Olgyay datos'!O193,-1,IF('Olgyay datos'!M193&gt;'Olgyay datos'!P193,1,IF('Olgyay datos'!N193&lt;'Olgyay datos'!R193,1,IF('Olgyay datos'!N193&gt;'Olgyay datos'!Q193,1,0))))</f>
        <v>0</v>
      </c>
      <c r="J26" s="209">
        <f>+IF('Olgyay datos'!M221&lt;'Olgyay datos'!O221,-1,IF('Olgyay datos'!M221&gt;'Olgyay datos'!P221,1,IF('Olgyay datos'!N221&lt;'Olgyay datos'!R221,1,IF('Olgyay datos'!N221&gt;'Olgyay datos'!Q221,1,0))))</f>
        <v>1</v>
      </c>
      <c r="K26" s="209">
        <f>+IF('Olgyay datos'!M249&lt;'Olgyay datos'!O249,-1,IF('Olgyay datos'!M249&gt;'Olgyay datos'!P249,1,IF('Olgyay datos'!N249&lt;'Olgyay datos'!R249,1,IF('Olgyay datos'!N249&gt;'Olgyay datos'!Q249,1,0))))</f>
        <v>0</v>
      </c>
      <c r="L26" s="209">
        <f>+IF('Olgyay datos'!M277&lt;'Olgyay datos'!O277,-1,IF('Olgyay datos'!M277&gt;'Olgyay datos'!P277,1,IF('Olgyay datos'!N277&lt;'Olgyay datos'!R277,1,IF('Olgyay datos'!N277&gt;'Olgyay datos'!Q277,1,0))))</f>
        <v>0</v>
      </c>
      <c r="M26" s="209">
        <f>+IF('Olgyay datos'!M305&lt;'Olgyay datos'!O305,-1,IF('Olgyay datos'!M305&gt;'Olgyay datos'!P305,1,IF('Olgyay datos'!N305&lt;'Olgyay datos'!R305,1,IF('Olgyay datos'!N305&gt;'Olgyay datos'!Q305,1,0))))</f>
        <v>-1</v>
      </c>
      <c r="N26" s="234">
        <f>+IF('Olgyay datos'!M333&lt;'Olgyay datos'!O333,-1,IF('Olgyay datos'!M333&gt;'Olgyay datos'!P333,1,IF('Olgyay datos'!N333&lt;'Olgyay datos'!R333,1,IF('Olgyay datos'!N333&gt;'Olgyay datos'!Q333,1,0))))</f>
        <v>-1</v>
      </c>
    </row>
    <row r="27" spans="2:14" x14ac:dyDescent="0.25">
      <c r="B27" s="228">
        <v>0.95833333333333304</v>
      </c>
      <c r="C27" s="233">
        <f>+IF('Olgyay datos'!M26&lt;'Olgyay datos'!O26,-1,IF('Olgyay datos'!M26&gt;'Olgyay datos'!P26,1,IF('Olgyay datos'!N26&lt;'Olgyay datos'!R26,1,IF('Olgyay datos'!N26&gt;'Olgyay datos'!Q26,1,0))))</f>
        <v>-1</v>
      </c>
      <c r="D27" s="209">
        <f>+IF('Olgyay datos'!M54&lt;'Olgyay datos'!O54,-1,IF('Olgyay datos'!M54&gt;'Olgyay datos'!P54,1,IF('Olgyay datos'!N54&lt;'Olgyay datos'!R54,1,IF('Olgyay datos'!N54&gt;'Olgyay datos'!Q54,1,0))))</f>
        <v>-1</v>
      </c>
      <c r="E27" s="209">
        <f>+IF('Olgyay datos'!M82&lt;'Olgyay datos'!O82,-1,IF('Olgyay datos'!M82&gt;'Olgyay datos'!P82,1,IF('Olgyay datos'!N82&lt;'Olgyay datos'!R82,1,IF('Olgyay datos'!N82&gt;'Olgyay datos'!Q82,1,0))))</f>
        <v>-1</v>
      </c>
      <c r="F27" s="209">
        <f>+IF('Olgyay datos'!M110&lt;'Olgyay datos'!O110,-1,IF('Olgyay datos'!M110&gt;'Olgyay datos'!P110,1,IF('Olgyay datos'!N110&lt;'Olgyay datos'!R110,1,IF('Olgyay datos'!N110&gt;'Olgyay datos'!Q110,1,0))))</f>
        <v>-1</v>
      </c>
      <c r="G27" s="209">
        <f>+IF('Olgyay datos'!M138&lt;'Olgyay datos'!O138,-1,IF('Olgyay datos'!M138&gt;'Olgyay datos'!P138,1,IF('Olgyay datos'!N138&lt;'Olgyay datos'!R138,1,IF('Olgyay datos'!N138&gt;'Olgyay datos'!Q138,1,0))))</f>
        <v>0</v>
      </c>
      <c r="H27" s="209">
        <f>+IF('Olgyay datos'!M166&lt;'Olgyay datos'!O166,-1,IF('Olgyay datos'!M166&gt;'Olgyay datos'!P166,1,IF('Olgyay datos'!N166&lt;'Olgyay datos'!R166,1,IF('Olgyay datos'!N166&gt;'Olgyay datos'!Q166,1,0))))</f>
        <v>0</v>
      </c>
      <c r="I27" s="209">
        <f>+IF('Olgyay datos'!M194&lt;'Olgyay datos'!O194,-1,IF('Olgyay datos'!M194&gt;'Olgyay datos'!P194,1,IF('Olgyay datos'!N194&lt;'Olgyay datos'!R194,1,IF('Olgyay datos'!N194&gt;'Olgyay datos'!Q194,1,0))))</f>
        <v>0</v>
      </c>
      <c r="J27" s="209">
        <f>+IF('Olgyay datos'!M222&lt;'Olgyay datos'!O222,-1,IF('Olgyay datos'!M222&gt;'Olgyay datos'!P222,1,IF('Olgyay datos'!N222&lt;'Olgyay datos'!R222,1,IF('Olgyay datos'!N222&gt;'Olgyay datos'!Q222,1,0))))</f>
        <v>1</v>
      </c>
      <c r="K27" s="209">
        <f>+IF('Olgyay datos'!M250&lt;'Olgyay datos'!O250,-1,IF('Olgyay datos'!M250&gt;'Olgyay datos'!P250,1,IF('Olgyay datos'!N250&lt;'Olgyay datos'!R250,1,IF('Olgyay datos'!N250&gt;'Olgyay datos'!Q250,1,0))))</f>
        <v>0</v>
      </c>
      <c r="L27" s="209">
        <f>+IF('Olgyay datos'!M278&lt;'Olgyay datos'!O278,-1,IF('Olgyay datos'!M278&gt;'Olgyay datos'!P278,1,IF('Olgyay datos'!N278&lt;'Olgyay datos'!R278,1,IF('Olgyay datos'!N278&gt;'Olgyay datos'!Q278,1,0))))</f>
        <v>0</v>
      </c>
      <c r="M27" s="209">
        <f>+IF('Olgyay datos'!M306&lt;'Olgyay datos'!O306,-1,IF('Olgyay datos'!M306&gt;'Olgyay datos'!P306,1,IF('Olgyay datos'!N306&lt;'Olgyay datos'!R306,1,IF('Olgyay datos'!N306&gt;'Olgyay datos'!Q306,1,0))))</f>
        <v>-1</v>
      </c>
      <c r="N27" s="234">
        <f>+IF('Olgyay datos'!M334&lt;'Olgyay datos'!O334,-1,IF('Olgyay datos'!M334&gt;'Olgyay datos'!P334,1,IF('Olgyay datos'!N334&lt;'Olgyay datos'!R334,1,IF('Olgyay datos'!N334&gt;'Olgyay datos'!Q334,1,0))))</f>
        <v>-1</v>
      </c>
    </row>
    <row r="28" spans="2:14" ht="15.75" thickBot="1" x14ac:dyDescent="0.3">
      <c r="B28" s="228">
        <v>0</v>
      </c>
      <c r="C28" s="235">
        <f>+IF('Olgyay datos'!M3&lt;'Olgyay datos'!O3,-1,IF('Olgyay datos'!M3&gt;'Olgyay datos'!P3,1,IF('Olgyay datos'!N3&lt;'Olgyay datos'!R3,1,IF('Olgyay datos'!N3&gt;'Olgyay datos'!Q3,1,0))))</f>
        <v>-1</v>
      </c>
      <c r="D28" s="236">
        <f>+IF('Olgyay datos'!M31&lt;'Olgyay datos'!O31,-1,IF('Olgyay datos'!M31&gt;'Olgyay datos'!P31,1,IF('Olgyay datos'!N31&lt;'Olgyay datos'!R31,1,IF('Olgyay datos'!N31&gt;'Olgyay datos'!Q31,1,0))))</f>
        <v>-1</v>
      </c>
      <c r="E28" s="236">
        <f>+IF('Olgyay datos'!M59&lt;'Olgyay datos'!O59,-1,IF('Olgyay datos'!M59&gt;'Olgyay datos'!P59,1,IF('Olgyay datos'!N59&lt;'Olgyay datos'!R59,1,IF('Olgyay datos'!N59&gt;'Olgyay datos'!Q59,1,0))))</f>
        <v>-1</v>
      </c>
      <c r="F28" s="236">
        <f>+IF('Olgyay datos'!M87&lt;'Olgyay datos'!O87,-1,IF('Olgyay datos'!M87&gt;'Olgyay datos'!P87,1,IF('Olgyay datos'!N87&lt;'Olgyay datos'!R87,1,IF('Olgyay datos'!N87&gt;'Olgyay datos'!Q87,1,0))))</f>
        <v>-1</v>
      </c>
      <c r="G28" s="236">
        <f>+IF('Olgyay datos'!M115&lt;'Olgyay datos'!O115,-1,IF('Olgyay datos'!M115&gt;'Olgyay datos'!P115,1,IF('Olgyay datos'!N115&lt;'Olgyay datos'!R115,1,IF('Olgyay datos'!N115&gt;'Olgyay datos'!Q115,1,0))))</f>
        <v>-1</v>
      </c>
      <c r="H28" s="236">
        <f>+IF('Olgyay datos'!M143&lt;'Olgyay datos'!O143,-1,IF('Olgyay datos'!M143&gt;'Olgyay datos'!P143,1,IF('Olgyay datos'!N143&lt;'Olgyay datos'!R143,1,IF('Olgyay datos'!N143&gt;'Olgyay datos'!Q143,1,0))))</f>
        <v>0</v>
      </c>
      <c r="I28" s="236">
        <f>+IF('Olgyay datos'!M171&lt;'Olgyay datos'!O171,-1,IF('Olgyay datos'!M171&gt;'Olgyay datos'!P171,1,IF('Olgyay datos'!N171&lt;'Olgyay datos'!R171,1,IF('Olgyay datos'!N171&gt;'Olgyay datos'!Q171,1,0))))</f>
        <v>0</v>
      </c>
      <c r="J28" s="236">
        <f>+IF('Olgyay datos'!M199&lt;'Olgyay datos'!O199,-1,IF('Olgyay datos'!M199&gt;'Olgyay datos'!P199,1,IF('Olgyay datos'!N199&lt;'Olgyay datos'!R199,1,IF('Olgyay datos'!N199&gt;'Olgyay datos'!Q199,1,0))))</f>
        <v>0</v>
      </c>
      <c r="K28" s="236">
        <f>+IF('Olgyay datos'!M227&lt;'Olgyay datos'!O227,-1,IF('Olgyay datos'!M227&gt;'Olgyay datos'!P227,1,IF('Olgyay datos'!N227&lt;'Olgyay datos'!R227,1,IF('Olgyay datos'!N227&gt;'Olgyay datos'!Q227,1,0))))</f>
        <v>0</v>
      </c>
      <c r="L28" s="236">
        <f>+IF('Olgyay datos'!M255&lt;'Olgyay datos'!O255,-1,IF('Olgyay datos'!M255&gt;'Olgyay datos'!P255,1,IF('Olgyay datos'!N255&lt;'Olgyay datos'!R255,1,IF('Olgyay datos'!N255&gt;'Olgyay datos'!Q255,1,0))))</f>
        <v>0</v>
      </c>
      <c r="M28" s="236">
        <f>+IF('Olgyay datos'!M283&lt;'Olgyay datos'!O283,-1,IF('Olgyay datos'!M283&gt;'Olgyay datos'!P283,1,IF('Olgyay datos'!N283&lt;'Olgyay datos'!R283,1,IF('Olgyay datos'!N283&gt;'Olgyay datos'!Q283,1,0))))</f>
        <v>-1</v>
      </c>
      <c r="N28" s="237">
        <f>+IF('Olgyay datos'!M311&lt;'Olgyay datos'!O311,-1,IF('Olgyay datos'!M311&gt;'Olgyay datos'!P311,1,IF('Olgyay datos'!N311&lt;'Olgyay datos'!R311,1,IF('Olgyay datos'!N311&gt;'Olgyay datos'!Q311,1,0))))</f>
        <v>-1</v>
      </c>
    </row>
    <row r="29" spans="2:14" x14ac:dyDescent="0.25">
      <c r="B29" s="238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2:14" x14ac:dyDescent="0.25">
      <c r="C30" s="242"/>
      <c r="E30" s="30">
        <v>-1</v>
      </c>
      <c r="F30" s="212" t="s">
        <v>75</v>
      </c>
      <c r="G30" s="242"/>
      <c r="H30" s="29">
        <v>0</v>
      </c>
      <c r="I30" s="212" t="s">
        <v>76</v>
      </c>
      <c r="J30" s="242"/>
      <c r="K30" s="31">
        <v>1</v>
      </c>
      <c r="L30" s="212" t="s">
        <v>77</v>
      </c>
      <c r="M30" s="242"/>
    </row>
    <row r="31" spans="2:14" x14ac:dyDescent="0.25">
      <c r="C31" s="242"/>
    </row>
    <row r="32" spans="2:14" x14ac:dyDescent="0.25">
      <c r="C32" s="242"/>
    </row>
    <row r="33" spans="2:3" x14ac:dyDescent="0.25">
      <c r="B33" s="21"/>
      <c r="C33" s="242"/>
    </row>
    <row r="34" spans="2:3" x14ac:dyDescent="0.25">
      <c r="B34" s="21"/>
      <c r="C34" s="242"/>
    </row>
    <row r="35" spans="2:3" x14ac:dyDescent="0.25">
      <c r="B35" s="21"/>
      <c r="C35" s="242"/>
    </row>
    <row r="36" spans="2:3" x14ac:dyDescent="0.25">
      <c r="B36" s="21"/>
      <c r="C36" s="242"/>
    </row>
    <row r="37" spans="2:3" x14ac:dyDescent="0.25">
      <c r="B37" s="21"/>
      <c r="C37" s="242"/>
    </row>
    <row r="38" spans="2:3" x14ac:dyDescent="0.25">
      <c r="B38" s="21"/>
      <c r="C38" s="242"/>
    </row>
    <row r="39" spans="2:3" x14ac:dyDescent="0.25">
      <c r="B39" s="21"/>
      <c r="C39" s="242"/>
    </row>
    <row r="40" spans="2:3" x14ac:dyDescent="0.25">
      <c r="B40" s="21"/>
      <c r="C40" s="242"/>
    </row>
    <row r="41" spans="2:3" x14ac:dyDescent="0.25">
      <c r="B41" s="21"/>
      <c r="C41" s="242"/>
    </row>
    <row r="42" spans="2:3" x14ac:dyDescent="0.25">
      <c r="B42" s="21"/>
      <c r="C42" s="242"/>
    </row>
    <row r="43" spans="2:3" x14ac:dyDescent="0.25">
      <c r="B43" s="21"/>
      <c r="C43" s="242"/>
    </row>
    <row r="44" spans="2:3" x14ac:dyDescent="0.25">
      <c r="B44" s="21"/>
      <c r="C44" s="242"/>
    </row>
    <row r="45" spans="2:3" x14ac:dyDescent="0.25">
      <c r="B45" s="21"/>
      <c r="C45" s="242"/>
    </row>
    <row r="46" spans="2:3" x14ac:dyDescent="0.25">
      <c r="B46" s="21"/>
      <c r="C46" s="242"/>
    </row>
    <row r="47" spans="2:3" x14ac:dyDescent="0.25">
      <c r="B47" s="21"/>
      <c r="C47" s="242"/>
    </row>
    <row r="48" spans="2:3" x14ac:dyDescent="0.25">
      <c r="B48" s="21"/>
      <c r="C48" s="242"/>
    </row>
    <row r="49" spans="2:3" x14ac:dyDescent="0.25">
      <c r="B49" s="21"/>
      <c r="C49" s="242"/>
    </row>
    <row r="50" spans="2:3" x14ac:dyDescent="0.25">
      <c r="B50" s="21"/>
      <c r="C50" s="242"/>
    </row>
    <row r="51" spans="2:3" x14ac:dyDescent="0.25">
      <c r="B51" s="21"/>
      <c r="C51" s="242"/>
    </row>
    <row r="52" spans="2:3" x14ac:dyDescent="0.25">
      <c r="B52" s="21"/>
      <c r="C52" s="242"/>
    </row>
    <row r="53" spans="2:3" x14ac:dyDescent="0.25">
      <c r="B53" s="21"/>
      <c r="C53" s="242"/>
    </row>
    <row r="54" spans="2:3" x14ac:dyDescent="0.25">
      <c r="B54" s="21"/>
      <c r="C54" s="242"/>
    </row>
    <row r="55" spans="2:3" x14ac:dyDescent="0.25">
      <c r="B55" s="21"/>
      <c r="C55" s="242"/>
    </row>
    <row r="56" spans="2:3" x14ac:dyDescent="0.25">
      <c r="B56" s="21"/>
      <c r="C56" s="242"/>
    </row>
    <row r="57" spans="2:3" x14ac:dyDescent="0.25">
      <c r="C57" s="242"/>
    </row>
    <row r="58" spans="2:3" x14ac:dyDescent="0.25">
      <c r="C58" s="242"/>
    </row>
    <row r="59" spans="2:3" x14ac:dyDescent="0.25">
      <c r="C59" s="242"/>
    </row>
    <row r="60" spans="2:3" x14ac:dyDescent="0.25">
      <c r="C60" s="242"/>
    </row>
    <row r="61" spans="2:3" x14ac:dyDescent="0.25">
      <c r="B61" s="21"/>
      <c r="C61" s="242"/>
    </row>
    <row r="62" spans="2:3" x14ac:dyDescent="0.25">
      <c r="B62" s="21"/>
      <c r="C62" s="242"/>
    </row>
    <row r="63" spans="2:3" x14ac:dyDescent="0.25">
      <c r="B63" s="21"/>
      <c r="C63" s="242"/>
    </row>
    <row r="64" spans="2:3" x14ac:dyDescent="0.25">
      <c r="B64" s="21"/>
      <c r="C64" s="242"/>
    </row>
    <row r="65" spans="2:3" x14ac:dyDescent="0.25">
      <c r="B65" s="21"/>
      <c r="C65" s="242"/>
    </row>
    <row r="66" spans="2:3" x14ac:dyDescent="0.25">
      <c r="B66" s="21"/>
      <c r="C66" s="242"/>
    </row>
    <row r="67" spans="2:3" x14ac:dyDescent="0.25">
      <c r="B67" s="21"/>
      <c r="C67" s="242"/>
    </row>
    <row r="68" spans="2:3" x14ac:dyDescent="0.25">
      <c r="B68" s="21"/>
      <c r="C68" s="242"/>
    </row>
    <row r="69" spans="2:3" x14ac:dyDescent="0.25">
      <c r="B69" s="21"/>
      <c r="C69" s="242"/>
    </row>
    <row r="70" spans="2:3" x14ac:dyDescent="0.25">
      <c r="B70" s="21"/>
      <c r="C70" s="242"/>
    </row>
    <row r="71" spans="2:3" x14ac:dyDescent="0.25">
      <c r="B71" s="21"/>
      <c r="C71" s="242"/>
    </row>
    <row r="72" spans="2:3" x14ac:dyDescent="0.25">
      <c r="B72" s="21"/>
      <c r="C72" s="242"/>
    </row>
    <row r="73" spans="2:3" x14ac:dyDescent="0.25">
      <c r="B73" s="21"/>
      <c r="C73" s="242"/>
    </row>
    <row r="74" spans="2:3" x14ac:dyDescent="0.25">
      <c r="B74" s="21"/>
      <c r="C74" s="242"/>
    </row>
    <row r="75" spans="2:3" x14ac:dyDescent="0.25">
      <c r="B75" s="21"/>
      <c r="C75" s="242"/>
    </row>
    <row r="76" spans="2:3" x14ac:dyDescent="0.25">
      <c r="B76" s="21"/>
      <c r="C76" s="242"/>
    </row>
    <row r="77" spans="2:3" x14ac:dyDescent="0.25">
      <c r="B77" s="21"/>
      <c r="C77" s="242"/>
    </row>
    <row r="78" spans="2:3" x14ac:dyDescent="0.25">
      <c r="B78" s="21"/>
      <c r="C78" s="242"/>
    </row>
    <row r="79" spans="2:3" x14ac:dyDescent="0.25">
      <c r="B79" s="21"/>
      <c r="C79" s="242"/>
    </row>
    <row r="80" spans="2:3" x14ac:dyDescent="0.25">
      <c r="B80" s="21"/>
      <c r="C80" s="242"/>
    </row>
    <row r="81" spans="2:3" x14ac:dyDescent="0.25">
      <c r="B81" s="21"/>
      <c r="C81" s="242"/>
    </row>
    <row r="82" spans="2:3" x14ac:dyDescent="0.25">
      <c r="B82" s="21"/>
      <c r="C82" s="242"/>
    </row>
    <row r="83" spans="2:3" x14ac:dyDescent="0.25">
      <c r="B83" s="21"/>
      <c r="C83" s="242"/>
    </row>
    <row r="84" spans="2:3" x14ac:dyDescent="0.25">
      <c r="B84" s="21"/>
      <c r="C84" s="242"/>
    </row>
    <row r="85" spans="2:3" x14ac:dyDescent="0.25">
      <c r="C85" s="242"/>
    </row>
    <row r="86" spans="2:3" x14ac:dyDescent="0.25">
      <c r="C86" s="242"/>
    </row>
    <row r="87" spans="2:3" x14ac:dyDescent="0.25">
      <c r="C87" s="242"/>
    </row>
    <row r="88" spans="2:3" x14ac:dyDescent="0.25">
      <c r="C88" s="242"/>
    </row>
    <row r="89" spans="2:3" x14ac:dyDescent="0.25">
      <c r="B89" s="21"/>
      <c r="C89" s="242"/>
    </row>
    <row r="90" spans="2:3" x14ac:dyDescent="0.25">
      <c r="B90" s="21"/>
      <c r="C90" s="242"/>
    </row>
    <row r="91" spans="2:3" x14ac:dyDescent="0.25">
      <c r="B91" s="21"/>
      <c r="C91" s="242"/>
    </row>
    <row r="92" spans="2:3" x14ac:dyDescent="0.25">
      <c r="B92" s="21"/>
      <c r="C92" s="242"/>
    </row>
    <row r="93" spans="2:3" x14ac:dyDescent="0.25">
      <c r="B93" s="21"/>
      <c r="C93" s="242"/>
    </row>
    <row r="94" spans="2:3" x14ac:dyDescent="0.25">
      <c r="B94" s="21"/>
      <c r="C94" s="242"/>
    </row>
    <row r="95" spans="2:3" x14ac:dyDescent="0.25">
      <c r="B95" s="21"/>
      <c r="C95" s="242"/>
    </row>
    <row r="96" spans="2:3" x14ac:dyDescent="0.25">
      <c r="B96" s="21"/>
      <c r="C96" s="242"/>
    </row>
    <row r="97" spans="2:3" x14ac:dyDescent="0.25">
      <c r="B97" s="21"/>
      <c r="C97" s="242"/>
    </row>
    <row r="98" spans="2:3" x14ac:dyDescent="0.25">
      <c r="B98" s="21"/>
      <c r="C98" s="242"/>
    </row>
    <row r="99" spans="2:3" x14ac:dyDescent="0.25">
      <c r="B99" s="21"/>
      <c r="C99" s="242"/>
    </row>
    <row r="100" spans="2:3" x14ac:dyDescent="0.25">
      <c r="B100" s="21"/>
      <c r="C100" s="242"/>
    </row>
    <row r="101" spans="2:3" x14ac:dyDescent="0.25">
      <c r="B101" s="21"/>
      <c r="C101" s="242"/>
    </row>
    <row r="102" spans="2:3" x14ac:dyDescent="0.25">
      <c r="B102" s="21"/>
      <c r="C102" s="242"/>
    </row>
    <row r="103" spans="2:3" x14ac:dyDescent="0.25">
      <c r="B103" s="21"/>
      <c r="C103" s="242"/>
    </row>
    <row r="104" spans="2:3" x14ac:dyDescent="0.25">
      <c r="B104" s="21"/>
      <c r="C104" s="242"/>
    </row>
    <row r="105" spans="2:3" x14ac:dyDescent="0.25">
      <c r="B105" s="21"/>
      <c r="C105" s="242"/>
    </row>
    <row r="106" spans="2:3" x14ac:dyDescent="0.25">
      <c r="B106" s="21"/>
      <c r="C106" s="242"/>
    </row>
    <row r="107" spans="2:3" x14ac:dyDescent="0.25">
      <c r="B107" s="21"/>
      <c r="C107" s="242"/>
    </row>
    <row r="108" spans="2:3" x14ac:dyDescent="0.25">
      <c r="B108" s="21"/>
      <c r="C108" s="242"/>
    </row>
    <row r="109" spans="2:3" x14ac:dyDescent="0.25">
      <c r="B109" s="21"/>
      <c r="C109" s="242"/>
    </row>
    <row r="110" spans="2:3" x14ac:dyDescent="0.25">
      <c r="B110" s="21"/>
      <c r="C110" s="242"/>
    </row>
    <row r="111" spans="2:3" x14ac:dyDescent="0.25">
      <c r="B111" s="21"/>
      <c r="C111" s="242"/>
    </row>
    <row r="112" spans="2:3" x14ac:dyDescent="0.25">
      <c r="B112" s="21"/>
      <c r="C112" s="242"/>
    </row>
    <row r="113" spans="2:3" x14ac:dyDescent="0.25">
      <c r="C113" s="242"/>
    </row>
    <row r="114" spans="2:3" x14ac:dyDescent="0.25">
      <c r="C114" s="242"/>
    </row>
    <row r="115" spans="2:3" x14ac:dyDescent="0.25">
      <c r="C115" s="242"/>
    </row>
    <row r="116" spans="2:3" x14ac:dyDescent="0.25">
      <c r="C116" s="242"/>
    </row>
    <row r="117" spans="2:3" x14ac:dyDescent="0.25">
      <c r="B117" s="21"/>
      <c r="C117" s="242"/>
    </row>
    <row r="118" spans="2:3" x14ac:dyDescent="0.25">
      <c r="B118" s="21"/>
      <c r="C118" s="242"/>
    </row>
    <row r="119" spans="2:3" x14ac:dyDescent="0.25">
      <c r="B119" s="21"/>
      <c r="C119" s="242"/>
    </row>
    <row r="120" spans="2:3" x14ac:dyDescent="0.25">
      <c r="B120" s="21"/>
      <c r="C120" s="242"/>
    </row>
    <row r="121" spans="2:3" x14ac:dyDescent="0.25">
      <c r="B121" s="21"/>
      <c r="C121" s="242"/>
    </row>
    <row r="122" spans="2:3" x14ac:dyDescent="0.25">
      <c r="B122" s="21"/>
      <c r="C122" s="242"/>
    </row>
    <row r="123" spans="2:3" x14ac:dyDescent="0.25">
      <c r="B123" s="21"/>
      <c r="C123" s="242"/>
    </row>
    <row r="124" spans="2:3" x14ac:dyDescent="0.25">
      <c r="B124" s="21"/>
      <c r="C124" s="242"/>
    </row>
    <row r="125" spans="2:3" x14ac:dyDescent="0.25">
      <c r="B125" s="21"/>
      <c r="C125" s="242"/>
    </row>
    <row r="126" spans="2:3" x14ac:dyDescent="0.25">
      <c r="B126" s="21"/>
      <c r="C126" s="242"/>
    </row>
    <row r="127" spans="2:3" x14ac:dyDescent="0.25">
      <c r="B127" s="21"/>
      <c r="C127" s="242"/>
    </row>
    <row r="128" spans="2:3" x14ac:dyDescent="0.25">
      <c r="B128" s="21"/>
      <c r="C128" s="242"/>
    </row>
    <row r="129" spans="2:3" x14ac:dyDescent="0.25">
      <c r="B129" s="21"/>
      <c r="C129" s="242"/>
    </row>
    <row r="130" spans="2:3" x14ac:dyDescent="0.25">
      <c r="B130" s="21"/>
      <c r="C130" s="242"/>
    </row>
    <row r="131" spans="2:3" x14ac:dyDescent="0.25">
      <c r="B131" s="21"/>
      <c r="C131" s="242"/>
    </row>
    <row r="132" spans="2:3" x14ac:dyDescent="0.25">
      <c r="B132" s="21"/>
      <c r="C132" s="242"/>
    </row>
    <row r="133" spans="2:3" x14ac:dyDescent="0.25">
      <c r="B133" s="21"/>
      <c r="C133" s="242"/>
    </row>
    <row r="134" spans="2:3" x14ac:dyDescent="0.25">
      <c r="B134" s="21"/>
      <c r="C134" s="242"/>
    </row>
    <row r="135" spans="2:3" x14ac:dyDescent="0.25">
      <c r="B135" s="21"/>
      <c r="C135" s="242"/>
    </row>
    <row r="136" spans="2:3" x14ac:dyDescent="0.25">
      <c r="B136" s="21"/>
      <c r="C136" s="242"/>
    </row>
    <row r="137" spans="2:3" x14ac:dyDescent="0.25">
      <c r="B137" s="21"/>
      <c r="C137" s="242"/>
    </row>
    <row r="138" spans="2:3" x14ac:dyDescent="0.25">
      <c r="B138" s="21"/>
      <c r="C138" s="242"/>
    </row>
    <row r="139" spans="2:3" x14ac:dyDescent="0.25">
      <c r="B139" s="21"/>
      <c r="C139" s="242"/>
    </row>
    <row r="140" spans="2:3" x14ac:dyDescent="0.25">
      <c r="B140" s="21"/>
      <c r="C140" s="242"/>
    </row>
    <row r="141" spans="2:3" x14ac:dyDescent="0.25">
      <c r="C141" s="242"/>
    </row>
    <row r="142" spans="2:3" x14ac:dyDescent="0.25">
      <c r="C142" s="242"/>
    </row>
    <row r="143" spans="2:3" x14ac:dyDescent="0.25">
      <c r="C143" s="242"/>
    </row>
    <row r="144" spans="2:3" x14ac:dyDescent="0.25">
      <c r="C144" s="242"/>
    </row>
    <row r="145" spans="2:3" x14ac:dyDescent="0.25">
      <c r="B145" s="21"/>
      <c r="C145" s="242"/>
    </row>
    <row r="146" spans="2:3" x14ac:dyDescent="0.25">
      <c r="B146" s="21"/>
      <c r="C146" s="242"/>
    </row>
    <row r="147" spans="2:3" x14ac:dyDescent="0.25">
      <c r="B147" s="21"/>
      <c r="C147" s="242"/>
    </row>
    <row r="148" spans="2:3" x14ac:dyDescent="0.25">
      <c r="B148" s="21"/>
      <c r="C148" s="242"/>
    </row>
    <row r="149" spans="2:3" x14ac:dyDescent="0.25">
      <c r="B149" s="21"/>
      <c r="C149" s="242"/>
    </row>
    <row r="150" spans="2:3" x14ac:dyDescent="0.25">
      <c r="B150" s="21"/>
      <c r="C150" s="242"/>
    </row>
    <row r="151" spans="2:3" x14ac:dyDescent="0.25">
      <c r="B151" s="21"/>
      <c r="C151" s="242"/>
    </row>
    <row r="152" spans="2:3" x14ac:dyDescent="0.25">
      <c r="B152" s="21"/>
      <c r="C152" s="242"/>
    </row>
    <row r="153" spans="2:3" x14ac:dyDescent="0.25">
      <c r="B153" s="21"/>
      <c r="C153" s="242"/>
    </row>
    <row r="154" spans="2:3" x14ac:dyDescent="0.25">
      <c r="B154" s="21"/>
      <c r="C154" s="242"/>
    </row>
    <row r="155" spans="2:3" x14ac:dyDescent="0.25">
      <c r="B155" s="21"/>
      <c r="C155" s="242"/>
    </row>
    <row r="156" spans="2:3" x14ac:dyDescent="0.25">
      <c r="B156" s="21"/>
      <c r="C156" s="242"/>
    </row>
    <row r="157" spans="2:3" x14ac:dyDescent="0.25">
      <c r="B157" s="21"/>
      <c r="C157" s="242"/>
    </row>
    <row r="158" spans="2:3" x14ac:dyDescent="0.25">
      <c r="B158" s="21"/>
      <c r="C158" s="242"/>
    </row>
    <row r="159" spans="2:3" x14ac:dyDescent="0.25">
      <c r="B159" s="21"/>
      <c r="C159" s="242"/>
    </row>
    <row r="160" spans="2:3" x14ac:dyDescent="0.25">
      <c r="B160" s="21"/>
      <c r="C160" s="242"/>
    </row>
    <row r="161" spans="2:3" x14ac:dyDescent="0.25">
      <c r="B161" s="21"/>
      <c r="C161" s="242"/>
    </row>
    <row r="162" spans="2:3" x14ac:dyDescent="0.25">
      <c r="B162" s="21"/>
      <c r="C162" s="242"/>
    </row>
    <row r="163" spans="2:3" x14ac:dyDescent="0.25">
      <c r="B163" s="21"/>
      <c r="C163" s="242"/>
    </row>
    <row r="164" spans="2:3" x14ac:dyDescent="0.25">
      <c r="B164" s="21"/>
      <c r="C164" s="242"/>
    </row>
    <row r="165" spans="2:3" x14ac:dyDescent="0.25">
      <c r="B165" s="21"/>
      <c r="C165" s="242"/>
    </row>
    <row r="166" spans="2:3" x14ac:dyDescent="0.25">
      <c r="B166" s="21"/>
      <c r="C166" s="242"/>
    </row>
    <row r="167" spans="2:3" x14ac:dyDescent="0.25">
      <c r="B167" s="21"/>
      <c r="C167" s="242"/>
    </row>
    <row r="168" spans="2:3" x14ac:dyDescent="0.25">
      <c r="B168" s="21"/>
      <c r="C168" s="242"/>
    </row>
    <row r="169" spans="2:3" x14ac:dyDescent="0.25">
      <c r="C169" s="242"/>
    </row>
    <row r="170" spans="2:3" x14ac:dyDescent="0.25">
      <c r="C170" s="242"/>
    </row>
    <row r="171" spans="2:3" x14ac:dyDescent="0.25">
      <c r="C171" s="242"/>
    </row>
    <row r="172" spans="2:3" x14ac:dyDescent="0.25">
      <c r="C172" s="242"/>
    </row>
    <row r="173" spans="2:3" x14ac:dyDescent="0.25">
      <c r="B173" s="21"/>
      <c r="C173" s="242"/>
    </row>
    <row r="174" spans="2:3" x14ac:dyDescent="0.25">
      <c r="B174" s="21"/>
      <c r="C174" s="242"/>
    </row>
    <row r="175" spans="2:3" x14ac:dyDescent="0.25">
      <c r="B175" s="21"/>
      <c r="C175" s="242"/>
    </row>
    <row r="176" spans="2:3" x14ac:dyDescent="0.25">
      <c r="B176" s="21"/>
      <c r="C176" s="242"/>
    </row>
    <row r="177" spans="2:3" x14ac:dyDescent="0.25">
      <c r="B177" s="21"/>
      <c r="C177" s="242"/>
    </row>
    <row r="178" spans="2:3" x14ac:dyDescent="0.25">
      <c r="B178" s="21"/>
      <c r="C178" s="242"/>
    </row>
    <row r="179" spans="2:3" x14ac:dyDescent="0.25">
      <c r="B179" s="21"/>
      <c r="C179" s="242"/>
    </row>
    <row r="180" spans="2:3" x14ac:dyDescent="0.25">
      <c r="B180" s="21"/>
      <c r="C180" s="242"/>
    </row>
    <row r="181" spans="2:3" x14ac:dyDescent="0.25">
      <c r="B181" s="21"/>
      <c r="C181" s="242"/>
    </row>
    <row r="182" spans="2:3" x14ac:dyDescent="0.25">
      <c r="B182" s="21"/>
      <c r="C182" s="242"/>
    </row>
    <row r="183" spans="2:3" x14ac:dyDescent="0.25">
      <c r="B183" s="21"/>
      <c r="C183" s="242"/>
    </row>
    <row r="184" spans="2:3" x14ac:dyDescent="0.25">
      <c r="B184" s="21"/>
      <c r="C184" s="242"/>
    </row>
    <row r="185" spans="2:3" x14ac:dyDescent="0.25">
      <c r="B185" s="21"/>
      <c r="C185" s="242"/>
    </row>
    <row r="186" spans="2:3" x14ac:dyDescent="0.25">
      <c r="B186" s="21"/>
      <c r="C186" s="242"/>
    </row>
    <row r="187" spans="2:3" x14ac:dyDescent="0.25">
      <c r="B187" s="21"/>
      <c r="C187" s="242"/>
    </row>
    <row r="188" spans="2:3" x14ac:dyDescent="0.25">
      <c r="B188" s="21"/>
      <c r="C188" s="242"/>
    </row>
    <row r="189" spans="2:3" x14ac:dyDescent="0.25">
      <c r="B189" s="21"/>
      <c r="C189" s="242"/>
    </row>
    <row r="190" spans="2:3" x14ac:dyDescent="0.25">
      <c r="B190" s="21"/>
      <c r="C190" s="242"/>
    </row>
    <row r="191" spans="2:3" x14ac:dyDescent="0.25">
      <c r="B191" s="21"/>
      <c r="C191" s="242"/>
    </row>
    <row r="192" spans="2:3" x14ac:dyDescent="0.25">
      <c r="B192" s="21"/>
      <c r="C192" s="242"/>
    </row>
    <row r="193" spans="2:3" x14ac:dyDescent="0.25">
      <c r="B193" s="21"/>
      <c r="C193" s="242"/>
    </row>
    <row r="194" spans="2:3" x14ac:dyDescent="0.25">
      <c r="B194" s="21"/>
      <c r="C194" s="242"/>
    </row>
    <row r="195" spans="2:3" x14ac:dyDescent="0.25">
      <c r="B195" s="21"/>
      <c r="C195" s="242"/>
    </row>
    <row r="196" spans="2:3" x14ac:dyDescent="0.25">
      <c r="B196" s="21"/>
      <c r="C196" s="242"/>
    </row>
    <row r="197" spans="2:3" x14ac:dyDescent="0.25">
      <c r="C197" s="242"/>
    </row>
    <row r="198" spans="2:3" x14ac:dyDescent="0.25">
      <c r="C198" s="242"/>
    </row>
    <row r="199" spans="2:3" x14ac:dyDescent="0.25">
      <c r="C199" s="242"/>
    </row>
    <row r="200" spans="2:3" x14ac:dyDescent="0.25">
      <c r="C200" s="242"/>
    </row>
    <row r="201" spans="2:3" x14ac:dyDescent="0.25">
      <c r="B201" s="21"/>
      <c r="C201" s="242"/>
    </row>
    <row r="202" spans="2:3" x14ac:dyDescent="0.25">
      <c r="B202" s="21"/>
      <c r="C202" s="242"/>
    </row>
    <row r="203" spans="2:3" x14ac:dyDescent="0.25">
      <c r="B203" s="21"/>
      <c r="C203" s="242"/>
    </row>
    <row r="204" spans="2:3" x14ac:dyDescent="0.25">
      <c r="B204" s="21"/>
      <c r="C204" s="242"/>
    </row>
    <row r="205" spans="2:3" x14ac:dyDescent="0.25">
      <c r="B205" s="21"/>
      <c r="C205" s="242"/>
    </row>
    <row r="206" spans="2:3" x14ac:dyDescent="0.25">
      <c r="B206" s="21"/>
      <c r="C206" s="242"/>
    </row>
    <row r="207" spans="2:3" x14ac:dyDescent="0.25">
      <c r="B207" s="21"/>
      <c r="C207" s="242"/>
    </row>
    <row r="208" spans="2:3" x14ac:dyDescent="0.25">
      <c r="B208" s="21"/>
      <c r="C208" s="242"/>
    </row>
    <row r="209" spans="2:3" x14ac:dyDescent="0.25">
      <c r="B209" s="21"/>
      <c r="C209" s="242"/>
    </row>
    <row r="210" spans="2:3" x14ac:dyDescent="0.25">
      <c r="B210" s="21"/>
      <c r="C210" s="242"/>
    </row>
    <row r="211" spans="2:3" x14ac:dyDescent="0.25">
      <c r="B211" s="21"/>
      <c r="C211" s="242"/>
    </row>
    <row r="212" spans="2:3" x14ac:dyDescent="0.25">
      <c r="B212" s="21"/>
      <c r="C212" s="242"/>
    </row>
    <row r="213" spans="2:3" x14ac:dyDescent="0.25">
      <c r="B213" s="21"/>
      <c r="C213" s="242"/>
    </row>
    <row r="214" spans="2:3" x14ac:dyDescent="0.25">
      <c r="B214" s="21"/>
      <c r="C214" s="242"/>
    </row>
    <row r="215" spans="2:3" x14ac:dyDescent="0.25">
      <c r="B215" s="21"/>
      <c r="C215" s="242"/>
    </row>
    <row r="216" spans="2:3" x14ac:dyDescent="0.25">
      <c r="B216" s="21"/>
      <c r="C216" s="242"/>
    </row>
    <row r="217" spans="2:3" x14ac:dyDescent="0.25">
      <c r="B217" s="21"/>
      <c r="C217" s="242"/>
    </row>
    <row r="218" spans="2:3" x14ac:dyDescent="0.25">
      <c r="B218" s="21"/>
      <c r="C218" s="242"/>
    </row>
    <row r="219" spans="2:3" x14ac:dyDescent="0.25">
      <c r="B219" s="21"/>
      <c r="C219" s="242"/>
    </row>
    <row r="220" spans="2:3" x14ac:dyDescent="0.25">
      <c r="B220" s="21"/>
      <c r="C220" s="242"/>
    </row>
    <row r="221" spans="2:3" x14ac:dyDescent="0.25">
      <c r="B221" s="21"/>
      <c r="C221" s="242"/>
    </row>
    <row r="222" spans="2:3" x14ac:dyDescent="0.25">
      <c r="B222" s="21"/>
      <c r="C222" s="242"/>
    </row>
    <row r="223" spans="2:3" x14ac:dyDescent="0.25">
      <c r="B223" s="21"/>
      <c r="C223" s="242"/>
    </row>
    <row r="224" spans="2:3" x14ac:dyDescent="0.25">
      <c r="B224" s="21"/>
      <c r="C224" s="242"/>
    </row>
    <row r="225" spans="2:3" x14ac:dyDescent="0.25">
      <c r="C225" s="242"/>
    </row>
    <row r="226" spans="2:3" x14ac:dyDescent="0.25">
      <c r="C226" s="242"/>
    </row>
    <row r="227" spans="2:3" x14ac:dyDescent="0.25">
      <c r="C227" s="242"/>
    </row>
    <row r="228" spans="2:3" x14ac:dyDescent="0.25">
      <c r="C228" s="242"/>
    </row>
    <row r="229" spans="2:3" x14ac:dyDescent="0.25">
      <c r="B229" s="21"/>
      <c r="C229" s="242"/>
    </row>
    <row r="230" spans="2:3" x14ac:dyDescent="0.25">
      <c r="B230" s="21"/>
      <c r="C230" s="242"/>
    </row>
    <row r="231" spans="2:3" x14ac:dyDescent="0.25">
      <c r="B231" s="21"/>
      <c r="C231" s="242"/>
    </row>
    <row r="232" spans="2:3" x14ac:dyDescent="0.25">
      <c r="B232" s="21"/>
      <c r="C232" s="242"/>
    </row>
    <row r="233" spans="2:3" x14ac:dyDescent="0.25">
      <c r="B233" s="21"/>
      <c r="C233" s="242"/>
    </row>
    <row r="234" spans="2:3" x14ac:dyDescent="0.25">
      <c r="B234" s="21"/>
      <c r="C234" s="242"/>
    </row>
    <row r="235" spans="2:3" x14ac:dyDescent="0.25">
      <c r="B235" s="21"/>
      <c r="C235" s="242"/>
    </row>
    <row r="236" spans="2:3" x14ac:dyDescent="0.25">
      <c r="B236" s="21"/>
      <c r="C236" s="242"/>
    </row>
    <row r="237" spans="2:3" x14ac:dyDescent="0.25">
      <c r="B237" s="21"/>
      <c r="C237" s="242"/>
    </row>
    <row r="238" spans="2:3" x14ac:dyDescent="0.25">
      <c r="B238" s="21"/>
      <c r="C238" s="242"/>
    </row>
    <row r="239" spans="2:3" x14ac:dyDescent="0.25">
      <c r="B239" s="21"/>
      <c r="C239" s="242"/>
    </row>
    <row r="240" spans="2:3" x14ac:dyDescent="0.25">
      <c r="B240" s="21"/>
      <c r="C240" s="242"/>
    </row>
    <row r="241" spans="2:3" x14ac:dyDescent="0.25">
      <c r="B241" s="21"/>
      <c r="C241" s="242"/>
    </row>
    <row r="242" spans="2:3" x14ac:dyDescent="0.25">
      <c r="B242" s="21"/>
      <c r="C242" s="242"/>
    </row>
    <row r="243" spans="2:3" x14ac:dyDescent="0.25">
      <c r="B243" s="21"/>
      <c r="C243" s="242"/>
    </row>
    <row r="244" spans="2:3" x14ac:dyDescent="0.25">
      <c r="B244" s="21"/>
      <c r="C244" s="242"/>
    </row>
    <row r="245" spans="2:3" x14ac:dyDescent="0.25">
      <c r="B245" s="21"/>
      <c r="C245" s="242"/>
    </row>
    <row r="246" spans="2:3" x14ac:dyDescent="0.25">
      <c r="B246" s="21"/>
      <c r="C246" s="242"/>
    </row>
    <row r="247" spans="2:3" x14ac:dyDescent="0.25">
      <c r="B247" s="21"/>
      <c r="C247" s="242"/>
    </row>
    <row r="248" spans="2:3" x14ac:dyDescent="0.25">
      <c r="B248" s="21"/>
      <c r="C248" s="242"/>
    </row>
    <row r="249" spans="2:3" x14ac:dyDescent="0.25">
      <c r="B249" s="21"/>
      <c r="C249" s="242"/>
    </row>
    <row r="250" spans="2:3" x14ac:dyDescent="0.25">
      <c r="B250" s="21"/>
      <c r="C250" s="242"/>
    </row>
    <row r="251" spans="2:3" x14ac:dyDescent="0.25">
      <c r="B251" s="21"/>
      <c r="C251" s="242"/>
    </row>
    <row r="252" spans="2:3" x14ac:dyDescent="0.25">
      <c r="B252" s="21"/>
      <c r="C252" s="242"/>
    </row>
    <row r="253" spans="2:3" x14ac:dyDescent="0.25">
      <c r="C253" s="242"/>
    </row>
    <row r="254" spans="2:3" x14ac:dyDescent="0.25">
      <c r="C254" s="242"/>
    </row>
    <row r="255" spans="2:3" x14ac:dyDescent="0.25">
      <c r="C255" s="242"/>
    </row>
    <row r="256" spans="2:3" x14ac:dyDescent="0.25">
      <c r="C256" s="242"/>
    </row>
    <row r="257" spans="2:3" x14ac:dyDescent="0.25">
      <c r="B257" s="21"/>
      <c r="C257" s="242"/>
    </row>
    <row r="258" spans="2:3" x14ac:dyDescent="0.25">
      <c r="B258" s="21"/>
      <c r="C258" s="242"/>
    </row>
    <row r="259" spans="2:3" x14ac:dyDescent="0.25">
      <c r="B259" s="21"/>
      <c r="C259" s="242"/>
    </row>
    <row r="260" spans="2:3" x14ac:dyDescent="0.25">
      <c r="B260" s="21"/>
      <c r="C260" s="242"/>
    </row>
    <row r="261" spans="2:3" x14ac:dyDescent="0.25">
      <c r="B261" s="21"/>
      <c r="C261" s="242"/>
    </row>
    <row r="262" spans="2:3" x14ac:dyDescent="0.25">
      <c r="B262" s="21"/>
      <c r="C262" s="242"/>
    </row>
    <row r="263" spans="2:3" x14ac:dyDescent="0.25">
      <c r="B263" s="21"/>
      <c r="C263" s="242"/>
    </row>
    <row r="264" spans="2:3" x14ac:dyDescent="0.25">
      <c r="B264" s="21"/>
      <c r="C264" s="242"/>
    </row>
    <row r="265" spans="2:3" x14ac:dyDescent="0.25">
      <c r="B265" s="21"/>
      <c r="C265" s="242"/>
    </row>
    <row r="266" spans="2:3" x14ac:dyDescent="0.25">
      <c r="B266" s="21"/>
      <c r="C266" s="242"/>
    </row>
    <row r="267" spans="2:3" x14ac:dyDescent="0.25">
      <c r="B267" s="21"/>
      <c r="C267" s="242"/>
    </row>
    <row r="268" spans="2:3" x14ac:dyDescent="0.25">
      <c r="B268" s="21"/>
      <c r="C268" s="242"/>
    </row>
    <row r="269" spans="2:3" x14ac:dyDescent="0.25">
      <c r="B269" s="21"/>
      <c r="C269" s="242"/>
    </row>
    <row r="270" spans="2:3" x14ac:dyDescent="0.25">
      <c r="B270" s="21"/>
      <c r="C270" s="242"/>
    </row>
    <row r="271" spans="2:3" x14ac:dyDescent="0.25">
      <c r="B271" s="21"/>
      <c r="C271" s="242"/>
    </row>
    <row r="272" spans="2:3" x14ac:dyDescent="0.25">
      <c r="B272" s="21"/>
      <c r="C272" s="242"/>
    </row>
    <row r="273" spans="2:3" x14ac:dyDescent="0.25">
      <c r="B273" s="21"/>
      <c r="C273" s="242"/>
    </row>
    <row r="274" spans="2:3" x14ac:dyDescent="0.25">
      <c r="B274" s="21"/>
      <c r="C274" s="242"/>
    </row>
    <row r="275" spans="2:3" x14ac:dyDescent="0.25">
      <c r="B275" s="21"/>
      <c r="C275" s="242"/>
    </row>
    <row r="276" spans="2:3" x14ac:dyDescent="0.25">
      <c r="B276" s="21"/>
      <c r="C276" s="242"/>
    </row>
    <row r="277" spans="2:3" x14ac:dyDescent="0.25">
      <c r="B277" s="21"/>
      <c r="C277" s="242"/>
    </row>
    <row r="278" spans="2:3" x14ac:dyDescent="0.25">
      <c r="B278" s="21"/>
      <c r="C278" s="242"/>
    </row>
    <row r="279" spans="2:3" x14ac:dyDescent="0.25">
      <c r="B279" s="21"/>
      <c r="C279" s="242"/>
    </row>
    <row r="280" spans="2:3" x14ac:dyDescent="0.25">
      <c r="B280" s="21"/>
      <c r="C280" s="242"/>
    </row>
    <row r="281" spans="2:3" x14ac:dyDescent="0.25">
      <c r="C281" s="242"/>
    </row>
    <row r="282" spans="2:3" x14ac:dyDescent="0.25">
      <c r="C282" s="242"/>
    </row>
    <row r="283" spans="2:3" x14ac:dyDescent="0.25">
      <c r="C283" s="242"/>
    </row>
    <row r="284" spans="2:3" x14ac:dyDescent="0.25">
      <c r="C284" s="242"/>
    </row>
    <row r="285" spans="2:3" x14ac:dyDescent="0.25">
      <c r="B285" s="21"/>
      <c r="C285" s="242"/>
    </row>
    <row r="286" spans="2:3" x14ac:dyDescent="0.25">
      <c r="B286" s="21"/>
      <c r="C286" s="242"/>
    </row>
    <row r="287" spans="2:3" x14ac:dyDescent="0.25">
      <c r="B287" s="21"/>
      <c r="C287" s="242"/>
    </row>
    <row r="288" spans="2:3" x14ac:dyDescent="0.25">
      <c r="B288" s="21"/>
      <c r="C288" s="242"/>
    </row>
    <row r="289" spans="2:3" x14ac:dyDescent="0.25">
      <c r="B289" s="21"/>
      <c r="C289" s="242"/>
    </row>
    <row r="290" spans="2:3" x14ac:dyDescent="0.25">
      <c r="B290" s="21"/>
      <c r="C290" s="242"/>
    </row>
    <row r="291" spans="2:3" x14ac:dyDescent="0.25">
      <c r="B291" s="21"/>
      <c r="C291" s="242"/>
    </row>
    <row r="292" spans="2:3" x14ac:dyDescent="0.25">
      <c r="B292" s="21"/>
      <c r="C292" s="242"/>
    </row>
    <row r="293" spans="2:3" x14ac:dyDescent="0.25">
      <c r="B293" s="21"/>
      <c r="C293" s="242"/>
    </row>
    <row r="294" spans="2:3" x14ac:dyDescent="0.25">
      <c r="B294" s="21"/>
      <c r="C294" s="242"/>
    </row>
    <row r="295" spans="2:3" x14ac:dyDescent="0.25">
      <c r="B295" s="21"/>
      <c r="C295" s="242"/>
    </row>
    <row r="296" spans="2:3" x14ac:dyDescent="0.25">
      <c r="B296" s="21"/>
      <c r="C296" s="242"/>
    </row>
    <row r="297" spans="2:3" x14ac:dyDescent="0.25">
      <c r="B297" s="21"/>
      <c r="C297" s="242"/>
    </row>
    <row r="298" spans="2:3" x14ac:dyDescent="0.25">
      <c r="B298" s="21"/>
      <c r="C298" s="242"/>
    </row>
    <row r="299" spans="2:3" x14ac:dyDescent="0.25">
      <c r="B299" s="21"/>
      <c r="C299" s="242"/>
    </row>
    <row r="300" spans="2:3" x14ac:dyDescent="0.25">
      <c r="B300" s="21"/>
      <c r="C300" s="242"/>
    </row>
    <row r="301" spans="2:3" x14ac:dyDescent="0.25">
      <c r="B301" s="21"/>
      <c r="C301" s="242"/>
    </row>
    <row r="302" spans="2:3" x14ac:dyDescent="0.25">
      <c r="B302" s="21"/>
      <c r="C302" s="242"/>
    </row>
    <row r="303" spans="2:3" x14ac:dyDescent="0.25">
      <c r="B303" s="21"/>
      <c r="C303" s="242"/>
    </row>
    <row r="304" spans="2:3" x14ac:dyDescent="0.25">
      <c r="B304" s="21"/>
      <c r="C304" s="242"/>
    </row>
    <row r="305" spans="2:3" x14ac:dyDescent="0.25">
      <c r="B305" s="21"/>
      <c r="C305" s="242"/>
    </row>
    <row r="306" spans="2:3" x14ac:dyDescent="0.25">
      <c r="B306" s="21"/>
      <c r="C306" s="242"/>
    </row>
    <row r="307" spans="2:3" x14ac:dyDescent="0.25">
      <c r="B307" s="21"/>
      <c r="C307" s="242"/>
    </row>
    <row r="308" spans="2:3" x14ac:dyDescent="0.25">
      <c r="B308" s="21"/>
      <c r="C308" s="242"/>
    </row>
    <row r="309" spans="2:3" x14ac:dyDescent="0.25">
      <c r="C309" s="242"/>
    </row>
    <row r="310" spans="2:3" x14ac:dyDescent="0.25">
      <c r="C310" s="242"/>
    </row>
    <row r="311" spans="2:3" x14ac:dyDescent="0.25">
      <c r="C311" s="242"/>
    </row>
    <row r="312" spans="2:3" x14ac:dyDescent="0.25">
      <c r="C312" s="242"/>
    </row>
    <row r="313" spans="2:3" x14ac:dyDescent="0.25">
      <c r="B313" s="21"/>
      <c r="C313" s="242"/>
    </row>
    <row r="314" spans="2:3" x14ac:dyDescent="0.25">
      <c r="B314" s="21"/>
      <c r="C314" s="242"/>
    </row>
    <row r="315" spans="2:3" x14ac:dyDescent="0.25">
      <c r="B315" s="21"/>
      <c r="C315" s="242"/>
    </row>
    <row r="316" spans="2:3" x14ac:dyDescent="0.25">
      <c r="B316" s="21"/>
      <c r="C316" s="242"/>
    </row>
    <row r="317" spans="2:3" x14ac:dyDescent="0.25">
      <c r="B317" s="21"/>
      <c r="C317" s="242"/>
    </row>
    <row r="318" spans="2:3" x14ac:dyDescent="0.25">
      <c r="B318" s="21"/>
      <c r="C318" s="242"/>
    </row>
    <row r="319" spans="2:3" x14ac:dyDescent="0.25">
      <c r="B319" s="21"/>
      <c r="C319" s="242"/>
    </row>
    <row r="320" spans="2:3" x14ac:dyDescent="0.25">
      <c r="B320" s="21"/>
      <c r="C320" s="242"/>
    </row>
    <row r="321" spans="2:3" x14ac:dyDescent="0.25">
      <c r="B321" s="21"/>
      <c r="C321" s="242"/>
    </row>
    <row r="322" spans="2:3" x14ac:dyDescent="0.25">
      <c r="B322" s="21"/>
      <c r="C322" s="242"/>
    </row>
    <row r="323" spans="2:3" x14ac:dyDescent="0.25">
      <c r="B323" s="21"/>
      <c r="C323" s="242"/>
    </row>
    <row r="324" spans="2:3" x14ac:dyDescent="0.25">
      <c r="B324" s="21"/>
      <c r="C324" s="242"/>
    </row>
    <row r="325" spans="2:3" x14ac:dyDescent="0.25">
      <c r="B325" s="21"/>
      <c r="C325" s="242"/>
    </row>
    <row r="326" spans="2:3" x14ac:dyDescent="0.25">
      <c r="B326" s="21"/>
      <c r="C326" s="242"/>
    </row>
    <row r="327" spans="2:3" x14ac:dyDescent="0.25">
      <c r="B327" s="21"/>
      <c r="C327" s="242"/>
    </row>
    <row r="328" spans="2:3" x14ac:dyDescent="0.25">
      <c r="B328" s="21"/>
      <c r="C328" s="242"/>
    </row>
    <row r="329" spans="2:3" x14ac:dyDescent="0.25">
      <c r="B329" s="21"/>
      <c r="C329" s="242"/>
    </row>
    <row r="330" spans="2:3" x14ac:dyDescent="0.25">
      <c r="B330" s="21"/>
      <c r="C330" s="242"/>
    </row>
    <row r="331" spans="2:3" x14ac:dyDescent="0.25">
      <c r="B331" s="21"/>
      <c r="C331" s="242"/>
    </row>
    <row r="332" spans="2:3" x14ac:dyDescent="0.25">
      <c r="B332" s="21"/>
      <c r="C332" s="242"/>
    </row>
    <row r="333" spans="2:3" x14ac:dyDescent="0.25">
      <c r="B333" s="21"/>
      <c r="C333" s="242"/>
    </row>
    <row r="334" spans="2:3" x14ac:dyDescent="0.25">
      <c r="B334" s="21"/>
      <c r="C334" s="242"/>
    </row>
    <row r="335" spans="2:3" x14ac:dyDescent="0.25">
      <c r="B335" s="21"/>
      <c r="C335" s="242"/>
    </row>
    <row r="336" spans="2:3" x14ac:dyDescent="0.25">
      <c r="B336" s="21"/>
      <c r="C336" s="242"/>
    </row>
  </sheetData>
  <sheetProtection password="E6CB" sheet="1" objects="1" scenarios="1"/>
  <mergeCells count="5">
    <mergeCell ref="B2:N2"/>
    <mergeCell ref="B3:C3"/>
    <mergeCell ref="F3:G3"/>
    <mergeCell ref="I3:J3"/>
    <mergeCell ref="L3:M3"/>
  </mergeCells>
  <conditionalFormatting sqref="C5:N28">
    <cfRule type="colorScale" priority="5">
      <colorScale>
        <cfvo type="min"/>
        <cfvo type="percentile" val="50"/>
        <cfvo type="max"/>
        <color rgb="FF5A8AC6"/>
        <color rgb="FFFFEB84"/>
        <color rgb="FFF8696B"/>
      </colorScale>
    </cfRule>
    <cfRule type="cellIs" dxfId="2" priority="6" operator="equal">
      <formula>1</formula>
    </cfRule>
    <cfRule type="cellIs" dxfId="1" priority="7" operator="equal">
      <formula>0</formula>
    </cfRule>
    <cfRule type="cellIs" dxfId="0" priority="8" operator="equal">
      <formula>-1</formula>
    </cfRule>
  </conditionalFormatting>
  <conditionalFormatting sqref="K30">
    <cfRule type="colorScale" priority="4">
      <colorScale>
        <cfvo type="min"/>
        <cfvo type="percentile" val="50"/>
        <cfvo type="max"/>
        <color rgb="FF5A8AC6"/>
        <color rgb="FFFFEB84"/>
        <color rgb="FFF8696B"/>
      </colorScale>
    </cfRule>
  </conditionalFormatting>
  <conditionalFormatting sqref="H30">
    <cfRule type="colorScale" priority="2">
      <colorScale>
        <cfvo type="min"/>
        <cfvo type="max"/>
        <color rgb="FFFF7128"/>
        <color rgb="FFFFEF9C"/>
      </colorScale>
    </cfRule>
  </conditionalFormatting>
  <conditionalFormatting sqref="E30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H42"/>
  <sheetViews>
    <sheetView showGridLines="0" showRowColHeaders="0" zoomScale="70" zoomScaleNormal="70" zoomScalePageLayoutView="70" workbookViewId="0">
      <selection activeCell="N34" sqref="N34"/>
    </sheetView>
  </sheetViews>
  <sheetFormatPr baseColWidth="10" defaultRowHeight="15" x14ac:dyDescent="0.25"/>
  <cols>
    <col min="1" max="1" width="3" customWidth="1"/>
  </cols>
  <sheetData>
    <row r="2" spans="2:29" x14ac:dyDescent="0.25">
      <c r="B2" s="297" t="s">
        <v>110</v>
      </c>
      <c r="C2" s="297"/>
      <c r="D2" s="297"/>
      <c r="E2" s="297"/>
      <c r="F2" s="297"/>
      <c r="G2" s="297"/>
      <c r="H2" s="297"/>
      <c r="I2" s="297"/>
      <c r="J2" s="297"/>
      <c r="K2" s="297"/>
      <c r="L2" s="297"/>
      <c r="M2" s="297"/>
      <c r="N2" s="297"/>
      <c r="U2" s="304" t="s">
        <v>238</v>
      </c>
      <c r="V2" s="304"/>
      <c r="W2" s="304"/>
      <c r="X2" s="304"/>
      <c r="Y2" s="304"/>
      <c r="Z2" s="304"/>
      <c r="AA2" s="304"/>
      <c r="AB2" s="304"/>
    </row>
    <row r="3" spans="2:29" x14ac:dyDescent="0.25">
      <c r="B3" s="306" t="s">
        <v>119</v>
      </c>
      <c r="C3" s="307"/>
      <c r="D3" s="307"/>
      <c r="E3" s="307"/>
      <c r="F3" s="307"/>
      <c r="G3" s="307"/>
      <c r="H3" s="307"/>
      <c r="I3" s="307"/>
      <c r="J3" s="307"/>
      <c r="K3" s="307"/>
      <c r="L3" s="307"/>
      <c r="M3" s="307"/>
      <c r="N3" s="308"/>
      <c r="U3" s="304"/>
      <c r="V3" s="304"/>
      <c r="W3" s="304"/>
      <c r="X3" s="304"/>
      <c r="Y3" s="304"/>
      <c r="Z3" s="304"/>
      <c r="AA3" s="304"/>
      <c r="AB3" s="304"/>
    </row>
    <row r="4" spans="2:29" x14ac:dyDescent="0.25">
      <c r="B4" s="298" t="s">
        <v>1</v>
      </c>
      <c r="C4" s="299"/>
      <c r="D4" s="213" t="str">
        <f>'Datos Entrada'!D8</f>
        <v>Hermosillo, Son.</v>
      </c>
      <c r="E4" s="214"/>
      <c r="F4" s="298" t="s">
        <v>170</v>
      </c>
      <c r="G4" s="299"/>
      <c r="H4" s="216">
        <f>'Datos Entrada'!H8</f>
        <v>29.08</v>
      </c>
      <c r="I4" s="298" t="s">
        <v>202</v>
      </c>
      <c r="J4" s="299"/>
      <c r="K4" s="215">
        <f>'Datos Entrada'!K8</f>
        <v>-110.93</v>
      </c>
      <c r="L4" s="298" t="s">
        <v>201</v>
      </c>
      <c r="M4" s="299"/>
      <c r="N4" s="215">
        <f>'Datos Entrada'!N8</f>
        <v>211</v>
      </c>
      <c r="U4" s="249" t="s">
        <v>91</v>
      </c>
      <c r="V4" s="249" t="s">
        <v>5</v>
      </c>
      <c r="W4" s="249" t="s">
        <v>6</v>
      </c>
      <c r="X4" s="249" t="s">
        <v>7</v>
      </c>
      <c r="Y4" s="249" t="s">
        <v>8</v>
      </c>
      <c r="Z4" s="249" t="s">
        <v>9</v>
      </c>
      <c r="AA4" s="249" t="s">
        <v>10</v>
      </c>
      <c r="AB4" s="249" t="s">
        <v>224</v>
      </c>
    </row>
    <row r="5" spans="2:29" x14ac:dyDescent="0.25">
      <c r="U5" s="249" t="s">
        <v>225</v>
      </c>
      <c r="V5" s="248">
        <f>'CS 1er sem datos'!R165*'CS 1er sem datos'!AA160</f>
        <v>186</v>
      </c>
      <c r="W5" s="248">
        <f>'CS 1er sem datos'!S165*'CS 1er sem datos'!AB160</f>
        <v>140</v>
      </c>
      <c r="X5" s="248">
        <f>'CS 1er sem datos'!T165*'CS 1er sem datos'!AC160</f>
        <v>124</v>
      </c>
      <c r="Y5" s="248">
        <f>'CS 1er sem datos'!U165*'CS 1er sem datos'!AD160</f>
        <v>90</v>
      </c>
      <c r="Z5" s="248">
        <f>'CS 1er sem datos'!V165*'CS 1er sem datos'!AE160</f>
        <v>62</v>
      </c>
      <c r="AA5" s="248">
        <f>'CS 1er sem datos'!W165*'CS 1er sem datos'!AF160</f>
        <v>30</v>
      </c>
      <c r="AB5" s="248">
        <f>SUM(V5:AA5)</f>
        <v>632</v>
      </c>
    </row>
    <row r="6" spans="2:29" x14ac:dyDescent="0.25">
      <c r="K6" s="57"/>
      <c r="U6" s="249" t="s">
        <v>226</v>
      </c>
      <c r="V6" s="248">
        <f>'CS 1er sem datos'!R165*'CS 1er sem datos'!AA159</f>
        <v>217</v>
      </c>
      <c r="W6" s="248">
        <f>'CS 1er sem datos'!S165*'CS 1er sem datos'!AB159</f>
        <v>224</v>
      </c>
      <c r="X6" s="248">
        <f>'CS 1er sem datos'!T165*'CS 1er sem datos'!AC159</f>
        <v>279</v>
      </c>
      <c r="Y6" s="248">
        <f>'CS 1er sem datos'!U165*'CS 1er sem datos'!AD159</f>
        <v>300</v>
      </c>
      <c r="Z6" s="248">
        <f>'CS 1er sem datos'!V165*'CS 1er sem datos'!AE159</f>
        <v>341</v>
      </c>
      <c r="AA6" s="248">
        <f>'CS 1er sem datos'!W165*'CS 1er sem datos'!AF159</f>
        <v>360</v>
      </c>
      <c r="AB6" s="248">
        <f>SUM(V6:AA6)</f>
        <v>1721</v>
      </c>
    </row>
    <row r="7" spans="2:29" ht="15.75" customHeight="1" x14ac:dyDescent="0.25">
      <c r="K7" s="57"/>
      <c r="AB7" s="246"/>
      <c r="AC7" s="243"/>
    </row>
    <row r="8" spans="2:29" ht="15" customHeight="1" x14ac:dyDescent="0.25">
      <c r="J8" s="314" t="s">
        <v>113</v>
      </c>
      <c r="K8" s="314"/>
      <c r="L8" s="314"/>
      <c r="M8" s="314"/>
      <c r="N8" s="192" t="s">
        <v>183</v>
      </c>
      <c r="U8" s="300" t="s">
        <v>239</v>
      </c>
      <c r="V8" s="300"/>
      <c r="W8" s="300"/>
      <c r="X8" s="300"/>
      <c r="Y8" s="300"/>
      <c r="Z8" s="300"/>
      <c r="AA8" s="300"/>
      <c r="AB8" s="300"/>
    </row>
    <row r="9" spans="2:29" ht="15" customHeight="1" x14ac:dyDescent="0.25">
      <c r="J9" s="218"/>
      <c r="K9" s="219"/>
      <c r="L9" s="219"/>
      <c r="M9" s="219"/>
      <c r="N9" s="220"/>
      <c r="U9" s="301" t="s">
        <v>240</v>
      </c>
      <c r="V9" s="302"/>
      <c r="W9" s="302"/>
      <c r="X9" s="302"/>
      <c r="Y9" s="302"/>
      <c r="Z9" s="302"/>
      <c r="AA9" s="302"/>
      <c r="AB9" s="303"/>
    </row>
    <row r="10" spans="2:29" x14ac:dyDescent="0.25">
      <c r="U10" s="251" t="s">
        <v>112</v>
      </c>
      <c r="V10" s="249" t="s">
        <v>5</v>
      </c>
      <c r="W10" s="249" t="s">
        <v>6</v>
      </c>
      <c r="X10" s="249" t="s">
        <v>7</v>
      </c>
      <c r="Y10" s="249" t="s">
        <v>8</v>
      </c>
      <c r="Z10" s="249" t="s">
        <v>9</v>
      </c>
      <c r="AA10" s="249" t="s">
        <v>10</v>
      </c>
      <c r="AB10" s="249" t="s">
        <v>224</v>
      </c>
    </row>
    <row r="11" spans="2:29" x14ac:dyDescent="0.25">
      <c r="U11" s="249">
        <v>40</v>
      </c>
      <c r="V11" s="269">
        <v>3</v>
      </c>
      <c r="W11" s="269">
        <v>2</v>
      </c>
      <c r="X11" s="270">
        <v>0</v>
      </c>
      <c r="Y11" s="270">
        <v>0</v>
      </c>
      <c r="Z11" s="270">
        <v>0</v>
      </c>
      <c r="AA11" s="270">
        <v>0</v>
      </c>
      <c r="AB11" s="216">
        <f>'Control Solar 1er Sem'!V11*'CS 1er sem datos'!$R$165+'Control Solar 1er Sem'!W11*'CS 1er sem datos'!$S$165+'Control Solar 1er Sem'!X11*'CS 1er sem datos'!$T$165+'Control Solar 1er Sem'!Y11*'CS 1er sem datos'!$U$165+'Control Solar 1er Sem'!Z11*'CS 1er sem datos'!$V$165+'Control Solar 1er Sem'!AA11*'CS 1er sem datos'!$W$165</f>
        <v>149</v>
      </c>
    </row>
    <row r="12" spans="2:29" ht="15" customHeight="1" x14ac:dyDescent="0.25">
      <c r="J12" s="314" t="s">
        <v>114</v>
      </c>
      <c r="K12" s="314"/>
      <c r="L12" s="314"/>
      <c r="M12" s="314"/>
      <c r="N12" s="192" t="s">
        <v>252</v>
      </c>
      <c r="U12" s="249">
        <v>50</v>
      </c>
      <c r="V12" s="269">
        <v>5</v>
      </c>
      <c r="W12" s="269">
        <v>6</v>
      </c>
      <c r="X12" s="269">
        <v>0</v>
      </c>
      <c r="Y12" s="270">
        <v>0</v>
      </c>
      <c r="Z12" s="270">
        <v>0</v>
      </c>
      <c r="AA12" s="270">
        <v>0</v>
      </c>
      <c r="AB12" s="216">
        <f>'Control Solar 1er Sem'!V12*'CS 1er sem datos'!$R$165+'Control Solar 1er Sem'!W12*'CS 1er sem datos'!$S$165+'Control Solar 1er Sem'!X12*'CS 1er sem datos'!$T$165+'Control Solar 1er Sem'!Y12*'CS 1er sem datos'!$U$165+'Control Solar 1er Sem'!Z12*'CS 1er sem datos'!$V$165+'Control Solar 1er Sem'!AA12*'CS 1er sem datos'!$W$165</f>
        <v>323</v>
      </c>
    </row>
    <row r="13" spans="2:29" x14ac:dyDescent="0.25">
      <c r="J13" s="218"/>
      <c r="K13" s="219"/>
      <c r="L13" s="219"/>
      <c r="M13" s="219"/>
      <c r="N13" s="220"/>
      <c r="U13" s="251">
        <v>60</v>
      </c>
      <c r="V13" s="269">
        <v>5</v>
      </c>
      <c r="W13" s="269">
        <v>6</v>
      </c>
      <c r="X13" s="269">
        <v>4</v>
      </c>
      <c r="Y13" s="270">
        <v>0</v>
      </c>
      <c r="Z13" s="270">
        <v>0</v>
      </c>
      <c r="AA13" s="270">
        <v>0</v>
      </c>
      <c r="AB13" s="216">
        <f>'Control Solar 1er Sem'!V13*'CS 1er sem datos'!$R$165+'Control Solar 1er Sem'!W13*'CS 1er sem datos'!$S$165+'Control Solar 1er Sem'!X13*'CS 1er sem datos'!$T$165+'Control Solar 1er Sem'!Y13*'CS 1er sem datos'!$U$165+'Control Solar 1er Sem'!Z13*'CS 1er sem datos'!$V$165+'Control Solar 1er Sem'!AA13*'CS 1er sem datos'!$W$165</f>
        <v>447</v>
      </c>
    </row>
    <row r="14" spans="2:29" x14ac:dyDescent="0.25">
      <c r="J14" s="305" t="s">
        <v>169</v>
      </c>
      <c r="K14" s="305"/>
      <c r="L14" s="305"/>
      <c r="M14" s="305"/>
      <c r="N14" s="313">
        <v>0</v>
      </c>
      <c r="U14" s="249">
        <v>70</v>
      </c>
      <c r="V14" s="269">
        <v>5</v>
      </c>
      <c r="W14" s="269">
        <v>6</v>
      </c>
      <c r="X14" s="269">
        <v>8</v>
      </c>
      <c r="Y14" s="270">
        <v>1</v>
      </c>
      <c r="Z14" s="270">
        <v>0</v>
      </c>
      <c r="AA14" s="270">
        <v>0</v>
      </c>
      <c r="AB14" s="216">
        <f>'Control Solar 1er Sem'!V14*'CS 1er sem datos'!$R$165+'Control Solar 1er Sem'!W14*'CS 1er sem datos'!$S$165+'Control Solar 1er Sem'!X14*'CS 1er sem datos'!$T$165+'Control Solar 1er Sem'!Y14*'CS 1er sem datos'!$U$165+'Control Solar 1er Sem'!Z14*'CS 1er sem datos'!$V$165+'Control Solar 1er Sem'!AA14*'CS 1er sem datos'!$W$165</f>
        <v>601</v>
      </c>
    </row>
    <row r="15" spans="2:29" x14ac:dyDescent="0.25">
      <c r="J15" s="305"/>
      <c r="K15" s="305"/>
      <c r="L15" s="305"/>
      <c r="M15" s="305"/>
      <c r="N15" s="313"/>
      <c r="U15" s="249">
        <v>80</v>
      </c>
      <c r="V15" s="269">
        <v>5</v>
      </c>
      <c r="W15" s="269">
        <v>6</v>
      </c>
      <c r="X15" s="269">
        <v>8</v>
      </c>
      <c r="Y15" s="269">
        <v>6.5</v>
      </c>
      <c r="Z15" s="270">
        <v>0.5</v>
      </c>
      <c r="AA15" s="270">
        <v>0</v>
      </c>
      <c r="AB15" s="216">
        <f>'Control Solar 1er Sem'!V15*'CS 1er sem datos'!$R$165+'Control Solar 1er Sem'!W15*'CS 1er sem datos'!$S$165+'Control Solar 1er Sem'!X15*'CS 1er sem datos'!$T$165+'Control Solar 1er Sem'!Y15*'CS 1er sem datos'!$U$165+'Control Solar 1er Sem'!Z15*'CS 1er sem datos'!$V$165+'Control Solar 1er Sem'!AA15*'CS 1er sem datos'!$W$165</f>
        <v>781.5</v>
      </c>
    </row>
    <row r="16" spans="2:29" x14ac:dyDescent="0.25">
      <c r="J16" s="305"/>
      <c r="K16" s="305"/>
      <c r="L16" s="305"/>
      <c r="M16" s="305"/>
      <c r="N16" s="313"/>
      <c r="U16" s="251">
        <v>90</v>
      </c>
      <c r="V16" s="269">
        <v>5</v>
      </c>
      <c r="W16" s="269">
        <v>6</v>
      </c>
      <c r="X16" s="269">
        <v>8</v>
      </c>
      <c r="Y16" s="269">
        <v>7.5</v>
      </c>
      <c r="Z16" s="269">
        <v>7</v>
      </c>
      <c r="AA16" s="270">
        <v>5</v>
      </c>
      <c r="AB16" s="216">
        <f>'Control Solar 1er Sem'!V16*'CS 1er sem datos'!$R$165+'Control Solar 1er Sem'!W16*'CS 1er sem datos'!$S$165+'Control Solar 1er Sem'!X16*'CS 1er sem datos'!$T$165+'Control Solar 1er Sem'!Y16*'CS 1er sem datos'!$U$165+'Control Solar 1er Sem'!Z16*'CS 1er sem datos'!$V$165+'Control Solar 1er Sem'!AA16*'CS 1er sem datos'!$W$165</f>
        <v>1163</v>
      </c>
    </row>
    <row r="17" spans="10:34" ht="15" customHeight="1" x14ac:dyDescent="0.25">
      <c r="J17" s="219"/>
      <c r="K17" s="219"/>
      <c r="L17" s="219"/>
      <c r="M17" s="219"/>
      <c r="N17" s="219"/>
      <c r="U17" s="304" t="s">
        <v>241</v>
      </c>
      <c r="V17" s="304"/>
      <c r="W17" s="304"/>
      <c r="X17" s="304"/>
      <c r="Y17" s="304"/>
      <c r="Z17" s="304"/>
      <c r="AA17" s="304"/>
      <c r="AB17" s="304"/>
      <c r="AC17" s="243"/>
      <c r="AD17" s="243"/>
      <c r="AE17" s="243"/>
      <c r="AF17" s="243"/>
      <c r="AG17" s="243"/>
      <c r="AH17" s="243"/>
    </row>
    <row r="18" spans="10:34" x14ac:dyDescent="0.25">
      <c r="J18" s="311" t="s">
        <v>115</v>
      </c>
      <c r="K18" s="312"/>
      <c r="L18" s="312"/>
      <c r="M18" s="312"/>
      <c r="N18" s="217">
        <v>60</v>
      </c>
      <c r="U18" s="251" t="s">
        <v>112</v>
      </c>
      <c r="V18" s="249" t="s">
        <v>5</v>
      </c>
      <c r="W18" s="249" t="s">
        <v>6</v>
      </c>
      <c r="X18" s="249" t="s">
        <v>7</v>
      </c>
      <c r="Y18" s="249" t="s">
        <v>8</v>
      </c>
      <c r="Z18" s="249" t="s">
        <v>9</v>
      </c>
      <c r="AA18" s="249" t="s">
        <v>10</v>
      </c>
      <c r="AB18" s="249" t="s">
        <v>224</v>
      </c>
    </row>
    <row r="19" spans="10:34" x14ac:dyDescent="0.25">
      <c r="U19" s="249">
        <v>40</v>
      </c>
      <c r="V19" s="270">
        <v>3.5</v>
      </c>
      <c r="W19" s="270">
        <v>2</v>
      </c>
      <c r="X19" s="270">
        <v>0</v>
      </c>
      <c r="Y19" s="270">
        <v>0</v>
      </c>
      <c r="Z19" s="270">
        <v>0</v>
      </c>
      <c r="AA19" s="270">
        <v>0</v>
      </c>
      <c r="AB19" s="250">
        <f>'Control Solar 1er Sem'!V19*'CS 1er sem datos'!$R$165+'Control Solar 1er Sem'!W19*'CS 1er sem datos'!$S$165+'Control Solar 1er Sem'!X19*'CS 1er sem datos'!$T$165+'Control Solar 1er Sem'!Y19*'CS 1er sem datos'!$U$165+'Control Solar 1er Sem'!Z19*'CS 1er sem datos'!$V$165+'Control Solar 1er Sem'!AA19*'CS 1er sem datos'!$W$165</f>
        <v>164.5</v>
      </c>
    </row>
    <row r="20" spans="10:34" x14ac:dyDescent="0.25">
      <c r="J20" s="309" t="s">
        <v>198</v>
      </c>
      <c r="K20" s="309"/>
      <c r="L20" s="309"/>
      <c r="M20" s="309"/>
      <c r="N20" s="192">
        <v>1.5</v>
      </c>
      <c r="U20" s="249">
        <v>50</v>
      </c>
      <c r="V20" s="270">
        <v>5</v>
      </c>
      <c r="W20" s="270">
        <v>4</v>
      </c>
      <c r="X20" s="270">
        <v>0</v>
      </c>
      <c r="Y20" s="270">
        <v>0</v>
      </c>
      <c r="Z20" s="270">
        <v>0</v>
      </c>
      <c r="AA20" s="270">
        <v>0</v>
      </c>
      <c r="AB20" s="250">
        <f>'Control Solar 1er Sem'!V20*'CS 1er sem datos'!$R$165+'Control Solar 1er Sem'!W20*'CS 1er sem datos'!$S$165+'Control Solar 1er Sem'!X20*'CS 1er sem datos'!$T$165+'Control Solar 1er Sem'!Y20*'CS 1er sem datos'!$U$165+'Control Solar 1er Sem'!Z20*'CS 1er sem datos'!$V$165+'Control Solar 1er Sem'!AA20*'CS 1er sem datos'!$W$165</f>
        <v>267</v>
      </c>
    </row>
    <row r="21" spans="10:34" x14ac:dyDescent="0.25">
      <c r="N21" s="196"/>
      <c r="U21" s="251">
        <v>60</v>
      </c>
      <c r="V21" s="270">
        <v>5</v>
      </c>
      <c r="W21" s="270">
        <v>4.5</v>
      </c>
      <c r="X21" s="270">
        <v>2</v>
      </c>
      <c r="Y21" s="270">
        <v>0</v>
      </c>
      <c r="Z21" s="270">
        <v>0</v>
      </c>
      <c r="AA21" s="270">
        <v>0</v>
      </c>
      <c r="AB21" s="250">
        <f>'Control Solar 1er Sem'!V21*'CS 1er sem datos'!$R$165+'Control Solar 1er Sem'!W21*'CS 1er sem datos'!$S$165+'Control Solar 1er Sem'!X21*'CS 1er sem datos'!$T$165+'Control Solar 1er Sem'!Y21*'CS 1er sem datos'!$U$165+'Control Solar 1er Sem'!Z21*'CS 1er sem datos'!$V$165+'Control Solar 1er Sem'!AA21*'CS 1er sem datos'!$W$165</f>
        <v>343</v>
      </c>
    </row>
    <row r="22" spans="10:34" x14ac:dyDescent="0.25">
      <c r="J22" s="309" t="s">
        <v>199</v>
      </c>
      <c r="K22" s="309"/>
      <c r="L22" s="309"/>
      <c r="M22" s="309"/>
      <c r="N22" s="160">
        <f>IF(N18=0,"Infinito",N20/TAN(RADIANS(N18)))</f>
        <v>0.86602540378443893</v>
      </c>
      <c r="U22" s="249">
        <v>70</v>
      </c>
      <c r="V22" s="270">
        <v>5</v>
      </c>
      <c r="W22" s="270">
        <v>4.5</v>
      </c>
      <c r="X22" s="270">
        <v>4</v>
      </c>
      <c r="Y22" s="270">
        <v>0</v>
      </c>
      <c r="Z22" s="270">
        <v>0</v>
      </c>
      <c r="AA22" s="270">
        <v>0</v>
      </c>
      <c r="AB22" s="250">
        <f>'Control Solar 1er Sem'!V22*'CS 1er sem datos'!$R$165+'Control Solar 1er Sem'!W22*'CS 1er sem datos'!$S$165+'Control Solar 1er Sem'!X22*'CS 1er sem datos'!$T$165+'Control Solar 1er Sem'!Y22*'CS 1er sem datos'!$U$165+'Control Solar 1er Sem'!Z22*'CS 1er sem datos'!$V$165+'Control Solar 1er Sem'!AA22*'CS 1er sem datos'!$W$165</f>
        <v>405</v>
      </c>
    </row>
    <row r="23" spans="10:34" x14ac:dyDescent="0.25">
      <c r="N23" s="196"/>
      <c r="U23" s="249">
        <v>80</v>
      </c>
      <c r="V23" s="270">
        <v>5</v>
      </c>
      <c r="W23" s="270">
        <v>4.5</v>
      </c>
      <c r="X23" s="270">
        <v>4</v>
      </c>
      <c r="Y23" s="270">
        <v>1</v>
      </c>
      <c r="Z23" s="270">
        <v>0</v>
      </c>
      <c r="AA23" s="270">
        <v>0</v>
      </c>
      <c r="AB23" s="250">
        <f>'Control Solar 1er Sem'!V23*'CS 1er sem datos'!$R$165+'Control Solar 1er Sem'!W23*'CS 1er sem datos'!$S$165+'Control Solar 1er Sem'!X23*'CS 1er sem datos'!$T$165+'Control Solar 1er Sem'!Y23*'CS 1er sem datos'!$U$165+'Control Solar 1er Sem'!Z23*'CS 1er sem datos'!$V$165+'Control Solar 1er Sem'!AA23*'CS 1er sem datos'!$W$165</f>
        <v>435</v>
      </c>
    </row>
    <row r="24" spans="10:34" x14ac:dyDescent="0.25">
      <c r="U24" s="251">
        <v>90</v>
      </c>
      <c r="V24" s="270">
        <v>5</v>
      </c>
      <c r="W24" s="270">
        <v>4.5</v>
      </c>
      <c r="X24" s="270">
        <v>4</v>
      </c>
      <c r="Y24" s="270">
        <v>1.5</v>
      </c>
      <c r="Z24" s="270">
        <v>0</v>
      </c>
      <c r="AA24" s="270">
        <v>0</v>
      </c>
      <c r="AB24" s="250">
        <f>'Control Solar 1er Sem'!V24*'CS 1er sem datos'!$R$165+'Control Solar 1er Sem'!W24*'CS 1er sem datos'!$S$165+'Control Solar 1er Sem'!X24*'CS 1er sem datos'!$T$165+'Control Solar 1er Sem'!Y24*'CS 1er sem datos'!$U$165+'Control Solar 1er Sem'!Z24*'CS 1er sem datos'!$V$165+'Control Solar 1er Sem'!AA24*'CS 1er sem datos'!$W$165</f>
        <v>450</v>
      </c>
    </row>
    <row r="26" spans="10:34" x14ac:dyDescent="0.25">
      <c r="J26" s="310" t="s">
        <v>116</v>
      </c>
      <c r="K26" s="310"/>
      <c r="L26" s="310"/>
      <c r="M26" s="310"/>
      <c r="N26" s="192" t="s">
        <v>183</v>
      </c>
      <c r="U26" s="300" t="s">
        <v>249</v>
      </c>
      <c r="V26" s="300"/>
      <c r="W26" s="300"/>
      <c r="X26" s="300"/>
      <c r="Y26" s="300"/>
      <c r="Z26" s="300"/>
      <c r="AA26" s="300"/>
      <c r="AB26" s="300"/>
    </row>
    <row r="27" spans="10:34" ht="14.1" customHeight="1" x14ac:dyDescent="0.25">
      <c r="O27" s="7"/>
      <c r="U27" s="301" t="s">
        <v>240</v>
      </c>
      <c r="V27" s="302"/>
      <c r="W27" s="302"/>
      <c r="X27" s="302"/>
      <c r="Y27" s="302"/>
      <c r="Z27" s="302"/>
      <c r="AA27" s="302"/>
      <c r="AB27" s="303"/>
    </row>
    <row r="28" spans="10:34" x14ac:dyDescent="0.25">
      <c r="J28" s="305" t="s">
        <v>169</v>
      </c>
      <c r="K28" s="305"/>
      <c r="L28" s="305"/>
      <c r="M28" s="305"/>
      <c r="N28" s="313">
        <v>0</v>
      </c>
      <c r="U28" s="272" t="s">
        <v>112</v>
      </c>
      <c r="V28" s="249" t="s">
        <v>5</v>
      </c>
      <c r="W28" s="249" t="s">
        <v>6</v>
      </c>
      <c r="X28" s="249" t="s">
        <v>7</v>
      </c>
      <c r="Y28" s="249" t="s">
        <v>8</v>
      </c>
      <c r="Z28" s="249" t="s">
        <v>9</v>
      </c>
      <c r="AA28" s="249" t="s">
        <v>10</v>
      </c>
      <c r="AB28" s="249" t="s">
        <v>224</v>
      </c>
    </row>
    <row r="29" spans="10:34" x14ac:dyDescent="0.25">
      <c r="J29" s="305"/>
      <c r="K29" s="305"/>
      <c r="L29" s="305"/>
      <c r="M29" s="305"/>
      <c r="N29" s="313"/>
      <c r="U29" s="249">
        <v>0</v>
      </c>
      <c r="V29" s="269">
        <v>5</v>
      </c>
      <c r="W29" s="269">
        <v>6</v>
      </c>
      <c r="X29" s="270">
        <v>8</v>
      </c>
      <c r="Y29" s="270">
        <v>7.5</v>
      </c>
      <c r="Z29" s="270">
        <v>7</v>
      </c>
      <c r="AA29" s="270">
        <v>5</v>
      </c>
      <c r="AB29" s="273">
        <f>'Control Solar 1er Sem'!V29*'CS 1er sem datos'!$R$165+'Control Solar 1er Sem'!W29*'CS 1er sem datos'!$S$165+'Control Solar 1er Sem'!X29*'CS 1er sem datos'!$T$165+'Control Solar 1er Sem'!Y29*'CS 1er sem datos'!$U$165+'Control Solar 1er Sem'!Z29*'CS 1er sem datos'!$V$165+'Control Solar 1er Sem'!AA29*'CS 1er sem datos'!$W$165</f>
        <v>1163</v>
      </c>
    </row>
    <row r="30" spans="10:34" x14ac:dyDescent="0.25">
      <c r="J30" s="305"/>
      <c r="K30" s="305"/>
      <c r="L30" s="305"/>
      <c r="M30" s="305"/>
      <c r="N30" s="313"/>
      <c r="O30" s="7"/>
      <c r="U30" s="249">
        <v>10</v>
      </c>
      <c r="V30" s="269">
        <v>5</v>
      </c>
      <c r="W30" s="269">
        <v>6</v>
      </c>
      <c r="X30" s="269">
        <v>6.5</v>
      </c>
      <c r="Y30" s="270">
        <v>6.5</v>
      </c>
      <c r="Z30" s="270">
        <v>5</v>
      </c>
      <c r="AA30" s="270">
        <v>3</v>
      </c>
      <c r="AB30" s="273">
        <f>'Control Solar 1er Sem'!V30*'CS 1er sem datos'!$R$165+'Control Solar 1er Sem'!W30*'CS 1er sem datos'!$S$165+'Control Solar 1er Sem'!X30*'CS 1er sem datos'!$T$165+'Control Solar 1er Sem'!Y30*'CS 1er sem datos'!$U$165+'Control Solar 1er Sem'!Z30*'CS 1er sem datos'!$V$165+'Control Solar 1er Sem'!AA30*'CS 1er sem datos'!$W$165</f>
        <v>964.5</v>
      </c>
    </row>
    <row r="31" spans="10:34" x14ac:dyDescent="0.25">
      <c r="U31" s="272">
        <v>20</v>
      </c>
      <c r="V31" s="269">
        <v>5</v>
      </c>
      <c r="W31" s="269">
        <v>5.5</v>
      </c>
      <c r="X31" s="269">
        <v>5.5</v>
      </c>
      <c r="Y31" s="270">
        <v>5</v>
      </c>
      <c r="Z31" s="270">
        <v>3</v>
      </c>
      <c r="AA31" s="270">
        <v>2</v>
      </c>
      <c r="AB31" s="273">
        <f>'Control Solar 1er Sem'!V31*'CS 1er sem datos'!$R$165+'Control Solar 1er Sem'!W31*'CS 1er sem datos'!$S$165+'Control Solar 1er Sem'!X31*'CS 1er sem datos'!$T$165+'Control Solar 1er Sem'!Y31*'CS 1er sem datos'!$U$165+'Control Solar 1er Sem'!Z31*'CS 1er sem datos'!$V$165+'Control Solar 1er Sem'!AA31*'CS 1er sem datos'!$W$165</f>
        <v>782.5</v>
      </c>
    </row>
    <row r="32" spans="10:34" x14ac:dyDescent="0.25">
      <c r="J32" s="310" t="s">
        <v>117</v>
      </c>
      <c r="K32" s="310"/>
      <c r="L32" s="310"/>
      <c r="M32" s="310"/>
      <c r="N32" s="221">
        <v>30</v>
      </c>
      <c r="U32" s="249">
        <v>30</v>
      </c>
      <c r="V32" s="269">
        <v>4.5</v>
      </c>
      <c r="W32" s="269">
        <v>4.5</v>
      </c>
      <c r="X32" s="269">
        <v>4.5</v>
      </c>
      <c r="Y32" s="270">
        <v>3</v>
      </c>
      <c r="Z32" s="270">
        <v>2</v>
      </c>
      <c r="AA32" s="270">
        <v>1</v>
      </c>
      <c r="AB32" s="273">
        <f>'Control Solar 1er Sem'!V32*'CS 1er sem datos'!$R$165+'Control Solar 1er Sem'!W32*'CS 1er sem datos'!$S$165+'Control Solar 1er Sem'!X32*'CS 1er sem datos'!$T$165+'Control Solar 1er Sem'!Y32*'CS 1er sem datos'!$U$165+'Control Solar 1er Sem'!Z32*'CS 1er sem datos'!$V$165+'Control Solar 1er Sem'!AA32*'CS 1er sem datos'!$W$165</f>
        <v>587</v>
      </c>
    </row>
    <row r="33" spans="2:28" x14ac:dyDescent="0.25">
      <c r="U33" s="249">
        <v>40</v>
      </c>
      <c r="V33" s="269">
        <v>3</v>
      </c>
      <c r="W33" s="269">
        <v>3.5</v>
      </c>
      <c r="X33" s="269">
        <v>4</v>
      </c>
      <c r="Y33" s="269">
        <v>3</v>
      </c>
      <c r="Z33" s="270">
        <v>1.5</v>
      </c>
      <c r="AA33" s="270">
        <v>0.5</v>
      </c>
      <c r="AB33" s="273">
        <f>'Control Solar 1er Sem'!V33*'CS 1er sem datos'!$R$165+'Control Solar 1er Sem'!W33*'CS 1er sem datos'!$S$165+'Control Solar 1er Sem'!X33*'CS 1er sem datos'!$T$165+'Control Solar 1er Sem'!Y33*'CS 1er sem datos'!$U$165+'Control Solar 1er Sem'!Z33*'CS 1er sem datos'!$V$165+'Control Solar 1er Sem'!AA33*'CS 1er sem datos'!$W$165</f>
        <v>466.5</v>
      </c>
    </row>
    <row r="34" spans="2:28" x14ac:dyDescent="0.25">
      <c r="J34" s="309" t="s">
        <v>197</v>
      </c>
      <c r="K34" s="309"/>
      <c r="L34" s="309"/>
      <c r="M34" s="309"/>
      <c r="N34" s="192">
        <v>2</v>
      </c>
      <c r="U34" s="272">
        <v>50</v>
      </c>
      <c r="V34" s="269">
        <v>2.5</v>
      </c>
      <c r="W34" s="269">
        <v>3</v>
      </c>
      <c r="X34" s="269">
        <v>3</v>
      </c>
      <c r="Y34" s="269">
        <v>2</v>
      </c>
      <c r="Z34" s="269">
        <v>1</v>
      </c>
      <c r="AA34" s="270">
        <v>0.5</v>
      </c>
      <c r="AB34" s="273">
        <f>'Control Solar 1er Sem'!V34*'CS 1er sem datos'!$R$165+'Control Solar 1er Sem'!W34*'CS 1er sem datos'!$S$165+'Control Solar 1er Sem'!X34*'CS 1er sem datos'!$T$165+'Control Solar 1er Sem'!Y34*'CS 1er sem datos'!$U$165+'Control Solar 1er Sem'!Z34*'CS 1er sem datos'!$V$165+'Control Solar 1er Sem'!AA34*'CS 1er sem datos'!$W$165</f>
        <v>360.5</v>
      </c>
    </row>
    <row r="35" spans="2:28" x14ac:dyDescent="0.25">
      <c r="U35" s="304" t="s">
        <v>241</v>
      </c>
      <c r="V35" s="304"/>
      <c r="W35" s="304"/>
      <c r="X35" s="304"/>
      <c r="Y35" s="304"/>
      <c r="Z35" s="304"/>
      <c r="AA35" s="304"/>
      <c r="AB35" s="304"/>
    </row>
    <row r="36" spans="2:28" x14ac:dyDescent="0.25">
      <c r="J36" s="309" t="s">
        <v>200</v>
      </c>
      <c r="K36" s="310"/>
      <c r="L36" s="310"/>
      <c r="M36" s="310"/>
      <c r="N36" s="222">
        <f>IF(N32=90,"Infinito",N34*TAN(RADIANS(N32)))</f>
        <v>1.1547005383792515</v>
      </c>
      <c r="U36" s="272" t="s">
        <v>112</v>
      </c>
      <c r="V36" s="249" t="s">
        <v>5</v>
      </c>
      <c r="W36" s="249" t="s">
        <v>6</v>
      </c>
      <c r="X36" s="249" t="s">
        <v>7</v>
      </c>
      <c r="Y36" s="249" t="s">
        <v>8</v>
      </c>
      <c r="Z36" s="249" t="s">
        <v>9</v>
      </c>
      <c r="AA36" s="249" t="s">
        <v>10</v>
      </c>
      <c r="AB36" s="249" t="s">
        <v>224</v>
      </c>
    </row>
    <row r="37" spans="2:28" x14ac:dyDescent="0.25">
      <c r="U37" s="249">
        <v>0</v>
      </c>
      <c r="V37" s="270">
        <v>5</v>
      </c>
      <c r="W37" s="270">
        <v>4.5</v>
      </c>
      <c r="X37" s="270">
        <v>4</v>
      </c>
      <c r="Y37" s="270">
        <v>1.5</v>
      </c>
      <c r="Z37" s="270">
        <v>0</v>
      </c>
      <c r="AA37" s="270">
        <v>0</v>
      </c>
      <c r="AB37" s="250">
        <f>'Control Solar 1er Sem'!V37*'CS 1er sem datos'!$R$165+'Control Solar 1er Sem'!W37*'CS 1er sem datos'!$S$165+'Control Solar 1er Sem'!X37*'CS 1er sem datos'!$T$165+'Control Solar 1er Sem'!Y37*'CS 1er sem datos'!$U$165+'Control Solar 1er Sem'!Z37*'CS 1er sem datos'!$V$165+'Control Solar 1er Sem'!AA37*'CS 1er sem datos'!$W$165</f>
        <v>450</v>
      </c>
    </row>
    <row r="38" spans="2:28" x14ac:dyDescent="0.25">
      <c r="U38" s="249">
        <v>10</v>
      </c>
      <c r="V38" s="270">
        <v>5</v>
      </c>
      <c r="W38" s="270">
        <v>4.5</v>
      </c>
      <c r="X38" s="270">
        <v>2.5</v>
      </c>
      <c r="Y38" s="270">
        <v>0.5</v>
      </c>
      <c r="Z38" s="270">
        <v>0</v>
      </c>
      <c r="AA38" s="270">
        <v>0</v>
      </c>
      <c r="AB38" s="250">
        <f>'Control Solar 1er Sem'!V38*'CS 1er sem datos'!$R$165+'Control Solar 1er Sem'!W38*'CS 1er sem datos'!$S$165+'Control Solar 1er Sem'!X38*'CS 1er sem datos'!$T$165+'Control Solar 1er Sem'!Y38*'CS 1er sem datos'!$U$165+'Control Solar 1er Sem'!Z38*'CS 1er sem datos'!$V$165+'Control Solar 1er Sem'!AA38*'CS 1er sem datos'!$W$165</f>
        <v>373.5</v>
      </c>
    </row>
    <row r="39" spans="2:28" x14ac:dyDescent="0.25">
      <c r="B39" s="297" t="s">
        <v>196</v>
      </c>
      <c r="C39" s="297"/>
      <c r="D39" s="297"/>
      <c r="E39" s="297"/>
      <c r="F39" s="297"/>
      <c r="G39" s="297"/>
      <c r="H39" s="297"/>
      <c r="I39" s="297"/>
      <c r="J39" s="297"/>
      <c r="K39" s="297"/>
      <c r="L39" s="297"/>
      <c r="M39" s="297"/>
      <c r="N39" s="297"/>
      <c r="U39" s="272">
        <v>20</v>
      </c>
      <c r="V39" s="270">
        <v>5</v>
      </c>
      <c r="W39" s="270">
        <v>3.5</v>
      </c>
      <c r="X39" s="270">
        <v>1.5</v>
      </c>
      <c r="Y39" s="270">
        <v>0</v>
      </c>
      <c r="Z39" s="270">
        <v>0</v>
      </c>
      <c r="AA39" s="270">
        <v>0</v>
      </c>
      <c r="AB39" s="250">
        <f>'Control Solar 1er Sem'!V39*'CS 1er sem datos'!$R$165+'Control Solar 1er Sem'!W39*'CS 1er sem datos'!$S$165+'Control Solar 1er Sem'!X39*'CS 1er sem datos'!$T$165+'Control Solar 1er Sem'!Y39*'CS 1er sem datos'!$U$165+'Control Solar 1er Sem'!Z39*'CS 1er sem datos'!$V$165+'Control Solar 1er Sem'!AA39*'CS 1er sem datos'!$W$165</f>
        <v>299.5</v>
      </c>
    </row>
    <row r="40" spans="2:28" x14ac:dyDescent="0.25">
      <c r="B40" s="306" t="s">
        <v>119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8"/>
      <c r="U40" s="249">
        <v>30</v>
      </c>
      <c r="V40" s="270">
        <v>4.5</v>
      </c>
      <c r="W40" s="270">
        <v>2.5</v>
      </c>
      <c r="X40" s="270">
        <v>0.5</v>
      </c>
      <c r="Y40" s="270">
        <v>0</v>
      </c>
      <c r="Z40" s="270">
        <v>0</v>
      </c>
      <c r="AA40" s="270">
        <v>0</v>
      </c>
      <c r="AB40" s="250">
        <f>'Control Solar 1er Sem'!V40*'CS 1er sem datos'!$R$165+'Control Solar 1er Sem'!W40*'CS 1er sem datos'!$S$165+'Control Solar 1er Sem'!X40*'CS 1er sem datos'!$T$165+'Control Solar 1er Sem'!Y40*'CS 1er sem datos'!$U$165+'Control Solar 1er Sem'!Z40*'CS 1er sem datos'!$V$165+'Control Solar 1er Sem'!AA40*'CS 1er sem datos'!$W$165</f>
        <v>225</v>
      </c>
    </row>
    <row r="41" spans="2:28" x14ac:dyDescent="0.25">
      <c r="B41" s="298" t="s">
        <v>1</v>
      </c>
      <c r="C41" s="299"/>
      <c r="D41" s="213" t="str">
        <f>D4</f>
        <v>Hermosillo, Son.</v>
      </c>
      <c r="E41" s="214"/>
      <c r="F41" s="298" t="s">
        <v>170</v>
      </c>
      <c r="G41" s="299"/>
      <c r="H41" s="216">
        <f>H4</f>
        <v>29.08</v>
      </c>
      <c r="I41" s="298" t="s">
        <v>202</v>
      </c>
      <c r="J41" s="299"/>
      <c r="K41" s="215">
        <f>K4</f>
        <v>-110.93</v>
      </c>
      <c r="L41" s="298" t="s">
        <v>201</v>
      </c>
      <c r="M41" s="299"/>
      <c r="N41" s="215">
        <f>N4</f>
        <v>211</v>
      </c>
      <c r="U41" s="249">
        <v>40</v>
      </c>
      <c r="V41" s="270">
        <v>3</v>
      </c>
      <c r="W41" s="270">
        <v>2</v>
      </c>
      <c r="X41" s="270">
        <v>0</v>
      </c>
      <c r="Y41" s="270">
        <v>0</v>
      </c>
      <c r="Z41" s="270">
        <v>0</v>
      </c>
      <c r="AA41" s="270">
        <v>0</v>
      </c>
      <c r="AB41" s="250">
        <f>'Control Solar 1er Sem'!V41*'CS 1er sem datos'!$R$165+'Control Solar 1er Sem'!W41*'CS 1er sem datos'!$S$165+'Control Solar 1er Sem'!X41*'CS 1er sem datos'!$T$165+'Control Solar 1er Sem'!Y41*'CS 1er sem datos'!$U$165+'Control Solar 1er Sem'!Z41*'CS 1er sem datos'!$V$165+'Control Solar 1er Sem'!AA41*'CS 1er sem datos'!$W$165</f>
        <v>149</v>
      </c>
    </row>
    <row r="42" spans="2:28" x14ac:dyDescent="0.25">
      <c r="U42" s="272">
        <v>50</v>
      </c>
      <c r="V42" s="270">
        <v>2.5</v>
      </c>
      <c r="W42" s="270">
        <v>1</v>
      </c>
      <c r="X42" s="270">
        <v>0</v>
      </c>
      <c r="Y42" s="270">
        <v>0</v>
      </c>
      <c r="Z42" s="270">
        <v>0</v>
      </c>
      <c r="AA42" s="270">
        <v>0</v>
      </c>
      <c r="AB42" s="250">
        <f>'Control Solar 1er Sem'!V42*'CS 1er sem datos'!$R$165+'Control Solar 1er Sem'!W42*'CS 1er sem datos'!$S$165+'Control Solar 1er Sem'!X42*'CS 1er sem datos'!$T$165+'Control Solar 1er Sem'!Y42*'CS 1er sem datos'!$U$165+'Control Solar 1er Sem'!Z42*'CS 1er sem datos'!$V$165+'Control Solar 1er Sem'!AA42*'CS 1er sem datos'!$W$165</f>
        <v>105.5</v>
      </c>
    </row>
  </sheetData>
  <sheetProtection password="E6CB" sheet="1" objects="1" scenarios="1"/>
  <mergeCells count="32">
    <mergeCell ref="N28:N30"/>
    <mergeCell ref="J8:M8"/>
    <mergeCell ref="J12:M12"/>
    <mergeCell ref="J36:M36"/>
    <mergeCell ref="J34:M34"/>
    <mergeCell ref="J20:M20"/>
    <mergeCell ref="J22:M22"/>
    <mergeCell ref="J32:M32"/>
    <mergeCell ref="J26:M26"/>
    <mergeCell ref="J28:M30"/>
    <mergeCell ref="B39:N39"/>
    <mergeCell ref="B40:N40"/>
    <mergeCell ref="B41:C41"/>
    <mergeCell ref="F41:G41"/>
    <mergeCell ref="I41:J41"/>
    <mergeCell ref="L41:M41"/>
    <mergeCell ref="U26:AB26"/>
    <mergeCell ref="U27:AB27"/>
    <mergeCell ref="U35:AB35"/>
    <mergeCell ref="J14:M16"/>
    <mergeCell ref="B2:N2"/>
    <mergeCell ref="B4:C4"/>
    <mergeCell ref="F4:G4"/>
    <mergeCell ref="I4:J4"/>
    <mergeCell ref="L4:M4"/>
    <mergeCell ref="B3:N3"/>
    <mergeCell ref="U2:AB3"/>
    <mergeCell ref="U8:AB8"/>
    <mergeCell ref="U9:AB9"/>
    <mergeCell ref="U17:AB17"/>
    <mergeCell ref="J18:M18"/>
    <mergeCell ref="N14:N16"/>
  </mergeCells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2:DL569"/>
  <sheetViews>
    <sheetView topLeftCell="P141" workbookViewId="0">
      <selection activeCell="R165" sqref="R165"/>
    </sheetView>
  </sheetViews>
  <sheetFormatPr baseColWidth="10" defaultRowHeight="15" x14ac:dyDescent="0.25"/>
  <cols>
    <col min="61" max="61" width="13" bestFit="1" customWidth="1"/>
    <col min="63" max="63" width="11.42578125" customWidth="1"/>
    <col min="72" max="72" width="12.7109375" bestFit="1" customWidth="1"/>
    <col min="87" max="87" width="11.42578125" customWidth="1"/>
  </cols>
  <sheetData>
    <row r="2" spans="1:58" x14ac:dyDescent="0.25">
      <c r="A2">
        <v>9</v>
      </c>
      <c r="B2">
        <f t="shared" ref="B2:B33" si="0">+SQRT(81-A2^2)</f>
        <v>0</v>
      </c>
      <c r="C2">
        <f t="shared" ref="C2:C33" si="1">-B2</f>
        <v>0</v>
      </c>
      <c r="BC2">
        <v>0</v>
      </c>
      <c r="BD2">
        <v>0</v>
      </c>
      <c r="BE2">
        <f t="shared" ref="BE2:BE12" si="2">+SQRT(1-BD2^2)</f>
        <v>1</v>
      </c>
      <c r="BF2">
        <f t="shared" ref="BF2:BF12" si="3">-BE2</f>
        <v>-1</v>
      </c>
    </row>
    <row r="3" spans="1:58" x14ac:dyDescent="0.25">
      <c r="A3">
        <v>8.9</v>
      </c>
      <c r="B3">
        <f t="shared" si="0"/>
        <v>1.3379088160259622</v>
      </c>
      <c r="C3">
        <f t="shared" si="1"/>
        <v>-1.3379088160259622</v>
      </c>
      <c r="BC3">
        <v>-0.1</v>
      </c>
      <c r="BD3">
        <v>0.1</v>
      </c>
      <c r="BE3">
        <f t="shared" si="2"/>
        <v>0.99498743710661997</v>
      </c>
      <c r="BF3">
        <f t="shared" si="3"/>
        <v>-0.99498743710661997</v>
      </c>
    </row>
    <row r="4" spans="1:58" x14ac:dyDescent="0.25">
      <c r="A4">
        <v>8.8000000000000007</v>
      </c>
      <c r="B4">
        <f t="shared" si="0"/>
        <v>1.8867962264113176</v>
      </c>
      <c r="C4">
        <f t="shared" si="1"/>
        <v>-1.8867962264113176</v>
      </c>
      <c r="BC4">
        <v>-0.2</v>
      </c>
      <c r="BD4">
        <v>0.2</v>
      </c>
      <c r="BE4">
        <f t="shared" si="2"/>
        <v>0.9797958971132712</v>
      </c>
      <c r="BF4">
        <f t="shared" si="3"/>
        <v>-0.9797958971132712</v>
      </c>
    </row>
    <row r="5" spans="1:58" x14ac:dyDescent="0.25">
      <c r="A5">
        <v>8.6999999999999993</v>
      </c>
      <c r="B5">
        <f t="shared" si="0"/>
        <v>2.304343724360586</v>
      </c>
      <c r="C5">
        <f t="shared" si="1"/>
        <v>-2.304343724360586</v>
      </c>
      <c r="BC5">
        <v>-0.3</v>
      </c>
      <c r="BD5">
        <v>0.3</v>
      </c>
      <c r="BE5">
        <f t="shared" si="2"/>
        <v>0.95393920141694566</v>
      </c>
      <c r="BF5">
        <f t="shared" si="3"/>
        <v>-0.95393920141694566</v>
      </c>
    </row>
    <row r="6" spans="1:58" x14ac:dyDescent="0.25">
      <c r="A6">
        <v>8.6</v>
      </c>
      <c r="B6">
        <f t="shared" si="0"/>
        <v>2.6532998322843211</v>
      </c>
      <c r="C6">
        <f t="shared" si="1"/>
        <v>-2.6532998322843211</v>
      </c>
      <c r="BC6">
        <v>-0.4</v>
      </c>
      <c r="BD6">
        <v>0.4</v>
      </c>
      <c r="BE6">
        <f t="shared" si="2"/>
        <v>0.91651513899116799</v>
      </c>
      <c r="BF6">
        <f t="shared" si="3"/>
        <v>-0.91651513899116799</v>
      </c>
    </row>
    <row r="7" spans="1:58" x14ac:dyDescent="0.25">
      <c r="A7">
        <v>8.5</v>
      </c>
      <c r="B7">
        <f t="shared" si="0"/>
        <v>2.9580398915498081</v>
      </c>
      <c r="C7">
        <f t="shared" si="1"/>
        <v>-2.9580398915498081</v>
      </c>
      <c r="BC7">
        <v>-0.5</v>
      </c>
      <c r="BD7">
        <v>0.5</v>
      </c>
      <c r="BE7">
        <f t="shared" si="2"/>
        <v>0.8660254037844386</v>
      </c>
      <c r="BF7">
        <f t="shared" si="3"/>
        <v>-0.8660254037844386</v>
      </c>
    </row>
    <row r="8" spans="1:58" x14ac:dyDescent="0.25">
      <c r="A8">
        <v>8.4</v>
      </c>
      <c r="B8">
        <f t="shared" si="0"/>
        <v>3.2310988842807022</v>
      </c>
      <c r="C8">
        <f t="shared" si="1"/>
        <v>-3.2310988842807022</v>
      </c>
      <c r="BC8">
        <v>-0.6</v>
      </c>
      <c r="BD8">
        <v>0.6</v>
      </c>
      <c r="BE8">
        <f t="shared" si="2"/>
        <v>0.8</v>
      </c>
      <c r="BF8">
        <f t="shared" si="3"/>
        <v>-0.8</v>
      </c>
    </row>
    <row r="9" spans="1:58" x14ac:dyDescent="0.25">
      <c r="A9">
        <v>8.3000000000000007</v>
      </c>
      <c r="B9">
        <f t="shared" si="0"/>
        <v>3.479942528261061</v>
      </c>
      <c r="C9">
        <f t="shared" si="1"/>
        <v>-3.479942528261061</v>
      </c>
      <c r="BC9">
        <v>-0.7</v>
      </c>
      <c r="BD9">
        <v>0.7</v>
      </c>
      <c r="BE9">
        <f t="shared" si="2"/>
        <v>0.71414284285428498</v>
      </c>
      <c r="BF9">
        <f t="shared" si="3"/>
        <v>-0.71414284285428498</v>
      </c>
    </row>
    <row r="10" spans="1:58" x14ac:dyDescent="0.25">
      <c r="A10">
        <v>8.1999999999999993</v>
      </c>
      <c r="B10">
        <f t="shared" si="0"/>
        <v>3.7094473981982823</v>
      </c>
      <c r="C10">
        <f t="shared" si="1"/>
        <v>-3.7094473981982823</v>
      </c>
      <c r="BC10">
        <v>-0.8</v>
      </c>
      <c r="BD10">
        <v>0.8</v>
      </c>
      <c r="BE10">
        <f t="shared" si="2"/>
        <v>0.59999999999999987</v>
      </c>
      <c r="BF10">
        <f t="shared" si="3"/>
        <v>-0.59999999999999987</v>
      </c>
    </row>
    <row r="11" spans="1:58" x14ac:dyDescent="0.25">
      <c r="A11">
        <v>8.1</v>
      </c>
      <c r="B11">
        <f t="shared" si="0"/>
        <v>3.9230090491866063</v>
      </c>
      <c r="C11">
        <f t="shared" si="1"/>
        <v>-3.9230090491866063</v>
      </c>
      <c r="BC11">
        <v>-0.9</v>
      </c>
      <c r="BD11">
        <v>0.9</v>
      </c>
      <c r="BE11">
        <f t="shared" si="2"/>
        <v>0.43588989435406728</v>
      </c>
      <c r="BF11">
        <f t="shared" si="3"/>
        <v>-0.43588989435406728</v>
      </c>
    </row>
    <row r="12" spans="1:58" x14ac:dyDescent="0.25">
      <c r="A12">
        <v>8</v>
      </c>
      <c r="B12">
        <f t="shared" si="0"/>
        <v>4.1231056256176606</v>
      </c>
      <c r="C12">
        <f t="shared" si="1"/>
        <v>-4.1231056256176606</v>
      </c>
      <c r="D12">
        <f t="shared" ref="D12:D43" si="4">+SQRT(64-A12^2)</f>
        <v>0</v>
      </c>
      <c r="E12">
        <f t="shared" ref="E12:E43" si="5">-D12</f>
        <v>0</v>
      </c>
      <c r="BC12">
        <v>-1</v>
      </c>
      <c r="BD12">
        <v>1</v>
      </c>
      <c r="BE12">
        <f t="shared" si="2"/>
        <v>0</v>
      </c>
      <c r="BF12">
        <f t="shared" si="3"/>
        <v>0</v>
      </c>
    </row>
    <row r="13" spans="1:58" x14ac:dyDescent="0.25">
      <c r="A13">
        <v>7.9</v>
      </c>
      <c r="B13">
        <f t="shared" si="0"/>
        <v>4.3116122274620192</v>
      </c>
      <c r="C13">
        <f t="shared" si="1"/>
        <v>-4.3116122274620192</v>
      </c>
      <c r="D13">
        <f t="shared" si="4"/>
        <v>1.2609520212918477</v>
      </c>
      <c r="E13">
        <f t="shared" si="5"/>
        <v>-1.2609520212918477</v>
      </c>
    </row>
    <row r="14" spans="1:58" x14ac:dyDescent="0.25">
      <c r="A14">
        <v>7.8</v>
      </c>
      <c r="B14">
        <f t="shared" si="0"/>
        <v>4.4899888641287298</v>
      </c>
      <c r="C14">
        <f t="shared" si="1"/>
        <v>-4.4899888641287298</v>
      </c>
      <c r="D14">
        <f t="shared" si="4"/>
        <v>1.7776388834631187</v>
      </c>
      <c r="E14">
        <f t="shared" si="5"/>
        <v>-1.7776388834631187</v>
      </c>
    </row>
    <row r="15" spans="1:58" x14ac:dyDescent="0.25">
      <c r="A15">
        <v>7.7</v>
      </c>
      <c r="B15">
        <f t="shared" si="0"/>
        <v>4.6593991028886972</v>
      </c>
      <c r="C15">
        <f t="shared" si="1"/>
        <v>-4.6593991028886972</v>
      </c>
      <c r="D15">
        <f t="shared" si="4"/>
        <v>2.1702534414210692</v>
      </c>
      <c r="E15">
        <f t="shared" si="5"/>
        <v>-2.1702534414210692</v>
      </c>
    </row>
    <row r="16" spans="1:58" x14ac:dyDescent="0.25">
      <c r="A16">
        <v>7.6</v>
      </c>
      <c r="B16">
        <f t="shared" si="0"/>
        <v>4.8207883172775805</v>
      </c>
      <c r="C16">
        <f t="shared" si="1"/>
        <v>-4.8207883172775805</v>
      </c>
      <c r="D16">
        <f t="shared" si="4"/>
        <v>2.4979991993593598</v>
      </c>
      <c r="E16">
        <f t="shared" si="5"/>
        <v>-2.4979991993593598</v>
      </c>
    </row>
    <row r="17" spans="1:9" x14ac:dyDescent="0.25">
      <c r="A17">
        <v>7.5</v>
      </c>
      <c r="B17">
        <f t="shared" si="0"/>
        <v>4.9749371855330997</v>
      </c>
      <c r="C17">
        <f t="shared" si="1"/>
        <v>-4.9749371855330997</v>
      </c>
      <c r="D17">
        <f t="shared" si="4"/>
        <v>2.7838821814150108</v>
      </c>
      <c r="E17">
        <f t="shared" si="5"/>
        <v>-2.7838821814150108</v>
      </c>
    </row>
    <row r="18" spans="1:9" x14ac:dyDescent="0.25">
      <c r="A18">
        <v>7.4</v>
      </c>
      <c r="B18">
        <f t="shared" si="0"/>
        <v>5.1224993899462783</v>
      </c>
      <c r="C18">
        <f t="shared" si="1"/>
        <v>-5.1224993899462783</v>
      </c>
      <c r="D18">
        <f t="shared" si="4"/>
        <v>3.0397368307141317</v>
      </c>
      <c r="E18">
        <f t="shared" si="5"/>
        <v>-3.0397368307141317</v>
      </c>
    </row>
    <row r="19" spans="1:9" x14ac:dyDescent="0.25">
      <c r="A19">
        <v>7.3</v>
      </c>
      <c r="B19">
        <f t="shared" si="0"/>
        <v>5.2640288753007427</v>
      </c>
      <c r="C19">
        <f t="shared" si="1"/>
        <v>-5.2640288753007427</v>
      </c>
      <c r="D19">
        <f t="shared" si="4"/>
        <v>3.2726136343907144</v>
      </c>
      <c r="E19">
        <f t="shared" si="5"/>
        <v>-3.2726136343907144</v>
      </c>
    </row>
    <row r="20" spans="1:9" x14ac:dyDescent="0.25">
      <c r="A20">
        <v>7.2</v>
      </c>
      <c r="B20">
        <f t="shared" si="0"/>
        <v>5.3999999999999995</v>
      </c>
      <c r="C20">
        <f t="shared" si="1"/>
        <v>-5.3999999999999995</v>
      </c>
      <c r="D20">
        <f t="shared" si="4"/>
        <v>3.4871191548325382</v>
      </c>
      <c r="E20">
        <f t="shared" si="5"/>
        <v>-3.4871191548325382</v>
      </c>
    </row>
    <row r="21" spans="1:9" x14ac:dyDescent="0.25">
      <c r="A21">
        <v>7.1</v>
      </c>
      <c r="B21">
        <f t="shared" si="0"/>
        <v>5.5308227236099334</v>
      </c>
      <c r="C21">
        <f t="shared" si="1"/>
        <v>-5.5308227236099334</v>
      </c>
      <c r="D21">
        <f t="shared" si="4"/>
        <v>3.6864617182333528</v>
      </c>
      <c r="E21">
        <f t="shared" si="5"/>
        <v>-3.6864617182333528</v>
      </c>
    </row>
    <row r="22" spans="1:9" x14ac:dyDescent="0.25">
      <c r="A22">
        <v>7</v>
      </c>
      <c r="B22">
        <f t="shared" si="0"/>
        <v>5.6568542494923806</v>
      </c>
      <c r="C22">
        <f t="shared" si="1"/>
        <v>-5.6568542494923806</v>
      </c>
      <c r="D22">
        <f t="shared" si="4"/>
        <v>3.872983346207417</v>
      </c>
      <c r="E22">
        <f t="shared" si="5"/>
        <v>-3.872983346207417</v>
      </c>
      <c r="F22">
        <f t="shared" ref="F22:F53" si="6">+SQRT(49-A22^2)</f>
        <v>0</v>
      </c>
      <c r="G22">
        <f t="shared" ref="G22:G53" si="7">-F22</f>
        <v>0</v>
      </c>
    </row>
    <row r="23" spans="1:9" x14ac:dyDescent="0.25">
      <c r="A23">
        <v>6.9</v>
      </c>
      <c r="B23">
        <f t="shared" si="0"/>
        <v>5.7784080852774666</v>
      </c>
      <c r="C23">
        <f t="shared" si="1"/>
        <v>-5.7784080852774666</v>
      </c>
      <c r="D23">
        <f t="shared" si="4"/>
        <v>4.0484564959994316</v>
      </c>
      <c r="E23">
        <f t="shared" si="5"/>
        <v>-4.0484564959994316</v>
      </c>
      <c r="F23">
        <f t="shared" si="6"/>
        <v>1.1789826122551568</v>
      </c>
      <c r="G23">
        <f t="shared" si="7"/>
        <v>-1.1789826122551568</v>
      </c>
    </row>
    <row r="24" spans="1:9" x14ac:dyDescent="0.25">
      <c r="A24">
        <v>6.8</v>
      </c>
      <c r="B24">
        <f t="shared" si="0"/>
        <v>5.89576118919347</v>
      </c>
      <c r="C24">
        <f t="shared" si="1"/>
        <v>-5.89576118919347</v>
      </c>
      <c r="D24">
        <f t="shared" si="4"/>
        <v>4.2142615011410962</v>
      </c>
      <c r="E24">
        <f t="shared" si="5"/>
        <v>-4.2142615011410962</v>
      </c>
      <c r="F24">
        <f t="shared" si="6"/>
        <v>1.6613247725836164</v>
      </c>
      <c r="G24">
        <f t="shared" si="7"/>
        <v>-1.6613247725836164</v>
      </c>
    </row>
    <row r="25" spans="1:9" x14ac:dyDescent="0.25">
      <c r="A25">
        <v>6.7</v>
      </c>
      <c r="B25">
        <f t="shared" si="0"/>
        <v>6.009159675029446</v>
      </c>
      <c r="C25">
        <f t="shared" si="1"/>
        <v>-6.009159675029446</v>
      </c>
      <c r="D25">
        <f t="shared" si="4"/>
        <v>4.3714985988788788</v>
      </c>
      <c r="E25">
        <f t="shared" si="5"/>
        <v>-4.3714985988788788</v>
      </c>
      <c r="F25">
        <f t="shared" si="6"/>
        <v>2.027313493271329</v>
      </c>
      <c r="G25">
        <f t="shared" si="7"/>
        <v>-2.027313493271329</v>
      </c>
    </row>
    <row r="26" spans="1:9" x14ac:dyDescent="0.25">
      <c r="A26">
        <v>6.6</v>
      </c>
      <c r="B26">
        <f t="shared" si="0"/>
        <v>6.1188234163113426</v>
      </c>
      <c r="C26">
        <f t="shared" si="1"/>
        <v>-6.1188234163113426</v>
      </c>
      <c r="D26">
        <f t="shared" si="4"/>
        <v>4.5210618221829266</v>
      </c>
      <c r="E26">
        <f t="shared" si="5"/>
        <v>-4.5210618221829266</v>
      </c>
      <c r="F26">
        <f t="shared" si="6"/>
        <v>2.3323807579381213</v>
      </c>
      <c r="G26">
        <f t="shared" si="7"/>
        <v>-2.3323807579381213</v>
      </c>
    </row>
    <row r="27" spans="1:9" x14ac:dyDescent="0.25">
      <c r="A27">
        <v>6.5</v>
      </c>
      <c r="B27">
        <f t="shared" si="0"/>
        <v>6.2249497989943663</v>
      </c>
      <c r="C27">
        <f t="shared" si="1"/>
        <v>-6.2249497989943663</v>
      </c>
      <c r="D27">
        <f t="shared" si="4"/>
        <v>4.6636895265444078</v>
      </c>
      <c r="E27">
        <f t="shared" si="5"/>
        <v>-4.6636895265444078</v>
      </c>
      <c r="F27">
        <f t="shared" si="6"/>
        <v>2.598076211353316</v>
      </c>
      <c r="G27">
        <f t="shared" si="7"/>
        <v>-2.598076211353316</v>
      </c>
    </row>
    <row r="28" spans="1:9" x14ac:dyDescent="0.25">
      <c r="A28">
        <v>6.4</v>
      </c>
      <c r="B28">
        <f t="shared" si="0"/>
        <v>6.327716807822549</v>
      </c>
      <c r="C28">
        <f t="shared" si="1"/>
        <v>-6.327716807822549</v>
      </c>
      <c r="D28">
        <f t="shared" si="4"/>
        <v>4.7999999999999989</v>
      </c>
      <c r="E28">
        <f t="shared" si="5"/>
        <v>-4.7999999999999989</v>
      </c>
      <c r="F28">
        <f t="shared" si="6"/>
        <v>2.8354893757515636</v>
      </c>
      <c r="G28">
        <f t="shared" si="7"/>
        <v>-2.8354893757515636</v>
      </c>
    </row>
    <row r="29" spans="1:9" x14ac:dyDescent="0.25">
      <c r="A29">
        <v>6.3</v>
      </c>
      <c r="B29">
        <f t="shared" si="0"/>
        <v>6.4272855856885656</v>
      </c>
      <c r="C29">
        <f t="shared" si="1"/>
        <v>-6.4272855856885656</v>
      </c>
      <c r="D29">
        <f t="shared" si="4"/>
        <v>4.9305172142484199</v>
      </c>
      <c r="E29">
        <f t="shared" si="5"/>
        <v>-4.9305172142484199</v>
      </c>
      <c r="F29">
        <f t="shared" si="6"/>
        <v>3.0512292604784719</v>
      </c>
      <c r="G29">
        <f t="shared" si="7"/>
        <v>-3.0512292604784719</v>
      </c>
    </row>
    <row r="30" spans="1:9" x14ac:dyDescent="0.25">
      <c r="A30">
        <v>6.2</v>
      </c>
      <c r="B30">
        <f t="shared" si="0"/>
        <v>6.5238025721200357</v>
      </c>
      <c r="C30">
        <f t="shared" si="1"/>
        <v>-6.5238025721200357</v>
      </c>
      <c r="D30">
        <f t="shared" si="4"/>
        <v>5.0556898639058145</v>
      </c>
      <c r="E30">
        <f t="shared" si="5"/>
        <v>-5.0556898639058145</v>
      </c>
      <c r="F30">
        <f t="shared" si="6"/>
        <v>3.2496153618543833</v>
      </c>
      <c r="G30">
        <f t="shared" si="7"/>
        <v>-3.2496153618543833</v>
      </c>
    </row>
    <row r="31" spans="1:9" x14ac:dyDescent="0.25">
      <c r="A31">
        <v>6.1</v>
      </c>
      <c r="B31">
        <f t="shared" si="0"/>
        <v>6.6174013026262815</v>
      </c>
      <c r="C31">
        <f t="shared" si="1"/>
        <v>-6.6174013026262815</v>
      </c>
      <c r="D31">
        <f t="shared" si="4"/>
        <v>5.1759057178430137</v>
      </c>
      <c r="E31">
        <f t="shared" si="5"/>
        <v>-5.1759057178430137</v>
      </c>
      <c r="F31">
        <f t="shared" si="6"/>
        <v>3.4336569426778802</v>
      </c>
      <c r="G31">
        <f t="shared" si="7"/>
        <v>-3.4336569426778802</v>
      </c>
    </row>
    <row r="32" spans="1:9" x14ac:dyDescent="0.25">
      <c r="A32">
        <v>6</v>
      </c>
      <c r="B32">
        <f t="shared" si="0"/>
        <v>6.7082039324993694</v>
      </c>
      <c r="C32">
        <f t="shared" si="1"/>
        <v>-6.7082039324993694</v>
      </c>
      <c r="D32">
        <f t="shared" si="4"/>
        <v>5.2915026221291814</v>
      </c>
      <c r="E32">
        <f t="shared" si="5"/>
        <v>-5.2915026221291814</v>
      </c>
      <c r="F32">
        <f t="shared" si="6"/>
        <v>3.6055512754639891</v>
      </c>
      <c r="G32">
        <f t="shared" si="7"/>
        <v>-3.6055512754639891</v>
      </c>
      <c r="H32">
        <f t="shared" ref="H32:H63" si="8">+SQRT(36-A32^2)</f>
        <v>0</v>
      </c>
      <c r="I32">
        <f t="shared" ref="I32:I63" si="9">-H32</f>
        <v>0</v>
      </c>
    </row>
    <row r="33" spans="1:39" x14ac:dyDescent="0.25">
      <c r="A33">
        <v>5.9</v>
      </c>
      <c r="B33">
        <f t="shared" si="0"/>
        <v>6.7963225350184784</v>
      </c>
      <c r="C33">
        <f t="shared" si="1"/>
        <v>-6.7963225350184784</v>
      </c>
      <c r="D33">
        <f t="shared" si="4"/>
        <v>5.4027770636960391</v>
      </c>
      <c r="E33">
        <f t="shared" si="5"/>
        <v>-5.4027770636960391</v>
      </c>
      <c r="F33">
        <f t="shared" si="6"/>
        <v>3.7669616403674722</v>
      </c>
      <c r="G33">
        <f t="shared" si="7"/>
        <v>-3.7669616403674722</v>
      </c>
      <c r="H33">
        <f t="shared" si="8"/>
        <v>1.0908712114635704</v>
      </c>
      <c r="I33">
        <f t="shared" si="9"/>
        <v>-1.0908712114635704</v>
      </c>
    </row>
    <row r="34" spans="1:39" x14ac:dyDescent="0.25">
      <c r="A34">
        <v>5.8</v>
      </c>
      <c r="B34">
        <f t="shared" ref="B34:B65" si="10">+SQRT(81-A34^2)</f>
        <v>6.8818602136341012</v>
      </c>
      <c r="C34">
        <f t="shared" ref="C34:C65" si="11">-B34</f>
        <v>-6.8818602136341012</v>
      </c>
      <c r="D34">
        <f t="shared" si="4"/>
        <v>5.5099909255823647</v>
      </c>
      <c r="E34">
        <f t="shared" si="5"/>
        <v>-5.5099909255823647</v>
      </c>
      <c r="F34">
        <f t="shared" si="6"/>
        <v>3.9191835884530848</v>
      </c>
      <c r="G34">
        <f t="shared" si="7"/>
        <v>-3.9191835884530848</v>
      </c>
      <c r="H34">
        <f t="shared" si="8"/>
        <v>1.5362291495737215</v>
      </c>
      <c r="I34">
        <f t="shared" si="9"/>
        <v>-1.5362291495737215</v>
      </c>
    </row>
    <row r="35" spans="1:39" x14ac:dyDescent="0.25">
      <c r="A35">
        <v>5.7</v>
      </c>
      <c r="B35">
        <f t="shared" si="10"/>
        <v>6.9649120597463394</v>
      </c>
      <c r="C35">
        <f t="shared" si="11"/>
        <v>-6.9649120597463394</v>
      </c>
      <c r="D35">
        <f t="shared" si="4"/>
        <v>5.6133768802744752</v>
      </c>
      <c r="E35">
        <f t="shared" si="5"/>
        <v>-5.6133768802744752</v>
      </c>
      <c r="F35">
        <f t="shared" si="6"/>
        <v>4.0632499307820087</v>
      </c>
      <c r="G35">
        <f t="shared" si="7"/>
        <v>-4.0632499307820087</v>
      </c>
      <c r="H35">
        <f t="shared" si="8"/>
        <v>1.8734993995195188</v>
      </c>
      <c r="I35">
        <f t="shared" si="9"/>
        <v>-1.8734993995195188</v>
      </c>
    </row>
    <row r="36" spans="1:39" x14ac:dyDescent="0.25">
      <c r="A36">
        <v>5.6</v>
      </c>
      <c r="B36">
        <f t="shared" si="10"/>
        <v>7.0455659815234153</v>
      </c>
      <c r="C36">
        <f t="shared" si="11"/>
        <v>-7.0455659815234153</v>
      </c>
      <c r="D36">
        <f t="shared" si="4"/>
        <v>5.7131427428342798</v>
      </c>
      <c r="E36">
        <f t="shared" si="5"/>
        <v>-5.7131427428342798</v>
      </c>
      <c r="F36">
        <f t="shared" si="6"/>
        <v>4.2</v>
      </c>
      <c r="G36">
        <f t="shared" si="7"/>
        <v>-4.2</v>
      </c>
      <c r="H36">
        <f t="shared" si="8"/>
        <v>2.1540659228538024</v>
      </c>
      <c r="I36">
        <f t="shared" si="9"/>
        <v>-2.1540659228538024</v>
      </c>
    </row>
    <row r="37" spans="1:39" x14ac:dyDescent="0.25">
      <c r="A37">
        <v>5.5</v>
      </c>
      <c r="B37">
        <f t="shared" si="10"/>
        <v>7.1239034243875032</v>
      </c>
      <c r="C37">
        <f t="shared" si="11"/>
        <v>-7.1239034243875032</v>
      </c>
      <c r="D37">
        <f t="shared" si="4"/>
        <v>5.8094750193111251</v>
      </c>
      <c r="E37">
        <f t="shared" si="5"/>
        <v>-5.8094750193111251</v>
      </c>
      <c r="F37">
        <f t="shared" si="6"/>
        <v>4.3301270189221936</v>
      </c>
      <c r="G37">
        <f t="shared" si="7"/>
        <v>-4.3301270189221936</v>
      </c>
      <c r="H37">
        <f t="shared" si="8"/>
        <v>2.3979157616563596</v>
      </c>
      <c r="I37">
        <f t="shared" si="9"/>
        <v>-2.3979157616563596</v>
      </c>
    </row>
    <row r="38" spans="1:39" x14ac:dyDescent="0.25">
      <c r="A38">
        <v>5.4</v>
      </c>
      <c r="B38">
        <f t="shared" si="10"/>
        <v>7.2</v>
      </c>
      <c r="C38">
        <f t="shared" si="11"/>
        <v>-7.2</v>
      </c>
      <c r="D38">
        <f t="shared" si="4"/>
        <v>5.9025418253494824</v>
      </c>
      <c r="E38">
        <f t="shared" si="5"/>
        <v>-5.9025418253494824</v>
      </c>
      <c r="F38">
        <f t="shared" si="6"/>
        <v>4.4542114902640169</v>
      </c>
      <c r="G38">
        <f t="shared" si="7"/>
        <v>-4.4542114902640169</v>
      </c>
      <c r="H38">
        <f t="shared" si="8"/>
        <v>2.6153393661244033</v>
      </c>
      <c r="I38">
        <f t="shared" si="9"/>
        <v>-2.6153393661244033</v>
      </c>
    </row>
    <row r="39" spans="1:39" x14ac:dyDescent="0.25">
      <c r="A39">
        <v>5.3</v>
      </c>
      <c r="B39">
        <f t="shared" si="10"/>
        <v>7.2739260375673327</v>
      </c>
      <c r="C39">
        <f t="shared" si="11"/>
        <v>-7.2739260375673327</v>
      </c>
      <c r="D39">
        <f t="shared" si="4"/>
        <v>5.9924953066314535</v>
      </c>
      <c r="E39">
        <f t="shared" si="5"/>
        <v>-5.9924953066314535</v>
      </c>
      <c r="F39">
        <f t="shared" si="6"/>
        <v>4.5727453460694703</v>
      </c>
      <c r="G39">
        <f t="shared" si="7"/>
        <v>-4.5727453460694703</v>
      </c>
      <c r="H39">
        <f t="shared" si="8"/>
        <v>2.8124722220850469</v>
      </c>
      <c r="I39">
        <f t="shared" si="9"/>
        <v>-2.8124722220850469</v>
      </c>
    </row>
    <row r="40" spans="1:39" x14ac:dyDescent="0.25">
      <c r="A40">
        <v>5.2</v>
      </c>
      <c r="B40">
        <f t="shared" si="10"/>
        <v>7.3457470688827824</v>
      </c>
      <c r="C40">
        <f t="shared" si="11"/>
        <v>-7.3457470688827824</v>
      </c>
      <c r="D40">
        <f t="shared" si="4"/>
        <v>6.0794736614282652</v>
      </c>
      <c r="E40">
        <f t="shared" si="5"/>
        <v>-6.0794736614282652</v>
      </c>
      <c r="F40">
        <f t="shared" si="6"/>
        <v>4.6861498055439927</v>
      </c>
      <c r="G40">
        <f t="shared" si="7"/>
        <v>-4.6861498055439927</v>
      </c>
      <c r="H40">
        <f t="shared" si="8"/>
        <v>2.9933259094191524</v>
      </c>
      <c r="I40">
        <f t="shared" si="9"/>
        <v>-2.9933259094191524</v>
      </c>
    </row>
    <row r="41" spans="1:39" x14ac:dyDescent="0.25">
      <c r="A41">
        <v>5.0999999999999996</v>
      </c>
      <c r="B41">
        <f t="shared" si="10"/>
        <v>7.4155242565849653</v>
      </c>
      <c r="C41">
        <f t="shared" si="11"/>
        <v>-7.4155242565849653</v>
      </c>
      <c r="D41">
        <f t="shared" si="4"/>
        <v>6.163602842493991</v>
      </c>
      <c r="E41">
        <f t="shared" si="5"/>
        <v>-6.163602842493991</v>
      </c>
      <c r="F41">
        <f t="shared" si="6"/>
        <v>4.7947888378947408</v>
      </c>
      <c r="G41">
        <f t="shared" si="7"/>
        <v>-4.7947888378947408</v>
      </c>
      <c r="H41">
        <f t="shared" si="8"/>
        <v>3.1606961258558219</v>
      </c>
      <c r="I41">
        <f t="shared" si="9"/>
        <v>-3.1606961258558219</v>
      </c>
    </row>
    <row r="42" spans="1:39" x14ac:dyDescent="0.25">
      <c r="A42">
        <v>5</v>
      </c>
      <c r="B42">
        <f t="shared" si="10"/>
        <v>7.4833147735478827</v>
      </c>
      <c r="C42">
        <f t="shared" si="11"/>
        <v>-7.4833147735478827</v>
      </c>
      <c r="D42">
        <f t="shared" si="4"/>
        <v>6.2449979983983983</v>
      </c>
      <c r="E42">
        <f t="shared" si="5"/>
        <v>-6.2449979983983983</v>
      </c>
      <c r="F42">
        <f t="shared" si="6"/>
        <v>4.8989794855663558</v>
      </c>
      <c r="G42">
        <f t="shared" si="7"/>
        <v>-4.8989794855663558</v>
      </c>
      <c r="H42">
        <f t="shared" si="8"/>
        <v>3.3166247903553998</v>
      </c>
      <c r="I42">
        <f t="shared" si="9"/>
        <v>-3.3166247903553998</v>
      </c>
      <c r="J42">
        <f t="shared" ref="J42:J73" si="12">+SQRT(25-A42^2)</f>
        <v>0</v>
      </c>
      <c r="K42">
        <f t="shared" ref="K42:K73" si="13">-J42</f>
        <v>0</v>
      </c>
    </row>
    <row r="43" spans="1:39" x14ac:dyDescent="0.25">
      <c r="A43">
        <v>4.9000000000000004</v>
      </c>
      <c r="B43">
        <f t="shared" si="10"/>
        <v>7.5491721400429066</v>
      </c>
      <c r="C43">
        <f t="shared" si="11"/>
        <v>-7.5491721400429066</v>
      </c>
      <c r="D43">
        <f t="shared" si="4"/>
        <v>6.3237647015049507</v>
      </c>
      <c r="E43">
        <f t="shared" si="5"/>
        <v>-6.3237647015049507</v>
      </c>
      <c r="F43">
        <f t="shared" si="6"/>
        <v>4.9989998999799941</v>
      </c>
      <c r="G43">
        <f t="shared" si="7"/>
        <v>-4.9989998999799941</v>
      </c>
      <c r="H43">
        <f t="shared" si="8"/>
        <v>3.4626579386361565</v>
      </c>
      <c r="I43">
        <f t="shared" si="9"/>
        <v>-3.4626579386361565</v>
      </c>
      <c r="J43">
        <f t="shared" si="12"/>
        <v>0.99498743710661741</v>
      </c>
      <c r="K43">
        <f t="shared" si="13"/>
        <v>-0.99498743710661741</v>
      </c>
    </row>
    <row r="44" spans="1:39" x14ac:dyDescent="0.25">
      <c r="A44">
        <v>4.8</v>
      </c>
      <c r="B44">
        <f t="shared" si="10"/>
        <v>7.6131465242697125</v>
      </c>
      <c r="C44">
        <f t="shared" si="11"/>
        <v>-7.6131465242697125</v>
      </c>
      <c r="D44">
        <f t="shared" ref="D44:D75" si="14">+SQRT(64-A44^2)</f>
        <v>6.4</v>
      </c>
      <c r="E44">
        <f t="shared" ref="E44:E75" si="15">-D44</f>
        <v>-6.4</v>
      </c>
      <c r="F44">
        <f t="shared" si="6"/>
        <v>5.0950956811427988</v>
      </c>
      <c r="G44">
        <f t="shared" si="7"/>
        <v>-5.0950956811427988</v>
      </c>
      <c r="H44">
        <f t="shared" si="8"/>
        <v>3.6</v>
      </c>
      <c r="I44">
        <f t="shared" si="9"/>
        <v>-3.6</v>
      </c>
      <c r="J44">
        <f t="shared" si="12"/>
        <v>1.4000000000000004</v>
      </c>
      <c r="K44">
        <f t="shared" si="13"/>
        <v>-1.4000000000000004</v>
      </c>
    </row>
    <row r="45" spans="1:39" x14ac:dyDescent="0.25">
      <c r="A45">
        <v>4.7</v>
      </c>
      <c r="B45">
        <f t="shared" si="10"/>
        <v>7.6752850109947053</v>
      </c>
      <c r="C45">
        <f t="shared" si="11"/>
        <v>-7.6752850109947053</v>
      </c>
      <c r="D45">
        <f t="shared" si="14"/>
        <v>6.473793323855805</v>
      </c>
      <c r="E45">
        <f t="shared" si="15"/>
        <v>-6.473793323855805</v>
      </c>
      <c r="F45">
        <f t="shared" si="6"/>
        <v>5.1874849397371747</v>
      </c>
      <c r="G45">
        <f t="shared" si="7"/>
        <v>-5.1874849397371747</v>
      </c>
      <c r="H45">
        <f t="shared" si="8"/>
        <v>3.7296112397943029</v>
      </c>
      <c r="I45">
        <f t="shared" si="9"/>
        <v>-3.7296112397943029</v>
      </c>
      <c r="J45">
        <f t="shared" si="12"/>
        <v>1.7058722109231972</v>
      </c>
      <c r="K45">
        <f t="shared" si="13"/>
        <v>-1.7058722109231972</v>
      </c>
    </row>
    <row r="46" spans="1:39" x14ac:dyDescent="0.25">
      <c r="A46">
        <v>4.5999999999999996</v>
      </c>
      <c r="B46">
        <f t="shared" si="10"/>
        <v>7.7356318423254864</v>
      </c>
      <c r="C46">
        <f t="shared" si="11"/>
        <v>-7.7356318423254864</v>
      </c>
      <c r="D46">
        <f t="shared" si="14"/>
        <v>6.5452272687814288</v>
      </c>
      <c r="E46">
        <f t="shared" si="15"/>
        <v>-6.5452272687814288</v>
      </c>
      <c r="F46">
        <f t="shared" si="6"/>
        <v>5.2763623833091682</v>
      </c>
      <c r="G46">
        <f t="shared" si="7"/>
        <v>-5.2763623833091682</v>
      </c>
      <c r="H46">
        <f t="shared" si="8"/>
        <v>3.8522720568516449</v>
      </c>
      <c r="I46">
        <f t="shared" si="9"/>
        <v>-3.8522720568516449</v>
      </c>
      <c r="J46">
        <f t="shared" si="12"/>
        <v>1.9595917942265433</v>
      </c>
      <c r="K46">
        <f t="shared" si="13"/>
        <v>-1.9595917942265433</v>
      </c>
      <c r="AG46" s="319"/>
      <c r="AK46" s="319"/>
    </row>
    <row r="47" spans="1:39" x14ac:dyDescent="0.25">
      <c r="A47">
        <v>4.5</v>
      </c>
      <c r="B47">
        <f t="shared" si="10"/>
        <v>7.794228634059948</v>
      </c>
      <c r="C47">
        <f t="shared" si="11"/>
        <v>-7.794228634059948</v>
      </c>
      <c r="D47">
        <f t="shared" si="14"/>
        <v>6.6143782776614763</v>
      </c>
      <c r="E47">
        <f t="shared" si="15"/>
        <v>-6.6143782776614763</v>
      </c>
      <c r="F47">
        <f t="shared" si="6"/>
        <v>5.3619026473818039</v>
      </c>
      <c r="G47">
        <f t="shared" si="7"/>
        <v>-5.3619026473818039</v>
      </c>
      <c r="H47">
        <f t="shared" si="8"/>
        <v>3.9686269665968861</v>
      </c>
      <c r="I47">
        <f t="shared" si="9"/>
        <v>-3.9686269665968861</v>
      </c>
      <c r="J47">
        <f t="shared" si="12"/>
        <v>2.179449471770337</v>
      </c>
      <c r="K47">
        <f t="shared" si="13"/>
        <v>-2.179449471770337</v>
      </c>
      <c r="AE47" s="7" t="s">
        <v>112</v>
      </c>
      <c r="AF47" s="7" t="s">
        <v>89</v>
      </c>
      <c r="AG47" s="319"/>
      <c r="AH47" s="7" t="s">
        <v>42</v>
      </c>
      <c r="AI47" s="7" t="s">
        <v>43</v>
      </c>
      <c r="AJ47" s="7" t="s">
        <v>89</v>
      </c>
      <c r="AK47" s="319"/>
      <c r="AL47" s="7" t="s">
        <v>42</v>
      </c>
      <c r="AM47" s="7" t="s">
        <v>43</v>
      </c>
    </row>
    <row r="48" spans="1:39" x14ac:dyDescent="0.25">
      <c r="A48">
        <v>4.4000000000000004</v>
      </c>
      <c r="B48">
        <f t="shared" si="10"/>
        <v>7.8511145705562084</v>
      </c>
      <c r="C48">
        <f t="shared" si="11"/>
        <v>-7.8511145705562084</v>
      </c>
      <c r="D48">
        <f t="shared" si="14"/>
        <v>6.6813172353960262</v>
      </c>
      <c r="E48">
        <f t="shared" si="15"/>
        <v>-6.6813172353960262</v>
      </c>
      <c r="F48">
        <f t="shared" si="6"/>
        <v>5.4442630355264798</v>
      </c>
      <c r="G48">
        <f t="shared" si="7"/>
        <v>-5.4442630355264798</v>
      </c>
      <c r="H48">
        <f t="shared" si="8"/>
        <v>4.0792156108742272</v>
      </c>
      <c r="I48">
        <f t="shared" si="9"/>
        <v>-4.0792156108742272</v>
      </c>
      <c r="J48">
        <f t="shared" si="12"/>
        <v>2.3748684174075829</v>
      </c>
      <c r="K48">
        <f t="shared" si="13"/>
        <v>-2.3748684174075829</v>
      </c>
      <c r="AE48" s="7">
        <f>+'Control Solar 1er Sem'!N28</f>
        <v>0</v>
      </c>
      <c r="AF48" s="7">
        <f>+IF($AF$111="si",9,0)</f>
        <v>9</v>
      </c>
      <c r="AG48" s="7">
        <f>+AE48</f>
        <v>0</v>
      </c>
      <c r="AH48" s="7">
        <f>+AF48*COS(RADIANS(AG48))</f>
        <v>9</v>
      </c>
      <c r="AI48" s="7">
        <f>+AF48*SIN(RADIANS(AG48))</f>
        <v>0</v>
      </c>
      <c r="AJ48" s="7">
        <v>0</v>
      </c>
      <c r="AK48" s="7">
        <f>+AG48</f>
        <v>0</v>
      </c>
      <c r="AL48" s="7">
        <f>+AJ48*COS(RADIANS(AK48))</f>
        <v>0</v>
      </c>
      <c r="AM48" s="7">
        <f>+AJ48*SIN(RADIANS(AK48))</f>
        <v>0</v>
      </c>
    </row>
    <row r="49" spans="1:47" x14ac:dyDescent="0.25">
      <c r="A49">
        <v>4.3</v>
      </c>
      <c r="B49">
        <f t="shared" si="10"/>
        <v>7.9063265806567848</v>
      </c>
      <c r="C49">
        <f t="shared" si="11"/>
        <v>-7.9063265806567848</v>
      </c>
      <c r="D49">
        <f t="shared" si="14"/>
        <v>6.746109990209173</v>
      </c>
      <c r="E49">
        <f t="shared" si="15"/>
        <v>-6.746109990209173</v>
      </c>
      <c r="F49">
        <f t="shared" si="6"/>
        <v>5.5235857918565907</v>
      </c>
      <c r="G49">
        <f t="shared" si="7"/>
        <v>-5.5235857918565907</v>
      </c>
      <c r="H49">
        <f t="shared" si="8"/>
        <v>4.1844951905815355</v>
      </c>
      <c r="I49">
        <f t="shared" si="9"/>
        <v>-4.1844951905815355</v>
      </c>
      <c r="J49">
        <f t="shared" si="12"/>
        <v>2.5514701644346149</v>
      </c>
      <c r="K49">
        <f t="shared" si="13"/>
        <v>-2.5514701644346149</v>
      </c>
      <c r="AF49" s="7">
        <f>+IF($AF$111="si",9,0)</f>
        <v>9</v>
      </c>
      <c r="AG49" s="7">
        <f>+AE48+180</f>
        <v>180</v>
      </c>
      <c r="AH49" s="7">
        <f>+AF49*COS(RADIANS(AG49))</f>
        <v>-9</v>
      </c>
      <c r="AI49" s="7">
        <f>+AF49*SIN(RADIANS(AG49))</f>
        <v>1.102633609417758E-15</v>
      </c>
      <c r="AJ49" s="7">
        <v>0</v>
      </c>
      <c r="AK49" s="7">
        <f>AG49</f>
        <v>180</v>
      </c>
      <c r="AL49" s="7">
        <f>+AJ49*COS(RADIANS(AK49))</f>
        <v>0</v>
      </c>
      <c r="AM49" s="7">
        <f>+AJ49*SIN(RADIANS(AK49))</f>
        <v>0</v>
      </c>
    </row>
    <row r="50" spans="1:47" x14ac:dyDescent="0.25">
      <c r="A50">
        <v>4.2</v>
      </c>
      <c r="B50">
        <f t="shared" si="10"/>
        <v>7.9598994968529597</v>
      </c>
      <c r="C50">
        <f t="shared" si="11"/>
        <v>-7.9598994968529597</v>
      </c>
      <c r="D50">
        <f t="shared" si="14"/>
        <v>6.8088178122196803</v>
      </c>
      <c r="E50">
        <f t="shared" si="15"/>
        <v>-6.8088178122196803</v>
      </c>
      <c r="F50">
        <f t="shared" si="6"/>
        <v>5.6</v>
      </c>
      <c r="G50">
        <f t="shared" si="7"/>
        <v>-5.6</v>
      </c>
      <c r="H50">
        <f t="shared" si="8"/>
        <v>4.2848570571257101</v>
      </c>
      <c r="I50">
        <f t="shared" si="9"/>
        <v>-4.2848570571257101</v>
      </c>
      <c r="J50">
        <f t="shared" si="12"/>
        <v>2.7129319932501073</v>
      </c>
      <c r="K50">
        <f t="shared" si="13"/>
        <v>-2.7129319932501073</v>
      </c>
    </row>
    <row r="51" spans="1:47" x14ac:dyDescent="0.25">
      <c r="A51">
        <v>4.0999999999999996</v>
      </c>
      <c r="B51">
        <f t="shared" si="10"/>
        <v>8.0118661995817178</v>
      </c>
      <c r="C51">
        <f t="shared" si="11"/>
        <v>-8.0118661995817178</v>
      </c>
      <c r="D51">
        <f t="shared" si="14"/>
        <v>6.8694977982382381</v>
      </c>
      <c r="E51">
        <f t="shared" si="15"/>
        <v>-6.8694977982382381</v>
      </c>
      <c r="F51">
        <f t="shared" si="6"/>
        <v>5.6736231810017133</v>
      </c>
      <c r="G51">
        <f t="shared" si="7"/>
        <v>-5.6736231810017133</v>
      </c>
      <c r="H51">
        <f t="shared" si="8"/>
        <v>4.3806392227619018</v>
      </c>
      <c r="I51">
        <f t="shared" si="9"/>
        <v>-4.3806392227619018</v>
      </c>
      <c r="J51">
        <f t="shared" si="12"/>
        <v>2.8618176042508372</v>
      </c>
      <c r="K51">
        <f t="shared" si="13"/>
        <v>-2.8618176042508372</v>
      </c>
      <c r="AE51" s="7">
        <f>+'Control Solar 1er Sem'!N32</f>
        <v>30</v>
      </c>
      <c r="AF51" s="7"/>
      <c r="AG51" s="7"/>
      <c r="AH51" s="7">
        <v>0</v>
      </c>
      <c r="AI51" s="7">
        <v>0</v>
      </c>
    </row>
    <row r="52" spans="1:47" x14ac:dyDescent="0.25">
      <c r="A52">
        <v>4</v>
      </c>
      <c r="B52">
        <f t="shared" si="10"/>
        <v>8.0622577482985491</v>
      </c>
      <c r="C52">
        <f t="shared" si="11"/>
        <v>-8.0622577482985491</v>
      </c>
      <c r="D52">
        <f t="shared" si="14"/>
        <v>6.9282032302755088</v>
      </c>
      <c r="E52">
        <f t="shared" si="15"/>
        <v>-6.9282032302755088</v>
      </c>
      <c r="F52">
        <f t="shared" si="6"/>
        <v>5.7445626465380286</v>
      </c>
      <c r="G52">
        <f t="shared" si="7"/>
        <v>-5.7445626465380286</v>
      </c>
      <c r="H52">
        <f t="shared" si="8"/>
        <v>4.4721359549995796</v>
      </c>
      <c r="I52">
        <f t="shared" si="9"/>
        <v>-4.4721359549995796</v>
      </c>
      <c r="J52">
        <f t="shared" si="12"/>
        <v>3</v>
      </c>
      <c r="K52">
        <f t="shared" si="13"/>
        <v>-3</v>
      </c>
      <c r="L52">
        <f t="shared" ref="L52:L83" si="16">+SQRT(16-A52^2)</f>
        <v>0</v>
      </c>
      <c r="M52">
        <f t="shared" ref="M52:M83" si="17">-L52</f>
        <v>0</v>
      </c>
      <c r="AE52" s="7">
        <f>180+AE51</f>
        <v>210</v>
      </c>
      <c r="AF52" s="7">
        <f>+IF($AF$111="si",9,0)</f>
        <v>9</v>
      </c>
      <c r="AG52" s="7">
        <f>-AE51+AE48</f>
        <v>-30</v>
      </c>
      <c r="AH52" s="7">
        <f>+AF52*COS(RADIANS(AG52))</f>
        <v>7.794228634059948</v>
      </c>
      <c r="AI52" s="7">
        <f>+AF52*SIN(RADIANS(AG52))</f>
        <v>-4.4999999999999991</v>
      </c>
    </row>
    <row r="53" spans="1:47" x14ac:dyDescent="0.25">
      <c r="A53">
        <v>3.9</v>
      </c>
      <c r="B53">
        <f t="shared" si="10"/>
        <v>8.1111035007574657</v>
      </c>
      <c r="C53">
        <f t="shared" si="11"/>
        <v>-8.1111035007574657</v>
      </c>
      <c r="D53">
        <f t="shared" si="14"/>
        <v>6.9849838940401288</v>
      </c>
      <c r="E53">
        <f t="shared" si="15"/>
        <v>-6.9849838940401288</v>
      </c>
      <c r="F53">
        <f t="shared" si="6"/>
        <v>5.8129166517334481</v>
      </c>
      <c r="G53">
        <f t="shared" si="7"/>
        <v>-5.8129166517334481</v>
      </c>
      <c r="H53">
        <f t="shared" si="8"/>
        <v>4.5596052460711993</v>
      </c>
      <c r="I53">
        <f t="shared" si="9"/>
        <v>-4.5596052460711993</v>
      </c>
      <c r="J53">
        <f t="shared" si="12"/>
        <v>3.1288975694324033</v>
      </c>
      <c r="K53">
        <f t="shared" si="13"/>
        <v>-3.1288975694324033</v>
      </c>
      <c r="L53">
        <f t="shared" si="16"/>
        <v>0.88881944173155936</v>
      </c>
      <c r="M53">
        <f t="shared" si="17"/>
        <v>-0.88881944173155936</v>
      </c>
      <c r="AF53" s="7">
        <f>+IF($AF$111="si",9,0)</f>
        <v>9</v>
      </c>
      <c r="AG53" s="7">
        <f>+AE51+180+AE48</f>
        <v>210</v>
      </c>
      <c r="AH53" s="7">
        <f>+AF53*COS(RADIANS(AG53))</f>
        <v>-7.7942286340599471</v>
      </c>
      <c r="AI53" s="7">
        <f>+AF53*SIN(RADIANS(AG53))</f>
        <v>-4.5000000000000009</v>
      </c>
    </row>
    <row r="54" spans="1:47" x14ac:dyDescent="0.25">
      <c r="A54">
        <v>3.8</v>
      </c>
      <c r="B54">
        <f t="shared" si="10"/>
        <v>8.1584312217484563</v>
      </c>
      <c r="C54">
        <f t="shared" si="11"/>
        <v>-8.1584312217484563</v>
      </c>
      <c r="D54">
        <f t="shared" si="14"/>
        <v>7.0398863627192165</v>
      </c>
      <c r="E54">
        <f t="shared" si="15"/>
        <v>-7.0398863627192165</v>
      </c>
      <c r="F54">
        <f t="shared" ref="F54:F85" si="18">+SQRT(49-A54^2)</f>
        <v>5.8787753826796276</v>
      </c>
      <c r="G54">
        <f t="shared" ref="G54:G85" si="19">-F54</f>
        <v>-5.8787753826796276</v>
      </c>
      <c r="H54">
        <f t="shared" si="8"/>
        <v>4.6432747064975599</v>
      </c>
      <c r="I54">
        <f t="shared" si="9"/>
        <v>-4.6432747064975599</v>
      </c>
      <c r="J54">
        <f t="shared" si="12"/>
        <v>3.2496153618543842</v>
      </c>
      <c r="K54">
        <f t="shared" si="13"/>
        <v>-3.2496153618543842</v>
      </c>
      <c r="L54">
        <f t="shared" si="16"/>
        <v>1.2489995996796799</v>
      </c>
      <c r="M54">
        <f t="shared" si="17"/>
        <v>-1.2489995996796799</v>
      </c>
    </row>
    <row r="55" spans="1:47" x14ac:dyDescent="0.25">
      <c r="A55">
        <v>3.7</v>
      </c>
      <c r="B55">
        <f t="shared" si="10"/>
        <v>8.2042671823874684</v>
      </c>
      <c r="C55">
        <f t="shared" si="11"/>
        <v>-8.2042671823874684</v>
      </c>
      <c r="D55">
        <f t="shared" si="14"/>
        <v>7.0929542505221335</v>
      </c>
      <c r="E55">
        <f t="shared" si="15"/>
        <v>-7.0929542505221335</v>
      </c>
      <c r="F55">
        <f t="shared" si="18"/>
        <v>5.9422218066982317</v>
      </c>
      <c r="G55">
        <f t="shared" si="19"/>
        <v>-5.9422218066982317</v>
      </c>
      <c r="H55">
        <f t="shared" si="8"/>
        <v>4.7233462714478174</v>
      </c>
      <c r="I55">
        <f t="shared" si="9"/>
        <v>-4.7233462714478174</v>
      </c>
      <c r="J55">
        <f t="shared" si="12"/>
        <v>3.363034344160047</v>
      </c>
      <c r="K55">
        <f t="shared" si="13"/>
        <v>-3.363034344160047</v>
      </c>
      <c r="L55">
        <f t="shared" si="16"/>
        <v>1.5198684153570658</v>
      </c>
      <c r="M55">
        <f t="shared" si="17"/>
        <v>-1.5198684153570658</v>
      </c>
    </row>
    <row r="56" spans="1:47" x14ac:dyDescent="0.25">
      <c r="A56">
        <v>3.6</v>
      </c>
      <c r="B56">
        <f t="shared" si="10"/>
        <v>8.2486362509205122</v>
      </c>
      <c r="C56">
        <f t="shared" si="11"/>
        <v>-8.2486362509205122</v>
      </c>
      <c r="D56">
        <f t="shared" si="14"/>
        <v>7.1442284397967004</v>
      </c>
      <c r="E56">
        <f t="shared" si="15"/>
        <v>-7.1442284397967004</v>
      </c>
      <c r="F56">
        <f t="shared" si="18"/>
        <v>6.0033324079214534</v>
      </c>
      <c r="G56">
        <f t="shared" si="19"/>
        <v>-6.0033324079214534</v>
      </c>
      <c r="H56">
        <f t="shared" si="8"/>
        <v>4.8</v>
      </c>
      <c r="I56">
        <f t="shared" si="9"/>
        <v>-4.8</v>
      </c>
      <c r="J56">
        <f t="shared" si="12"/>
        <v>3.4698703145794942</v>
      </c>
      <c r="K56">
        <f t="shared" si="13"/>
        <v>-3.4698703145794942</v>
      </c>
      <c r="L56">
        <f t="shared" si="16"/>
        <v>1.7435595774162691</v>
      </c>
      <c r="M56">
        <f t="shared" si="17"/>
        <v>-1.7435595774162691</v>
      </c>
    </row>
    <row r="57" spans="1:47" x14ac:dyDescent="0.25">
      <c r="A57">
        <v>3.5</v>
      </c>
      <c r="B57">
        <f t="shared" si="10"/>
        <v>8.2915619758885004</v>
      </c>
      <c r="C57">
        <f t="shared" si="11"/>
        <v>-8.2915619758885004</v>
      </c>
      <c r="D57">
        <f t="shared" si="14"/>
        <v>7.1937472849690796</v>
      </c>
      <c r="E57">
        <f t="shared" si="15"/>
        <v>-7.1937472849690796</v>
      </c>
      <c r="F57">
        <f t="shared" si="18"/>
        <v>6.0621778264910704</v>
      </c>
      <c r="G57">
        <f t="shared" si="19"/>
        <v>-6.0621778264910704</v>
      </c>
      <c r="H57">
        <f t="shared" si="8"/>
        <v>4.8733971724044816</v>
      </c>
      <c r="I57">
        <f t="shared" si="9"/>
        <v>-4.8733971724044816</v>
      </c>
      <c r="J57">
        <f t="shared" si="12"/>
        <v>3.5707142142714252</v>
      </c>
      <c r="K57">
        <f t="shared" si="13"/>
        <v>-3.5707142142714252</v>
      </c>
      <c r="L57">
        <f t="shared" si="16"/>
        <v>1.9364916731037085</v>
      </c>
      <c r="M57">
        <f t="shared" si="17"/>
        <v>-1.9364916731037085</v>
      </c>
    </row>
    <row r="58" spans="1:47" x14ac:dyDescent="0.25">
      <c r="A58">
        <v>3.4</v>
      </c>
      <c r="B58">
        <f t="shared" si="10"/>
        <v>8.3330666623998635</v>
      </c>
      <c r="C58">
        <f t="shared" si="11"/>
        <v>-8.3330666623998635</v>
      </c>
      <c r="D58">
        <f t="shared" si="14"/>
        <v>7.2415467960926687</v>
      </c>
      <c r="E58">
        <f t="shared" si="15"/>
        <v>-7.2415467960926687</v>
      </c>
      <c r="F58">
        <f t="shared" si="18"/>
        <v>6.1188234163113417</v>
      </c>
      <c r="G58">
        <f t="shared" si="19"/>
        <v>-6.1188234163113417</v>
      </c>
      <c r="H58">
        <f t="shared" si="8"/>
        <v>4.9436828377233102</v>
      </c>
      <c r="I58">
        <f t="shared" si="9"/>
        <v>-4.9436828377233102</v>
      </c>
      <c r="J58">
        <f t="shared" si="12"/>
        <v>3.6660605559646724</v>
      </c>
      <c r="K58">
        <f t="shared" si="13"/>
        <v>-3.6660605559646724</v>
      </c>
      <c r="L58">
        <f t="shared" si="16"/>
        <v>2.1071307505705481</v>
      </c>
      <c r="M58">
        <f t="shared" si="17"/>
        <v>-2.1071307505705481</v>
      </c>
    </row>
    <row r="59" spans="1:47" x14ac:dyDescent="0.25">
      <c r="A59">
        <v>3.3</v>
      </c>
      <c r="B59">
        <f t="shared" si="10"/>
        <v>8.3731714421717172</v>
      </c>
      <c r="C59">
        <f t="shared" si="11"/>
        <v>-8.3731714421717172</v>
      </c>
      <c r="D59">
        <f t="shared" si="14"/>
        <v>7.2876608044008195</v>
      </c>
      <c r="E59">
        <f t="shared" si="15"/>
        <v>-7.2876608044008195</v>
      </c>
      <c r="F59">
        <f t="shared" si="18"/>
        <v>6.1733297336202604</v>
      </c>
      <c r="G59">
        <f t="shared" si="19"/>
        <v>-6.1733297336202604</v>
      </c>
      <c r="H59">
        <f t="shared" si="8"/>
        <v>5.0109879265470196</v>
      </c>
      <c r="I59">
        <f t="shared" si="9"/>
        <v>-5.0109879265470196</v>
      </c>
      <c r="J59">
        <f t="shared" si="12"/>
        <v>3.7563279941985899</v>
      </c>
      <c r="K59">
        <f t="shared" si="13"/>
        <v>-3.7563279941985899</v>
      </c>
      <c r="L59">
        <f t="shared" si="16"/>
        <v>2.2605309110914633</v>
      </c>
      <c r="M59">
        <f t="shared" si="17"/>
        <v>-2.2605309110914633</v>
      </c>
    </row>
    <row r="60" spans="1:47" x14ac:dyDescent="0.25">
      <c r="A60">
        <v>3.2</v>
      </c>
      <c r="B60">
        <f t="shared" si="10"/>
        <v>8.4118963379252349</v>
      </c>
      <c r="C60">
        <f t="shared" si="11"/>
        <v>-8.4118963379252349</v>
      </c>
      <c r="D60">
        <f t="shared" si="14"/>
        <v>7.3321211119293439</v>
      </c>
      <c r="E60">
        <f t="shared" si="15"/>
        <v>-7.3321211119293439</v>
      </c>
      <c r="F60">
        <f t="shared" si="18"/>
        <v>6.2257529665093525</v>
      </c>
      <c r="G60">
        <f t="shared" si="19"/>
        <v>-6.2257529665093525</v>
      </c>
      <c r="H60">
        <f t="shared" si="8"/>
        <v>5.0754310161798077</v>
      </c>
      <c r="I60">
        <f t="shared" si="9"/>
        <v>-5.0754310161798077</v>
      </c>
      <c r="J60">
        <f t="shared" si="12"/>
        <v>3.8418745424597089</v>
      </c>
      <c r="K60">
        <f t="shared" si="13"/>
        <v>-3.8418745424597089</v>
      </c>
      <c r="L60">
        <f t="shared" si="16"/>
        <v>2.3999999999999995</v>
      </c>
      <c r="M60">
        <f t="shared" si="17"/>
        <v>-2.3999999999999995</v>
      </c>
    </row>
    <row r="61" spans="1:47" x14ac:dyDescent="0.25">
      <c r="A61">
        <v>3.1</v>
      </c>
      <c r="B61">
        <f t="shared" si="10"/>
        <v>8.4492603226554692</v>
      </c>
      <c r="C61">
        <f t="shared" si="11"/>
        <v>-8.4492603226554692</v>
      </c>
      <c r="D61">
        <f t="shared" si="14"/>
        <v>7.3749576269969168</v>
      </c>
      <c r="E61">
        <f t="shared" si="15"/>
        <v>-7.3749576269969168</v>
      </c>
      <c r="F61">
        <f t="shared" si="18"/>
        <v>6.2761453138052818</v>
      </c>
      <c r="G61">
        <f t="shared" si="19"/>
        <v>-6.2761453138052818</v>
      </c>
      <c r="H61">
        <f t="shared" si="8"/>
        <v>5.1371198156165292</v>
      </c>
      <c r="I61">
        <f t="shared" si="9"/>
        <v>-5.1371198156165292</v>
      </c>
      <c r="J61">
        <f t="shared" si="12"/>
        <v>3.9230090491866059</v>
      </c>
      <c r="K61">
        <f t="shared" si="13"/>
        <v>-3.9230090491866059</v>
      </c>
      <c r="L61">
        <f t="shared" si="16"/>
        <v>2.5278449319529073</v>
      </c>
      <c r="M61">
        <f t="shared" si="17"/>
        <v>-2.5278449319529073</v>
      </c>
    </row>
    <row r="62" spans="1:47" x14ac:dyDescent="0.25">
      <c r="A62">
        <v>3</v>
      </c>
      <c r="B62">
        <f t="shared" si="10"/>
        <v>8.4852813742385695</v>
      </c>
      <c r="C62">
        <f t="shared" si="11"/>
        <v>-8.4852813742385695</v>
      </c>
      <c r="D62">
        <f t="shared" si="14"/>
        <v>7.416198487095663</v>
      </c>
      <c r="E62">
        <f t="shared" si="15"/>
        <v>-7.416198487095663</v>
      </c>
      <c r="F62">
        <f t="shared" si="18"/>
        <v>6.324555320336759</v>
      </c>
      <c r="G62">
        <f t="shared" si="19"/>
        <v>-6.324555320336759</v>
      </c>
      <c r="H62">
        <f t="shared" si="8"/>
        <v>5.196152422706632</v>
      </c>
      <c r="I62">
        <f t="shared" si="9"/>
        <v>-5.196152422706632</v>
      </c>
      <c r="J62">
        <f t="shared" si="12"/>
        <v>4</v>
      </c>
      <c r="K62">
        <f t="shared" si="13"/>
        <v>-4</v>
      </c>
      <c r="L62">
        <f t="shared" si="16"/>
        <v>2.6457513110645907</v>
      </c>
      <c r="M62">
        <f t="shared" si="17"/>
        <v>-2.6457513110645907</v>
      </c>
      <c r="N62">
        <f t="shared" ref="N62:N93" si="20">+SQRT(9-A62^2)</f>
        <v>0</v>
      </c>
      <c r="O62">
        <f t="shared" ref="O62:O93" si="21">-N62</f>
        <v>0</v>
      </c>
      <c r="AI62" t="s">
        <v>53</v>
      </c>
      <c r="AJ62" t="s">
        <v>57</v>
      </c>
      <c r="AK62" t="s">
        <v>58</v>
      </c>
      <c r="AL62" t="s">
        <v>59</v>
      </c>
      <c r="AM62" t="s">
        <v>60</v>
      </c>
      <c r="AN62" t="s">
        <v>61</v>
      </c>
      <c r="AO62" t="s">
        <v>62</v>
      </c>
      <c r="AP62" t="s">
        <v>63</v>
      </c>
      <c r="AQ62" t="s">
        <v>64</v>
      </c>
      <c r="AR62" t="s">
        <v>65</v>
      </c>
      <c r="AS62" t="s">
        <v>66</v>
      </c>
      <c r="AT62" t="s">
        <v>67</v>
      </c>
    </row>
    <row r="63" spans="1:47" x14ac:dyDescent="0.25">
      <c r="A63">
        <v>2.9</v>
      </c>
      <c r="B63">
        <f t="shared" si="10"/>
        <v>8.519976525789259</v>
      </c>
      <c r="C63">
        <f t="shared" si="11"/>
        <v>-8.519976525789259</v>
      </c>
      <c r="D63">
        <f t="shared" si="14"/>
        <v>7.4558701705434762</v>
      </c>
      <c r="E63">
        <f t="shared" si="15"/>
        <v>-7.4558701705434762</v>
      </c>
      <c r="F63">
        <f t="shared" si="18"/>
        <v>6.3710281744785906</v>
      </c>
      <c r="G63">
        <f t="shared" si="19"/>
        <v>-6.3710281744785906</v>
      </c>
      <c r="H63">
        <f t="shared" si="8"/>
        <v>5.2526183946675582</v>
      </c>
      <c r="I63">
        <f t="shared" si="9"/>
        <v>-5.2526183946675582</v>
      </c>
      <c r="J63">
        <f t="shared" si="12"/>
        <v>4.0730823708832604</v>
      </c>
      <c r="K63">
        <f t="shared" si="13"/>
        <v>-4.0730823708832604</v>
      </c>
      <c r="L63">
        <f t="shared" si="16"/>
        <v>2.7549954627911823</v>
      </c>
      <c r="M63">
        <f t="shared" si="17"/>
        <v>-2.7549954627911823</v>
      </c>
      <c r="N63">
        <f t="shared" si="20"/>
        <v>0.76811457478686074</v>
      </c>
      <c r="O63">
        <f t="shared" si="21"/>
        <v>-0.76811457478686074</v>
      </c>
      <c r="AI63">
        <v>1</v>
      </c>
      <c r="AJ63">
        <v>2</v>
      </c>
      <c r="AK63">
        <v>3</v>
      </c>
      <c r="AL63">
        <v>4</v>
      </c>
      <c r="AM63">
        <v>5</v>
      </c>
      <c r="AN63">
        <v>6</v>
      </c>
      <c r="AO63">
        <v>7</v>
      </c>
      <c r="AP63">
        <v>8</v>
      </c>
      <c r="AQ63">
        <v>9</v>
      </c>
      <c r="AR63">
        <v>10</v>
      </c>
      <c r="AS63">
        <v>11</v>
      </c>
      <c r="AT63">
        <v>12</v>
      </c>
    </row>
    <row r="64" spans="1:47" x14ac:dyDescent="0.25">
      <c r="A64">
        <v>2.8</v>
      </c>
      <c r="B64">
        <f t="shared" si="10"/>
        <v>8.5533619121372393</v>
      </c>
      <c r="C64">
        <f t="shared" si="11"/>
        <v>-8.5533619121372393</v>
      </c>
      <c r="D64">
        <f t="shared" si="14"/>
        <v>7.493997598078078</v>
      </c>
      <c r="E64">
        <f t="shared" si="15"/>
        <v>-7.493997598078078</v>
      </c>
      <c r="F64">
        <f t="shared" si="18"/>
        <v>6.4156059729381765</v>
      </c>
      <c r="G64">
        <f t="shared" si="19"/>
        <v>-6.4156059729381765</v>
      </c>
      <c r="H64">
        <f t="shared" ref="H64:H95" si="22">+SQRT(36-A64^2)</f>
        <v>5.3065996645686395</v>
      </c>
      <c r="I64">
        <f t="shared" ref="I64:I95" si="23">-H64</f>
        <v>-5.3065996645686395</v>
      </c>
      <c r="J64">
        <f t="shared" si="12"/>
        <v>4.1424630354415957</v>
      </c>
      <c r="K64">
        <f t="shared" si="13"/>
        <v>-4.1424630354415957</v>
      </c>
      <c r="L64">
        <f t="shared" si="16"/>
        <v>2.8565713714171399</v>
      </c>
      <c r="M64">
        <f t="shared" si="17"/>
        <v>-2.8565713714171399</v>
      </c>
      <c r="N64">
        <f t="shared" si="20"/>
        <v>1.0770329614269012</v>
      </c>
      <c r="O64">
        <f t="shared" si="21"/>
        <v>-1.0770329614269012</v>
      </c>
      <c r="AI64">
        <v>31</v>
      </c>
      <c r="AJ64">
        <v>28</v>
      </c>
      <c r="AK64">
        <v>31</v>
      </c>
      <c r="AL64">
        <v>30</v>
      </c>
      <c r="AM64">
        <v>31</v>
      </c>
      <c r="AN64">
        <v>30</v>
      </c>
      <c r="AO64">
        <v>31</v>
      </c>
      <c r="AP64">
        <v>31</v>
      </c>
      <c r="AQ64">
        <v>30</v>
      </c>
      <c r="AR64">
        <v>31</v>
      </c>
      <c r="AS64">
        <v>30</v>
      </c>
      <c r="AT64">
        <v>31</v>
      </c>
      <c r="AU64">
        <f>SUM(AI64:AT64)</f>
        <v>365</v>
      </c>
    </row>
    <row r="65" spans="1:40" x14ac:dyDescent="0.25">
      <c r="A65">
        <v>2.7</v>
      </c>
      <c r="B65">
        <f t="shared" si="10"/>
        <v>8.5854528127525107</v>
      </c>
      <c r="C65">
        <f t="shared" si="11"/>
        <v>-8.5854528127525107</v>
      </c>
      <c r="D65">
        <f t="shared" si="14"/>
        <v>7.5306042254257397</v>
      </c>
      <c r="E65">
        <f t="shared" si="15"/>
        <v>-7.5306042254257397</v>
      </c>
      <c r="F65">
        <f t="shared" si="18"/>
        <v>6.4583279569870093</v>
      </c>
      <c r="G65">
        <f t="shared" si="19"/>
        <v>-6.4583279569870093</v>
      </c>
      <c r="H65">
        <f t="shared" si="22"/>
        <v>5.3581713298475258</v>
      </c>
      <c r="I65">
        <f t="shared" si="23"/>
        <v>-5.3581713298475258</v>
      </c>
      <c r="J65">
        <f t="shared" si="12"/>
        <v>4.2083250825001626</v>
      </c>
      <c r="K65">
        <f t="shared" si="13"/>
        <v>-4.2083250825001626</v>
      </c>
      <c r="L65">
        <f t="shared" si="16"/>
        <v>2.9512709126747412</v>
      </c>
      <c r="M65">
        <f t="shared" si="17"/>
        <v>-2.9512709126747412</v>
      </c>
      <c r="N65">
        <f t="shared" si="20"/>
        <v>1.3076696830622017</v>
      </c>
      <c r="O65">
        <f t="shared" si="21"/>
        <v>-1.3076696830622017</v>
      </c>
    </row>
    <row r="66" spans="1:40" x14ac:dyDescent="0.25">
      <c r="A66">
        <v>2.6</v>
      </c>
      <c r="B66">
        <f t="shared" ref="B66:B97" si="24">+SQRT(81-A66^2)</f>
        <v>8.616263691415206</v>
      </c>
      <c r="C66">
        <f t="shared" ref="C66:C97" si="25">-B66</f>
        <v>-8.616263691415206</v>
      </c>
      <c r="D66">
        <f t="shared" si="14"/>
        <v>7.5657121277510955</v>
      </c>
      <c r="E66">
        <f t="shared" si="15"/>
        <v>-7.5657121277510955</v>
      </c>
      <c r="F66">
        <f t="shared" si="18"/>
        <v>6.4992307237087683</v>
      </c>
      <c r="G66">
        <f t="shared" si="19"/>
        <v>-6.4992307237087683</v>
      </c>
      <c r="H66">
        <f t="shared" si="22"/>
        <v>5.4074023338383093</v>
      </c>
      <c r="I66">
        <f t="shared" si="23"/>
        <v>-5.4074023338383093</v>
      </c>
      <c r="J66">
        <f t="shared" si="12"/>
        <v>4.2708313008125245</v>
      </c>
      <c r="K66">
        <f t="shared" si="13"/>
        <v>-4.2708313008125245</v>
      </c>
      <c r="L66">
        <f t="shared" si="16"/>
        <v>3.0397368307141326</v>
      </c>
      <c r="M66">
        <f t="shared" si="17"/>
        <v>-3.0397368307141326</v>
      </c>
      <c r="N66">
        <f t="shared" si="20"/>
        <v>1.4966629547095762</v>
      </c>
      <c r="O66">
        <f t="shared" si="21"/>
        <v>-1.4966629547095762</v>
      </c>
    </row>
    <row r="67" spans="1:40" x14ac:dyDescent="0.25">
      <c r="A67">
        <v>2.5</v>
      </c>
      <c r="B67">
        <f t="shared" si="24"/>
        <v>8.6458082328952912</v>
      </c>
      <c r="C67">
        <f t="shared" si="25"/>
        <v>-8.6458082328952912</v>
      </c>
      <c r="D67">
        <f t="shared" si="14"/>
        <v>7.5993420767853319</v>
      </c>
      <c r="E67">
        <f t="shared" si="15"/>
        <v>-7.5993420767853319</v>
      </c>
      <c r="F67">
        <f t="shared" si="18"/>
        <v>6.5383484153110105</v>
      </c>
      <c r="G67">
        <f t="shared" si="19"/>
        <v>-6.5383484153110105</v>
      </c>
      <c r="H67">
        <f t="shared" si="22"/>
        <v>5.4543560573178569</v>
      </c>
      <c r="I67">
        <f t="shared" si="23"/>
        <v>-5.4543560573178569</v>
      </c>
      <c r="J67">
        <f t="shared" si="12"/>
        <v>4.3301270189221936</v>
      </c>
      <c r="K67">
        <f t="shared" si="13"/>
        <v>-4.3301270189221936</v>
      </c>
      <c r="L67">
        <f t="shared" si="16"/>
        <v>3.1224989991991992</v>
      </c>
      <c r="M67">
        <f t="shared" si="17"/>
        <v>-3.1224989991991992</v>
      </c>
      <c r="N67">
        <f t="shared" si="20"/>
        <v>1.6583123951776999</v>
      </c>
      <c r="O67">
        <f t="shared" si="21"/>
        <v>-1.6583123951776999</v>
      </c>
    </row>
    <row r="68" spans="1:40" x14ac:dyDescent="0.25">
      <c r="A68">
        <v>2.4</v>
      </c>
      <c r="B68">
        <f t="shared" si="24"/>
        <v>8.6740993768805765</v>
      </c>
      <c r="C68">
        <f t="shared" si="25"/>
        <v>-8.6740993768805765</v>
      </c>
      <c r="D68">
        <f t="shared" si="14"/>
        <v>7.6315136113355653</v>
      </c>
      <c r="E68">
        <f t="shared" si="15"/>
        <v>-7.6315136113355653</v>
      </c>
      <c r="F68">
        <f t="shared" si="18"/>
        <v>6.5757128891094387</v>
      </c>
      <c r="G68">
        <f t="shared" si="19"/>
        <v>-6.5757128891094387</v>
      </c>
      <c r="H68">
        <f t="shared" si="22"/>
        <v>5.4990908339470082</v>
      </c>
      <c r="I68">
        <f t="shared" si="23"/>
        <v>-5.4990908339470082</v>
      </c>
      <c r="J68">
        <f t="shared" si="12"/>
        <v>4.3863424398922621</v>
      </c>
      <c r="K68">
        <f t="shared" si="13"/>
        <v>-4.3863424398922621</v>
      </c>
      <c r="L68">
        <f t="shared" si="16"/>
        <v>3.2</v>
      </c>
      <c r="M68">
        <f t="shared" si="17"/>
        <v>-3.2</v>
      </c>
      <c r="N68">
        <f t="shared" si="20"/>
        <v>1.8</v>
      </c>
      <c r="O68">
        <f t="shared" si="21"/>
        <v>-1.8</v>
      </c>
    </row>
    <row r="69" spans="1:40" x14ac:dyDescent="0.25">
      <c r="A69">
        <v>2.2999999999999998</v>
      </c>
      <c r="B69">
        <f t="shared" si="24"/>
        <v>8.7011493493675882</v>
      </c>
      <c r="C69">
        <f t="shared" si="25"/>
        <v>-8.7011493493675882</v>
      </c>
      <c r="D69">
        <f t="shared" si="14"/>
        <v>7.6622451017962092</v>
      </c>
      <c r="E69">
        <f t="shared" si="15"/>
        <v>-7.6622451017962092</v>
      </c>
      <c r="F69">
        <f t="shared" si="18"/>
        <v>6.611353870426238</v>
      </c>
      <c r="G69">
        <f t="shared" si="19"/>
        <v>-6.611353870426238</v>
      </c>
      <c r="H69">
        <f t="shared" si="22"/>
        <v>5.5416604009989641</v>
      </c>
      <c r="I69">
        <f t="shared" si="23"/>
        <v>-5.5416604009989641</v>
      </c>
      <c r="J69">
        <f t="shared" si="12"/>
        <v>4.4395945760846232</v>
      </c>
      <c r="K69">
        <f t="shared" si="13"/>
        <v>-4.4395945760846232</v>
      </c>
      <c r="L69">
        <f t="shared" si="16"/>
        <v>3.2726136343907144</v>
      </c>
      <c r="M69">
        <f t="shared" si="17"/>
        <v>-3.2726136343907144</v>
      </c>
      <c r="N69">
        <f t="shared" si="20"/>
        <v>1.9261360284258224</v>
      </c>
      <c r="O69">
        <f t="shared" si="21"/>
        <v>-1.9261360284258224</v>
      </c>
    </row>
    <row r="70" spans="1:40" x14ac:dyDescent="0.25">
      <c r="A70">
        <v>2.2000000000000002</v>
      </c>
      <c r="B70">
        <f t="shared" si="24"/>
        <v>8.7269696917085717</v>
      </c>
      <c r="C70">
        <f t="shared" si="25"/>
        <v>-8.7269696917085717</v>
      </c>
      <c r="D70">
        <f t="shared" si="14"/>
        <v>7.6915538092117641</v>
      </c>
      <c r="E70">
        <f t="shared" si="15"/>
        <v>-7.6915538092117641</v>
      </c>
      <c r="F70">
        <f t="shared" si="18"/>
        <v>6.6452990903344595</v>
      </c>
      <c r="G70">
        <f t="shared" si="19"/>
        <v>-6.6452990903344595</v>
      </c>
      <c r="H70">
        <f t="shared" si="22"/>
        <v>5.5821142947811451</v>
      </c>
      <c r="I70">
        <f t="shared" si="23"/>
        <v>-5.5821142947811451</v>
      </c>
      <c r="J70">
        <f t="shared" si="12"/>
        <v>4.4899888641287298</v>
      </c>
      <c r="K70">
        <f t="shared" si="13"/>
        <v>-4.4899888641287298</v>
      </c>
      <c r="L70">
        <f t="shared" si="16"/>
        <v>3.3406586176980131</v>
      </c>
      <c r="M70">
        <f t="shared" si="17"/>
        <v>-3.3406586176980131</v>
      </c>
      <c r="N70">
        <f t="shared" si="20"/>
        <v>2.0396078054371136</v>
      </c>
      <c r="O70">
        <f t="shared" si="21"/>
        <v>-2.0396078054371136</v>
      </c>
    </row>
    <row r="71" spans="1:40" x14ac:dyDescent="0.25">
      <c r="A71">
        <v>2.1</v>
      </c>
      <c r="B71">
        <f t="shared" si="24"/>
        <v>8.7515712874888933</v>
      </c>
      <c r="C71">
        <f t="shared" si="25"/>
        <v>-8.7515712874888933</v>
      </c>
      <c r="D71">
        <f t="shared" si="14"/>
        <v>7.7194559393781113</v>
      </c>
      <c r="E71">
        <f t="shared" si="15"/>
        <v>-7.7194559393781113</v>
      </c>
      <c r="F71">
        <f t="shared" si="18"/>
        <v>6.6775744099186198</v>
      </c>
      <c r="G71">
        <f t="shared" si="19"/>
        <v>-6.6775744099186198</v>
      </c>
      <c r="H71">
        <f t="shared" si="22"/>
        <v>5.6204981985585585</v>
      </c>
      <c r="I71">
        <f t="shared" si="23"/>
        <v>-5.6204981985585585</v>
      </c>
      <c r="J71">
        <f t="shared" si="12"/>
        <v>4.5376205218153709</v>
      </c>
      <c r="K71">
        <f t="shared" si="13"/>
        <v>-4.5376205218153709</v>
      </c>
      <c r="L71">
        <f t="shared" si="16"/>
        <v>3.4044089061098401</v>
      </c>
      <c r="M71">
        <f t="shared" si="17"/>
        <v>-3.4044089061098401</v>
      </c>
      <c r="N71">
        <f t="shared" si="20"/>
        <v>2.142428528562855</v>
      </c>
      <c r="O71">
        <f t="shared" si="21"/>
        <v>-2.142428528562855</v>
      </c>
    </row>
    <row r="72" spans="1:40" x14ac:dyDescent="0.25">
      <c r="A72">
        <v>2</v>
      </c>
      <c r="B72">
        <f t="shared" si="24"/>
        <v>8.7749643873921226</v>
      </c>
      <c r="C72">
        <f t="shared" si="25"/>
        <v>-8.7749643873921226</v>
      </c>
      <c r="D72">
        <f t="shared" si="14"/>
        <v>7.745966692414834</v>
      </c>
      <c r="E72">
        <f t="shared" si="15"/>
        <v>-7.745966692414834</v>
      </c>
      <c r="F72">
        <f t="shared" si="18"/>
        <v>6.7082039324993694</v>
      </c>
      <c r="G72">
        <f t="shared" si="19"/>
        <v>-6.7082039324993694</v>
      </c>
      <c r="H72">
        <f t="shared" si="22"/>
        <v>5.6568542494923806</v>
      </c>
      <c r="I72">
        <f t="shared" si="23"/>
        <v>-5.6568542494923806</v>
      </c>
      <c r="J72">
        <f t="shared" si="12"/>
        <v>4.5825756949558398</v>
      </c>
      <c r="K72">
        <f t="shared" si="13"/>
        <v>-4.5825756949558398</v>
      </c>
      <c r="L72">
        <f t="shared" si="16"/>
        <v>3.4641016151377544</v>
      </c>
      <c r="M72">
        <f t="shared" si="17"/>
        <v>-3.4641016151377544</v>
      </c>
      <c r="N72">
        <f t="shared" si="20"/>
        <v>2.2360679774997898</v>
      </c>
      <c r="O72">
        <f t="shared" si="21"/>
        <v>-2.2360679774997898</v>
      </c>
      <c r="P72">
        <f t="shared" ref="P72:P112" si="26">+SQRT(4-A72^2)</f>
        <v>0</v>
      </c>
      <c r="Q72">
        <f t="shared" ref="Q72:Q112" si="27">-P72</f>
        <v>0</v>
      </c>
    </row>
    <row r="73" spans="1:40" x14ac:dyDescent="0.25">
      <c r="A73">
        <v>1.9</v>
      </c>
      <c r="B73">
        <f t="shared" si="24"/>
        <v>8.7971586321948294</v>
      </c>
      <c r="C73">
        <f t="shared" si="25"/>
        <v>-8.7971586321948294</v>
      </c>
      <c r="D73">
        <f t="shared" si="14"/>
        <v>7.7711003081931711</v>
      </c>
      <c r="E73">
        <f t="shared" si="15"/>
        <v>-7.7711003081931711</v>
      </c>
      <c r="F73">
        <f t="shared" si="18"/>
        <v>6.7372101050805888</v>
      </c>
      <c r="G73">
        <f t="shared" si="19"/>
        <v>-6.7372101050805888</v>
      </c>
      <c r="H73">
        <f t="shared" si="22"/>
        <v>5.6912213100528781</v>
      </c>
      <c r="I73">
        <f t="shared" si="23"/>
        <v>-5.6912213100528781</v>
      </c>
      <c r="J73">
        <f t="shared" si="12"/>
        <v>4.6249324319388707</v>
      </c>
      <c r="K73">
        <f t="shared" si="13"/>
        <v>-4.6249324319388707</v>
      </c>
      <c r="L73">
        <f t="shared" si="16"/>
        <v>3.5199431813596083</v>
      </c>
      <c r="M73">
        <f t="shared" si="17"/>
        <v>-3.5199431813596083</v>
      </c>
      <c r="N73">
        <f t="shared" si="20"/>
        <v>2.32163735324878</v>
      </c>
      <c r="O73">
        <f t="shared" si="21"/>
        <v>-2.32163735324878</v>
      </c>
      <c r="P73">
        <f t="shared" si="26"/>
        <v>0.62449979983983994</v>
      </c>
      <c r="Q73">
        <f t="shared" si="27"/>
        <v>-0.62449979983983994</v>
      </c>
    </row>
    <row r="74" spans="1:40" ht="15" customHeight="1" x14ac:dyDescent="0.25">
      <c r="A74">
        <v>1.8</v>
      </c>
      <c r="B74">
        <f t="shared" si="24"/>
        <v>8.8181630740194414</v>
      </c>
      <c r="C74">
        <f t="shared" si="25"/>
        <v>-8.8181630740194414</v>
      </c>
      <c r="D74">
        <f t="shared" si="14"/>
        <v>7.7948701079620308</v>
      </c>
      <c r="E74">
        <f t="shared" si="15"/>
        <v>-7.7948701079620308</v>
      </c>
      <c r="F74">
        <f t="shared" si="18"/>
        <v>6.7646138101151054</v>
      </c>
      <c r="G74">
        <f t="shared" si="19"/>
        <v>-6.7646138101151054</v>
      </c>
      <c r="H74">
        <f t="shared" si="22"/>
        <v>5.7236352085016735</v>
      </c>
      <c r="I74">
        <f t="shared" si="23"/>
        <v>-5.7236352085016735</v>
      </c>
      <c r="J74">
        <f t="shared" ref="J74:J105" si="28">+SQRT(25-A74^2)</f>
        <v>4.6647615158762399</v>
      </c>
      <c r="K74">
        <f t="shared" ref="K74:K105" si="29">-J74</f>
        <v>-4.6647615158762399</v>
      </c>
      <c r="L74">
        <f t="shared" si="16"/>
        <v>3.5721142198983502</v>
      </c>
      <c r="M74">
        <f t="shared" si="17"/>
        <v>-3.5721142198983502</v>
      </c>
      <c r="N74">
        <f t="shared" si="20"/>
        <v>2.4</v>
      </c>
      <c r="O74">
        <f t="shared" si="21"/>
        <v>-2.4</v>
      </c>
      <c r="P74">
        <f t="shared" si="26"/>
        <v>0.87177978870813455</v>
      </c>
      <c r="Q74">
        <f t="shared" si="27"/>
        <v>-0.87177978870813455</v>
      </c>
      <c r="AN74" s="57"/>
    </row>
    <row r="75" spans="1:40" x14ac:dyDescent="0.25">
      <c r="A75">
        <v>1.7</v>
      </c>
      <c r="B75">
        <f t="shared" si="24"/>
        <v>8.8379861959611592</v>
      </c>
      <c r="C75">
        <f t="shared" si="25"/>
        <v>-8.8379861959611592</v>
      </c>
      <c r="D75">
        <f t="shared" si="14"/>
        <v>7.8172885324772299</v>
      </c>
      <c r="E75">
        <f t="shared" si="15"/>
        <v>-7.8172885324772299</v>
      </c>
      <c r="F75">
        <f t="shared" si="18"/>
        <v>6.7904344485459838</v>
      </c>
      <c r="G75">
        <f t="shared" si="19"/>
        <v>-6.7904344485459838</v>
      </c>
      <c r="H75">
        <f t="shared" si="22"/>
        <v>5.7541289523263206</v>
      </c>
      <c r="I75">
        <f t="shared" si="23"/>
        <v>-5.7541289523263206</v>
      </c>
      <c r="J75">
        <f t="shared" si="28"/>
        <v>4.702127178203499</v>
      </c>
      <c r="K75">
        <f t="shared" si="29"/>
        <v>-4.702127178203499</v>
      </c>
      <c r="L75">
        <f t="shared" si="16"/>
        <v>3.6207733980463344</v>
      </c>
      <c r="M75">
        <f t="shared" si="17"/>
        <v>-3.6207733980463344</v>
      </c>
      <c r="N75">
        <f t="shared" si="20"/>
        <v>2.4718414188616551</v>
      </c>
      <c r="O75">
        <f t="shared" si="21"/>
        <v>-2.4718414188616551</v>
      </c>
      <c r="P75">
        <f t="shared" si="26"/>
        <v>1.0535653752852741</v>
      </c>
      <c r="Q75">
        <f t="shared" si="27"/>
        <v>-1.0535653752852741</v>
      </c>
      <c r="AN75" s="57"/>
    </row>
    <row r="76" spans="1:40" x14ac:dyDescent="0.25">
      <c r="A76">
        <v>1.6</v>
      </c>
      <c r="B76">
        <f t="shared" si="24"/>
        <v>8.8566359301938107</v>
      </c>
      <c r="C76">
        <f t="shared" si="25"/>
        <v>-8.8566359301938107</v>
      </c>
      <c r="D76">
        <f t="shared" ref="D76:D107" si="30">+SQRT(64-A76^2)</f>
        <v>7.8383671769061696</v>
      </c>
      <c r="E76">
        <f t="shared" ref="E76:E107" si="31">-D76</f>
        <v>-7.8383671769061696</v>
      </c>
      <c r="F76">
        <f t="shared" si="18"/>
        <v>6.8146900149603278</v>
      </c>
      <c r="G76">
        <f t="shared" si="19"/>
        <v>-6.8146900149603278</v>
      </c>
      <c r="H76">
        <f t="shared" si="22"/>
        <v>5.7827329179203844</v>
      </c>
      <c r="I76">
        <f t="shared" si="23"/>
        <v>-5.7827329179203844</v>
      </c>
      <c r="J76">
        <f t="shared" si="28"/>
        <v>4.737087712930804</v>
      </c>
      <c r="K76">
        <f t="shared" si="29"/>
        <v>-4.737087712930804</v>
      </c>
      <c r="L76">
        <f t="shared" si="16"/>
        <v>3.666060555964672</v>
      </c>
      <c r="M76">
        <f t="shared" si="17"/>
        <v>-3.666060555964672</v>
      </c>
      <c r="N76">
        <f t="shared" si="20"/>
        <v>2.5377155080899039</v>
      </c>
      <c r="O76">
        <f t="shared" si="21"/>
        <v>-2.5377155080899039</v>
      </c>
      <c r="P76">
        <f t="shared" si="26"/>
        <v>1.1999999999999997</v>
      </c>
      <c r="Q76">
        <f t="shared" si="27"/>
        <v>-1.1999999999999997</v>
      </c>
      <c r="AN76" s="57"/>
    </row>
    <row r="77" spans="1:40" x14ac:dyDescent="0.25">
      <c r="A77">
        <v>1.5</v>
      </c>
      <c r="B77">
        <f t="shared" si="24"/>
        <v>8.8741196746494246</v>
      </c>
      <c r="C77">
        <f t="shared" si="25"/>
        <v>-8.8741196746494246</v>
      </c>
      <c r="D77">
        <f t="shared" si="30"/>
        <v>7.8581168227508558</v>
      </c>
      <c r="E77">
        <f t="shared" si="31"/>
        <v>-7.8581168227508558</v>
      </c>
      <c r="F77">
        <f t="shared" si="18"/>
        <v>6.8373971655886718</v>
      </c>
      <c r="G77">
        <f t="shared" si="19"/>
        <v>-6.8373971655886718</v>
      </c>
      <c r="H77">
        <f t="shared" si="22"/>
        <v>5.8094750193111251</v>
      </c>
      <c r="I77">
        <f t="shared" si="23"/>
        <v>-5.8094750193111251</v>
      </c>
      <c r="J77">
        <f t="shared" si="28"/>
        <v>4.7696960070847281</v>
      </c>
      <c r="K77">
        <f t="shared" si="29"/>
        <v>-4.7696960070847281</v>
      </c>
      <c r="L77">
        <f t="shared" si="16"/>
        <v>3.7080992435478315</v>
      </c>
      <c r="M77">
        <f t="shared" si="17"/>
        <v>-3.7080992435478315</v>
      </c>
      <c r="N77">
        <f t="shared" si="20"/>
        <v>2.598076211353316</v>
      </c>
      <c r="O77">
        <f t="shared" si="21"/>
        <v>-2.598076211353316</v>
      </c>
      <c r="P77">
        <f t="shared" si="26"/>
        <v>1.3228756555322954</v>
      </c>
      <c r="Q77">
        <f t="shared" si="27"/>
        <v>-1.3228756555322954</v>
      </c>
      <c r="AN77" s="57"/>
    </row>
    <row r="78" spans="1:40" x14ac:dyDescent="0.25">
      <c r="A78">
        <v>1.4</v>
      </c>
      <c r="B78">
        <f t="shared" si="24"/>
        <v>8.8904443083571483</v>
      </c>
      <c r="C78">
        <f t="shared" si="25"/>
        <v>-8.8904443083571483</v>
      </c>
      <c r="D78">
        <f t="shared" si="30"/>
        <v>7.8765474670060867</v>
      </c>
      <c r="E78">
        <f t="shared" si="31"/>
        <v>-7.8765474670060867</v>
      </c>
      <c r="F78">
        <f t="shared" si="18"/>
        <v>6.8585712797928986</v>
      </c>
      <c r="G78">
        <f t="shared" si="19"/>
        <v>-6.8585712797928986</v>
      </c>
      <c r="H78">
        <f t="shared" si="22"/>
        <v>5.8343808583259289</v>
      </c>
      <c r="I78">
        <f t="shared" si="23"/>
        <v>-5.8343808583259289</v>
      </c>
      <c r="J78">
        <f t="shared" si="28"/>
        <v>4.8</v>
      </c>
      <c r="K78">
        <f t="shared" si="29"/>
        <v>-4.8</v>
      </c>
      <c r="L78">
        <f t="shared" si="16"/>
        <v>3.746998799039039</v>
      </c>
      <c r="M78">
        <f t="shared" si="17"/>
        <v>-3.746998799039039</v>
      </c>
      <c r="N78">
        <f t="shared" si="20"/>
        <v>2.6532998322843198</v>
      </c>
      <c r="O78">
        <f t="shared" si="21"/>
        <v>-2.6532998322843198</v>
      </c>
      <c r="P78">
        <f t="shared" si="26"/>
        <v>1.42828568570857</v>
      </c>
      <c r="Q78">
        <f t="shared" si="27"/>
        <v>-1.42828568570857</v>
      </c>
    </row>
    <row r="79" spans="1:40" x14ac:dyDescent="0.25">
      <c r="A79">
        <v>1.3</v>
      </c>
      <c r="B79">
        <f t="shared" si="24"/>
        <v>8.9056162055188519</v>
      </c>
      <c r="C79">
        <f t="shared" si="25"/>
        <v>-8.9056162055188519</v>
      </c>
      <c r="D79">
        <f t="shared" si="30"/>
        <v>7.8936683487463544</v>
      </c>
      <c r="E79">
        <f t="shared" si="31"/>
        <v>-7.8936683487463544</v>
      </c>
      <c r="F79">
        <f t="shared" si="18"/>
        <v>6.8782265156070572</v>
      </c>
      <c r="G79">
        <f t="shared" si="19"/>
        <v>-6.8782265156070572</v>
      </c>
      <c r="H79">
        <f t="shared" si="22"/>
        <v>5.8574738582429884</v>
      </c>
      <c r="I79">
        <f t="shared" si="23"/>
        <v>-5.8574738582429884</v>
      </c>
      <c r="J79">
        <f t="shared" si="28"/>
        <v>4.8280430818293238</v>
      </c>
      <c r="K79">
        <f t="shared" si="29"/>
        <v>-4.8280430818293238</v>
      </c>
      <c r="L79">
        <f t="shared" si="16"/>
        <v>3.7828560638755477</v>
      </c>
      <c r="M79">
        <f t="shared" si="17"/>
        <v>-3.7828560638755477</v>
      </c>
      <c r="N79">
        <f t="shared" si="20"/>
        <v>2.7037011669191546</v>
      </c>
      <c r="O79">
        <f t="shared" si="21"/>
        <v>-2.7037011669191546</v>
      </c>
      <c r="P79">
        <f t="shared" si="26"/>
        <v>1.5198684153570663</v>
      </c>
      <c r="Q79">
        <f t="shared" si="27"/>
        <v>-1.5198684153570663</v>
      </c>
    </row>
    <row r="80" spans="1:40" x14ac:dyDescent="0.25">
      <c r="A80">
        <v>1.2</v>
      </c>
      <c r="B80">
        <f t="shared" si="24"/>
        <v>8.9196412483911036</v>
      </c>
      <c r="C80">
        <f t="shared" si="25"/>
        <v>-8.9196412483911036</v>
      </c>
      <c r="D80">
        <f t="shared" si="30"/>
        <v>7.9094879733140759</v>
      </c>
      <c r="E80">
        <f t="shared" si="31"/>
        <v>-7.9094879733140759</v>
      </c>
      <c r="F80">
        <f t="shared" si="18"/>
        <v>6.8963758598266676</v>
      </c>
      <c r="G80">
        <f t="shared" si="19"/>
        <v>-6.8963758598266676</v>
      </c>
      <c r="H80">
        <f t="shared" si="22"/>
        <v>5.8787753826796276</v>
      </c>
      <c r="I80">
        <f t="shared" si="23"/>
        <v>-5.8787753826796276</v>
      </c>
      <c r="J80">
        <f t="shared" si="28"/>
        <v>4.8538644398046387</v>
      </c>
      <c r="K80">
        <f t="shared" si="29"/>
        <v>-4.8538644398046387</v>
      </c>
      <c r="L80">
        <f t="shared" si="16"/>
        <v>3.8157568056677826</v>
      </c>
      <c r="M80">
        <f t="shared" si="17"/>
        <v>-3.8157568056677826</v>
      </c>
      <c r="N80">
        <f t="shared" si="20"/>
        <v>2.7495454169735041</v>
      </c>
      <c r="O80">
        <f t="shared" si="21"/>
        <v>-2.7495454169735041</v>
      </c>
      <c r="P80">
        <f t="shared" si="26"/>
        <v>1.6</v>
      </c>
      <c r="Q80">
        <f t="shared" si="27"/>
        <v>-1.6</v>
      </c>
      <c r="AN80" s="58"/>
    </row>
    <row r="81" spans="1:116" x14ac:dyDescent="0.25">
      <c r="A81">
        <v>1.1000000000000001</v>
      </c>
      <c r="B81">
        <f t="shared" si="24"/>
        <v>8.9325248390362741</v>
      </c>
      <c r="C81">
        <f t="shared" si="25"/>
        <v>-8.9325248390362741</v>
      </c>
      <c r="D81">
        <f t="shared" si="30"/>
        <v>7.9240141342630128</v>
      </c>
      <c r="E81">
        <f t="shared" si="31"/>
        <v>-7.9240141342630128</v>
      </c>
      <c r="F81">
        <f t="shared" si="18"/>
        <v>6.9130311730817473</v>
      </c>
      <c r="G81">
        <f t="shared" si="19"/>
        <v>-6.9130311730817473</v>
      </c>
      <c r="H81">
        <f t="shared" si="22"/>
        <v>5.8983048412234513</v>
      </c>
      <c r="I81">
        <f t="shared" si="23"/>
        <v>-5.8983048412234513</v>
      </c>
      <c r="J81">
        <f t="shared" si="28"/>
        <v>4.8774993593028793</v>
      </c>
      <c r="K81">
        <f t="shared" si="29"/>
        <v>-4.8774993593028793</v>
      </c>
      <c r="L81">
        <f t="shared" si="16"/>
        <v>3.8457769046058821</v>
      </c>
      <c r="M81">
        <f t="shared" si="17"/>
        <v>-3.8457769046058821</v>
      </c>
      <c r="N81">
        <f t="shared" si="20"/>
        <v>2.7910571473905725</v>
      </c>
      <c r="O81">
        <f t="shared" si="21"/>
        <v>-2.7910571473905725</v>
      </c>
      <c r="P81">
        <f t="shared" si="26"/>
        <v>1.6703293088490065</v>
      </c>
      <c r="Q81">
        <f t="shared" si="27"/>
        <v>-1.6703293088490065</v>
      </c>
    </row>
    <row r="82" spans="1:116" x14ac:dyDescent="0.25">
      <c r="A82">
        <v>1</v>
      </c>
      <c r="B82">
        <f t="shared" si="24"/>
        <v>8.9442719099991592</v>
      </c>
      <c r="C82">
        <f t="shared" si="25"/>
        <v>-8.9442719099991592</v>
      </c>
      <c r="D82">
        <f t="shared" si="30"/>
        <v>7.9372539331937721</v>
      </c>
      <c r="E82">
        <f t="shared" si="31"/>
        <v>-7.9372539331937721</v>
      </c>
      <c r="F82">
        <f t="shared" si="18"/>
        <v>6.9282032302755088</v>
      </c>
      <c r="G82">
        <f t="shared" si="19"/>
        <v>-6.9282032302755088</v>
      </c>
      <c r="H82">
        <f t="shared" si="22"/>
        <v>5.9160797830996161</v>
      </c>
      <c r="I82">
        <f t="shared" si="23"/>
        <v>-5.9160797830996161</v>
      </c>
      <c r="J82">
        <f t="shared" si="28"/>
        <v>4.8989794855663558</v>
      </c>
      <c r="K82">
        <f t="shared" si="29"/>
        <v>-4.8989794855663558</v>
      </c>
      <c r="L82">
        <f t="shared" si="16"/>
        <v>3.872983346207417</v>
      </c>
      <c r="M82">
        <f t="shared" si="17"/>
        <v>-3.872983346207417</v>
      </c>
      <c r="N82">
        <f t="shared" si="20"/>
        <v>2.8284271247461903</v>
      </c>
      <c r="O82">
        <f t="shared" si="21"/>
        <v>-2.8284271247461903</v>
      </c>
      <c r="P82">
        <f t="shared" si="26"/>
        <v>1.7320508075688772</v>
      </c>
      <c r="Q82">
        <f t="shared" si="27"/>
        <v>-1.7320508075688772</v>
      </c>
      <c r="R82">
        <f t="shared" ref="R82:R102" si="32">+SQRT(1-A82^2)</f>
        <v>0</v>
      </c>
      <c r="S82">
        <f t="shared" ref="S82:S102" si="33">-R82</f>
        <v>0</v>
      </c>
    </row>
    <row r="83" spans="1:116" x14ac:dyDescent="0.25">
      <c r="A83">
        <v>0.9</v>
      </c>
      <c r="B83">
        <f t="shared" si="24"/>
        <v>8.95488693395958</v>
      </c>
      <c r="C83">
        <f t="shared" si="25"/>
        <v>-8.95488693395958</v>
      </c>
      <c r="D83">
        <f t="shared" si="30"/>
        <v>7.94921379760288</v>
      </c>
      <c r="E83">
        <f t="shared" si="31"/>
        <v>-7.94921379760288</v>
      </c>
      <c r="F83">
        <f t="shared" si="18"/>
        <v>6.9419017567234409</v>
      </c>
      <c r="G83">
        <f t="shared" si="19"/>
        <v>-6.9419017567234409</v>
      </c>
      <c r="H83">
        <f t="shared" si="22"/>
        <v>5.9321159799855563</v>
      </c>
      <c r="I83">
        <f t="shared" si="23"/>
        <v>-5.9321159799855563</v>
      </c>
      <c r="J83">
        <f t="shared" si="28"/>
        <v>4.9183330509431755</v>
      </c>
      <c r="K83">
        <f t="shared" si="29"/>
        <v>-4.9183330509431755</v>
      </c>
      <c r="L83">
        <f t="shared" si="16"/>
        <v>3.8974350539810154</v>
      </c>
      <c r="M83">
        <f t="shared" si="17"/>
        <v>-3.8974350539810154</v>
      </c>
      <c r="N83">
        <f t="shared" si="20"/>
        <v>2.8618176042508368</v>
      </c>
      <c r="O83">
        <f t="shared" si="21"/>
        <v>-2.8618176042508368</v>
      </c>
      <c r="P83">
        <f t="shared" si="26"/>
        <v>1.7860571099491751</v>
      </c>
      <c r="Q83">
        <f t="shared" si="27"/>
        <v>-1.7860571099491751</v>
      </c>
      <c r="R83">
        <f t="shared" si="32"/>
        <v>0.43588989435406728</v>
      </c>
      <c r="S83">
        <f t="shared" si="33"/>
        <v>-0.43588989435406728</v>
      </c>
      <c r="AN83" s="41" t="s">
        <v>92</v>
      </c>
      <c r="AO83" s="41">
        <v>1</v>
      </c>
      <c r="AP83" s="315"/>
      <c r="AQ83" s="315"/>
      <c r="AR83" s="328"/>
      <c r="AY83" s="41" t="s">
        <v>92</v>
      </c>
      <c r="AZ83" s="41">
        <v>1</v>
      </c>
      <c r="BA83" s="315"/>
      <c r="BB83" s="315"/>
      <c r="BC83" s="316"/>
      <c r="BJ83" s="41" t="s">
        <v>92</v>
      </c>
      <c r="BK83" s="41">
        <v>1</v>
      </c>
      <c r="BL83" s="315"/>
      <c r="BM83" s="315"/>
      <c r="BN83" s="316"/>
      <c r="BU83" s="41" t="s">
        <v>92</v>
      </c>
      <c r="BV83" s="41">
        <v>1</v>
      </c>
      <c r="BW83" s="315"/>
      <c r="BX83" s="315"/>
      <c r="BY83" s="316"/>
      <c r="CF83" s="41" t="s">
        <v>92</v>
      </c>
      <c r="CG83" s="41">
        <v>1</v>
      </c>
      <c r="CH83" s="315"/>
      <c r="CI83" s="315"/>
      <c r="CJ83" s="316"/>
      <c r="CQ83" s="41" t="s">
        <v>92</v>
      </c>
      <c r="CR83" s="41">
        <v>21</v>
      </c>
      <c r="CS83" s="315"/>
      <c r="CT83" s="315"/>
      <c r="CU83" s="316"/>
      <c r="DB83" s="41" t="s">
        <v>92</v>
      </c>
      <c r="DC83" s="41">
        <v>1</v>
      </c>
      <c r="DD83" s="315"/>
      <c r="DE83" s="315"/>
      <c r="DF83" s="316"/>
    </row>
    <row r="84" spans="1:116" x14ac:dyDescent="0.25">
      <c r="A84">
        <v>0.8</v>
      </c>
      <c r="B84">
        <f t="shared" si="24"/>
        <v>8.964373932405989</v>
      </c>
      <c r="C84">
        <f t="shared" si="25"/>
        <v>-8.964373932405989</v>
      </c>
      <c r="D84">
        <f t="shared" si="30"/>
        <v>7.9598994968529597</v>
      </c>
      <c r="E84">
        <f t="shared" si="31"/>
        <v>-7.9598994968529597</v>
      </c>
      <c r="F84">
        <f t="shared" si="18"/>
        <v>6.9541354602854843</v>
      </c>
      <c r="G84">
        <f t="shared" si="19"/>
        <v>-6.9541354602854843</v>
      </c>
      <c r="H84">
        <f t="shared" si="22"/>
        <v>5.9464274989274024</v>
      </c>
      <c r="I84">
        <f t="shared" si="23"/>
        <v>-5.9464274989274024</v>
      </c>
      <c r="J84">
        <f t="shared" si="28"/>
        <v>4.935585071701226</v>
      </c>
      <c r="K84">
        <f t="shared" si="29"/>
        <v>-4.935585071701226</v>
      </c>
      <c r="L84">
        <f t="shared" ref="L84:L115" si="34">+SQRT(16-A84^2)</f>
        <v>3.9191835884530848</v>
      </c>
      <c r="M84">
        <f t="shared" ref="M84:M115" si="35">-L84</f>
        <v>-3.9191835884530848</v>
      </c>
      <c r="N84">
        <f t="shared" si="20"/>
        <v>2.8913664589601922</v>
      </c>
      <c r="O84">
        <f t="shared" si="21"/>
        <v>-2.8913664589601922</v>
      </c>
      <c r="P84">
        <f t="shared" si="26"/>
        <v>1.833030277982336</v>
      </c>
      <c r="Q84">
        <f t="shared" si="27"/>
        <v>-1.833030277982336</v>
      </c>
      <c r="R84">
        <f t="shared" si="32"/>
        <v>0.59999999999999987</v>
      </c>
      <c r="S84">
        <f t="shared" si="33"/>
        <v>-0.59999999999999987</v>
      </c>
      <c r="V84" s="319"/>
      <c r="Z84" s="319"/>
      <c r="AN84" s="41" t="s">
        <v>91</v>
      </c>
      <c r="AO84" s="41">
        <v>2</v>
      </c>
      <c r="AP84" s="315"/>
      <c r="AQ84" s="315"/>
      <c r="AR84" s="328"/>
      <c r="AY84" s="41" t="s">
        <v>91</v>
      </c>
      <c r="AZ84" s="41">
        <v>3</v>
      </c>
      <c r="BA84" s="315"/>
      <c r="BB84" s="315"/>
      <c r="BC84" s="316"/>
      <c r="BJ84" s="41" t="s">
        <v>91</v>
      </c>
      <c r="BK84" s="41">
        <v>4</v>
      </c>
      <c r="BL84" s="315"/>
      <c r="BM84" s="315"/>
      <c r="BN84" s="316"/>
      <c r="BU84" s="41" t="s">
        <v>91</v>
      </c>
      <c r="BV84" s="41">
        <v>5</v>
      </c>
      <c r="BW84" s="315"/>
      <c r="BX84" s="315"/>
      <c r="BY84" s="316"/>
      <c r="CF84" s="41" t="s">
        <v>91</v>
      </c>
      <c r="CG84" s="41">
        <v>6</v>
      </c>
      <c r="CH84" s="315"/>
      <c r="CI84" s="315"/>
      <c r="CJ84" s="316"/>
      <c r="CQ84" s="41" t="s">
        <v>91</v>
      </c>
      <c r="CR84" s="41">
        <v>6</v>
      </c>
      <c r="CS84" s="315"/>
      <c r="CT84" s="315"/>
      <c r="CU84" s="316"/>
      <c r="DB84" s="41" t="s">
        <v>91</v>
      </c>
      <c r="DC84" s="41">
        <v>1</v>
      </c>
      <c r="DD84" s="315"/>
      <c r="DE84" s="315"/>
      <c r="DF84" s="316"/>
    </row>
    <row r="85" spans="1:116" x14ac:dyDescent="0.25">
      <c r="A85">
        <v>0.7</v>
      </c>
      <c r="B85">
        <f t="shared" si="24"/>
        <v>8.9727364833700545</v>
      </c>
      <c r="C85">
        <f t="shared" si="25"/>
        <v>-8.9727364833700545</v>
      </c>
      <c r="D85">
        <f t="shared" si="30"/>
        <v>7.9693161563587118</v>
      </c>
      <c r="E85">
        <f t="shared" si="31"/>
        <v>-7.9693161563587118</v>
      </c>
      <c r="F85">
        <f t="shared" si="18"/>
        <v>6.9649120597463394</v>
      </c>
      <c r="G85">
        <f t="shared" si="19"/>
        <v>-6.9649120597463394</v>
      </c>
      <c r="H85">
        <f t="shared" si="22"/>
        <v>5.9590267661758327</v>
      </c>
      <c r="I85">
        <f t="shared" si="23"/>
        <v>-5.9590267661758327</v>
      </c>
      <c r="J85">
        <f t="shared" si="28"/>
        <v>4.9507575177946253</v>
      </c>
      <c r="K85">
        <f t="shared" si="29"/>
        <v>-4.9507575177946253</v>
      </c>
      <c r="L85">
        <f t="shared" si="34"/>
        <v>3.9382737335030433</v>
      </c>
      <c r="M85">
        <f t="shared" si="35"/>
        <v>-3.9382737335030433</v>
      </c>
      <c r="N85">
        <f t="shared" si="20"/>
        <v>2.9171904291629644</v>
      </c>
      <c r="O85">
        <f t="shared" si="21"/>
        <v>-2.9171904291629644</v>
      </c>
      <c r="P85">
        <f t="shared" si="26"/>
        <v>1.8734993995195195</v>
      </c>
      <c r="Q85">
        <f t="shared" si="27"/>
        <v>-1.8734993995195195</v>
      </c>
      <c r="R85">
        <f t="shared" si="32"/>
        <v>0.71414284285428498</v>
      </c>
      <c r="S85">
        <f t="shared" si="33"/>
        <v>-0.71414284285428498</v>
      </c>
      <c r="U85" s="7" t="s">
        <v>89</v>
      </c>
      <c r="V85" s="319"/>
      <c r="W85" s="7" t="s">
        <v>42</v>
      </c>
      <c r="X85" s="7" t="s">
        <v>43</v>
      </c>
      <c r="Y85" s="7" t="s">
        <v>89</v>
      </c>
      <c r="Z85" s="319"/>
      <c r="AA85" s="7" t="s">
        <v>42</v>
      </c>
      <c r="AB85" s="7" t="s">
        <v>43</v>
      </c>
      <c r="AP85" s="32">
        <f>+IF(AO84=$AI$63,AO83,IF(AO84=$AJ$63,$AI$64+AO83,IF(AO84=$AK$63,$AI$64+$AJ$64+AO83,IF(AO84=$AL$63,$AI$64+$AJ$64+$AK$64+AO83,IF(AO84=$AM$63,$AI$64+$AJ$64+$AK$64+$AL$64+AO83,IF(AO84=$AN$63,$AI$64+$AJ$64+$AK$64+$AL$64+$AM$64+AO83,IF(AO84=$AO$63,$AI$64+$AJ$64+$AK$64+$AL$64+$AM$64+$AN$64+AO83,IF(AO84=$AP$63,$AI$64+$AJ$64+$AK$64+$AL$64+$AM$64+$AN$64+$AO$64+AO83,IF(AO84=$AQ$63,$AI$64+$AJ$64+$AK$64+$AL$64+$AM$64+$AN$64+$AO$64+$AP$64+AO83,IF(AO84=$AR$63,$AI$64+$AJ$64+$AK$64+$AL$64+$AM$64+$AN$64+$AO$64+$AP$64+$AQ$64+AO83,IF(AO84=$AS$63,$AI$64+$AJ$64+$AK$64+$AL$64+$AM$64+$AN$64+$AO$64+$AP$64+$AQ$64+$AR$64+AO83,IF(AO84=$AT$63,$AI$64+$AJ$64+$AK$64+$AL$64+$AM$64+$AN$64+$AO$64+$AP$64+$AQ$64+$AR$64+$AS$64+AO83,"error"))))))))))))</f>
        <v>32</v>
      </c>
      <c r="AQ85" s="38">
        <f>23.45*SIN(RADIANS(360*((284+AP85)/365)))</f>
        <v>-17.516495456484215</v>
      </c>
      <c r="AR85" s="41">
        <f>+IF('Control Solar 1er Sem'!$H$4&gt;89.9,89.9,IF('Control Solar 1er Sem'!$H$4&lt;-89.9,-89.9,'Control Solar 1er Sem'!$H$4))</f>
        <v>29.08</v>
      </c>
      <c r="BA85" s="32">
        <f>+IF(AZ84=$AI$63,AZ83,IF(AZ84=$AJ$63,$AI$64+AZ83,IF(AZ84=$AK$63,$AI$64+$AJ$64+AZ83,IF(AZ84=$AL$63,$AI$64+$AJ$64+$AK$64+AZ83,IF(AZ84=$AM$63,$AI$64+$AJ$64+$AK$64+$AL$64+AZ83,IF(AZ84=$AN$63,$AI$64+$AJ$64+$AK$64+$AL$64+$AM$64+AZ83,IF(AZ84=$AO$63,$AI$64+$AJ$64+$AK$64+$AL$64+$AM$64+$AN$64+AZ83,IF(AZ84=$AP$63,$AI$64+$AJ$64+$AK$64+$AL$64+$AM$64+$AN$64+$AO$64+AZ83,IF(AZ84=$AQ$63,$AI$64+$AJ$64+$AK$64+$AL$64+$AM$64+$AN$64+$AO$64+$AP$64+AZ83,IF(AZ84=$AR$63,$AI$64+$AJ$64+$AK$64+$AL$64+$AM$64+$AN$64+$AO$64+$AP$64+$AQ$64+AZ83,IF(AZ84=$AS$63,$AI$64+$AJ$64+$AK$64+$AL$64+$AM$64+$AN$64+$AO$64+$AP$64+$AQ$64+$AR$64+AZ83,IF(AZ84=$AT$63,$AI$64+$AJ$64+$AK$64+$AL$64+$AM$64+$AN$64+$AO$64+$AP$64+$AQ$64+$AR$64+$AS$64+AZ83,"error"))))))))))))</f>
        <v>60</v>
      </c>
      <c r="BB85" s="38">
        <f>23.45*SIN(RADIANS(360*((284+BA85)/365)))</f>
        <v>-8.2937050650359065</v>
      </c>
      <c r="BC85" s="41">
        <f>+IF('Control Solar 1er Sem'!$H$4&gt;89.9,89.9,IF('Control Solar 1er Sem'!$H$4&lt;-89.9,-89.9,'Control Solar 1er Sem'!$H$4))</f>
        <v>29.08</v>
      </c>
      <c r="BL85" s="32">
        <f>+IF(BK84=$AI$63,BK83,IF(BK84=$AJ$63,$AI$64+BK83,IF(BK84=$AK$63,$AI$64+$AJ$64+BK83,IF(BK84=$AL$63,$AI$64+$AJ$64+$AK$64+BK83,IF(BK84=$AM$63,$AI$64+$AJ$64+$AK$64+$AL$64+BK83,IF(BK84=$AN$63,$AI$64+$AJ$64+$AK$64+$AL$64+$AM$64+BK83,IF(BK84=$AO$63,$AI$64+$AJ$64+$AK$64+$AL$64+$AM$64+$AN$64+BK83,IF(BK84=$AP$63,$AI$64+$AJ$64+$AK$64+$AL$64+$AM$64+$AN$64+$AO$64+BK83,IF(BK84=$AQ$63,$AI$64+$AJ$64+$AK$64+$AL$64+$AM$64+$AN$64+$AO$64+$AP$64+BK83,IF(BK84=$AR$63,$AI$64+$AJ$64+$AK$64+$AL$64+$AM$64+$AN$64+$AO$64+$AP$64+$AQ$64+BK83,IF(BK84=$AS$63,$AI$64+$AJ$64+$AK$64+$AL$64+$AM$64+$AN$64+$AO$64+$AP$64+$AQ$64+$AR$64+BK83,IF(BK84=$AT$63,$AI$64+$AJ$64+$AK$64+$AL$64+$AM$64+$AN$64+$AO$64+$AP$64+$AQ$64+$AR$64+$AS$64+BK83,"error"))))))))))))</f>
        <v>91</v>
      </c>
      <c r="BM85" s="38">
        <f>23.45*SIN(RADIANS(360*((284+BL85)/365)))</f>
        <v>4.0168242310556641</v>
      </c>
      <c r="BN85" s="41">
        <f>+IF('Control Solar 1er Sem'!$H$4&gt;89.9,89.9,IF('Control Solar 1er Sem'!$H$4&lt;-89.9,-89.9,'Control Solar 1er Sem'!$H$4))</f>
        <v>29.08</v>
      </c>
      <c r="BW85" s="32">
        <f>+IF(BV84=$AI$63,BV83,IF(BV84=$AJ$63,$AI$64+BV83,IF(BV84=$AK$63,$AI$64+$AJ$64+BV83,IF(BV84=$AL$63,$AI$64+$AJ$64+$AK$64+BV83,IF(BV84=$AM$63,$AI$64+$AJ$64+$AK$64+$AL$64+BV83,IF(BV84=$AN$63,$AI$64+$AJ$64+$AK$64+$AL$64+$AM$64+BV83,IF(BV84=$AO$63,$AI$64+$AJ$64+$AK$64+$AL$64+$AM$64+$AN$64+BV83,IF(BV84=$AP$63,$AI$64+$AJ$64+$AK$64+$AL$64+$AM$64+$AN$64+$AO$64+BV83,IF(BV84=$AQ$63,$AI$64+$AJ$64+$AK$64+$AL$64+$AM$64+$AN$64+$AO$64+$AP$64+BV83,IF(BV84=$AR$63,$AI$64+$AJ$64+$AK$64+$AL$64+$AM$64+$AN$64+$AO$64+$AP$64+$AQ$64+BV83,IF(BV84=$AS$63,$AI$64+$AJ$64+$AK$64+$AL$64+$AM$64+$AN$64+$AO$64+$AP$64+$AQ$64+$AR$64+BV83,IF(BV84=$AT$63,$AI$64+$AJ$64+$AK$64+$AL$64+$AM$64+$AN$64+$AO$64+$AP$64+$AQ$64+$AR$64+$AS$64+BV83,"error"))))))))))))</f>
        <v>121</v>
      </c>
      <c r="BX85" s="38">
        <f>23.45*SIN(RADIANS(360*((284+BW85)/365)))</f>
        <v>14.90088745587467</v>
      </c>
      <c r="BY85" s="41">
        <f>+IF('Control Solar 1er Sem'!$H$4&gt;89.9,89.9,IF('Control Solar 1er Sem'!$H$4&lt;-89.9,-89.9,'Control Solar 1er Sem'!$H$4))</f>
        <v>29.08</v>
      </c>
      <c r="CH85" s="32">
        <f>+IF(CG84=$AI$63,CG83,IF(CG84=$AJ$63,$AI$64+CG83,IF(CG84=$AK$63,$AI$64+$AJ$64+CG83,IF(CG84=$AL$63,$AI$64+$AJ$64+$AK$64+CG83,IF(CG84=$AM$63,$AI$64+$AJ$64+$AK$64+$AL$64+CG83,IF(CG84=$AN$63,$AI$64+$AJ$64+$AK$64+$AL$64+$AM$64+CG83,IF(CG84=$AO$63,$AI$64+$AJ$64+$AK$64+$AL$64+$AM$64+$AN$64+CG83,IF(CG84=$AP$63,$AI$64+$AJ$64+$AK$64+$AL$64+$AM$64+$AN$64+$AO$64+CG83,IF(CG84=$AQ$63,$AI$64+$AJ$64+$AK$64+$AL$64+$AM$64+$AN$64+$AO$64+$AP$64+CG83,IF(CG84=$AR$63,$AI$64+$AJ$64+$AK$64+$AL$64+$AM$64+$AN$64+$AO$64+$AP$64+$AQ$64+CG83,IF(CG84=$AS$63,$AI$64+$AJ$64+$AK$64+$AL$64+$AM$64+$AN$64+$AO$64+$AP$64+$AQ$64+$AR$64+CG83,IF(CG84=$AT$63,$AI$64+$AJ$64+$AK$64+$AL$64+$AM$64+$AN$64+$AO$64+$AP$64+$AQ$64+$AR$64+$AS$64+CG83,"error"))))))))))))</f>
        <v>152</v>
      </c>
      <c r="CI85" s="38">
        <f>23.45*SIN(RADIANS(360*((284+CH85)/365)))</f>
        <v>22.039624558737447</v>
      </c>
      <c r="CJ85" s="41">
        <f>+IF('Control Solar 1er Sem'!$H$4&gt;89.9,89.9,IF('Control Solar 1er Sem'!$H$4&lt;-89.9,-89.9,'Control Solar 1er Sem'!$H$4))</f>
        <v>29.08</v>
      </c>
      <c r="CS85" s="32">
        <f>+IF(CR84=$AI$63,CR83,IF(CR84=$AJ$63,$AI$64+CR83,IF(CR84=$AK$63,$AI$64+$AJ$64+CR83,IF(CR84=$AL$63,$AI$64+$AJ$64+$AK$64+CR83,IF(CR84=$AM$63,$AI$64+$AJ$64+$AK$64+$AL$64+CR83,IF(CR84=$AN$63,$AI$64+$AJ$64+$AK$64+$AL$64+$AM$64+CR83,IF(CR84=$AO$63,$AI$64+$AJ$64+$AK$64+$AL$64+$AM$64+$AN$64+CR83,IF(CR84=$AP$63,$AI$64+$AJ$64+$AK$64+$AL$64+$AM$64+$AN$64+$AO$64+CR83,IF(CR84=$AQ$63,$AI$64+$AJ$64+$AK$64+$AL$64+$AM$64+$AN$64+$AO$64+$AP$64+CR83,IF(CR84=$AR$63,$AI$64+$AJ$64+$AK$64+$AL$64+$AM$64+$AN$64+$AO$64+$AP$64+$AQ$64+CR83,IF(CR84=$AS$63,$AI$64+$AJ$64+$AK$64+$AL$64+$AM$64+$AN$64+$AO$64+$AP$64+$AQ$64+$AR$64+CR83,IF(CR84=$AT$63,$AI$64+$AJ$64+$AK$64+$AL$64+$AM$64+$AN$64+$AO$64+$AP$64+$AQ$64+$AR$64+$AS$64+CR83,"error"))))))))))))</f>
        <v>172</v>
      </c>
      <c r="CT85" s="38">
        <f>23.45*SIN(RADIANS(360*((284+CS85)/365)))</f>
        <v>23.449782846813658</v>
      </c>
      <c r="CU85" s="41">
        <f>+IF('Control Solar 1er Sem'!$H$4&gt;89.9,89.9,IF('Control Solar 1er Sem'!$H$4&lt;-89.9,-89.9,'Control Solar 1er Sem'!$H$4))</f>
        <v>29.08</v>
      </c>
      <c r="DD85" s="32">
        <f>+IF(DC84=$AI$63,DC83,IF(DC84=$AJ$63,$AI$64+DC83,IF(DC84=$AK$63,$AI$64+$AJ$64+DC83,IF(DC84=$AL$63,$AI$64+$AJ$64+$AK$64+DC83,IF(DC84=$AM$63,$AI$64+$AJ$64+$AK$64+$AL$64+DC83,IF(DC84=$AN$63,$AI$64+$AJ$64+$AK$64+$AL$64+$AM$64+DC83,IF(DC84=$AO$63,$AI$64+$AJ$64+$AK$64+$AL$64+$AM$64+$AN$64+DC83,IF(DC84=$AP$63,$AI$64+$AJ$64+$AK$64+$AL$64+$AM$64+$AN$64+$AO$64+DC83,IF(DC84=$AQ$63,$AI$64+$AJ$64+$AK$64+$AL$64+$AM$64+$AN$64+$AO$64+$AP$64+DC83,IF(DC84=$AR$63,$AI$64+$AJ$64+$AK$64+$AL$64+$AM$64+$AN$64+$AO$64+$AP$64+$AQ$64+DC83,IF(DC84=$AS$63,$AI$64+$AJ$64+$AK$64+$AL$64+$AM$64+$AN$64+$AO$64+$AP$64+$AQ$64+$AR$64+DC83,IF(DC84=$AT$63,$AI$64+$AJ$64+$AK$64+$AL$64+$AM$64+$AN$64+$AO$64+$AP$64+$AQ$64+$AR$64+$AS$64+DC83,"error"))))))))))))</f>
        <v>1</v>
      </c>
      <c r="DE85" s="38">
        <f>23.45*SIN(RADIANS(360*((284+DD85)/365)))</f>
        <v>-23.011636727869238</v>
      </c>
      <c r="DF85" s="41">
        <f>+IF('Control Solar 1er Sem'!$H$4&gt;89.9,89.9,IF('Control Solar 1er Sem'!$H$4&lt;-89.9,-89.9,'Control Solar 1er Sem'!$H$4))</f>
        <v>29.08</v>
      </c>
    </row>
    <row r="86" spans="1:116" x14ac:dyDescent="0.25">
      <c r="A86">
        <v>0.6</v>
      </c>
      <c r="B86">
        <f t="shared" si="24"/>
        <v>8.9799777282574595</v>
      </c>
      <c r="C86">
        <f t="shared" si="25"/>
        <v>-8.9799777282574595</v>
      </c>
      <c r="D86">
        <f t="shared" si="30"/>
        <v>7.9774682700716522</v>
      </c>
      <c r="E86">
        <f t="shared" si="31"/>
        <v>-7.9774682700716522</v>
      </c>
      <c r="F86">
        <f t="shared" ref="F86:F117" si="36">+SQRT(49-A86^2)</f>
        <v>6.9742383096650773</v>
      </c>
      <c r="G86">
        <f t="shared" ref="G86:G117" si="37">-F86</f>
        <v>-6.9742383096650773</v>
      </c>
      <c r="H86">
        <f t="shared" si="22"/>
        <v>5.96992462263972</v>
      </c>
      <c r="I86">
        <f t="shared" si="23"/>
        <v>-5.96992462263972</v>
      </c>
      <c r="J86">
        <f t="shared" si="28"/>
        <v>4.963869458396343</v>
      </c>
      <c r="K86">
        <f t="shared" si="29"/>
        <v>-4.963869458396343</v>
      </c>
      <c r="L86">
        <f t="shared" si="34"/>
        <v>3.954743986657038</v>
      </c>
      <c r="M86">
        <f t="shared" si="35"/>
        <v>-3.954743986657038</v>
      </c>
      <c r="N86">
        <f t="shared" si="20"/>
        <v>2.9393876913398138</v>
      </c>
      <c r="O86">
        <f t="shared" si="21"/>
        <v>-2.9393876913398138</v>
      </c>
      <c r="P86">
        <f t="shared" si="26"/>
        <v>1.9078784028338913</v>
      </c>
      <c r="Q86">
        <f t="shared" si="27"/>
        <v>-1.9078784028338913</v>
      </c>
      <c r="R86">
        <f t="shared" si="32"/>
        <v>0.8</v>
      </c>
      <c r="S86">
        <f t="shared" si="33"/>
        <v>-0.8</v>
      </c>
      <c r="U86" s="7">
        <v>9</v>
      </c>
      <c r="V86" s="7">
        <v>0</v>
      </c>
      <c r="W86" s="7">
        <f t="shared" ref="W86:W104" si="38">+U86*COS(RADIANS(V86))</f>
        <v>9</v>
      </c>
      <c r="X86" s="7">
        <f t="shared" ref="X86:X104" si="39">+U86*SIN(RADIANS(V86))</f>
        <v>0</v>
      </c>
      <c r="Y86" s="7">
        <v>9</v>
      </c>
      <c r="Z86" s="7">
        <v>180</v>
      </c>
      <c r="AA86" s="7">
        <f t="shared" ref="AA86:AA104" si="40">+Y86*COS(RADIANS(Z86))</f>
        <v>-9</v>
      </c>
      <c r="AB86" s="7">
        <f t="shared" ref="AB86:AB104" si="41">+Y86*SIN(RADIANS(Z86))</f>
        <v>1.102633609417758E-15</v>
      </c>
      <c r="AO86" s="317" t="s">
        <v>90</v>
      </c>
      <c r="AP86" s="315"/>
      <c r="AQ86" s="315"/>
      <c r="AR86" s="315"/>
      <c r="AT86" s="319" t="s">
        <v>89</v>
      </c>
      <c r="AU86" s="319"/>
      <c r="AV86" s="319" t="s">
        <v>42</v>
      </c>
      <c r="AW86" s="319" t="s">
        <v>43</v>
      </c>
      <c r="AZ86" s="317" t="s">
        <v>90</v>
      </c>
      <c r="BA86" s="315"/>
      <c r="BB86" s="315"/>
      <c r="BC86" s="315"/>
      <c r="BE86" s="319" t="s">
        <v>89</v>
      </c>
      <c r="BF86" s="319"/>
      <c r="BG86" s="319" t="s">
        <v>42</v>
      </c>
      <c r="BH86" s="319" t="s">
        <v>43</v>
      </c>
      <c r="BK86" s="317" t="s">
        <v>90</v>
      </c>
      <c r="BL86" s="315"/>
      <c r="BM86" s="315"/>
      <c r="BN86" s="315"/>
      <c r="BP86" s="319" t="s">
        <v>89</v>
      </c>
      <c r="BQ86" s="319"/>
      <c r="BR86" s="319" t="s">
        <v>42</v>
      </c>
      <c r="BS86" s="319" t="s">
        <v>43</v>
      </c>
      <c r="BV86" s="317" t="s">
        <v>90</v>
      </c>
      <c r="BW86" s="315"/>
      <c r="BX86" s="315"/>
      <c r="BY86" s="315"/>
      <c r="CA86" s="319" t="s">
        <v>89</v>
      </c>
      <c r="CB86" s="319"/>
      <c r="CC86" s="319" t="s">
        <v>42</v>
      </c>
      <c r="CD86" s="319" t="s">
        <v>43</v>
      </c>
      <c r="CG86" s="317" t="s">
        <v>90</v>
      </c>
      <c r="CH86" s="315"/>
      <c r="CI86" s="315"/>
      <c r="CJ86" s="315"/>
      <c r="CL86" s="319" t="s">
        <v>89</v>
      </c>
      <c r="CM86" s="319"/>
      <c r="CN86" s="319" t="s">
        <v>42</v>
      </c>
      <c r="CO86" s="319" t="s">
        <v>43</v>
      </c>
      <c r="CR86" s="317" t="s">
        <v>90</v>
      </c>
      <c r="CS86" s="315"/>
      <c r="CT86" s="315"/>
      <c r="CU86" s="315"/>
      <c r="CW86" s="319" t="s">
        <v>89</v>
      </c>
      <c r="CX86" s="319"/>
      <c r="CY86" s="319" t="s">
        <v>42</v>
      </c>
      <c r="CZ86" s="319" t="s">
        <v>43</v>
      </c>
      <c r="DC86" s="317" t="s">
        <v>90</v>
      </c>
      <c r="DD86" s="315"/>
      <c r="DE86" s="315"/>
      <c r="DF86" s="315"/>
      <c r="DH86" s="319" t="s">
        <v>89</v>
      </c>
      <c r="DI86" s="319"/>
      <c r="DJ86" s="319" t="s">
        <v>42</v>
      </c>
      <c r="DK86" s="319" t="s">
        <v>43</v>
      </c>
    </row>
    <row r="87" spans="1:116" x14ac:dyDescent="0.25">
      <c r="A87">
        <v>0.5</v>
      </c>
      <c r="B87">
        <f t="shared" si="24"/>
        <v>8.9861003778057142</v>
      </c>
      <c r="C87">
        <f t="shared" si="25"/>
        <v>-8.9861003778057142</v>
      </c>
      <c r="D87">
        <f t="shared" si="30"/>
        <v>7.9843597113356557</v>
      </c>
      <c r="E87">
        <f t="shared" si="31"/>
        <v>-7.9843597113356557</v>
      </c>
      <c r="F87">
        <f t="shared" si="36"/>
        <v>6.9821200218844703</v>
      </c>
      <c r="G87">
        <f t="shared" si="37"/>
        <v>-6.9821200218844703</v>
      </c>
      <c r="H87">
        <f t="shared" si="22"/>
        <v>5.9791303715506992</v>
      </c>
      <c r="I87">
        <f t="shared" si="23"/>
        <v>-5.9791303715506992</v>
      </c>
      <c r="J87">
        <f t="shared" si="28"/>
        <v>4.9749371855330997</v>
      </c>
      <c r="K87">
        <f t="shared" si="29"/>
        <v>-4.9749371855330997</v>
      </c>
      <c r="L87">
        <f t="shared" si="34"/>
        <v>3.9686269665968861</v>
      </c>
      <c r="M87">
        <f t="shared" si="35"/>
        <v>-3.9686269665968861</v>
      </c>
      <c r="N87">
        <f t="shared" si="20"/>
        <v>2.9580398915498081</v>
      </c>
      <c r="O87">
        <f t="shared" si="21"/>
        <v>-2.9580398915498081</v>
      </c>
      <c r="P87">
        <f t="shared" si="26"/>
        <v>1.9364916731037085</v>
      </c>
      <c r="Q87">
        <f t="shared" si="27"/>
        <v>-1.9364916731037085</v>
      </c>
      <c r="R87">
        <f t="shared" si="32"/>
        <v>0.8660254037844386</v>
      </c>
      <c r="S87">
        <f t="shared" si="33"/>
        <v>-0.8660254037844386</v>
      </c>
      <c r="U87" s="7">
        <v>9</v>
      </c>
      <c r="V87" s="7">
        <v>10</v>
      </c>
      <c r="W87" s="7">
        <f t="shared" si="38"/>
        <v>8.8632697771098723</v>
      </c>
      <c r="X87" s="7">
        <f t="shared" si="39"/>
        <v>1.562833599002373</v>
      </c>
      <c r="Y87" s="7">
        <v>9</v>
      </c>
      <c r="Z87" s="7">
        <v>190</v>
      </c>
      <c r="AA87" s="7">
        <f t="shared" si="40"/>
        <v>-8.8632697771098723</v>
      </c>
      <c r="AB87" s="7">
        <f t="shared" si="41"/>
        <v>-1.5628335990023743</v>
      </c>
      <c r="AO87" s="318"/>
      <c r="AP87" s="315"/>
      <c r="AQ87" s="315"/>
      <c r="AR87" s="315"/>
      <c r="AT87" s="319"/>
      <c r="AU87" s="319"/>
      <c r="AV87" s="319"/>
      <c r="AW87" s="319"/>
      <c r="AZ87" s="318"/>
      <c r="BA87" s="315"/>
      <c r="BB87" s="315"/>
      <c r="BC87" s="315"/>
      <c r="BE87" s="319"/>
      <c r="BF87" s="319"/>
      <c r="BG87" s="319"/>
      <c r="BH87" s="319"/>
      <c r="BK87" s="318"/>
      <c r="BL87" s="315"/>
      <c r="BM87" s="315"/>
      <c r="BN87" s="315"/>
      <c r="BP87" s="319"/>
      <c r="BQ87" s="319"/>
      <c r="BR87" s="319"/>
      <c r="BS87" s="319"/>
      <c r="BV87" s="318"/>
      <c r="BW87" s="315"/>
      <c r="BX87" s="315"/>
      <c r="BY87" s="315"/>
      <c r="CA87" s="319"/>
      <c r="CB87" s="319"/>
      <c r="CC87" s="319"/>
      <c r="CD87" s="319"/>
      <c r="CG87" s="318"/>
      <c r="CH87" s="315"/>
      <c r="CI87" s="315"/>
      <c r="CJ87" s="315"/>
      <c r="CL87" s="319"/>
      <c r="CM87" s="319"/>
      <c r="CN87" s="319"/>
      <c r="CO87" s="319"/>
      <c r="CR87" s="318"/>
      <c r="CS87" s="315"/>
      <c r="CT87" s="315"/>
      <c r="CU87" s="315"/>
      <c r="CW87" s="319"/>
      <c r="CX87" s="319"/>
      <c r="CY87" s="319"/>
      <c r="CZ87" s="319"/>
      <c r="DC87" s="318"/>
      <c r="DD87" s="315"/>
      <c r="DE87" s="315"/>
      <c r="DF87" s="315"/>
      <c r="DH87" s="319"/>
      <c r="DI87" s="319"/>
      <c r="DJ87" s="319"/>
      <c r="DK87" s="319"/>
    </row>
    <row r="88" spans="1:116" x14ac:dyDescent="0.25">
      <c r="A88">
        <v>0.4</v>
      </c>
      <c r="B88">
        <f t="shared" si="24"/>
        <v>8.9911067171956098</v>
      </c>
      <c r="C88">
        <f t="shared" si="25"/>
        <v>-8.9911067171956098</v>
      </c>
      <c r="D88">
        <f t="shared" si="30"/>
        <v>7.9899937421752716</v>
      </c>
      <c r="E88">
        <f t="shared" si="31"/>
        <v>-7.9899937421752716</v>
      </c>
      <c r="F88">
        <f t="shared" si="36"/>
        <v>6.9885620838624591</v>
      </c>
      <c r="G88">
        <f t="shared" si="37"/>
        <v>-6.9885620838624591</v>
      </c>
      <c r="H88">
        <f t="shared" si="22"/>
        <v>5.9866518188383067</v>
      </c>
      <c r="I88">
        <f t="shared" si="23"/>
        <v>-5.9866518188383067</v>
      </c>
      <c r="J88">
        <f t="shared" si="28"/>
        <v>4.9839743177508451</v>
      </c>
      <c r="K88">
        <f t="shared" si="29"/>
        <v>-4.9839743177508451</v>
      </c>
      <c r="L88">
        <f t="shared" si="34"/>
        <v>3.9799497484264799</v>
      </c>
      <c r="M88">
        <f t="shared" si="35"/>
        <v>-3.9799497484264799</v>
      </c>
      <c r="N88">
        <f t="shared" si="20"/>
        <v>2.9732137494637012</v>
      </c>
      <c r="O88">
        <f t="shared" si="21"/>
        <v>-2.9732137494637012</v>
      </c>
      <c r="P88">
        <f t="shared" si="26"/>
        <v>1.9595917942265424</v>
      </c>
      <c r="Q88">
        <f t="shared" si="27"/>
        <v>-1.9595917942265424</v>
      </c>
      <c r="R88">
        <f t="shared" si="32"/>
        <v>0.91651513899116799</v>
      </c>
      <c r="S88">
        <f t="shared" si="33"/>
        <v>-0.91651513899116799</v>
      </c>
      <c r="U88" s="7">
        <v>9</v>
      </c>
      <c r="V88" s="7">
        <v>20</v>
      </c>
      <c r="W88" s="7">
        <f t="shared" si="38"/>
        <v>8.4572335870731763</v>
      </c>
      <c r="X88" s="7">
        <f t="shared" si="39"/>
        <v>3.0781812899310186</v>
      </c>
      <c r="Y88" s="7">
        <v>9</v>
      </c>
      <c r="Z88" s="7">
        <v>200</v>
      </c>
      <c r="AA88" s="7">
        <f t="shared" si="40"/>
        <v>-8.4572335870731763</v>
      </c>
      <c r="AB88" s="7">
        <f t="shared" si="41"/>
        <v>-3.0781812899310177</v>
      </c>
      <c r="AO88" s="39">
        <v>4.1666666666666664E-2</v>
      </c>
      <c r="AP88" s="38">
        <v>165</v>
      </c>
      <c r="AQ88" s="38">
        <f t="shared" ref="AQ88:AQ112" si="42">+DEGREES(ASIN(COS(RADIANS($AR$85))*COS(RADIANS($AQ$85))*COS(RADIANS(AP88))+SIN(RADIANS($AR$85))*SIN(RADIANS($AQ$85))))</f>
        <v>-72.046150944645134</v>
      </c>
      <c r="AR88" s="38">
        <f t="shared" ref="AR88:AR98" si="43">180-DEGREES(ACOS((((SIN(RADIANS(AQ88)))*SIN(RADIANS($AR$85)))-SIN(RADIANS($AQ$85)))/((COS(RADIANS(AQ88)))*COS(RADIANS($AR$85)))))</f>
        <v>53.197388177510931</v>
      </c>
      <c r="AT88">
        <f t="shared" ref="AT88:AT112" si="44">IF((9-(AQ88/10))&gt;9,9,9-(AQ88/10))</f>
        <v>9</v>
      </c>
      <c r="AU88">
        <f t="shared" ref="AU88:AU99" si="45">IF((9-(AQ88/10))&gt;9,90-(180-DEGREES(ACOS((((SIN(RADIANS(0)))*SIN(RADIANS($AR$85)))-SIN(RADIANS($AQ$85)))/((COS(RADIANS(0)))*COS(RADIANS($AR$85)))))),90-AR88)</f>
        <v>-20.144807960754491</v>
      </c>
      <c r="AV88" s="7">
        <f t="shared" ref="AV88:AV112" si="46">+AT88*COS(RADIANS(AU88))</f>
        <v>8.4494268639521586</v>
      </c>
      <c r="AW88" s="7">
        <f t="shared" ref="AW88:AW112" si="47">+AT88*SIN(RADIANS(AU88))</f>
        <v>-3.0995460426848935</v>
      </c>
      <c r="AX88" s="39">
        <v>4.1666666666666699E-2</v>
      </c>
      <c r="AZ88" s="39">
        <v>4.1666666666666699E-2</v>
      </c>
      <c r="BA88" s="38">
        <v>165</v>
      </c>
      <c r="BB88" s="38">
        <f t="shared" ref="BB88:BB112" si="48">+DEGREES(ASIN(COS(RADIANS($BC$85))*COS(RADIANS($BB$85))*COS(RADIANS(BA88))+SIN(RADIANS($BC$85))*SIN(RADIANS($BB$85))))</f>
        <v>-64.883038153692766</v>
      </c>
      <c r="BC88" s="38">
        <f t="shared" ref="BC88:BC98" si="49">180-DEGREES(ACOS((((SIN(RADIANS(BB88)))*SIN(RADIANS($BC$85)))-SIN(RADIANS($BB$85)))/((COS(RADIANS(BB88)))*COS(RADIANS($BC$85)))))</f>
        <v>37.111855036527061</v>
      </c>
      <c r="BE88">
        <f t="shared" ref="BE88:BE112" si="50">IF((9-(BB88/10))&gt;9,9,9-(BB88/10))</f>
        <v>9</v>
      </c>
      <c r="BF88">
        <f t="shared" ref="BF88:BF99" si="51">IF((9-(BB88/10))&gt;9,90-(180-DEGREES(ACOS((((SIN(RADIANS(0)))*SIN(RADIANS($BC$85)))-SIN(RADIANS($BB$85)))/((COS(RADIANS(0)))*COS(RADIANS($BC$85)))))),90-BC88)</f>
        <v>-9.5003629282162763</v>
      </c>
      <c r="BG88" s="7">
        <f t="shared" ref="BG88:BG112" si="52">+BE88*COS(RADIANS(BF88))</f>
        <v>8.87656100451896</v>
      </c>
      <c r="BH88" s="7">
        <f t="shared" ref="BH88:BH112" si="53">+BE88*SIN(RADIANS(BF88))</f>
        <v>-1.4854846795081202</v>
      </c>
      <c r="BI88" s="39">
        <v>4.1666666666666699E-2</v>
      </c>
      <c r="BK88" s="39">
        <v>4.1666666666666699E-2</v>
      </c>
      <c r="BL88" s="38">
        <v>165</v>
      </c>
      <c r="BM88" s="38">
        <f t="shared" ref="BM88:BM112" si="54">+DEGREES(ASIN(COS(RADIANS($BN$85))*COS(RADIANS($BM$85))*COS(RADIANS(BL88))+SIN(RADIANS($BN$85))*SIN(RADIANS($BM$85))))</f>
        <v>-53.905193379238668</v>
      </c>
      <c r="BN88" s="38">
        <f t="shared" ref="BN88:BN98" si="55">180-DEGREES(ACOS((((SIN(RADIANS(BM88)))*SIN(RADIANS($BN$85)))-SIN(RADIANS($BM$85)))/((COS(RADIANS(BM88)))*COS(RADIANS($BN$85)))))</f>
        <v>25.992283534126898</v>
      </c>
      <c r="BP88">
        <f t="shared" ref="BP88:BP112" si="56">IF((9-(BM88/10))&gt;9,9,9-(BM88/10))</f>
        <v>9</v>
      </c>
      <c r="BQ88">
        <f t="shared" ref="BQ88:BQ99" si="57">IF((9-(BM88/10))&gt;9,90-(180-DEGREES(ACOS((((SIN(RADIANS(0)))*SIN(RADIANS($BN$85)))-SIN(RADIANS($BM$85)))/((COS(RADIANS(0)))*COS(RADIANS($BN$85)))))),90-BN88)</f>
        <v>4.5973816683220292</v>
      </c>
      <c r="BR88" s="7">
        <f t="shared" ref="BR88:BR93" si="58">IF(BP88&gt;9,BR89,BP88*COS(RADIANS(BQ88)))</f>
        <v>8.9710428814800558</v>
      </c>
      <c r="BS88" s="7">
        <f t="shared" ref="BS88:BS93" si="59">IF(BP88&gt;9,BS89,BP88*SIN(RADIANS(BQ88)))</f>
        <v>0.72138035643204523</v>
      </c>
      <c r="BT88" s="39">
        <v>4.1666666666666699E-2</v>
      </c>
      <c r="BV88" s="39">
        <v>4.1666666666666699E-2</v>
      </c>
      <c r="BW88" s="38">
        <v>165</v>
      </c>
      <c r="BX88" s="38">
        <f t="shared" ref="BX88:BX112" si="60">+DEGREES(ASIN(COS(RADIANS($BY$85))*COS(RADIANS($BX$85))*COS(RADIANS(BW88))+SIN(RADIANS($BY$85))*SIN(RADIANS($BX$85))))</f>
        <v>-43.692996391273049</v>
      </c>
      <c r="BY88" s="38">
        <f t="shared" ref="BY88:BY98" si="61">180-DEGREES(ACOS((((SIN(RADIANS(BX88)))*SIN(RADIANS($BY$85)))-SIN(RADIANS($BX$85)))/((COS(RADIANS(BX88)))*COS(RADIANS($BY$85)))))</f>
        <v>20.237754688613791</v>
      </c>
      <c r="CA88">
        <f t="shared" ref="CA88:CA112" si="62">IF((9-(BX88/10))&gt;9,9,9-(BX88/10))</f>
        <v>9</v>
      </c>
      <c r="CB88">
        <f t="shared" ref="CB88:CB99" si="63">IF((9-(BX88/10))&gt;9,90-(180-DEGREES(ACOS((((SIN(RADIANS(0)))*SIN(RADIANS($BY$85)))-SIN(RADIANS($BX$85)))/((COS(RADIANS(0)))*COS(RADIANS($BY$85)))))),90-BY88)</f>
        <v>17.111907421504654</v>
      </c>
      <c r="CC88" s="7">
        <f t="shared" ref="CC88:CC112" si="64">+CA88*COS(RADIANS(CB88))</f>
        <v>8.601586970459481</v>
      </c>
      <c r="CD88" s="7">
        <f t="shared" ref="CD88:CD112" si="65">+CA88*SIN(RADIANS(CB88))</f>
        <v>2.6481505979875286</v>
      </c>
      <c r="CE88" s="39">
        <v>4.1666666666666699E-2</v>
      </c>
      <c r="CG88" s="39">
        <v>4.1666666666666699E-2</v>
      </c>
      <c r="CH88" s="38">
        <v>165</v>
      </c>
      <c r="CI88" s="38">
        <f t="shared" ref="CI88:CI112" si="66">+DEGREES(ASIN(COS(RADIANS($CJ$85))*COS(RADIANS($CI$85))*COS(RADIANS(CH88))+SIN(RADIANS($CJ$85))*SIN(RADIANS($CI$85))))</f>
        <v>-36.876609818260775</v>
      </c>
      <c r="CJ88" s="38">
        <f t="shared" ref="CJ88:CJ98" si="67">180-DEGREES(ACOS((((SIN(RADIANS(CI88)))*SIN(RADIANS($CJ$85)))-SIN(RADIANS($CI$85)))/((COS(RADIANS(CI88)))*COS(RADIANS($CJ$85)))))</f>
        <v>17.452108433901259</v>
      </c>
      <c r="CL88">
        <f t="shared" ref="CL88:CL112" si="68">IF((9-(CI88/10))&gt;9,9,9-(CI88/10))</f>
        <v>9</v>
      </c>
      <c r="CM88">
        <f t="shared" ref="CM88:CM99" si="69">IF((9-(CI88/10))&gt;9,90-(180-DEGREES(ACOS((((SIN(RADIANS(0)))*SIN(RADIANS($CJ$85)))-SIN(RADIANS($CI$85)))/((COS(RADIANS(0)))*COS(RADIANS($CJ$85)))))),90-CJ88)</f>
        <v>25.427823287350506</v>
      </c>
      <c r="CN88" s="7">
        <f t="shared" ref="CN88:CN112" si="70">+CL88*COS(RADIANS(CM88))</f>
        <v>8.1281420283668258</v>
      </c>
      <c r="CO88" s="7">
        <f t="shared" ref="CO88:CO112" si="71">+CL88*SIN(RADIANS(CM88))</f>
        <v>3.8643637466854508</v>
      </c>
      <c r="CP88" s="39">
        <v>4.1666666666666699E-2</v>
      </c>
      <c r="CR88" s="39">
        <v>4.1666666666666699E-2</v>
      </c>
      <c r="CS88" s="38">
        <v>165</v>
      </c>
      <c r="CT88" s="38">
        <f t="shared" ref="CT88:CT112" si="72">+DEGREES(ASIN(COS(RADIANS($CU$85))*COS(RADIANS($CT$85))*COS(RADIANS(CS88))+SIN(RADIANS($CU$85))*SIN(RADIANS($CT$85))))</f>
        <v>-35.522989333110012</v>
      </c>
      <c r="CU88" s="38">
        <f t="shared" ref="CU88:CU98" si="73">180-DEGREES(ACOS((((SIN(RADIANS(CT88)))*SIN(RADIANS($CU$85)))-SIN(RADIANS($CT$85)))/((COS(RADIANS(CT88)))*COS(RADIANS($CU$85)))))</f>
        <v>16.962222906987591</v>
      </c>
      <c r="CW88">
        <f t="shared" ref="CW88:CW112" si="74">IF((9-(CT88/10))&gt;9,9,9-(CT88/10))</f>
        <v>9</v>
      </c>
      <c r="CX88">
        <f t="shared" ref="CX88:CX99" si="75">IF((9-(CT88/10))&gt;9,90-(180-DEGREES(ACOS((((SIN(RADIANS(0)))*SIN(RADIANS($CU$85)))-SIN(RADIANS($CT$85)))/((COS(RADIANS(0)))*COS(RADIANS($CU$85)))))),90-CU88)</f>
        <v>27.0871391084072</v>
      </c>
      <c r="CY88" s="7">
        <f t="shared" ref="CY88:CY112" si="76">+CW88*COS(RADIANS(CX88))</f>
        <v>8.0128353242451471</v>
      </c>
      <c r="CZ88" s="7">
        <f t="shared" ref="CZ88:CZ112" si="77">+CW88*SIN(RADIANS(CX88))</f>
        <v>4.0981056680531269</v>
      </c>
      <c r="DA88" s="39">
        <v>4.1666666666666699E-2</v>
      </c>
      <c r="DC88" s="39">
        <v>4.1666666666666699E-2</v>
      </c>
      <c r="DD88" s="38">
        <v>165</v>
      </c>
      <c r="DE88" s="38">
        <f t="shared" ref="DE88:DE112" si="78">+DEGREES(ASIN(COS(RADIANS($DF$85))*COS(RADIANS($DE$85))*COS(RADIANS(DD88))+SIN(RADIANS($DF$85))*SIN(RADIANS($DE$85))))</f>
        <v>-75.23679981258222</v>
      </c>
      <c r="DF88" s="38">
        <f t="shared" ref="DF88:DF98" si="79">180-DEGREES(ACOS((((SIN(RADIANS(DE88)))*SIN(RADIANS($DF$85)))-SIN(RADIANS($DE$85)))/((COS(RADIANS(DE88)))*COS(RADIANS($DF$85)))))</f>
        <v>69.204392711010712</v>
      </c>
      <c r="DH88">
        <f t="shared" ref="DH88:DH112" si="80">IF((9-(DE88/10))&gt;9,9,9-(DE88/10))</f>
        <v>9</v>
      </c>
      <c r="DI88">
        <f t="shared" ref="DI88:DI99" si="81">IF((9-(DE88/10))&gt;9,90-(180-DEGREES(ACOS((((SIN(RADIANS(0)))*SIN(RADIANS($DF$85)))-SIN(RADIANS($DE$85)))/((COS(RADIANS(0)))*COS(RADIANS($DF$85)))))),90-DF88)</f>
        <v>-26.570868306911436</v>
      </c>
      <c r="DJ88" s="7">
        <f t="shared" ref="DJ88:DJ112" si="82">+DH88*COS(RADIANS(DI88))</f>
        <v>8.0494360349177878</v>
      </c>
      <c r="DK88" s="7">
        <f t="shared" ref="DK88:DK112" si="83">+DH88*SIN(RADIANS(DI88))</f>
        <v>-4.0257396239407983</v>
      </c>
      <c r="DL88" s="39">
        <v>4.1666666666666699E-2</v>
      </c>
    </row>
    <row r="89" spans="1:116" x14ac:dyDescent="0.25">
      <c r="A89">
        <v>0.3</v>
      </c>
      <c r="B89">
        <f t="shared" si="24"/>
        <v>8.9949986103389694</v>
      </c>
      <c r="C89">
        <f t="shared" si="25"/>
        <v>-8.9949986103389694</v>
      </c>
      <c r="D89">
        <f t="shared" si="30"/>
        <v>7.994373021069257</v>
      </c>
      <c r="E89">
        <f t="shared" si="31"/>
        <v>-7.994373021069257</v>
      </c>
      <c r="F89">
        <f t="shared" si="36"/>
        <v>6.9935684739623447</v>
      </c>
      <c r="G89">
        <f t="shared" si="37"/>
        <v>-6.9935684739623447</v>
      </c>
      <c r="H89">
        <f t="shared" si="22"/>
        <v>5.9924953066314535</v>
      </c>
      <c r="I89">
        <f t="shared" si="23"/>
        <v>-5.9924953066314535</v>
      </c>
      <c r="J89">
        <f t="shared" si="28"/>
        <v>4.9909918853871122</v>
      </c>
      <c r="K89">
        <f t="shared" si="29"/>
        <v>-4.9909918853871122</v>
      </c>
      <c r="L89">
        <f t="shared" si="34"/>
        <v>3.9887341350358261</v>
      </c>
      <c r="M89">
        <f t="shared" si="35"/>
        <v>-3.9887341350358261</v>
      </c>
      <c r="N89">
        <f t="shared" si="20"/>
        <v>2.98496231131986</v>
      </c>
      <c r="O89">
        <f t="shared" si="21"/>
        <v>-2.98496231131986</v>
      </c>
      <c r="P89">
        <f t="shared" si="26"/>
        <v>1.977371993328519</v>
      </c>
      <c r="Q89">
        <f t="shared" si="27"/>
        <v>-1.977371993328519</v>
      </c>
      <c r="R89">
        <f t="shared" si="32"/>
        <v>0.95393920141694566</v>
      </c>
      <c r="S89">
        <f t="shared" si="33"/>
        <v>-0.95393920141694566</v>
      </c>
      <c r="U89" s="7">
        <v>9</v>
      </c>
      <c r="V89" s="7">
        <v>30</v>
      </c>
      <c r="W89" s="7">
        <f t="shared" si="38"/>
        <v>7.794228634059948</v>
      </c>
      <c r="X89" s="7">
        <f t="shared" si="39"/>
        <v>4.4999999999999991</v>
      </c>
      <c r="Y89" s="7">
        <v>9</v>
      </c>
      <c r="Z89" s="7">
        <v>210</v>
      </c>
      <c r="AA89" s="7">
        <f t="shared" si="40"/>
        <v>-7.7942286340599471</v>
      </c>
      <c r="AB89" s="7">
        <f t="shared" si="41"/>
        <v>-4.5000000000000009</v>
      </c>
      <c r="AO89" s="39">
        <v>8.3333333333333301E-2</v>
      </c>
      <c r="AP89" s="38">
        <v>150</v>
      </c>
      <c r="AQ89" s="38">
        <f t="shared" si="42"/>
        <v>-60.232400619509299</v>
      </c>
      <c r="AR89" s="38">
        <f t="shared" si="43"/>
        <v>73.818841067034114</v>
      </c>
      <c r="AT89">
        <f t="shared" si="44"/>
        <v>9</v>
      </c>
      <c r="AU89">
        <f t="shared" si="45"/>
        <v>-20.144807960754491</v>
      </c>
      <c r="AV89" s="7">
        <f t="shared" si="46"/>
        <v>8.4494268639521586</v>
      </c>
      <c r="AW89" s="7">
        <f t="shared" si="47"/>
        <v>-3.0995460426848935</v>
      </c>
      <c r="AX89" s="39">
        <v>8.3333333333333301E-2</v>
      </c>
      <c r="AZ89" s="39">
        <v>8.3333333333333301E-2</v>
      </c>
      <c r="BA89" s="38">
        <v>150</v>
      </c>
      <c r="BB89" s="38">
        <f t="shared" si="48"/>
        <v>-54.989718040976605</v>
      </c>
      <c r="BC89" s="38">
        <f t="shared" si="49"/>
        <v>59.585502367486896</v>
      </c>
      <c r="BE89">
        <f t="shared" si="50"/>
        <v>9</v>
      </c>
      <c r="BF89">
        <f t="shared" si="51"/>
        <v>-9.5003629282162763</v>
      </c>
      <c r="BG89" s="7">
        <f t="shared" si="52"/>
        <v>8.87656100451896</v>
      </c>
      <c r="BH89" s="7">
        <f t="shared" si="53"/>
        <v>-1.4854846795081202</v>
      </c>
      <c r="BI89" s="39">
        <v>8.3333333333333301E-2</v>
      </c>
      <c r="BK89" s="39">
        <v>8.3333333333333301E-2</v>
      </c>
      <c r="BL89" s="38">
        <v>150</v>
      </c>
      <c r="BM89" s="38">
        <f t="shared" si="54"/>
        <v>-46.133018433380855</v>
      </c>
      <c r="BN89" s="38">
        <f t="shared" si="55"/>
        <v>46.033218302412109</v>
      </c>
      <c r="BP89">
        <f t="shared" si="56"/>
        <v>9</v>
      </c>
      <c r="BQ89">
        <f t="shared" si="57"/>
        <v>4.5973816683220292</v>
      </c>
      <c r="BR89" s="7">
        <f t="shared" si="58"/>
        <v>8.9710428814800558</v>
      </c>
      <c r="BS89" s="7">
        <f t="shared" si="59"/>
        <v>0.72138035643204523</v>
      </c>
      <c r="BT89" s="39">
        <v>8.3333333333333301E-2</v>
      </c>
      <c r="BV89" s="39">
        <v>8.3333333333333301E-2</v>
      </c>
      <c r="BW89" s="38">
        <v>150</v>
      </c>
      <c r="BX89" s="38">
        <f t="shared" si="60"/>
        <v>-37.33129672095771</v>
      </c>
      <c r="BY89" s="38">
        <f t="shared" si="61"/>
        <v>37.421390721411996</v>
      </c>
      <c r="CA89">
        <f t="shared" si="62"/>
        <v>9</v>
      </c>
      <c r="CB89">
        <f t="shared" si="63"/>
        <v>17.111907421504654</v>
      </c>
      <c r="CC89" s="7">
        <f t="shared" si="64"/>
        <v>8.601586970459481</v>
      </c>
      <c r="CD89" s="7">
        <f t="shared" si="65"/>
        <v>2.6481505979875286</v>
      </c>
      <c r="CE89" s="39">
        <v>8.3333333333333301E-2</v>
      </c>
      <c r="CG89" s="39">
        <v>8.3333333333333301E-2</v>
      </c>
      <c r="CH89" s="38">
        <v>150</v>
      </c>
      <c r="CI89" s="38">
        <f t="shared" si="66"/>
        <v>-31.276362355278998</v>
      </c>
      <c r="CJ89" s="38">
        <f t="shared" si="67"/>
        <v>32.838198459563159</v>
      </c>
      <c r="CL89">
        <f t="shared" si="68"/>
        <v>9</v>
      </c>
      <c r="CM89">
        <f t="shared" si="69"/>
        <v>25.427823287350506</v>
      </c>
      <c r="CN89" s="7">
        <f t="shared" si="70"/>
        <v>8.1281420283668258</v>
      </c>
      <c r="CO89" s="7">
        <f t="shared" si="71"/>
        <v>3.8643637466854508</v>
      </c>
      <c r="CP89" s="39">
        <v>8.3333333333333301E-2</v>
      </c>
      <c r="CR89" s="39">
        <v>8.3333333333333301E-2</v>
      </c>
      <c r="CS89" s="38">
        <v>150</v>
      </c>
      <c r="CT89" s="38">
        <f t="shared" si="72"/>
        <v>-30.061756873161897</v>
      </c>
      <c r="CU89" s="38">
        <f t="shared" si="73"/>
        <v>32.005223707712958</v>
      </c>
      <c r="CW89">
        <f t="shared" si="74"/>
        <v>9</v>
      </c>
      <c r="CX89">
        <f t="shared" si="75"/>
        <v>27.0871391084072</v>
      </c>
      <c r="CY89" s="7">
        <f t="shared" si="76"/>
        <v>8.0128353242451471</v>
      </c>
      <c r="CZ89" s="7">
        <f t="shared" si="77"/>
        <v>4.0981056680531269</v>
      </c>
      <c r="DA89" s="39">
        <v>8.3333333333333301E-2</v>
      </c>
      <c r="DC89" s="39">
        <v>8.3333333333333301E-2</v>
      </c>
      <c r="DD89" s="38">
        <v>150</v>
      </c>
      <c r="DE89" s="38">
        <f t="shared" si="78"/>
        <v>-62.452473976782521</v>
      </c>
      <c r="DF89" s="38">
        <f t="shared" si="79"/>
        <v>84.319044517006716</v>
      </c>
      <c r="DH89">
        <f t="shared" si="80"/>
        <v>9</v>
      </c>
      <c r="DI89">
        <f t="shared" si="81"/>
        <v>-26.570868306911436</v>
      </c>
      <c r="DJ89" s="7">
        <f t="shared" si="82"/>
        <v>8.0494360349177878</v>
      </c>
      <c r="DK89" s="7">
        <f t="shared" si="83"/>
        <v>-4.0257396239407983</v>
      </c>
      <c r="DL89" s="39">
        <v>8.3333333333333301E-2</v>
      </c>
    </row>
    <row r="90" spans="1:116" x14ac:dyDescent="0.25">
      <c r="A90">
        <v>0.2</v>
      </c>
      <c r="B90">
        <f t="shared" si="24"/>
        <v>8.9977775033615934</v>
      </c>
      <c r="C90">
        <f t="shared" si="25"/>
        <v>-8.9977775033615934</v>
      </c>
      <c r="D90">
        <f t="shared" si="30"/>
        <v>7.9974996092528823</v>
      </c>
      <c r="E90">
        <f t="shared" si="31"/>
        <v>-7.9974996092528823</v>
      </c>
      <c r="F90">
        <f t="shared" si="36"/>
        <v>6.9971422738143607</v>
      </c>
      <c r="G90">
        <f t="shared" si="37"/>
        <v>-6.9971422738143607</v>
      </c>
      <c r="H90">
        <f t="shared" si="22"/>
        <v>5.9966657402259802</v>
      </c>
      <c r="I90">
        <f t="shared" si="23"/>
        <v>-5.9966657402259802</v>
      </c>
      <c r="J90">
        <f t="shared" si="28"/>
        <v>4.9959983987187186</v>
      </c>
      <c r="K90">
        <f t="shared" si="29"/>
        <v>-4.9959983987187186</v>
      </c>
      <c r="L90">
        <f t="shared" si="34"/>
        <v>3.9949968710876358</v>
      </c>
      <c r="M90">
        <f t="shared" si="35"/>
        <v>-3.9949968710876358</v>
      </c>
      <c r="N90">
        <f t="shared" si="20"/>
        <v>2.9933259094191533</v>
      </c>
      <c r="O90">
        <f t="shared" si="21"/>
        <v>-2.9933259094191533</v>
      </c>
      <c r="P90">
        <f t="shared" si="26"/>
        <v>1.9899748742132399</v>
      </c>
      <c r="Q90">
        <f t="shared" si="27"/>
        <v>-1.9899748742132399</v>
      </c>
      <c r="R90">
        <f t="shared" si="32"/>
        <v>0.9797958971132712</v>
      </c>
      <c r="S90">
        <f t="shared" si="33"/>
        <v>-0.9797958971132712</v>
      </c>
      <c r="U90" s="7">
        <v>9</v>
      </c>
      <c r="V90" s="7">
        <v>40</v>
      </c>
      <c r="W90" s="7">
        <f t="shared" si="38"/>
        <v>6.894399988070802</v>
      </c>
      <c r="X90" s="7">
        <f t="shared" si="39"/>
        <v>5.7850884871788537</v>
      </c>
      <c r="Y90" s="7">
        <v>9</v>
      </c>
      <c r="Z90" s="7">
        <v>220</v>
      </c>
      <c r="AA90" s="7">
        <f t="shared" si="40"/>
        <v>-6.894399988070802</v>
      </c>
      <c r="AB90" s="7">
        <f t="shared" si="41"/>
        <v>-5.7850884871788537</v>
      </c>
      <c r="AO90" s="39">
        <v>0.125</v>
      </c>
      <c r="AP90" s="38">
        <v>135</v>
      </c>
      <c r="AQ90" s="38">
        <f t="shared" si="42"/>
        <v>-47.358006013278754</v>
      </c>
      <c r="AR90" s="38">
        <f t="shared" si="43"/>
        <v>84.519330155836997</v>
      </c>
      <c r="AT90">
        <f t="shared" si="44"/>
        <v>9</v>
      </c>
      <c r="AU90">
        <f t="shared" si="45"/>
        <v>-20.144807960754491</v>
      </c>
      <c r="AV90" s="7">
        <f t="shared" si="46"/>
        <v>8.4494268639521586</v>
      </c>
      <c r="AW90" s="7">
        <f t="shared" si="47"/>
        <v>-3.0995460426848935</v>
      </c>
      <c r="AX90" s="39">
        <v>0.125</v>
      </c>
      <c r="AZ90" s="39">
        <v>0.125</v>
      </c>
      <c r="BA90" s="38">
        <v>135</v>
      </c>
      <c r="BB90" s="38">
        <f t="shared" si="48"/>
        <v>-42.970049900882437</v>
      </c>
      <c r="BC90" s="38">
        <f t="shared" si="49"/>
        <v>72.992972749272582</v>
      </c>
      <c r="BE90">
        <f t="shared" si="50"/>
        <v>9</v>
      </c>
      <c r="BF90">
        <f t="shared" si="51"/>
        <v>-9.5003629282162763</v>
      </c>
      <c r="BG90" s="7">
        <f t="shared" si="52"/>
        <v>8.87656100451896</v>
      </c>
      <c r="BH90" s="7">
        <f t="shared" si="53"/>
        <v>-1.4854846795081202</v>
      </c>
      <c r="BI90" s="39">
        <v>0.125</v>
      </c>
      <c r="BK90" s="39">
        <v>0.125</v>
      </c>
      <c r="BL90" s="38">
        <v>135</v>
      </c>
      <c r="BM90" s="38">
        <f t="shared" si="54"/>
        <v>-35.619953941187866</v>
      </c>
      <c r="BN90" s="38">
        <f t="shared" si="55"/>
        <v>60.195037330045565</v>
      </c>
      <c r="BP90">
        <f t="shared" si="56"/>
        <v>9</v>
      </c>
      <c r="BQ90">
        <f t="shared" si="57"/>
        <v>4.5973816683220292</v>
      </c>
      <c r="BR90" s="7">
        <f t="shared" si="58"/>
        <v>8.9710428814800558</v>
      </c>
      <c r="BS90" s="7">
        <f t="shared" si="59"/>
        <v>0.72138035643204523</v>
      </c>
      <c r="BT90" s="39">
        <v>0.125</v>
      </c>
      <c r="BV90" s="39">
        <v>0.125</v>
      </c>
      <c r="BW90" s="38">
        <v>135</v>
      </c>
      <c r="BX90" s="38">
        <f t="shared" si="60"/>
        <v>-28.177692758769616</v>
      </c>
      <c r="BY90" s="38">
        <f t="shared" si="61"/>
        <v>50.823092297341248</v>
      </c>
      <c r="CA90">
        <f t="shared" si="62"/>
        <v>9</v>
      </c>
      <c r="CB90">
        <f t="shared" si="63"/>
        <v>17.111907421504654</v>
      </c>
      <c r="CC90" s="7">
        <f t="shared" si="64"/>
        <v>8.601586970459481</v>
      </c>
      <c r="CD90" s="7">
        <f t="shared" si="65"/>
        <v>2.6481505979875286</v>
      </c>
      <c r="CE90" s="39">
        <v>0.125</v>
      </c>
      <c r="CG90" s="39">
        <v>0.125</v>
      </c>
      <c r="CH90" s="38">
        <v>135</v>
      </c>
      <c r="CI90" s="38">
        <f t="shared" si="66"/>
        <v>-22.981260259153483</v>
      </c>
      <c r="CJ90" s="38">
        <f t="shared" si="67"/>
        <v>45.392932124001135</v>
      </c>
      <c r="CL90">
        <f t="shared" si="68"/>
        <v>9</v>
      </c>
      <c r="CM90">
        <f t="shared" si="69"/>
        <v>25.427823287350506</v>
      </c>
      <c r="CN90" s="7">
        <f t="shared" si="70"/>
        <v>8.1281420283668258</v>
      </c>
      <c r="CO90" s="7">
        <f t="shared" si="71"/>
        <v>3.8643637466854508</v>
      </c>
      <c r="CP90" s="39">
        <v>0.125</v>
      </c>
      <c r="CR90" s="39">
        <v>0.125</v>
      </c>
      <c r="CS90" s="38">
        <v>135</v>
      </c>
      <c r="CT90" s="38">
        <f t="shared" si="72"/>
        <v>-21.932757611792816</v>
      </c>
      <c r="CU90" s="38">
        <f t="shared" si="73"/>
        <v>44.372564277814263</v>
      </c>
      <c r="CW90">
        <f t="shared" si="74"/>
        <v>9</v>
      </c>
      <c r="CX90">
        <f t="shared" si="75"/>
        <v>27.0871391084072</v>
      </c>
      <c r="CY90" s="7">
        <f t="shared" si="76"/>
        <v>8.0128353242451471</v>
      </c>
      <c r="CZ90" s="7">
        <f t="shared" si="77"/>
        <v>4.0981056680531269</v>
      </c>
      <c r="DA90" s="39">
        <v>0.125</v>
      </c>
      <c r="DC90" s="39">
        <v>0.125</v>
      </c>
      <c r="DD90" s="38">
        <v>135</v>
      </c>
      <c r="DE90" s="38">
        <f t="shared" si="78"/>
        <v>-49.357961668366194</v>
      </c>
      <c r="DF90" s="38">
        <f t="shared" si="79"/>
        <v>92.227199589722318</v>
      </c>
      <c r="DH90">
        <f t="shared" si="80"/>
        <v>9</v>
      </c>
      <c r="DI90">
        <f t="shared" si="81"/>
        <v>-26.570868306911436</v>
      </c>
      <c r="DJ90" s="7">
        <f t="shared" si="82"/>
        <v>8.0494360349177878</v>
      </c>
      <c r="DK90" s="7">
        <f t="shared" si="83"/>
        <v>-4.0257396239407983</v>
      </c>
      <c r="DL90" s="39">
        <v>0.125</v>
      </c>
    </row>
    <row r="91" spans="1:116" x14ac:dyDescent="0.25">
      <c r="A91">
        <v>0.1</v>
      </c>
      <c r="B91">
        <f t="shared" si="24"/>
        <v>8.9994444272966092</v>
      </c>
      <c r="C91">
        <f t="shared" si="25"/>
        <v>-8.9994444272966092</v>
      </c>
      <c r="D91">
        <f t="shared" si="30"/>
        <v>7.99937497558403</v>
      </c>
      <c r="E91">
        <f t="shared" si="31"/>
        <v>-7.99937497558403</v>
      </c>
      <c r="F91">
        <f t="shared" si="36"/>
        <v>6.9992856778388468</v>
      </c>
      <c r="G91">
        <f t="shared" si="37"/>
        <v>-6.9992856778388468</v>
      </c>
      <c r="H91">
        <f t="shared" si="22"/>
        <v>5.9991666087882578</v>
      </c>
      <c r="I91">
        <f t="shared" si="23"/>
        <v>-5.9991666087882578</v>
      </c>
      <c r="J91">
        <f t="shared" si="28"/>
        <v>4.9989998999799949</v>
      </c>
      <c r="K91">
        <f t="shared" si="29"/>
        <v>-4.9989998999799949</v>
      </c>
      <c r="L91">
        <f t="shared" si="34"/>
        <v>3.9987498046264411</v>
      </c>
      <c r="M91">
        <f t="shared" si="35"/>
        <v>-3.9987498046264411</v>
      </c>
      <c r="N91">
        <f t="shared" si="20"/>
        <v>2.9983328701129901</v>
      </c>
      <c r="O91">
        <f t="shared" si="21"/>
        <v>-2.9983328701129901</v>
      </c>
      <c r="P91">
        <f t="shared" si="26"/>
        <v>1.9974984355438179</v>
      </c>
      <c r="Q91">
        <f t="shared" si="27"/>
        <v>-1.9974984355438179</v>
      </c>
      <c r="R91">
        <f t="shared" si="32"/>
        <v>0.99498743710661997</v>
      </c>
      <c r="S91">
        <f t="shared" si="33"/>
        <v>-0.99498743710661997</v>
      </c>
      <c r="U91" s="7">
        <v>9</v>
      </c>
      <c r="V91" s="7">
        <v>50</v>
      </c>
      <c r="W91" s="7">
        <f t="shared" si="38"/>
        <v>5.7850884871788546</v>
      </c>
      <c r="X91" s="7">
        <f t="shared" si="39"/>
        <v>6.894399988070802</v>
      </c>
      <c r="Y91" s="7">
        <v>9</v>
      </c>
      <c r="Z91" s="7">
        <v>230</v>
      </c>
      <c r="AA91" s="7">
        <f t="shared" si="40"/>
        <v>-5.7850884871788555</v>
      </c>
      <c r="AB91" s="7">
        <f t="shared" si="41"/>
        <v>-6.8943999880708011</v>
      </c>
      <c r="AO91" s="39">
        <v>0.16666666666666699</v>
      </c>
      <c r="AP91" s="38">
        <v>120</v>
      </c>
      <c r="AQ91" s="38">
        <f t="shared" si="42"/>
        <v>-34.263131703153903</v>
      </c>
      <c r="AR91" s="38">
        <f t="shared" si="43"/>
        <v>92.169938930599614</v>
      </c>
      <c r="AT91">
        <f t="shared" si="44"/>
        <v>9</v>
      </c>
      <c r="AU91">
        <f t="shared" si="45"/>
        <v>-20.144807960754491</v>
      </c>
      <c r="AV91" s="7">
        <f t="shared" si="46"/>
        <v>8.4494268639521586</v>
      </c>
      <c r="AW91" s="7">
        <f t="shared" si="47"/>
        <v>-3.0995460426848935</v>
      </c>
      <c r="AX91" s="39">
        <v>0.16666666666666699</v>
      </c>
      <c r="AZ91" s="39">
        <v>0.16666666666666699</v>
      </c>
      <c r="BA91" s="38">
        <v>120</v>
      </c>
      <c r="BB91" s="38">
        <f t="shared" si="48"/>
        <v>-30.166174654908502</v>
      </c>
      <c r="BC91" s="38">
        <f t="shared" si="49"/>
        <v>82.395681730571113</v>
      </c>
      <c r="BE91">
        <f t="shared" si="50"/>
        <v>9</v>
      </c>
      <c r="BF91">
        <f t="shared" si="51"/>
        <v>-9.5003629282162763</v>
      </c>
      <c r="BG91" s="7">
        <f t="shared" si="52"/>
        <v>8.87656100451896</v>
      </c>
      <c r="BH91" s="7">
        <f t="shared" si="53"/>
        <v>-1.4854846795081202</v>
      </c>
      <c r="BI91" s="39">
        <v>0.16666666666666699</v>
      </c>
      <c r="BK91" s="39">
        <v>0.16666666666666699</v>
      </c>
      <c r="BL91" s="38">
        <v>120</v>
      </c>
      <c r="BM91" s="38">
        <f t="shared" si="54"/>
        <v>-23.693971230022676</v>
      </c>
      <c r="BN91" s="38">
        <f t="shared" si="55"/>
        <v>70.634773561073217</v>
      </c>
      <c r="BP91">
        <f t="shared" si="56"/>
        <v>9</v>
      </c>
      <c r="BQ91">
        <f t="shared" si="57"/>
        <v>4.5973816683220292</v>
      </c>
      <c r="BR91" s="7">
        <f t="shared" si="58"/>
        <v>8.9710428814800558</v>
      </c>
      <c r="BS91" s="7">
        <f t="shared" si="59"/>
        <v>0.72138035643204523</v>
      </c>
      <c r="BT91" s="39">
        <v>0.16666666666666699</v>
      </c>
      <c r="BV91" s="39">
        <v>0.16666666666666699</v>
      </c>
      <c r="BW91" s="38">
        <v>120</v>
      </c>
      <c r="BX91" s="38">
        <f t="shared" si="60"/>
        <v>-17.295202768452899</v>
      </c>
      <c r="BY91" s="38">
        <f t="shared" si="61"/>
        <v>61.227129569630065</v>
      </c>
      <c r="CA91">
        <f t="shared" si="62"/>
        <v>9</v>
      </c>
      <c r="CB91">
        <f t="shared" si="63"/>
        <v>17.111907421504654</v>
      </c>
      <c r="CC91" s="7">
        <f t="shared" si="64"/>
        <v>8.601586970459481</v>
      </c>
      <c r="CD91" s="7">
        <f t="shared" si="65"/>
        <v>2.6481505979875286</v>
      </c>
      <c r="CE91" s="39">
        <v>0.16666666666666699</v>
      </c>
      <c r="CG91" s="39">
        <v>0.16666666666666699</v>
      </c>
      <c r="CH91" s="38">
        <v>120</v>
      </c>
      <c r="CI91" s="38">
        <f t="shared" si="66"/>
        <v>-12.865159481895564</v>
      </c>
      <c r="CJ91" s="38">
        <f t="shared" si="67"/>
        <v>55.427667993562665</v>
      </c>
      <c r="CL91">
        <f t="shared" si="68"/>
        <v>9</v>
      </c>
      <c r="CM91">
        <f t="shared" si="69"/>
        <v>25.427823287350506</v>
      </c>
      <c r="CN91" s="7">
        <f t="shared" si="70"/>
        <v>8.1281420283668258</v>
      </c>
      <c r="CO91" s="7">
        <f t="shared" si="71"/>
        <v>3.8643637466854508</v>
      </c>
      <c r="CP91" s="39">
        <v>0.16666666666666699</v>
      </c>
      <c r="CR91" s="39">
        <v>0.16666666666666699</v>
      </c>
      <c r="CS91" s="38">
        <v>120</v>
      </c>
      <c r="CT91" s="38">
        <f t="shared" si="72"/>
        <v>-11.973998043852708</v>
      </c>
      <c r="CU91" s="38">
        <f t="shared" si="73"/>
        <v>54.308590994652675</v>
      </c>
      <c r="CW91">
        <f t="shared" si="74"/>
        <v>9</v>
      </c>
      <c r="CX91">
        <f t="shared" si="75"/>
        <v>27.0871391084072</v>
      </c>
      <c r="CY91" s="7">
        <f t="shared" si="76"/>
        <v>8.0128353242451471</v>
      </c>
      <c r="CZ91" s="7">
        <f t="shared" si="77"/>
        <v>4.0981056680531269</v>
      </c>
      <c r="DA91" s="39">
        <v>0.16666666666666699</v>
      </c>
      <c r="DC91" s="39">
        <v>0.16666666666666699</v>
      </c>
      <c r="DD91" s="38">
        <v>120</v>
      </c>
      <c r="DE91" s="38">
        <f t="shared" si="78"/>
        <v>-36.313087788252069</v>
      </c>
      <c r="DF91" s="38">
        <f t="shared" si="79"/>
        <v>98.417944530448025</v>
      </c>
      <c r="DH91">
        <f t="shared" si="80"/>
        <v>9</v>
      </c>
      <c r="DI91">
        <f t="shared" si="81"/>
        <v>-26.570868306911436</v>
      </c>
      <c r="DJ91" s="7">
        <f t="shared" si="82"/>
        <v>8.0494360349177878</v>
      </c>
      <c r="DK91" s="7">
        <f t="shared" si="83"/>
        <v>-4.0257396239407983</v>
      </c>
      <c r="DL91" s="39">
        <v>0.16666666666666699</v>
      </c>
    </row>
    <row r="92" spans="1:116" x14ac:dyDescent="0.25">
      <c r="A92">
        <v>0</v>
      </c>
      <c r="B92">
        <f t="shared" si="24"/>
        <v>9</v>
      </c>
      <c r="C92">
        <f t="shared" si="25"/>
        <v>-9</v>
      </c>
      <c r="D92">
        <f t="shared" si="30"/>
        <v>8</v>
      </c>
      <c r="E92">
        <f t="shared" si="31"/>
        <v>-8</v>
      </c>
      <c r="F92">
        <f t="shared" si="36"/>
        <v>7</v>
      </c>
      <c r="G92">
        <f t="shared" si="37"/>
        <v>-7</v>
      </c>
      <c r="H92">
        <f t="shared" si="22"/>
        <v>6</v>
      </c>
      <c r="I92">
        <f t="shared" si="23"/>
        <v>-6</v>
      </c>
      <c r="J92">
        <f t="shared" si="28"/>
        <v>5</v>
      </c>
      <c r="K92">
        <f t="shared" si="29"/>
        <v>-5</v>
      </c>
      <c r="L92">
        <f t="shared" si="34"/>
        <v>4</v>
      </c>
      <c r="M92">
        <f t="shared" si="35"/>
        <v>-4</v>
      </c>
      <c r="N92">
        <f t="shared" si="20"/>
        <v>3</v>
      </c>
      <c r="O92">
        <f t="shared" si="21"/>
        <v>-3</v>
      </c>
      <c r="P92">
        <f t="shared" si="26"/>
        <v>2</v>
      </c>
      <c r="Q92">
        <f t="shared" si="27"/>
        <v>-2</v>
      </c>
      <c r="R92">
        <f t="shared" si="32"/>
        <v>1</v>
      </c>
      <c r="S92">
        <f t="shared" si="33"/>
        <v>-1</v>
      </c>
      <c r="U92" s="7">
        <v>9</v>
      </c>
      <c r="V92" s="7">
        <v>60</v>
      </c>
      <c r="W92" s="7">
        <f t="shared" si="38"/>
        <v>4.5000000000000009</v>
      </c>
      <c r="X92" s="7">
        <f t="shared" si="39"/>
        <v>7.7942286340599471</v>
      </c>
      <c r="Y92" s="7">
        <v>9</v>
      </c>
      <c r="Z92" s="7">
        <v>240</v>
      </c>
      <c r="AA92" s="7">
        <f t="shared" si="40"/>
        <v>-4.5000000000000036</v>
      </c>
      <c r="AB92" s="7">
        <f t="shared" si="41"/>
        <v>-7.7942286340599454</v>
      </c>
      <c r="AO92" s="39">
        <v>0.20833333333333334</v>
      </c>
      <c r="AP92" s="38">
        <v>105</v>
      </c>
      <c r="AQ92" s="38">
        <f t="shared" si="42"/>
        <v>-21.222454332100078</v>
      </c>
      <c r="AR92" s="38">
        <f t="shared" si="43"/>
        <v>98.829098209067979</v>
      </c>
      <c r="AT92">
        <f t="shared" si="44"/>
        <v>9</v>
      </c>
      <c r="AU92">
        <f t="shared" si="45"/>
        <v>-20.144807960754491</v>
      </c>
      <c r="AV92" s="7">
        <f t="shared" si="46"/>
        <v>8.4494268639521586</v>
      </c>
      <c r="AW92" s="7">
        <f t="shared" si="47"/>
        <v>-3.0995460426848935</v>
      </c>
      <c r="AX92" s="39">
        <v>0.20833333333333334</v>
      </c>
      <c r="AZ92" s="39">
        <v>0.20833333333333334</v>
      </c>
      <c r="BA92" s="38">
        <v>105</v>
      </c>
      <c r="BB92" s="38">
        <f t="shared" si="48"/>
        <v>-17.093738200635286</v>
      </c>
      <c r="BC92" s="38">
        <f t="shared" si="49"/>
        <v>90.095047630469693</v>
      </c>
      <c r="BE92">
        <f t="shared" si="50"/>
        <v>9</v>
      </c>
      <c r="BF92">
        <f t="shared" si="51"/>
        <v>-9.5003629282162763</v>
      </c>
      <c r="BG92" s="7">
        <f t="shared" si="52"/>
        <v>8.87656100451896</v>
      </c>
      <c r="BH92" s="7">
        <f t="shared" si="53"/>
        <v>-1.4854846795081202</v>
      </c>
      <c r="BI92" s="39">
        <v>0.20833333333333334</v>
      </c>
      <c r="BK92" s="39">
        <v>0.20833333333333334</v>
      </c>
      <c r="BL92" s="38">
        <v>105</v>
      </c>
      <c r="BM92" s="38">
        <f t="shared" si="54"/>
        <v>-11.045650532058881</v>
      </c>
      <c r="BN92" s="38">
        <f t="shared" si="55"/>
        <v>79.033909310679306</v>
      </c>
      <c r="BP92">
        <f t="shared" si="56"/>
        <v>9</v>
      </c>
      <c r="BQ92">
        <f t="shared" si="57"/>
        <v>4.5973816683220292</v>
      </c>
      <c r="BR92" s="7">
        <f t="shared" si="58"/>
        <v>8.9710428814800558</v>
      </c>
      <c r="BS92" s="7">
        <f t="shared" si="59"/>
        <v>0.72138035643204523</v>
      </c>
      <c r="BT92" s="39">
        <v>0.20833333333333334</v>
      </c>
      <c r="BV92" s="39">
        <v>0.20833333333333334</v>
      </c>
      <c r="BW92" s="38">
        <v>105</v>
      </c>
      <c r="BX92" s="38">
        <f t="shared" si="60"/>
        <v>-5.3710235152583179</v>
      </c>
      <c r="BY92" s="38">
        <f t="shared" si="61"/>
        <v>69.645777513673181</v>
      </c>
      <c r="CA92">
        <f t="shared" si="62"/>
        <v>9</v>
      </c>
      <c r="CB92">
        <f t="shared" si="63"/>
        <v>17.111907421504654</v>
      </c>
      <c r="CC92" s="7">
        <f t="shared" si="64"/>
        <v>8.601586970459481</v>
      </c>
      <c r="CD92" s="7">
        <f t="shared" si="65"/>
        <v>2.6481505979875286</v>
      </c>
      <c r="CE92" s="39">
        <v>0.20833333333333334</v>
      </c>
      <c r="CG92" s="39">
        <v>0.20833333333333334</v>
      </c>
      <c r="CH92" s="38">
        <v>105</v>
      </c>
      <c r="CI92" s="38">
        <f t="shared" si="66"/>
        <v>-1.5633314612030205</v>
      </c>
      <c r="CJ92" s="38">
        <f t="shared" si="67"/>
        <v>63.595103972539462</v>
      </c>
      <c r="CL92">
        <f t="shared" si="68"/>
        <v>9</v>
      </c>
      <c r="CM92">
        <f t="shared" si="69"/>
        <v>25.427823287350506</v>
      </c>
      <c r="CN92" s="7">
        <f t="shared" si="70"/>
        <v>8.1281420283668258</v>
      </c>
      <c r="CO92" s="7">
        <f t="shared" si="71"/>
        <v>3.8643637466854508</v>
      </c>
      <c r="CP92" s="39">
        <v>0.20833333333333334</v>
      </c>
      <c r="CR92" s="39">
        <v>0.20833333333333334</v>
      </c>
      <c r="CS92" s="38">
        <v>105</v>
      </c>
      <c r="CT92" s="38">
        <f t="shared" si="72"/>
        <v>-0.80777986614324515</v>
      </c>
      <c r="CU92" s="38">
        <f t="shared" si="73"/>
        <v>62.404173266606605</v>
      </c>
      <c r="CW92">
        <f t="shared" si="74"/>
        <v>9</v>
      </c>
      <c r="CX92">
        <f t="shared" si="75"/>
        <v>27.0871391084072</v>
      </c>
      <c r="CY92" s="7">
        <f t="shared" si="76"/>
        <v>8.0128353242451471</v>
      </c>
      <c r="CZ92" s="7">
        <f t="shared" si="77"/>
        <v>4.0981056680531269</v>
      </c>
      <c r="DA92" s="39">
        <v>0.20833333333333334</v>
      </c>
      <c r="DC92" s="39">
        <v>0.20833333333333334</v>
      </c>
      <c r="DD92" s="38">
        <v>105</v>
      </c>
      <c r="DE92" s="38">
        <f t="shared" si="78"/>
        <v>-23.465180129092047</v>
      </c>
      <c r="DF92" s="38">
        <f t="shared" si="79"/>
        <v>104.25379012152538</v>
      </c>
      <c r="DH92">
        <f t="shared" si="80"/>
        <v>9</v>
      </c>
      <c r="DI92">
        <f t="shared" si="81"/>
        <v>-26.570868306911436</v>
      </c>
      <c r="DJ92" s="7">
        <f t="shared" si="82"/>
        <v>8.0494360349177878</v>
      </c>
      <c r="DK92" s="7">
        <f t="shared" si="83"/>
        <v>-4.0257396239407983</v>
      </c>
      <c r="DL92" s="39">
        <v>0.20833333333333334</v>
      </c>
    </row>
    <row r="93" spans="1:116" x14ac:dyDescent="0.25">
      <c r="A93">
        <v>-0.1</v>
      </c>
      <c r="B93">
        <f t="shared" si="24"/>
        <v>8.9994444272966092</v>
      </c>
      <c r="C93">
        <f t="shared" si="25"/>
        <v>-8.9994444272966092</v>
      </c>
      <c r="D93">
        <f t="shared" si="30"/>
        <v>7.99937497558403</v>
      </c>
      <c r="E93">
        <f t="shared" si="31"/>
        <v>-7.99937497558403</v>
      </c>
      <c r="F93">
        <f t="shared" si="36"/>
        <v>6.9992856778388468</v>
      </c>
      <c r="G93">
        <f t="shared" si="37"/>
        <v>-6.9992856778388468</v>
      </c>
      <c r="H93">
        <f t="shared" si="22"/>
        <v>5.9991666087882578</v>
      </c>
      <c r="I93">
        <f t="shared" si="23"/>
        <v>-5.9991666087882578</v>
      </c>
      <c r="J93">
        <f t="shared" si="28"/>
        <v>4.9989998999799949</v>
      </c>
      <c r="K93">
        <f t="shared" si="29"/>
        <v>-4.9989998999799949</v>
      </c>
      <c r="L93">
        <f t="shared" si="34"/>
        <v>3.9987498046264411</v>
      </c>
      <c r="M93">
        <f t="shared" si="35"/>
        <v>-3.9987498046264411</v>
      </c>
      <c r="N93">
        <f t="shared" si="20"/>
        <v>2.9983328701129901</v>
      </c>
      <c r="O93">
        <f t="shared" si="21"/>
        <v>-2.9983328701129901</v>
      </c>
      <c r="P93">
        <f t="shared" si="26"/>
        <v>1.9974984355438179</v>
      </c>
      <c r="Q93">
        <f t="shared" si="27"/>
        <v>-1.9974984355438179</v>
      </c>
      <c r="R93">
        <f t="shared" si="32"/>
        <v>0.99498743710661997</v>
      </c>
      <c r="S93">
        <f t="shared" si="33"/>
        <v>-0.99498743710661997</v>
      </c>
      <c r="U93" s="7">
        <v>9</v>
      </c>
      <c r="V93" s="7">
        <v>70</v>
      </c>
      <c r="W93" s="7">
        <f t="shared" si="38"/>
        <v>3.0781812899310195</v>
      </c>
      <c r="X93" s="7">
        <f t="shared" si="39"/>
        <v>8.4572335870731745</v>
      </c>
      <c r="Y93" s="7">
        <v>9</v>
      </c>
      <c r="Z93" s="7">
        <v>250</v>
      </c>
      <c r="AA93" s="7">
        <f t="shared" si="40"/>
        <v>-3.0781812899310168</v>
      </c>
      <c r="AB93" s="7">
        <f t="shared" si="41"/>
        <v>-8.4572335870731763</v>
      </c>
      <c r="AO93" s="39">
        <v>0.25</v>
      </c>
      <c r="AP93" s="38">
        <v>90</v>
      </c>
      <c r="AQ93" s="38">
        <f t="shared" si="42"/>
        <v>-8.4117319355326003</v>
      </c>
      <c r="AR93" s="38">
        <f t="shared" si="43"/>
        <v>105.42042609675256</v>
      </c>
      <c r="AT93">
        <f t="shared" si="44"/>
        <v>9</v>
      </c>
      <c r="AU93">
        <f t="shared" si="45"/>
        <v>-20.144807960754491</v>
      </c>
      <c r="AV93" s="7">
        <f t="shared" si="46"/>
        <v>8.4494268639521586</v>
      </c>
      <c r="AW93" s="7">
        <f t="shared" si="47"/>
        <v>-3.0995460426848935</v>
      </c>
      <c r="AX93" s="39">
        <v>0.25</v>
      </c>
      <c r="AZ93" s="39">
        <v>0.25</v>
      </c>
      <c r="BA93" s="38">
        <v>90</v>
      </c>
      <c r="BB93" s="38">
        <f t="shared" si="48"/>
        <v>-4.0202279922027584</v>
      </c>
      <c r="BC93" s="38">
        <f t="shared" si="49"/>
        <v>97.260160733971048</v>
      </c>
      <c r="BE93">
        <f t="shared" si="50"/>
        <v>9</v>
      </c>
      <c r="BF93">
        <f t="shared" si="51"/>
        <v>-9.5003629282162763</v>
      </c>
      <c r="BG93" s="7">
        <f t="shared" si="52"/>
        <v>8.87656100451896</v>
      </c>
      <c r="BH93" s="7">
        <f t="shared" si="53"/>
        <v>-1.4854846795081202</v>
      </c>
      <c r="BI93" s="39">
        <v>0.25</v>
      </c>
      <c r="BK93" s="39">
        <v>0.25</v>
      </c>
      <c r="BL93" s="38">
        <v>90</v>
      </c>
      <c r="BM93" s="38">
        <f t="shared" si="54"/>
        <v>1.9510766725967672</v>
      </c>
      <c r="BN93" s="38">
        <f t="shared" si="55"/>
        <v>86.488170658290201</v>
      </c>
      <c r="BP93">
        <f t="shared" si="56"/>
        <v>8.804892332740323</v>
      </c>
      <c r="BQ93">
        <f t="shared" si="57"/>
        <v>3.5118293417097988</v>
      </c>
      <c r="BR93" s="7">
        <f t="shared" si="58"/>
        <v>8.7883582682606036</v>
      </c>
      <c r="BS93" s="7">
        <f t="shared" si="59"/>
        <v>0.53934028205281404</v>
      </c>
      <c r="BT93" s="39">
        <v>0.25</v>
      </c>
      <c r="BV93" s="39">
        <v>0.25</v>
      </c>
      <c r="BW93" s="38">
        <v>90</v>
      </c>
      <c r="BX93" s="38">
        <f t="shared" si="60"/>
        <v>7.1796941081018506</v>
      </c>
      <c r="BY93" s="38">
        <f t="shared" si="61"/>
        <v>76.908415468616056</v>
      </c>
      <c r="CA93">
        <f t="shared" si="62"/>
        <v>8.2820305891898158</v>
      </c>
      <c r="CB93">
        <f t="shared" si="63"/>
        <v>13.091584531383944</v>
      </c>
      <c r="CC93" s="7">
        <f t="shared" si="64"/>
        <v>8.0667743759958661</v>
      </c>
      <c r="CD93" s="7">
        <f t="shared" si="65"/>
        <v>1.8759482527650697</v>
      </c>
      <c r="CE93" s="39">
        <v>0.25</v>
      </c>
      <c r="CG93" s="39">
        <v>0.25</v>
      </c>
      <c r="CH93" s="38">
        <v>90</v>
      </c>
      <c r="CI93" s="38">
        <f t="shared" si="66"/>
        <v>10.508522694850116</v>
      </c>
      <c r="CJ93" s="38">
        <f t="shared" si="67"/>
        <v>70.516285917220941</v>
      </c>
      <c r="CL93">
        <f t="shared" si="68"/>
        <v>7.9491477305149889</v>
      </c>
      <c r="CM93">
        <f t="shared" si="69"/>
        <v>19.483714082779059</v>
      </c>
      <c r="CN93" s="7">
        <f t="shared" si="70"/>
        <v>7.4939503996922818</v>
      </c>
      <c r="CO93" s="7">
        <f t="shared" si="71"/>
        <v>2.6513500426204568</v>
      </c>
      <c r="CP93" s="39">
        <v>0.25</v>
      </c>
      <c r="CR93" s="39">
        <v>0.25</v>
      </c>
      <c r="CS93" s="38">
        <v>90</v>
      </c>
      <c r="CT93" s="38">
        <f t="shared" si="72"/>
        <v>11.152054967319165</v>
      </c>
      <c r="CU93" s="38">
        <f t="shared" si="73"/>
        <v>69.238766580276192</v>
      </c>
      <c r="CW93">
        <f t="shared" si="74"/>
        <v>7.8847945032680835</v>
      </c>
      <c r="CX93">
        <f t="shared" si="75"/>
        <v>20.761233419723808</v>
      </c>
      <c r="CY93" s="7">
        <f t="shared" si="76"/>
        <v>7.3728011230173927</v>
      </c>
      <c r="CZ93" s="7">
        <f t="shared" si="77"/>
        <v>2.7949575952418426</v>
      </c>
      <c r="DA93" s="39">
        <v>0.25</v>
      </c>
      <c r="DC93" s="39">
        <v>0.25</v>
      </c>
      <c r="DD93" s="38">
        <v>90</v>
      </c>
      <c r="DE93" s="38">
        <f t="shared" si="78"/>
        <v>-10.952670234464714</v>
      </c>
      <c r="DF93" s="38">
        <f t="shared" si="79"/>
        <v>110.36370911494541</v>
      </c>
      <c r="DH93">
        <f t="shared" si="80"/>
        <v>9</v>
      </c>
      <c r="DI93">
        <f t="shared" si="81"/>
        <v>-26.570868306911436</v>
      </c>
      <c r="DJ93" s="7">
        <f t="shared" si="82"/>
        <v>8.0494360349177878</v>
      </c>
      <c r="DK93" s="7">
        <f t="shared" si="83"/>
        <v>-4.0257396239407983</v>
      </c>
      <c r="DL93" s="39">
        <v>0.25</v>
      </c>
    </row>
    <row r="94" spans="1:116" x14ac:dyDescent="0.25">
      <c r="A94">
        <v>-0.2</v>
      </c>
      <c r="B94">
        <f t="shared" si="24"/>
        <v>8.9977775033615934</v>
      </c>
      <c r="C94">
        <f t="shared" si="25"/>
        <v>-8.9977775033615934</v>
      </c>
      <c r="D94">
        <f t="shared" si="30"/>
        <v>7.9974996092528823</v>
      </c>
      <c r="E94">
        <f t="shared" si="31"/>
        <v>-7.9974996092528823</v>
      </c>
      <c r="F94">
        <f t="shared" si="36"/>
        <v>6.9971422738143607</v>
      </c>
      <c r="G94">
        <f t="shared" si="37"/>
        <v>-6.9971422738143607</v>
      </c>
      <c r="H94">
        <f t="shared" si="22"/>
        <v>5.9966657402259802</v>
      </c>
      <c r="I94">
        <f t="shared" si="23"/>
        <v>-5.9966657402259802</v>
      </c>
      <c r="J94">
        <f t="shared" si="28"/>
        <v>4.9959983987187186</v>
      </c>
      <c r="K94">
        <f t="shared" si="29"/>
        <v>-4.9959983987187186</v>
      </c>
      <c r="L94">
        <f t="shared" si="34"/>
        <v>3.9949968710876358</v>
      </c>
      <c r="M94">
        <f t="shared" si="35"/>
        <v>-3.9949968710876358</v>
      </c>
      <c r="N94">
        <f t="shared" ref="N94:N122" si="84">+SQRT(9-A94^2)</f>
        <v>2.9933259094191533</v>
      </c>
      <c r="O94">
        <f t="shared" ref="O94:O122" si="85">-N94</f>
        <v>-2.9933259094191533</v>
      </c>
      <c r="P94">
        <f t="shared" si="26"/>
        <v>1.9899748742132399</v>
      </c>
      <c r="Q94">
        <f t="shared" si="27"/>
        <v>-1.9899748742132399</v>
      </c>
      <c r="R94">
        <f t="shared" si="32"/>
        <v>0.9797958971132712</v>
      </c>
      <c r="S94">
        <f t="shared" si="33"/>
        <v>-0.9797958971132712</v>
      </c>
      <c r="U94" s="7">
        <v>9</v>
      </c>
      <c r="V94" s="7">
        <v>80</v>
      </c>
      <c r="W94" s="7">
        <f t="shared" si="38"/>
        <v>1.5628335990023738</v>
      </c>
      <c r="X94" s="7">
        <f t="shared" si="39"/>
        <v>8.8632697771098723</v>
      </c>
      <c r="Y94" s="7">
        <v>9</v>
      </c>
      <c r="Z94" s="7">
        <v>260</v>
      </c>
      <c r="AA94" s="7">
        <f t="shared" si="40"/>
        <v>-1.562833599002373</v>
      </c>
      <c r="AB94" s="7">
        <f t="shared" si="41"/>
        <v>-8.8632697771098723</v>
      </c>
      <c r="AO94" s="39">
        <v>0.29166666666666702</v>
      </c>
      <c r="AP94" s="38">
        <v>75</v>
      </c>
      <c r="AQ94" s="38">
        <f t="shared" si="42"/>
        <v>3.9806023907424599</v>
      </c>
      <c r="AR94" s="38">
        <f t="shared" si="43"/>
        <v>112.5771078319798</v>
      </c>
      <c r="AT94">
        <f t="shared" si="44"/>
        <v>8.6019397609257542</v>
      </c>
      <c r="AU94">
        <f t="shared" si="45"/>
        <v>-22.577107831979802</v>
      </c>
      <c r="AV94" s="7">
        <f t="shared" si="46"/>
        <v>7.9427188060969565</v>
      </c>
      <c r="AW94" s="7">
        <f t="shared" si="47"/>
        <v>-3.3025120163095778</v>
      </c>
      <c r="AX94" s="39">
        <v>0.29166666666666702</v>
      </c>
      <c r="AZ94" s="39">
        <v>0.29166666666666702</v>
      </c>
      <c r="BA94" s="38">
        <v>75</v>
      </c>
      <c r="BB94" s="38">
        <f t="shared" si="48"/>
        <v>8.8424843209748119</v>
      </c>
      <c r="BC94" s="38">
        <f t="shared" si="49"/>
        <v>104.68802822282147</v>
      </c>
      <c r="BE94">
        <f t="shared" si="50"/>
        <v>8.1157515679025192</v>
      </c>
      <c r="BF94">
        <f t="shared" si="51"/>
        <v>-14.688028222821472</v>
      </c>
      <c r="BG94" s="7">
        <f t="shared" si="52"/>
        <v>7.8505349227251555</v>
      </c>
      <c r="BH94" s="7">
        <f t="shared" si="53"/>
        <v>-2.0577961364005248</v>
      </c>
      <c r="BI94" s="39">
        <v>0.29166666666666702</v>
      </c>
      <c r="BK94" s="39">
        <v>0.29166666666666702</v>
      </c>
      <c r="BL94" s="38">
        <v>75</v>
      </c>
      <c r="BM94" s="38">
        <f t="shared" si="54"/>
        <v>15.051271742006362</v>
      </c>
      <c r="BN94" s="38">
        <f t="shared" si="55"/>
        <v>93.815787356682009</v>
      </c>
      <c r="BP94">
        <f t="shared" si="56"/>
        <v>7.494872825799364</v>
      </c>
      <c r="BQ94">
        <f t="shared" si="57"/>
        <v>-3.8157873566820086</v>
      </c>
      <c r="BR94" s="7">
        <f t="shared" ref="BR94:BR112" si="86">+BP94*COS(RADIANS(BQ94))</f>
        <v>7.4782579609816162</v>
      </c>
      <c r="BS94" s="7">
        <f t="shared" ref="BS94:BS112" si="87">+BP94*SIN(RADIANS(BQ94))</f>
        <v>-0.49877504340216094</v>
      </c>
      <c r="BT94" s="39">
        <v>0.29166666666666702</v>
      </c>
      <c r="BV94" s="39">
        <v>0.29166666666666702</v>
      </c>
      <c r="BW94" s="38">
        <v>75</v>
      </c>
      <c r="BX94" s="38">
        <f t="shared" si="60"/>
        <v>20.094408212134532</v>
      </c>
      <c r="BY94" s="38">
        <f t="shared" si="61"/>
        <v>83.69300591455243</v>
      </c>
      <c r="CA94">
        <f t="shared" si="62"/>
        <v>6.9905591787865466</v>
      </c>
      <c r="CB94">
        <f t="shared" si="63"/>
        <v>6.3069940854475703</v>
      </c>
      <c r="CC94" s="7">
        <f t="shared" si="64"/>
        <v>6.9482491884736275</v>
      </c>
      <c r="CD94" s="7">
        <f t="shared" si="65"/>
        <v>0.76795237286723683</v>
      </c>
      <c r="CE94" s="39">
        <v>0.29166666666666702</v>
      </c>
      <c r="CG94" s="39">
        <v>0.29166666666666702</v>
      </c>
      <c r="CH94" s="38">
        <v>75</v>
      </c>
      <c r="CI94" s="38">
        <f t="shared" si="66"/>
        <v>23.081833865003894</v>
      </c>
      <c r="CJ94" s="38">
        <f t="shared" si="67"/>
        <v>76.718561537440678</v>
      </c>
      <c r="CL94">
        <f t="shared" si="68"/>
        <v>6.6918166134996104</v>
      </c>
      <c r="CM94">
        <f t="shared" si="69"/>
        <v>13.281438462559322</v>
      </c>
      <c r="CN94" s="7">
        <f t="shared" si="70"/>
        <v>6.5128329273581409</v>
      </c>
      <c r="CO94" s="7">
        <f t="shared" si="71"/>
        <v>1.5373408369743473</v>
      </c>
      <c r="CP94" s="39">
        <v>0.29166666666666702</v>
      </c>
      <c r="CR94" s="39">
        <v>0.29166666666666702</v>
      </c>
      <c r="CS94" s="38">
        <v>75</v>
      </c>
      <c r="CT94" s="38">
        <f t="shared" si="72"/>
        <v>23.63600454935963</v>
      </c>
      <c r="CU94" s="38">
        <f t="shared" si="73"/>
        <v>75.306075969479892</v>
      </c>
      <c r="CW94">
        <f t="shared" si="74"/>
        <v>6.6363995450640374</v>
      </c>
      <c r="CX94">
        <f t="shared" si="75"/>
        <v>14.693924030520108</v>
      </c>
      <c r="CY94" s="7">
        <f t="shared" si="76"/>
        <v>6.4193538234426155</v>
      </c>
      <c r="CZ94" s="7">
        <f t="shared" si="77"/>
        <v>1.6833583727711796</v>
      </c>
      <c r="DA94" s="39">
        <v>0.29166666666666702</v>
      </c>
      <c r="DC94" s="39">
        <v>0.29166666666666702</v>
      </c>
      <c r="DD94" s="38">
        <v>75</v>
      </c>
      <c r="DE94" s="38">
        <f t="shared" si="78"/>
        <v>1.0425877010819102</v>
      </c>
      <c r="DF94" s="38">
        <f t="shared" si="79"/>
        <v>117.22586297915178</v>
      </c>
      <c r="DH94">
        <f t="shared" si="80"/>
        <v>8.8957412298918097</v>
      </c>
      <c r="DI94">
        <f t="shared" si="81"/>
        <v>-27.225862979151785</v>
      </c>
      <c r="DJ94" s="7">
        <f t="shared" si="82"/>
        <v>7.9101816263441691</v>
      </c>
      <c r="DK94" s="7">
        <f t="shared" si="83"/>
        <v>-4.0697958999738741</v>
      </c>
      <c r="DL94" s="39">
        <v>0.29166666666666702</v>
      </c>
    </row>
    <row r="95" spans="1:116" x14ac:dyDescent="0.25">
      <c r="A95">
        <v>-0.3</v>
      </c>
      <c r="B95">
        <f t="shared" si="24"/>
        <v>8.9949986103389694</v>
      </c>
      <c r="C95">
        <f t="shared" si="25"/>
        <v>-8.9949986103389694</v>
      </c>
      <c r="D95">
        <f t="shared" si="30"/>
        <v>7.994373021069257</v>
      </c>
      <c r="E95">
        <f t="shared" si="31"/>
        <v>-7.994373021069257</v>
      </c>
      <c r="F95">
        <f t="shared" si="36"/>
        <v>6.9935684739623447</v>
      </c>
      <c r="G95">
        <f t="shared" si="37"/>
        <v>-6.9935684739623447</v>
      </c>
      <c r="H95">
        <f t="shared" si="22"/>
        <v>5.9924953066314535</v>
      </c>
      <c r="I95">
        <f t="shared" si="23"/>
        <v>-5.9924953066314535</v>
      </c>
      <c r="J95">
        <f t="shared" si="28"/>
        <v>4.9909918853871122</v>
      </c>
      <c r="K95">
        <f t="shared" si="29"/>
        <v>-4.9909918853871122</v>
      </c>
      <c r="L95">
        <f t="shared" si="34"/>
        <v>3.9887341350358261</v>
      </c>
      <c r="M95">
        <f t="shared" si="35"/>
        <v>-3.9887341350358261</v>
      </c>
      <c r="N95">
        <f t="shared" si="84"/>
        <v>2.98496231131986</v>
      </c>
      <c r="O95">
        <f t="shared" si="85"/>
        <v>-2.98496231131986</v>
      </c>
      <c r="P95">
        <f t="shared" si="26"/>
        <v>1.977371993328519</v>
      </c>
      <c r="Q95">
        <f t="shared" si="27"/>
        <v>-1.977371993328519</v>
      </c>
      <c r="R95">
        <f t="shared" si="32"/>
        <v>0.95393920141694566</v>
      </c>
      <c r="S95">
        <f t="shared" si="33"/>
        <v>-0.95393920141694566</v>
      </c>
      <c r="U95" s="7">
        <v>9</v>
      </c>
      <c r="V95" s="7">
        <v>90</v>
      </c>
      <c r="W95" s="7">
        <f t="shared" si="38"/>
        <v>5.51316804708879E-16</v>
      </c>
      <c r="X95" s="7">
        <f t="shared" si="39"/>
        <v>9</v>
      </c>
      <c r="Y95" s="7">
        <v>9</v>
      </c>
      <c r="Z95" s="7">
        <v>270</v>
      </c>
      <c r="AA95" s="7">
        <f t="shared" si="40"/>
        <v>-1.653950414126637E-15</v>
      </c>
      <c r="AB95" s="7">
        <f t="shared" si="41"/>
        <v>-9</v>
      </c>
      <c r="AO95" s="39">
        <v>0.33333333333333298</v>
      </c>
      <c r="AP95" s="38">
        <v>60</v>
      </c>
      <c r="AQ95" s="38">
        <f t="shared" si="42"/>
        <v>15.689450108647346</v>
      </c>
      <c r="AR95" s="38">
        <f t="shared" si="43"/>
        <v>120.92625519511847</v>
      </c>
      <c r="AT95">
        <f t="shared" si="44"/>
        <v>7.4310549891352657</v>
      </c>
      <c r="AU95">
        <f t="shared" si="45"/>
        <v>-30.926255195118472</v>
      </c>
      <c r="AV95" s="7">
        <f t="shared" si="46"/>
        <v>6.3745781167226729</v>
      </c>
      <c r="AW95" s="7">
        <f t="shared" si="47"/>
        <v>-3.819074768232817</v>
      </c>
      <c r="AX95" s="39">
        <v>0.33333333333333298</v>
      </c>
      <c r="AZ95" s="39">
        <v>0.33333333333333298</v>
      </c>
      <c r="BA95" s="38">
        <v>60</v>
      </c>
      <c r="BB95" s="38">
        <f t="shared" si="48"/>
        <v>21.241041758651765</v>
      </c>
      <c r="BC95" s="38">
        <f t="shared" si="49"/>
        <v>113.15708853016723</v>
      </c>
      <c r="BE95">
        <f t="shared" si="50"/>
        <v>6.8758958241348234</v>
      </c>
      <c r="BF95">
        <f t="shared" si="51"/>
        <v>-23.157088530167229</v>
      </c>
      <c r="BG95" s="7">
        <f t="shared" si="52"/>
        <v>6.3219057421889273</v>
      </c>
      <c r="BH95" s="7">
        <f t="shared" si="53"/>
        <v>-2.7039695211361687</v>
      </c>
      <c r="BI95" s="39">
        <v>0.33333333333333298</v>
      </c>
      <c r="BK95" s="39">
        <v>0.33333333333333298</v>
      </c>
      <c r="BL95" s="38">
        <v>60</v>
      </c>
      <c r="BM95" s="38">
        <f t="shared" si="54"/>
        <v>28.03064132064042</v>
      </c>
      <c r="BN95" s="38">
        <f t="shared" si="55"/>
        <v>101.84583698554694</v>
      </c>
      <c r="BP95">
        <f t="shared" si="56"/>
        <v>6.1969358679359576</v>
      </c>
      <c r="BQ95">
        <f t="shared" si="57"/>
        <v>-11.845836985546939</v>
      </c>
      <c r="BR95" s="7">
        <f t="shared" si="86"/>
        <v>6.0649626831945911</v>
      </c>
      <c r="BS95" s="7">
        <f t="shared" si="87"/>
        <v>-1.2721013335297824</v>
      </c>
      <c r="BT95" s="39">
        <v>0.33333333333333298</v>
      </c>
      <c r="BV95" s="39">
        <v>0.33333333333333298</v>
      </c>
      <c r="BW95" s="38">
        <v>60</v>
      </c>
      <c r="BX95" s="38">
        <f t="shared" si="60"/>
        <v>33.179114183303909</v>
      </c>
      <c r="BY95" s="38">
        <f t="shared" si="61"/>
        <v>90.692173646055892</v>
      </c>
      <c r="CA95">
        <f t="shared" si="62"/>
        <v>5.6820885816696087</v>
      </c>
      <c r="CB95">
        <f t="shared" si="63"/>
        <v>-0.69217364605589182</v>
      </c>
      <c r="CC95" s="7">
        <f t="shared" si="64"/>
        <v>5.681673954671612</v>
      </c>
      <c r="CD95" s="7">
        <f t="shared" si="65"/>
        <v>-6.8641989673889181E-2</v>
      </c>
      <c r="CE95" s="39">
        <v>0.33333333333333298</v>
      </c>
      <c r="CG95" s="39">
        <v>0.33333333333333298</v>
      </c>
      <c r="CH95" s="38">
        <v>60</v>
      </c>
      <c r="CI95" s="38">
        <f t="shared" si="66"/>
        <v>35.974200517974971</v>
      </c>
      <c r="CJ95" s="38">
        <f t="shared" si="67"/>
        <v>82.710211003016923</v>
      </c>
      <c r="CL95">
        <f t="shared" si="68"/>
        <v>5.4025799482025025</v>
      </c>
      <c r="CM95">
        <f t="shared" si="69"/>
        <v>7.2897889969830771</v>
      </c>
      <c r="CN95" s="7">
        <f t="shared" si="70"/>
        <v>5.3589112820436533</v>
      </c>
      <c r="CO95" s="7">
        <f t="shared" si="71"/>
        <v>0.68552167573681089</v>
      </c>
      <c r="CP95" s="39">
        <v>0.33333333333333298</v>
      </c>
      <c r="CR95" s="39">
        <v>0.33333333333333298</v>
      </c>
      <c r="CS95" s="38">
        <v>60</v>
      </c>
      <c r="CT95" s="38">
        <f t="shared" si="72"/>
        <v>36.462362723804389</v>
      </c>
      <c r="CU95" s="38">
        <f t="shared" si="73"/>
        <v>81.070349439875727</v>
      </c>
      <c r="CW95">
        <f t="shared" si="74"/>
        <v>5.3537637276195609</v>
      </c>
      <c r="CX95">
        <f t="shared" si="75"/>
        <v>8.9296505601242728</v>
      </c>
      <c r="CY95" s="7">
        <f t="shared" si="76"/>
        <v>5.2888743491714614</v>
      </c>
      <c r="CZ95" s="7">
        <f t="shared" si="77"/>
        <v>0.83101995755279379</v>
      </c>
      <c r="DA95" s="39">
        <v>0.33333333333333298</v>
      </c>
      <c r="DC95" s="39">
        <v>0.33333333333333298</v>
      </c>
      <c r="DD95" s="38">
        <v>60</v>
      </c>
      <c r="DE95" s="38">
        <f t="shared" si="78"/>
        <v>12.251377298592953</v>
      </c>
      <c r="DF95" s="38">
        <f t="shared" si="79"/>
        <v>125.34452095224731</v>
      </c>
      <c r="DH95">
        <f t="shared" si="80"/>
        <v>7.7748622701407051</v>
      </c>
      <c r="DI95">
        <f t="shared" si="81"/>
        <v>-35.344520952247308</v>
      </c>
      <c r="DJ95" s="7">
        <f t="shared" si="82"/>
        <v>6.3418643967501813</v>
      </c>
      <c r="DK95" s="7">
        <f t="shared" si="83"/>
        <v>-4.4976926632318861</v>
      </c>
      <c r="DL95" s="39">
        <v>0.33333333333333298</v>
      </c>
    </row>
    <row r="96" spans="1:116" x14ac:dyDescent="0.25">
      <c r="A96">
        <v>-0.4</v>
      </c>
      <c r="B96">
        <f t="shared" si="24"/>
        <v>8.9911067171956098</v>
      </c>
      <c r="C96">
        <f t="shared" si="25"/>
        <v>-8.9911067171956098</v>
      </c>
      <c r="D96">
        <f t="shared" si="30"/>
        <v>7.9899937421752716</v>
      </c>
      <c r="E96">
        <f t="shared" si="31"/>
        <v>-7.9899937421752716</v>
      </c>
      <c r="F96">
        <f t="shared" si="36"/>
        <v>6.9885620838624591</v>
      </c>
      <c r="G96">
        <f t="shared" si="37"/>
        <v>-6.9885620838624591</v>
      </c>
      <c r="H96">
        <f t="shared" ref="H96:H127" si="88">+SQRT(36-A96^2)</f>
        <v>5.9866518188383067</v>
      </c>
      <c r="I96">
        <f t="shared" ref="I96:I127" si="89">-H96</f>
        <v>-5.9866518188383067</v>
      </c>
      <c r="J96">
        <f t="shared" si="28"/>
        <v>4.9839743177508451</v>
      </c>
      <c r="K96">
        <f t="shared" si="29"/>
        <v>-4.9839743177508451</v>
      </c>
      <c r="L96">
        <f t="shared" si="34"/>
        <v>3.9799497484264799</v>
      </c>
      <c r="M96">
        <f t="shared" si="35"/>
        <v>-3.9799497484264799</v>
      </c>
      <c r="N96">
        <f t="shared" si="84"/>
        <v>2.9732137494637012</v>
      </c>
      <c r="O96">
        <f t="shared" si="85"/>
        <v>-2.9732137494637012</v>
      </c>
      <c r="P96">
        <f t="shared" si="26"/>
        <v>1.9595917942265424</v>
      </c>
      <c r="Q96">
        <f t="shared" si="27"/>
        <v>-1.9595917942265424</v>
      </c>
      <c r="R96">
        <f t="shared" si="32"/>
        <v>0.91651513899116799</v>
      </c>
      <c r="S96">
        <f t="shared" si="33"/>
        <v>-0.91651513899116799</v>
      </c>
      <c r="U96" s="7">
        <v>9</v>
      </c>
      <c r="V96" s="7">
        <v>100</v>
      </c>
      <c r="W96" s="7">
        <f t="shared" si="38"/>
        <v>-1.5628335990023727</v>
      </c>
      <c r="X96" s="7">
        <f t="shared" si="39"/>
        <v>8.8632697771098723</v>
      </c>
      <c r="Y96" s="7">
        <v>9</v>
      </c>
      <c r="Z96" s="7">
        <v>280</v>
      </c>
      <c r="AA96" s="7">
        <f t="shared" si="40"/>
        <v>1.5628335990023698</v>
      </c>
      <c r="AB96" s="7">
        <f t="shared" si="41"/>
        <v>-8.8632697771098741</v>
      </c>
      <c r="AO96" s="39">
        <v>0.375</v>
      </c>
      <c r="AP96" s="38">
        <v>45</v>
      </c>
      <c r="AQ96" s="38">
        <f t="shared" si="42"/>
        <v>26.297342212361595</v>
      </c>
      <c r="AR96" s="38">
        <f t="shared" si="43"/>
        <v>131.22199491730089</v>
      </c>
      <c r="AT96">
        <f t="shared" si="44"/>
        <v>6.3702657787638408</v>
      </c>
      <c r="AU96">
        <f t="shared" si="45"/>
        <v>-41.22199491730089</v>
      </c>
      <c r="AV96" s="7">
        <f t="shared" si="46"/>
        <v>4.7914718059899393</v>
      </c>
      <c r="AW96" s="7">
        <f t="shared" si="47"/>
        <v>-4.1978666039421961</v>
      </c>
      <c r="AX96" s="39">
        <v>0.375</v>
      </c>
      <c r="AZ96" s="39">
        <v>0.375</v>
      </c>
      <c r="BA96" s="38">
        <v>45</v>
      </c>
      <c r="BB96" s="38">
        <f t="shared" si="48"/>
        <v>32.778902474630826</v>
      </c>
      <c r="BC96" s="38">
        <f t="shared" si="49"/>
        <v>123.67138966374844</v>
      </c>
      <c r="BE96">
        <f t="shared" si="50"/>
        <v>5.7221097525369178</v>
      </c>
      <c r="BF96">
        <f t="shared" si="51"/>
        <v>-33.671389663748442</v>
      </c>
      <c r="BG96" s="7">
        <f t="shared" si="52"/>
        <v>4.7621175617680649</v>
      </c>
      <c r="BH96" s="7">
        <f t="shared" si="53"/>
        <v>-3.1725031675284874</v>
      </c>
      <c r="BI96" s="39">
        <v>0.375</v>
      </c>
      <c r="BK96" s="39">
        <v>0.375</v>
      </c>
      <c r="BL96" s="38">
        <v>45</v>
      </c>
      <c r="BM96" s="38">
        <f t="shared" si="54"/>
        <v>40.579187314260722</v>
      </c>
      <c r="BN96" s="38">
        <f t="shared" si="55"/>
        <v>111.76387408261022</v>
      </c>
      <c r="BP96">
        <f t="shared" si="56"/>
        <v>4.9420812685739275</v>
      </c>
      <c r="BQ96">
        <f t="shared" si="57"/>
        <v>-21.763874082610215</v>
      </c>
      <c r="BR96" s="7">
        <f t="shared" si="86"/>
        <v>4.5898087062962007</v>
      </c>
      <c r="BS96" s="7">
        <f t="shared" si="87"/>
        <v>-1.8324364394971171</v>
      </c>
      <c r="BT96" s="39">
        <v>0.375</v>
      </c>
      <c r="BV96" s="39">
        <v>0.375</v>
      </c>
      <c r="BW96" s="38">
        <v>45</v>
      </c>
      <c r="BX96" s="38">
        <f t="shared" si="60"/>
        <v>46.234000924702507</v>
      </c>
      <c r="BY96" s="38">
        <f t="shared" si="61"/>
        <v>98.931073312987834</v>
      </c>
      <c r="CA96">
        <f t="shared" si="62"/>
        <v>4.3765999075297497</v>
      </c>
      <c r="CB96">
        <f t="shared" si="63"/>
        <v>-8.9310733129878344</v>
      </c>
      <c r="CC96" s="7">
        <f t="shared" si="64"/>
        <v>4.3235372056031043</v>
      </c>
      <c r="CD96" s="7">
        <f t="shared" si="65"/>
        <v>-0.67945035312016167</v>
      </c>
      <c r="CE96" s="39">
        <v>0.375</v>
      </c>
      <c r="CG96" s="39">
        <v>0.375</v>
      </c>
      <c r="CH96" s="38">
        <v>45</v>
      </c>
      <c r="CI96" s="38">
        <f t="shared" si="66"/>
        <v>49.04228910837859</v>
      </c>
      <c r="CJ96" s="38">
        <f t="shared" si="67"/>
        <v>89.179775376606813</v>
      </c>
      <c r="CL96">
        <f t="shared" si="68"/>
        <v>4.0957710891621408</v>
      </c>
      <c r="CM96">
        <f t="shared" si="69"/>
        <v>0.82022462339318736</v>
      </c>
      <c r="CN96" s="7">
        <f t="shared" si="70"/>
        <v>4.0953514088422205</v>
      </c>
      <c r="CO96" s="7">
        <f t="shared" si="71"/>
        <v>5.8631501008162723E-2</v>
      </c>
      <c r="CP96" s="39">
        <v>0.375</v>
      </c>
      <c r="CR96" s="39">
        <v>0.375</v>
      </c>
      <c r="CS96" s="38">
        <v>45</v>
      </c>
      <c r="CT96" s="38">
        <f t="shared" si="72"/>
        <v>49.494624805188728</v>
      </c>
      <c r="CU96" s="38">
        <f t="shared" si="73"/>
        <v>87.132774729162193</v>
      </c>
      <c r="CW96">
        <f t="shared" si="74"/>
        <v>4.0505375194811268</v>
      </c>
      <c r="CX96">
        <f t="shared" si="75"/>
        <v>2.8672252708378068</v>
      </c>
      <c r="CY96" s="7">
        <f t="shared" si="76"/>
        <v>4.0454667905311457</v>
      </c>
      <c r="CZ96" s="7">
        <f t="shared" si="77"/>
        <v>0.20261451930685959</v>
      </c>
      <c r="DA96" s="39">
        <v>0.375</v>
      </c>
      <c r="DC96" s="39">
        <v>0.375</v>
      </c>
      <c r="DD96" s="38">
        <v>45</v>
      </c>
      <c r="DE96" s="38">
        <f t="shared" si="78"/>
        <v>22.259218825541542</v>
      </c>
      <c r="DF96" s="38">
        <f t="shared" si="79"/>
        <v>135.31204694577815</v>
      </c>
      <c r="DH96">
        <f t="shared" si="80"/>
        <v>6.7740781174458462</v>
      </c>
      <c r="DI96">
        <f t="shared" si="81"/>
        <v>-45.31204694577815</v>
      </c>
      <c r="DJ96" s="7">
        <f t="shared" si="82"/>
        <v>4.763838160119902</v>
      </c>
      <c r="DK96" s="7">
        <f t="shared" si="83"/>
        <v>-4.8160129075246552</v>
      </c>
      <c r="DL96" s="39">
        <v>0.375</v>
      </c>
    </row>
    <row r="97" spans="1:116" x14ac:dyDescent="0.25">
      <c r="A97">
        <v>-0.5</v>
      </c>
      <c r="B97">
        <f t="shared" si="24"/>
        <v>8.9861003778057142</v>
      </c>
      <c r="C97">
        <f t="shared" si="25"/>
        <v>-8.9861003778057142</v>
      </c>
      <c r="D97">
        <f t="shared" si="30"/>
        <v>7.9843597113356557</v>
      </c>
      <c r="E97">
        <f t="shared" si="31"/>
        <v>-7.9843597113356557</v>
      </c>
      <c r="F97">
        <f t="shared" si="36"/>
        <v>6.9821200218844703</v>
      </c>
      <c r="G97">
        <f t="shared" si="37"/>
        <v>-6.9821200218844703</v>
      </c>
      <c r="H97">
        <f t="shared" si="88"/>
        <v>5.9791303715506992</v>
      </c>
      <c r="I97">
        <f t="shared" si="89"/>
        <v>-5.9791303715506992</v>
      </c>
      <c r="J97">
        <f t="shared" si="28"/>
        <v>4.9749371855330997</v>
      </c>
      <c r="K97">
        <f t="shared" si="29"/>
        <v>-4.9749371855330997</v>
      </c>
      <c r="L97">
        <f t="shared" si="34"/>
        <v>3.9686269665968861</v>
      </c>
      <c r="M97">
        <f t="shared" si="35"/>
        <v>-3.9686269665968861</v>
      </c>
      <c r="N97">
        <f t="shared" si="84"/>
        <v>2.9580398915498081</v>
      </c>
      <c r="O97">
        <f t="shared" si="85"/>
        <v>-2.9580398915498081</v>
      </c>
      <c r="P97">
        <f t="shared" si="26"/>
        <v>1.9364916731037085</v>
      </c>
      <c r="Q97">
        <f t="shared" si="27"/>
        <v>-1.9364916731037085</v>
      </c>
      <c r="R97">
        <f t="shared" si="32"/>
        <v>0.8660254037844386</v>
      </c>
      <c r="S97">
        <f t="shared" si="33"/>
        <v>-0.8660254037844386</v>
      </c>
      <c r="U97" s="7">
        <v>9</v>
      </c>
      <c r="V97" s="7">
        <v>110</v>
      </c>
      <c r="W97" s="7">
        <f t="shared" si="38"/>
        <v>-3.0781812899310186</v>
      </c>
      <c r="X97" s="7">
        <f t="shared" si="39"/>
        <v>8.4572335870731763</v>
      </c>
      <c r="Y97" s="7">
        <v>9</v>
      </c>
      <c r="Z97" s="7">
        <v>290</v>
      </c>
      <c r="AA97" s="7">
        <f t="shared" si="40"/>
        <v>3.0781812899310208</v>
      </c>
      <c r="AB97" s="7">
        <f t="shared" si="41"/>
        <v>-8.4572335870731745</v>
      </c>
      <c r="AO97" s="39">
        <v>0.41666666666666602</v>
      </c>
      <c r="AP97" s="38">
        <v>30</v>
      </c>
      <c r="AQ97" s="38">
        <f t="shared" si="42"/>
        <v>35.132915612826856</v>
      </c>
      <c r="AR97" s="38">
        <f t="shared" si="43"/>
        <v>144.33588641082156</v>
      </c>
      <c r="AT97">
        <f t="shared" si="44"/>
        <v>5.4867084387173142</v>
      </c>
      <c r="AU97">
        <f t="shared" si="45"/>
        <v>-54.335886410821558</v>
      </c>
      <c r="AV97" s="7">
        <f t="shared" si="46"/>
        <v>3.1989291170115344</v>
      </c>
      <c r="AW97" s="7">
        <f t="shared" si="47"/>
        <v>-4.4576700187236371</v>
      </c>
      <c r="AX97" s="39">
        <v>0.41666666666666602</v>
      </c>
      <c r="AZ97" s="39">
        <v>0.41666666666666602</v>
      </c>
      <c r="BA97" s="38">
        <v>30</v>
      </c>
      <c r="BB97" s="38">
        <f t="shared" si="48"/>
        <v>42.752422426604682</v>
      </c>
      <c r="BC97" s="38">
        <f t="shared" si="49"/>
        <v>137.63858177436344</v>
      </c>
      <c r="BE97">
        <f t="shared" si="50"/>
        <v>4.7247577573395318</v>
      </c>
      <c r="BF97">
        <f t="shared" si="51"/>
        <v>-47.638581774363445</v>
      </c>
      <c r="BG97" s="7">
        <f t="shared" si="52"/>
        <v>3.1835652798692924</v>
      </c>
      <c r="BH97" s="7">
        <f t="shared" si="53"/>
        <v>-3.4911671364102341</v>
      </c>
      <c r="BI97" s="39">
        <v>0.41666666666666602</v>
      </c>
      <c r="BK97" s="39">
        <v>0.41666666666666602</v>
      </c>
      <c r="BL97" s="38">
        <v>30</v>
      </c>
      <c r="BM97" s="38">
        <f t="shared" si="54"/>
        <v>52.096153918797427</v>
      </c>
      <c r="BN97" s="38">
        <f t="shared" si="55"/>
        <v>125.71951693085082</v>
      </c>
      <c r="BP97">
        <f t="shared" si="56"/>
        <v>3.7903846081202577</v>
      </c>
      <c r="BQ97">
        <f t="shared" si="57"/>
        <v>-35.719516930850816</v>
      </c>
      <c r="BR97" s="7">
        <f t="shared" si="86"/>
        <v>3.077355290895408</v>
      </c>
      <c r="BS97" s="7">
        <f t="shared" si="87"/>
        <v>-2.2128940080973147</v>
      </c>
      <c r="BT97" s="39">
        <v>0.41666666666666602</v>
      </c>
      <c r="BV97" s="39">
        <v>0.41666666666666602</v>
      </c>
      <c r="BW97" s="38">
        <v>30</v>
      </c>
      <c r="BX97" s="38">
        <f t="shared" si="60"/>
        <v>58.913198956609463</v>
      </c>
      <c r="BY97" s="38">
        <f t="shared" si="61"/>
        <v>110.64261236918068</v>
      </c>
      <c r="CA97">
        <f t="shared" si="62"/>
        <v>3.1086801043390535</v>
      </c>
      <c r="CB97">
        <f t="shared" si="63"/>
        <v>-20.642612369180682</v>
      </c>
      <c r="CC97" s="7">
        <f t="shared" si="64"/>
        <v>2.9090953902894121</v>
      </c>
      <c r="CD97" s="7">
        <f t="shared" si="65"/>
        <v>-1.0959270054663139</v>
      </c>
      <c r="CE97" s="39">
        <v>0.41666666666666602</v>
      </c>
      <c r="CG97" s="39">
        <v>0.41666666666666602</v>
      </c>
      <c r="CH97" s="38">
        <v>30</v>
      </c>
      <c r="CI97" s="38">
        <f t="shared" si="66"/>
        <v>62.120147714715685</v>
      </c>
      <c r="CJ97" s="38">
        <f t="shared" si="67"/>
        <v>97.645217635946267</v>
      </c>
      <c r="CL97">
        <f t="shared" si="68"/>
        <v>2.7879852285284317</v>
      </c>
      <c r="CM97">
        <f t="shared" si="69"/>
        <v>-7.6452176359462669</v>
      </c>
      <c r="CN97" s="7">
        <f t="shared" si="70"/>
        <v>2.7632024243694069</v>
      </c>
      <c r="CO97" s="7">
        <f t="shared" si="71"/>
        <v>-0.37090968772972588</v>
      </c>
      <c r="CP97" s="39">
        <v>0.41666666666666602</v>
      </c>
      <c r="CR97" s="39">
        <v>0.41666666666666602</v>
      </c>
      <c r="CS97" s="38">
        <v>30</v>
      </c>
      <c r="CT97" s="38">
        <f t="shared" si="72"/>
        <v>62.593106094089499</v>
      </c>
      <c r="CU97" s="38">
        <f t="shared" si="73"/>
        <v>94.781580028246267</v>
      </c>
      <c r="CW97">
        <f t="shared" si="74"/>
        <v>2.7406893905910499</v>
      </c>
      <c r="CX97">
        <f t="shared" si="75"/>
        <v>-4.7815800282462675</v>
      </c>
      <c r="CY97" s="7">
        <f t="shared" si="76"/>
        <v>2.731150994716121</v>
      </c>
      <c r="CZ97" s="7">
        <f t="shared" si="77"/>
        <v>-0.22845695384356915</v>
      </c>
      <c r="DA97" s="39">
        <v>0.41666666666666602</v>
      </c>
      <c r="DC97" s="39">
        <v>0.41666666666666602</v>
      </c>
      <c r="DD97" s="38">
        <v>30</v>
      </c>
      <c r="DE97" s="38">
        <f t="shared" si="78"/>
        <v>30.439709654260056</v>
      </c>
      <c r="DF97" s="38">
        <f t="shared" si="79"/>
        <v>147.73819825211658</v>
      </c>
      <c r="DH97">
        <f t="shared" si="80"/>
        <v>5.9560290345739944</v>
      </c>
      <c r="DI97">
        <f t="shared" si="81"/>
        <v>-57.738198252116575</v>
      </c>
      <c r="DJ97" s="7">
        <f t="shared" si="82"/>
        <v>3.1792610376260351</v>
      </c>
      <c r="DK97" s="7">
        <f t="shared" si="83"/>
        <v>-5.036524706116456</v>
      </c>
      <c r="DL97" s="39">
        <v>0.41666666666666602</v>
      </c>
    </row>
    <row r="98" spans="1:116" x14ac:dyDescent="0.25">
      <c r="A98">
        <v>-0.6</v>
      </c>
      <c r="B98">
        <f t="shared" ref="B98:B129" si="90">+SQRT(81-A98^2)</f>
        <v>8.9799777282574595</v>
      </c>
      <c r="C98">
        <f t="shared" ref="C98:C129" si="91">-B98</f>
        <v>-8.9799777282574595</v>
      </c>
      <c r="D98">
        <f t="shared" si="30"/>
        <v>7.9774682700716522</v>
      </c>
      <c r="E98">
        <f t="shared" si="31"/>
        <v>-7.9774682700716522</v>
      </c>
      <c r="F98">
        <f t="shared" si="36"/>
        <v>6.9742383096650773</v>
      </c>
      <c r="G98">
        <f t="shared" si="37"/>
        <v>-6.9742383096650773</v>
      </c>
      <c r="H98">
        <f t="shared" si="88"/>
        <v>5.96992462263972</v>
      </c>
      <c r="I98">
        <f t="shared" si="89"/>
        <v>-5.96992462263972</v>
      </c>
      <c r="J98">
        <f t="shared" si="28"/>
        <v>4.963869458396343</v>
      </c>
      <c r="K98">
        <f t="shared" si="29"/>
        <v>-4.963869458396343</v>
      </c>
      <c r="L98">
        <f t="shared" si="34"/>
        <v>3.954743986657038</v>
      </c>
      <c r="M98">
        <f t="shared" si="35"/>
        <v>-3.954743986657038</v>
      </c>
      <c r="N98">
        <f t="shared" si="84"/>
        <v>2.9393876913398138</v>
      </c>
      <c r="O98">
        <f t="shared" si="85"/>
        <v>-2.9393876913398138</v>
      </c>
      <c r="P98">
        <f t="shared" si="26"/>
        <v>1.9078784028338913</v>
      </c>
      <c r="Q98">
        <f t="shared" si="27"/>
        <v>-1.9078784028338913</v>
      </c>
      <c r="R98">
        <f t="shared" si="32"/>
        <v>0.8</v>
      </c>
      <c r="S98">
        <f t="shared" si="33"/>
        <v>-0.8</v>
      </c>
      <c r="U98" s="7">
        <v>9</v>
      </c>
      <c r="V98" s="7">
        <v>120</v>
      </c>
      <c r="W98" s="7">
        <f t="shared" si="38"/>
        <v>-4.4999999999999982</v>
      </c>
      <c r="X98" s="7">
        <f t="shared" si="39"/>
        <v>7.794228634059948</v>
      </c>
      <c r="Y98" s="7">
        <v>9</v>
      </c>
      <c r="Z98" s="7">
        <v>300</v>
      </c>
      <c r="AA98" s="7">
        <f t="shared" si="40"/>
        <v>4.5000000000000009</v>
      </c>
      <c r="AB98" s="7">
        <f t="shared" si="41"/>
        <v>-7.7942286340599471</v>
      </c>
      <c r="AO98" s="39">
        <v>0.45833333333333298</v>
      </c>
      <c r="AP98" s="38">
        <v>15</v>
      </c>
      <c r="AQ98" s="38">
        <f t="shared" si="42"/>
        <v>41.203386965463082</v>
      </c>
      <c r="AR98" s="38">
        <f t="shared" si="43"/>
        <v>160.84947792309023</v>
      </c>
      <c r="AT98">
        <f t="shared" si="44"/>
        <v>4.879661303453692</v>
      </c>
      <c r="AU98">
        <f t="shared" si="45"/>
        <v>-70.849477923090234</v>
      </c>
      <c r="AV98" s="7">
        <f t="shared" si="46"/>
        <v>1.6007777970337362</v>
      </c>
      <c r="AW98" s="7">
        <f t="shared" si="47"/>
        <v>-4.6096209042552729</v>
      </c>
      <c r="AX98" s="39">
        <v>0.45833333333333298</v>
      </c>
      <c r="AZ98" s="39">
        <v>0.45833333333333298</v>
      </c>
      <c r="BA98" s="38">
        <v>15</v>
      </c>
      <c r="BB98" s="38">
        <f t="shared" si="48"/>
        <v>49.927090631227195</v>
      </c>
      <c r="BC98" s="38">
        <f t="shared" si="49"/>
        <v>156.55697888534539</v>
      </c>
      <c r="BE98">
        <f t="shared" si="50"/>
        <v>4.0072909368772809</v>
      </c>
      <c r="BF98">
        <f t="shared" si="51"/>
        <v>-66.556978885345387</v>
      </c>
      <c r="BG98" s="7">
        <f t="shared" si="52"/>
        <v>1.5942481393866368</v>
      </c>
      <c r="BH98" s="7">
        <f t="shared" si="53"/>
        <v>-3.6765137729703996</v>
      </c>
      <c r="BI98" s="39">
        <v>0.45833333333333298</v>
      </c>
      <c r="BK98" s="39">
        <v>0.45833333333333298</v>
      </c>
      <c r="BL98" s="38">
        <v>15</v>
      </c>
      <c r="BM98" s="38">
        <f t="shared" si="54"/>
        <v>61.179653601104718</v>
      </c>
      <c r="BN98" s="38">
        <f t="shared" si="55"/>
        <v>147.61688935411229</v>
      </c>
      <c r="BP98">
        <f t="shared" si="56"/>
        <v>2.882034639889528</v>
      </c>
      <c r="BQ98">
        <f t="shared" si="57"/>
        <v>-57.616889354112288</v>
      </c>
      <c r="BR98" s="7">
        <f t="shared" si="86"/>
        <v>1.5435540171470266</v>
      </c>
      <c r="BS98" s="7">
        <f t="shared" si="87"/>
        <v>-2.4338374353420646</v>
      </c>
      <c r="BT98" s="39">
        <v>0.45833333333333298</v>
      </c>
      <c r="BV98" s="39">
        <v>0.45833333333333298</v>
      </c>
      <c r="BW98" s="38">
        <v>15</v>
      </c>
      <c r="BX98" s="38">
        <f t="shared" si="60"/>
        <v>70.179120424793908</v>
      </c>
      <c r="BY98" s="38">
        <f t="shared" si="61"/>
        <v>132.47024428392857</v>
      </c>
      <c r="CA98">
        <f t="shared" si="62"/>
        <v>1.9820879575206094</v>
      </c>
      <c r="CB98">
        <f t="shared" si="63"/>
        <v>-42.470244283928565</v>
      </c>
      <c r="CC98" s="7">
        <f t="shared" si="64"/>
        <v>1.4620437645376918</v>
      </c>
      <c r="CD98" s="7">
        <f t="shared" si="65"/>
        <v>-1.3383201044311768</v>
      </c>
      <c r="CE98" s="39">
        <v>0.45833333333333298</v>
      </c>
      <c r="CG98" s="39">
        <v>0.45833333333333298</v>
      </c>
      <c r="CH98" s="38">
        <v>15</v>
      </c>
      <c r="CI98" s="38">
        <f t="shared" si="66"/>
        <v>74.765245687919915</v>
      </c>
      <c r="CJ98" s="38">
        <f t="shared" si="67"/>
        <v>114.0806639695666</v>
      </c>
      <c r="CL98">
        <f t="shared" si="68"/>
        <v>1.5234754312080083</v>
      </c>
      <c r="CM98">
        <f t="shared" si="69"/>
        <v>-24.080663969566601</v>
      </c>
      <c r="CN98" s="7">
        <f t="shared" si="70"/>
        <v>1.3908903010032683</v>
      </c>
      <c r="CO98" s="7">
        <f t="shared" si="71"/>
        <v>-0.62161206557584159</v>
      </c>
      <c r="CP98" s="39">
        <v>0.45833333333333298</v>
      </c>
      <c r="CR98" s="39">
        <v>0.45833333333333298</v>
      </c>
      <c r="CS98" s="38">
        <v>15</v>
      </c>
      <c r="CT98" s="38">
        <f t="shared" si="72"/>
        <v>75.433504705998018</v>
      </c>
      <c r="CU98" s="38">
        <f t="shared" si="73"/>
        <v>109.24906860936896</v>
      </c>
      <c r="CW98">
        <f t="shared" si="74"/>
        <v>1.456649529400198</v>
      </c>
      <c r="CX98">
        <f t="shared" si="75"/>
        <v>-19.249068609368962</v>
      </c>
      <c r="CY98" s="7">
        <f t="shared" si="76"/>
        <v>1.3752146338471711</v>
      </c>
      <c r="CZ98" s="7">
        <f t="shared" si="77"/>
        <v>-0.48022136807352639</v>
      </c>
      <c r="DA98" s="39">
        <v>0.45833333333333298</v>
      </c>
      <c r="DC98" s="39">
        <v>0.45833333333333298</v>
      </c>
      <c r="DD98" s="38">
        <v>15</v>
      </c>
      <c r="DE98" s="38">
        <f t="shared" si="78"/>
        <v>35.943781380086349</v>
      </c>
      <c r="DF98" s="38">
        <f t="shared" si="79"/>
        <v>162.88737099929463</v>
      </c>
      <c r="DH98">
        <f t="shared" si="80"/>
        <v>5.4056218619913654</v>
      </c>
      <c r="DI98">
        <f t="shared" si="81"/>
        <v>-72.887370999294632</v>
      </c>
      <c r="DJ98" s="7">
        <f t="shared" si="82"/>
        <v>1.5906095938181593</v>
      </c>
      <c r="DK98" s="7">
        <f t="shared" si="83"/>
        <v>-5.1663051434165812</v>
      </c>
      <c r="DL98" s="39">
        <v>0.45833333333333298</v>
      </c>
    </row>
    <row r="99" spans="1:116" x14ac:dyDescent="0.25">
      <c r="A99">
        <v>-0.7</v>
      </c>
      <c r="B99">
        <f t="shared" si="90"/>
        <v>8.9727364833700545</v>
      </c>
      <c r="C99">
        <f t="shared" si="91"/>
        <v>-8.9727364833700545</v>
      </c>
      <c r="D99">
        <f t="shared" si="30"/>
        <v>7.9693161563587118</v>
      </c>
      <c r="E99">
        <f t="shared" si="31"/>
        <v>-7.9693161563587118</v>
      </c>
      <c r="F99">
        <f t="shared" si="36"/>
        <v>6.9649120597463394</v>
      </c>
      <c r="G99">
        <f t="shared" si="37"/>
        <v>-6.9649120597463394</v>
      </c>
      <c r="H99">
        <f t="shared" si="88"/>
        <v>5.9590267661758327</v>
      </c>
      <c r="I99">
        <f t="shared" si="89"/>
        <v>-5.9590267661758327</v>
      </c>
      <c r="J99">
        <f t="shared" si="28"/>
        <v>4.9507575177946253</v>
      </c>
      <c r="K99">
        <f t="shared" si="29"/>
        <v>-4.9507575177946253</v>
      </c>
      <c r="L99">
        <f t="shared" si="34"/>
        <v>3.9382737335030433</v>
      </c>
      <c r="M99">
        <f t="shared" si="35"/>
        <v>-3.9382737335030433</v>
      </c>
      <c r="N99">
        <f t="shared" si="84"/>
        <v>2.9171904291629644</v>
      </c>
      <c r="O99">
        <f t="shared" si="85"/>
        <v>-2.9171904291629644</v>
      </c>
      <c r="P99">
        <f t="shared" si="26"/>
        <v>1.8734993995195195</v>
      </c>
      <c r="Q99">
        <f t="shared" si="27"/>
        <v>-1.8734993995195195</v>
      </c>
      <c r="R99">
        <f t="shared" si="32"/>
        <v>0.71414284285428498</v>
      </c>
      <c r="S99">
        <f t="shared" si="33"/>
        <v>-0.71414284285428498</v>
      </c>
      <c r="U99" s="7">
        <v>9</v>
      </c>
      <c r="V99" s="7">
        <v>130</v>
      </c>
      <c r="W99" s="7">
        <f t="shared" si="38"/>
        <v>-5.7850884871788546</v>
      </c>
      <c r="X99" s="7">
        <f t="shared" si="39"/>
        <v>6.894399988070802</v>
      </c>
      <c r="Y99" s="7">
        <v>9</v>
      </c>
      <c r="Z99" s="7">
        <v>310</v>
      </c>
      <c r="AA99" s="7">
        <f t="shared" si="40"/>
        <v>5.7850884871788537</v>
      </c>
      <c r="AB99" s="7">
        <f t="shared" si="41"/>
        <v>-6.8943999880708029</v>
      </c>
      <c r="AO99" s="39">
        <v>0.5</v>
      </c>
      <c r="AP99" s="38">
        <v>0</v>
      </c>
      <c r="AQ99" s="38">
        <f t="shared" si="42"/>
        <v>43.40350454351578</v>
      </c>
      <c r="AR99" s="38">
        <f>+IF(AR85&gt;=-19,180,0)</f>
        <v>180</v>
      </c>
      <c r="AT99">
        <f t="shared" si="44"/>
        <v>4.6596495456484224</v>
      </c>
      <c r="AU99">
        <f t="shared" si="45"/>
        <v>-90</v>
      </c>
      <c r="AV99" s="7">
        <f t="shared" si="46"/>
        <v>2.8543812206334089E-16</v>
      </c>
      <c r="AW99" s="7">
        <f t="shared" si="47"/>
        <v>-4.6596495456484224</v>
      </c>
      <c r="AX99" s="39">
        <v>0.5</v>
      </c>
      <c r="AZ99" s="39">
        <v>0.5</v>
      </c>
      <c r="BA99" s="38">
        <v>0</v>
      </c>
      <c r="BB99" s="38">
        <f t="shared" si="48"/>
        <v>52.626294934964093</v>
      </c>
      <c r="BC99" s="38">
        <f>+IF(BC85&gt;=-11,180,0)</f>
        <v>180</v>
      </c>
      <c r="BE99">
        <f t="shared" si="50"/>
        <v>3.7373705065035905</v>
      </c>
      <c r="BF99">
        <f t="shared" si="51"/>
        <v>-90</v>
      </c>
      <c r="BG99" s="7">
        <f t="shared" si="52"/>
        <v>2.2894168507319601E-16</v>
      </c>
      <c r="BH99" s="7">
        <f t="shared" si="53"/>
        <v>-3.7373705065035905</v>
      </c>
      <c r="BI99" s="39">
        <v>0.5</v>
      </c>
      <c r="BK99" s="39">
        <v>0.5</v>
      </c>
      <c r="BL99" s="38">
        <v>0</v>
      </c>
      <c r="BM99" s="38">
        <f t="shared" si="54"/>
        <v>64.936824231055681</v>
      </c>
      <c r="BN99" s="38">
        <f>+IF(BN85&gt;=0,180,0)</f>
        <v>180</v>
      </c>
      <c r="BP99">
        <f t="shared" si="56"/>
        <v>2.5063175768944319</v>
      </c>
      <c r="BQ99">
        <f t="shared" si="57"/>
        <v>-90</v>
      </c>
      <c r="BR99" s="7">
        <f t="shared" si="86"/>
        <v>1.5353055534212649E-16</v>
      </c>
      <c r="BS99" s="7">
        <f t="shared" si="87"/>
        <v>-2.5063175768944319</v>
      </c>
      <c r="BT99" s="39">
        <v>0.5</v>
      </c>
      <c r="BV99" s="39">
        <v>0.5</v>
      </c>
      <c r="BW99" s="38">
        <v>0</v>
      </c>
      <c r="BX99" s="38">
        <f t="shared" si="60"/>
        <v>75.820887455874669</v>
      </c>
      <c r="BY99" s="38">
        <f>IF(BY85&lt;12,0,180)</f>
        <v>180</v>
      </c>
      <c r="CA99">
        <f t="shared" si="62"/>
        <v>1.417911254412533</v>
      </c>
      <c r="CB99">
        <f t="shared" si="63"/>
        <v>-90</v>
      </c>
      <c r="CC99" s="7">
        <f t="shared" si="64"/>
        <v>8.6857589127052893E-17</v>
      </c>
      <c r="CD99" s="7">
        <f t="shared" si="65"/>
        <v>-1.417911254412533</v>
      </c>
      <c r="CE99" s="39">
        <v>0.5</v>
      </c>
      <c r="CG99" s="39">
        <v>0.5</v>
      </c>
      <c r="CH99" s="38">
        <v>0</v>
      </c>
      <c r="CI99" s="38">
        <f t="shared" si="66"/>
        <v>82.959624558737431</v>
      </c>
      <c r="CJ99" s="38">
        <f>IF(CJ85&lt;20,0,180)</f>
        <v>180</v>
      </c>
      <c r="CL99">
        <f t="shared" si="68"/>
        <v>0.70403754412625652</v>
      </c>
      <c r="CM99">
        <f t="shared" si="69"/>
        <v>-90</v>
      </c>
      <c r="CN99" s="7">
        <f t="shared" si="70"/>
        <v>4.312752546919713E-17</v>
      </c>
      <c r="CO99" s="7">
        <f t="shared" si="71"/>
        <v>-0.70403754412625652</v>
      </c>
      <c r="CP99" s="39">
        <v>0.5</v>
      </c>
      <c r="CR99" s="39">
        <v>0.5</v>
      </c>
      <c r="CS99" s="38">
        <v>0</v>
      </c>
      <c r="CT99" s="38">
        <f t="shared" si="72"/>
        <v>84.369782846813621</v>
      </c>
      <c r="CU99" s="38">
        <f>IF(CU85&lt;23.45,0,180)</f>
        <v>180</v>
      </c>
      <c r="CW99">
        <f t="shared" si="74"/>
        <v>0.56302171531863721</v>
      </c>
      <c r="CX99">
        <f t="shared" si="75"/>
        <v>-90</v>
      </c>
      <c r="CY99" s="7">
        <f t="shared" si="76"/>
        <v>3.4489259230131462E-17</v>
      </c>
      <c r="CZ99" s="7">
        <f t="shared" si="77"/>
        <v>-0.56302171531863721</v>
      </c>
      <c r="DA99" s="39">
        <v>0.5</v>
      </c>
      <c r="DC99" s="39">
        <v>0.5</v>
      </c>
      <c r="DD99" s="38">
        <v>0</v>
      </c>
      <c r="DE99" s="38">
        <f t="shared" si="78"/>
        <v>37.908363272130764</v>
      </c>
      <c r="DF99" s="38">
        <f>+IF(DF85&gt;=-23,180,0)</f>
        <v>180</v>
      </c>
      <c r="DH99">
        <f t="shared" si="80"/>
        <v>5.2091636727869233</v>
      </c>
      <c r="DI99">
        <f t="shared" si="81"/>
        <v>-90</v>
      </c>
      <c r="DJ99" s="7">
        <f t="shared" si="82"/>
        <v>3.1909994125405056E-16</v>
      </c>
      <c r="DK99" s="7">
        <f t="shared" si="83"/>
        <v>-5.2091636727869233</v>
      </c>
      <c r="DL99" s="39">
        <v>0.5</v>
      </c>
    </row>
    <row r="100" spans="1:116" x14ac:dyDescent="0.25">
      <c r="A100">
        <v>-0.8</v>
      </c>
      <c r="B100">
        <f t="shared" si="90"/>
        <v>8.964373932405989</v>
      </c>
      <c r="C100">
        <f t="shared" si="91"/>
        <v>-8.964373932405989</v>
      </c>
      <c r="D100">
        <f t="shared" si="30"/>
        <v>7.9598994968529597</v>
      </c>
      <c r="E100">
        <f t="shared" si="31"/>
        <v>-7.9598994968529597</v>
      </c>
      <c r="F100">
        <f t="shared" si="36"/>
        <v>6.9541354602854843</v>
      </c>
      <c r="G100">
        <f t="shared" si="37"/>
        <v>-6.9541354602854843</v>
      </c>
      <c r="H100">
        <f t="shared" si="88"/>
        <v>5.9464274989274024</v>
      </c>
      <c r="I100">
        <f t="shared" si="89"/>
        <v>-5.9464274989274024</v>
      </c>
      <c r="J100">
        <f t="shared" si="28"/>
        <v>4.935585071701226</v>
      </c>
      <c r="K100">
        <f t="shared" si="29"/>
        <v>-4.935585071701226</v>
      </c>
      <c r="L100">
        <f t="shared" si="34"/>
        <v>3.9191835884530848</v>
      </c>
      <c r="M100">
        <f t="shared" si="35"/>
        <v>-3.9191835884530848</v>
      </c>
      <c r="N100">
        <f t="shared" si="84"/>
        <v>2.8913664589601922</v>
      </c>
      <c r="O100">
        <f t="shared" si="85"/>
        <v>-2.8913664589601922</v>
      </c>
      <c r="P100">
        <f t="shared" si="26"/>
        <v>1.833030277982336</v>
      </c>
      <c r="Q100">
        <f t="shared" si="27"/>
        <v>-1.833030277982336</v>
      </c>
      <c r="R100">
        <f t="shared" si="32"/>
        <v>0.59999999999999987</v>
      </c>
      <c r="S100">
        <f t="shared" si="33"/>
        <v>-0.59999999999999987</v>
      </c>
      <c r="U100" s="7">
        <v>9</v>
      </c>
      <c r="V100" s="7">
        <v>140</v>
      </c>
      <c r="W100" s="7">
        <f t="shared" si="38"/>
        <v>-6.8943999880708011</v>
      </c>
      <c r="X100" s="7">
        <f t="shared" si="39"/>
        <v>5.7850884871788555</v>
      </c>
      <c r="Y100" s="7">
        <v>9</v>
      </c>
      <c r="Z100" s="7">
        <v>320</v>
      </c>
      <c r="AA100" s="7">
        <f t="shared" si="40"/>
        <v>6.8943999880708002</v>
      </c>
      <c r="AB100" s="7">
        <f t="shared" si="41"/>
        <v>-5.7850884871788564</v>
      </c>
      <c r="AO100" s="39">
        <v>0.54166666666666596</v>
      </c>
      <c r="AP100" s="38">
        <v>-15</v>
      </c>
      <c r="AQ100" s="38">
        <f t="shared" si="42"/>
        <v>41.203386965463082</v>
      </c>
      <c r="AR100" s="38">
        <f t="shared" ref="AR100:AR110" si="92">-(180-DEGREES(ACOS((((SIN(RADIANS(AQ100)))*SIN(RADIANS($AR$85)))-SIN(RADIANS($AQ$85)))/((COS(RADIANS(AQ100)))*COS(RADIANS($AR$85))))))</f>
        <v>-160.84947792309023</v>
      </c>
      <c r="AT100">
        <f t="shared" si="44"/>
        <v>4.879661303453692</v>
      </c>
      <c r="AU100">
        <f t="shared" ref="AU100:AU112" si="93">IF((9-(AQ100/10))&gt;9,90+(180-DEGREES(ACOS((((SIN(RADIANS(0)))*SIN(RADIANS($AR$85)))-SIN(RADIANS($AQ$85)))/((COS(RADIANS(0)))*COS(RADIANS($AR$85)))))),90-AR100)</f>
        <v>250.84947792309023</v>
      </c>
      <c r="AV100" s="7">
        <f t="shared" si="46"/>
        <v>-1.6007777970337347</v>
      </c>
      <c r="AW100" s="7">
        <f t="shared" si="47"/>
        <v>-4.6096209042552738</v>
      </c>
      <c r="AX100" s="39">
        <v>0.54166666666666596</v>
      </c>
      <c r="AZ100" s="39">
        <v>0.54166666666666596</v>
      </c>
      <c r="BA100" s="38">
        <v>-15</v>
      </c>
      <c r="BB100" s="38">
        <f t="shared" si="48"/>
        <v>49.927090631227195</v>
      </c>
      <c r="BC100" s="38">
        <f t="shared" ref="BC100:BC110" si="94">-(180-DEGREES(ACOS((((SIN(RADIANS(BB100)))*SIN(RADIANS($BC$85)))-SIN(RADIANS($BB$85)))/((COS(RADIANS(BB100)))*COS(RADIANS($BC$85))))))</f>
        <v>-156.55697888534539</v>
      </c>
      <c r="BE100">
        <f t="shared" si="50"/>
        <v>4.0072909368772809</v>
      </c>
      <c r="BF100">
        <f t="shared" ref="BF100:BF112" si="95">IF((9-(BB100/10))&gt;9,90+(180-DEGREES(ACOS((((SIN(RADIANS(0)))*SIN(RADIANS($BC$85)))-SIN(RADIANS($BB$85)))/((COS(RADIANS(0)))*COS(RADIANS($BC$85)))))),90-BC100)</f>
        <v>246.55697888534539</v>
      </c>
      <c r="BG100" s="7">
        <f t="shared" si="52"/>
        <v>-1.5942481393866366</v>
      </c>
      <c r="BH100" s="7">
        <f t="shared" si="53"/>
        <v>-3.6765137729703996</v>
      </c>
      <c r="BI100" s="39">
        <v>0.54166666666666596</v>
      </c>
      <c r="BK100" s="39">
        <v>0.54166666666666596</v>
      </c>
      <c r="BL100" s="38">
        <v>-15</v>
      </c>
      <c r="BM100" s="38">
        <f t="shared" si="54"/>
        <v>61.179653601104718</v>
      </c>
      <c r="BN100" s="38">
        <f t="shared" ref="BN100:BN110" si="96">-(180-DEGREES(ACOS((((SIN(RADIANS(BM100)))*SIN(RADIANS($BN$85)))-SIN(RADIANS($BM$85)))/((COS(RADIANS(BM100)))*COS(RADIANS($BN$85))))))</f>
        <v>-147.61688935411229</v>
      </c>
      <c r="BP100">
        <f t="shared" si="56"/>
        <v>2.882034639889528</v>
      </c>
      <c r="BQ100">
        <f t="shared" ref="BQ100:BQ112" si="97">IF((9-(BM100/10))&gt;9,90+(180-DEGREES(ACOS((((SIN(RADIANS(0)))*SIN(RADIANS($BN$85)))-SIN(RADIANS($BM$85)))/((COS(RADIANS(0)))*COS(RADIANS($BN$85)))))),90-BN100)</f>
        <v>237.61688935411229</v>
      </c>
      <c r="BR100" s="7">
        <f t="shared" si="86"/>
        <v>-1.5435540171470266</v>
      </c>
      <c r="BS100" s="7">
        <f t="shared" si="87"/>
        <v>-2.4338374353420642</v>
      </c>
      <c r="BT100" s="39">
        <v>0.54166666666666596</v>
      </c>
      <c r="BV100" s="39">
        <v>0.54166666666666596</v>
      </c>
      <c r="BW100" s="38">
        <v>-15</v>
      </c>
      <c r="BX100" s="38">
        <f t="shared" si="60"/>
        <v>70.179120424793908</v>
      </c>
      <c r="BY100" s="38">
        <f t="shared" ref="BY100:BY110" si="98">-(180-DEGREES(ACOS((((SIN(RADIANS(BX100)))*SIN(RADIANS($BY$85)))-SIN(RADIANS($BX$85)))/((COS(RADIANS(BX100)))*COS(RADIANS($BY$85))))))</f>
        <v>-132.47024428392857</v>
      </c>
      <c r="CA100">
        <f t="shared" si="62"/>
        <v>1.9820879575206094</v>
      </c>
      <c r="CB100">
        <f t="shared" ref="CB100:CB112" si="99">IF((9-(BX100/10))&gt;9,90+(180-DEGREES(ACOS((((SIN(RADIANS(0)))*SIN(RADIANS($BY$85)))-SIN(RADIANS($BX$85)))/((COS(RADIANS(0)))*COS(RADIANS($BY$85)))))),90-BY100)</f>
        <v>222.47024428392857</v>
      </c>
      <c r="CC100" s="7">
        <f t="shared" si="64"/>
        <v>-1.4620437645376916</v>
      </c>
      <c r="CD100" s="7">
        <f t="shared" si="65"/>
        <v>-1.338320104431177</v>
      </c>
      <c r="CE100" s="39">
        <v>0.54166666666666596</v>
      </c>
      <c r="CG100" s="39">
        <v>0.54166666666666596</v>
      </c>
      <c r="CH100" s="38">
        <v>-15</v>
      </c>
      <c r="CI100" s="38">
        <f t="shared" si="66"/>
        <v>74.765245687919915</v>
      </c>
      <c r="CJ100" s="38">
        <f t="shared" ref="CJ100:CJ110" si="100">-(180-DEGREES(ACOS((((SIN(RADIANS(CI100)))*SIN(RADIANS($CJ$85)))-SIN(RADIANS($CI$85)))/((COS(RADIANS(CI100)))*COS(RADIANS($CJ$85))))))</f>
        <v>-114.0806639695666</v>
      </c>
      <c r="CL100">
        <f t="shared" si="68"/>
        <v>1.5234754312080083</v>
      </c>
      <c r="CM100">
        <f t="shared" ref="CM100:CM112" si="101">IF((9-(CI100/10))&gt;9,90+(180-DEGREES(ACOS((((SIN(RADIANS(0)))*SIN(RADIANS($CJ$85)))-SIN(RADIANS($CI$85)))/((COS(RADIANS(0)))*COS(RADIANS($CJ$85)))))),90-CJ100)</f>
        <v>204.08066396956661</v>
      </c>
      <c r="CN100" s="7">
        <f t="shared" si="70"/>
        <v>-1.3908903010032683</v>
      </c>
      <c r="CO100" s="7">
        <f t="shared" si="71"/>
        <v>-0.62161206557584214</v>
      </c>
      <c r="CP100" s="39">
        <v>0.54166666666666596</v>
      </c>
      <c r="CR100" s="39">
        <v>0.54166666666666596</v>
      </c>
      <c r="CS100" s="38">
        <v>-15</v>
      </c>
      <c r="CT100" s="38">
        <f t="shared" si="72"/>
        <v>75.433504705998018</v>
      </c>
      <c r="CU100" s="38">
        <f t="shared" ref="CU100:CU110" si="102">-(180-DEGREES(ACOS((((SIN(RADIANS(CT100)))*SIN(RADIANS($CU$85)))-SIN(RADIANS($CT$85)))/((COS(RADIANS(CT100)))*COS(RADIANS($CU$85))))))</f>
        <v>-109.24906860936896</v>
      </c>
      <c r="CW100">
        <f t="shared" si="74"/>
        <v>1.456649529400198</v>
      </c>
      <c r="CX100">
        <f t="shared" ref="CX100:CX111" si="103">IF((9-(CT100/10))&gt;9,90+(180-DEGREES(ACOS((((SIN(RADIANS(0)))*SIN(RADIANS($CU$85)))-SIN(RADIANS($CT$85)))/((COS(RADIANS(0)))*COS(RADIANS($CU$85)))))),90-CU100)</f>
        <v>199.24906860936898</v>
      </c>
      <c r="CY100" s="7">
        <f t="shared" si="76"/>
        <v>-1.3752146338471709</v>
      </c>
      <c r="CZ100" s="7">
        <f t="shared" si="77"/>
        <v>-0.48022136807352689</v>
      </c>
      <c r="DA100" s="39">
        <v>0.54166666666666596</v>
      </c>
      <c r="DC100" s="39">
        <v>0.54166666666666596</v>
      </c>
      <c r="DD100" s="38">
        <v>-15</v>
      </c>
      <c r="DE100" s="38">
        <f t="shared" si="78"/>
        <v>35.943781380086349</v>
      </c>
      <c r="DF100" s="38">
        <f t="shared" ref="DF100:DF110" si="104">-(180-DEGREES(ACOS((((SIN(RADIANS(DE100)))*SIN(RADIANS($DF$85)))-SIN(RADIANS($DE$85)))/((COS(RADIANS(DE100)))*COS(RADIANS($DF$85))))))</f>
        <v>-162.88737099929463</v>
      </c>
      <c r="DH100">
        <f t="shared" si="80"/>
        <v>5.4056218619913654</v>
      </c>
      <c r="DI100">
        <f t="shared" ref="DI100:DI112" si="105">IF((9-(DE100/10))&gt;9,90+(180-DEGREES(ACOS((((SIN(RADIANS(0)))*SIN(RADIANS($DF$85)))-SIN(RADIANS($DE$85)))/((COS(RADIANS(0)))*COS(RADIANS($DF$85)))))),90-DF100)</f>
        <v>252.88737099929463</v>
      </c>
      <c r="DJ100" s="7">
        <f t="shared" si="82"/>
        <v>-1.5906095938181599</v>
      </c>
      <c r="DK100" s="7">
        <f t="shared" si="83"/>
        <v>-5.1663051434165812</v>
      </c>
      <c r="DL100" s="39">
        <v>0.54166666666666596</v>
      </c>
    </row>
    <row r="101" spans="1:116" x14ac:dyDescent="0.25">
      <c r="A101">
        <v>-0.9</v>
      </c>
      <c r="B101">
        <f t="shared" si="90"/>
        <v>8.95488693395958</v>
      </c>
      <c r="C101">
        <f t="shared" si="91"/>
        <v>-8.95488693395958</v>
      </c>
      <c r="D101">
        <f t="shared" si="30"/>
        <v>7.94921379760288</v>
      </c>
      <c r="E101">
        <f t="shared" si="31"/>
        <v>-7.94921379760288</v>
      </c>
      <c r="F101">
        <f t="shared" si="36"/>
        <v>6.9419017567234409</v>
      </c>
      <c r="G101">
        <f t="shared" si="37"/>
        <v>-6.9419017567234409</v>
      </c>
      <c r="H101">
        <f t="shared" si="88"/>
        <v>5.9321159799855563</v>
      </c>
      <c r="I101">
        <f t="shared" si="89"/>
        <v>-5.9321159799855563</v>
      </c>
      <c r="J101">
        <f t="shared" si="28"/>
        <v>4.9183330509431755</v>
      </c>
      <c r="K101">
        <f t="shared" si="29"/>
        <v>-4.9183330509431755</v>
      </c>
      <c r="L101">
        <f t="shared" si="34"/>
        <v>3.8974350539810154</v>
      </c>
      <c r="M101">
        <f t="shared" si="35"/>
        <v>-3.8974350539810154</v>
      </c>
      <c r="N101">
        <f t="shared" si="84"/>
        <v>2.8618176042508368</v>
      </c>
      <c r="O101">
        <f t="shared" si="85"/>
        <v>-2.8618176042508368</v>
      </c>
      <c r="P101">
        <f t="shared" si="26"/>
        <v>1.7860571099491751</v>
      </c>
      <c r="Q101">
        <f t="shared" si="27"/>
        <v>-1.7860571099491751</v>
      </c>
      <c r="R101">
        <f t="shared" si="32"/>
        <v>0.43588989435406728</v>
      </c>
      <c r="S101">
        <f t="shared" si="33"/>
        <v>-0.43588989435406728</v>
      </c>
      <c r="U101" s="7">
        <v>9</v>
      </c>
      <c r="V101" s="7">
        <v>150</v>
      </c>
      <c r="W101" s="7">
        <f t="shared" si="38"/>
        <v>-7.794228634059948</v>
      </c>
      <c r="X101" s="7">
        <f t="shared" si="39"/>
        <v>4.4999999999999991</v>
      </c>
      <c r="Y101" s="7">
        <v>9</v>
      </c>
      <c r="Z101" s="7">
        <v>330</v>
      </c>
      <c r="AA101" s="7">
        <f t="shared" si="40"/>
        <v>7.7942286340599454</v>
      </c>
      <c r="AB101" s="7">
        <f t="shared" si="41"/>
        <v>-4.5000000000000036</v>
      </c>
      <c r="AO101" s="39">
        <v>0.58333333333333304</v>
      </c>
      <c r="AP101" s="38">
        <v>-30</v>
      </c>
      <c r="AQ101" s="38">
        <f t="shared" si="42"/>
        <v>35.132915612826856</v>
      </c>
      <c r="AR101" s="38">
        <f t="shared" si="92"/>
        <v>-144.33588641082156</v>
      </c>
      <c r="AT101">
        <f t="shared" si="44"/>
        <v>5.4867084387173142</v>
      </c>
      <c r="AU101">
        <f t="shared" si="93"/>
        <v>234.33588641082156</v>
      </c>
      <c r="AV101" s="7">
        <f t="shared" si="46"/>
        <v>-3.1989291170115348</v>
      </c>
      <c r="AW101" s="7">
        <f t="shared" si="47"/>
        <v>-4.4576700187236371</v>
      </c>
      <c r="AX101" s="39">
        <v>0.58333333333333304</v>
      </c>
      <c r="AZ101" s="39">
        <v>0.58333333333333304</v>
      </c>
      <c r="BA101" s="38">
        <v>-30</v>
      </c>
      <c r="BB101" s="38">
        <f t="shared" si="48"/>
        <v>42.752422426604682</v>
      </c>
      <c r="BC101" s="38">
        <f t="shared" si="94"/>
        <v>-137.63858177436344</v>
      </c>
      <c r="BE101">
        <f t="shared" si="50"/>
        <v>4.7247577573395318</v>
      </c>
      <c r="BF101">
        <f t="shared" si="95"/>
        <v>227.63858177436344</v>
      </c>
      <c r="BG101" s="7">
        <f t="shared" si="52"/>
        <v>-3.1835652798692937</v>
      </c>
      <c r="BH101" s="7">
        <f t="shared" si="53"/>
        <v>-3.4911671364102332</v>
      </c>
      <c r="BI101" s="39">
        <v>0.58333333333333304</v>
      </c>
      <c r="BK101" s="39">
        <v>0.58333333333333304</v>
      </c>
      <c r="BL101" s="38">
        <v>-30</v>
      </c>
      <c r="BM101" s="38">
        <f t="shared" si="54"/>
        <v>52.096153918797427</v>
      </c>
      <c r="BN101" s="38">
        <f t="shared" si="96"/>
        <v>-125.71951693085082</v>
      </c>
      <c r="BP101">
        <f t="shared" si="56"/>
        <v>3.7903846081202577</v>
      </c>
      <c r="BQ101">
        <f t="shared" si="97"/>
        <v>215.71951693085083</v>
      </c>
      <c r="BR101" s="7">
        <f t="shared" si="86"/>
        <v>-3.0773552908954072</v>
      </c>
      <c r="BS101" s="7">
        <f t="shared" si="87"/>
        <v>-2.2128940080973156</v>
      </c>
      <c r="BT101" s="39">
        <v>0.58333333333333304</v>
      </c>
      <c r="BV101" s="39">
        <v>0.58333333333333304</v>
      </c>
      <c r="BW101" s="38">
        <v>-30</v>
      </c>
      <c r="BX101" s="38">
        <f t="shared" si="60"/>
        <v>58.913198956609463</v>
      </c>
      <c r="BY101" s="38">
        <f t="shared" si="98"/>
        <v>-110.64261236918068</v>
      </c>
      <c r="CA101">
        <f t="shared" si="62"/>
        <v>3.1086801043390535</v>
      </c>
      <c r="CB101">
        <f t="shared" si="99"/>
        <v>200.64261236918068</v>
      </c>
      <c r="CC101" s="7">
        <f t="shared" si="64"/>
        <v>-2.9090953902894121</v>
      </c>
      <c r="CD101" s="7">
        <f t="shared" si="65"/>
        <v>-1.0959270054663137</v>
      </c>
      <c r="CE101" s="39">
        <v>0.58333333333333304</v>
      </c>
      <c r="CG101" s="39">
        <v>0.58333333333333304</v>
      </c>
      <c r="CH101" s="38">
        <v>-30</v>
      </c>
      <c r="CI101" s="38">
        <f t="shared" si="66"/>
        <v>62.120147714715685</v>
      </c>
      <c r="CJ101" s="38">
        <f t="shared" si="100"/>
        <v>-97.645217635946267</v>
      </c>
      <c r="CL101">
        <f t="shared" si="68"/>
        <v>2.7879852285284317</v>
      </c>
      <c r="CM101">
        <f t="shared" si="101"/>
        <v>187.64521763594627</v>
      </c>
      <c r="CN101" s="7">
        <f t="shared" si="70"/>
        <v>-2.7632024243694073</v>
      </c>
      <c r="CO101" s="7">
        <f t="shared" si="71"/>
        <v>-0.37090968772972527</v>
      </c>
      <c r="CP101" s="39">
        <v>0.58333333333333304</v>
      </c>
      <c r="CR101" s="39">
        <v>0.58333333333333304</v>
      </c>
      <c r="CS101" s="38">
        <v>-30</v>
      </c>
      <c r="CT101" s="38">
        <f t="shared" si="72"/>
        <v>62.593106094089499</v>
      </c>
      <c r="CU101" s="38">
        <f t="shared" si="102"/>
        <v>-94.781580028246267</v>
      </c>
      <c r="CW101">
        <f t="shared" si="74"/>
        <v>2.7406893905910499</v>
      </c>
      <c r="CX101">
        <f t="shared" si="103"/>
        <v>184.78158002824625</v>
      </c>
      <c r="CY101" s="7">
        <f t="shared" si="76"/>
        <v>-2.731150994716121</v>
      </c>
      <c r="CZ101" s="7">
        <f t="shared" si="77"/>
        <v>-0.22845695384356787</v>
      </c>
      <c r="DA101" s="39">
        <v>0.58333333333333304</v>
      </c>
      <c r="DC101" s="39">
        <v>0.58333333333333304</v>
      </c>
      <c r="DD101" s="38">
        <v>-30</v>
      </c>
      <c r="DE101" s="38">
        <f t="shared" si="78"/>
        <v>30.439709654260056</v>
      </c>
      <c r="DF101" s="38">
        <f t="shared" si="104"/>
        <v>-147.73819825211658</v>
      </c>
      <c r="DH101">
        <f t="shared" si="80"/>
        <v>5.9560290345739944</v>
      </c>
      <c r="DI101">
        <f t="shared" si="105"/>
        <v>237.73819825211658</v>
      </c>
      <c r="DJ101" s="7">
        <f t="shared" si="82"/>
        <v>-3.1792610376260346</v>
      </c>
      <c r="DK101" s="7">
        <f t="shared" si="83"/>
        <v>-5.0365247061164569</v>
      </c>
      <c r="DL101" s="39">
        <v>0.58333333333333304</v>
      </c>
    </row>
    <row r="102" spans="1:116" x14ac:dyDescent="0.25">
      <c r="A102">
        <v>-1</v>
      </c>
      <c r="B102">
        <f t="shared" si="90"/>
        <v>8.9442719099991592</v>
      </c>
      <c r="C102">
        <f t="shared" si="91"/>
        <v>-8.9442719099991592</v>
      </c>
      <c r="D102">
        <f t="shared" si="30"/>
        <v>7.9372539331937721</v>
      </c>
      <c r="E102">
        <f t="shared" si="31"/>
        <v>-7.9372539331937721</v>
      </c>
      <c r="F102">
        <f t="shared" si="36"/>
        <v>6.9282032302755088</v>
      </c>
      <c r="G102">
        <f t="shared" si="37"/>
        <v>-6.9282032302755088</v>
      </c>
      <c r="H102">
        <f t="shared" si="88"/>
        <v>5.9160797830996161</v>
      </c>
      <c r="I102">
        <f t="shared" si="89"/>
        <v>-5.9160797830996161</v>
      </c>
      <c r="J102">
        <f t="shared" si="28"/>
        <v>4.8989794855663558</v>
      </c>
      <c r="K102">
        <f t="shared" si="29"/>
        <v>-4.8989794855663558</v>
      </c>
      <c r="L102">
        <f t="shared" si="34"/>
        <v>3.872983346207417</v>
      </c>
      <c r="M102">
        <f t="shared" si="35"/>
        <v>-3.872983346207417</v>
      </c>
      <c r="N102">
        <f t="shared" si="84"/>
        <v>2.8284271247461903</v>
      </c>
      <c r="O102">
        <f t="shared" si="85"/>
        <v>-2.8284271247461903</v>
      </c>
      <c r="P102">
        <f t="shared" si="26"/>
        <v>1.7320508075688772</v>
      </c>
      <c r="Q102">
        <f t="shared" si="27"/>
        <v>-1.7320508075688772</v>
      </c>
      <c r="R102">
        <f t="shared" si="32"/>
        <v>0</v>
      </c>
      <c r="S102">
        <f t="shared" si="33"/>
        <v>0</v>
      </c>
      <c r="U102" s="7">
        <v>9</v>
      </c>
      <c r="V102" s="7">
        <v>160</v>
      </c>
      <c r="W102" s="7">
        <f t="shared" si="38"/>
        <v>-8.4572335870731745</v>
      </c>
      <c r="X102" s="7">
        <f t="shared" si="39"/>
        <v>3.0781812899310199</v>
      </c>
      <c r="Y102" s="7">
        <v>9</v>
      </c>
      <c r="Z102" s="7">
        <v>340</v>
      </c>
      <c r="AA102" s="7">
        <f t="shared" si="40"/>
        <v>8.4572335870731763</v>
      </c>
      <c r="AB102" s="7">
        <f t="shared" si="41"/>
        <v>-3.0781812899310173</v>
      </c>
      <c r="AO102" s="39">
        <v>0.625</v>
      </c>
      <c r="AP102" s="38">
        <v>-45</v>
      </c>
      <c r="AQ102" s="38">
        <f t="shared" si="42"/>
        <v>26.297342212361595</v>
      </c>
      <c r="AR102" s="38">
        <f t="shared" si="92"/>
        <v>-131.22199491730089</v>
      </c>
      <c r="AT102">
        <f t="shared" si="44"/>
        <v>6.3702657787638408</v>
      </c>
      <c r="AU102">
        <f t="shared" si="93"/>
        <v>221.22199491730089</v>
      </c>
      <c r="AV102" s="7">
        <f t="shared" si="46"/>
        <v>-4.7914718059899393</v>
      </c>
      <c r="AW102" s="7">
        <f t="shared" si="47"/>
        <v>-4.197866603942197</v>
      </c>
      <c r="AX102" s="39">
        <v>0.625</v>
      </c>
      <c r="AZ102" s="39">
        <v>0.625</v>
      </c>
      <c r="BA102" s="38">
        <v>-45</v>
      </c>
      <c r="BB102" s="38">
        <f t="shared" si="48"/>
        <v>32.778902474630826</v>
      </c>
      <c r="BC102" s="38">
        <f t="shared" si="94"/>
        <v>-123.67138966374844</v>
      </c>
      <c r="BE102">
        <f t="shared" si="50"/>
        <v>5.7221097525369178</v>
      </c>
      <c r="BF102">
        <f t="shared" si="95"/>
        <v>213.67138966374844</v>
      </c>
      <c r="BG102" s="7">
        <f t="shared" si="52"/>
        <v>-4.7621175617680658</v>
      </c>
      <c r="BH102" s="7">
        <f t="shared" si="53"/>
        <v>-3.1725031675284869</v>
      </c>
      <c r="BI102" s="39">
        <v>0.625</v>
      </c>
      <c r="BK102" s="39">
        <v>0.625</v>
      </c>
      <c r="BL102" s="38">
        <v>-45</v>
      </c>
      <c r="BM102" s="38">
        <f t="shared" si="54"/>
        <v>40.579187314260722</v>
      </c>
      <c r="BN102" s="38">
        <f t="shared" si="96"/>
        <v>-111.76387408261022</v>
      </c>
      <c r="BP102">
        <f t="shared" si="56"/>
        <v>4.9420812685739275</v>
      </c>
      <c r="BQ102">
        <f t="shared" si="97"/>
        <v>201.76387408261022</v>
      </c>
      <c r="BR102" s="7">
        <f t="shared" si="86"/>
        <v>-4.5898087062962007</v>
      </c>
      <c r="BS102" s="7">
        <f t="shared" si="87"/>
        <v>-1.8324364394971171</v>
      </c>
      <c r="BT102" s="39">
        <v>0.625</v>
      </c>
      <c r="BV102" s="39">
        <v>0.625</v>
      </c>
      <c r="BW102" s="38">
        <v>-45</v>
      </c>
      <c r="BX102" s="38">
        <f t="shared" si="60"/>
        <v>46.234000924702507</v>
      </c>
      <c r="BY102" s="38">
        <f t="shared" si="98"/>
        <v>-98.931073312987834</v>
      </c>
      <c r="CA102">
        <f t="shared" si="62"/>
        <v>4.3765999075297497</v>
      </c>
      <c r="CB102">
        <f t="shared" si="99"/>
        <v>188.93107331298785</v>
      </c>
      <c r="CC102" s="7">
        <f t="shared" si="64"/>
        <v>-4.3235372056031043</v>
      </c>
      <c r="CD102" s="7">
        <f t="shared" si="65"/>
        <v>-0.67945035312016244</v>
      </c>
      <c r="CE102" s="39">
        <v>0.625</v>
      </c>
      <c r="CG102" s="39">
        <v>0.625</v>
      </c>
      <c r="CH102" s="38">
        <v>-45</v>
      </c>
      <c r="CI102" s="38">
        <f t="shared" si="66"/>
        <v>49.04228910837859</v>
      </c>
      <c r="CJ102" s="38">
        <f t="shared" si="100"/>
        <v>-89.179775376606813</v>
      </c>
      <c r="CL102">
        <f t="shared" si="68"/>
        <v>4.0957710891621408</v>
      </c>
      <c r="CM102">
        <f t="shared" si="101"/>
        <v>179.17977537660681</v>
      </c>
      <c r="CN102" s="7">
        <f t="shared" si="70"/>
        <v>-4.0953514088422205</v>
      </c>
      <c r="CO102" s="7">
        <f t="shared" si="71"/>
        <v>5.8631501008163472E-2</v>
      </c>
      <c r="CP102" s="39">
        <v>0.625</v>
      </c>
      <c r="CR102" s="39">
        <v>0.625</v>
      </c>
      <c r="CS102" s="38">
        <v>-45</v>
      </c>
      <c r="CT102" s="38">
        <f t="shared" si="72"/>
        <v>49.494624805188728</v>
      </c>
      <c r="CU102" s="38">
        <f t="shared" si="102"/>
        <v>-87.132774729162193</v>
      </c>
      <c r="CW102">
        <f t="shared" si="74"/>
        <v>4.0505375194811268</v>
      </c>
      <c r="CX102">
        <f t="shared" si="103"/>
        <v>177.13277472916218</v>
      </c>
      <c r="CY102" s="7">
        <f t="shared" si="76"/>
        <v>-4.0454667905311457</v>
      </c>
      <c r="CZ102" s="7">
        <f t="shared" si="77"/>
        <v>0.20261451930686047</v>
      </c>
      <c r="DA102" s="39">
        <v>0.625</v>
      </c>
      <c r="DC102" s="39">
        <v>0.625</v>
      </c>
      <c r="DD102" s="38">
        <v>-45</v>
      </c>
      <c r="DE102" s="38">
        <f t="shared" si="78"/>
        <v>22.259218825541542</v>
      </c>
      <c r="DF102" s="38">
        <f t="shared" si="104"/>
        <v>-135.31204694577815</v>
      </c>
      <c r="DH102">
        <f t="shared" si="80"/>
        <v>6.7740781174458462</v>
      </c>
      <c r="DI102">
        <f t="shared" si="105"/>
        <v>225.31204694577815</v>
      </c>
      <c r="DJ102" s="7">
        <f t="shared" si="82"/>
        <v>-4.7638381601199011</v>
      </c>
      <c r="DK102" s="7">
        <f t="shared" si="83"/>
        <v>-4.8160129075246561</v>
      </c>
      <c r="DL102" s="39">
        <v>0.625</v>
      </c>
    </row>
    <row r="103" spans="1:116" x14ac:dyDescent="0.25">
      <c r="A103">
        <v>-1.1000000000000001</v>
      </c>
      <c r="B103">
        <f t="shared" si="90"/>
        <v>8.9325248390362741</v>
      </c>
      <c r="C103">
        <f t="shared" si="91"/>
        <v>-8.9325248390362741</v>
      </c>
      <c r="D103">
        <f t="shared" si="30"/>
        <v>7.9240141342630128</v>
      </c>
      <c r="E103">
        <f t="shared" si="31"/>
        <v>-7.9240141342630128</v>
      </c>
      <c r="F103">
        <f t="shared" si="36"/>
        <v>6.9130311730817473</v>
      </c>
      <c r="G103">
        <f t="shared" si="37"/>
        <v>-6.9130311730817473</v>
      </c>
      <c r="H103">
        <f t="shared" si="88"/>
        <v>5.8983048412234513</v>
      </c>
      <c r="I103">
        <f t="shared" si="89"/>
        <v>-5.8983048412234513</v>
      </c>
      <c r="J103">
        <f t="shared" si="28"/>
        <v>4.8774993593028793</v>
      </c>
      <c r="K103">
        <f t="shared" si="29"/>
        <v>-4.8774993593028793</v>
      </c>
      <c r="L103">
        <f t="shared" si="34"/>
        <v>3.8457769046058821</v>
      </c>
      <c r="M103">
        <f t="shared" si="35"/>
        <v>-3.8457769046058821</v>
      </c>
      <c r="N103">
        <f t="shared" si="84"/>
        <v>2.7910571473905725</v>
      </c>
      <c r="O103">
        <f t="shared" si="85"/>
        <v>-2.7910571473905725</v>
      </c>
      <c r="P103">
        <f t="shared" si="26"/>
        <v>1.6703293088490065</v>
      </c>
      <c r="Q103">
        <f t="shared" si="27"/>
        <v>-1.6703293088490065</v>
      </c>
      <c r="U103" s="7">
        <v>9</v>
      </c>
      <c r="V103" s="7">
        <v>170</v>
      </c>
      <c r="W103" s="7">
        <f t="shared" si="38"/>
        <v>-8.8632697771098723</v>
      </c>
      <c r="X103" s="7">
        <f t="shared" si="39"/>
        <v>1.5628335990023725</v>
      </c>
      <c r="Y103" s="7">
        <v>9</v>
      </c>
      <c r="Z103" s="7">
        <v>350</v>
      </c>
      <c r="AA103" s="7">
        <f t="shared" si="40"/>
        <v>8.8632697771098723</v>
      </c>
      <c r="AB103" s="7">
        <f t="shared" si="41"/>
        <v>-1.5628335990023734</v>
      </c>
      <c r="AO103" s="39">
        <v>0.66666666666666596</v>
      </c>
      <c r="AP103" s="38">
        <v>-60</v>
      </c>
      <c r="AQ103" s="38">
        <f t="shared" si="42"/>
        <v>15.689450108647346</v>
      </c>
      <c r="AR103" s="38">
        <f t="shared" si="92"/>
        <v>-120.92625519511847</v>
      </c>
      <c r="AT103">
        <f t="shared" si="44"/>
        <v>7.4310549891352657</v>
      </c>
      <c r="AU103">
        <f t="shared" si="93"/>
        <v>210.92625519511847</v>
      </c>
      <c r="AV103" s="7">
        <f t="shared" si="46"/>
        <v>-6.3745781167226738</v>
      </c>
      <c r="AW103" s="7">
        <f t="shared" si="47"/>
        <v>-3.8190747682328157</v>
      </c>
      <c r="AX103" s="39">
        <v>0.66666666666666596</v>
      </c>
      <c r="AZ103" s="39">
        <v>0.66666666666666596</v>
      </c>
      <c r="BA103" s="38">
        <v>-60</v>
      </c>
      <c r="BB103" s="38">
        <f t="shared" si="48"/>
        <v>21.241041758651765</v>
      </c>
      <c r="BC103" s="38">
        <f t="shared" si="94"/>
        <v>-113.15708853016723</v>
      </c>
      <c r="BE103">
        <f t="shared" si="50"/>
        <v>6.8758958241348234</v>
      </c>
      <c r="BF103">
        <f t="shared" si="95"/>
        <v>203.15708853016724</v>
      </c>
      <c r="BG103" s="7">
        <f t="shared" si="52"/>
        <v>-6.3219057421889273</v>
      </c>
      <c r="BH103" s="7">
        <f t="shared" si="53"/>
        <v>-2.7039695211361696</v>
      </c>
      <c r="BI103" s="39">
        <v>0.66666666666666596</v>
      </c>
      <c r="BK103" s="39">
        <v>0.66666666666666596</v>
      </c>
      <c r="BL103" s="38">
        <v>-60</v>
      </c>
      <c r="BM103" s="38">
        <f t="shared" si="54"/>
        <v>28.03064132064042</v>
      </c>
      <c r="BN103" s="38">
        <f t="shared" si="96"/>
        <v>-101.84583698554694</v>
      </c>
      <c r="BP103">
        <f t="shared" si="56"/>
        <v>6.1969358679359576</v>
      </c>
      <c r="BQ103">
        <f t="shared" si="97"/>
        <v>191.84583698554695</v>
      </c>
      <c r="BR103" s="7">
        <f t="shared" si="86"/>
        <v>-6.0649626831945911</v>
      </c>
      <c r="BS103" s="7">
        <f t="shared" si="87"/>
        <v>-1.2721013335297828</v>
      </c>
      <c r="BT103" s="39">
        <v>0.66666666666666596</v>
      </c>
      <c r="BV103" s="39">
        <v>0.66666666666666596</v>
      </c>
      <c r="BW103" s="38">
        <v>-60</v>
      </c>
      <c r="BX103" s="38">
        <f t="shared" si="60"/>
        <v>33.179114183303909</v>
      </c>
      <c r="BY103" s="38">
        <f t="shared" si="98"/>
        <v>-90.692173646055892</v>
      </c>
      <c r="CA103">
        <f t="shared" si="62"/>
        <v>5.6820885816696087</v>
      </c>
      <c r="CB103">
        <f t="shared" si="99"/>
        <v>180.69217364605589</v>
      </c>
      <c r="CC103" s="7">
        <f t="shared" si="64"/>
        <v>-5.681673954671612</v>
      </c>
      <c r="CD103" s="7">
        <f t="shared" si="65"/>
        <v>-6.8641989673888751E-2</v>
      </c>
      <c r="CE103" s="39">
        <v>0.66666666666666596</v>
      </c>
      <c r="CG103" s="39">
        <v>0.66666666666666596</v>
      </c>
      <c r="CH103" s="38">
        <v>-60</v>
      </c>
      <c r="CI103" s="38">
        <f t="shared" si="66"/>
        <v>35.974200517974971</v>
      </c>
      <c r="CJ103" s="38">
        <f t="shared" si="100"/>
        <v>-82.710211003016923</v>
      </c>
      <c r="CL103">
        <f t="shared" si="68"/>
        <v>5.4025799482025025</v>
      </c>
      <c r="CM103">
        <f t="shared" si="101"/>
        <v>172.71021100301692</v>
      </c>
      <c r="CN103" s="7">
        <f t="shared" si="70"/>
        <v>-5.3589112820436533</v>
      </c>
      <c r="CO103" s="7">
        <f t="shared" si="71"/>
        <v>0.68552167573681033</v>
      </c>
      <c r="CP103" s="39">
        <v>0.66666666666666596</v>
      </c>
      <c r="CR103" s="39">
        <v>0.66666666666666596</v>
      </c>
      <c r="CS103" s="38">
        <v>-60</v>
      </c>
      <c r="CT103" s="38">
        <f t="shared" si="72"/>
        <v>36.462362723804389</v>
      </c>
      <c r="CU103" s="38">
        <f t="shared" si="102"/>
        <v>-81.070349439875727</v>
      </c>
      <c r="CW103">
        <f t="shared" si="74"/>
        <v>5.3537637276195609</v>
      </c>
      <c r="CX103">
        <f t="shared" si="103"/>
        <v>171.07034943987571</v>
      </c>
      <c r="CY103" s="7">
        <f t="shared" si="76"/>
        <v>-5.2888743491714614</v>
      </c>
      <c r="CZ103" s="7">
        <f t="shared" si="77"/>
        <v>0.83101995755279434</v>
      </c>
      <c r="DA103" s="39">
        <v>0.66666666666666596</v>
      </c>
      <c r="DC103" s="39">
        <v>0.66666666666666596</v>
      </c>
      <c r="DD103" s="38">
        <v>-60</v>
      </c>
      <c r="DE103" s="38">
        <f t="shared" si="78"/>
        <v>12.251377298592953</v>
      </c>
      <c r="DF103" s="38">
        <f t="shared" si="104"/>
        <v>-125.34452095224731</v>
      </c>
      <c r="DH103">
        <f t="shared" si="80"/>
        <v>7.7748622701407051</v>
      </c>
      <c r="DI103">
        <f t="shared" si="105"/>
        <v>215.34452095224731</v>
      </c>
      <c r="DJ103" s="7">
        <f t="shared" si="82"/>
        <v>-6.3418643967501813</v>
      </c>
      <c r="DK103" s="7">
        <f t="shared" si="83"/>
        <v>-4.4976926632318852</v>
      </c>
      <c r="DL103" s="39">
        <v>0.66666666666666596</v>
      </c>
    </row>
    <row r="104" spans="1:116" x14ac:dyDescent="0.25">
      <c r="A104">
        <v>-1.2</v>
      </c>
      <c r="B104">
        <f t="shared" si="90"/>
        <v>8.9196412483911036</v>
      </c>
      <c r="C104">
        <f t="shared" si="91"/>
        <v>-8.9196412483911036</v>
      </c>
      <c r="D104">
        <f t="shared" si="30"/>
        <v>7.9094879733140759</v>
      </c>
      <c r="E104">
        <f t="shared" si="31"/>
        <v>-7.9094879733140759</v>
      </c>
      <c r="F104">
        <f t="shared" si="36"/>
        <v>6.8963758598266676</v>
      </c>
      <c r="G104">
        <f t="shared" si="37"/>
        <v>-6.8963758598266676</v>
      </c>
      <c r="H104">
        <f t="shared" si="88"/>
        <v>5.8787753826796276</v>
      </c>
      <c r="I104">
        <f t="shared" si="89"/>
        <v>-5.8787753826796276</v>
      </c>
      <c r="J104">
        <f t="shared" si="28"/>
        <v>4.8538644398046387</v>
      </c>
      <c r="K104">
        <f t="shared" si="29"/>
        <v>-4.8538644398046387</v>
      </c>
      <c r="L104">
        <f t="shared" si="34"/>
        <v>3.8157568056677826</v>
      </c>
      <c r="M104">
        <f t="shared" si="35"/>
        <v>-3.8157568056677826</v>
      </c>
      <c r="N104">
        <f t="shared" si="84"/>
        <v>2.7495454169735041</v>
      </c>
      <c r="O104">
        <f t="shared" si="85"/>
        <v>-2.7495454169735041</v>
      </c>
      <c r="P104">
        <f t="shared" si="26"/>
        <v>1.6</v>
      </c>
      <c r="Q104">
        <f t="shared" si="27"/>
        <v>-1.6</v>
      </c>
      <c r="U104" s="7">
        <v>9</v>
      </c>
      <c r="V104" s="7">
        <v>180</v>
      </c>
      <c r="W104" s="7">
        <f t="shared" si="38"/>
        <v>-9</v>
      </c>
      <c r="X104" s="7">
        <f t="shared" si="39"/>
        <v>1.102633609417758E-15</v>
      </c>
      <c r="Y104" s="7">
        <v>9</v>
      </c>
      <c r="Z104" s="7">
        <v>360</v>
      </c>
      <c r="AA104" s="7">
        <f t="shared" si="40"/>
        <v>9</v>
      </c>
      <c r="AB104" s="7">
        <f t="shared" si="41"/>
        <v>-2.205267218835516E-15</v>
      </c>
      <c r="AO104" s="39">
        <v>0.70833333333333304</v>
      </c>
      <c r="AP104" s="38">
        <v>-75</v>
      </c>
      <c r="AQ104" s="38">
        <f t="shared" si="42"/>
        <v>3.9806023907424599</v>
      </c>
      <c r="AR104" s="38">
        <f t="shared" si="92"/>
        <v>-112.5771078319798</v>
      </c>
      <c r="AT104">
        <f t="shared" si="44"/>
        <v>8.6019397609257542</v>
      </c>
      <c r="AU104">
        <f t="shared" si="93"/>
        <v>202.57710783197979</v>
      </c>
      <c r="AV104" s="7">
        <f t="shared" si="46"/>
        <v>-7.9427188060969565</v>
      </c>
      <c r="AW104" s="7">
        <f t="shared" si="47"/>
        <v>-3.3025120163095769</v>
      </c>
      <c r="AX104" s="39">
        <v>0.70833333333333304</v>
      </c>
      <c r="AZ104" s="39">
        <v>0.70833333333333304</v>
      </c>
      <c r="BA104" s="38">
        <v>-75</v>
      </c>
      <c r="BB104" s="38">
        <f t="shared" si="48"/>
        <v>8.8424843209748119</v>
      </c>
      <c r="BC104" s="38">
        <f t="shared" si="94"/>
        <v>-104.68802822282147</v>
      </c>
      <c r="BE104">
        <f t="shared" si="50"/>
        <v>8.1157515679025192</v>
      </c>
      <c r="BF104">
        <f t="shared" si="95"/>
        <v>194.68802822282146</v>
      </c>
      <c r="BG104" s="7">
        <f t="shared" si="52"/>
        <v>-7.8505349227251564</v>
      </c>
      <c r="BH104" s="7">
        <f t="shared" si="53"/>
        <v>-2.0577961364005222</v>
      </c>
      <c r="BI104" s="39">
        <v>0.70833333333333304</v>
      </c>
      <c r="BK104" s="39">
        <v>0.70833333333333304</v>
      </c>
      <c r="BL104" s="38">
        <v>-75</v>
      </c>
      <c r="BM104" s="38">
        <f t="shared" si="54"/>
        <v>15.051271742006362</v>
      </c>
      <c r="BN104" s="38">
        <f t="shared" si="96"/>
        <v>-93.815787356682009</v>
      </c>
      <c r="BP104">
        <f t="shared" si="56"/>
        <v>7.494872825799364</v>
      </c>
      <c r="BQ104">
        <f t="shared" si="97"/>
        <v>183.81578735668199</v>
      </c>
      <c r="BR104" s="7">
        <f t="shared" si="86"/>
        <v>-7.4782579609816162</v>
      </c>
      <c r="BS104" s="7">
        <f t="shared" si="87"/>
        <v>-0.49877504340215972</v>
      </c>
      <c r="BT104" s="39">
        <v>0.70833333333333304</v>
      </c>
      <c r="BV104" s="39">
        <v>0.70833333333333304</v>
      </c>
      <c r="BW104" s="38">
        <v>-75</v>
      </c>
      <c r="BX104" s="38">
        <f t="shared" si="60"/>
        <v>20.094408212134532</v>
      </c>
      <c r="BY104" s="38">
        <f t="shared" si="98"/>
        <v>-83.69300591455243</v>
      </c>
      <c r="CA104">
        <f t="shared" si="62"/>
        <v>6.9905591787865466</v>
      </c>
      <c r="CB104">
        <f t="shared" si="99"/>
        <v>173.69300591455243</v>
      </c>
      <c r="CC104" s="7">
        <f t="shared" si="64"/>
        <v>-6.9482491884736275</v>
      </c>
      <c r="CD104" s="7">
        <f t="shared" si="65"/>
        <v>0.76795237286723794</v>
      </c>
      <c r="CE104" s="39">
        <v>0.70833333333333304</v>
      </c>
      <c r="CG104" s="39">
        <v>0.70833333333333304</v>
      </c>
      <c r="CH104" s="38">
        <v>-75</v>
      </c>
      <c r="CI104" s="38">
        <f t="shared" si="66"/>
        <v>23.081833865003894</v>
      </c>
      <c r="CJ104" s="38">
        <f t="shared" si="100"/>
        <v>-76.718561537440678</v>
      </c>
      <c r="CL104">
        <f t="shared" si="68"/>
        <v>6.6918166134996104</v>
      </c>
      <c r="CM104">
        <f t="shared" si="101"/>
        <v>166.71856153744068</v>
      </c>
      <c r="CN104" s="7">
        <f t="shared" si="70"/>
        <v>-6.5128329273581409</v>
      </c>
      <c r="CO104" s="7">
        <f t="shared" si="71"/>
        <v>1.5373408369743473</v>
      </c>
      <c r="CP104" s="39">
        <v>0.70833333333333304</v>
      </c>
      <c r="CR104" s="39">
        <v>0.70833333333333304</v>
      </c>
      <c r="CS104" s="38">
        <v>-75</v>
      </c>
      <c r="CT104" s="38">
        <f t="shared" si="72"/>
        <v>23.63600454935963</v>
      </c>
      <c r="CU104" s="38">
        <f t="shared" si="102"/>
        <v>-75.306075969479892</v>
      </c>
      <c r="CW104">
        <f t="shared" si="74"/>
        <v>6.6363995450640374</v>
      </c>
      <c r="CX104">
        <f t="shared" si="103"/>
        <v>165.30607596947988</v>
      </c>
      <c r="CY104" s="7">
        <f t="shared" si="76"/>
        <v>-6.4193538234426146</v>
      </c>
      <c r="CZ104" s="7">
        <f t="shared" si="77"/>
        <v>1.6833583727711809</v>
      </c>
      <c r="DA104" s="39">
        <v>0.70833333333333304</v>
      </c>
      <c r="DC104" s="39">
        <v>0.70833333333333304</v>
      </c>
      <c r="DD104" s="38">
        <v>-75</v>
      </c>
      <c r="DE104" s="38">
        <f t="shared" si="78"/>
        <v>1.0425877010819102</v>
      </c>
      <c r="DF104" s="38">
        <f t="shared" si="104"/>
        <v>-117.22586297915178</v>
      </c>
      <c r="DH104">
        <f t="shared" si="80"/>
        <v>8.8957412298918097</v>
      </c>
      <c r="DI104">
        <f t="shared" si="105"/>
        <v>207.22586297915177</v>
      </c>
      <c r="DJ104" s="7">
        <f t="shared" si="82"/>
        <v>-7.91018162634417</v>
      </c>
      <c r="DK104" s="7">
        <f t="shared" si="83"/>
        <v>-4.0697958999738733</v>
      </c>
      <c r="DL104" s="39">
        <v>0.70833333333333304</v>
      </c>
    </row>
    <row r="105" spans="1:116" x14ac:dyDescent="0.25">
      <c r="A105">
        <v>-1.3</v>
      </c>
      <c r="B105">
        <f t="shared" si="90"/>
        <v>8.9056162055188519</v>
      </c>
      <c r="C105">
        <f t="shared" si="91"/>
        <v>-8.9056162055188519</v>
      </c>
      <c r="D105">
        <f t="shared" si="30"/>
        <v>7.8936683487463544</v>
      </c>
      <c r="E105">
        <f t="shared" si="31"/>
        <v>-7.8936683487463544</v>
      </c>
      <c r="F105">
        <f t="shared" si="36"/>
        <v>6.8782265156070572</v>
      </c>
      <c r="G105">
        <f t="shared" si="37"/>
        <v>-6.8782265156070572</v>
      </c>
      <c r="H105">
        <f t="shared" si="88"/>
        <v>5.8574738582429884</v>
      </c>
      <c r="I105">
        <f t="shared" si="89"/>
        <v>-5.8574738582429884</v>
      </c>
      <c r="J105">
        <f t="shared" si="28"/>
        <v>4.8280430818293238</v>
      </c>
      <c r="K105">
        <f t="shared" si="29"/>
        <v>-4.8280430818293238</v>
      </c>
      <c r="L105">
        <f t="shared" si="34"/>
        <v>3.7828560638755477</v>
      </c>
      <c r="M105">
        <f t="shared" si="35"/>
        <v>-3.7828560638755477</v>
      </c>
      <c r="N105">
        <f t="shared" si="84"/>
        <v>2.7037011669191546</v>
      </c>
      <c r="O105">
        <f t="shared" si="85"/>
        <v>-2.7037011669191546</v>
      </c>
      <c r="P105">
        <f t="shared" si="26"/>
        <v>1.5198684153570663</v>
      </c>
      <c r="Q105">
        <f t="shared" si="27"/>
        <v>-1.5198684153570663</v>
      </c>
      <c r="U105" s="7"/>
      <c r="V105" s="7"/>
      <c r="W105" s="7"/>
      <c r="X105" s="7"/>
      <c r="Y105" s="7"/>
      <c r="Z105" s="7"/>
      <c r="AA105" s="7"/>
      <c r="AB105" s="7"/>
      <c r="AO105" s="39">
        <v>0.75</v>
      </c>
      <c r="AP105" s="38">
        <v>-90</v>
      </c>
      <c r="AQ105" s="38">
        <f t="shared" si="42"/>
        <v>-8.4117319355326003</v>
      </c>
      <c r="AR105" s="38">
        <f t="shared" si="92"/>
        <v>-105.42042609675256</v>
      </c>
      <c r="AT105">
        <f t="shared" si="44"/>
        <v>9</v>
      </c>
      <c r="AU105">
        <f t="shared" si="93"/>
        <v>200.14480796075449</v>
      </c>
      <c r="AV105" s="7">
        <f t="shared" si="46"/>
        <v>-8.4494268639521586</v>
      </c>
      <c r="AW105" s="7">
        <f t="shared" si="47"/>
        <v>-3.0995460426848935</v>
      </c>
      <c r="AX105" s="39">
        <v>0.75</v>
      </c>
      <c r="AZ105" s="39">
        <v>0.75</v>
      </c>
      <c r="BA105" s="38">
        <v>-90</v>
      </c>
      <c r="BB105" s="38">
        <f t="shared" si="48"/>
        <v>-4.0202279922027584</v>
      </c>
      <c r="BC105" s="38">
        <f t="shared" si="94"/>
        <v>-97.260160733971048</v>
      </c>
      <c r="BE105">
        <f t="shared" si="50"/>
        <v>9</v>
      </c>
      <c r="BF105">
        <f t="shared" si="95"/>
        <v>189.50036292821628</v>
      </c>
      <c r="BG105" s="7">
        <f t="shared" si="52"/>
        <v>-8.87656100451896</v>
      </c>
      <c r="BH105" s="7">
        <f t="shared" si="53"/>
        <v>-1.4854846795081202</v>
      </c>
      <c r="BI105" s="39">
        <v>0.75</v>
      </c>
      <c r="BK105" s="39">
        <v>0.75</v>
      </c>
      <c r="BL105" s="38">
        <v>-90</v>
      </c>
      <c r="BM105" s="38">
        <f t="shared" si="54"/>
        <v>1.9510766725967672</v>
      </c>
      <c r="BN105" s="38">
        <f t="shared" si="96"/>
        <v>-86.488170658290201</v>
      </c>
      <c r="BP105">
        <f t="shared" si="56"/>
        <v>8.804892332740323</v>
      </c>
      <c r="BQ105">
        <f t="shared" si="97"/>
        <v>176.48817065829019</v>
      </c>
      <c r="BR105" s="7">
        <f t="shared" si="86"/>
        <v>-8.7883582682606036</v>
      </c>
      <c r="BS105" s="7">
        <f t="shared" si="87"/>
        <v>0.53934028205281592</v>
      </c>
      <c r="BT105" s="39">
        <v>0.75</v>
      </c>
      <c r="BV105" s="39">
        <v>0.75</v>
      </c>
      <c r="BW105" s="38">
        <v>-90</v>
      </c>
      <c r="BX105" s="38">
        <f t="shared" si="60"/>
        <v>7.1796941081018506</v>
      </c>
      <c r="BY105" s="38">
        <f t="shared" si="98"/>
        <v>-76.908415468616056</v>
      </c>
      <c r="CA105">
        <f t="shared" si="62"/>
        <v>8.2820305891898158</v>
      </c>
      <c r="CB105">
        <f t="shared" si="99"/>
        <v>166.90841546861606</v>
      </c>
      <c r="CC105" s="7">
        <f t="shared" si="64"/>
        <v>-8.0667743759958661</v>
      </c>
      <c r="CD105" s="7">
        <f t="shared" si="65"/>
        <v>1.8759482527650715</v>
      </c>
      <c r="CE105" s="39">
        <v>0.75</v>
      </c>
      <c r="CG105" s="39">
        <v>0.75</v>
      </c>
      <c r="CH105" s="38">
        <v>-90</v>
      </c>
      <c r="CI105" s="38">
        <f t="shared" si="66"/>
        <v>10.508522694850116</v>
      </c>
      <c r="CJ105" s="38">
        <f t="shared" si="100"/>
        <v>-70.516285917220941</v>
      </c>
      <c r="CL105">
        <f t="shared" si="68"/>
        <v>7.9491477305149889</v>
      </c>
      <c r="CM105">
        <f t="shared" si="101"/>
        <v>160.51628591722096</v>
      </c>
      <c r="CN105" s="7">
        <f t="shared" si="70"/>
        <v>-7.4939503996922818</v>
      </c>
      <c r="CO105" s="7">
        <f t="shared" si="71"/>
        <v>2.6513500426204546</v>
      </c>
      <c r="CP105" s="39">
        <v>0.75</v>
      </c>
      <c r="CR105" s="39">
        <v>0.75</v>
      </c>
      <c r="CS105" s="38">
        <v>-90</v>
      </c>
      <c r="CT105" s="38">
        <f t="shared" si="72"/>
        <v>11.152054967319165</v>
      </c>
      <c r="CU105" s="38">
        <f t="shared" si="102"/>
        <v>-69.238766580276192</v>
      </c>
      <c r="CW105">
        <f t="shared" si="74"/>
        <v>7.8847945032680835</v>
      </c>
      <c r="CX105">
        <f t="shared" si="103"/>
        <v>159.23876658027621</v>
      </c>
      <c r="CY105" s="7">
        <f t="shared" si="76"/>
        <v>-7.3728011230173927</v>
      </c>
      <c r="CZ105" s="7">
        <f t="shared" si="77"/>
        <v>2.7949575952418431</v>
      </c>
      <c r="DA105" s="39">
        <v>0.75</v>
      </c>
      <c r="DC105" s="39">
        <v>0.75</v>
      </c>
      <c r="DD105" s="38">
        <v>-90</v>
      </c>
      <c r="DE105" s="38">
        <f t="shared" si="78"/>
        <v>-10.952670234464714</v>
      </c>
      <c r="DF105" s="38">
        <f t="shared" si="104"/>
        <v>-110.36370911494541</v>
      </c>
      <c r="DH105">
        <f t="shared" si="80"/>
        <v>9</v>
      </c>
      <c r="DI105">
        <f t="shared" si="105"/>
        <v>206.57086830691145</v>
      </c>
      <c r="DJ105" s="7">
        <f t="shared" si="82"/>
        <v>-8.049436034917786</v>
      </c>
      <c r="DK105" s="7">
        <f t="shared" si="83"/>
        <v>-4.025739623940801</v>
      </c>
      <c r="DL105" s="39">
        <v>0.75</v>
      </c>
    </row>
    <row r="106" spans="1:116" x14ac:dyDescent="0.25">
      <c r="A106">
        <v>-1.4</v>
      </c>
      <c r="B106">
        <f t="shared" si="90"/>
        <v>8.8904443083571483</v>
      </c>
      <c r="C106">
        <f t="shared" si="91"/>
        <v>-8.8904443083571483</v>
      </c>
      <c r="D106">
        <f t="shared" si="30"/>
        <v>7.8765474670060867</v>
      </c>
      <c r="E106">
        <f t="shared" si="31"/>
        <v>-7.8765474670060867</v>
      </c>
      <c r="F106">
        <f t="shared" si="36"/>
        <v>6.8585712797928986</v>
      </c>
      <c r="G106">
        <f t="shared" si="37"/>
        <v>-6.8585712797928986</v>
      </c>
      <c r="H106">
        <f t="shared" si="88"/>
        <v>5.8343808583259289</v>
      </c>
      <c r="I106">
        <f t="shared" si="89"/>
        <v>-5.8343808583259289</v>
      </c>
      <c r="J106">
        <f t="shared" ref="J106:J142" si="106">+SQRT(25-A106^2)</f>
        <v>4.8</v>
      </c>
      <c r="K106">
        <f t="shared" ref="K106:K137" si="107">-J106</f>
        <v>-4.8</v>
      </c>
      <c r="L106">
        <f t="shared" si="34"/>
        <v>3.746998799039039</v>
      </c>
      <c r="M106">
        <f t="shared" si="35"/>
        <v>-3.746998799039039</v>
      </c>
      <c r="N106">
        <f t="shared" si="84"/>
        <v>2.6532998322843198</v>
      </c>
      <c r="O106">
        <f t="shared" si="85"/>
        <v>-2.6532998322843198</v>
      </c>
      <c r="P106">
        <f t="shared" si="26"/>
        <v>1.42828568570857</v>
      </c>
      <c r="Q106">
        <f t="shared" si="27"/>
        <v>-1.42828568570857</v>
      </c>
      <c r="U106" s="7"/>
      <c r="V106" s="7"/>
      <c r="W106" s="7"/>
      <c r="X106" s="7"/>
      <c r="Y106" s="7"/>
      <c r="Z106" s="7"/>
      <c r="AA106" s="7"/>
      <c r="AB106" s="7"/>
      <c r="AO106" s="39">
        <v>0.79166666666666663</v>
      </c>
      <c r="AP106" s="38">
        <v>-105</v>
      </c>
      <c r="AQ106" s="38">
        <f t="shared" si="42"/>
        <v>-21.222454332100078</v>
      </c>
      <c r="AR106" s="38">
        <f t="shared" si="92"/>
        <v>-98.829098209067979</v>
      </c>
      <c r="AT106">
        <f t="shared" si="44"/>
        <v>9</v>
      </c>
      <c r="AU106">
        <f t="shared" si="93"/>
        <v>200.14480796075449</v>
      </c>
      <c r="AV106" s="7">
        <f t="shared" si="46"/>
        <v>-8.4494268639521586</v>
      </c>
      <c r="AW106" s="7">
        <f t="shared" si="47"/>
        <v>-3.0995460426848935</v>
      </c>
      <c r="AX106" s="39">
        <v>0.79166666666666663</v>
      </c>
      <c r="AZ106" s="39">
        <v>0.79166666666666663</v>
      </c>
      <c r="BA106" s="38">
        <v>-105</v>
      </c>
      <c r="BB106" s="38">
        <f t="shared" si="48"/>
        <v>-17.093738200635286</v>
      </c>
      <c r="BC106" s="38">
        <f t="shared" si="94"/>
        <v>-90.095047630469693</v>
      </c>
      <c r="BE106">
        <f t="shared" si="50"/>
        <v>9</v>
      </c>
      <c r="BF106">
        <f t="shared" si="95"/>
        <v>189.50036292821628</v>
      </c>
      <c r="BG106" s="7">
        <f t="shared" si="52"/>
        <v>-8.87656100451896</v>
      </c>
      <c r="BH106" s="7">
        <f t="shared" si="53"/>
        <v>-1.4854846795081202</v>
      </c>
      <c r="BI106" s="39">
        <v>0.79166666666666663</v>
      </c>
      <c r="BK106" s="39">
        <v>0.79166666666666663</v>
      </c>
      <c r="BL106" s="38">
        <v>-105</v>
      </c>
      <c r="BM106" s="38">
        <f t="shared" si="54"/>
        <v>-11.045650532058881</v>
      </c>
      <c r="BN106" s="38">
        <f t="shared" si="96"/>
        <v>-79.033909310679306</v>
      </c>
      <c r="BP106">
        <f t="shared" si="56"/>
        <v>9</v>
      </c>
      <c r="BQ106">
        <f t="shared" si="97"/>
        <v>175.40261833167796</v>
      </c>
      <c r="BR106" s="7">
        <f t="shared" si="86"/>
        <v>-8.9710428814800558</v>
      </c>
      <c r="BS106" s="7">
        <f t="shared" si="87"/>
        <v>0.72138035643204745</v>
      </c>
      <c r="BT106" s="39">
        <v>0.79166666666666663</v>
      </c>
      <c r="BV106" s="39">
        <v>0.79166666666666663</v>
      </c>
      <c r="BW106" s="38">
        <v>-105</v>
      </c>
      <c r="BX106" s="38">
        <f t="shared" si="60"/>
        <v>-5.3710235152583179</v>
      </c>
      <c r="BY106" s="38">
        <f t="shared" si="98"/>
        <v>-69.645777513673181</v>
      </c>
      <c r="CA106">
        <f t="shared" si="62"/>
        <v>9</v>
      </c>
      <c r="CB106">
        <f t="shared" si="99"/>
        <v>162.88809257849533</v>
      </c>
      <c r="CC106" s="7">
        <f t="shared" si="64"/>
        <v>-8.6015869704594792</v>
      </c>
      <c r="CD106" s="7">
        <f t="shared" si="65"/>
        <v>2.6481505979875326</v>
      </c>
      <c r="CE106" s="39">
        <v>0.79166666666666663</v>
      </c>
      <c r="CG106" s="39">
        <v>0.79166666666666663</v>
      </c>
      <c r="CH106" s="38">
        <v>-105</v>
      </c>
      <c r="CI106" s="38">
        <f t="shared" si="66"/>
        <v>-1.5633314612030205</v>
      </c>
      <c r="CJ106" s="38">
        <f t="shared" si="100"/>
        <v>-63.595103972539462</v>
      </c>
      <c r="CL106">
        <f t="shared" si="68"/>
        <v>9</v>
      </c>
      <c r="CM106">
        <f t="shared" si="101"/>
        <v>154.57217671264948</v>
      </c>
      <c r="CN106" s="7">
        <f t="shared" si="70"/>
        <v>-8.1281420283668258</v>
      </c>
      <c r="CO106" s="7">
        <f t="shared" si="71"/>
        <v>3.8643637466854521</v>
      </c>
      <c r="CP106" s="39">
        <v>0.79166666666666663</v>
      </c>
      <c r="CR106" s="39">
        <v>0.79166666666666663</v>
      </c>
      <c r="CS106" s="38">
        <v>-105</v>
      </c>
      <c r="CT106" s="38">
        <f t="shared" si="72"/>
        <v>-0.80777986614324515</v>
      </c>
      <c r="CU106" s="38">
        <f t="shared" si="102"/>
        <v>-62.404173266606605</v>
      </c>
      <c r="CW106">
        <f t="shared" si="74"/>
        <v>9</v>
      </c>
      <c r="CX106">
        <f t="shared" si="103"/>
        <v>152.9128608915928</v>
      </c>
      <c r="CY106" s="7">
        <f t="shared" si="76"/>
        <v>-8.0128353242451471</v>
      </c>
      <c r="CZ106" s="7">
        <f t="shared" si="77"/>
        <v>4.0981056680531287</v>
      </c>
      <c r="DA106" s="39">
        <v>0.79166666666666663</v>
      </c>
      <c r="DC106" s="39">
        <v>0.79166666666666663</v>
      </c>
      <c r="DD106" s="38">
        <v>-105</v>
      </c>
      <c r="DE106" s="38">
        <f t="shared" si="78"/>
        <v>-23.465180129092047</v>
      </c>
      <c r="DF106" s="38">
        <f t="shared" si="104"/>
        <v>-104.25379012152538</v>
      </c>
      <c r="DH106">
        <f t="shared" si="80"/>
        <v>9</v>
      </c>
      <c r="DI106">
        <f t="shared" si="105"/>
        <v>206.57086830691145</v>
      </c>
      <c r="DJ106" s="7">
        <f t="shared" si="82"/>
        <v>-8.049436034917786</v>
      </c>
      <c r="DK106" s="7">
        <f t="shared" si="83"/>
        <v>-4.025739623940801</v>
      </c>
      <c r="DL106" s="39">
        <v>0.79166666666666663</v>
      </c>
    </row>
    <row r="107" spans="1:116" x14ac:dyDescent="0.25">
      <c r="A107">
        <v>-1.5</v>
      </c>
      <c r="B107">
        <f t="shared" si="90"/>
        <v>8.8741196746494246</v>
      </c>
      <c r="C107">
        <f t="shared" si="91"/>
        <v>-8.8741196746494246</v>
      </c>
      <c r="D107">
        <f t="shared" si="30"/>
        <v>7.8581168227508558</v>
      </c>
      <c r="E107">
        <f t="shared" si="31"/>
        <v>-7.8581168227508558</v>
      </c>
      <c r="F107">
        <f t="shared" si="36"/>
        <v>6.8373971655886718</v>
      </c>
      <c r="G107">
        <f t="shared" si="37"/>
        <v>-6.8373971655886718</v>
      </c>
      <c r="H107">
        <f t="shared" si="88"/>
        <v>5.8094750193111251</v>
      </c>
      <c r="I107">
        <f t="shared" si="89"/>
        <v>-5.8094750193111251</v>
      </c>
      <c r="J107">
        <f t="shared" si="106"/>
        <v>4.7696960070847281</v>
      </c>
      <c r="K107">
        <f t="shared" si="107"/>
        <v>-4.7696960070847281</v>
      </c>
      <c r="L107">
        <f t="shared" si="34"/>
        <v>3.7080992435478315</v>
      </c>
      <c r="M107">
        <f t="shared" si="35"/>
        <v>-3.7080992435478315</v>
      </c>
      <c r="N107">
        <f t="shared" si="84"/>
        <v>2.598076211353316</v>
      </c>
      <c r="O107">
        <f t="shared" si="85"/>
        <v>-2.598076211353316</v>
      </c>
      <c r="P107">
        <f t="shared" si="26"/>
        <v>1.3228756555322954</v>
      </c>
      <c r="Q107">
        <f t="shared" si="27"/>
        <v>-1.3228756555322954</v>
      </c>
      <c r="U107" s="7"/>
      <c r="V107" s="7"/>
      <c r="W107" s="7"/>
      <c r="X107" s="7"/>
      <c r="Y107" s="7"/>
      <c r="Z107" s="7"/>
      <c r="AA107" s="7"/>
      <c r="AB107" s="7"/>
      <c r="AO107" s="39">
        <v>0.83333333333333304</v>
      </c>
      <c r="AP107" s="38">
        <v>-120</v>
      </c>
      <c r="AQ107" s="38">
        <f t="shared" si="42"/>
        <v>-34.263131703153903</v>
      </c>
      <c r="AR107" s="38">
        <f t="shared" si="92"/>
        <v>-92.169938930599614</v>
      </c>
      <c r="AT107">
        <f t="shared" si="44"/>
        <v>9</v>
      </c>
      <c r="AU107">
        <f t="shared" si="93"/>
        <v>200.14480796075449</v>
      </c>
      <c r="AV107" s="7">
        <f t="shared" si="46"/>
        <v>-8.4494268639521586</v>
      </c>
      <c r="AW107" s="7">
        <f t="shared" si="47"/>
        <v>-3.0995460426848935</v>
      </c>
      <c r="AX107" s="39">
        <v>0.83333333333333304</v>
      </c>
      <c r="AZ107" s="39">
        <v>0.83333333333333304</v>
      </c>
      <c r="BA107" s="38">
        <v>-120</v>
      </c>
      <c r="BB107" s="38">
        <f t="shared" si="48"/>
        <v>-30.166174654908502</v>
      </c>
      <c r="BC107" s="38">
        <f t="shared" si="94"/>
        <v>-82.395681730571113</v>
      </c>
      <c r="BE107">
        <f t="shared" si="50"/>
        <v>9</v>
      </c>
      <c r="BF107">
        <f t="shared" si="95"/>
        <v>189.50036292821628</v>
      </c>
      <c r="BG107" s="7">
        <f t="shared" si="52"/>
        <v>-8.87656100451896</v>
      </c>
      <c r="BH107" s="7">
        <f t="shared" si="53"/>
        <v>-1.4854846795081202</v>
      </c>
      <c r="BI107" s="39">
        <v>0.83333333333333304</v>
      </c>
      <c r="BK107" s="39">
        <v>0.83333333333333304</v>
      </c>
      <c r="BL107" s="38">
        <v>-120</v>
      </c>
      <c r="BM107" s="38">
        <f t="shared" si="54"/>
        <v>-23.693971230022676</v>
      </c>
      <c r="BN107" s="38">
        <f t="shared" si="96"/>
        <v>-70.634773561073217</v>
      </c>
      <c r="BP107">
        <f t="shared" si="56"/>
        <v>9</v>
      </c>
      <c r="BQ107">
        <f t="shared" si="97"/>
        <v>175.40261833167796</v>
      </c>
      <c r="BR107" s="7">
        <f t="shared" si="86"/>
        <v>-8.9710428814800558</v>
      </c>
      <c r="BS107" s="7">
        <f t="shared" si="87"/>
        <v>0.72138035643204745</v>
      </c>
      <c r="BT107" s="39">
        <v>0.83333333333333304</v>
      </c>
      <c r="BV107" s="39">
        <v>0.83333333333333304</v>
      </c>
      <c r="BW107" s="38">
        <v>-120</v>
      </c>
      <c r="BX107" s="38">
        <f t="shared" si="60"/>
        <v>-17.295202768452899</v>
      </c>
      <c r="BY107" s="38">
        <f t="shared" si="98"/>
        <v>-61.227129569630065</v>
      </c>
      <c r="CA107">
        <f t="shared" si="62"/>
        <v>9</v>
      </c>
      <c r="CB107">
        <f t="shared" si="99"/>
        <v>162.88809257849533</v>
      </c>
      <c r="CC107" s="7">
        <f t="shared" si="64"/>
        <v>-8.6015869704594792</v>
      </c>
      <c r="CD107" s="7">
        <f t="shared" si="65"/>
        <v>2.6481505979875326</v>
      </c>
      <c r="CE107" s="39">
        <v>0.83333333333333304</v>
      </c>
      <c r="CG107" s="39">
        <v>0.83333333333333304</v>
      </c>
      <c r="CH107" s="38">
        <v>-120</v>
      </c>
      <c r="CI107" s="38">
        <f t="shared" si="66"/>
        <v>-12.865159481895564</v>
      </c>
      <c r="CJ107" s="38">
        <f t="shared" si="100"/>
        <v>-55.427667993562665</v>
      </c>
      <c r="CL107">
        <f t="shared" si="68"/>
        <v>9</v>
      </c>
      <c r="CM107">
        <f t="shared" si="101"/>
        <v>154.57217671264948</v>
      </c>
      <c r="CN107" s="7">
        <f t="shared" si="70"/>
        <v>-8.1281420283668258</v>
      </c>
      <c r="CO107" s="7">
        <f t="shared" si="71"/>
        <v>3.8643637466854521</v>
      </c>
      <c r="CP107" s="39">
        <v>0.83333333333333304</v>
      </c>
      <c r="CR107" s="39">
        <v>0.83333333333333304</v>
      </c>
      <c r="CS107" s="38">
        <v>-120</v>
      </c>
      <c r="CT107" s="38">
        <f t="shared" si="72"/>
        <v>-11.973998043852708</v>
      </c>
      <c r="CU107" s="38">
        <f t="shared" si="102"/>
        <v>-54.308590994652675</v>
      </c>
      <c r="CW107">
        <f t="shared" si="74"/>
        <v>9</v>
      </c>
      <c r="CX107">
        <f t="shared" si="103"/>
        <v>152.9128608915928</v>
      </c>
      <c r="CY107" s="7">
        <f t="shared" si="76"/>
        <v>-8.0128353242451471</v>
      </c>
      <c r="CZ107" s="7">
        <f t="shared" si="77"/>
        <v>4.0981056680531287</v>
      </c>
      <c r="DA107" s="39">
        <v>0.83333333333333304</v>
      </c>
      <c r="DC107" s="39">
        <v>0.83333333333333304</v>
      </c>
      <c r="DD107" s="38">
        <v>-120</v>
      </c>
      <c r="DE107" s="38">
        <f t="shared" si="78"/>
        <v>-36.313087788252069</v>
      </c>
      <c r="DF107" s="38">
        <f t="shared" si="104"/>
        <v>-98.417944530448025</v>
      </c>
      <c r="DH107">
        <f t="shared" si="80"/>
        <v>9</v>
      </c>
      <c r="DI107">
        <f t="shared" si="105"/>
        <v>206.57086830691145</v>
      </c>
      <c r="DJ107" s="7">
        <f t="shared" si="82"/>
        <v>-8.049436034917786</v>
      </c>
      <c r="DK107" s="7">
        <f t="shared" si="83"/>
        <v>-4.025739623940801</v>
      </c>
      <c r="DL107" s="39">
        <v>0.83333333333333304</v>
      </c>
    </row>
    <row r="108" spans="1:116" x14ac:dyDescent="0.25">
      <c r="A108">
        <v>-1.6</v>
      </c>
      <c r="B108">
        <f t="shared" si="90"/>
        <v>8.8566359301938107</v>
      </c>
      <c r="C108">
        <f t="shared" si="91"/>
        <v>-8.8566359301938107</v>
      </c>
      <c r="D108">
        <f t="shared" ref="D108:D139" si="108">+SQRT(64-A108^2)</f>
        <v>7.8383671769061696</v>
      </c>
      <c r="E108">
        <f t="shared" ref="E108:E139" si="109">-D108</f>
        <v>-7.8383671769061696</v>
      </c>
      <c r="F108">
        <f t="shared" si="36"/>
        <v>6.8146900149603278</v>
      </c>
      <c r="G108">
        <f t="shared" si="37"/>
        <v>-6.8146900149603278</v>
      </c>
      <c r="H108">
        <f t="shared" si="88"/>
        <v>5.7827329179203844</v>
      </c>
      <c r="I108">
        <f t="shared" si="89"/>
        <v>-5.7827329179203844</v>
      </c>
      <c r="J108">
        <f t="shared" si="106"/>
        <v>4.737087712930804</v>
      </c>
      <c r="K108">
        <f t="shared" si="107"/>
        <v>-4.737087712930804</v>
      </c>
      <c r="L108">
        <f t="shared" si="34"/>
        <v>3.666060555964672</v>
      </c>
      <c r="M108">
        <f t="shared" si="35"/>
        <v>-3.666060555964672</v>
      </c>
      <c r="N108">
        <f t="shared" si="84"/>
        <v>2.5377155080899039</v>
      </c>
      <c r="O108">
        <f t="shared" si="85"/>
        <v>-2.5377155080899039</v>
      </c>
      <c r="P108">
        <f t="shared" si="26"/>
        <v>1.1999999999999997</v>
      </c>
      <c r="Q108">
        <f t="shared" si="27"/>
        <v>-1.1999999999999997</v>
      </c>
      <c r="U108" s="7"/>
      <c r="V108" s="7"/>
      <c r="W108" s="7"/>
      <c r="X108" s="7"/>
      <c r="Y108" s="7"/>
      <c r="Z108" s="7"/>
      <c r="AA108" s="7"/>
      <c r="AB108" s="7"/>
      <c r="AO108" s="39">
        <v>0.875</v>
      </c>
      <c r="AP108" s="38">
        <v>-135</v>
      </c>
      <c r="AQ108" s="38">
        <f t="shared" si="42"/>
        <v>-47.358006013278754</v>
      </c>
      <c r="AR108" s="38">
        <f t="shared" si="92"/>
        <v>-84.519330155836997</v>
      </c>
      <c r="AT108">
        <f t="shared" si="44"/>
        <v>9</v>
      </c>
      <c r="AU108">
        <f t="shared" si="93"/>
        <v>200.14480796075449</v>
      </c>
      <c r="AV108" s="7">
        <f t="shared" si="46"/>
        <v>-8.4494268639521586</v>
      </c>
      <c r="AW108" s="7">
        <f t="shared" si="47"/>
        <v>-3.0995460426848935</v>
      </c>
      <c r="AX108" s="39">
        <v>0.875</v>
      </c>
      <c r="AZ108" s="39">
        <v>0.875</v>
      </c>
      <c r="BA108" s="38">
        <v>-135</v>
      </c>
      <c r="BB108" s="38">
        <f t="shared" si="48"/>
        <v>-42.970049900882437</v>
      </c>
      <c r="BC108" s="38">
        <f t="shared" si="94"/>
        <v>-72.992972749272582</v>
      </c>
      <c r="BE108">
        <f t="shared" si="50"/>
        <v>9</v>
      </c>
      <c r="BF108">
        <f t="shared" si="95"/>
        <v>189.50036292821628</v>
      </c>
      <c r="BG108" s="7">
        <f t="shared" si="52"/>
        <v>-8.87656100451896</v>
      </c>
      <c r="BH108" s="7">
        <f t="shared" si="53"/>
        <v>-1.4854846795081202</v>
      </c>
      <c r="BI108" s="39">
        <v>0.875</v>
      </c>
      <c r="BK108" s="39">
        <v>0.875</v>
      </c>
      <c r="BL108" s="38">
        <v>-135</v>
      </c>
      <c r="BM108" s="38">
        <f t="shared" si="54"/>
        <v>-35.619953941187866</v>
      </c>
      <c r="BN108" s="38">
        <f t="shared" si="96"/>
        <v>-60.195037330045565</v>
      </c>
      <c r="BP108">
        <f t="shared" si="56"/>
        <v>9</v>
      </c>
      <c r="BQ108">
        <f t="shared" si="97"/>
        <v>175.40261833167796</v>
      </c>
      <c r="BR108" s="7">
        <f t="shared" si="86"/>
        <v>-8.9710428814800558</v>
      </c>
      <c r="BS108" s="7">
        <f t="shared" si="87"/>
        <v>0.72138035643204745</v>
      </c>
      <c r="BT108" s="39">
        <v>0.875</v>
      </c>
      <c r="BV108" s="39">
        <v>0.875</v>
      </c>
      <c r="BW108" s="38">
        <v>-135</v>
      </c>
      <c r="BX108" s="38">
        <f t="shared" si="60"/>
        <v>-28.177692758769616</v>
      </c>
      <c r="BY108" s="38">
        <f t="shared" si="98"/>
        <v>-50.823092297341248</v>
      </c>
      <c r="CA108">
        <f t="shared" si="62"/>
        <v>9</v>
      </c>
      <c r="CB108">
        <f t="shared" si="99"/>
        <v>162.88809257849533</v>
      </c>
      <c r="CC108" s="7">
        <f t="shared" si="64"/>
        <v>-8.6015869704594792</v>
      </c>
      <c r="CD108" s="7">
        <f t="shared" si="65"/>
        <v>2.6481505979875326</v>
      </c>
      <c r="CE108" s="39">
        <v>0.875</v>
      </c>
      <c r="CG108" s="39">
        <v>0.875</v>
      </c>
      <c r="CH108" s="38">
        <v>-135</v>
      </c>
      <c r="CI108" s="38">
        <f t="shared" si="66"/>
        <v>-22.981260259153483</v>
      </c>
      <c r="CJ108" s="38">
        <f t="shared" si="100"/>
        <v>-45.392932124001135</v>
      </c>
      <c r="CL108">
        <f t="shared" si="68"/>
        <v>9</v>
      </c>
      <c r="CM108">
        <f t="shared" si="101"/>
        <v>154.57217671264948</v>
      </c>
      <c r="CN108" s="7">
        <f t="shared" si="70"/>
        <v>-8.1281420283668258</v>
      </c>
      <c r="CO108" s="7">
        <f t="shared" si="71"/>
        <v>3.8643637466854521</v>
      </c>
      <c r="CP108" s="39">
        <v>0.875</v>
      </c>
      <c r="CR108" s="39">
        <v>0.875</v>
      </c>
      <c r="CS108" s="38">
        <v>-135</v>
      </c>
      <c r="CT108" s="38">
        <f t="shared" si="72"/>
        <v>-21.932757611792816</v>
      </c>
      <c r="CU108" s="38">
        <f t="shared" si="102"/>
        <v>-44.372564277814263</v>
      </c>
      <c r="CW108">
        <f t="shared" si="74"/>
        <v>9</v>
      </c>
      <c r="CX108">
        <f t="shared" si="103"/>
        <v>152.9128608915928</v>
      </c>
      <c r="CY108" s="7">
        <f t="shared" si="76"/>
        <v>-8.0128353242451471</v>
      </c>
      <c r="CZ108" s="7">
        <f t="shared" si="77"/>
        <v>4.0981056680531287</v>
      </c>
      <c r="DA108" s="39">
        <v>0.875</v>
      </c>
      <c r="DC108" s="39">
        <v>0.875</v>
      </c>
      <c r="DD108" s="38">
        <v>-135</v>
      </c>
      <c r="DE108" s="38">
        <f t="shared" si="78"/>
        <v>-49.357961668366194</v>
      </c>
      <c r="DF108" s="38">
        <f t="shared" si="104"/>
        <v>-92.227199589722318</v>
      </c>
      <c r="DH108">
        <f t="shared" si="80"/>
        <v>9</v>
      </c>
      <c r="DI108">
        <f t="shared" si="105"/>
        <v>206.57086830691145</v>
      </c>
      <c r="DJ108" s="7">
        <f t="shared" si="82"/>
        <v>-8.049436034917786</v>
      </c>
      <c r="DK108" s="7">
        <f t="shared" si="83"/>
        <v>-4.025739623940801</v>
      </c>
      <c r="DL108" s="39">
        <v>0.875</v>
      </c>
    </row>
    <row r="109" spans="1:116" x14ac:dyDescent="0.25">
      <c r="A109">
        <v>-1.7</v>
      </c>
      <c r="B109">
        <f t="shared" si="90"/>
        <v>8.8379861959611592</v>
      </c>
      <c r="C109">
        <f t="shared" si="91"/>
        <v>-8.8379861959611592</v>
      </c>
      <c r="D109">
        <f t="shared" si="108"/>
        <v>7.8172885324772299</v>
      </c>
      <c r="E109">
        <f t="shared" si="109"/>
        <v>-7.8172885324772299</v>
      </c>
      <c r="F109">
        <f t="shared" si="36"/>
        <v>6.7904344485459838</v>
      </c>
      <c r="G109">
        <f t="shared" si="37"/>
        <v>-6.7904344485459838</v>
      </c>
      <c r="H109">
        <f t="shared" si="88"/>
        <v>5.7541289523263206</v>
      </c>
      <c r="I109">
        <f t="shared" si="89"/>
        <v>-5.7541289523263206</v>
      </c>
      <c r="J109">
        <f t="shared" si="106"/>
        <v>4.702127178203499</v>
      </c>
      <c r="K109">
        <f t="shared" si="107"/>
        <v>-4.702127178203499</v>
      </c>
      <c r="L109">
        <f t="shared" si="34"/>
        <v>3.6207733980463344</v>
      </c>
      <c r="M109">
        <f t="shared" si="35"/>
        <v>-3.6207733980463344</v>
      </c>
      <c r="N109">
        <f t="shared" si="84"/>
        <v>2.4718414188616551</v>
      </c>
      <c r="O109">
        <f t="shared" si="85"/>
        <v>-2.4718414188616551</v>
      </c>
      <c r="P109">
        <f t="shared" si="26"/>
        <v>1.0535653752852741</v>
      </c>
      <c r="Q109">
        <f t="shared" si="27"/>
        <v>-1.0535653752852741</v>
      </c>
      <c r="U109" s="7"/>
      <c r="V109" s="7"/>
      <c r="W109" s="7"/>
      <c r="X109" s="7"/>
      <c r="Y109" s="7"/>
      <c r="Z109" s="7"/>
      <c r="AA109" s="7"/>
      <c r="AB109" s="7"/>
      <c r="AO109" s="39">
        <v>0.91666666666666696</v>
      </c>
      <c r="AP109" s="38">
        <v>-150</v>
      </c>
      <c r="AQ109" s="38">
        <f t="shared" si="42"/>
        <v>-60.232400619509299</v>
      </c>
      <c r="AR109" s="38">
        <f t="shared" si="92"/>
        <v>-73.818841067034114</v>
      </c>
      <c r="AT109">
        <f t="shared" si="44"/>
        <v>9</v>
      </c>
      <c r="AU109">
        <f t="shared" si="93"/>
        <v>200.14480796075449</v>
      </c>
      <c r="AV109" s="7">
        <f t="shared" si="46"/>
        <v>-8.4494268639521586</v>
      </c>
      <c r="AW109" s="7">
        <f t="shared" si="47"/>
        <v>-3.0995460426848935</v>
      </c>
      <c r="AX109" s="39">
        <v>0.91666666666666696</v>
      </c>
      <c r="AY109" s="13"/>
      <c r="AZ109" s="39">
        <v>0.91666666666666696</v>
      </c>
      <c r="BA109" s="38">
        <v>-150</v>
      </c>
      <c r="BB109" s="38">
        <f t="shared" si="48"/>
        <v>-54.989718040976605</v>
      </c>
      <c r="BC109" s="38">
        <f t="shared" si="94"/>
        <v>-59.585502367486896</v>
      </c>
      <c r="BE109">
        <f t="shared" si="50"/>
        <v>9</v>
      </c>
      <c r="BF109">
        <f t="shared" si="95"/>
        <v>189.50036292821628</v>
      </c>
      <c r="BG109" s="7">
        <f t="shared" si="52"/>
        <v>-8.87656100451896</v>
      </c>
      <c r="BH109" s="7">
        <f t="shared" si="53"/>
        <v>-1.4854846795081202</v>
      </c>
      <c r="BI109" s="39">
        <v>0.91666666666666696</v>
      </c>
      <c r="BK109" s="39">
        <v>0.91666666666666696</v>
      </c>
      <c r="BL109" s="38">
        <v>-150</v>
      </c>
      <c r="BM109" s="38">
        <f t="shared" si="54"/>
        <v>-46.133018433380855</v>
      </c>
      <c r="BN109" s="38">
        <f t="shared" si="96"/>
        <v>-46.033218302412109</v>
      </c>
      <c r="BP109">
        <f t="shared" si="56"/>
        <v>9</v>
      </c>
      <c r="BQ109">
        <f t="shared" si="97"/>
        <v>175.40261833167796</v>
      </c>
      <c r="BR109" s="7">
        <f t="shared" si="86"/>
        <v>-8.9710428814800558</v>
      </c>
      <c r="BS109" s="7">
        <f t="shared" si="87"/>
        <v>0.72138035643204745</v>
      </c>
      <c r="BT109" s="39">
        <v>0.91666666666666696</v>
      </c>
      <c r="BV109" s="39">
        <v>0.91666666666666696</v>
      </c>
      <c r="BW109" s="38">
        <v>-150</v>
      </c>
      <c r="BX109" s="38">
        <f t="shared" si="60"/>
        <v>-37.33129672095771</v>
      </c>
      <c r="BY109" s="38">
        <f t="shared" si="98"/>
        <v>-37.421390721411996</v>
      </c>
      <c r="CA109">
        <f t="shared" si="62"/>
        <v>9</v>
      </c>
      <c r="CB109">
        <f t="shared" si="99"/>
        <v>162.88809257849533</v>
      </c>
      <c r="CC109" s="7">
        <f t="shared" si="64"/>
        <v>-8.6015869704594792</v>
      </c>
      <c r="CD109" s="7">
        <f t="shared" si="65"/>
        <v>2.6481505979875326</v>
      </c>
      <c r="CE109" s="39">
        <v>0.91666666666666696</v>
      </c>
      <c r="CG109" s="39">
        <v>0.91666666666666696</v>
      </c>
      <c r="CH109" s="38">
        <v>-150</v>
      </c>
      <c r="CI109" s="38">
        <f t="shared" si="66"/>
        <v>-31.276362355278998</v>
      </c>
      <c r="CJ109" s="38">
        <f t="shared" si="100"/>
        <v>-32.838198459563159</v>
      </c>
      <c r="CL109">
        <f t="shared" si="68"/>
        <v>9</v>
      </c>
      <c r="CM109">
        <f t="shared" si="101"/>
        <v>154.57217671264948</v>
      </c>
      <c r="CN109" s="7">
        <f t="shared" si="70"/>
        <v>-8.1281420283668258</v>
      </c>
      <c r="CO109" s="7">
        <f t="shared" si="71"/>
        <v>3.8643637466854521</v>
      </c>
      <c r="CP109" s="39">
        <v>0.91666666666666696</v>
      </c>
      <c r="CR109" s="39">
        <v>0.91666666666666696</v>
      </c>
      <c r="CS109" s="38">
        <v>-150</v>
      </c>
      <c r="CT109" s="38">
        <f t="shared" si="72"/>
        <v>-30.061756873161897</v>
      </c>
      <c r="CU109" s="38">
        <f t="shared" si="102"/>
        <v>-32.005223707712958</v>
      </c>
      <c r="CW109">
        <f t="shared" si="74"/>
        <v>9</v>
      </c>
      <c r="CX109">
        <f t="shared" si="103"/>
        <v>152.9128608915928</v>
      </c>
      <c r="CY109" s="7">
        <f t="shared" si="76"/>
        <v>-8.0128353242451471</v>
      </c>
      <c r="CZ109" s="7">
        <f t="shared" si="77"/>
        <v>4.0981056680531287</v>
      </c>
      <c r="DA109" s="39">
        <v>0.91666666666666696</v>
      </c>
      <c r="DC109" s="39">
        <v>0.91666666666666696</v>
      </c>
      <c r="DD109" s="38">
        <v>-150</v>
      </c>
      <c r="DE109" s="38">
        <f t="shared" si="78"/>
        <v>-62.452473976782521</v>
      </c>
      <c r="DF109" s="38">
        <f t="shared" si="104"/>
        <v>-84.319044517006716</v>
      </c>
      <c r="DH109">
        <f t="shared" si="80"/>
        <v>9</v>
      </c>
      <c r="DI109">
        <f t="shared" si="105"/>
        <v>206.57086830691145</v>
      </c>
      <c r="DJ109" s="7">
        <f t="shared" si="82"/>
        <v>-8.049436034917786</v>
      </c>
      <c r="DK109" s="7">
        <f t="shared" si="83"/>
        <v>-4.025739623940801</v>
      </c>
      <c r="DL109" s="39">
        <v>0.91666666666666696</v>
      </c>
    </row>
    <row r="110" spans="1:116" x14ac:dyDescent="0.25">
      <c r="A110">
        <v>-1.8</v>
      </c>
      <c r="B110">
        <f t="shared" si="90"/>
        <v>8.8181630740194414</v>
      </c>
      <c r="C110">
        <f t="shared" si="91"/>
        <v>-8.8181630740194414</v>
      </c>
      <c r="D110">
        <f t="shared" si="108"/>
        <v>7.7948701079620308</v>
      </c>
      <c r="E110">
        <f t="shared" si="109"/>
        <v>-7.7948701079620308</v>
      </c>
      <c r="F110">
        <f t="shared" si="36"/>
        <v>6.7646138101151054</v>
      </c>
      <c r="G110">
        <f t="shared" si="37"/>
        <v>-6.7646138101151054</v>
      </c>
      <c r="H110">
        <f t="shared" si="88"/>
        <v>5.7236352085016735</v>
      </c>
      <c r="I110">
        <f t="shared" si="89"/>
        <v>-5.7236352085016735</v>
      </c>
      <c r="J110">
        <f t="shared" si="106"/>
        <v>4.6647615158762399</v>
      </c>
      <c r="K110">
        <f t="shared" si="107"/>
        <v>-4.6647615158762399</v>
      </c>
      <c r="L110">
        <f t="shared" si="34"/>
        <v>3.5721142198983502</v>
      </c>
      <c r="M110">
        <f t="shared" si="35"/>
        <v>-3.5721142198983502</v>
      </c>
      <c r="N110">
        <f t="shared" si="84"/>
        <v>2.4</v>
      </c>
      <c r="O110">
        <f t="shared" si="85"/>
        <v>-2.4</v>
      </c>
      <c r="P110">
        <f t="shared" si="26"/>
        <v>0.87177978870813455</v>
      </c>
      <c r="Q110">
        <f t="shared" si="27"/>
        <v>-0.87177978870813455</v>
      </c>
      <c r="U110" s="7"/>
      <c r="V110" s="7"/>
      <c r="W110" s="7"/>
      <c r="X110" s="7"/>
      <c r="Y110" s="7"/>
      <c r="Z110" s="7"/>
      <c r="AA110" s="7"/>
      <c r="AB110" s="7"/>
      <c r="AE110" t="s">
        <v>108</v>
      </c>
      <c r="AF110" t="str">
        <f>+'Control Solar 1er Sem'!N12</f>
        <v>SI</v>
      </c>
      <c r="AO110" s="39">
        <v>0.95833333333333304</v>
      </c>
      <c r="AP110" s="38">
        <v>-165</v>
      </c>
      <c r="AQ110" s="38">
        <f t="shared" si="42"/>
        <v>-72.046150944645134</v>
      </c>
      <c r="AR110" s="38">
        <f t="shared" si="92"/>
        <v>-53.197388177510931</v>
      </c>
      <c r="AT110">
        <f t="shared" si="44"/>
        <v>9</v>
      </c>
      <c r="AU110">
        <f t="shared" si="93"/>
        <v>200.14480796075449</v>
      </c>
      <c r="AV110" s="7">
        <f t="shared" si="46"/>
        <v>-8.4494268639521586</v>
      </c>
      <c r="AW110" s="7">
        <f t="shared" si="47"/>
        <v>-3.0995460426848935</v>
      </c>
      <c r="AX110" s="39">
        <v>0.95833333333333304</v>
      </c>
      <c r="AY110" s="13"/>
      <c r="AZ110" s="39">
        <v>0.95833333333333304</v>
      </c>
      <c r="BA110" s="38">
        <v>-165</v>
      </c>
      <c r="BB110" s="38">
        <f t="shared" si="48"/>
        <v>-64.883038153692766</v>
      </c>
      <c r="BC110" s="38">
        <f t="shared" si="94"/>
        <v>-37.111855036527061</v>
      </c>
      <c r="BE110">
        <f t="shared" si="50"/>
        <v>9</v>
      </c>
      <c r="BF110">
        <f t="shared" si="95"/>
        <v>189.50036292821628</v>
      </c>
      <c r="BG110" s="7">
        <f t="shared" si="52"/>
        <v>-8.87656100451896</v>
      </c>
      <c r="BH110" s="7">
        <f t="shared" si="53"/>
        <v>-1.4854846795081202</v>
      </c>
      <c r="BI110" s="39">
        <v>0.95833333333333304</v>
      </c>
      <c r="BK110" s="39">
        <v>0.95833333333333304</v>
      </c>
      <c r="BL110" s="38">
        <v>-165</v>
      </c>
      <c r="BM110" s="38">
        <f t="shared" si="54"/>
        <v>-53.905193379238668</v>
      </c>
      <c r="BN110" s="38">
        <f t="shared" si="96"/>
        <v>-25.992283534126898</v>
      </c>
      <c r="BP110">
        <f t="shared" si="56"/>
        <v>9</v>
      </c>
      <c r="BQ110">
        <f t="shared" si="97"/>
        <v>175.40261833167796</v>
      </c>
      <c r="BR110" s="7">
        <f t="shared" si="86"/>
        <v>-8.9710428814800558</v>
      </c>
      <c r="BS110" s="7">
        <f t="shared" si="87"/>
        <v>0.72138035643204745</v>
      </c>
      <c r="BT110" s="39">
        <v>0.95833333333333304</v>
      </c>
      <c r="BV110" s="39">
        <v>0.95833333333333304</v>
      </c>
      <c r="BW110" s="38">
        <v>-165</v>
      </c>
      <c r="BX110" s="38">
        <f t="shared" si="60"/>
        <v>-43.692996391273049</v>
      </c>
      <c r="BY110" s="38">
        <f t="shared" si="98"/>
        <v>-20.237754688613791</v>
      </c>
      <c r="CA110">
        <f t="shared" si="62"/>
        <v>9</v>
      </c>
      <c r="CB110">
        <f t="shared" si="99"/>
        <v>162.88809257849533</v>
      </c>
      <c r="CC110" s="7">
        <f t="shared" si="64"/>
        <v>-8.6015869704594792</v>
      </c>
      <c r="CD110" s="7">
        <f t="shared" si="65"/>
        <v>2.6481505979875326</v>
      </c>
      <c r="CE110" s="39">
        <v>0.95833333333333304</v>
      </c>
      <c r="CG110" s="39">
        <v>0.95833333333333304</v>
      </c>
      <c r="CH110" s="38">
        <v>-165</v>
      </c>
      <c r="CI110" s="38">
        <f t="shared" si="66"/>
        <v>-36.876609818260775</v>
      </c>
      <c r="CJ110" s="38">
        <f t="shared" si="100"/>
        <v>-17.452108433901259</v>
      </c>
      <c r="CL110">
        <f t="shared" si="68"/>
        <v>9</v>
      </c>
      <c r="CM110">
        <f t="shared" si="101"/>
        <v>154.57217671264948</v>
      </c>
      <c r="CN110" s="7">
        <f t="shared" si="70"/>
        <v>-8.1281420283668258</v>
      </c>
      <c r="CO110" s="7">
        <f t="shared" si="71"/>
        <v>3.8643637466854521</v>
      </c>
      <c r="CP110" s="39">
        <v>0.95833333333333304</v>
      </c>
      <c r="CR110" s="39">
        <v>0.95833333333333304</v>
      </c>
      <c r="CS110" s="38">
        <v>-165</v>
      </c>
      <c r="CT110" s="38">
        <f t="shared" si="72"/>
        <v>-35.522989333110012</v>
      </c>
      <c r="CU110" s="38">
        <f t="shared" si="102"/>
        <v>-16.962222906987591</v>
      </c>
      <c r="CW110">
        <f t="shared" si="74"/>
        <v>9</v>
      </c>
      <c r="CX110">
        <f t="shared" si="103"/>
        <v>152.9128608915928</v>
      </c>
      <c r="CY110" s="7">
        <f t="shared" si="76"/>
        <v>-8.0128353242451471</v>
      </c>
      <c r="CZ110" s="7">
        <f t="shared" si="77"/>
        <v>4.0981056680531287</v>
      </c>
      <c r="DA110" s="39">
        <v>0.95833333333333304</v>
      </c>
      <c r="DC110" s="39">
        <v>0.95833333333333304</v>
      </c>
      <c r="DD110" s="38">
        <v>-165</v>
      </c>
      <c r="DE110" s="38">
        <f t="shared" si="78"/>
        <v>-75.23679981258222</v>
      </c>
      <c r="DF110" s="38">
        <f t="shared" si="104"/>
        <v>-69.204392711010712</v>
      </c>
      <c r="DH110">
        <f t="shared" si="80"/>
        <v>9</v>
      </c>
      <c r="DI110">
        <f t="shared" si="105"/>
        <v>206.57086830691145</v>
      </c>
      <c r="DJ110" s="7">
        <f t="shared" si="82"/>
        <v>-8.049436034917786</v>
      </c>
      <c r="DK110" s="7">
        <f t="shared" si="83"/>
        <v>-4.025739623940801</v>
      </c>
      <c r="DL110" s="39">
        <v>0.95833333333333304</v>
      </c>
    </row>
    <row r="111" spans="1:116" x14ac:dyDescent="0.25">
      <c r="A111">
        <v>-1.9</v>
      </c>
      <c r="B111">
        <f t="shared" si="90"/>
        <v>8.7971586321948294</v>
      </c>
      <c r="C111">
        <f t="shared" si="91"/>
        <v>-8.7971586321948294</v>
      </c>
      <c r="D111">
        <f t="shared" si="108"/>
        <v>7.7711003081931711</v>
      </c>
      <c r="E111">
        <f t="shared" si="109"/>
        <v>-7.7711003081931711</v>
      </c>
      <c r="F111">
        <f t="shared" si="36"/>
        <v>6.7372101050805888</v>
      </c>
      <c r="G111">
        <f t="shared" si="37"/>
        <v>-6.7372101050805888</v>
      </c>
      <c r="H111">
        <f t="shared" si="88"/>
        <v>5.6912213100528781</v>
      </c>
      <c r="I111">
        <f t="shared" si="89"/>
        <v>-5.6912213100528781</v>
      </c>
      <c r="J111">
        <f t="shared" si="106"/>
        <v>4.6249324319388707</v>
      </c>
      <c r="K111">
        <f t="shared" si="107"/>
        <v>-4.6249324319388707</v>
      </c>
      <c r="L111">
        <f t="shared" si="34"/>
        <v>3.5199431813596083</v>
      </c>
      <c r="M111">
        <f t="shared" si="35"/>
        <v>-3.5199431813596083</v>
      </c>
      <c r="N111">
        <f t="shared" si="84"/>
        <v>2.32163735324878</v>
      </c>
      <c r="O111">
        <f t="shared" si="85"/>
        <v>-2.32163735324878</v>
      </c>
      <c r="P111">
        <f t="shared" si="26"/>
        <v>0.62449979983983994</v>
      </c>
      <c r="Q111">
        <f t="shared" si="27"/>
        <v>-0.62449979983983994</v>
      </c>
      <c r="U111" s="7"/>
      <c r="V111" s="7"/>
      <c r="W111" s="7"/>
      <c r="X111" s="7"/>
      <c r="Y111" s="7"/>
      <c r="Z111" s="7"/>
      <c r="AA111" s="7"/>
      <c r="AB111" s="7"/>
      <c r="AE111" t="s">
        <v>107</v>
      </c>
      <c r="AF111" t="str">
        <f>+'Control Solar 1er Sem'!N26</f>
        <v>si</v>
      </c>
      <c r="AO111" s="39">
        <v>1</v>
      </c>
      <c r="AP111" s="38">
        <v>-180</v>
      </c>
      <c r="AQ111" s="38">
        <f t="shared" si="42"/>
        <v>-78.436495456484224</v>
      </c>
      <c r="AR111" s="38">
        <f>IF(((((SIN(RADIANS(AQ111)))*SIN(RADIANS($AR$85)))-SIN(RADIANS($AQ$85)))/((COS(RADIANS(AQ111)))*COS(RADIANS($AR$85))))&lt;=-1,-(180-DEGREES(ACOS(-1))),IF(((((SIN(RADIANS(AQ111)))*SIN(RADIANS($AR$85)))-SIN(RADIANS($AQ$85)))/((COS(RADIANS(AQ111)))*COS(RADIANS($AR$85))))&gt;=1,-(180-DEGREES(ACOS(1))),-(180-DEGREES(ACOS((((SIN(RADIANS(AQ111)))*SIN(RADIANS($AR$85)))-SIN(RADIANS($AQ$85)))/((COS(RADIANS(AQ111)))*COS(RADIANS($AR$85))))))))</f>
        <v>0</v>
      </c>
      <c r="AT111">
        <f t="shared" si="44"/>
        <v>9</v>
      </c>
      <c r="AU111">
        <f t="shared" si="93"/>
        <v>200.14480796075449</v>
      </c>
      <c r="AV111" s="7">
        <f t="shared" si="46"/>
        <v>-8.4494268639521586</v>
      </c>
      <c r="AW111" s="7">
        <f t="shared" si="47"/>
        <v>-3.0995460426848935</v>
      </c>
      <c r="AX111" s="39">
        <v>1</v>
      </c>
      <c r="AY111" s="13"/>
      <c r="AZ111" s="39">
        <v>1</v>
      </c>
      <c r="BA111" s="38">
        <v>-180</v>
      </c>
      <c r="BB111" s="38">
        <f t="shared" si="48"/>
        <v>-69.213705065035924</v>
      </c>
      <c r="BC111" s="38">
        <f>IF(((((SIN(RADIANS(BB111)))*SIN(RADIANS($BC$85)))-SIN(RADIANS($BC$85)))/((COS(RADIANS(BB111)))*COS(RADIANS($BC$85))))&lt;=-1,-(180-DEGREES(ACOS(-1))),IF(((((SIN(RADIANS(BB111)))*SIN(RADIANS($BC$85)))-SIN(RADIANS($BC$85)))/((COS(RADIANS(BB111)))*COS(RADIANS($BC$85))))&gt;=1,-(180-DEGREES(ACOS(1))),-(180-DEGREES(ACOS((((SIN(RADIANS(BB111)))*SIN(RADIANS($BC$85)))-SIN(RADIANS($BB$85)))/((COS(RADIANS(BB111)))*COS(RADIANS($BC$85))))))))</f>
        <v>0</v>
      </c>
      <c r="BE111">
        <f t="shared" si="50"/>
        <v>9</v>
      </c>
      <c r="BF111">
        <f t="shared" si="95"/>
        <v>189.50036292821628</v>
      </c>
      <c r="BG111" s="7">
        <f t="shared" si="52"/>
        <v>-8.87656100451896</v>
      </c>
      <c r="BH111" s="7">
        <f t="shared" si="53"/>
        <v>-1.4854846795081202</v>
      </c>
      <c r="BI111" s="39">
        <v>1</v>
      </c>
      <c r="BK111" s="39">
        <v>1</v>
      </c>
      <c r="BL111" s="38">
        <v>-180</v>
      </c>
      <c r="BM111" s="38">
        <f t="shared" si="54"/>
        <v>-56.903175768944351</v>
      </c>
      <c r="BN111" s="38">
        <f>IF(((((SIN(RADIANS(BM111)))*SIN(RADIANS($BN$85)))-SIN(RADIANS($BN$85)))/((COS(RADIANS(BM111)))*COS(RADIANS($BN$85))))&lt;=-1,-(180-DEGREES(ACOS(-1))),-(180-DEGREES(ACOS((((SIN(RADIANS(BM111)))*SIN(RADIANS($BN$85)))-SIN(RADIANS($BM$85)))/((COS(RADIANS(BM111)))*COS(RADIANS($BN$85)))))))</f>
        <v>0</v>
      </c>
      <c r="BP111">
        <f t="shared" si="56"/>
        <v>9</v>
      </c>
      <c r="BQ111">
        <f t="shared" si="97"/>
        <v>175.40261833167796</v>
      </c>
      <c r="BR111" s="7">
        <f t="shared" si="86"/>
        <v>-8.9710428814800558</v>
      </c>
      <c r="BS111" s="7">
        <f t="shared" si="87"/>
        <v>0.72138035643204745</v>
      </c>
      <c r="BT111" s="39">
        <v>1</v>
      </c>
      <c r="BV111" s="39">
        <v>1</v>
      </c>
      <c r="BW111" s="38">
        <v>-180</v>
      </c>
      <c r="BX111" s="38">
        <f t="shared" si="60"/>
        <v>-46.019112544125342</v>
      </c>
      <c r="BY111" s="38">
        <f>IF(((((SIN(RADIANS(BX111)))*SIN(RADIANS($BY$85)))-SIN(RADIANS($BX$85)))/((COS(RADIANS(BX111)))*COS(RADIANS($BY$85))))&gt;=-1,-(180-DEGREES(ACOS(-1))),-(180-DEGREES(ACOS((((SIN(RADIANS(BX111)))*SIN(RADIANS($BY$85)))-SIN(RADIANS($BX$85)))/((COS(RADIANS(BX111)))*COS(RADIANS($BY$85)))))))</f>
        <v>0</v>
      </c>
      <c r="CA111">
        <f t="shared" si="62"/>
        <v>9</v>
      </c>
      <c r="CB111">
        <f t="shared" si="99"/>
        <v>162.88809257849533</v>
      </c>
      <c r="CC111" s="7">
        <f t="shared" si="64"/>
        <v>-8.6015869704594792</v>
      </c>
      <c r="CD111" s="7">
        <f t="shared" si="65"/>
        <v>2.6481505979875326</v>
      </c>
      <c r="CE111" s="39">
        <v>1</v>
      </c>
      <c r="CG111" s="39">
        <v>1</v>
      </c>
      <c r="CH111" s="38">
        <v>-180</v>
      </c>
      <c r="CI111" s="38">
        <f t="shared" si="66"/>
        <v>-38.880375441262558</v>
      </c>
      <c r="CJ111" s="38">
        <f>IF(((((SIN(RADIANS(CI111)))*SIN(RADIANS($CJ$85)))-SIN(RADIANS($CI$85)))/((COS(RADIANS(CI111)))*COS(RADIANS($CJ$85))))&lt;=-1,-(180-DEGREES(ACOS(-1))),-(180-DEGREES(ACOS((((SIN(RADIANS(CI111)))*SIN(RADIANS($CJ$85)))-SIN(RADIANS($CI$85)))/((COS(RADIANS(CI111)))*COS(RADIANS($CJ$85)))))))</f>
        <v>0</v>
      </c>
      <c r="CL111">
        <f t="shared" si="68"/>
        <v>9</v>
      </c>
      <c r="CM111">
        <f t="shared" si="101"/>
        <v>154.57217671264948</v>
      </c>
      <c r="CN111" s="7">
        <f t="shared" si="70"/>
        <v>-8.1281420283668258</v>
      </c>
      <c r="CO111" s="7">
        <f t="shared" si="71"/>
        <v>3.8643637466854521</v>
      </c>
      <c r="CP111" s="39">
        <v>1</v>
      </c>
      <c r="CR111" s="39">
        <v>1</v>
      </c>
      <c r="CS111" s="38">
        <v>-180</v>
      </c>
      <c r="CT111" s="38">
        <f t="shared" si="72"/>
        <v>-37.47021715318634</v>
      </c>
      <c r="CU111" s="38">
        <f>IF(((((SIN(RADIANS(CT111)))*SIN(RADIANS($CU$85)))-SIN(RADIANS($CT$85)))/((COS(RADIANS(CT111)))*COS(RADIANS($CU$85))))&gt;=-1,-(180-DEGREES(ACOS(-1))),-(180-DEGREES(ACOS((((SIN(RADIANS(CT111)))*SIN(RADIANS($CU$85)))-SIN(RADIANS($CT$85)))/((COS(RADIANS(CT111)))*COS(RADIANS($CU$85)))))))</f>
        <v>0</v>
      </c>
      <c r="CW111">
        <f t="shared" si="74"/>
        <v>9</v>
      </c>
      <c r="CX111">
        <f t="shared" si="103"/>
        <v>152.9128608915928</v>
      </c>
      <c r="CY111" s="7">
        <f t="shared" si="76"/>
        <v>-8.0128353242451471</v>
      </c>
      <c r="CZ111" s="7">
        <f t="shared" si="77"/>
        <v>4.0981056680531287</v>
      </c>
      <c r="DA111" s="39">
        <v>1</v>
      </c>
      <c r="DC111" s="39">
        <v>1</v>
      </c>
      <c r="DD111" s="38">
        <v>-180</v>
      </c>
      <c r="DE111" s="38">
        <f t="shared" si="78"/>
        <v>-83.931636727869119</v>
      </c>
      <c r="DF111" s="38">
        <f>IF(((((SIN(RADIANS(DE111)))*SIN(RADIANS($DF$85)))-SIN(RADIANS($DF$85)))/((COS(RADIANS(DE111)))*COS(RADIANS($DF$85))))&lt;=-1,-(180-DEGREES(ACOS(-1))),IF(((((SIN(RADIANS(DE111)))*SIN(RADIANS($DF$85)))-SIN(RADIANS($DF$85)))/((COS(RADIANS(DE111)))*COS(RADIANS($DF$85))))&gt;=1,-(180-DEGREES(ACOS(1))),-(180-DEGREES(ACOS((((SIN(RADIANS(DE111)))*SIN(RADIANS($DF$85)))-SIN(RADIANS($DE$85)))/((COS(RADIANS(DE111)))*COS(RADIANS($DF$85))))))))</f>
        <v>0</v>
      </c>
      <c r="DH111">
        <f t="shared" si="80"/>
        <v>9</v>
      </c>
      <c r="DI111">
        <f t="shared" si="105"/>
        <v>206.57086830691145</v>
      </c>
      <c r="DJ111" s="7">
        <f t="shared" si="82"/>
        <v>-8.049436034917786</v>
      </c>
      <c r="DK111" s="7">
        <f t="shared" si="83"/>
        <v>-4.025739623940801</v>
      </c>
      <c r="DL111" s="39">
        <v>1</v>
      </c>
    </row>
    <row r="112" spans="1:116" x14ac:dyDescent="0.25">
      <c r="A112">
        <v>-2</v>
      </c>
      <c r="B112">
        <f t="shared" si="90"/>
        <v>8.7749643873921226</v>
      </c>
      <c r="C112">
        <f t="shared" si="91"/>
        <v>-8.7749643873921226</v>
      </c>
      <c r="D112">
        <f t="shared" si="108"/>
        <v>7.745966692414834</v>
      </c>
      <c r="E112">
        <f t="shared" si="109"/>
        <v>-7.745966692414834</v>
      </c>
      <c r="F112">
        <f t="shared" si="36"/>
        <v>6.7082039324993694</v>
      </c>
      <c r="G112">
        <f t="shared" si="37"/>
        <v>-6.7082039324993694</v>
      </c>
      <c r="H112">
        <f t="shared" si="88"/>
        <v>5.6568542494923806</v>
      </c>
      <c r="I112">
        <f t="shared" si="89"/>
        <v>-5.6568542494923806</v>
      </c>
      <c r="J112">
        <f t="shared" si="106"/>
        <v>4.5825756949558398</v>
      </c>
      <c r="K112">
        <f t="shared" si="107"/>
        <v>-4.5825756949558398</v>
      </c>
      <c r="L112">
        <f t="shared" si="34"/>
        <v>3.4641016151377544</v>
      </c>
      <c r="M112">
        <f t="shared" si="35"/>
        <v>-3.4641016151377544</v>
      </c>
      <c r="N112">
        <f t="shared" si="84"/>
        <v>2.2360679774997898</v>
      </c>
      <c r="O112">
        <f t="shared" si="85"/>
        <v>-2.2360679774997898</v>
      </c>
      <c r="P112">
        <f t="shared" si="26"/>
        <v>0</v>
      </c>
      <c r="Q112">
        <f t="shared" si="27"/>
        <v>0</v>
      </c>
      <c r="U112" s="7"/>
      <c r="V112" s="7"/>
      <c r="W112" s="7"/>
      <c r="X112" s="7"/>
      <c r="Y112" s="7"/>
      <c r="Z112" s="7"/>
      <c r="AA112" s="7"/>
      <c r="AB112" s="7"/>
      <c r="AO112" s="39">
        <v>1.0416666666666701</v>
      </c>
      <c r="AP112" s="38">
        <v>-195</v>
      </c>
      <c r="AQ112" s="38">
        <f t="shared" si="42"/>
        <v>-72.046150944645134</v>
      </c>
      <c r="AR112" s="38">
        <f>-(180-DEGREES(ACOS((((SIN(RADIANS(AQ112)))*SIN(RADIANS($AR$85)))-SIN(RADIANS($AQ$85)))/((COS(RADIANS(AQ112)))*COS(RADIANS($AR$85))))))</f>
        <v>-53.197388177510931</v>
      </c>
      <c r="AT112">
        <f t="shared" si="44"/>
        <v>9</v>
      </c>
      <c r="AU112">
        <f t="shared" si="93"/>
        <v>200.14480796075449</v>
      </c>
      <c r="AV112" s="7">
        <f t="shared" si="46"/>
        <v>-8.4494268639521586</v>
      </c>
      <c r="AW112" s="7">
        <f t="shared" si="47"/>
        <v>-3.0995460426848935</v>
      </c>
      <c r="AX112" s="39">
        <v>1.0416666666666701</v>
      </c>
      <c r="AZ112" s="39">
        <v>1.0416666666666701</v>
      </c>
      <c r="BA112" s="38">
        <v>-195</v>
      </c>
      <c r="BB112" s="38">
        <f t="shared" si="48"/>
        <v>-64.88303815369278</v>
      </c>
      <c r="BC112" s="38">
        <f>-(180-DEGREES(ACOS((((SIN(RADIANS(BB112)))*SIN(RADIANS($BC$85)))-SIN(RADIANS($BB$85)))/((COS(RADIANS(BB112)))*COS(RADIANS($BC$85))))))</f>
        <v>-37.111855036526975</v>
      </c>
      <c r="BE112">
        <f t="shared" si="50"/>
        <v>9</v>
      </c>
      <c r="BF112">
        <f t="shared" si="95"/>
        <v>189.50036292821628</v>
      </c>
      <c r="BG112" s="7">
        <f t="shared" si="52"/>
        <v>-8.87656100451896</v>
      </c>
      <c r="BH112" s="7">
        <f t="shared" si="53"/>
        <v>-1.4854846795081202</v>
      </c>
      <c r="BI112" s="39">
        <v>1.0416666666666701</v>
      </c>
      <c r="BK112" s="39">
        <v>1.0416666666666701</v>
      </c>
      <c r="BL112" s="38">
        <v>-195</v>
      </c>
      <c r="BM112" s="38">
        <f t="shared" si="54"/>
        <v>-53.905193379238675</v>
      </c>
      <c r="BN112" s="38">
        <f>-(180-DEGREES(ACOS((((SIN(RADIANS(BM112)))*SIN(RADIANS($BN$85)))-SIN(RADIANS($BM$85)))/((COS(RADIANS(BM112)))*COS(RADIANS($BN$85))))))</f>
        <v>-25.992283534126898</v>
      </c>
      <c r="BP112">
        <f t="shared" si="56"/>
        <v>9</v>
      </c>
      <c r="BQ112">
        <f t="shared" si="97"/>
        <v>175.40261833167796</v>
      </c>
      <c r="BR112" s="7">
        <f t="shared" si="86"/>
        <v>-8.9710428814800558</v>
      </c>
      <c r="BS112" s="7">
        <f t="shared" si="87"/>
        <v>0.72138035643204745</v>
      </c>
      <c r="BT112" s="39">
        <v>1.0416666666666701</v>
      </c>
      <c r="BV112" s="39">
        <v>1.0416666666666701</v>
      </c>
      <c r="BW112" s="38">
        <v>-195</v>
      </c>
      <c r="BX112" s="38">
        <f t="shared" si="60"/>
        <v>-43.692996391273056</v>
      </c>
      <c r="BY112" s="38">
        <f>-(180-DEGREES(ACOS((((SIN(RADIANS(BX112)))*SIN(RADIANS($BY$85)))-SIN(RADIANS($BX$85)))/((COS(RADIANS(BX112)))*COS(RADIANS($BY$85))))))</f>
        <v>-20.237754688613734</v>
      </c>
      <c r="CA112">
        <f t="shared" si="62"/>
        <v>9</v>
      </c>
      <c r="CB112">
        <f t="shared" si="99"/>
        <v>162.88809257849533</v>
      </c>
      <c r="CC112" s="7">
        <f t="shared" si="64"/>
        <v>-8.6015869704594792</v>
      </c>
      <c r="CD112" s="7">
        <f t="shared" si="65"/>
        <v>2.6481505979875326</v>
      </c>
      <c r="CE112" s="39">
        <v>1.0416666666666701</v>
      </c>
      <c r="CG112" s="39">
        <v>1.0416666666666701</v>
      </c>
      <c r="CH112" s="38">
        <v>-195</v>
      </c>
      <c r="CI112" s="38">
        <f t="shared" si="66"/>
        <v>-36.876609818260782</v>
      </c>
      <c r="CJ112" s="38">
        <f>-(180-DEGREES(ACOS((((SIN(RADIANS(CI112)))*SIN(RADIANS($CJ$85)))-SIN(RADIANS($CI$85)))/((COS(RADIANS(CI112)))*COS(RADIANS($CJ$85))))))</f>
        <v>-17.45210843390123</v>
      </c>
      <c r="CL112">
        <f t="shared" si="68"/>
        <v>9</v>
      </c>
      <c r="CM112">
        <f t="shared" si="101"/>
        <v>154.57217671264948</v>
      </c>
      <c r="CN112" s="7">
        <f t="shared" si="70"/>
        <v>-8.1281420283668258</v>
      </c>
      <c r="CO112" s="7">
        <f t="shared" si="71"/>
        <v>3.8643637466854521</v>
      </c>
      <c r="CP112" s="39">
        <v>1.0416666666666701</v>
      </c>
      <c r="CR112" s="39">
        <v>1.0416666666666701</v>
      </c>
      <c r="CS112" s="38">
        <v>-195</v>
      </c>
      <c r="CT112" s="38">
        <f t="shared" si="72"/>
        <v>-35.522989333110026</v>
      </c>
      <c r="CU112" s="38">
        <f>-(180-DEGREES(ACOS((((SIN(RADIANS(CT112)))*SIN(RADIANS($CU$85)))-SIN(RADIANS($CT$85)))/((COS(RADIANS(CT112)))*COS(RADIANS($CU$85))))))</f>
        <v>-16.962222906987535</v>
      </c>
      <c r="CW112">
        <f t="shared" si="74"/>
        <v>9</v>
      </c>
      <c r="CX112">
        <f>IF((9-(CT88/10))&gt;9,90-(180-DEGREES(ACOS((((SIN(RADIANS(0)))*SIN(RADIANS($CU$85)))-SIN(RADIANS($CT$85)))/((COS(RADIANS(0)))*COS(RADIANS($CU$85)))))),90-CU88)</f>
        <v>27.0871391084072</v>
      </c>
      <c r="CY112" s="7">
        <f t="shared" si="76"/>
        <v>8.0128353242451471</v>
      </c>
      <c r="CZ112" s="7">
        <f t="shared" si="77"/>
        <v>4.0981056680531269</v>
      </c>
      <c r="DA112" s="39">
        <v>4.1666666666666699E-2</v>
      </c>
      <c r="DC112" s="39">
        <v>1.0416666666666701</v>
      </c>
      <c r="DD112" s="38">
        <v>-195</v>
      </c>
      <c r="DE112" s="38">
        <f t="shared" si="78"/>
        <v>-75.23679981258222</v>
      </c>
      <c r="DF112" s="38">
        <f>-(180-DEGREES(ACOS((((SIN(RADIANS(DE112)))*SIN(RADIANS($DF$85)))-SIN(RADIANS($DE$85)))/((COS(RADIANS(DE112)))*COS(RADIANS($DF$85))))))</f>
        <v>-69.204392711010712</v>
      </c>
      <c r="DH112">
        <f t="shared" si="80"/>
        <v>9</v>
      </c>
      <c r="DI112">
        <f t="shared" si="105"/>
        <v>206.57086830691145</v>
      </c>
      <c r="DJ112" s="7">
        <f t="shared" si="82"/>
        <v>-8.049436034917786</v>
      </c>
      <c r="DK112" s="7">
        <f t="shared" si="83"/>
        <v>-4.025739623940801</v>
      </c>
      <c r="DL112" s="39">
        <v>1.0416666666666701</v>
      </c>
    </row>
    <row r="113" spans="1:116" x14ac:dyDescent="0.25">
      <c r="A113">
        <v>-2.1</v>
      </c>
      <c r="B113">
        <f t="shared" si="90"/>
        <v>8.7515712874888933</v>
      </c>
      <c r="C113">
        <f t="shared" si="91"/>
        <v>-8.7515712874888933</v>
      </c>
      <c r="D113">
        <f t="shared" si="108"/>
        <v>7.7194559393781113</v>
      </c>
      <c r="E113">
        <f t="shared" si="109"/>
        <v>-7.7194559393781113</v>
      </c>
      <c r="F113">
        <f t="shared" si="36"/>
        <v>6.6775744099186198</v>
      </c>
      <c r="G113">
        <f t="shared" si="37"/>
        <v>-6.6775744099186198</v>
      </c>
      <c r="H113">
        <f t="shared" si="88"/>
        <v>5.6204981985585585</v>
      </c>
      <c r="I113">
        <f t="shared" si="89"/>
        <v>-5.6204981985585585</v>
      </c>
      <c r="J113">
        <f t="shared" si="106"/>
        <v>4.5376205218153709</v>
      </c>
      <c r="K113">
        <f t="shared" si="107"/>
        <v>-4.5376205218153709</v>
      </c>
      <c r="L113">
        <f t="shared" si="34"/>
        <v>3.4044089061098401</v>
      </c>
      <c r="M113">
        <f t="shared" si="35"/>
        <v>-3.4044089061098401</v>
      </c>
      <c r="N113">
        <f t="shared" si="84"/>
        <v>2.142428528562855</v>
      </c>
      <c r="O113">
        <f t="shared" si="85"/>
        <v>-2.142428528562855</v>
      </c>
      <c r="U113" s="7"/>
      <c r="V113" s="7"/>
      <c r="W113" s="7"/>
      <c r="X113" s="7"/>
      <c r="Y113" s="7"/>
      <c r="Z113" s="7"/>
      <c r="AA113" s="7"/>
      <c r="AB113" s="7"/>
    </row>
    <row r="114" spans="1:116" x14ac:dyDescent="0.25">
      <c r="A114">
        <v>-2.2000000000000002</v>
      </c>
      <c r="B114">
        <f t="shared" si="90"/>
        <v>8.7269696917085717</v>
      </c>
      <c r="C114">
        <f t="shared" si="91"/>
        <v>-8.7269696917085717</v>
      </c>
      <c r="D114">
        <f t="shared" si="108"/>
        <v>7.6915538092117641</v>
      </c>
      <c r="E114">
        <f t="shared" si="109"/>
        <v>-7.6915538092117641</v>
      </c>
      <c r="F114">
        <f t="shared" si="36"/>
        <v>6.6452990903344595</v>
      </c>
      <c r="G114">
        <f t="shared" si="37"/>
        <v>-6.6452990903344595</v>
      </c>
      <c r="H114">
        <f t="shared" si="88"/>
        <v>5.5821142947811451</v>
      </c>
      <c r="I114">
        <f t="shared" si="89"/>
        <v>-5.5821142947811451</v>
      </c>
      <c r="J114">
        <f t="shared" si="106"/>
        <v>4.4899888641287298</v>
      </c>
      <c r="K114">
        <f t="shared" si="107"/>
        <v>-4.4899888641287298</v>
      </c>
      <c r="L114">
        <f t="shared" si="34"/>
        <v>3.3406586176980131</v>
      </c>
      <c r="M114">
        <f t="shared" si="35"/>
        <v>-3.3406586176980131</v>
      </c>
      <c r="N114">
        <f t="shared" si="84"/>
        <v>2.0396078054371136</v>
      </c>
      <c r="O114">
        <f t="shared" si="85"/>
        <v>-2.0396078054371136</v>
      </c>
      <c r="U114" s="7"/>
      <c r="V114" s="7"/>
      <c r="W114" s="7"/>
      <c r="X114" s="7"/>
      <c r="Y114" s="7"/>
      <c r="Z114" s="7"/>
      <c r="AA114" s="7"/>
      <c r="AB114" s="7"/>
    </row>
    <row r="115" spans="1:116" x14ac:dyDescent="0.25">
      <c r="A115">
        <v>-2.2999999999999998</v>
      </c>
      <c r="B115">
        <f t="shared" si="90"/>
        <v>8.7011493493675882</v>
      </c>
      <c r="C115">
        <f t="shared" si="91"/>
        <v>-8.7011493493675882</v>
      </c>
      <c r="D115">
        <f t="shared" si="108"/>
        <v>7.6622451017962092</v>
      </c>
      <c r="E115">
        <f t="shared" si="109"/>
        <v>-7.6622451017962092</v>
      </c>
      <c r="F115">
        <f t="shared" si="36"/>
        <v>6.611353870426238</v>
      </c>
      <c r="G115">
        <f t="shared" si="37"/>
        <v>-6.611353870426238</v>
      </c>
      <c r="H115">
        <f t="shared" si="88"/>
        <v>5.5416604009989641</v>
      </c>
      <c r="I115">
        <f t="shared" si="89"/>
        <v>-5.5416604009989641</v>
      </c>
      <c r="J115">
        <f t="shared" si="106"/>
        <v>4.4395945760846232</v>
      </c>
      <c r="K115">
        <f t="shared" si="107"/>
        <v>-4.4395945760846232</v>
      </c>
      <c r="L115">
        <f t="shared" si="34"/>
        <v>3.2726136343907144</v>
      </c>
      <c r="M115">
        <f t="shared" si="35"/>
        <v>-3.2726136343907144</v>
      </c>
      <c r="N115">
        <f t="shared" si="84"/>
        <v>1.9261360284258224</v>
      </c>
      <c r="O115">
        <f t="shared" si="85"/>
        <v>-1.9261360284258224</v>
      </c>
      <c r="U115" s="7"/>
      <c r="V115" s="7"/>
      <c r="W115" s="7"/>
      <c r="X115" s="7"/>
      <c r="Y115" s="7"/>
      <c r="Z115" s="7"/>
      <c r="AA115" s="7"/>
      <c r="AB115" s="7"/>
      <c r="AN115" s="41" t="s">
        <v>92</v>
      </c>
      <c r="AO115" s="41">
        <v>1</v>
      </c>
      <c r="AP115" s="315"/>
      <c r="AQ115" s="315"/>
      <c r="AR115" s="328"/>
      <c r="AY115" s="41" t="s">
        <v>92</v>
      </c>
      <c r="AZ115" s="41">
        <v>1</v>
      </c>
      <c r="BA115" s="315"/>
      <c r="BB115" s="315"/>
      <c r="BC115" s="316"/>
      <c r="BJ115" s="41" t="s">
        <v>92</v>
      </c>
      <c r="BK115" s="41">
        <v>1</v>
      </c>
      <c r="BL115" s="315"/>
      <c r="BM115" s="315"/>
      <c r="BN115" s="316"/>
      <c r="BU115" s="41" t="s">
        <v>92</v>
      </c>
      <c r="BV115" s="41">
        <v>1</v>
      </c>
      <c r="BW115" s="315"/>
      <c r="BX115" s="315"/>
      <c r="BY115" s="316"/>
      <c r="CF115" s="41" t="s">
        <v>92</v>
      </c>
      <c r="CG115" s="41">
        <v>1</v>
      </c>
      <c r="CH115" s="315"/>
      <c r="CI115" s="315"/>
      <c r="CJ115" s="316"/>
      <c r="CQ115" s="41" t="s">
        <v>92</v>
      </c>
      <c r="CR115" s="41">
        <v>21</v>
      </c>
      <c r="CS115" s="315"/>
      <c r="CT115" s="315"/>
      <c r="CU115" s="316"/>
      <c r="DB115" s="41" t="s">
        <v>92</v>
      </c>
      <c r="DC115" s="41">
        <v>1</v>
      </c>
      <c r="DD115" s="315"/>
      <c r="DE115" s="315"/>
      <c r="DF115" s="316"/>
    </row>
    <row r="116" spans="1:116" x14ac:dyDescent="0.25">
      <c r="A116">
        <v>-2.4</v>
      </c>
      <c r="B116">
        <f t="shared" si="90"/>
        <v>8.6740993768805765</v>
      </c>
      <c r="C116">
        <f t="shared" si="91"/>
        <v>-8.6740993768805765</v>
      </c>
      <c r="D116">
        <f t="shared" si="108"/>
        <v>7.6315136113355653</v>
      </c>
      <c r="E116">
        <f t="shared" si="109"/>
        <v>-7.6315136113355653</v>
      </c>
      <c r="F116">
        <f t="shared" si="36"/>
        <v>6.5757128891094387</v>
      </c>
      <c r="G116">
        <f t="shared" si="37"/>
        <v>-6.5757128891094387</v>
      </c>
      <c r="H116">
        <f t="shared" si="88"/>
        <v>5.4990908339470082</v>
      </c>
      <c r="I116">
        <f t="shared" si="89"/>
        <v>-5.4990908339470082</v>
      </c>
      <c r="J116">
        <f t="shared" si="106"/>
        <v>4.3863424398922621</v>
      </c>
      <c r="K116">
        <f t="shared" si="107"/>
        <v>-4.3863424398922621</v>
      </c>
      <c r="L116">
        <f t="shared" ref="L116:L132" si="110">+SQRT(16-A116^2)</f>
        <v>3.2</v>
      </c>
      <c r="M116">
        <f t="shared" ref="M116:M132" si="111">-L116</f>
        <v>-3.2</v>
      </c>
      <c r="N116">
        <f t="shared" si="84"/>
        <v>1.8</v>
      </c>
      <c r="O116">
        <f t="shared" si="85"/>
        <v>-1.8</v>
      </c>
      <c r="U116" s="7"/>
      <c r="V116" s="7"/>
      <c r="W116" s="7"/>
      <c r="X116" s="7"/>
      <c r="Y116" s="7"/>
      <c r="Z116" s="7"/>
      <c r="AA116" s="7"/>
      <c r="AB116" s="7"/>
      <c r="AN116" s="41" t="s">
        <v>91</v>
      </c>
      <c r="AO116" s="41">
        <v>2</v>
      </c>
      <c r="AP116" s="315"/>
      <c r="AQ116" s="315"/>
      <c r="AR116" s="328"/>
      <c r="AY116" s="41" t="s">
        <v>91</v>
      </c>
      <c r="AZ116" s="41">
        <v>3</v>
      </c>
      <c r="BA116" s="315"/>
      <c r="BB116" s="315"/>
      <c r="BC116" s="316"/>
      <c r="BJ116" s="41" t="s">
        <v>91</v>
      </c>
      <c r="BK116" s="41">
        <v>4</v>
      </c>
      <c r="BL116" s="315"/>
      <c r="BM116" s="315"/>
      <c r="BN116" s="316"/>
      <c r="BU116" s="41" t="s">
        <v>91</v>
      </c>
      <c r="BV116" s="41">
        <v>5</v>
      </c>
      <c r="BW116" s="315"/>
      <c r="BX116" s="315"/>
      <c r="BY116" s="316"/>
      <c r="CF116" s="41" t="s">
        <v>91</v>
      </c>
      <c r="CG116" s="41">
        <v>6</v>
      </c>
      <c r="CH116" s="315"/>
      <c r="CI116" s="315"/>
      <c r="CJ116" s="316"/>
      <c r="CQ116" s="41" t="s">
        <v>91</v>
      </c>
      <c r="CR116" s="41">
        <v>6</v>
      </c>
      <c r="CS116" s="315"/>
      <c r="CT116" s="315"/>
      <c r="CU116" s="316"/>
      <c r="DB116" s="41" t="s">
        <v>91</v>
      </c>
      <c r="DC116" s="41">
        <v>1</v>
      </c>
      <c r="DD116" s="315"/>
      <c r="DE116" s="315"/>
      <c r="DF116" s="316"/>
    </row>
    <row r="117" spans="1:116" x14ac:dyDescent="0.25">
      <c r="A117">
        <v>-2.5</v>
      </c>
      <c r="B117">
        <f t="shared" si="90"/>
        <v>8.6458082328952912</v>
      </c>
      <c r="C117">
        <f t="shared" si="91"/>
        <v>-8.6458082328952912</v>
      </c>
      <c r="D117">
        <f t="shared" si="108"/>
        <v>7.5993420767853319</v>
      </c>
      <c r="E117">
        <f t="shared" si="109"/>
        <v>-7.5993420767853319</v>
      </c>
      <c r="F117">
        <f t="shared" si="36"/>
        <v>6.5383484153110105</v>
      </c>
      <c r="G117">
        <f t="shared" si="37"/>
        <v>-6.5383484153110105</v>
      </c>
      <c r="H117">
        <f t="shared" si="88"/>
        <v>5.4543560573178569</v>
      </c>
      <c r="I117">
        <f t="shared" si="89"/>
        <v>-5.4543560573178569</v>
      </c>
      <c r="J117">
        <f t="shared" si="106"/>
        <v>4.3301270189221936</v>
      </c>
      <c r="K117">
        <f t="shared" si="107"/>
        <v>-4.3301270189221936</v>
      </c>
      <c r="L117">
        <f t="shared" si="110"/>
        <v>3.1224989991991992</v>
      </c>
      <c r="M117">
        <f t="shared" si="111"/>
        <v>-3.1224989991991992</v>
      </c>
      <c r="N117">
        <f t="shared" si="84"/>
        <v>1.6583123951776999</v>
      </c>
      <c r="O117">
        <f t="shared" si="85"/>
        <v>-1.6583123951776999</v>
      </c>
      <c r="U117" s="7"/>
      <c r="V117" s="7"/>
      <c r="W117" s="7"/>
      <c r="X117" s="7"/>
      <c r="Y117" s="7"/>
      <c r="Z117" s="7"/>
      <c r="AA117" s="7"/>
      <c r="AB117" s="7"/>
      <c r="AP117" s="32">
        <f>+IF(AO116=$AI$63,AO115,IF(AO116=$AJ$63,$AI$64+AO115,IF(AO116=$AK$63,$AI$64+$AJ$64+AO115,IF(AO116=$AL$63,$AI$64+$AJ$64+$AK$64+AO115,IF(AO116=$AM$63,$AI$64+$AJ$64+$AK$64+$AL$64+AO115,IF(AO116=$AN$63,$AI$64+$AJ$64+$AK$64+$AL$64+$AM$64+AO115,IF(AO116=$AO$63,$AI$64+$AJ$64+$AK$64+$AL$64+$AM$64+$AN$64+AO115,IF(AO116=$AP$63,$AI$64+$AJ$64+$AK$64+$AL$64+$AM$64+$AN$64+$AO$64+AO115,IF(AO116=$AQ$63,$AI$64+$AJ$64+$AK$64+$AL$64+$AM$64+$AN$64+$AO$64+$AP$64+AO115,IF(AO116=$AR$63,$AI$64+$AJ$64+$AK$64+$AL$64+$AM$64+$AN$64+$AO$64+$AP$64+$AQ$64+AO115,IF(AO116=$AS$63,$AI$64+$AJ$64+$AK$64+$AL$64+$AM$64+$AN$64+$AO$64+$AP$64+$AQ$64+$AR$64+AO115,IF(AO116=$AT$63,$AI$64+$AJ$64+$AK$64+$AL$64+$AM$64+$AN$64+$AO$64+$AP$64+$AQ$64+$AR$64+$AS$64+AO115,"error"))))))))))))</f>
        <v>32</v>
      </c>
      <c r="AQ117" s="38">
        <f>23.45*SIN(RADIANS(360*((284+AP117)/365)))</f>
        <v>-17.516495456484215</v>
      </c>
      <c r="AR117" s="41">
        <f>+IF('Control Solar 1er Sem'!$H$4&gt;89.9,89.9,IF('Control Solar 1er Sem'!$H$4&lt;-89.9,-89.9,'Control Solar 1er Sem'!$H$4))</f>
        <v>29.08</v>
      </c>
      <c r="BA117" s="32">
        <f>+IF(AZ116=$AI$63,AZ115,IF(AZ116=$AJ$63,$AI$64+AZ115,IF(AZ116=$AK$63,$AI$64+$AJ$64+AZ115,IF(AZ116=$AL$63,$AI$64+$AJ$64+$AK$64+AZ115,IF(AZ116=$AM$63,$AI$64+$AJ$64+$AK$64+$AL$64+AZ115,IF(AZ116=$AN$63,$AI$64+$AJ$64+$AK$64+$AL$64+$AM$64+AZ115,IF(AZ116=$AO$63,$AI$64+$AJ$64+$AK$64+$AL$64+$AM$64+$AN$64+AZ115,IF(AZ116=$AP$63,$AI$64+$AJ$64+$AK$64+$AL$64+$AM$64+$AN$64+$AO$64+AZ115,IF(AZ116=$AQ$63,$AI$64+$AJ$64+$AK$64+$AL$64+$AM$64+$AN$64+$AO$64+$AP$64+AZ115,IF(AZ116=$AR$63,$AI$64+$AJ$64+$AK$64+$AL$64+$AM$64+$AN$64+$AO$64+$AP$64+$AQ$64+AZ115,IF(AZ116=$AS$63,$AI$64+$AJ$64+$AK$64+$AL$64+$AM$64+$AN$64+$AO$64+$AP$64+$AQ$64+$AR$64+AZ115,IF(AZ116=$AT$63,$AI$64+$AJ$64+$AK$64+$AL$64+$AM$64+$AN$64+$AO$64+$AP$64+$AQ$64+$AR$64+$AS$64+AZ115,"error"))))))))))))</f>
        <v>60</v>
      </c>
      <c r="BB117" s="38">
        <f>23.45*SIN(RADIANS(360*((284+BA117)/365)))</f>
        <v>-8.2937050650359065</v>
      </c>
      <c r="BC117" s="41">
        <f>+IF('Control Solar 1er Sem'!$H$4&gt;89.9,89.9,IF('Control Solar 1er Sem'!$H$4&lt;-89.9,-89.9,'Control Solar 1er Sem'!$H$4))</f>
        <v>29.08</v>
      </c>
      <c r="BL117" s="32">
        <f>+IF(BK116=$AI$63,BK115,IF(BK116=$AJ$63,$AI$64+BK115,IF(BK116=$AK$63,$AI$64+$AJ$64+BK115,IF(BK116=$AL$63,$AI$64+$AJ$64+$AK$64+BK115,IF(BK116=$AM$63,$AI$64+$AJ$64+$AK$64+$AL$64+BK115,IF(BK116=$AN$63,$AI$64+$AJ$64+$AK$64+$AL$64+$AM$64+BK115,IF(BK116=$AO$63,$AI$64+$AJ$64+$AK$64+$AL$64+$AM$64+$AN$64+BK115,IF(BK116=$AP$63,$AI$64+$AJ$64+$AK$64+$AL$64+$AM$64+$AN$64+$AO$64+BK115,IF(BK116=$AQ$63,$AI$64+$AJ$64+$AK$64+$AL$64+$AM$64+$AN$64+$AO$64+$AP$64+BK115,IF(BK116=$AR$63,$AI$64+$AJ$64+$AK$64+$AL$64+$AM$64+$AN$64+$AO$64+$AP$64+$AQ$64+BK115,IF(BK116=$AS$63,$AI$64+$AJ$64+$AK$64+$AL$64+$AM$64+$AN$64+$AO$64+$AP$64+$AQ$64+$AR$64+BK115,IF(BK116=$AT$63,$AI$64+$AJ$64+$AK$64+$AL$64+$AM$64+$AN$64+$AO$64+$AP$64+$AQ$64+$AR$64+$AS$64+BK115,"error"))))))))))))</f>
        <v>91</v>
      </c>
      <c r="BM117" s="38">
        <f>23.45*SIN(RADIANS(360*((284+BL117)/365)))</f>
        <v>4.0168242310556641</v>
      </c>
      <c r="BN117" s="41">
        <f>+IF('Control Solar 1er Sem'!$H$4&gt;89.9,89.9,IF('Control Solar 1er Sem'!$H$4&lt;-89.9,-89.9,'Control Solar 1er Sem'!$H$4))</f>
        <v>29.08</v>
      </c>
      <c r="BW117" s="32">
        <f>+IF(BV116=$AI$63,BV115,IF(BV116=$AJ$63,$AI$64+BV115,IF(BV116=$AK$63,$AI$64+$AJ$64+BV115,IF(BV116=$AL$63,$AI$64+$AJ$64+$AK$64+BV115,IF(BV116=$AM$63,$AI$64+$AJ$64+$AK$64+$AL$64+BV115,IF(BV116=$AN$63,$AI$64+$AJ$64+$AK$64+$AL$64+$AM$64+BV115,IF(BV116=$AO$63,$AI$64+$AJ$64+$AK$64+$AL$64+$AM$64+$AN$64+BV115,IF(BV116=$AP$63,$AI$64+$AJ$64+$AK$64+$AL$64+$AM$64+$AN$64+$AO$64+BV115,IF(BV116=$AQ$63,$AI$64+$AJ$64+$AK$64+$AL$64+$AM$64+$AN$64+$AO$64+$AP$64+BV115,IF(BV116=$AR$63,$AI$64+$AJ$64+$AK$64+$AL$64+$AM$64+$AN$64+$AO$64+$AP$64+$AQ$64+BV115,IF(BV116=$AS$63,$AI$64+$AJ$64+$AK$64+$AL$64+$AM$64+$AN$64+$AO$64+$AP$64+$AQ$64+$AR$64+BV115,IF(BV116=$AT$63,$AI$64+$AJ$64+$AK$64+$AL$64+$AM$64+$AN$64+$AO$64+$AP$64+$AQ$64+$AR$64+$AS$64+BV115,"error"))))))))))))</f>
        <v>121</v>
      </c>
      <c r="BX117" s="38">
        <f>23.45*SIN(RADIANS(360*((284+BW117)/365)))</f>
        <v>14.90088745587467</v>
      </c>
      <c r="BY117" s="41">
        <f>+IF('Control Solar 1er Sem'!$H$4&gt;89.9,89.9,IF('Control Solar 1er Sem'!$H$4&lt;-89.9,-89.9,'Control Solar 1er Sem'!$H$4))</f>
        <v>29.08</v>
      </c>
      <c r="CH117" s="32">
        <f>+IF(CG116=$AI$63,CG115,IF(CG116=$AJ$63,$AI$64+CG115,IF(CG116=$AK$63,$AI$64+$AJ$64+CG115,IF(CG116=$AL$63,$AI$64+$AJ$64+$AK$64+CG115,IF(CG116=$AM$63,$AI$64+$AJ$64+$AK$64+$AL$64+CG115,IF(CG116=$AN$63,$AI$64+$AJ$64+$AK$64+$AL$64+$AM$64+CG115,IF(CG116=$AO$63,$AI$64+$AJ$64+$AK$64+$AL$64+$AM$64+$AN$64+CG115,IF(CG116=$AP$63,$AI$64+$AJ$64+$AK$64+$AL$64+$AM$64+$AN$64+$AO$64+CG115,IF(CG116=$AQ$63,$AI$64+$AJ$64+$AK$64+$AL$64+$AM$64+$AN$64+$AO$64+$AP$64+CG115,IF(CG116=$AR$63,$AI$64+$AJ$64+$AK$64+$AL$64+$AM$64+$AN$64+$AO$64+$AP$64+$AQ$64+CG115,IF(CG116=$AS$63,$AI$64+$AJ$64+$AK$64+$AL$64+$AM$64+$AN$64+$AO$64+$AP$64+$AQ$64+$AR$64+CG115,IF(CG116=$AT$63,$AI$64+$AJ$64+$AK$64+$AL$64+$AM$64+$AN$64+$AO$64+$AP$64+$AQ$64+$AR$64+$AS$64+CG115,"error"))))))))))))</f>
        <v>152</v>
      </c>
      <c r="CI117" s="38">
        <f>23.45*SIN(RADIANS(360*((284+CH117)/365)))</f>
        <v>22.039624558737447</v>
      </c>
      <c r="CJ117" s="41">
        <f>+IF('Control Solar 1er Sem'!$H$4&gt;89.9,89.9,IF('Control Solar 1er Sem'!$H$4&lt;-89.9,-89.9,'Control Solar 1er Sem'!$H$4))</f>
        <v>29.08</v>
      </c>
      <c r="CS117" s="32">
        <f>+IF(CR116=$AI$63,CR115,IF(CR116=$AJ$63,$AI$64+CR115,IF(CR116=$AK$63,$AI$64+$AJ$64+CR115,IF(CR116=$AL$63,$AI$64+$AJ$64+$AK$64+CR115,IF(CR116=$AM$63,$AI$64+$AJ$64+$AK$64+$AL$64+CR115,IF(CR116=$AN$63,$AI$64+$AJ$64+$AK$64+$AL$64+$AM$64+CR115,IF(CR116=$AO$63,$AI$64+$AJ$64+$AK$64+$AL$64+$AM$64+$AN$64+CR115,IF(CR116=$AP$63,$AI$64+$AJ$64+$AK$64+$AL$64+$AM$64+$AN$64+$AO$64+CR115,IF(CR116=$AQ$63,$AI$64+$AJ$64+$AK$64+$AL$64+$AM$64+$AN$64+$AO$64+$AP$64+CR115,IF(CR116=$AR$63,$AI$64+$AJ$64+$AK$64+$AL$64+$AM$64+$AN$64+$AO$64+$AP$64+$AQ$64+CR115,IF(CR116=$AS$63,$AI$64+$AJ$64+$AK$64+$AL$64+$AM$64+$AN$64+$AO$64+$AP$64+$AQ$64+$AR$64+CR115,IF(CR116=$AT$63,$AI$64+$AJ$64+$AK$64+$AL$64+$AM$64+$AN$64+$AO$64+$AP$64+$AQ$64+$AR$64+$AS$64+CR115,"error"))))))))))))</f>
        <v>172</v>
      </c>
      <c r="CT117" s="38">
        <f>23.45*SIN(RADIANS(360*((284+CS117)/365)))</f>
        <v>23.449782846813658</v>
      </c>
      <c r="CU117" s="41">
        <f>+IF('Control Solar 1er Sem'!$H$4&gt;89.9,89.9,IF('Control Solar 1er Sem'!$H$4&lt;-89.9,-89.9,'Control Solar 1er Sem'!$H$4))</f>
        <v>29.08</v>
      </c>
      <c r="DD117" s="32">
        <f>+IF(DC116=$AI$63,DC115,IF(DC116=$AJ$63,$AI$64+DC115,IF(DC116=$AK$63,$AI$64+$AJ$64+DC115,IF(DC116=$AL$63,$AI$64+$AJ$64+$AK$64+DC115,IF(DC116=$AM$63,$AI$64+$AJ$64+$AK$64+$AL$64+DC115,IF(DC116=$AN$63,$AI$64+$AJ$64+$AK$64+$AL$64+$AM$64+DC115,IF(DC116=$AO$63,$AI$64+$AJ$64+$AK$64+$AL$64+$AM$64+$AN$64+DC115,IF(DC116=$AP$63,$AI$64+$AJ$64+$AK$64+$AL$64+$AM$64+$AN$64+$AO$64+DC115,IF(DC116=$AQ$63,$AI$64+$AJ$64+$AK$64+$AL$64+$AM$64+$AN$64+$AO$64+$AP$64+DC115,IF(DC116=$AR$63,$AI$64+$AJ$64+$AK$64+$AL$64+$AM$64+$AN$64+$AO$64+$AP$64+$AQ$64+DC115,IF(DC116=$AS$63,$AI$64+$AJ$64+$AK$64+$AL$64+$AM$64+$AN$64+$AO$64+$AP$64+$AQ$64+$AR$64+DC115,IF(DC116=$AT$63,$AI$64+$AJ$64+$AK$64+$AL$64+$AM$64+$AN$64+$AO$64+$AP$64+$AQ$64+$AR$64+$AS$64+DC115,"error"))))))))))))</f>
        <v>1</v>
      </c>
      <c r="DE117" s="38">
        <f>23.45*SIN(RADIANS(360*((284+DD117)/365)))</f>
        <v>-23.011636727869238</v>
      </c>
      <c r="DF117" s="41">
        <f>+IF('Control Solar 1er Sem'!$H$4&gt;89.9,89.9,IF('Control Solar 1er Sem'!$H$4&lt;-89.9,-89.9,'Control Solar 1er Sem'!$H$4))</f>
        <v>29.08</v>
      </c>
    </row>
    <row r="118" spans="1:116" x14ac:dyDescent="0.25">
      <c r="A118">
        <v>-2.6</v>
      </c>
      <c r="B118">
        <f t="shared" si="90"/>
        <v>8.616263691415206</v>
      </c>
      <c r="C118">
        <f t="shared" si="91"/>
        <v>-8.616263691415206</v>
      </c>
      <c r="D118">
        <f t="shared" si="108"/>
        <v>7.5657121277510955</v>
      </c>
      <c r="E118">
        <f t="shared" si="109"/>
        <v>-7.5657121277510955</v>
      </c>
      <c r="F118">
        <f t="shared" ref="F118:F149" si="112">+SQRT(49-A118^2)</f>
        <v>6.4992307237087683</v>
      </c>
      <c r="G118">
        <f t="shared" ref="G118:G149" si="113">-F118</f>
        <v>-6.4992307237087683</v>
      </c>
      <c r="H118">
        <f t="shared" si="88"/>
        <v>5.4074023338383093</v>
      </c>
      <c r="I118">
        <f t="shared" si="89"/>
        <v>-5.4074023338383093</v>
      </c>
      <c r="J118">
        <f t="shared" si="106"/>
        <v>4.2708313008125245</v>
      </c>
      <c r="K118">
        <f t="shared" si="107"/>
        <v>-4.2708313008125245</v>
      </c>
      <c r="L118">
        <f t="shared" si="110"/>
        <v>3.0397368307141326</v>
      </c>
      <c r="M118">
        <f t="shared" si="111"/>
        <v>-3.0397368307141326</v>
      </c>
      <c r="N118">
        <f t="shared" si="84"/>
        <v>1.4966629547095762</v>
      </c>
      <c r="O118">
        <f t="shared" si="85"/>
        <v>-1.4966629547095762</v>
      </c>
      <c r="U118" s="7"/>
      <c r="V118" s="7"/>
      <c r="W118" s="7"/>
      <c r="X118" s="7"/>
      <c r="Y118" s="7"/>
      <c r="Z118" s="7"/>
      <c r="AA118" s="7"/>
      <c r="AB118" s="7"/>
      <c r="AO118" s="317" t="s">
        <v>90</v>
      </c>
      <c r="AP118" s="315"/>
      <c r="AQ118" s="315"/>
      <c r="AR118" s="315"/>
      <c r="AT118" s="319" t="s">
        <v>89</v>
      </c>
      <c r="AU118" s="319"/>
      <c r="AV118" s="319" t="s">
        <v>42</v>
      </c>
      <c r="AW118" s="319" t="s">
        <v>43</v>
      </c>
      <c r="AZ118" s="317" t="s">
        <v>90</v>
      </c>
      <c r="BA118" s="315"/>
      <c r="BB118" s="315"/>
      <c r="BC118" s="315"/>
      <c r="BE118" s="319" t="s">
        <v>89</v>
      </c>
      <c r="BF118" s="319"/>
      <c r="BG118" s="319" t="s">
        <v>42</v>
      </c>
      <c r="BH118" s="319" t="s">
        <v>43</v>
      </c>
      <c r="BK118" s="317" t="s">
        <v>90</v>
      </c>
      <c r="BL118" s="315"/>
      <c r="BM118" s="315"/>
      <c r="BN118" s="315"/>
      <c r="BP118" s="319" t="s">
        <v>89</v>
      </c>
      <c r="BQ118" s="319"/>
      <c r="BR118" s="319" t="s">
        <v>42</v>
      </c>
      <c r="BS118" s="319" t="s">
        <v>43</v>
      </c>
      <c r="BV118" s="317" t="s">
        <v>90</v>
      </c>
      <c r="BW118" s="315"/>
      <c r="BX118" s="315"/>
      <c r="BY118" s="315"/>
      <c r="CA118" s="319" t="s">
        <v>89</v>
      </c>
      <c r="CB118" s="319"/>
      <c r="CC118" s="319" t="s">
        <v>42</v>
      </c>
      <c r="CD118" s="319" t="s">
        <v>43</v>
      </c>
      <c r="CG118" s="317" t="s">
        <v>90</v>
      </c>
      <c r="CH118" s="315"/>
      <c r="CI118" s="315"/>
      <c r="CJ118" s="315"/>
      <c r="CL118" s="319" t="s">
        <v>89</v>
      </c>
      <c r="CM118" s="319"/>
      <c r="CN118" s="319" t="s">
        <v>42</v>
      </c>
      <c r="CO118" s="319" t="s">
        <v>43</v>
      </c>
      <c r="CR118" s="317" t="s">
        <v>90</v>
      </c>
      <c r="CS118" s="315"/>
      <c r="CT118" s="315"/>
      <c r="CU118" s="315"/>
      <c r="CW118" s="319" t="s">
        <v>89</v>
      </c>
      <c r="CX118" s="319"/>
      <c r="CY118" s="319" t="s">
        <v>42</v>
      </c>
      <c r="CZ118" s="319" t="s">
        <v>43</v>
      </c>
      <c r="DC118" s="317" t="s">
        <v>90</v>
      </c>
      <c r="DD118" s="315"/>
      <c r="DE118" s="315"/>
      <c r="DF118" s="315"/>
      <c r="DH118" s="319" t="s">
        <v>89</v>
      </c>
      <c r="DI118" s="319"/>
      <c r="DJ118" s="319" t="s">
        <v>42</v>
      </c>
      <c r="DK118" s="319" t="s">
        <v>43</v>
      </c>
    </row>
    <row r="119" spans="1:116" x14ac:dyDescent="0.25">
      <c r="A119">
        <v>-2.7</v>
      </c>
      <c r="B119">
        <f t="shared" si="90"/>
        <v>8.5854528127525107</v>
      </c>
      <c r="C119">
        <f t="shared" si="91"/>
        <v>-8.5854528127525107</v>
      </c>
      <c r="D119">
        <f t="shared" si="108"/>
        <v>7.5306042254257397</v>
      </c>
      <c r="E119">
        <f t="shared" si="109"/>
        <v>-7.5306042254257397</v>
      </c>
      <c r="F119">
        <f t="shared" si="112"/>
        <v>6.4583279569870093</v>
      </c>
      <c r="G119">
        <f t="shared" si="113"/>
        <v>-6.4583279569870093</v>
      </c>
      <c r="H119">
        <f t="shared" si="88"/>
        <v>5.3581713298475258</v>
      </c>
      <c r="I119">
        <f t="shared" si="89"/>
        <v>-5.3581713298475258</v>
      </c>
      <c r="J119">
        <f t="shared" si="106"/>
        <v>4.2083250825001626</v>
      </c>
      <c r="K119">
        <f t="shared" si="107"/>
        <v>-4.2083250825001626</v>
      </c>
      <c r="L119">
        <f t="shared" si="110"/>
        <v>2.9512709126747412</v>
      </c>
      <c r="M119">
        <f t="shared" si="111"/>
        <v>-2.9512709126747412</v>
      </c>
      <c r="N119">
        <f t="shared" si="84"/>
        <v>1.3076696830622017</v>
      </c>
      <c r="O119">
        <f t="shared" si="85"/>
        <v>-1.3076696830622017</v>
      </c>
      <c r="U119" s="7"/>
      <c r="V119" s="7"/>
      <c r="W119" s="7"/>
      <c r="X119" s="7"/>
      <c r="Y119" s="7"/>
      <c r="Z119" s="7"/>
      <c r="AA119" s="7"/>
      <c r="AB119" s="7"/>
      <c r="AO119" s="318"/>
      <c r="AP119" s="315"/>
      <c r="AQ119" s="315"/>
      <c r="AR119" s="315"/>
      <c r="AT119" s="319"/>
      <c r="AU119" s="319"/>
      <c r="AV119" s="319"/>
      <c r="AW119" s="319"/>
      <c r="AZ119" s="318"/>
      <c r="BA119" s="315"/>
      <c r="BB119" s="315"/>
      <c r="BC119" s="315"/>
      <c r="BE119" s="319"/>
      <c r="BF119" s="319"/>
      <c r="BG119" s="319"/>
      <c r="BH119" s="319"/>
      <c r="BK119" s="318"/>
      <c r="BL119" s="315"/>
      <c r="BM119" s="315"/>
      <c r="BN119" s="315"/>
      <c r="BP119" s="319"/>
      <c r="BQ119" s="319"/>
      <c r="BR119" s="319"/>
      <c r="BS119" s="319"/>
      <c r="BV119" s="318"/>
      <c r="BW119" s="315"/>
      <c r="BX119" s="315"/>
      <c r="BY119" s="315"/>
      <c r="CA119" s="319"/>
      <c r="CB119" s="319"/>
      <c r="CC119" s="319"/>
      <c r="CD119" s="319"/>
      <c r="CG119" s="318"/>
      <c r="CH119" s="315"/>
      <c r="CI119" s="315"/>
      <c r="CJ119" s="315"/>
      <c r="CL119" s="319"/>
      <c r="CM119" s="319"/>
      <c r="CN119" s="319"/>
      <c r="CO119" s="319"/>
      <c r="CR119" s="318"/>
      <c r="CS119" s="315"/>
      <c r="CT119" s="315"/>
      <c r="CU119" s="315"/>
      <c r="CW119" s="319"/>
      <c r="CX119" s="319"/>
      <c r="CY119" s="319"/>
      <c r="CZ119" s="319"/>
      <c r="DC119" s="318"/>
      <c r="DD119" s="315"/>
      <c r="DE119" s="315"/>
      <c r="DF119" s="315"/>
      <c r="DH119" s="319"/>
      <c r="DI119" s="319"/>
      <c r="DJ119" s="319"/>
      <c r="DK119" s="319"/>
    </row>
    <row r="120" spans="1:116" x14ac:dyDescent="0.25">
      <c r="A120">
        <v>-2.8</v>
      </c>
      <c r="B120">
        <f t="shared" si="90"/>
        <v>8.5533619121372393</v>
      </c>
      <c r="C120">
        <f t="shared" si="91"/>
        <v>-8.5533619121372393</v>
      </c>
      <c r="D120">
        <f t="shared" si="108"/>
        <v>7.493997598078078</v>
      </c>
      <c r="E120">
        <f t="shared" si="109"/>
        <v>-7.493997598078078</v>
      </c>
      <c r="F120">
        <f t="shared" si="112"/>
        <v>6.4156059729381765</v>
      </c>
      <c r="G120">
        <f t="shared" si="113"/>
        <v>-6.4156059729381765</v>
      </c>
      <c r="H120">
        <f t="shared" si="88"/>
        <v>5.3065996645686395</v>
      </c>
      <c r="I120">
        <f t="shared" si="89"/>
        <v>-5.3065996645686395</v>
      </c>
      <c r="J120">
        <f t="shared" si="106"/>
        <v>4.1424630354415957</v>
      </c>
      <c r="K120">
        <f t="shared" si="107"/>
        <v>-4.1424630354415957</v>
      </c>
      <c r="L120">
        <f t="shared" si="110"/>
        <v>2.8565713714171399</v>
      </c>
      <c r="M120">
        <f t="shared" si="111"/>
        <v>-2.8565713714171399</v>
      </c>
      <c r="N120">
        <f t="shared" si="84"/>
        <v>1.0770329614269012</v>
      </c>
      <c r="O120">
        <f t="shared" si="85"/>
        <v>-1.0770329614269012</v>
      </c>
      <c r="U120" s="7"/>
      <c r="V120" s="7"/>
      <c r="W120" s="7"/>
      <c r="X120" s="7"/>
      <c r="Y120" s="7"/>
      <c r="Z120" s="7"/>
      <c r="AA120" s="7"/>
      <c r="AB120" s="7"/>
      <c r="AO120" s="39">
        <v>4.1666666666666664E-2</v>
      </c>
      <c r="AP120" s="38">
        <v>165</v>
      </c>
      <c r="AQ120" s="38">
        <f t="shared" ref="AQ120:AQ143" si="114">+DEGREES(ASIN(COS(RADIANS($AR$85))*COS(RADIANS($AQ$85))*COS(RADIANS(AP120))+SIN(RADIANS($AR$85))*SIN(RADIANS($AQ$85))))</f>
        <v>-72.046150944645134</v>
      </c>
      <c r="AR120" s="38">
        <f t="shared" ref="AR120:AR130" si="115">180-DEGREES(ACOS((((SIN(RADIANS(AQ120)))*SIN(RADIANS($AR$85)))-SIN(RADIANS($AQ$85)))/((COS(RADIANS(AQ120)))*COS(RADIANS($AR$85)))))</f>
        <v>53.197388177510931</v>
      </c>
      <c r="AT120">
        <f t="shared" ref="AT120:AT143" si="116">9-(AQ120/10)</f>
        <v>16.204615094464515</v>
      </c>
      <c r="AU120">
        <f t="shared" ref="AU120:AU143" si="117">90-AR120</f>
        <v>36.802611822489069</v>
      </c>
      <c r="AV120" s="7">
        <f t="shared" ref="AV120:AV143" si="118">+AT120*COS(RADIANS(AU120))</f>
        <v>12.975101156585923</v>
      </c>
      <c r="AW120" s="7">
        <f t="shared" ref="AW120:AW143" si="119">+AT120*SIN(RADIANS(AU120))</f>
        <v>9.7075383252454799</v>
      </c>
      <c r="AX120" s="39">
        <v>4.1666666666666699E-2</v>
      </c>
      <c r="AZ120" s="39">
        <v>4.1666666666666699E-2</v>
      </c>
      <c r="BA120" s="38">
        <v>165</v>
      </c>
      <c r="BB120" s="38">
        <f t="shared" ref="BB120:BB143" si="120">+DEGREES(ASIN(COS(RADIANS($BC$85))*COS(RADIANS($BB$85))*COS(RADIANS(BA120))+SIN(RADIANS($BC$85))*SIN(RADIANS($BB$85))))</f>
        <v>-64.883038153692766</v>
      </c>
      <c r="BC120" s="38">
        <f t="shared" ref="BC120:BC130" si="121">180-DEGREES(ACOS((((SIN(RADIANS(BB120)))*SIN(RADIANS($BC$85)))-SIN(RADIANS($BB$85)))/((COS(RADIANS(BB120)))*COS(RADIANS($BC$85)))))</f>
        <v>37.111855036527061</v>
      </c>
      <c r="BE120">
        <f t="shared" ref="BE120:BE143" si="122">9-(BB120/10)</f>
        <v>15.488303815369276</v>
      </c>
      <c r="BF120">
        <f t="shared" ref="BF120:BF143" si="123">90-BC120</f>
        <v>52.888144963472939</v>
      </c>
      <c r="BG120" s="7">
        <f t="shared" ref="BG120:BG143" si="124">+BE120*COS(RADIANS(BF120))</f>
        <v>9.3452243760977662</v>
      </c>
      <c r="BH120" s="7">
        <f t="shared" ref="BH120:BH143" si="125">+BE120*SIN(RADIANS(BF120))</f>
        <v>12.351288857344832</v>
      </c>
      <c r="BI120" s="39">
        <v>4.1666666666666699E-2</v>
      </c>
      <c r="BK120" s="39">
        <v>4.1666666666666699E-2</v>
      </c>
      <c r="BL120" s="38">
        <v>165</v>
      </c>
      <c r="BM120" s="38">
        <f t="shared" ref="BM120:BM143" si="126">+DEGREES(ASIN(COS(RADIANS($BN$85))*COS(RADIANS($BM$85))*COS(RADIANS(BL120))+SIN(RADIANS($BN$85))*SIN(RADIANS($BM$85))))</f>
        <v>-53.905193379238668</v>
      </c>
      <c r="BN120" s="38">
        <f t="shared" ref="BN120:BN130" si="127">180-DEGREES(ACOS((((SIN(RADIANS(BM120)))*SIN(RADIANS($BN$85)))-SIN(RADIANS($BM$85)))/((COS(RADIANS(BM120)))*COS(RADIANS($BN$85)))))</f>
        <v>25.992283534126898</v>
      </c>
      <c r="BP120">
        <f t="shared" ref="BP120:BP143" si="128">9-(BM120/10)</f>
        <v>14.390519337923866</v>
      </c>
      <c r="BQ120">
        <f t="shared" ref="BQ120:BQ143" si="129">90-BN120</f>
        <v>64.007716465873102</v>
      </c>
      <c r="BR120" s="7">
        <f t="shared" ref="BR120:BR143" si="130">+BP120*COS(RADIANS(BQ120))</f>
        <v>6.3066464707789178</v>
      </c>
      <c r="BS120" s="7">
        <f t="shared" ref="BS120:BS143" si="131">+BP120*SIN(RADIANS(BQ120))</f>
        <v>12.934962586253297</v>
      </c>
      <c r="BT120" s="39">
        <v>4.1666666666666699E-2</v>
      </c>
      <c r="BV120" s="39">
        <v>4.1666666666666699E-2</v>
      </c>
      <c r="BW120" s="38">
        <v>165</v>
      </c>
      <c r="BX120" s="38">
        <f t="shared" ref="BX120:BX143" si="132">+DEGREES(ASIN(COS(RADIANS($BY$85))*COS(RADIANS($BX$85))*COS(RADIANS(BW120))+SIN(RADIANS($BY$85))*SIN(RADIANS($BX$85))))</f>
        <v>-43.692996391273049</v>
      </c>
      <c r="BY120" s="38">
        <f t="shared" ref="BY120:BY130" si="133">180-DEGREES(ACOS((((SIN(RADIANS(BX120)))*SIN(RADIANS($BY$85)))-SIN(RADIANS($BX$85)))/((COS(RADIANS(BX120)))*COS(RADIANS($BY$85)))))</f>
        <v>20.237754688613791</v>
      </c>
      <c r="CA120">
        <f t="shared" ref="CA120:CA143" si="134">9-(BX120/10)</f>
        <v>13.369299639127306</v>
      </c>
      <c r="CB120">
        <f t="shared" ref="CB120:CB143" si="135">90-BY120</f>
        <v>69.762245311386209</v>
      </c>
      <c r="CC120" s="7">
        <f t="shared" ref="CC120:CC143" si="136">+CA120*COS(RADIANS(CB120))</f>
        <v>4.6246618464143561</v>
      </c>
      <c r="CD120" s="7">
        <f t="shared" ref="CD120:CD143" si="137">+CA120*SIN(RADIANS(CB120))</f>
        <v>12.543949762618187</v>
      </c>
      <c r="CE120" s="39">
        <v>4.1666666666666699E-2</v>
      </c>
      <c r="CG120" s="39">
        <v>4.1666666666666699E-2</v>
      </c>
      <c r="CH120" s="38">
        <v>165</v>
      </c>
      <c r="CI120" s="38">
        <f t="shared" ref="CI120:CI143" si="138">+DEGREES(ASIN(COS(RADIANS($CJ$85))*COS(RADIANS($CI$85))*COS(RADIANS(CH120))+SIN(RADIANS($CJ$85))*SIN(RADIANS($CI$85))))</f>
        <v>-36.876609818260775</v>
      </c>
      <c r="CJ120" s="38">
        <f t="shared" ref="CJ120:CJ130" si="139">180-DEGREES(ACOS((((SIN(RADIANS(CI120)))*SIN(RADIANS($CJ$85)))-SIN(RADIANS($CI$85)))/((COS(RADIANS(CI120)))*COS(RADIANS($CJ$85)))))</f>
        <v>17.452108433901259</v>
      </c>
      <c r="CL120">
        <f t="shared" ref="CL120:CL143" si="140">9-(CI120/10)</f>
        <v>12.687660981826077</v>
      </c>
      <c r="CM120">
        <f t="shared" ref="CM120:CM143" si="141">90-CJ120</f>
        <v>72.547891566098741</v>
      </c>
      <c r="CN120" s="7">
        <f t="shared" ref="CN120:CN143" si="142">+CL120*COS(RADIANS(CM120))</f>
        <v>3.8051375694932532</v>
      </c>
      <c r="CO120" s="7">
        <f t="shared" ref="CO120:CO143" si="143">+CL120*SIN(RADIANS(CM120))</f>
        <v>12.103622154833769</v>
      </c>
      <c r="CP120" s="39">
        <v>4.1666666666666699E-2</v>
      </c>
      <c r="CR120" s="39">
        <v>4.1666666666666699E-2</v>
      </c>
      <c r="CS120" s="38">
        <v>165</v>
      </c>
      <c r="CT120" s="38">
        <f t="shared" ref="CT120:CT143" si="144">+DEGREES(ASIN(COS(RADIANS($CU$85))*COS(RADIANS($CT$85))*COS(RADIANS(CS120))+SIN(RADIANS($CU$85))*SIN(RADIANS($CT$85))))</f>
        <v>-35.522989333110012</v>
      </c>
      <c r="CU120" s="38">
        <f t="shared" ref="CU120:CU130" si="145">180-DEGREES(ACOS((((SIN(RADIANS(CT120)))*SIN(RADIANS($CU$85)))-SIN(RADIANS($CT$85)))/((COS(RADIANS(CT120)))*COS(RADIANS($CU$85)))))</f>
        <v>16.962222906987591</v>
      </c>
      <c r="CW120">
        <f t="shared" ref="CW120:CW143" si="146">9-(CT120/10)</f>
        <v>12.552298933311</v>
      </c>
      <c r="CX120">
        <f t="shared" ref="CX120:CX143" si="147">90-CU120</f>
        <v>73.037777093012409</v>
      </c>
      <c r="CY120" s="7">
        <f t="shared" ref="CY120:CY143" si="148">+CW120*COS(RADIANS(CX120))</f>
        <v>3.6620217035873996</v>
      </c>
      <c r="CZ120" s="7">
        <f t="shared" ref="CZ120:CZ143" si="149">+CW120*SIN(RADIANS(CX120))</f>
        <v>12.006240275525695</v>
      </c>
      <c r="DA120" s="39">
        <v>4.1666666666666699E-2</v>
      </c>
      <c r="DC120" s="39">
        <v>4.1666666666666699E-2</v>
      </c>
      <c r="DD120" s="38">
        <v>165</v>
      </c>
      <c r="DE120" s="38">
        <f t="shared" ref="DE120:DE143" si="150">+DEGREES(ASIN(COS(RADIANS($DF$85))*COS(RADIANS($DE$85))*COS(RADIANS(DD120))+SIN(RADIANS($DF$85))*SIN(RADIANS($DE$85))))</f>
        <v>-75.23679981258222</v>
      </c>
      <c r="DF120" s="38">
        <f t="shared" ref="DF120:DF130" si="151">180-DEGREES(ACOS((((SIN(RADIANS(DE120)))*SIN(RADIANS($DF$85)))-SIN(RADIANS($DE$85)))/((COS(RADIANS(DE120)))*COS(RADIANS($DF$85)))))</f>
        <v>69.204392711010712</v>
      </c>
      <c r="DH120">
        <f t="shared" ref="DH120:DH143" si="152">9-(DE120/10)</f>
        <v>16.523679981258223</v>
      </c>
      <c r="DI120">
        <f t="shared" ref="DI120:DI143" si="153">90-DF120</f>
        <v>20.795607288989288</v>
      </c>
      <c r="DJ120" s="7">
        <f t="shared" ref="DJ120:DJ143" si="154">+DH120*COS(RADIANS(DI120))</f>
        <v>15.447210128166809</v>
      </c>
      <c r="DK120" s="7">
        <f t="shared" ref="DK120:DK143" si="155">+DH120*SIN(RADIANS(DI120))</f>
        <v>5.8664895277580156</v>
      </c>
      <c r="DL120" s="39">
        <v>4.1666666666666699E-2</v>
      </c>
    </row>
    <row r="121" spans="1:116" x14ac:dyDescent="0.25">
      <c r="A121">
        <v>-2.9</v>
      </c>
      <c r="B121">
        <f t="shared" si="90"/>
        <v>8.519976525789259</v>
      </c>
      <c r="C121">
        <f t="shared" si="91"/>
        <v>-8.519976525789259</v>
      </c>
      <c r="D121">
        <f t="shared" si="108"/>
        <v>7.4558701705434762</v>
      </c>
      <c r="E121">
        <f t="shared" si="109"/>
        <v>-7.4558701705434762</v>
      </c>
      <c r="F121">
        <f t="shared" si="112"/>
        <v>6.3710281744785906</v>
      </c>
      <c r="G121">
        <f t="shared" si="113"/>
        <v>-6.3710281744785906</v>
      </c>
      <c r="H121">
        <f t="shared" si="88"/>
        <v>5.2526183946675582</v>
      </c>
      <c r="I121">
        <f t="shared" si="89"/>
        <v>-5.2526183946675582</v>
      </c>
      <c r="J121">
        <f t="shared" si="106"/>
        <v>4.0730823708832604</v>
      </c>
      <c r="K121">
        <f t="shared" si="107"/>
        <v>-4.0730823708832604</v>
      </c>
      <c r="L121">
        <f t="shared" si="110"/>
        <v>2.7549954627911823</v>
      </c>
      <c r="M121">
        <f t="shared" si="111"/>
        <v>-2.7549954627911823</v>
      </c>
      <c r="N121">
        <f t="shared" si="84"/>
        <v>0.76811457478686074</v>
      </c>
      <c r="O121">
        <f t="shared" si="85"/>
        <v>-0.76811457478686074</v>
      </c>
      <c r="U121" s="7"/>
      <c r="V121" s="7"/>
      <c r="W121" s="7"/>
      <c r="X121" s="7"/>
      <c r="Y121" s="7"/>
      <c r="Z121" s="7"/>
      <c r="AA121" s="7"/>
      <c r="AB121" s="7"/>
      <c r="AO121" s="39">
        <v>8.3333333333333301E-2</v>
      </c>
      <c r="AP121" s="38">
        <v>150</v>
      </c>
      <c r="AQ121" s="38">
        <f t="shared" si="114"/>
        <v>-60.232400619509299</v>
      </c>
      <c r="AR121" s="38">
        <f t="shared" si="115"/>
        <v>73.818841067034114</v>
      </c>
      <c r="AT121">
        <f t="shared" si="116"/>
        <v>15.023240061950929</v>
      </c>
      <c r="AU121">
        <f t="shared" si="117"/>
        <v>16.181158932965886</v>
      </c>
      <c r="AV121" s="7">
        <f t="shared" si="118"/>
        <v>14.428100067872327</v>
      </c>
      <c r="AW121" s="7">
        <f t="shared" si="119"/>
        <v>4.1866060706101669</v>
      </c>
      <c r="AX121" s="39">
        <v>8.3333333333333301E-2</v>
      </c>
      <c r="AZ121" s="39">
        <v>8.3333333333333301E-2</v>
      </c>
      <c r="BA121" s="38">
        <v>150</v>
      </c>
      <c r="BB121" s="38">
        <f t="shared" si="120"/>
        <v>-54.989718040976605</v>
      </c>
      <c r="BC121" s="38">
        <f t="shared" si="121"/>
        <v>59.585502367486896</v>
      </c>
      <c r="BE121">
        <f t="shared" si="122"/>
        <v>14.498971804097661</v>
      </c>
      <c r="BF121">
        <f t="shared" si="123"/>
        <v>30.414497632513104</v>
      </c>
      <c r="BG121" s="7">
        <f t="shared" si="124"/>
        <v>12.503704486408054</v>
      </c>
      <c r="BH121" s="7">
        <f t="shared" si="125"/>
        <v>7.3401333429712334</v>
      </c>
      <c r="BI121" s="39">
        <v>8.3333333333333301E-2</v>
      </c>
      <c r="BK121" s="39">
        <v>8.3333333333333301E-2</v>
      </c>
      <c r="BL121" s="38">
        <v>150</v>
      </c>
      <c r="BM121" s="38">
        <f t="shared" si="126"/>
        <v>-46.133018433380855</v>
      </c>
      <c r="BN121" s="38">
        <f t="shared" si="127"/>
        <v>46.033218302412109</v>
      </c>
      <c r="BP121">
        <f t="shared" si="128"/>
        <v>13.613301843338085</v>
      </c>
      <c r="BQ121">
        <f t="shared" si="129"/>
        <v>43.966781697587891</v>
      </c>
      <c r="BR121" s="7">
        <f t="shared" si="130"/>
        <v>9.7980708215459078</v>
      </c>
      <c r="BS121" s="7">
        <f t="shared" si="131"/>
        <v>9.4509150484914848</v>
      </c>
      <c r="BT121" s="39">
        <v>8.3333333333333301E-2</v>
      </c>
      <c r="BV121" s="39">
        <v>8.3333333333333301E-2</v>
      </c>
      <c r="BW121" s="38">
        <v>150</v>
      </c>
      <c r="BX121" s="38">
        <f t="shared" si="132"/>
        <v>-37.33129672095771</v>
      </c>
      <c r="BY121" s="38">
        <f t="shared" si="133"/>
        <v>37.421390721411996</v>
      </c>
      <c r="CA121">
        <f t="shared" si="134"/>
        <v>12.733129672095771</v>
      </c>
      <c r="CB121">
        <f t="shared" si="135"/>
        <v>52.578609278588004</v>
      </c>
      <c r="CC121" s="7">
        <f t="shared" si="136"/>
        <v>7.7375712504447289</v>
      </c>
      <c r="CD121" s="7">
        <f t="shared" si="137"/>
        <v>10.112496348117856</v>
      </c>
      <c r="CE121" s="39">
        <v>8.3333333333333301E-2</v>
      </c>
      <c r="CG121" s="39">
        <v>8.3333333333333301E-2</v>
      </c>
      <c r="CH121" s="38">
        <v>150</v>
      </c>
      <c r="CI121" s="38">
        <f t="shared" si="138"/>
        <v>-31.276362355278998</v>
      </c>
      <c r="CJ121" s="38">
        <f t="shared" si="139"/>
        <v>32.838198459563159</v>
      </c>
      <c r="CL121">
        <f t="shared" si="140"/>
        <v>12.1276362355279</v>
      </c>
      <c r="CM121">
        <f t="shared" si="141"/>
        <v>57.161801540436841</v>
      </c>
      <c r="CN121" s="7">
        <f t="shared" si="142"/>
        <v>6.5764349434517442</v>
      </c>
      <c r="CO121" s="7">
        <f t="shared" si="143"/>
        <v>10.189703827679988</v>
      </c>
      <c r="CP121" s="39">
        <v>8.3333333333333301E-2</v>
      </c>
      <c r="CR121" s="39">
        <v>8.3333333333333301E-2</v>
      </c>
      <c r="CS121" s="38">
        <v>150</v>
      </c>
      <c r="CT121" s="38">
        <f t="shared" si="144"/>
        <v>-30.061756873161897</v>
      </c>
      <c r="CU121" s="38">
        <f t="shared" si="145"/>
        <v>32.005223707712958</v>
      </c>
      <c r="CW121">
        <f t="shared" si="146"/>
        <v>12.00617568731619</v>
      </c>
      <c r="CX121">
        <f t="shared" si="147"/>
        <v>57.994776292287042</v>
      </c>
      <c r="CY121" s="7">
        <f t="shared" si="148"/>
        <v>6.3632320452066073</v>
      </c>
      <c r="CZ121" s="7">
        <f t="shared" si="149"/>
        <v>10.181234334478219</v>
      </c>
      <c r="DA121" s="39">
        <v>8.3333333333333301E-2</v>
      </c>
      <c r="DC121" s="39">
        <v>8.3333333333333301E-2</v>
      </c>
      <c r="DD121" s="38">
        <v>150</v>
      </c>
      <c r="DE121" s="38">
        <f t="shared" si="150"/>
        <v>-62.452473976782521</v>
      </c>
      <c r="DF121" s="38">
        <f t="shared" si="151"/>
        <v>84.319044517006716</v>
      </c>
      <c r="DH121">
        <f t="shared" si="152"/>
        <v>15.245247397678252</v>
      </c>
      <c r="DI121">
        <f t="shared" si="153"/>
        <v>5.6809554829932836</v>
      </c>
      <c r="DJ121" s="7">
        <f t="shared" si="154"/>
        <v>15.170370789465272</v>
      </c>
      <c r="DK121" s="7">
        <f t="shared" si="155"/>
        <v>1.5091117674162819</v>
      </c>
      <c r="DL121" s="39">
        <v>8.3333333333333301E-2</v>
      </c>
    </row>
    <row r="122" spans="1:116" x14ac:dyDescent="0.25">
      <c r="A122">
        <v>-3</v>
      </c>
      <c r="B122">
        <f t="shared" si="90"/>
        <v>8.4852813742385695</v>
      </c>
      <c r="C122">
        <f t="shared" si="91"/>
        <v>-8.4852813742385695</v>
      </c>
      <c r="D122">
        <f t="shared" si="108"/>
        <v>7.416198487095663</v>
      </c>
      <c r="E122">
        <f t="shared" si="109"/>
        <v>-7.416198487095663</v>
      </c>
      <c r="F122">
        <f t="shared" si="112"/>
        <v>6.324555320336759</v>
      </c>
      <c r="G122">
        <f t="shared" si="113"/>
        <v>-6.324555320336759</v>
      </c>
      <c r="H122">
        <f t="shared" si="88"/>
        <v>5.196152422706632</v>
      </c>
      <c r="I122">
        <f t="shared" si="89"/>
        <v>-5.196152422706632</v>
      </c>
      <c r="J122">
        <f t="shared" si="106"/>
        <v>4</v>
      </c>
      <c r="K122">
        <f t="shared" si="107"/>
        <v>-4</v>
      </c>
      <c r="L122">
        <f t="shared" si="110"/>
        <v>2.6457513110645907</v>
      </c>
      <c r="M122">
        <f t="shared" si="111"/>
        <v>-2.6457513110645907</v>
      </c>
      <c r="N122">
        <f t="shared" si="84"/>
        <v>0</v>
      </c>
      <c r="O122">
        <f t="shared" si="85"/>
        <v>0</v>
      </c>
      <c r="U122" s="7"/>
      <c r="V122" s="7"/>
      <c r="AO122" s="39">
        <v>0.125</v>
      </c>
      <c r="AP122" s="38">
        <v>135</v>
      </c>
      <c r="AQ122" s="38">
        <f t="shared" si="114"/>
        <v>-47.358006013278754</v>
      </c>
      <c r="AR122" s="38">
        <f t="shared" si="115"/>
        <v>84.519330155836997</v>
      </c>
      <c r="AT122">
        <f t="shared" si="116"/>
        <v>13.735800601327876</v>
      </c>
      <c r="AU122">
        <f t="shared" si="117"/>
        <v>5.4806698441630033</v>
      </c>
      <c r="AV122" s="7">
        <f t="shared" si="118"/>
        <v>13.673007082095582</v>
      </c>
      <c r="AW122" s="7">
        <f t="shared" si="119"/>
        <v>1.311905290942623</v>
      </c>
      <c r="AX122" s="39">
        <v>0.125</v>
      </c>
      <c r="AZ122" s="39">
        <v>0.125</v>
      </c>
      <c r="BA122" s="38">
        <v>135</v>
      </c>
      <c r="BB122" s="38">
        <f t="shared" si="120"/>
        <v>-42.970049900882437</v>
      </c>
      <c r="BC122" s="38">
        <f t="shared" si="121"/>
        <v>72.992972749272582</v>
      </c>
      <c r="BE122">
        <f t="shared" si="122"/>
        <v>13.297004990088244</v>
      </c>
      <c r="BF122">
        <f t="shared" si="123"/>
        <v>17.007027250727418</v>
      </c>
      <c r="BG122" s="7">
        <f t="shared" si="124"/>
        <v>12.715512199162722</v>
      </c>
      <c r="BH122" s="7">
        <f t="shared" si="125"/>
        <v>3.8892275864721073</v>
      </c>
      <c r="BI122" s="39">
        <v>0.125</v>
      </c>
      <c r="BK122" s="39">
        <v>0.125</v>
      </c>
      <c r="BL122" s="38">
        <v>135</v>
      </c>
      <c r="BM122" s="38">
        <f t="shared" si="126"/>
        <v>-35.619953941187866</v>
      </c>
      <c r="BN122" s="38">
        <f t="shared" si="127"/>
        <v>60.195037330045565</v>
      </c>
      <c r="BP122">
        <f t="shared" si="128"/>
        <v>12.561995394118787</v>
      </c>
      <c r="BQ122">
        <f t="shared" si="129"/>
        <v>29.804962669954435</v>
      </c>
      <c r="BR122" s="7">
        <f t="shared" si="130"/>
        <v>10.900324851829213</v>
      </c>
      <c r="BS122" s="7">
        <f t="shared" si="131"/>
        <v>6.2439287637236935</v>
      </c>
      <c r="BT122" s="39">
        <v>0.125</v>
      </c>
      <c r="BV122" s="39">
        <v>0.125</v>
      </c>
      <c r="BW122" s="38">
        <v>135</v>
      </c>
      <c r="BX122" s="38">
        <f t="shared" si="132"/>
        <v>-28.177692758769616</v>
      </c>
      <c r="BY122" s="38">
        <f t="shared" si="133"/>
        <v>50.823092297341248</v>
      </c>
      <c r="CA122">
        <f t="shared" si="134"/>
        <v>11.817769275876962</v>
      </c>
      <c r="CB122">
        <f t="shared" si="135"/>
        <v>39.176907702658752</v>
      </c>
      <c r="CC122" s="7">
        <f t="shared" si="136"/>
        <v>9.1611247768654742</v>
      </c>
      <c r="CD122" s="7">
        <f t="shared" si="137"/>
        <v>7.465484812158083</v>
      </c>
      <c r="CE122" s="39">
        <v>0.125</v>
      </c>
      <c r="CG122" s="39">
        <v>0.125</v>
      </c>
      <c r="CH122" s="38">
        <v>135</v>
      </c>
      <c r="CI122" s="38">
        <f t="shared" si="138"/>
        <v>-22.981260259153483</v>
      </c>
      <c r="CJ122" s="38">
        <f t="shared" si="139"/>
        <v>45.392932124001135</v>
      </c>
      <c r="CL122">
        <f t="shared" si="140"/>
        <v>11.298126025915348</v>
      </c>
      <c r="CM122">
        <f t="shared" si="141"/>
        <v>44.607067875998865</v>
      </c>
      <c r="CN122" s="7">
        <f t="shared" si="142"/>
        <v>8.0435813417555835</v>
      </c>
      <c r="CO122" s="7">
        <f t="shared" si="143"/>
        <v>7.934005980337246</v>
      </c>
      <c r="CP122" s="39">
        <v>0.125</v>
      </c>
      <c r="CR122" s="39">
        <v>0.125</v>
      </c>
      <c r="CS122" s="38">
        <v>135</v>
      </c>
      <c r="CT122" s="38">
        <f t="shared" si="144"/>
        <v>-21.932757611792816</v>
      </c>
      <c r="CU122" s="38">
        <f t="shared" si="145"/>
        <v>44.372564277814263</v>
      </c>
      <c r="CW122">
        <f t="shared" si="146"/>
        <v>11.193275761179281</v>
      </c>
      <c r="CX122">
        <f t="shared" si="147"/>
        <v>45.627435722185737</v>
      </c>
      <c r="CY122" s="7">
        <f t="shared" si="148"/>
        <v>7.8276943609688994</v>
      </c>
      <c r="CZ122" s="7">
        <f t="shared" si="149"/>
        <v>8.0010388861109352</v>
      </c>
      <c r="DA122" s="39">
        <v>0.125</v>
      </c>
      <c r="DC122" s="39">
        <v>0.125</v>
      </c>
      <c r="DD122" s="38">
        <v>135</v>
      </c>
      <c r="DE122" s="38">
        <f t="shared" si="150"/>
        <v>-49.357961668366194</v>
      </c>
      <c r="DF122" s="38">
        <f t="shared" si="151"/>
        <v>92.227199589722318</v>
      </c>
      <c r="DH122">
        <f t="shared" si="152"/>
        <v>13.935796166836619</v>
      </c>
      <c r="DI122">
        <f t="shared" si="153"/>
        <v>-2.2271995897223178</v>
      </c>
      <c r="DJ122" s="7">
        <f t="shared" si="154"/>
        <v>13.9252687913333</v>
      </c>
      <c r="DK122" s="7">
        <f t="shared" si="155"/>
        <v>-0.5415753804753205</v>
      </c>
      <c r="DL122" s="39">
        <v>0.125</v>
      </c>
    </row>
    <row r="123" spans="1:116" x14ac:dyDescent="0.25">
      <c r="A123">
        <v>-3.1</v>
      </c>
      <c r="B123">
        <f t="shared" si="90"/>
        <v>8.4492603226554692</v>
      </c>
      <c r="C123">
        <f t="shared" si="91"/>
        <v>-8.4492603226554692</v>
      </c>
      <c r="D123">
        <f t="shared" si="108"/>
        <v>7.3749576269969168</v>
      </c>
      <c r="E123">
        <f t="shared" si="109"/>
        <v>-7.3749576269969168</v>
      </c>
      <c r="F123">
        <f t="shared" si="112"/>
        <v>6.2761453138052818</v>
      </c>
      <c r="G123">
        <f t="shared" si="113"/>
        <v>-6.2761453138052818</v>
      </c>
      <c r="H123">
        <f t="shared" si="88"/>
        <v>5.1371198156165292</v>
      </c>
      <c r="I123">
        <f t="shared" si="89"/>
        <v>-5.1371198156165292</v>
      </c>
      <c r="J123">
        <f t="shared" si="106"/>
        <v>3.9230090491866059</v>
      </c>
      <c r="K123">
        <f t="shared" si="107"/>
        <v>-3.9230090491866059</v>
      </c>
      <c r="L123">
        <f t="shared" si="110"/>
        <v>2.5278449319529073</v>
      </c>
      <c r="M123">
        <f t="shared" si="111"/>
        <v>-2.5278449319529073</v>
      </c>
      <c r="U123" s="7"/>
      <c r="AO123" s="39">
        <v>0.16666666666666699</v>
      </c>
      <c r="AP123" s="38">
        <v>120</v>
      </c>
      <c r="AQ123" s="38">
        <f t="shared" si="114"/>
        <v>-34.263131703153903</v>
      </c>
      <c r="AR123" s="38">
        <f t="shared" si="115"/>
        <v>92.169938930599614</v>
      </c>
      <c r="AT123">
        <f t="shared" si="116"/>
        <v>12.426313170315391</v>
      </c>
      <c r="AU123">
        <f t="shared" si="117"/>
        <v>-2.1699389305996135</v>
      </c>
      <c r="AV123" s="7">
        <f t="shared" si="118"/>
        <v>12.417402504704228</v>
      </c>
      <c r="AW123" s="7">
        <f t="shared" si="119"/>
        <v>-0.47050403071482749</v>
      </c>
      <c r="AX123" s="39">
        <v>0.16666666666666699</v>
      </c>
      <c r="AZ123" s="39">
        <v>0.16666666666666699</v>
      </c>
      <c r="BA123" s="38">
        <v>120</v>
      </c>
      <c r="BB123" s="38">
        <f t="shared" si="120"/>
        <v>-30.166174654908502</v>
      </c>
      <c r="BC123" s="38">
        <f t="shared" si="121"/>
        <v>82.395681730571113</v>
      </c>
      <c r="BE123">
        <f t="shared" si="122"/>
        <v>12.01661746549085</v>
      </c>
      <c r="BF123">
        <f t="shared" si="123"/>
        <v>7.6043182694288873</v>
      </c>
      <c r="BG123" s="7">
        <f t="shared" si="124"/>
        <v>11.910938158755613</v>
      </c>
      <c r="BH123" s="7">
        <f t="shared" si="125"/>
        <v>1.5901721574216976</v>
      </c>
      <c r="BI123" s="39">
        <v>0.16666666666666699</v>
      </c>
      <c r="BK123" s="39">
        <v>0.16666666666666699</v>
      </c>
      <c r="BL123" s="38">
        <v>120</v>
      </c>
      <c r="BM123" s="38">
        <f t="shared" si="126"/>
        <v>-23.693971230022676</v>
      </c>
      <c r="BN123" s="38">
        <f t="shared" si="127"/>
        <v>70.634773561073217</v>
      </c>
      <c r="BP123">
        <f t="shared" si="128"/>
        <v>11.369397123002267</v>
      </c>
      <c r="BQ123">
        <f t="shared" si="129"/>
        <v>19.365226438926783</v>
      </c>
      <c r="BR123" s="7">
        <f t="shared" si="130"/>
        <v>10.726162988788303</v>
      </c>
      <c r="BS123" s="7">
        <f t="shared" si="131"/>
        <v>3.7699626627435197</v>
      </c>
      <c r="BT123" s="39">
        <v>0.16666666666666699</v>
      </c>
      <c r="BV123" s="39">
        <v>0.16666666666666699</v>
      </c>
      <c r="BW123" s="38">
        <v>120</v>
      </c>
      <c r="BX123" s="38">
        <f t="shared" si="132"/>
        <v>-17.295202768452899</v>
      </c>
      <c r="BY123" s="38">
        <f t="shared" si="133"/>
        <v>61.227129569630065</v>
      </c>
      <c r="CA123">
        <f t="shared" si="134"/>
        <v>10.729520276845291</v>
      </c>
      <c r="CB123">
        <f t="shared" si="135"/>
        <v>28.772870430369935</v>
      </c>
      <c r="CC123" s="7">
        <f t="shared" si="136"/>
        <v>9.4047967545686468</v>
      </c>
      <c r="CD123" s="7">
        <f t="shared" si="137"/>
        <v>5.1645332196132978</v>
      </c>
      <c r="CE123" s="39">
        <v>0.16666666666666699</v>
      </c>
      <c r="CG123" s="39">
        <v>0.16666666666666699</v>
      </c>
      <c r="CH123" s="38">
        <v>120</v>
      </c>
      <c r="CI123" s="38">
        <f t="shared" si="138"/>
        <v>-12.865159481895564</v>
      </c>
      <c r="CJ123" s="38">
        <f t="shared" si="139"/>
        <v>55.427667993562665</v>
      </c>
      <c r="CL123">
        <f t="shared" si="140"/>
        <v>10.286515948189557</v>
      </c>
      <c r="CM123">
        <f t="shared" si="141"/>
        <v>34.572332006437335</v>
      </c>
      <c r="CN123" s="7">
        <f t="shared" si="142"/>
        <v>8.470025064497646</v>
      </c>
      <c r="CO123" s="7">
        <f t="shared" si="143"/>
        <v>5.8370442656484753</v>
      </c>
      <c r="CP123" s="39">
        <v>0.16666666666666699</v>
      </c>
      <c r="CR123" s="39">
        <v>0.16666666666666699</v>
      </c>
      <c r="CS123" s="38">
        <v>120</v>
      </c>
      <c r="CT123" s="38">
        <f t="shared" si="144"/>
        <v>-11.973998043852708</v>
      </c>
      <c r="CU123" s="38">
        <f t="shared" si="145"/>
        <v>54.308590994652675</v>
      </c>
      <c r="CW123">
        <f t="shared" si="146"/>
        <v>10.19739980438527</v>
      </c>
      <c r="CX123">
        <f t="shared" si="147"/>
        <v>35.691409005347325</v>
      </c>
      <c r="CY123" s="7">
        <f t="shared" si="148"/>
        <v>8.2820325453967421</v>
      </c>
      <c r="CZ123" s="7">
        <f t="shared" si="149"/>
        <v>5.9493612839922481</v>
      </c>
      <c r="DA123" s="39">
        <v>0.16666666666666699</v>
      </c>
      <c r="DC123" s="39">
        <v>0.16666666666666699</v>
      </c>
      <c r="DD123" s="38">
        <v>120</v>
      </c>
      <c r="DE123" s="38">
        <f t="shared" si="150"/>
        <v>-36.313087788252069</v>
      </c>
      <c r="DF123" s="38">
        <f t="shared" si="151"/>
        <v>98.417944530448025</v>
      </c>
      <c r="DH123">
        <f t="shared" si="152"/>
        <v>12.631308778825208</v>
      </c>
      <c r="DI123">
        <f t="shared" si="153"/>
        <v>-8.4179445304480254</v>
      </c>
      <c r="DJ123" s="7">
        <f t="shared" si="154"/>
        <v>12.495225784661383</v>
      </c>
      <c r="DK123" s="7">
        <f t="shared" si="155"/>
        <v>-1.8491333257394087</v>
      </c>
      <c r="DL123" s="39">
        <v>0.16666666666666699</v>
      </c>
    </row>
    <row r="124" spans="1:116" x14ac:dyDescent="0.25">
      <c r="A124">
        <v>-3.2</v>
      </c>
      <c r="B124">
        <f t="shared" si="90"/>
        <v>8.4118963379252349</v>
      </c>
      <c r="C124">
        <f t="shared" si="91"/>
        <v>-8.4118963379252349</v>
      </c>
      <c r="D124">
        <f t="shared" si="108"/>
        <v>7.3321211119293439</v>
      </c>
      <c r="E124">
        <f t="shared" si="109"/>
        <v>-7.3321211119293439</v>
      </c>
      <c r="F124">
        <f t="shared" si="112"/>
        <v>6.2257529665093525</v>
      </c>
      <c r="G124">
        <f t="shared" si="113"/>
        <v>-6.2257529665093525</v>
      </c>
      <c r="H124">
        <f t="shared" si="88"/>
        <v>5.0754310161798077</v>
      </c>
      <c r="I124">
        <f t="shared" si="89"/>
        <v>-5.0754310161798077</v>
      </c>
      <c r="J124">
        <f t="shared" si="106"/>
        <v>3.8418745424597089</v>
      </c>
      <c r="K124">
        <f t="shared" si="107"/>
        <v>-3.8418745424597089</v>
      </c>
      <c r="L124">
        <f t="shared" si="110"/>
        <v>2.3999999999999995</v>
      </c>
      <c r="M124">
        <f t="shared" si="111"/>
        <v>-2.3999999999999995</v>
      </c>
      <c r="U124" s="7"/>
      <c r="AA124" t="s">
        <v>53</v>
      </c>
      <c r="AC124" t="s">
        <v>57</v>
      </c>
      <c r="AE124" t="s">
        <v>58</v>
      </c>
      <c r="AG124" t="s">
        <v>59</v>
      </c>
      <c r="AI124" t="s">
        <v>60</v>
      </c>
      <c r="AK124" t="s">
        <v>61</v>
      </c>
      <c r="AO124" s="39">
        <v>0.20833333333333334</v>
      </c>
      <c r="AP124" s="38">
        <v>105</v>
      </c>
      <c r="AQ124" s="38">
        <f t="shared" si="114"/>
        <v>-21.222454332100078</v>
      </c>
      <c r="AR124" s="38">
        <f t="shared" si="115"/>
        <v>98.829098209067979</v>
      </c>
      <c r="AT124">
        <f t="shared" si="116"/>
        <v>11.122245433210008</v>
      </c>
      <c r="AU124">
        <f t="shared" si="117"/>
        <v>-8.829098209067979</v>
      </c>
      <c r="AV124" s="7">
        <f t="shared" si="118"/>
        <v>10.990453038698439</v>
      </c>
      <c r="AW124" s="7">
        <f t="shared" si="119"/>
        <v>-1.7071278454542096</v>
      </c>
      <c r="AX124" s="39">
        <v>0.20833333333333334</v>
      </c>
      <c r="AZ124" s="39">
        <v>0.20833333333333334</v>
      </c>
      <c r="BA124" s="38">
        <v>105</v>
      </c>
      <c r="BB124" s="38">
        <f t="shared" si="120"/>
        <v>-17.093738200635286</v>
      </c>
      <c r="BC124" s="38">
        <f t="shared" si="121"/>
        <v>90.095047630469693</v>
      </c>
      <c r="BE124">
        <f t="shared" si="122"/>
        <v>10.709373820063529</v>
      </c>
      <c r="BF124">
        <f t="shared" si="123"/>
        <v>-9.5047630469693445E-2</v>
      </c>
      <c r="BG124" s="7">
        <f t="shared" si="124"/>
        <v>10.709359084345353</v>
      </c>
      <c r="BH124" s="7">
        <f t="shared" si="125"/>
        <v>-1.7765708874136463E-2</v>
      </c>
      <c r="BI124" s="39">
        <v>0.20833333333333334</v>
      </c>
      <c r="BK124" s="39">
        <v>0.20833333333333334</v>
      </c>
      <c r="BL124" s="38">
        <v>105</v>
      </c>
      <c r="BM124" s="38">
        <f t="shared" si="126"/>
        <v>-11.045650532058881</v>
      </c>
      <c r="BN124" s="38">
        <f t="shared" si="127"/>
        <v>79.033909310679306</v>
      </c>
      <c r="BP124">
        <f t="shared" si="128"/>
        <v>10.104565053205889</v>
      </c>
      <c r="BQ124">
        <f t="shared" si="129"/>
        <v>10.966090689320694</v>
      </c>
      <c r="BR124" s="7">
        <f t="shared" si="130"/>
        <v>9.9200550673093009</v>
      </c>
      <c r="BS124" s="7">
        <f t="shared" si="131"/>
        <v>1.9221712660480537</v>
      </c>
      <c r="BT124" s="39">
        <v>0.20833333333333334</v>
      </c>
      <c r="BV124" s="39">
        <v>0.20833333333333334</v>
      </c>
      <c r="BW124" s="38">
        <v>105</v>
      </c>
      <c r="BX124" s="38">
        <f t="shared" si="132"/>
        <v>-5.3710235152583179</v>
      </c>
      <c r="BY124" s="38">
        <f t="shared" si="133"/>
        <v>69.645777513673181</v>
      </c>
      <c r="CA124">
        <f t="shared" si="134"/>
        <v>9.5371023515258315</v>
      </c>
      <c r="CB124">
        <f t="shared" si="135"/>
        <v>20.354222486326819</v>
      </c>
      <c r="CC124" s="7">
        <f t="shared" si="136"/>
        <v>8.9416074768578966</v>
      </c>
      <c r="CD124" s="7">
        <f t="shared" si="137"/>
        <v>3.3172242904691451</v>
      </c>
      <c r="CE124" s="39">
        <v>0.20833333333333334</v>
      </c>
      <c r="CG124" s="39">
        <v>0.20833333333333334</v>
      </c>
      <c r="CH124" s="38">
        <v>105</v>
      </c>
      <c r="CI124" s="38">
        <f t="shared" si="138"/>
        <v>-1.5633314612030205</v>
      </c>
      <c r="CJ124" s="38">
        <f t="shared" si="139"/>
        <v>63.595103972539462</v>
      </c>
      <c r="CL124">
        <f t="shared" si="140"/>
        <v>9.1563331461203017</v>
      </c>
      <c r="CM124">
        <f t="shared" si="141"/>
        <v>26.404896027460538</v>
      </c>
      <c r="CN124" s="7">
        <f t="shared" si="142"/>
        <v>8.2010873559628532</v>
      </c>
      <c r="CO124" s="7">
        <f t="shared" si="143"/>
        <v>4.0719286416399205</v>
      </c>
      <c r="CP124" s="39">
        <v>0.20833333333333334</v>
      </c>
      <c r="CR124" s="39">
        <v>0.20833333333333334</v>
      </c>
      <c r="CS124" s="38">
        <v>105</v>
      </c>
      <c r="CT124" s="38">
        <f t="shared" si="144"/>
        <v>-0.80777986614324515</v>
      </c>
      <c r="CU124" s="38">
        <f t="shared" si="145"/>
        <v>62.404173266606605</v>
      </c>
      <c r="CW124">
        <f t="shared" si="146"/>
        <v>9.0807779866143239</v>
      </c>
      <c r="CX124">
        <f t="shared" si="147"/>
        <v>27.595826733393395</v>
      </c>
      <c r="CY124" s="7">
        <f t="shared" si="148"/>
        <v>8.0477243653167001</v>
      </c>
      <c r="CZ124" s="7">
        <f t="shared" si="149"/>
        <v>4.2065022741069811</v>
      </c>
      <c r="DA124" s="39">
        <v>0.20833333333333334</v>
      </c>
      <c r="DC124" s="39">
        <v>0.20833333333333334</v>
      </c>
      <c r="DD124" s="38">
        <v>105</v>
      </c>
      <c r="DE124" s="38">
        <f t="shared" si="150"/>
        <v>-23.465180129092047</v>
      </c>
      <c r="DF124" s="38">
        <f t="shared" si="151"/>
        <v>104.25379012152538</v>
      </c>
      <c r="DH124">
        <f t="shared" si="152"/>
        <v>11.346518012909204</v>
      </c>
      <c r="DI124">
        <f t="shared" si="153"/>
        <v>-14.253790121525384</v>
      </c>
      <c r="DJ124" s="7">
        <f t="shared" si="154"/>
        <v>10.997211195505972</v>
      </c>
      <c r="DK124" s="7">
        <f t="shared" si="155"/>
        <v>-2.7937102460189251</v>
      </c>
      <c r="DL124" s="39">
        <v>0.20833333333333334</v>
      </c>
    </row>
    <row r="125" spans="1:116" x14ac:dyDescent="0.25">
      <c r="A125">
        <v>-3.3</v>
      </c>
      <c r="B125">
        <f t="shared" si="90"/>
        <v>8.3731714421717172</v>
      </c>
      <c r="C125">
        <f t="shared" si="91"/>
        <v>-8.3731714421717172</v>
      </c>
      <c r="D125">
        <f t="shared" si="108"/>
        <v>7.2876608044008195</v>
      </c>
      <c r="E125">
        <f t="shared" si="109"/>
        <v>-7.2876608044008195</v>
      </c>
      <c r="F125">
        <f t="shared" si="112"/>
        <v>6.1733297336202604</v>
      </c>
      <c r="G125">
        <f t="shared" si="113"/>
        <v>-6.1733297336202604</v>
      </c>
      <c r="H125">
        <f t="shared" si="88"/>
        <v>5.0109879265470196</v>
      </c>
      <c r="I125">
        <f t="shared" si="89"/>
        <v>-5.0109879265470196</v>
      </c>
      <c r="J125">
        <f t="shared" si="106"/>
        <v>3.7563279941985899</v>
      </c>
      <c r="K125">
        <f t="shared" si="107"/>
        <v>-3.7563279941985899</v>
      </c>
      <c r="L125">
        <f t="shared" si="110"/>
        <v>2.2605309110914633</v>
      </c>
      <c r="M125">
        <f t="shared" si="111"/>
        <v>-2.2605309110914633</v>
      </c>
      <c r="U125" s="7"/>
      <c r="AA125" s="55">
        <v>0.25</v>
      </c>
      <c r="AB125" s="7">
        <f>IF('Control Solar 1er Sem'!$N$8="si",IF(Isorreq!C10=-1,0,"si"),0)</f>
        <v>0</v>
      </c>
      <c r="AC125" s="55">
        <v>0.25</v>
      </c>
      <c r="AD125" s="7">
        <f>IF('Control Solar 1er Sem'!$N$8="si",IF(Isorreq!D10=-1,0,"si"),0)</f>
        <v>0</v>
      </c>
      <c r="AE125" s="55">
        <v>0.25</v>
      </c>
      <c r="AF125" s="7">
        <f>IF('Control Solar 1er Sem'!$N$8="si",IF(Isorreq!E10=-1,0,"si"),0)</f>
        <v>0</v>
      </c>
      <c r="AG125" s="55">
        <v>0.25</v>
      </c>
      <c r="AH125" s="7">
        <f>IF('Control Solar 1er Sem'!$N$8="si",IF(Isorreq!F10=-1,0,"si"),0)</f>
        <v>0</v>
      </c>
      <c r="AI125" s="55">
        <v>0.25</v>
      </c>
      <c r="AJ125" s="7">
        <f>IF('Control Solar 1er Sem'!$N$8="si",IF(Isorreq!G10=-1,0,"si"),0)</f>
        <v>0</v>
      </c>
      <c r="AK125" s="55">
        <v>0.25</v>
      </c>
      <c r="AL125" s="7">
        <f>IF('Control Solar 1er Sem'!$N$8="si",IF(Isorreq!H10=-1,0,"si"),0)</f>
        <v>0</v>
      </c>
      <c r="AO125" s="39">
        <v>0.25</v>
      </c>
      <c r="AP125" s="38">
        <v>90</v>
      </c>
      <c r="AQ125" s="38">
        <f t="shared" si="114"/>
        <v>-8.4117319355326003</v>
      </c>
      <c r="AR125" s="38">
        <f t="shared" si="115"/>
        <v>105.42042609675256</v>
      </c>
      <c r="AT125">
        <f t="shared" si="116"/>
        <v>9.84117319355326</v>
      </c>
      <c r="AU125">
        <f t="shared" si="117"/>
        <v>-15.420426096752564</v>
      </c>
      <c r="AV125" s="7">
        <f t="shared" si="118"/>
        <v>9.4868975670639042</v>
      </c>
      <c r="AW125" s="7">
        <f t="shared" si="119"/>
        <v>-2.616766015055271</v>
      </c>
      <c r="AX125" s="39">
        <v>0.25</v>
      </c>
      <c r="AZ125" s="39">
        <v>0.25</v>
      </c>
      <c r="BA125" s="38">
        <v>90</v>
      </c>
      <c r="BB125" s="38">
        <f t="shared" si="120"/>
        <v>-4.0202279922027584</v>
      </c>
      <c r="BC125" s="38">
        <f t="shared" si="121"/>
        <v>97.260160733971048</v>
      </c>
      <c r="BE125">
        <f t="shared" si="122"/>
        <v>9.4020227992202763</v>
      </c>
      <c r="BF125">
        <f t="shared" si="123"/>
        <v>-7.2601607339710483</v>
      </c>
      <c r="BG125" s="7">
        <f t="shared" si="124"/>
        <v>9.3266425907843757</v>
      </c>
      <c r="BH125" s="7">
        <f t="shared" si="125"/>
        <v>-1.1881795743172854</v>
      </c>
      <c r="BI125" s="39">
        <v>0.25</v>
      </c>
      <c r="BK125" s="39">
        <v>0.25</v>
      </c>
      <c r="BL125" s="38">
        <v>90</v>
      </c>
      <c r="BM125" s="38">
        <f t="shared" si="126"/>
        <v>1.9510766725967672</v>
      </c>
      <c r="BN125" s="38">
        <f t="shared" si="127"/>
        <v>86.488170658290201</v>
      </c>
      <c r="BP125">
        <f t="shared" si="128"/>
        <v>8.804892332740323</v>
      </c>
      <c r="BQ125">
        <f t="shared" si="129"/>
        <v>3.5118293417097988</v>
      </c>
      <c r="BR125" s="7">
        <f t="shared" si="130"/>
        <v>8.7883582682606036</v>
      </c>
      <c r="BS125" s="7">
        <f t="shared" si="131"/>
        <v>0.53934028205281404</v>
      </c>
      <c r="BT125" s="39">
        <v>0.25</v>
      </c>
      <c r="BV125" s="39">
        <v>0.25</v>
      </c>
      <c r="BW125" s="38">
        <v>90</v>
      </c>
      <c r="BX125" s="38">
        <f t="shared" si="132"/>
        <v>7.1796941081018506</v>
      </c>
      <c r="BY125" s="38">
        <f t="shared" si="133"/>
        <v>76.908415468616056</v>
      </c>
      <c r="CA125">
        <f t="shared" si="134"/>
        <v>8.2820305891898158</v>
      </c>
      <c r="CB125">
        <f t="shared" si="135"/>
        <v>13.091584531383944</v>
      </c>
      <c r="CC125" s="7">
        <f t="shared" si="136"/>
        <v>8.0667743759958661</v>
      </c>
      <c r="CD125" s="7">
        <f t="shared" si="137"/>
        <v>1.8759482527650697</v>
      </c>
      <c r="CE125" s="39">
        <v>0.25</v>
      </c>
      <c r="CG125" s="39">
        <v>0.25</v>
      </c>
      <c r="CH125" s="38">
        <v>90</v>
      </c>
      <c r="CI125" s="38">
        <f t="shared" si="138"/>
        <v>10.508522694850116</v>
      </c>
      <c r="CJ125" s="38">
        <f t="shared" si="139"/>
        <v>70.516285917220941</v>
      </c>
      <c r="CL125">
        <f t="shared" si="140"/>
        <v>7.9491477305149889</v>
      </c>
      <c r="CM125">
        <f t="shared" si="141"/>
        <v>19.483714082779059</v>
      </c>
      <c r="CN125" s="7">
        <f t="shared" si="142"/>
        <v>7.4939503996922818</v>
      </c>
      <c r="CO125" s="7">
        <f t="shared" si="143"/>
        <v>2.6513500426204568</v>
      </c>
      <c r="CP125" s="39">
        <v>0.25</v>
      </c>
      <c r="CR125" s="39">
        <v>0.25</v>
      </c>
      <c r="CS125" s="38">
        <v>90</v>
      </c>
      <c r="CT125" s="38">
        <f t="shared" si="144"/>
        <v>11.152054967319165</v>
      </c>
      <c r="CU125" s="38">
        <f t="shared" si="145"/>
        <v>69.238766580276192</v>
      </c>
      <c r="CW125">
        <f t="shared" si="146"/>
        <v>7.8847945032680835</v>
      </c>
      <c r="CX125">
        <f t="shared" si="147"/>
        <v>20.761233419723808</v>
      </c>
      <c r="CY125" s="7">
        <f t="shared" si="148"/>
        <v>7.3728011230173927</v>
      </c>
      <c r="CZ125" s="7">
        <f t="shared" si="149"/>
        <v>2.7949575952418426</v>
      </c>
      <c r="DA125" s="39">
        <v>0.25</v>
      </c>
      <c r="DC125" s="39">
        <v>0.25</v>
      </c>
      <c r="DD125" s="38">
        <v>90</v>
      </c>
      <c r="DE125" s="38">
        <f t="shared" si="150"/>
        <v>-10.952670234464714</v>
      </c>
      <c r="DF125" s="38">
        <f t="shared" si="151"/>
        <v>110.36370911494541</v>
      </c>
      <c r="DH125">
        <f t="shared" si="152"/>
        <v>10.095267023446471</v>
      </c>
      <c r="DI125">
        <f t="shared" si="153"/>
        <v>-20.363709114945408</v>
      </c>
      <c r="DJ125" s="7">
        <f t="shared" si="154"/>
        <v>9.4643389348438767</v>
      </c>
      <c r="DK125" s="7">
        <f t="shared" si="155"/>
        <v>-3.5129339306460108</v>
      </c>
      <c r="DL125" s="39">
        <v>0.25</v>
      </c>
    </row>
    <row r="126" spans="1:116" x14ac:dyDescent="0.25">
      <c r="A126">
        <v>-3.4</v>
      </c>
      <c r="B126">
        <f t="shared" si="90"/>
        <v>8.3330666623998635</v>
      </c>
      <c r="C126">
        <f t="shared" si="91"/>
        <v>-8.3330666623998635</v>
      </c>
      <c r="D126">
        <f t="shared" si="108"/>
        <v>7.2415467960926687</v>
      </c>
      <c r="E126">
        <f t="shared" si="109"/>
        <v>-7.2415467960926687</v>
      </c>
      <c r="F126">
        <f t="shared" si="112"/>
        <v>6.1188234163113417</v>
      </c>
      <c r="G126">
        <f t="shared" si="113"/>
        <v>-6.1188234163113417</v>
      </c>
      <c r="H126">
        <f t="shared" si="88"/>
        <v>4.9436828377233102</v>
      </c>
      <c r="I126">
        <f t="shared" si="89"/>
        <v>-4.9436828377233102</v>
      </c>
      <c r="J126">
        <f t="shared" si="106"/>
        <v>3.6660605559646724</v>
      </c>
      <c r="K126">
        <f t="shared" si="107"/>
        <v>-3.6660605559646724</v>
      </c>
      <c r="L126">
        <f t="shared" si="110"/>
        <v>2.1071307505705481</v>
      </c>
      <c r="M126">
        <f t="shared" si="111"/>
        <v>-2.1071307505705481</v>
      </c>
      <c r="U126" s="7"/>
      <c r="AA126" s="55">
        <v>0.29166666666666702</v>
      </c>
      <c r="AB126" s="7">
        <f>IF('Control Solar 1er Sem'!$N$8="si",IF(Isorreq!C11=-1,0,"si"),0)</f>
        <v>0</v>
      </c>
      <c r="AC126" s="55">
        <v>0.29166666666666702</v>
      </c>
      <c r="AD126" s="7">
        <f>IF('Control Solar 1er Sem'!$N$8="si",IF(Isorreq!D11=-1,0,"si"),0)</f>
        <v>0</v>
      </c>
      <c r="AE126" s="55">
        <v>0.29166666666666702</v>
      </c>
      <c r="AF126" s="7">
        <f>IF('Control Solar 1er Sem'!$N$8="si",IF(Isorreq!E11=-1,0,"si"),0)</f>
        <v>0</v>
      </c>
      <c r="AG126" s="55">
        <v>0.29166666666666702</v>
      </c>
      <c r="AH126" s="7">
        <f>IF('Control Solar 1er Sem'!$N$8="si",IF(Isorreq!F11=-1,0,"si"),0)</f>
        <v>0</v>
      </c>
      <c r="AI126" s="55">
        <v>0.29166666666666702</v>
      </c>
      <c r="AJ126" s="7">
        <f>IF('Control Solar 1er Sem'!$N$8="si",IF(Isorreq!G11=-1,0,"si"),0)</f>
        <v>0</v>
      </c>
      <c r="AK126" s="55">
        <v>0.29166666666666702</v>
      </c>
      <c r="AL126" s="7" t="str">
        <f>IF('Control Solar 1er Sem'!$N$8="si",IF(Isorreq!H11=-1,0,"si"),0)</f>
        <v>si</v>
      </c>
      <c r="AO126" s="39">
        <v>0.29166666666666702</v>
      </c>
      <c r="AP126" s="38">
        <v>75</v>
      </c>
      <c r="AQ126" s="38">
        <f t="shared" si="114"/>
        <v>3.9806023907424599</v>
      </c>
      <c r="AR126" s="38">
        <f t="shared" si="115"/>
        <v>112.5771078319798</v>
      </c>
      <c r="AT126">
        <f t="shared" si="116"/>
        <v>8.6019397609257542</v>
      </c>
      <c r="AU126">
        <f t="shared" si="117"/>
        <v>-22.577107831979802</v>
      </c>
      <c r="AV126" s="7">
        <f t="shared" si="118"/>
        <v>7.9427188060969565</v>
      </c>
      <c r="AW126" s="7">
        <f t="shared" si="119"/>
        <v>-3.3025120163095778</v>
      </c>
      <c r="AX126" s="39">
        <v>0.29166666666666702</v>
      </c>
      <c r="AZ126" s="39">
        <v>0.29166666666666702</v>
      </c>
      <c r="BA126" s="38">
        <v>75</v>
      </c>
      <c r="BB126" s="38">
        <f t="shared" si="120"/>
        <v>8.8424843209748119</v>
      </c>
      <c r="BC126" s="38">
        <f t="shared" si="121"/>
        <v>104.68802822282147</v>
      </c>
      <c r="BE126">
        <f t="shared" si="122"/>
        <v>8.1157515679025192</v>
      </c>
      <c r="BF126">
        <f t="shared" si="123"/>
        <v>-14.688028222821472</v>
      </c>
      <c r="BG126" s="7">
        <f t="shared" si="124"/>
        <v>7.8505349227251555</v>
      </c>
      <c r="BH126" s="7">
        <f t="shared" si="125"/>
        <v>-2.0577961364005248</v>
      </c>
      <c r="BI126" s="39">
        <v>0.29166666666666702</v>
      </c>
      <c r="BK126" s="39">
        <v>0.29166666666666702</v>
      </c>
      <c r="BL126" s="38">
        <v>75</v>
      </c>
      <c r="BM126" s="38">
        <f t="shared" si="126"/>
        <v>15.051271742006362</v>
      </c>
      <c r="BN126" s="38">
        <f t="shared" si="127"/>
        <v>93.815787356682009</v>
      </c>
      <c r="BP126">
        <f t="shared" si="128"/>
        <v>7.494872825799364</v>
      </c>
      <c r="BQ126">
        <f t="shared" si="129"/>
        <v>-3.8157873566820086</v>
      </c>
      <c r="BR126" s="7">
        <f t="shared" si="130"/>
        <v>7.4782579609816162</v>
      </c>
      <c r="BS126" s="7">
        <f t="shared" si="131"/>
        <v>-0.49877504340216094</v>
      </c>
      <c r="BT126" s="39">
        <v>0.29166666666666702</v>
      </c>
      <c r="BV126" s="39">
        <v>0.29166666666666702</v>
      </c>
      <c r="BW126" s="38">
        <v>75</v>
      </c>
      <c r="BX126" s="38">
        <f t="shared" si="132"/>
        <v>20.094408212134532</v>
      </c>
      <c r="BY126" s="38">
        <f t="shared" si="133"/>
        <v>83.69300591455243</v>
      </c>
      <c r="CA126">
        <f t="shared" si="134"/>
        <v>6.9905591787865466</v>
      </c>
      <c r="CB126">
        <f t="shared" si="135"/>
        <v>6.3069940854475703</v>
      </c>
      <c r="CC126" s="7">
        <f t="shared" si="136"/>
        <v>6.9482491884736275</v>
      </c>
      <c r="CD126" s="7">
        <f t="shared" si="137"/>
        <v>0.76795237286723683</v>
      </c>
      <c r="CE126" s="39">
        <v>0.29166666666666702</v>
      </c>
      <c r="CG126" s="39">
        <v>0.29166666666666702</v>
      </c>
      <c r="CH126" s="38">
        <v>75</v>
      </c>
      <c r="CI126" s="38">
        <f t="shared" si="138"/>
        <v>23.081833865003894</v>
      </c>
      <c r="CJ126" s="38">
        <f t="shared" si="139"/>
        <v>76.718561537440678</v>
      </c>
      <c r="CL126">
        <f t="shared" si="140"/>
        <v>6.6918166134996104</v>
      </c>
      <c r="CM126">
        <f t="shared" si="141"/>
        <v>13.281438462559322</v>
      </c>
      <c r="CN126" s="7">
        <f t="shared" si="142"/>
        <v>6.5128329273581409</v>
      </c>
      <c r="CO126" s="7">
        <f t="shared" si="143"/>
        <v>1.5373408369743473</v>
      </c>
      <c r="CP126" s="39">
        <v>0.29166666666666702</v>
      </c>
      <c r="CR126" s="39">
        <v>0.29166666666666702</v>
      </c>
      <c r="CS126" s="38">
        <v>75</v>
      </c>
      <c r="CT126" s="38">
        <f t="shared" si="144"/>
        <v>23.63600454935963</v>
      </c>
      <c r="CU126" s="38">
        <f t="shared" si="145"/>
        <v>75.306075969479892</v>
      </c>
      <c r="CW126">
        <f t="shared" si="146"/>
        <v>6.6363995450640374</v>
      </c>
      <c r="CX126">
        <f t="shared" si="147"/>
        <v>14.693924030520108</v>
      </c>
      <c r="CY126" s="7">
        <f t="shared" si="148"/>
        <v>6.4193538234426155</v>
      </c>
      <c r="CZ126" s="7">
        <f t="shared" si="149"/>
        <v>1.6833583727711796</v>
      </c>
      <c r="DA126" s="39">
        <v>0.29166666666666702</v>
      </c>
      <c r="DC126" s="39">
        <v>0.29166666666666702</v>
      </c>
      <c r="DD126" s="38">
        <v>75</v>
      </c>
      <c r="DE126" s="38">
        <f t="shared" si="150"/>
        <v>1.0425877010819102</v>
      </c>
      <c r="DF126" s="38">
        <f t="shared" si="151"/>
        <v>117.22586297915178</v>
      </c>
      <c r="DH126">
        <f t="shared" si="152"/>
        <v>8.8957412298918097</v>
      </c>
      <c r="DI126">
        <f t="shared" si="153"/>
        <v>-27.225862979151785</v>
      </c>
      <c r="DJ126" s="7">
        <f t="shared" si="154"/>
        <v>7.9101816263441691</v>
      </c>
      <c r="DK126" s="7">
        <f t="shared" si="155"/>
        <v>-4.0697958999738741</v>
      </c>
      <c r="DL126" s="39">
        <v>0.29166666666666702</v>
      </c>
    </row>
    <row r="127" spans="1:116" x14ac:dyDescent="0.25">
      <c r="A127">
        <v>-3.5</v>
      </c>
      <c r="B127">
        <f t="shared" si="90"/>
        <v>8.2915619758885004</v>
      </c>
      <c r="C127">
        <f t="shared" si="91"/>
        <v>-8.2915619758885004</v>
      </c>
      <c r="D127">
        <f t="shared" si="108"/>
        <v>7.1937472849690796</v>
      </c>
      <c r="E127">
        <f t="shared" si="109"/>
        <v>-7.1937472849690796</v>
      </c>
      <c r="F127">
        <f t="shared" si="112"/>
        <v>6.0621778264910704</v>
      </c>
      <c r="G127">
        <f t="shared" si="113"/>
        <v>-6.0621778264910704</v>
      </c>
      <c r="H127">
        <f t="shared" si="88"/>
        <v>4.8733971724044816</v>
      </c>
      <c r="I127">
        <f t="shared" si="89"/>
        <v>-4.8733971724044816</v>
      </c>
      <c r="J127">
        <f t="shared" si="106"/>
        <v>3.5707142142714252</v>
      </c>
      <c r="K127">
        <f t="shared" si="107"/>
        <v>-3.5707142142714252</v>
      </c>
      <c r="L127">
        <f t="shared" si="110"/>
        <v>1.9364916731037085</v>
      </c>
      <c r="M127">
        <f t="shared" si="111"/>
        <v>-1.9364916731037085</v>
      </c>
      <c r="U127" s="7"/>
      <c r="AA127" s="55">
        <v>0.33333333333333298</v>
      </c>
      <c r="AB127" s="7">
        <f>IF('Control Solar 1er Sem'!$N$8="si",IF(Isorreq!C12=-1,0,"si"),0)</f>
        <v>0</v>
      </c>
      <c r="AC127" s="55">
        <v>0.33333333333333298</v>
      </c>
      <c r="AD127" s="7">
        <f>IF('Control Solar 1er Sem'!$N$8="si",IF(Isorreq!D12=-1,0,"si"),0)</f>
        <v>0</v>
      </c>
      <c r="AE127" s="55">
        <v>0.33333333333333298</v>
      </c>
      <c r="AF127" s="7">
        <f>IF('Control Solar 1er Sem'!$N$8="si",IF(Isorreq!E12=-1,0,"si"),0)</f>
        <v>0</v>
      </c>
      <c r="AG127" s="55">
        <v>0.33333333333333298</v>
      </c>
      <c r="AH127" s="7">
        <f>IF('Control Solar 1er Sem'!$N$8="si",IF(Isorreq!F12=-1,0,"si"),0)</f>
        <v>0</v>
      </c>
      <c r="AI127" s="55">
        <v>0.33333333333333298</v>
      </c>
      <c r="AJ127" s="7" t="str">
        <f>IF('Control Solar 1er Sem'!$N$8="si",IF(Isorreq!G12=-1,0,"si"),0)</f>
        <v>si</v>
      </c>
      <c r="AK127" s="55">
        <v>0.33333333333333298</v>
      </c>
      <c r="AL127" s="7" t="str">
        <f>IF('Control Solar 1er Sem'!$N$8="si",IF(Isorreq!H12=-1,0,"si"),0)</f>
        <v>si</v>
      </c>
      <c r="AO127" s="39">
        <v>0.33333333333333298</v>
      </c>
      <c r="AP127" s="38">
        <v>60</v>
      </c>
      <c r="AQ127" s="38">
        <f t="shared" si="114"/>
        <v>15.689450108647346</v>
      </c>
      <c r="AR127" s="38">
        <f t="shared" si="115"/>
        <v>120.92625519511847</v>
      </c>
      <c r="AT127">
        <f t="shared" si="116"/>
        <v>7.4310549891352657</v>
      </c>
      <c r="AU127">
        <f t="shared" si="117"/>
        <v>-30.926255195118472</v>
      </c>
      <c r="AV127" s="7">
        <f t="shared" si="118"/>
        <v>6.3745781167226729</v>
      </c>
      <c r="AW127" s="7">
        <f t="shared" si="119"/>
        <v>-3.819074768232817</v>
      </c>
      <c r="AX127" s="39">
        <v>0.33333333333333298</v>
      </c>
      <c r="AZ127" s="39">
        <v>0.33333333333333298</v>
      </c>
      <c r="BA127" s="38">
        <v>60</v>
      </c>
      <c r="BB127" s="38">
        <f t="shared" si="120"/>
        <v>21.241041758651765</v>
      </c>
      <c r="BC127" s="38">
        <f t="shared" si="121"/>
        <v>113.15708853016723</v>
      </c>
      <c r="BE127">
        <f t="shared" si="122"/>
        <v>6.8758958241348234</v>
      </c>
      <c r="BF127">
        <f t="shared" si="123"/>
        <v>-23.157088530167229</v>
      </c>
      <c r="BG127" s="7">
        <f t="shared" si="124"/>
        <v>6.3219057421889273</v>
      </c>
      <c r="BH127" s="7">
        <f t="shared" si="125"/>
        <v>-2.7039695211361687</v>
      </c>
      <c r="BI127" s="39">
        <v>0.33333333333333298</v>
      </c>
      <c r="BK127" s="39">
        <v>0.33333333333333298</v>
      </c>
      <c r="BL127" s="38">
        <v>60</v>
      </c>
      <c r="BM127" s="38">
        <f t="shared" si="126"/>
        <v>28.03064132064042</v>
      </c>
      <c r="BN127" s="38">
        <f t="shared" si="127"/>
        <v>101.84583698554694</v>
      </c>
      <c r="BP127">
        <f t="shared" si="128"/>
        <v>6.1969358679359576</v>
      </c>
      <c r="BQ127">
        <f t="shared" si="129"/>
        <v>-11.845836985546939</v>
      </c>
      <c r="BR127" s="7">
        <f t="shared" si="130"/>
        <v>6.0649626831945911</v>
      </c>
      <c r="BS127" s="7">
        <f t="shared" si="131"/>
        <v>-1.2721013335297824</v>
      </c>
      <c r="BT127" s="39">
        <v>0.33333333333333298</v>
      </c>
      <c r="BV127" s="39">
        <v>0.33333333333333298</v>
      </c>
      <c r="BW127" s="38">
        <v>60</v>
      </c>
      <c r="BX127" s="38">
        <f t="shared" si="132"/>
        <v>33.179114183303909</v>
      </c>
      <c r="BY127" s="38">
        <f t="shared" si="133"/>
        <v>90.692173646055892</v>
      </c>
      <c r="CA127">
        <f t="shared" si="134"/>
        <v>5.6820885816696087</v>
      </c>
      <c r="CB127">
        <f t="shared" si="135"/>
        <v>-0.69217364605589182</v>
      </c>
      <c r="CC127" s="7">
        <f t="shared" si="136"/>
        <v>5.681673954671612</v>
      </c>
      <c r="CD127" s="7">
        <f t="shared" si="137"/>
        <v>-6.8641989673889181E-2</v>
      </c>
      <c r="CE127" s="39">
        <v>0.33333333333333298</v>
      </c>
      <c r="CG127" s="39">
        <v>0.33333333333333298</v>
      </c>
      <c r="CH127" s="38">
        <v>60</v>
      </c>
      <c r="CI127" s="38">
        <f t="shared" si="138"/>
        <v>35.974200517974971</v>
      </c>
      <c r="CJ127" s="38">
        <f t="shared" si="139"/>
        <v>82.710211003016923</v>
      </c>
      <c r="CL127">
        <f t="shared" si="140"/>
        <v>5.4025799482025025</v>
      </c>
      <c r="CM127">
        <f t="shared" si="141"/>
        <v>7.2897889969830771</v>
      </c>
      <c r="CN127" s="7">
        <f t="shared" si="142"/>
        <v>5.3589112820436533</v>
      </c>
      <c r="CO127" s="7">
        <f t="shared" si="143"/>
        <v>0.68552167573681089</v>
      </c>
      <c r="CP127" s="39">
        <v>0.33333333333333298</v>
      </c>
      <c r="CR127" s="39">
        <v>0.33333333333333298</v>
      </c>
      <c r="CS127" s="38">
        <v>60</v>
      </c>
      <c r="CT127" s="38">
        <f t="shared" si="144"/>
        <v>36.462362723804389</v>
      </c>
      <c r="CU127" s="38">
        <f t="shared" si="145"/>
        <v>81.070349439875727</v>
      </c>
      <c r="CW127">
        <f t="shared" si="146"/>
        <v>5.3537637276195609</v>
      </c>
      <c r="CX127">
        <f t="shared" si="147"/>
        <v>8.9296505601242728</v>
      </c>
      <c r="CY127" s="7">
        <f t="shared" si="148"/>
        <v>5.2888743491714614</v>
      </c>
      <c r="CZ127" s="7">
        <f t="shared" si="149"/>
        <v>0.83101995755279379</v>
      </c>
      <c r="DA127" s="39">
        <v>0.33333333333333298</v>
      </c>
      <c r="DC127" s="39">
        <v>0.33333333333333298</v>
      </c>
      <c r="DD127" s="38">
        <v>60</v>
      </c>
      <c r="DE127" s="38">
        <f t="shared" si="150"/>
        <v>12.251377298592953</v>
      </c>
      <c r="DF127" s="38">
        <f t="shared" si="151"/>
        <v>125.34452095224731</v>
      </c>
      <c r="DH127">
        <f t="shared" si="152"/>
        <v>7.7748622701407051</v>
      </c>
      <c r="DI127">
        <f t="shared" si="153"/>
        <v>-35.344520952247308</v>
      </c>
      <c r="DJ127" s="7">
        <f t="shared" si="154"/>
        <v>6.3418643967501813</v>
      </c>
      <c r="DK127" s="7">
        <f t="shared" si="155"/>
        <v>-4.4976926632318861</v>
      </c>
      <c r="DL127" s="39">
        <v>0.33333333333333298</v>
      </c>
    </row>
    <row r="128" spans="1:116" x14ac:dyDescent="0.25">
      <c r="A128">
        <v>-3.6</v>
      </c>
      <c r="B128">
        <f t="shared" si="90"/>
        <v>8.2486362509205122</v>
      </c>
      <c r="C128">
        <f t="shared" si="91"/>
        <v>-8.2486362509205122</v>
      </c>
      <c r="D128">
        <f t="shared" si="108"/>
        <v>7.1442284397967004</v>
      </c>
      <c r="E128">
        <f t="shared" si="109"/>
        <v>-7.1442284397967004</v>
      </c>
      <c r="F128">
        <f t="shared" si="112"/>
        <v>6.0033324079214534</v>
      </c>
      <c r="G128">
        <f t="shared" si="113"/>
        <v>-6.0033324079214534</v>
      </c>
      <c r="H128">
        <f t="shared" ref="H128:H152" si="156">+SQRT(36-A128^2)</f>
        <v>4.8</v>
      </c>
      <c r="I128">
        <f t="shared" ref="I128:I152" si="157">-H128</f>
        <v>-4.8</v>
      </c>
      <c r="J128">
        <f t="shared" si="106"/>
        <v>3.4698703145794942</v>
      </c>
      <c r="K128">
        <f t="shared" si="107"/>
        <v>-3.4698703145794942</v>
      </c>
      <c r="L128">
        <f t="shared" si="110"/>
        <v>1.7435595774162691</v>
      </c>
      <c r="M128">
        <f t="shared" si="111"/>
        <v>-1.7435595774162691</v>
      </c>
      <c r="U128" s="7"/>
      <c r="AA128" s="55">
        <v>0.375</v>
      </c>
      <c r="AB128" s="7">
        <f>IF('Control Solar 1er Sem'!$N$8="si",IF(Isorreq!C13=-1,0,"si"),0)</f>
        <v>0</v>
      </c>
      <c r="AC128" s="55">
        <v>0.375</v>
      </c>
      <c r="AD128" s="7">
        <f>IF('Control Solar 1er Sem'!$N$8="si",IF(Isorreq!D13=-1,0,"si"),0)</f>
        <v>0</v>
      </c>
      <c r="AE128" s="55">
        <v>0.375</v>
      </c>
      <c r="AF128" s="7">
        <f>IF('Control Solar 1er Sem'!$N$8="si",IF(Isorreq!E13=-1,0,"si"),0)</f>
        <v>0</v>
      </c>
      <c r="AG128" s="55">
        <v>0.375</v>
      </c>
      <c r="AH128" s="7" t="str">
        <f>IF('Control Solar 1er Sem'!$N$8="si",IF(Isorreq!F13=-1,0,"si"),0)</f>
        <v>si</v>
      </c>
      <c r="AI128" s="55">
        <v>0.375</v>
      </c>
      <c r="AJ128" s="7" t="str">
        <f>IF('Control Solar 1er Sem'!$N$8="si",IF(Isorreq!G13=-1,0,"si"),0)</f>
        <v>si</v>
      </c>
      <c r="AK128" s="55">
        <v>0.375</v>
      </c>
      <c r="AL128" s="7" t="str">
        <f>IF('Control Solar 1er Sem'!$N$8="si",IF(Isorreq!H13=-1,0,"si"),0)</f>
        <v>si</v>
      </c>
      <c r="AO128" s="39">
        <v>0.375</v>
      </c>
      <c r="AP128" s="38">
        <v>45</v>
      </c>
      <c r="AQ128" s="38">
        <f t="shared" si="114"/>
        <v>26.297342212361595</v>
      </c>
      <c r="AR128" s="38">
        <f t="shared" si="115"/>
        <v>131.22199491730089</v>
      </c>
      <c r="AT128">
        <f t="shared" si="116"/>
        <v>6.3702657787638408</v>
      </c>
      <c r="AU128">
        <f t="shared" si="117"/>
        <v>-41.22199491730089</v>
      </c>
      <c r="AV128" s="7">
        <f t="shared" si="118"/>
        <v>4.7914718059899393</v>
      </c>
      <c r="AW128" s="7">
        <f t="shared" si="119"/>
        <v>-4.1978666039421961</v>
      </c>
      <c r="AX128" s="39">
        <v>0.375</v>
      </c>
      <c r="AZ128" s="39">
        <v>0.375</v>
      </c>
      <c r="BA128" s="38">
        <v>45</v>
      </c>
      <c r="BB128" s="38">
        <f t="shared" si="120"/>
        <v>32.778902474630826</v>
      </c>
      <c r="BC128" s="38">
        <f t="shared" si="121"/>
        <v>123.67138966374844</v>
      </c>
      <c r="BE128">
        <f t="shared" si="122"/>
        <v>5.7221097525369178</v>
      </c>
      <c r="BF128">
        <f t="shared" si="123"/>
        <v>-33.671389663748442</v>
      </c>
      <c r="BG128" s="7">
        <f t="shared" si="124"/>
        <v>4.7621175617680649</v>
      </c>
      <c r="BH128" s="7">
        <f t="shared" si="125"/>
        <v>-3.1725031675284874</v>
      </c>
      <c r="BI128" s="39">
        <v>0.375</v>
      </c>
      <c r="BK128" s="39">
        <v>0.375</v>
      </c>
      <c r="BL128" s="38">
        <v>45</v>
      </c>
      <c r="BM128" s="38">
        <f t="shared" si="126"/>
        <v>40.579187314260722</v>
      </c>
      <c r="BN128" s="38">
        <f t="shared" si="127"/>
        <v>111.76387408261022</v>
      </c>
      <c r="BP128">
        <f t="shared" si="128"/>
        <v>4.9420812685739275</v>
      </c>
      <c r="BQ128">
        <f t="shared" si="129"/>
        <v>-21.763874082610215</v>
      </c>
      <c r="BR128" s="7">
        <f t="shared" si="130"/>
        <v>4.5898087062962007</v>
      </c>
      <c r="BS128" s="7">
        <f t="shared" si="131"/>
        <v>-1.8324364394971171</v>
      </c>
      <c r="BT128" s="39">
        <v>0.375</v>
      </c>
      <c r="BV128" s="39">
        <v>0.375</v>
      </c>
      <c r="BW128" s="38">
        <v>45</v>
      </c>
      <c r="BX128" s="38">
        <f t="shared" si="132"/>
        <v>46.234000924702507</v>
      </c>
      <c r="BY128" s="38">
        <f t="shared" si="133"/>
        <v>98.931073312987834</v>
      </c>
      <c r="CA128">
        <f t="shared" si="134"/>
        <v>4.3765999075297497</v>
      </c>
      <c r="CB128">
        <f t="shared" si="135"/>
        <v>-8.9310733129878344</v>
      </c>
      <c r="CC128" s="7">
        <f t="shared" si="136"/>
        <v>4.3235372056031043</v>
      </c>
      <c r="CD128" s="7">
        <f t="shared" si="137"/>
        <v>-0.67945035312016167</v>
      </c>
      <c r="CE128" s="39">
        <v>0.375</v>
      </c>
      <c r="CG128" s="39">
        <v>0.375</v>
      </c>
      <c r="CH128" s="38">
        <v>45</v>
      </c>
      <c r="CI128" s="38">
        <f t="shared" si="138"/>
        <v>49.04228910837859</v>
      </c>
      <c r="CJ128" s="38">
        <f t="shared" si="139"/>
        <v>89.179775376606813</v>
      </c>
      <c r="CL128">
        <f t="shared" si="140"/>
        <v>4.0957710891621408</v>
      </c>
      <c r="CM128">
        <f t="shared" si="141"/>
        <v>0.82022462339318736</v>
      </c>
      <c r="CN128" s="7">
        <f t="shared" si="142"/>
        <v>4.0953514088422205</v>
      </c>
      <c r="CO128" s="7">
        <f t="shared" si="143"/>
        <v>5.8631501008162723E-2</v>
      </c>
      <c r="CP128" s="39">
        <v>0.375</v>
      </c>
      <c r="CR128" s="39">
        <v>0.375</v>
      </c>
      <c r="CS128" s="38">
        <v>45</v>
      </c>
      <c r="CT128" s="38">
        <f t="shared" si="144"/>
        <v>49.494624805188728</v>
      </c>
      <c r="CU128" s="38">
        <f t="shared" si="145"/>
        <v>87.132774729162193</v>
      </c>
      <c r="CW128">
        <f t="shared" si="146"/>
        <v>4.0505375194811268</v>
      </c>
      <c r="CX128">
        <f t="shared" si="147"/>
        <v>2.8672252708378068</v>
      </c>
      <c r="CY128" s="7">
        <f t="shared" si="148"/>
        <v>4.0454667905311457</v>
      </c>
      <c r="CZ128" s="7">
        <f t="shared" si="149"/>
        <v>0.20261451930685959</v>
      </c>
      <c r="DA128" s="39">
        <v>0.375</v>
      </c>
      <c r="DC128" s="39">
        <v>0.375</v>
      </c>
      <c r="DD128" s="38">
        <v>45</v>
      </c>
      <c r="DE128" s="38">
        <f t="shared" si="150"/>
        <v>22.259218825541542</v>
      </c>
      <c r="DF128" s="38">
        <f t="shared" si="151"/>
        <v>135.31204694577815</v>
      </c>
      <c r="DH128">
        <f t="shared" si="152"/>
        <v>6.7740781174458462</v>
      </c>
      <c r="DI128">
        <f t="shared" si="153"/>
        <v>-45.31204694577815</v>
      </c>
      <c r="DJ128" s="7">
        <f t="shared" si="154"/>
        <v>4.763838160119902</v>
      </c>
      <c r="DK128" s="7">
        <f t="shared" si="155"/>
        <v>-4.8160129075246552</v>
      </c>
      <c r="DL128" s="39">
        <v>0.375</v>
      </c>
    </row>
    <row r="129" spans="1:116" x14ac:dyDescent="0.25">
      <c r="A129">
        <v>-3.7</v>
      </c>
      <c r="B129">
        <f t="shared" si="90"/>
        <v>8.2042671823874684</v>
      </c>
      <c r="C129">
        <f t="shared" si="91"/>
        <v>-8.2042671823874684</v>
      </c>
      <c r="D129">
        <f t="shared" si="108"/>
        <v>7.0929542505221335</v>
      </c>
      <c r="E129">
        <f t="shared" si="109"/>
        <v>-7.0929542505221335</v>
      </c>
      <c r="F129">
        <f t="shared" si="112"/>
        <v>5.9422218066982317</v>
      </c>
      <c r="G129">
        <f t="shared" si="113"/>
        <v>-5.9422218066982317</v>
      </c>
      <c r="H129">
        <f t="shared" si="156"/>
        <v>4.7233462714478174</v>
      </c>
      <c r="I129">
        <f t="shared" si="157"/>
        <v>-4.7233462714478174</v>
      </c>
      <c r="J129">
        <f t="shared" si="106"/>
        <v>3.363034344160047</v>
      </c>
      <c r="K129">
        <f t="shared" si="107"/>
        <v>-3.363034344160047</v>
      </c>
      <c r="L129">
        <f t="shared" si="110"/>
        <v>1.5198684153570658</v>
      </c>
      <c r="M129">
        <f t="shared" si="111"/>
        <v>-1.5198684153570658</v>
      </c>
      <c r="U129" s="7"/>
      <c r="AA129" s="55">
        <v>0.41666666666666602</v>
      </c>
      <c r="AB129" s="7">
        <f>IF('Control Solar 1er Sem'!$N$8="si",IF(Isorreq!C14=-1,0,"si"),0)</f>
        <v>0</v>
      </c>
      <c r="AC129" s="55">
        <v>0.41666666666666602</v>
      </c>
      <c r="AD129" s="7">
        <f>IF('Control Solar 1er Sem'!$N$8="si",IF(Isorreq!D14=-1,0,"si"),0)</f>
        <v>0</v>
      </c>
      <c r="AE129" s="55">
        <v>0.41666666666666602</v>
      </c>
      <c r="AF129" s="7" t="str">
        <f>IF('Control Solar 1er Sem'!$N$8="si",IF(Isorreq!E14=-1,0,"si"),0)</f>
        <v>si</v>
      </c>
      <c r="AG129" s="55">
        <v>0.41666666666666602</v>
      </c>
      <c r="AH129" s="7" t="str">
        <f>IF('Control Solar 1er Sem'!$N$8="si",IF(Isorreq!F14=-1,0,"si"),0)</f>
        <v>si</v>
      </c>
      <c r="AI129" s="55">
        <v>0.41666666666666602</v>
      </c>
      <c r="AJ129" s="7" t="str">
        <f>IF('Control Solar 1er Sem'!$N$8="si",IF(Isorreq!G14=-1,0,"si"),0)</f>
        <v>si</v>
      </c>
      <c r="AK129" s="55">
        <v>0.41666666666666602</v>
      </c>
      <c r="AL129" s="7" t="str">
        <f>IF('Control Solar 1er Sem'!$N$8="si",IF(Isorreq!H14=-1,0,"si"),0)</f>
        <v>si</v>
      </c>
      <c r="AO129" s="39">
        <v>0.41666666666666602</v>
      </c>
      <c r="AP129" s="38">
        <v>30</v>
      </c>
      <c r="AQ129" s="38">
        <f t="shared" si="114"/>
        <v>35.132915612826856</v>
      </c>
      <c r="AR129" s="38">
        <f t="shared" si="115"/>
        <v>144.33588641082156</v>
      </c>
      <c r="AT129">
        <f t="shared" si="116"/>
        <v>5.4867084387173142</v>
      </c>
      <c r="AU129">
        <f t="shared" si="117"/>
        <v>-54.335886410821558</v>
      </c>
      <c r="AV129" s="7">
        <f t="shared" si="118"/>
        <v>3.1989291170115344</v>
      </c>
      <c r="AW129" s="7">
        <f t="shared" si="119"/>
        <v>-4.4576700187236371</v>
      </c>
      <c r="AX129" s="39">
        <v>0.41666666666666602</v>
      </c>
      <c r="AZ129" s="39">
        <v>0.41666666666666602</v>
      </c>
      <c r="BA129" s="38">
        <v>30</v>
      </c>
      <c r="BB129" s="38">
        <f t="shared" si="120"/>
        <v>42.752422426604682</v>
      </c>
      <c r="BC129" s="38">
        <f t="shared" si="121"/>
        <v>137.63858177436344</v>
      </c>
      <c r="BE129">
        <f t="shared" si="122"/>
        <v>4.7247577573395318</v>
      </c>
      <c r="BF129">
        <f t="shared" si="123"/>
        <v>-47.638581774363445</v>
      </c>
      <c r="BG129" s="7">
        <f t="shared" si="124"/>
        <v>3.1835652798692924</v>
      </c>
      <c r="BH129" s="7">
        <f t="shared" si="125"/>
        <v>-3.4911671364102341</v>
      </c>
      <c r="BI129" s="39">
        <v>0.41666666666666602</v>
      </c>
      <c r="BK129" s="39">
        <v>0.41666666666666602</v>
      </c>
      <c r="BL129" s="38">
        <v>30</v>
      </c>
      <c r="BM129" s="38">
        <f t="shared" si="126"/>
        <v>52.096153918797427</v>
      </c>
      <c r="BN129" s="38">
        <f t="shared" si="127"/>
        <v>125.71951693085082</v>
      </c>
      <c r="BP129">
        <f t="shared" si="128"/>
        <v>3.7903846081202577</v>
      </c>
      <c r="BQ129">
        <f t="shared" si="129"/>
        <v>-35.719516930850816</v>
      </c>
      <c r="BR129" s="7">
        <f t="shared" si="130"/>
        <v>3.077355290895408</v>
      </c>
      <c r="BS129" s="7">
        <f t="shared" si="131"/>
        <v>-2.2128940080973147</v>
      </c>
      <c r="BT129" s="39">
        <v>0.41666666666666602</v>
      </c>
      <c r="BV129" s="39">
        <v>0.41666666666666602</v>
      </c>
      <c r="BW129" s="38">
        <v>30</v>
      </c>
      <c r="BX129" s="38">
        <f t="shared" si="132"/>
        <v>58.913198956609463</v>
      </c>
      <c r="BY129" s="38">
        <f t="shared" si="133"/>
        <v>110.64261236918068</v>
      </c>
      <c r="CA129">
        <f t="shared" si="134"/>
        <v>3.1086801043390535</v>
      </c>
      <c r="CB129">
        <f t="shared" si="135"/>
        <v>-20.642612369180682</v>
      </c>
      <c r="CC129" s="7">
        <f t="shared" si="136"/>
        <v>2.9090953902894121</v>
      </c>
      <c r="CD129" s="7">
        <f t="shared" si="137"/>
        <v>-1.0959270054663139</v>
      </c>
      <c r="CE129" s="39">
        <v>0.41666666666666602</v>
      </c>
      <c r="CG129" s="39">
        <v>0.41666666666666602</v>
      </c>
      <c r="CH129" s="38">
        <v>30</v>
      </c>
      <c r="CI129" s="38">
        <f t="shared" si="138"/>
        <v>62.120147714715685</v>
      </c>
      <c r="CJ129" s="38">
        <f t="shared" si="139"/>
        <v>97.645217635946267</v>
      </c>
      <c r="CL129">
        <f t="shared" si="140"/>
        <v>2.7879852285284317</v>
      </c>
      <c r="CM129">
        <f t="shared" si="141"/>
        <v>-7.6452176359462669</v>
      </c>
      <c r="CN129" s="7">
        <f t="shared" si="142"/>
        <v>2.7632024243694069</v>
      </c>
      <c r="CO129" s="7">
        <f t="shared" si="143"/>
        <v>-0.37090968772972588</v>
      </c>
      <c r="CP129" s="39">
        <v>0.41666666666666602</v>
      </c>
      <c r="CR129" s="39">
        <v>0.41666666666666602</v>
      </c>
      <c r="CS129" s="38">
        <v>30</v>
      </c>
      <c r="CT129" s="38">
        <f t="shared" si="144"/>
        <v>62.593106094089499</v>
      </c>
      <c r="CU129" s="38">
        <f t="shared" si="145"/>
        <v>94.781580028246267</v>
      </c>
      <c r="CW129">
        <f t="shared" si="146"/>
        <v>2.7406893905910499</v>
      </c>
      <c r="CX129">
        <f t="shared" si="147"/>
        <v>-4.7815800282462675</v>
      </c>
      <c r="CY129" s="7">
        <f t="shared" si="148"/>
        <v>2.731150994716121</v>
      </c>
      <c r="CZ129" s="7">
        <f t="shared" si="149"/>
        <v>-0.22845695384356915</v>
      </c>
      <c r="DA129" s="39">
        <v>0.41666666666666602</v>
      </c>
      <c r="DC129" s="39">
        <v>0.41666666666666602</v>
      </c>
      <c r="DD129" s="38">
        <v>30</v>
      </c>
      <c r="DE129" s="38">
        <f t="shared" si="150"/>
        <v>30.439709654260056</v>
      </c>
      <c r="DF129" s="38">
        <f t="shared" si="151"/>
        <v>147.73819825211658</v>
      </c>
      <c r="DH129">
        <f t="shared" si="152"/>
        <v>5.9560290345739944</v>
      </c>
      <c r="DI129">
        <f t="shared" si="153"/>
        <v>-57.738198252116575</v>
      </c>
      <c r="DJ129" s="7">
        <f t="shared" si="154"/>
        <v>3.1792610376260351</v>
      </c>
      <c r="DK129" s="7">
        <f t="shared" si="155"/>
        <v>-5.036524706116456</v>
      </c>
      <c r="DL129" s="39">
        <v>0.41666666666666602</v>
      </c>
    </row>
    <row r="130" spans="1:116" x14ac:dyDescent="0.25">
      <c r="A130">
        <v>-3.8</v>
      </c>
      <c r="B130">
        <f t="shared" ref="B130:B161" si="158">+SQRT(81-A130^2)</f>
        <v>8.1584312217484563</v>
      </c>
      <c r="C130">
        <f t="shared" ref="C130:C161" si="159">-B130</f>
        <v>-8.1584312217484563</v>
      </c>
      <c r="D130">
        <f t="shared" si="108"/>
        <v>7.0398863627192165</v>
      </c>
      <c r="E130">
        <f t="shared" si="109"/>
        <v>-7.0398863627192165</v>
      </c>
      <c r="F130">
        <f t="shared" si="112"/>
        <v>5.8787753826796276</v>
      </c>
      <c r="G130">
        <f t="shared" si="113"/>
        <v>-5.8787753826796276</v>
      </c>
      <c r="H130">
        <f t="shared" si="156"/>
        <v>4.6432747064975599</v>
      </c>
      <c r="I130">
        <f t="shared" si="157"/>
        <v>-4.6432747064975599</v>
      </c>
      <c r="J130">
        <f t="shared" si="106"/>
        <v>3.2496153618543842</v>
      </c>
      <c r="K130">
        <f t="shared" si="107"/>
        <v>-3.2496153618543842</v>
      </c>
      <c r="L130">
        <f t="shared" si="110"/>
        <v>1.2489995996796799</v>
      </c>
      <c r="M130">
        <f t="shared" si="111"/>
        <v>-1.2489995996796799</v>
      </c>
      <c r="U130" s="7"/>
      <c r="AA130" s="55">
        <v>0.45833333333333298</v>
      </c>
      <c r="AB130" s="7">
        <f>IF('Control Solar 1er Sem'!$N$8="si",IF(Isorreq!C15=-1,0,"si"),0)</f>
        <v>0</v>
      </c>
      <c r="AC130" s="55">
        <v>0.45833333333333298</v>
      </c>
      <c r="AD130" s="7" t="str">
        <f>IF('Control Solar 1er Sem'!$N$8="si",IF(Isorreq!D15=-1,0,"si"),0)</f>
        <v>si</v>
      </c>
      <c r="AE130" s="55">
        <v>0.45833333333333298</v>
      </c>
      <c r="AF130" s="7" t="str">
        <f>IF('Control Solar 1er Sem'!$N$8="si",IF(Isorreq!E15=-1,0,"si"),0)</f>
        <v>si</v>
      </c>
      <c r="AG130" s="55">
        <v>0.45833333333333298</v>
      </c>
      <c r="AH130" s="7" t="str">
        <f>IF('Control Solar 1er Sem'!$N$8="si",IF(Isorreq!F15=-1,0,"si"),0)</f>
        <v>si</v>
      </c>
      <c r="AI130" s="55">
        <v>0.45833333333333298</v>
      </c>
      <c r="AJ130" s="7" t="str">
        <f>IF('Control Solar 1er Sem'!$N$8="si",IF(Isorreq!G15=-1,0,"si"),0)</f>
        <v>si</v>
      </c>
      <c r="AK130" s="55">
        <v>0.45833333333333298</v>
      </c>
      <c r="AL130" s="7" t="str">
        <f>IF('Control Solar 1er Sem'!$N$8="si",IF(Isorreq!H15=-1,0,"si"),0)</f>
        <v>si</v>
      </c>
      <c r="AO130" s="39">
        <v>0.45833333333333298</v>
      </c>
      <c r="AP130" s="38">
        <v>15</v>
      </c>
      <c r="AQ130" s="38">
        <f t="shared" si="114"/>
        <v>41.203386965463082</v>
      </c>
      <c r="AR130" s="38">
        <f t="shared" si="115"/>
        <v>160.84947792309023</v>
      </c>
      <c r="AT130">
        <f t="shared" si="116"/>
        <v>4.879661303453692</v>
      </c>
      <c r="AU130">
        <f t="shared" si="117"/>
        <v>-70.849477923090234</v>
      </c>
      <c r="AV130" s="7">
        <f t="shared" si="118"/>
        <v>1.6007777970337362</v>
      </c>
      <c r="AW130" s="7">
        <f t="shared" si="119"/>
        <v>-4.6096209042552729</v>
      </c>
      <c r="AX130" s="39">
        <v>0.45833333333333298</v>
      </c>
      <c r="AZ130" s="39">
        <v>0.45833333333333298</v>
      </c>
      <c r="BA130" s="38">
        <v>15</v>
      </c>
      <c r="BB130" s="38">
        <f t="shared" si="120"/>
        <v>49.927090631227195</v>
      </c>
      <c r="BC130" s="38">
        <f t="shared" si="121"/>
        <v>156.55697888534539</v>
      </c>
      <c r="BE130">
        <f t="shared" si="122"/>
        <v>4.0072909368772809</v>
      </c>
      <c r="BF130">
        <f t="shared" si="123"/>
        <v>-66.556978885345387</v>
      </c>
      <c r="BG130" s="7">
        <f t="shared" si="124"/>
        <v>1.5942481393866368</v>
      </c>
      <c r="BH130" s="7">
        <f t="shared" si="125"/>
        <v>-3.6765137729703996</v>
      </c>
      <c r="BI130" s="39">
        <v>0.45833333333333298</v>
      </c>
      <c r="BK130" s="39">
        <v>0.45833333333333298</v>
      </c>
      <c r="BL130" s="38">
        <v>15</v>
      </c>
      <c r="BM130" s="38">
        <f t="shared" si="126"/>
        <v>61.179653601104718</v>
      </c>
      <c r="BN130" s="38">
        <f t="shared" si="127"/>
        <v>147.61688935411229</v>
      </c>
      <c r="BP130">
        <f t="shared" si="128"/>
        <v>2.882034639889528</v>
      </c>
      <c r="BQ130">
        <f t="shared" si="129"/>
        <v>-57.616889354112288</v>
      </c>
      <c r="BR130" s="7">
        <f t="shared" si="130"/>
        <v>1.5435540171470266</v>
      </c>
      <c r="BS130" s="7">
        <f t="shared" si="131"/>
        <v>-2.4338374353420646</v>
      </c>
      <c r="BT130" s="39">
        <v>0.45833333333333298</v>
      </c>
      <c r="BV130" s="39">
        <v>0.45833333333333298</v>
      </c>
      <c r="BW130" s="38">
        <v>15</v>
      </c>
      <c r="BX130" s="38">
        <f t="shared" si="132"/>
        <v>70.179120424793908</v>
      </c>
      <c r="BY130" s="38">
        <f t="shared" si="133"/>
        <v>132.47024428392857</v>
      </c>
      <c r="CA130">
        <f t="shared" si="134"/>
        <v>1.9820879575206094</v>
      </c>
      <c r="CB130">
        <f t="shared" si="135"/>
        <v>-42.470244283928565</v>
      </c>
      <c r="CC130" s="7">
        <f t="shared" si="136"/>
        <v>1.4620437645376918</v>
      </c>
      <c r="CD130" s="7">
        <f t="shared" si="137"/>
        <v>-1.3383201044311768</v>
      </c>
      <c r="CE130" s="39">
        <v>0.45833333333333298</v>
      </c>
      <c r="CG130" s="39">
        <v>0.45833333333333298</v>
      </c>
      <c r="CH130" s="38">
        <v>15</v>
      </c>
      <c r="CI130" s="38">
        <f t="shared" si="138"/>
        <v>74.765245687919915</v>
      </c>
      <c r="CJ130" s="38">
        <f t="shared" si="139"/>
        <v>114.0806639695666</v>
      </c>
      <c r="CL130">
        <f t="shared" si="140"/>
        <v>1.5234754312080083</v>
      </c>
      <c r="CM130">
        <f t="shared" si="141"/>
        <v>-24.080663969566601</v>
      </c>
      <c r="CN130" s="7">
        <f t="shared" si="142"/>
        <v>1.3908903010032683</v>
      </c>
      <c r="CO130" s="7">
        <f t="shared" si="143"/>
        <v>-0.62161206557584159</v>
      </c>
      <c r="CP130" s="39">
        <v>0.45833333333333298</v>
      </c>
      <c r="CR130" s="39">
        <v>0.45833333333333298</v>
      </c>
      <c r="CS130" s="38">
        <v>15</v>
      </c>
      <c r="CT130" s="38">
        <f t="shared" si="144"/>
        <v>75.433504705998018</v>
      </c>
      <c r="CU130" s="38">
        <f t="shared" si="145"/>
        <v>109.24906860936896</v>
      </c>
      <c r="CW130">
        <f t="shared" si="146"/>
        <v>1.456649529400198</v>
      </c>
      <c r="CX130">
        <f t="shared" si="147"/>
        <v>-19.249068609368962</v>
      </c>
      <c r="CY130" s="7">
        <f t="shared" si="148"/>
        <v>1.3752146338471711</v>
      </c>
      <c r="CZ130" s="7">
        <f t="shared" si="149"/>
        <v>-0.48022136807352639</v>
      </c>
      <c r="DA130" s="39">
        <v>0.45833333333333298</v>
      </c>
      <c r="DC130" s="39">
        <v>0.45833333333333298</v>
      </c>
      <c r="DD130" s="38">
        <v>15</v>
      </c>
      <c r="DE130" s="38">
        <f t="shared" si="150"/>
        <v>35.943781380086349</v>
      </c>
      <c r="DF130" s="38">
        <f t="shared" si="151"/>
        <v>162.88737099929463</v>
      </c>
      <c r="DH130">
        <f t="shared" si="152"/>
        <v>5.4056218619913654</v>
      </c>
      <c r="DI130">
        <f t="shared" si="153"/>
        <v>-72.887370999294632</v>
      </c>
      <c r="DJ130" s="7">
        <f t="shared" si="154"/>
        <v>1.5906095938181593</v>
      </c>
      <c r="DK130" s="7">
        <f t="shared" si="155"/>
        <v>-5.1663051434165812</v>
      </c>
      <c r="DL130" s="39">
        <v>0.45833333333333298</v>
      </c>
    </row>
    <row r="131" spans="1:116" x14ac:dyDescent="0.25">
      <c r="A131">
        <v>-3.9</v>
      </c>
      <c r="B131">
        <f t="shared" si="158"/>
        <v>8.1111035007574657</v>
      </c>
      <c r="C131">
        <f t="shared" si="159"/>
        <v>-8.1111035007574657</v>
      </c>
      <c r="D131">
        <f t="shared" si="108"/>
        <v>6.9849838940401288</v>
      </c>
      <c r="E131">
        <f t="shared" si="109"/>
        <v>-6.9849838940401288</v>
      </c>
      <c r="F131">
        <f t="shared" si="112"/>
        <v>5.8129166517334481</v>
      </c>
      <c r="G131">
        <f t="shared" si="113"/>
        <v>-5.8129166517334481</v>
      </c>
      <c r="H131">
        <f t="shared" si="156"/>
        <v>4.5596052460711993</v>
      </c>
      <c r="I131">
        <f t="shared" si="157"/>
        <v>-4.5596052460711993</v>
      </c>
      <c r="J131">
        <f t="shared" si="106"/>
        <v>3.1288975694324033</v>
      </c>
      <c r="K131">
        <f t="shared" si="107"/>
        <v>-3.1288975694324033</v>
      </c>
      <c r="L131">
        <f t="shared" si="110"/>
        <v>0.88881944173155936</v>
      </c>
      <c r="M131">
        <f t="shared" si="111"/>
        <v>-0.88881944173155936</v>
      </c>
      <c r="U131" s="7"/>
      <c r="AA131" s="55">
        <v>0.5</v>
      </c>
      <c r="AB131" s="7" t="str">
        <f>IF('Control Solar 1er Sem'!$N$8="si",IF(Isorreq!C16=-1,0,"si"),0)</f>
        <v>si</v>
      </c>
      <c r="AC131" s="55">
        <v>0.5</v>
      </c>
      <c r="AD131" s="7" t="str">
        <f>IF('Control Solar 1er Sem'!$N$8="si",IF(Isorreq!D16=-1,0,"si"),0)</f>
        <v>si</v>
      </c>
      <c r="AE131" s="55">
        <v>0.5</v>
      </c>
      <c r="AF131" s="7" t="str">
        <f>IF('Control Solar 1er Sem'!$N$8="si",IF(Isorreq!E16=-1,0,"si"),0)</f>
        <v>si</v>
      </c>
      <c r="AG131" s="55">
        <v>0.5</v>
      </c>
      <c r="AH131" s="7" t="str">
        <f>IF('Control Solar 1er Sem'!$N$8="si",IF(Isorreq!F16=-1,0,"si"),0)</f>
        <v>si</v>
      </c>
      <c r="AI131" s="55">
        <v>0.5</v>
      </c>
      <c r="AJ131" s="7" t="str">
        <f>IF('Control Solar 1er Sem'!$N$8="si",IF(Isorreq!G16=-1,0,"si"),0)</f>
        <v>si</v>
      </c>
      <c r="AK131" s="55">
        <v>0.5</v>
      </c>
      <c r="AL131" s="7" t="str">
        <f>IF('Control Solar 1er Sem'!$N$8="si",IF(Isorreq!H16=-1,0,"si"),0)</f>
        <v>si</v>
      </c>
      <c r="AO131" s="39">
        <v>0.5</v>
      </c>
      <c r="AP131" s="38">
        <v>0</v>
      </c>
      <c r="AQ131" s="38">
        <f t="shared" si="114"/>
        <v>43.40350454351578</v>
      </c>
      <c r="AR131" s="38">
        <f>+IF(AR117&gt;=-19,180,0)</f>
        <v>180</v>
      </c>
      <c r="AT131">
        <f t="shared" si="116"/>
        <v>4.6596495456484224</v>
      </c>
      <c r="AU131">
        <f t="shared" si="117"/>
        <v>-90</v>
      </c>
      <c r="AV131" s="7">
        <f t="shared" si="118"/>
        <v>2.8543812206334089E-16</v>
      </c>
      <c r="AW131" s="7">
        <f t="shared" si="119"/>
        <v>-4.6596495456484224</v>
      </c>
      <c r="AX131" s="39">
        <v>0.5</v>
      </c>
      <c r="AZ131" s="39">
        <v>0.5</v>
      </c>
      <c r="BA131" s="38">
        <v>0</v>
      </c>
      <c r="BB131" s="38">
        <f t="shared" si="120"/>
        <v>52.626294934964093</v>
      </c>
      <c r="BC131" s="38">
        <f>+IF(BC117&gt;=-11,180,0)</f>
        <v>180</v>
      </c>
      <c r="BE131">
        <f t="shared" si="122"/>
        <v>3.7373705065035905</v>
      </c>
      <c r="BF131">
        <f t="shared" si="123"/>
        <v>-90</v>
      </c>
      <c r="BG131" s="7">
        <f t="shared" si="124"/>
        <v>2.2894168507319601E-16</v>
      </c>
      <c r="BH131" s="7">
        <f t="shared" si="125"/>
        <v>-3.7373705065035905</v>
      </c>
      <c r="BI131" s="39">
        <v>0.5</v>
      </c>
      <c r="BK131" s="39">
        <v>0.5</v>
      </c>
      <c r="BL131" s="38">
        <v>0</v>
      </c>
      <c r="BM131" s="38">
        <f t="shared" si="126"/>
        <v>64.936824231055681</v>
      </c>
      <c r="BN131" s="38">
        <f>+IF(BN117&gt;=0,180,0)</f>
        <v>180</v>
      </c>
      <c r="BP131">
        <f t="shared" si="128"/>
        <v>2.5063175768944319</v>
      </c>
      <c r="BQ131">
        <f t="shared" si="129"/>
        <v>-90</v>
      </c>
      <c r="BR131" s="7">
        <f t="shared" si="130"/>
        <v>1.5353055534212649E-16</v>
      </c>
      <c r="BS131" s="7">
        <f t="shared" si="131"/>
        <v>-2.5063175768944319</v>
      </c>
      <c r="BT131" s="39">
        <v>0.5</v>
      </c>
      <c r="BV131" s="39">
        <v>0.5</v>
      </c>
      <c r="BW131" s="38">
        <v>0</v>
      </c>
      <c r="BX131" s="38">
        <f t="shared" si="132"/>
        <v>75.820887455874669</v>
      </c>
      <c r="BY131" s="38">
        <f>IF(BY117&lt;12,0,180)</f>
        <v>180</v>
      </c>
      <c r="CA131">
        <f t="shared" si="134"/>
        <v>1.417911254412533</v>
      </c>
      <c r="CB131">
        <f t="shared" si="135"/>
        <v>-90</v>
      </c>
      <c r="CC131" s="7">
        <f t="shared" si="136"/>
        <v>8.6857589127052893E-17</v>
      </c>
      <c r="CD131" s="7">
        <f t="shared" si="137"/>
        <v>-1.417911254412533</v>
      </c>
      <c r="CE131" s="39">
        <v>0.5</v>
      </c>
      <c r="CG131" s="39">
        <v>0.5</v>
      </c>
      <c r="CH131" s="38">
        <v>0</v>
      </c>
      <c r="CI131" s="38">
        <f t="shared" si="138"/>
        <v>82.959624558737431</v>
      </c>
      <c r="CJ131" s="38">
        <f>IF(CJ117&lt;20,0,180)</f>
        <v>180</v>
      </c>
      <c r="CL131">
        <f t="shared" si="140"/>
        <v>0.70403754412625652</v>
      </c>
      <c r="CM131">
        <f t="shared" si="141"/>
        <v>-90</v>
      </c>
      <c r="CN131" s="7">
        <f t="shared" si="142"/>
        <v>4.312752546919713E-17</v>
      </c>
      <c r="CO131" s="7">
        <f t="shared" si="143"/>
        <v>-0.70403754412625652</v>
      </c>
      <c r="CP131" s="39">
        <v>0.5</v>
      </c>
      <c r="CR131" s="39">
        <v>0.5</v>
      </c>
      <c r="CS131" s="38">
        <v>0</v>
      </c>
      <c r="CT131" s="38">
        <f t="shared" si="144"/>
        <v>84.369782846813621</v>
      </c>
      <c r="CU131" s="38">
        <f>IF(CU117&lt;23.45,0,180)</f>
        <v>180</v>
      </c>
      <c r="CW131">
        <f t="shared" si="146"/>
        <v>0.56302171531863721</v>
      </c>
      <c r="CX131">
        <f t="shared" si="147"/>
        <v>-90</v>
      </c>
      <c r="CY131" s="7">
        <f t="shared" si="148"/>
        <v>3.4489259230131462E-17</v>
      </c>
      <c r="CZ131" s="7">
        <f t="shared" si="149"/>
        <v>-0.56302171531863721</v>
      </c>
      <c r="DA131" s="39">
        <v>0.5</v>
      </c>
      <c r="DC131" s="39">
        <v>0.5</v>
      </c>
      <c r="DD131" s="38">
        <v>0</v>
      </c>
      <c r="DE131" s="38">
        <f t="shared" si="150"/>
        <v>37.908363272130764</v>
      </c>
      <c r="DF131" s="38">
        <f>+IF(DF117&gt;=-23,180,0)</f>
        <v>180</v>
      </c>
      <c r="DH131">
        <f t="shared" si="152"/>
        <v>5.2091636727869233</v>
      </c>
      <c r="DI131">
        <f t="shared" si="153"/>
        <v>-90</v>
      </c>
      <c r="DJ131" s="7">
        <f t="shared" si="154"/>
        <v>3.1909994125405056E-16</v>
      </c>
      <c r="DK131" s="7">
        <f t="shared" si="155"/>
        <v>-5.2091636727869233</v>
      </c>
      <c r="DL131" s="39">
        <v>0.5</v>
      </c>
    </row>
    <row r="132" spans="1:116" x14ac:dyDescent="0.25">
      <c r="A132">
        <v>-4</v>
      </c>
      <c r="B132">
        <f t="shared" si="158"/>
        <v>8.0622577482985491</v>
      </c>
      <c r="C132">
        <f t="shared" si="159"/>
        <v>-8.0622577482985491</v>
      </c>
      <c r="D132">
        <f t="shared" si="108"/>
        <v>6.9282032302755088</v>
      </c>
      <c r="E132">
        <f t="shared" si="109"/>
        <v>-6.9282032302755088</v>
      </c>
      <c r="F132">
        <f t="shared" si="112"/>
        <v>5.7445626465380286</v>
      </c>
      <c r="G132">
        <f t="shared" si="113"/>
        <v>-5.7445626465380286</v>
      </c>
      <c r="H132">
        <f t="shared" si="156"/>
        <v>4.4721359549995796</v>
      </c>
      <c r="I132">
        <f t="shared" si="157"/>
        <v>-4.4721359549995796</v>
      </c>
      <c r="J132">
        <f t="shared" si="106"/>
        <v>3</v>
      </c>
      <c r="K132">
        <f t="shared" si="107"/>
        <v>-3</v>
      </c>
      <c r="L132">
        <f t="shared" si="110"/>
        <v>0</v>
      </c>
      <c r="M132">
        <f t="shared" si="111"/>
        <v>0</v>
      </c>
      <c r="U132" s="7"/>
      <c r="AA132" s="55">
        <v>0.54166666666666596</v>
      </c>
      <c r="AB132" s="7" t="str">
        <f>IF('Control Solar 1er Sem'!$N$8="si",IF(Isorreq!C17=-1,0,"si"),0)</f>
        <v>si</v>
      </c>
      <c r="AC132" s="55">
        <v>0.54166666666666596</v>
      </c>
      <c r="AD132" s="7" t="str">
        <f>IF('Control Solar 1er Sem'!$N$8="si",IF(Isorreq!D17=-1,0,"si"),0)</f>
        <v>si</v>
      </c>
      <c r="AE132" s="55">
        <v>0.54166666666666596</v>
      </c>
      <c r="AF132" s="7" t="str">
        <f>IF('Control Solar 1er Sem'!$N$8="si",IF(Isorreq!E17=-1,0,"si"),0)</f>
        <v>si</v>
      </c>
      <c r="AG132" s="55">
        <v>0.54166666666666596</v>
      </c>
      <c r="AH132" s="7" t="str">
        <f>IF('Control Solar 1er Sem'!$N$8="si",IF(Isorreq!F17=-1,0,"si"),0)</f>
        <v>si</v>
      </c>
      <c r="AI132" s="55">
        <v>0.54166666666666596</v>
      </c>
      <c r="AJ132" s="7" t="str">
        <f>IF('Control Solar 1er Sem'!$N$8="si",IF(Isorreq!G17=-1,0,"si"),0)</f>
        <v>si</v>
      </c>
      <c r="AK132" s="55">
        <v>0.54166666666666596</v>
      </c>
      <c r="AL132" s="7" t="str">
        <f>IF('Control Solar 1er Sem'!$N$8="si",IF(Isorreq!H17=-1,0,"si"),0)</f>
        <v>si</v>
      </c>
      <c r="AO132" s="39">
        <v>0.54166666666666596</v>
      </c>
      <c r="AP132" s="38">
        <v>-15</v>
      </c>
      <c r="AQ132" s="38">
        <f t="shared" si="114"/>
        <v>41.203386965463082</v>
      </c>
      <c r="AR132" s="38">
        <f t="shared" ref="AR132:AR143" si="160">-(180-DEGREES(ACOS((((SIN(RADIANS(AQ132)))*SIN(RADIANS($AR$85)))-SIN(RADIANS($AQ$85)))/((COS(RADIANS(AQ132)))*COS(RADIANS($AR$85))))))</f>
        <v>-160.84947792309023</v>
      </c>
      <c r="AT132">
        <f t="shared" si="116"/>
        <v>4.879661303453692</v>
      </c>
      <c r="AU132">
        <f t="shared" si="117"/>
        <v>250.84947792309023</v>
      </c>
      <c r="AV132" s="7">
        <f t="shared" si="118"/>
        <v>-1.6007777970337347</v>
      </c>
      <c r="AW132" s="7">
        <f t="shared" si="119"/>
        <v>-4.6096209042552738</v>
      </c>
      <c r="AX132" s="39">
        <v>0.54166666666666596</v>
      </c>
      <c r="AZ132" s="39">
        <v>0.54166666666666596</v>
      </c>
      <c r="BA132" s="38">
        <v>-15</v>
      </c>
      <c r="BB132" s="38">
        <f t="shared" si="120"/>
        <v>49.927090631227195</v>
      </c>
      <c r="BC132" s="38">
        <f t="shared" ref="BC132:BC143" si="161">-(180-DEGREES(ACOS((((SIN(RADIANS(BB132)))*SIN(RADIANS($BC$85)))-SIN(RADIANS($BB$85)))/((COS(RADIANS(BB132)))*COS(RADIANS($BC$85))))))</f>
        <v>-156.55697888534539</v>
      </c>
      <c r="BE132">
        <f t="shared" si="122"/>
        <v>4.0072909368772809</v>
      </c>
      <c r="BF132">
        <f t="shared" si="123"/>
        <v>246.55697888534539</v>
      </c>
      <c r="BG132" s="7">
        <f t="shared" si="124"/>
        <v>-1.5942481393866366</v>
      </c>
      <c r="BH132" s="7">
        <f t="shared" si="125"/>
        <v>-3.6765137729703996</v>
      </c>
      <c r="BI132" s="39">
        <v>0.54166666666666596</v>
      </c>
      <c r="BK132" s="39">
        <v>0.54166666666666596</v>
      </c>
      <c r="BL132" s="38">
        <v>-15</v>
      </c>
      <c r="BM132" s="38">
        <f t="shared" si="126"/>
        <v>61.179653601104718</v>
      </c>
      <c r="BN132" s="38">
        <f t="shared" ref="BN132:BN143" si="162">-(180-DEGREES(ACOS((((SIN(RADIANS(BM132)))*SIN(RADIANS($BN$85)))-SIN(RADIANS($BM$85)))/((COS(RADIANS(BM132)))*COS(RADIANS($BN$85))))))</f>
        <v>-147.61688935411229</v>
      </c>
      <c r="BP132">
        <f t="shared" si="128"/>
        <v>2.882034639889528</v>
      </c>
      <c r="BQ132">
        <f t="shared" si="129"/>
        <v>237.61688935411229</v>
      </c>
      <c r="BR132" s="7">
        <f t="shared" si="130"/>
        <v>-1.5435540171470266</v>
      </c>
      <c r="BS132" s="7">
        <f t="shared" si="131"/>
        <v>-2.4338374353420642</v>
      </c>
      <c r="BT132" s="39">
        <v>0.54166666666666596</v>
      </c>
      <c r="BV132" s="39">
        <v>0.54166666666666596</v>
      </c>
      <c r="BW132" s="38">
        <v>-15</v>
      </c>
      <c r="BX132" s="38">
        <f t="shared" si="132"/>
        <v>70.179120424793908</v>
      </c>
      <c r="BY132" s="38">
        <f t="shared" ref="BY132:BY143" si="163">-(180-DEGREES(ACOS((((SIN(RADIANS(BX132)))*SIN(RADIANS($BY$85)))-SIN(RADIANS($BX$85)))/((COS(RADIANS(BX132)))*COS(RADIANS($BY$85))))))</f>
        <v>-132.47024428392857</v>
      </c>
      <c r="CA132">
        <f t="shared" si="134"/>
        <v>1.9820879575206094</v>
      </c>
      <c r="CB132">
        <f t="shared" si="135"/>
        <v>222.47024428392857</v>
      </c>
      <c r="CC132" s="7">
        <f t="shared" si="136"/>
        <v>-1.4620437645376916</v>
      </c>
      <c r="CD132" s="7">
        <f t="shared" si="137"/>
        <v>-1.338320104431177</v>
      </c>
      <c r="CE132" s="39">
        <v>0.54166666666666596</v>
      </c>
      <c r="CG132" s="39">
        <v>0.54166666666666596</v>
      </c>
      <c r="CH132" s="38">
        <v>-15</v>
      </c>
      <c r="CI132" s="38">
        <f t="shared" si="138"/>
        <v>74.765245687919915</v>
      </c>
      <c r="CJ132" s="38">
        <f t="shared" ref="CJ132:CJ143" si="164">-(180-DEGREES(ACOS((((SIN(RADIANS(CI132)))*SIN(RADIANS($CJ$85)))-SIN(RADIANS($CI$85)))/((COS(RADIANS(CI132)))*COS(RADIANS($CJ$85))))))</f>
        <v>-114.0806639695666</v>
      </c>
      <c r="CL132">
        <f t="shared" si="140"/>
        <v>1.5234754312080083</v>
      </c>
      <c r="CM132">
        <f t="shared" si="141"/>
        <v>204.08066396956661</v>
      </c>
      <c r="CN132" s="7">
        <f t="shared" si="142"/>
        <v>-1.3908903010032683</v>
      </c>
      <c r="CO132" s="7">
        <f t="shared" si="143"/>
        <v>-0.62161206557584214</v>
      </c>
      <c r="CP132" s="39">
        <v>0.54166666666666596</v>
      </c>
      <c r="CR132" s="39">
        <v>0.54166666666666596</v>
      </c>
      <c r="CS132" s="38">
        <v>-15</v>
      </c>
      <c r="CT132" s="38">
        <f t="shared" si="144"/>
        <v>75.433504705998018</v>
      </c>
      <c r="CU132" s="38">
        <f t="shared" ref="CU132:CU143" si="165">-(180-DEGREES(ACOS((((SIN(RADIANS(CT132)))*SIN(RADIANS($CU$85)))-SIN(RADIANS($CT$85)))/((COS(RADIANS(CT132)))*COS(RADIANS($CU$85))))))</f>
        <v>-109.24906860936896</v>
      </c>
      <c r="CW132">
        <f t="shared" si="146"/>
        <v>1.456649529400198</v>
      </c>
      <c r="CX132">
        <f t="shared" si="147"/>
        <v>199.24906860936898</v>
      </c>
      <c r="CY132" s="7">
        <f t="shared" si="148"/>
        <v>-1.3752146338471709</v>
      </c>
      <c r="CZ132" s="7">
        <f t="shared" si="149"/>
        <v>-0.48022136807352689</v>
      </c>
      <c r="DA132" s="39">
        <v>0.54166666666666596</v>
      </c>
      <c r="DC132" s="39">
        <v>0.54166666666666596</v>
      </c>
      <c r="DD132" s="38">
        <v>-15</v>
      </c>
      <c r="DE132" s="38">
        <f t="shared" si="150"/>
        <v>35.943781380086349</v>
      </c>
      <c r="DF132" s="38">
        <f t="shared" ref="DF132:DF143" si="166">-(180-DEGREES(ACOS((((SIN(RADIANS(DE132)))*SIN(RADIANS($DF$85)))-SIN(RADIANS($DE$85)))/((COS(RADIANS(DE132)))*COS(RADIANS($DF$85))))))</f>
        <v>-162.88737099929463</v>
      </c>
      <c r="DH132">
        <f t="shared" si="152"/>
        <v>5.4056218619913654</v>
      </c>
      <c r="DI132">
        <f t="shared" si="153"/>
        <v>252.88737099929463</v>
      </c>
      <c r="DJ132" s="7">
        <f t="shared" si="154"/>
        <v>-1.5906095938181599</v>
      </c>
      <c r="DK132" s="7">
        <f t="shared" si="155"/>
        <v>-5.1663051434165812</v>
      </c>
      <c r="DL132" s="39">
        <v>0.54166666666666596</v>
      </c>
    </row>
    <row r="133" spans="1:116" x14ac:dyDescent="0.25">
      <c r="A133">
        <v>-4.0999999999999996</v>
      </c>
      <c r="B133">
        <f t="shared" si="158"/>
        <v>8.0118661995817178</v>
      </c>
      <c r="C133">
        <f t="shared" si="159"/>
        <v>-8.0118661995817178</v>
      </c>
      <c r="D133">
        <f t="shared" si="108"/>
        <v>6.8694977982382381</v>
      </c>
      <c r="E133">
        <f t="shared" si="109"/>
        <v>-6.8694977982382381</v>
      </c>
      <c r="F133">
        <f t="shared" si="112"/>
        <v>5.6736231810017133</v>
      </c>
      <c r="G133">
        <f t="shared" si="113"/>
        <v>-5.6736231810017133</v>
      </c>
      <c r="H133">
        <f t="shared" si="156"/>
        <v>4.3806392227619018</v>
      </c>
      <c r="I133">
        <f t="shared" si="157"/>
        <v>-4.3806392227619018</v>
      </c>
      <c r="J133">
        <f t="shared" si="106"/>
        <v>2.8618176042508372</v>
      </c>
      <c r="K133">
        <f t="shared" si="107"/>
        <v>-2.8618176042508372</v>
      </c>
      <c r="U133" s="7"/>
      <c r="AA133" s="55">
        <v>0.58333333333333304</v>
      </c>
      <c r="AB133" s="7" t="str">
        <f>IF('Control Solar 1er Sem'!$N$8="si",IF(Isorreq!C18=-1,0,"si"),0)</f>
        <v>si</v>
      </c>
      <c r="AC133" s="55">
        <v>0.58333333333333304</v>
      </c>
      <c r="AD133" s="7" t="str">
        <f>IF('Control Solar 1er Sem'!$N$8="si",IF(Isorreq!D18=-1,0,"si"),0)</f>
        <v>si</v>
      </c>
      <c r="AE133" s="55">
        <v>0.58333333333333304</v>
      </c>
      <c r="AF133" s="7" t="str">
        <f>IF('Control Solar 1er Sem'!$N$8="si",IF(Isorreq!E18=-1,0,"si"),0)</f>
        <v>si</v>
      </c>
      <c r="AG133" s="55">
        <v>0.58333333333333304</v>
      </c>
      <c r="AH133" s="7" t="str">
        <f>IF('Control Solar 1er Sem'!$N$8="si",IF(Isorreq!F18=-1,0,"si"),0)</f>
        <v>si</v>
      </c>
      <c r="AI133" s="55">
        <v>0.58333333333333304</v>
      </c>
      <c r="AJ133" s="7" t="str">
        <f>IF('Control Solar 1er Sem'!$N$8="si",IF(Isorreq!G18=-1,0,"si"),0)</f>
        <v>si</v>
      </c>
      <c r="AK133" s="55">
        <v>0.58333333333333304</v>
      </c>
      <c r="AL133" s="7" t="str">
        <f>IF('Control Solar 1er Sem'!$N$8="si",IF(Isorreq!H18=-1,0,"si"),0)</f>
        <v>si</v>
      </c>
      <c r="AO133" s="39">
        <v>0.58333333333333304</v>
      </c>
      <c r="AP133" s="38">
        <v>-30</v>
      </c>
      <c r="AQ133" s="38">
        <f t="shared" si="114"/>
        <v>35.132915612826856</v>
      </c>
      <c r="AR133" s="38">
        <f t="shared" si="160"/>
        <v>-144.33588641082156</v>
      </c>
      <c r="AT133">
        <f t="shared" si="116"/>
        <v>5.4867084387173142</v>
      </c>
      <c r="AU133">
        <f t="shared" si="117"/>
        <v>234.33588641082156</v>
      </c>
      <c r="AV133" s="7">
        <f t="shared" si="118"/>
        <v>-3.1989291170115348</v>
      </c>
      <c r="AW133" s="7">
        <f t="shared" si="119"/>
        <v>-4.4576700187236371</v>
      </c>
      <c r="AX133" s="39">
        <v>0.58333333333333304</v>
      </c>
      <c r="AZ133" s="39">
        <v>0.58333333333333304</v>
      </c>
      <c r="BA133" s="38">
        <v>-30</v>
      </c>
      <c r="BB133" s="38">
        <f t="shared" si="120"/>
        <v>42.752422426604682</v>
      </c>
      <c r="BC133" s="38">
        <f t="shared" si="161"/>
        <v>-137.63858177436344</v>
      </c>
      <c r="BE133">
        <f t="shared" si="122"/>
        <v>4.7247577573395318</v>
      </c>
      <c r="BF133">
        <f t="shared" si="123"/>
        <v>227.63858177436344</v>
      </c>
      <c r="BG133" s="7">
        <f t="shared" si="124"/>
        <v>-3.1835652798692937</v>
      </c>
      <c r="BH133" s="7">
        <f t="shared" si="125"/>
        <v>-3.4911671364102332</v>
      </c>
      <c r="BI133" s="39">
        <v>0.58333333333333304</v>
      </c>
      <c r="BK133" s="39">
        <v>0.58333333333333304</v>
      </c>
      <c r="BL133" s="38">
        <v>-30</v>
      </c>
      <c r="BM133" s="38">
        <f t="shared" si="126"/>
        <v>52.096153918797427</v>
      </c>
      <c r="BN133" s="38">
        <f t="shared" si="162"/>
        <v>-125.71951693085082</v>
      </c>
      <c r="BP133">
        <f t="shared" si="128"/>
        <v>3.7903846081202577</v>
      </c>
      <c r="BQ133">
        <f t="shared" si="129"/>
        <v>215.71951693085083</v>
      </c>
      <c r="BR133" s="7">
        <f t="shared" si="130"/>
        <v>-3.0773552908954072</v>
      </c>
      <c r="BS133" s="7">
        <f t="shared" si="131"/>
        <v>-2.2128940080973156</v>
      </c>
      <c r="BT133" s="39">
        <v>0.58333333333333304</v>
      </c>
      <c r="BV133" s="39">
        <v>0.58333333333333304</v>
      </c>
      <c r="BW133" s="38">
        <v>-30</v>
      </c>
      <c r="BX133" s="38">
        <f t="shared" si="132"/>
        <v>58.913198956609463</v>
      </c>
      <c r="BY133" s="38">
        <f t="shared" si="163"/>
        <v>-110.64261236918068</v>
      </c>
      <c r="CA133">
        <f t="shared" si="134"/>
        <v>3.1086801043390535</v>
      </c>
      <c r="CB133">
        <f t="shared" si="135"/>
        <v>200.64261236918068</v>
      </c>
      <c r="CC133" s="7">
        <f t="shared" si="136"/>
        <v>-2.9090953902894121</v>
      </c>
      <c r="CD133" s="7">
        <f t="shared" si="137"/>
        <v>-1.0959270054663137</v>
      </c>
      <c r="CE133" s="39">
        <v>0.58333333333333304</v>
      </c>
      <c r="CG133" s="39">
        <v>0.58333333333333304</v>
      </c>
      <c r="CH133" s="38">
        <v>-30</v>
      </c>
      <c r="CI133" s="38">
        <f t="shared" si="138"/>
        <v>62.120147714715685</v>
      </c>
      <c r="CJ133" s="38">
        <f t="shared" si="164"/>
        <v>-97.645217635946267</v>
      </c>
      <c r="CL133">
        <f t="shared" si="140"/>
        <v>2.7879852285284317</v>
      </c>
      <c r="CM133">
        <f t="shared" si="141"/>
        <v>187.64521763594627</v>
      </c>
      <c r="CN133" s="7">
        <f t="shared" si="142"/>
        <v>-2.7632024243694073</v>
      </c>
      <c r="CO133" s="7">
        <f t="shared" si="143"/>
        <v>-0.37090968772972527</v>
      </c>
      <c r="CP133" s="39">
        <v>0.58333333333333304</v>
      </c>
      <c r="CR133" s="39">
        <v>0.58333333333333304</v>
      </c>
      <c r="CS133" s="38">
        <v>-30</v>
      </c>
      <c r="CT133" s="38">
        <f t="shared" si="144"/>
        <v>62.593106094089499</v>
      </c>
      <c r="CU133" s="38">
        <f t="shared" si="165"/>
        <v>-94.781580028246267</v>
      </c>
      <c r="CW133">
        <f t="shared" si="146"/>
        <v>2.7406893905910499</v>
      </c>
      <c r="CX133">
        <f t="shared" si="147"/>
        <v>184.78158002824625</v>
      </c>
      <c r="CY133" s="7">
        <f t="shared" si="148"/>
        <v>-2.731150994716121</v>
      </c>
      <c r="CZ133" s="7">
        <f t="shared" si="149"/>
        <v>-0.22845695384356787</v>
      </c>
      <c r="DA133" s="39">
        <v>0.58333333333333304</v>
      </c>
      <c r="DC133" s="39">
        <v>0.58333333333333304</v>
      </c>
      <c r="DD133" s="38">
        <v>-30</v>
      </c>
      <c r="DE133" s="38">
        <f t="shared" si="150"/>
        <v>30.439709654260056</v>
      </c>
      <c r="DF133" s="38">
        <f t="shared" si="166"/>
        <v>-147.73819825211658</v>
      </c>
      <c r="DH133">
        <f t="shared" si="152"/>
        <v>5.9560290345739944</v>
      </c>
      <c r="DI133">
        <f t="shared" si="153"/>
        <v>237.73819825211658</v>
      </c>
      <c r="DJ133" s="7">
        <f t="shared" si="154"/>
        <v>-3.1792610376260346</v>
      </c>
      <c r="DK133" s="7">
        <f t="shared" si="155"/>
        <v>-5.0365247061164569</v>
      </c>
      <c r="DL133" s="39">
        <v>0.58333333333333304</v>
      </c>
    </row>
    <row r="134" spans="1:116" x14ac:dyDescent="0.25">
      <c r="A134">
        <v>-4.2</v>
      </c>
      <c r="B134">
        <f t="shared" si="158"/>
        <v>7.9598994968529597</v>
      </c>
      <c r="C134">
        <f t="shared" si="159"/>
        <v>-7.9598994968529597</v>
      </c>
      <c r="D134">
        <f t="shared" si="108"/>
        <v>6.8088178122196803</v>
      </c>
      <c r="E134">
        <f t="shared" si="109"/>
        <v>-6.8088178122196803</v>
      </c>
      <c r="F134">
        <f t="shared" si="112"/>
        <v>5.6</v>
      </c>
      <c r="G134">
        <f t="shared" si="113"/>
        <v>-5.6</v>
      </c>
      <c r="H134">
        <f t="shared" si="156"/>
        <v>4.2848570571257101</v>
      </c>
      <c r="I134">
        <f t="shared" si="157"/>
        <v>-4.2848570571257101</v>
      </c>
      <c r="J134">
        <f t="shared" si="106"/>
        <v>2.7129319932501073</v>
      </c>
      <c r="K134">
        <f t="shared" si="107"/>
        <v>-2.7129319932501073</v>
      </c>
      <c r="U134" s="7"/>
      <c r="AA134" s="55">
        <v>0.625</v>
      </c>
      <c r="AB134" s="7" t="str">
        <f>IF('Control Solar 1er Sem'!$N$8="si",IF(Isorreq!C19=-1,0,"si"),0)</f>
        <v>si</v>
      </c>
      <c r="AC134" s="55">
        <v>0.625</v>
      </c>
      <c r="AD134" s="7" t="str">
        <f>IF('Control Solar 1er Sem'!$N$8="si",IF(Isorreq!D19=-1,0,"si"),0)</f>
        <v>si</v>
      </c>
      <c r="AE134" s="55">
        <v>0.625</v>
      </c>
      <c r="AF134" s="7" t="str">
        <f>IF('Control Solar 1er Sem'!$N$8="si",IF(Isorreq!E19=-1,0,"si"),0)</f>
        <v>si</v>
      </c>
      <c r="AG134" s="55">
        <v>0.625</v>
      </c>
      <c r="AH134" s="7" t="str">
        <f>IF('Control Solar 1er Sem'!$N$8="si",IF(Isorreq!F19=-1,0,"si"),0)</f>
        <v>si</v>
      </c>
      <c r="AI134" s="55">
        <v>0.625</v>
      </c>
      <c r="AJ134" s="7" t="str">
        <f>IF('Control Solar 1er Sem'!$N$8="si",IF(Isorreq!G19=-1,0,"si"),0)</f>
        <v>si</v>
      </c>
      <c r="AK134" s="55">
        <v>0.625</v>
      </c>
      <c r="AL134" s="7" t="str">
        <f>IF('Control Solar 1er Sem'!$N$8="si",IF(Isorreq!H19=-1,0,"si"),0)</f>
        <v>si</v>
      </c>
      <c r="AO134" s="39">
        <v>0.625</v>
      </c>
      <c r="AP134" s="38">
        <v>-45</v>
      </c>
      <c r="AQ134" s="38">
        <f t="shared" si="114"/>
        <v>26.297342212361595</v>
      </c>
      <c r="AR134" s="38">
        <f t="shared" si="160"/>
        <v>-131.22199491730089</v>
      </c>
      <c r="AT134">
        <f t="shared" si="116"/>
        <v>6.3702657787638408</v>
      </c>
      <c r="AU134">
        <f t="shared" si="117"/>
        <v>221.22199491730089</v>
      </c>
      <c r="AV134" s="7">
        <f t="shared" si="118"/>
        <v>-4.7914718059899393</v>
      </c>
      <c r="AW134" s="7">
        <f t="shared" si="119"/>
        <v>-4.197866603942197</v>
      </c>
      <c r="AX134" s="39">
        <v>0.625</v>
      </c>
      <c r="AZ134" s="39">
        <v>0.625</v>
      </c>
      <c r="BA134" s="38">
        <v>-45</v>
      </c>
      <c r="BB134" s="38">
        <f t="shared" si="120"/>
        <v>32.778902474630826</v>
      </c>
      <c r="BC134" s="38">
        <f t="shared" si="161"/>
        <v>-123.67138966374844</v>
      </c>
      <c r="BE134">
        <f t="shared" si="122"/>
        <v>5.7221097525369178</v>
      </c>
      <c r="BF134">
        <f t="shared" si="123"/>
        <v>213.67138966374844</v>
      </c>
      <c r="BG134" s="7">
        <f t="shared" si="124"/>
        <v>-4.7621175617680658</v>
      </c>
      <c r="BH134" s="7">
        <f t="shared" si="125"/>
        <v>-3.1725031675284869</v>
      </c>
      <c r="BI134" s="39">
        <v>0.625</v>
      </c>
      <c r="BK134" s="39">
        <v>0.625</v>
      </c>
      <c r="BL134" s="38">
        <v>-45</v>
      </c>
      <c r="BM134" s="38">
        <f t="shared" si="126"/>
        <v>40.579187314260722</v>
      </c>
      <c r="BN134" s="38">
        <f t="shared" si="162"/>
        <v>-111.76387408261022</v>
      </c>
      <c r="BP134">
        <f t="shared" si="128"/>
        <v>4.9420812685739275</v>
      </c>
      <c r="BQ134">
        <f t="shared" si="129"/>
        <v>201.76387408261022</v>
      </c>
      <c r="BR134" s="7">
        <f t="shared" si="130"/>
        <v>-4.5898087062962007</v>
      </c>
      <c r="BS134" s="7">
        <f t="shared" si="131"/>
        <v>-1.8324364394971171</v>
      </c>
      <c r="BT134" s="39">
        <v>0.625</v>
      </c>
      <c r="BV134" s="39">
        <v>0.625</v>
      </c>
      <c r="BW134" s="38">
        <v>-45</v>
      </c>
      <c r="BX134" s="38">
        <f t="shared" si="132"/>
        <v>46.234000924702507</v>
      </c>
      <c r="BY134" s="38">
        <f t="shared" si="163"/>
        <v>-98.931073312987834</v>
      </c>
      <c r="CA134">
        <f t="shared" si="134"/>
        <v>4.3765999075297497</v>
      </c>
      <c r="CB134">
        <f t="shared" si="135"/>
        <v>188.93107331298785</v>
      </c>
      <c r="CC134" s="7">
        <f t="shared" si="136"/>
        <v>-4.3235372056031043</v>
      </c>
      <c r="CD134" s="7">
        <f t="shared" si="137"/>
        <v>-0.67945035312016244</v>
      </c>
      <c r="CE134" s="39">
        <v>0.625</v>
      </c>
      <c r="CG134" s="39">
        <v>0.625</v>
      </c>
      <c r="CH134" s="38">
        <v>-45</v>
      </c>
      <c r="CI134" s="38">
        <f t="shared" si="138"/>
        <v>49.04228910837859</v>
      </c>
      <c r="CJ134" s="38">
        <f t="shared" si="164"/>
        <v>-89.179775376606813</v>
      </c>
      <c r="CL134">
        <f t="shared" si="140"/>
        <v>4.0957710891621408</v>
      </c>
      <c r="CM134">
        <f t="shared" si="141"/>
        <v>179.17977537660681</v>
      </c>
      <c r="CN134" s="7">
        <f t="shared" si="142"/>
        <v>-4.0953514088422205</v>
      </c>
      <c r="CO134" s="7">
        <f t="shared" si="143"/>
        <v>5.8631501008163472E-2</v>
      </c>
      <c r="CP134" s="39">
        <v>0.625</v>
      </c>
      <c r="CR134" s="39">
        <v>0.625</v>
      </c>
      <c r="CS134" s="38">
        <v>-45</v>
      </c>
      <c r="CT134" s="38">
        <f t="shared" si="144"/>
        <v>49.494624805188728</v>
      </c>
      <c r="CU134" s="38">
        <f t="shared" si="165"/>
        <v>-87.132774729162193</v>
      </c>
      <c r="CW134">
        <f t="shared" si="146"/>
        <v>4.0505375194811268</v>
      </c>
      <c r="CX134">
        <f t="shared" si="147"/>
        <v>177.13277472916218</v>
      </c>
      <c r="CY134" s="7">
        <f t="shared" si="148"/>
        <v>-4.0454667905311457</v>
      </c>
      <c r="CZ134" s="7">
        <f t="shared" si="149"/>
        <v>0.20261451930686047</v>
      </c>
      <c r="DA134" s="39">
        <v>0.625</v>
      </c>
      <c r="DC134" s="39">
        <v>0.625</v>
      </c>
      <c r="DD134" s="38">
        <v>-45</v>
      </c>
      <c r="DE134" s="38">
        <f t="shared" si="150"/>
        <v>22.259218825541542</v>
      </c>
      <c r="DF134" s="38">
        <f t="shared" si="166"/>
        <v>-135.31204694577815</v>
      </c>
      <c r="DH134">
        <f t="shared" si="152"/>
        <v>6.7740781174458462</v>
      </c>
      <c r="DI134">
        <f t="shared" si="153"/>
        <v>225.31204694577815</v>
      </c>
      <c r="DJ134" s="7">
        <f t="shared" si="154"/>
        <v>-4.7638381601199011</v>
      </c>
      <c r="DK134" s="7">
        <f t="shared" si="155"/>
        <v>-4.8160129075246561</v>
      </c>
      <c r="DL134" s="39">
        <v>0.625</v>
      </c>
    </row>
    <row r="135" spans="1:116" x14ac:dyDescent="0.25">
      <c r="A135">
        <v>-4.3</v>
      </c>
      <c r="B135">
        <f t="shared" si="158"/>
        <v>7.9063265806567848</v>
      </c>
      <c r="C135">
        <f t="shared" si="159"/>
        <v>-7.9063265806567848</v>
      </c>
      <c r="D135">
        <f t="shared" si="108"/>
        <v>6.746109990209173</v>
      </c>
      <c r="E135">
        <f t="shared" si="109"/>
        <v>-6.746109990209173</v>
      </c>
      <c r="F135">
        <f t="shared" si="112"/>
        <v>5.5235857918565907</v>
      </c>
      <c r="G135">
        <f t="shared" si="113"/>
        <v>-5.5235857918565907</v>
      </c>
      <c r="H135">
        <f t="shared" si="156"/>
        <v>4.1844951905815355</v>
      </c>
      <c r="I135">
        <f t="shared" si="157"/>
        <v>-4.1844951905815355</v>
      </c>
      <c r="J135">
        <f t="shared" si="106"/>
        <v>2.5514701644346149</v>
      </c>
      <c r="K135">
        <f t="shared" si="107"/>
        <v>-2.5514701644346149</v>
      </c>
      <c r="U135" s="7"/>
      <c r="AA135" s="55">
        <v>0.66666666666666596</v>
      </c>
      <c r="AB135" s="7" t="str">
        <f>IF('Control Solar 1er Sem'!$N$8="si",IF(Isorreq!C20=-1,0,"si"),0)</f>
        <v>si</v>
      </c>
      <c r="AC135" s="55">
        <v>0.66666666666666596</v>
      </c>
      <c r="AD135" s="7" t="str">
        <f>IF('Control Solar 1er Sem'!$N$8="si",IF(Isorreq!D20=-1,0,"si"),0)</f>
        <v>si</v>
      </c>
      <c r="AE135" s="55">
        <v>0.66666666666666596</v>
      </c>
      <c r="AF135" s="7" t="str">
        <f>IF('Control Solar 1er Sem'!$N$8="si",IF(Isorreq!E20=-1,0,"si"),0)</f>
        <v>si</v>
      </c>
      <c r="AG135" s="55">
        <v>0.66666666666666596</v>
      </c>
      <c r="AH135" s="7" t="str">
        <f>IF('Control Solar 1er Sem'!$N$8="si",IF(Isorreq!F20=-1,0,"si"),0)</f>
        <v>si</v>
      </c>
      <c r="AI135" s="55">
        <v>0.66666666666666596</v>
      </c>
      <c r="AJ135" s="7" t="str">
        <f>IF('Control Solar 1er Sem'!$N$8="si",IF(Isorreq!G20=-1,0,"si"),0)</f>
        <v>si</v>
      </c>
      <c r="AK135" s="55">
        <v>0.66666666666666596</v>
      </c>
      <c r="AL135" s="7" t="str">
        <f>IF('Control Solar 1er Sem'!$N$8="si",IF(Isorreq!H20=-1,0,"si"),0)</f>
        <v>si</v>
      </c>
      <c r="AO135" s="39">
        <v>0.66666666666666596</v>
      </c>
      <c r="AP135" s="38">
        <v>-60</v>
      </c>
      <c r="AQ135" s="38">
        <f t="shared" si="114"/>
        <v>15.689450108647346</v>
      </c>
      <c r="AR135" s="38">
        <f t="shared" si="160"/>
        <v>-120.92625519511847</v>
      </c>
      <c r="AT135">
        <f t="shared" si="116"/>
        <v>7.4310549891352657</v>
      </c>
      <c r="AU135">
        <f t="shared" si="117"/>
        <v>210.92625519511847</v>
      </c>
      <c r="AV135" s="7">
        <f t="shared" si="118"/>
        <v>-6.3745781167226738</v>
      </c>
      <c r="AW135" s="7">
        <f t="shared" si="119"/>
        <v>-3.8190747682328157</v>
      </c>
      <c r="AX135" s="39">
        <v>0.66666666666666596</v>
      </c>
      <c r="AZ135" s="39">
        <v>0.66666666666666596</v>
      </c>
      <c r="BA135" s="38">
        <v>-60</v>
      </c>
      <c r="BB135" s="38">
        <f t="shared" si="120"/>
        <v>21.241041758651765</v>
      </c>
      <c r="BC135" s="38">
        <f t="shared" si="161"/>
        <v>-113.15708853016723</v>
      </c>
      <c r="BE135">
        <f t="shared" si="122"/>
        <v>6.8758958241348234</v>
      </c>
      <c r="BF135">
        <f t="shared" si="123"/>
        <v>203.15708853016724</v>
      </c>
      <c r="BG135" s="7">
        <f t="shared" si="124"/>
        <v>-6.3219057421889273</v>
      </c>
      <c r="BH135" s="7">
        <f t="shared" si="125"/>
        <v>-2.7039695211361696</v>
      </c>
      <c r="BI135" s="39">
        <v>0.66666666666666596</v>
      </c>
      <c r="BK135" s="39">
        <v>0.66666666666666596</v>
      </c>
      <c r="BL135" s="38">
        <v>-60</v>
      </c>
      <c r="BM135" s="38">
        <f t="shared" si="126"/>
        <v>28.03064132064042</v>
      </c>
      <c r="BN135" s="38">
        <f t="shared" si="162"/>
        <v>-101.84583698554694</v>
      </c>
      <c r="BP135">
        <f t="shared" si="128"/>
        <v>6.1969358679359576</v>
      </c>
      <c r="BQ135">
        <f t="shared" si="129"/>
        <v>191.84583698554695</v>
      </c>
      <c r="BR135" s="7">
        <f t="shared" si="130"/>
        <v>-6.0649626831945911</v>
      </c>
      <c r="BS135" s="7">
        <f t="shared" si="131"/>
        <v>-1.2721013335297828</v>
      </c>
      <c r="BT135" s="39">
        <v>0.66666666666666596</v>
      </c>
      <c r="BV135" s="39">
        <v>0.66666666666666596</v>
      </c>
      <c r="BW135" s="38">
        <v>-60</v>
      </c>
      <c r="BX135" s="38">
        <f t="shared" si="132"/>
        <v>33.179114183303909</v>
      </c>
      <c r="BY135" s="38">
        <f t="shared" si="163"/>
        <v>-90.692173646055892</v>
      </c>
      <c r="CA135">
        <f t="shared" si="134"/>
        <v>5.6820885816696087</v>
      </c>
      <c r="CB135">
        <f t="shared" si="135"/>
        <v>180.69217364605589</v>
      </c>
      <c r="CC135" s="7">
        <f t="shared" si="136"/>
        <v>-5.681673954671612</v>
      </c>
      <c r="CD135" s="7">
        <f t="shared" si="137"/>
        <v>-6.8641989673888751E-2</v>
      </c>
      <c r="CE135" s="39">
        <v>0.66666666666666596</v>
      </c>
      <c r="CG135" s="39">
        <v>0.66666666666666596</v>
      </c>
      <c r="CH135" s="38">
        <v>-60</v>
      </c>
      <c r="CI135" s="38">
        <f t="shared" si="138"/>
        <v>35.974200517974971</v>
      </c>
      <c r="CJ135" s="38">
        <f t="shared" si="164"/>
        <v>-82.710211003016923</v>
      </c>
      <c r="CL135">
        <f t="shared" si="140"/>
        <v>5.4025799482025025</v>
      </c>
      <c r="CM135">
        <f t="shared" si="141"/>
        <v>172.71021100301692</v>
      </c>
      <c r="CN135" s="7">
        <f t="shared" si="142"/>
        <v>-5.3589112820436533</v>
      </c>
      <c r="CO135" s="7">
        <f t="shared" si="143"/>
        <v>0.68552167573681033</v>
      </c>
      <c r="CP135" s="39">
        <v>0.66666666666666596</v>
      </c>
      <c r="CR135" s="39">
        <v>0.66666666666666596</v>
      </c>
      <c r="CS135" s="38">
        <v>-60</v>
      </c>
      <c r="CT135" s="38">
        <f t="shared" si="144"/>
        <v>36.462362723804389</v>
      </c>
      <c r="CU135" s="38">
        <f t="shared" si="165"/>
        <v>-81.070349439875727</v>
      </c>
      <c r="CW135">
        <f t="shared" si="146"/>
        <v>5.3537637276195609</v>
      </c>
      <c r="CX135">
        <f t="shared" si="147"/>
        <v>171.07034943987571</v>
      </c>
      <c r="CY135" s="7">
        <f t="shared" si="148"/>
        <v>-5.2888743491714614</v>
      </c>
      <c r="CZ135" s="7">
        <f t="shared" si="149"/>
        <v>0.83101995755279434</v>
      </c>
      <c r="DA135" s="39">
        <v>0.66666666666666596</v>
      </c>
      <c r="DC135" s="39">
        <v>0.66666666666666596</v>
      </c>
      <c r="DD135" s="38">
        <v>-60</v>
      </c>
      <c r="DE135" s="38">
        <f t="shared" si="150"/>
        <v>12.251377298592953</v>
      </c>
      <c r="DF135" s="38">
        <f t="shared" si="166"/>
        <v>-125.34452095224731</v>
      </c>
      <c r="DH135">
        <f t="shared" si="152"/>
        <v>7.7748622701407051</v>
      </c>
      <c r="DI135">
        <f t="shared" si="153"/>
        <v>215.34452095224731</v>
      </c>
      <c r="DJ135" s="7">
        <f t="shared" si="154"/>
        <v>-6.3418643967501813</v>
      </c>
      <c r="DK135" s="7">
        <f t="shared" si="155"/>
        <v>-4.4976926632318852</v>
      </c>
      <c r="DL135" s="39">
        <v>0.66666666666666596</v>
      </c>
    </row>
    <row r="136" spans="1:116" x14ac:dyDescent="0.25">
      <c r="A136">
        <v>-4.4000000000000004</v>
      </c>
      <c r="B136">
        <f t="shared" si="158"/>
        <v>7.8511145705562084</v>
      </c>
      <c r="C136">
        <f t="shared" si="159"/>
        <v>-7.8511145705562084</v>
      </c>
      <c r="D136">
        <f t="shared" si="108"/>
        <v>6.6813172353960262</v>
      </c>
      <c r="E136">
        <f t="shared" si="109"/>
        <v>-6.6813172353960262</v>
      </c>
      <c r="F136">
        <f t="shared" si="112"/>
        <v>5.4442630355264798</v>
      </c>
      <c r="G136">
        <f t="shared" si="113"/>
        <v>-5.4442630355264798</v>
      </c>
      <c r="H136">
        <f t="shared" si="156"/>
        <v>4.0792156108742272</v>
      </c>
      <c r="I136">
        <f t="shared" si="157"/>
        <v>-4.0792156108742272</v>
      </c>
      <c r="J136">
        <f t="shared" si="106"/>
        <v>2.3748684174075829</v>
      </c>
      <c r="K136">
        <f t="shared" si="107"/>
        <v>-2.3748684174075829</v>
      </c>
      <c r="AA136" s="55">
        <v>0.70833333333333304</v>
      </c>
      <c r="AB136" s="7" t="str">
        <f>IF('Control Solar 1er Sem'!$N$8="si",IF(Isorreq!C21=-1,0,"si"),0)</f>
        <v>si</v>
      </c>
      <c r="AC136" s="55">
        <v>0.70833333333333304</v>
      </c>
      <c r="AD136" s="7" t="str">
        <f>IF('Control Solar 1er Sem'!$N$8="si",IF(Isorreq!D21=-1,0,"si"),0)</f>
        <v>si</v>
      </c>
      <c r="AE136" s="55">
        <v>0.70833333333333304</v>
      </c>
      <c r="AF136" s="7" t="str">
        <f>IF('Control Solar 1er Sem'!$N$8="si",IF(Isorreq!E21=-1,0,"si"),0)</f>
        <v>si</v>
      </c>
      <c r="AG136" s="55">
        <v>0.70833333333333304</v>
      </c>
      <c r="AH136" s="7" t="str">
        <f>IF('Control Solar 1er Sem'!$N$8="si",IF(Isorreq!F21=-1,0,"si"),0)</f>
        <v>si</v>
      </c>
      <c r="AI136" s="55">
        <v>0.70833333333333304</v>
      </c>
      <c r="AJ136" s="7" t="str">
        <f>IF('Control Solar 1er Sem'!$N$8="si",IF(Isorreq!G21=-1,0,"si"),0)</f>
        <v>si</v>
      </c>
      <c r="AK136" s="55">
        <v>0.70833333333333304</v>
      </c>
      <c r="AL136" s="7" t="str">
        <f>IF('Control Solar 1er Sem'!$N$8="si",IF(Isorreq!H21=-1,0,"si"),0)</f>
        <v>si</v>
      </c>
      <c r="AO136" s="39">
        <v>0.70833333333333304</v>
      </c>
      <c r="AP136" s="38">
        <v>-75</v>
      </c>
      <c r="AQ136" s="38">
        <f t="shared" si="114"/>
        <v>3.9806023907424599</v>
      </c>
      <c r="AR136" s="38">
        <f t="shared" si="160"/>
        <v>-112.5771078319798</v>
      </c>
      <c r="AT136">
        <f t="shared" si="116"/>
        <v>8.6019397609257542</v>
      </c>
      <c r="AU136">
        <f t="shared" si="117"/>
        <v>202.57710783197979</v>
      </c>
      <c r="AV136" s="7">
        <f t="shared" si="118"/>
        <v>-7.9427188060969565</v>
      </c>
      <c r="AW136" s="7">
        <f t="shared" si="119"/>
        <v>-3.3025120163095769</v>
      </c>
      <c r="AX136" s="39">
        <v>0.70833333333333304</v>
      </c>
      <c r="AZ136" s="39">
        <v>0.70833333333333304</v>
      </c>
      <c r="BA136" s="38">
        <v>-75</v>
      </c>
      <c r="BB136" s="38">
        <f t="shared" si="120"/>
        <v>8.8424843209748119</v>
      </c>
      <c r="BC136" s="38">
        <f t="shared" si="161"/>
        <v>-104.68802822282147</v>
      </c>
      <c r="BE136">
        <f t="shared" si="122"/>
        <v>8.1157515679025192</v>
      </c>
      <c r="BF136">
        <f t="shared" si="123"/>
        <v>194.68802822282146</v>
      </c>
      <c r="BG136" s="7">
        <f t="shared" si="124"/>
        <v>-7.8505349227251564</v>
      </c>
      <c r="BH136" s="7">
        <f t="shared" si="125"/>
        <v>-2.0577961364005222</v>
      </c>
      <c r="BI136" s="39">
        <v>0.70833333333333304</v>
      </c>
      <c r="BK136" s="39">
        <v>0.70833333333333304</v>
      </c>
      <c r="BL136" s="38">
        <v>-75</v>
      </c>
      <c r="BM136" s="38">
        <f t="shared" si="126"/>
        <v>15.051271742006362</v>
      </c>
      <c r="BN136" s="38">
        <f t="shared" si="162"/>
        <v>-93.815787356682009</v>
      </c>
      <c r="BP136">
        <f t="shared" si="128"/>
        <v>7.494872825799364</v>
      </c>
      <c r="BQ136">
        <f t="shared" si="129"/>
        <v>183.81578735668199</v>
      </c>
      <c r="BR136" s="7">
        <f t="shared" si="130"/>
        <v>-7.4782579609816162</v>
      </c>
      <c r="BS136" s="7">
        <f t="shared" si="131"/>
        <v>-0.49877504340215972</v>
      </c>
      <c r="BT136" s="39">
        <v>0.70833333333333304</v>
      </c>
      <c r="BV136" s="39">
        <v>0.70833333333333304</v>
      </c>
      <c r="BW136" s="38">
        <v>-75</v>
      </c>
      <c r="BX136" s="38">
        <f t="shared" si="132"/>
        <v>20.094408212134532</v>
      </c>
      <c r="BY136" s="38">
        <f t="shared" si="163"/>
        <v>-83.69300591455243</v>
      </c>
      <c r="CA136">
        <f t="shared" si="134"/>
        <v>6.9905591787865466</v>
      </c>
      <c r="CB136">
        <f t="shared" si="135"/>
        <v>173.69300591455243</v>
      </c>
      <c r="CC136" s="7">
        <f t="shared" si="136"/>
        <v>-6.9482491884736275</v>
      </c>
      <c r="CD136" s="7">
        <f t="shared" si="137"/>
        <v>0.76795237286723794</v>
      </c>
      <c r="CE136" s="39">
        <v>0.70833333333333304</v>
      </c>
      <c r="CG136" s="39">
        <v>0.70833333333333304</v>
      </c>
      <c r="CH136" s="38">
        <v>-75</v>
      </c>
      <c r="CI136" s="38">
        <f t="shared" si="138"/>
        <v>23.081833865003894</v>
      </c>
      <c r="CJ136" s="38">
        <f t="shared" si="164"/>
        <v>-76.718561537440678</v>
      </c>
      <c r="CL136">
        <f t="shared" si="140"/>
        <v>6.6918166134996104</v>
      </c>
      <c r="CM136">
        <f t="shared" si="141"/>
        <v>166.71856153744068</v>
      </c>
      <c r="CN136" s="7">
        <f t="shared" si="142"/>
        <v>-6.5128329273581409</v>
      </c>
      <c r="CO136" s="7">
        <f t="shared" si="143"/>
        <v>1.5373408369743473</v>
      </c>
      <c r="CP136" s="39">
        <v>0.70833333333333304</v>
      </c>
      <c r="CR136" s="39">
        <v>0.70833333333333304</v>
      </c>
      <c r="CS136" s="38">
        <v>-75</v>
      </c>
      <c r="CT136" s="38">
        <f t="shared" si="144"/>
        <v>23.63600454935963</v>
      </c>
      <c r="CU136" s="38">
        <f t="shared" si="165"/>
        <v>-75.306075969479892</v>
      </c>
      <c r="CW136">
        <f t="shared" si="146"/>
        <v>6.6363995450640374</v>
      </c>
      <c r="CX136">
        <f t="shared" si="147"/>
        <v>165.30607596947988</v>
      </c>
      <c r="CY136" s="7">
        <f t="shared" si="148"/>
        <v>-6.4193538234426146</v>
      </c>
      <c r="CZ136" s="7">
        <f t="shared" si="149"/>
        <v>1.6833583727711809</v>
      </c>
      <c r="DA136" s="39">
        <v>0.70833333333333304</v>
      </c>
      <c r="DC136" s="39">
        <v>0.70833333333333304</v>
      </c>
      <c r="DD136" s="38">
        <v>-75</v>
      </c>
      <c r="DE136" s="38">
        <f t="shared" si="150"/>
        <v>1.0425877010819102</v>
      </c>
      <c r="DF136" s="38">
        <f t="shared" si="166"/>
        <v>-117.22586297915178</v>
      </c>
      <c r="DH136">
        <f t="shared" si="152"/>
        <v>8.8957412298918097</v>
      </c>
      <c r="DI136">
        <f t="shared" si="153"/>
        <v>207.22586297915177</v>
      </c>
      <c r="DJ136" s="7">
        <f t="shared" si="154"/>
        <v>-7.91018162634417</v>
      </c>
      <c r="DK136" s="7">
        <f t="shared" si="155"/>
        <v>-4.0697958999738733</v>
      </c>
      <c r="DL136" s="39">
        <v>0.70833333333333304</v>
      </c>
    </row>
    <row r="137" spans="1:116" x14ac:dyDescent="0.25">
      <c r="A137">
        <v>-4.5</v>
      </c>
      <c r="B137">
        <f t="shared" si="158"/>
        <v>7.794228634059948</v>
      </c>
      <c r="C137">
        <f t="shared" si="159"/>
        <v>-7.794228634059948</v>
      </c>
      <c r="D137">
        <f t="shared" si="108"/>
        <v>6.6143782776614763</v>
      </c>
      <c r="E137">
        <f t="shared" si="109"/>
        <v>-6.6143782776614763</v>
      </c>
      <c r="F137">
        <f t="shared" si="112"/>
        <v>5.3619026473818039</v>
      </c>
      <c r="G137">
        <f t="shared" si="113"/>
        <v>-5.3619026473818039</v>
      </c>
      <c r="H137">
        <f t="shared" si="156"/>
        <v>3.9686269665968861</v>
      </c>
      <c r="I137">
        <f t="shared" si="157"/>
        <v>-3.9686269665968861</v>
      </c>
      <c r="J137">
        <f t="shared" si="106"/>
        <v>2.179449471770337</v>
      </c>
      <c r="K137">
        <f t="shared" si="107"/>
        <v>-2.179449471770337</v>
      </c>
      <c r="AA137" s="55">
        <v>0.75</v>
      </c>
      <c r="AB137" s="7" t="str">
        <f>IF('Control Solar 1er Sem'!$N$8="si",IF(Isorreq!C22=-1,0,"si"),0)</f>
        <v>si</v>
      </c>
      <c r="AC137" s="55">
        <v>0.75</v>
      </c>
      <c r="AD137" s="7" t="str">
        <f>IF('Control Solar 1er Sem'!$N$8="si",IF(Isorreq!D22=-1,0,"si"),0)</f>
        <v>si</v>
      </c>
      <c r="AE137" s="55">
        <v>0.75</v>
      </c>
      <c r="AF137" s="7" t="str">
        <f>IF('Control Solar 1er Sem'!$N$8="si",IF(Isorreq!E22=-1,0,"si"),0)</f>
        <v>si</v>
      </c>
      <c r="AG137" s="55">
        <v>0.75</v>
      </c>
      <c r="AH137" s="7" t="str">
        <f>IF('Control Solar 1er Sem'!$N$8="si",IF(Isorreq!F22=-1,0,"si"),0)</f>
        <v>si</v>
      </c>
      <c r="AI137" s="55">
        <v>0.75</v>
      </c>
      <c r="AJ137" s="7" t="str">
        <f>IF('Control Solar 1er Sem'!$N$8="si",IF(Isorreq!G22=-1,0,"si"),0)</f>
        <v>si</v>
      </c>
      <c r="AK137" s="55">
        <v>0.75</v>
      </c>
      <c r="AL137" s="7" t="str">
        <f>IF('Control Solar 1er Sem'!$N$8="si",IF(Isorreq!H22=-1,0,"si"),0)</f>
        <v>si</v>
      </c>
      <c r="AO137" s="39">
        <v>0.75</v>
      </c>
      <c r="AP137" s="38">
        <v>-90</v>
      </c>
      <c r="AQ137" s="38">
        <f t="shared" si="114"/>
        <v>-8.4117319355326003</v>
      </c>
      <c r="AR137" s="38">
        <f t="shared" si="160"/>
        <v>-105.42042609675256</v>
      </c>
      <c r="AT137">
        <f t="shared" si="116"/>
        <v>9.84117319355326</v>
      </c>
      <c r="AU137">
        <f t="shared" si="117"/>
        <v>195.42042609675258</v>
      </c>
      <c r="AV137" s="7">
        <f t="shared" si="118"/>
        <v>-9.4868975670639042</v>
      </c>
      <c r="AW137" s="7">
        <f t="shared" si="119"/>
        <v>-2.6167660150552736</v>
      </c>
      <c r="AX137" s="39">
        <v>0.75</v>
      </c>
      <c r="AZ137" s="39">
        <v>0.75</v>
      </c>
      <c r="BA137" s="38">
        <v>-90</v>
      </c>
      <c r="BB137" s="38">
        <f t="shared" si="120"/>
        <v>-4.0202279922027584</v>
      </c>
      <c r="BC137" s="38">
        <f t="shared" si="161"/>
        <v>-97.260160733971048</v>
      </c>
      <c r="BE137">
        <f t="shared" si="122"/>
        <v>9.4020227992202763</v>
      </c>
      <c r="BF137">
        <f t="shared" si="123"/>
        <v>187.26016073397105</v>
      </c>
      <c r="BG137" s="7">
        <f t="shared" si="124"/>
        <v>-9.3266425907843757</v>
      </c>
      <c r="BH137" s="7">
        <f t="shared" si="125"/>
        <v>-1.1881795743172858</v>
      </c>
      <c r="BI137" s="39">
        <v>0.75</v>
      </c>
      <c r="BK137" s="39">
        <v>0.75</v>
      </c>
      <c r="BL137" s="38">
        <v>-90</v>
      </c>
      <c r="BM137" s="38">
        <f t="shared" si="126"/>
        <v>1.9510766725967672</v>
      </c>
      <c r="BN137" s="38">
        <f t="shared" si="162"/>
        <v>-86.488170658290201</v>
      </c>
      <c r="BP137">
        <f t="shared" si="128"/>
        <v>8.804892332740323</v>
      </c>
      <c r="BQ137">
        <f t="shared" si="129"/>
        <v>176.48817065829019</v>
      </c>
      <c r="BR137" s="7">
        <f t="shared" si="130"/>
        <v>-8.7883582682606036</v>
      </c>
      <c r="BS137" s="7">
        <f t="shared" si="131"/>
        <v>0.53934028205281592</v>
      </c>
      <c r="BT137" s="39">
        <v>0.75</v>
      </c>
      <c r="BV137" s="39">
        <v>0.75</v>
      </c>
      <c r="BW137" s="38">
        <v>-90</v>
      </c>
      <c r="BX137" s="38">
        <f t="shared" si="132"/>
        <v>7.1796941081018506</v>
      </c>
      <c r="BY137" s="38">
        <f t="shared" si="163"/>
        <v>-76.908415468616056</v>
      </c>
      <c r="CA137">
        <f t="shared" si="134"/>
        <v>8.2820305891898158</v>
      </c>
      <c r="CB137">
        <f t="shared" si="135"/>
        <v>166.90841546861606</v>
      </c>
      <c r="CC137" s="7">
        <f t="shared" si="136"/>
        <v>-8.0667743759958661</v>
      </c>
      <c r="CD137" s="7">
        <f t="shared" si="137"/>
        <v>1.8759482527650715</v>
      </c>
      <c r="CE137" s="39">
        <v>0.75</v>
      </c>
      <c r="CG137" s="39">
        <v>0.75</v>
      </c>
      <c r="CH137" s="38">
        <v>-90</v>
      </c>
      <c r="CI137" s="38">
        <f t="shared" si="138"/>
        <v>10.508522694850116</v>
      </c>
      <c r="CJ137" s="38">
        <f t="shared" si="164"/>
        <v>-70.516285917220941</v>
      </c>
      <c r="CL137">
        <f t="shared" si="140"/>
        <v>7.9491477305149889</v>
      </c>
      <c r="CM137">
        <f t="shared" si="141"/>
        <v>160.51628591722096</v>
      </c>
      <c r="CN137" s="7">
        <f t="shared" si="142"/>
        <v>-7.4939503996922818</v>
      </c>
      <c r="CO137" s="7">
        <f t="shared" si="143"/>
        <v>2.6513500426204546</v>
      </c>
      <c r="CP137" s="39">
        <v>0.75</v>
      </c>
      <c r="CR137" s="39">
        <v>0.75</v>
      </c>
      <c r="CS137" s="38">
        <v>-90</v>
      </c>
      <c r="CT137" s="38">
        <f t="shared" si="144"/>
        <v>11.152054967319165</v>
      </c>
      <c r="CU137" s="38">
        <f t="shared" si="165"/>
        <v>-69.238766580276192</v>
      </c>
      <c r="CW137">
        <f t="shared" si="146"/>
        <v>7.8847945032680835</v>
      </c>
      <c r="CX137">
        <f t="shared" si="147"/>
        <v>159.23876658027621</v>
      </c>
      <c r="CY137" s="7">
        <f t="shared" si="148"/>
        <v>-7.3728011230173927</v>
      </c>
      <c r="CZ137" s="7">
        <f t="shared" si="149"/>
        <v>2.7949575952418431</v>
      </c>
      <c r="DA137" s="39">
        <v>0.75</v>
      </c>
      <c r="DC137" s="39">
        <v>0.75</v>
      </c>
      <c r="DD137" s="38">
        <v>-90</v>
      </c>
      <c r="DE137" s="38">
        <f t="shared" si="150"/>
        <v>-10.952670234464714</v>
      </c>
      <c r="DF137" s="38">
        <f t="shared" si="166"/>
        <v>-110.36370911494541</v>
      </c>
      <c r="DH137">
        <f t="shared" si="152"/>
        <v>10.095267023446471</v>
      </c>
      <c r="DI137">
        <f t="shared" si="153"/>
        <v>200.36370911494541</v>
      </c>
      <c r="DJ137" s="7">
        <f t="shared" si="154"/>
        <v>-9.4643389348438767</v>
      </c>
      <c r="DK137" s="7">
        <f t="shared" si="155"/>
        <v>-3.5129339306460108</v>
      </c>
      <c r="DL137" s="39">
        <v>0.75</v>
      </c>
    </row>
    <row r="138" spans="1:116" x14ac:dyDescent="0.25">
      <c r="A138">
        <v>-4.5999999999999996</v>
      </c>
      <c r="B138">
        <f t="shared" si="158"/>
        <v>7.7356318423254864</v>
      </c>
      <c r="C138">
        <f t="shared" si="159"/>
        <v>-7.7356318423254864</v>
      </c>
      <c r="D138">
        <f t="shared" si="108"/>
        <v>6.5452272687814288</v>
      </c>
      <c r="E138">
        <f t="shared" si="109"/>
        <v>-6.5452272687814288</v>
      </c>
      <c r="F138">
        <f t="shared" si="112"/>
        <v>5.2763623833091682</v>
      </c>
      <c r="G138">
        <f t="shared" si="113"/>
        <v>-5.2763623833091682</v>
      </c>
      <c r="H138">
        <f t="shared" si="156"/>
        <v>3.8522720568516449</v>
      </c>
      <c r="I138">
        <f t="shared" si="157"/>
        <v>-3.8522720568516449</v>
      </c>
      <c r="J138">
        <f t="shared" si="106"/>
        <v>1.9595917942265433</v>
      </c>
      <c r="K138">
        <f>-J138</f>
        <v>-1.9595917942265433</v>
      </c>
      <c r="AO138" s="39">
        <v>0.79166666666666663</v>
      </c>
      <c r="AP138" s="38">
        <v>-105</v>
      </c>
      <c r="AQ138" s="38">
        <f t="shared" si="114"/>
        <v>-21.222454332100078</v>
      </c>
      <c r="AR138" s="38">
        <f t="shared" si="160"/>
        <v>-98.829098209067979</v>
      </c>
      <c r="AT138">
        <f t="shared" si="116"/>
        <v>11.122245433210008</v>
      </c>
      <c r="AU138">
        <f t="shared" si="117"/>
        <v>188.82909820906798</v>
      </c>
      <c r="AV138" s="7">
        <f t="shared" si="118"/>
        <v>-10.990453038698439</v>
      </c>
      <c r="AW138" s="7">
        <f t="shared" si="119"/>
        <v>-1.7071278454542105</v>
      </c>
      <c r="AX138" s="39">
        <v>0.79166666666666663</v>
      </c>
      <c r="AZ138" s="39">
        <v>0.79166666666666663</v>
      </c>
      <c r="BA138" s="38">
        <v>-105</v>
      </c>
      <c r="BB138" s="38">
        <f t="shared" si="120"/>
        <v>-17.093738200635286</v>
      </c>
      <c r="BC138" s="38">
        <f t="shared" si="161"/>
        <v>-90.095047630469693</v>
      </c>
      <c r="BE138">
        <f t="shared" si="122"/>
        <v>10.709373820063529</v>
      </c>
      <c r="BF138">
        <f t="shared" si="123"/>
        <v>180.09504763046971</v>
      </c>
      <c r="BG138" s="7">
        <f t="shared" si="124"/>
        <v>-10.709359084345353</v>
      </c>
      <c r="BH138" s="7">
        <f t="shared" si="125"/>
        <v>-1.7765708874136893E-2</v>
      </c>
      <c r="BI138" s="39">
        <v>0.79166666666666663</v>
      </c>
      <c r="BK138" s="39">
        <v>0.79166666666666663</v>
      </c>
      <c r="BL138" s="38">
        <v>-105</v>
      </c>
      <c r="BM138" s="38">
        <f t="shared" si="126"/>
        <v>-11.045650532058881</v>
      </c>
      <c r="BN138" s="38">
        <f t="shared" si="162"/>
        <v>-79.033909310679306</v>
      </c>
      <c r="BP138">
        <f t="shared" si="128"/>
        <v>10.104565053205889</v>
      </c>
      <c r="BQ138">
        <f t="shared" si="129"/>
        <v>169.03390931067929</v>
      </c>
      <c r="BR138" s="7">
        <f t="shared" si="130"/>
        <v>-9.9200550673093009</v>
      </c>
      <c r="BS138" s="7">
        <f t="shared" si="131"/>
        <v>1.9221712660480583</v>
      </c>
      <c r="BT138" s="39">
        <v>0.79166666666666663</v>
      </c>
      <c r="BV138" s="39">
        <v>0.79166666666666663</v>
      </c>
      <c r="BW138" s="38">
        <v>-105</v>
      </c>
      <c r="BX138" s="38">
        <f t="shared" si="132"/>
        <v>-5.3710235152583179</v>
      </c>
      <c r="BY138" s="38">
        <f t="shared" si="163"/>
        <v>-69.645777513673181</v>
      </c>
      <c r="CA138">
        <f t="shared" si="134"/>
        <v>9.5371023515258315</v>
      </c>
      <c r="CB138">
        <f t="shared" si="135"/>
        <v>159.64577751367318</v>
      </c>
      <c r="CC138" s="7">
        <f t="shared" si="136"/>
        <v>-8.9416074768578948</v>
      </c>
      <c r="CD138" s="7">
        <f t="shared" si="137"/>
        <v>3.317224290469146</v>
      </c>
      <c r="CE138" s="39">
        <v>0.79166666666666663</v>
      </c>
      <c r="CG138" s="39">
        <v>0.79166666666666663</v>
      </c>
      <c r="CH138" s="38">
        <v>-105</v>
      </c>
      <c r="CI138" s="38">
        <f t="shared" si="138"/>
        <v>-1.5633314612030205</v>
      </c>
      <c r="CJ138" s="38">
        <f t="shared" si="164"/>
        <v>-63.595103972539462</v>
      </c>
      <c r="CL138">
        <f t="shared" si="140"/>
        <v>9.1563331461203017</v>
      </c>
      <c r="CM138">
        <f t="shared" si="141"/>
        <v>153.59510397253945</v>
      </c>
      <c r="CN138" s="7">
        <f t="shared" si="142"/>
        <v>-8.2010873559628497</v>
      </c>
      <c r="CO138" s="7">
        <f t="shared" si="143"/>
        <v>4.0719286416399241</v>
      </c>
      <c r="CP138" s="39">
        <v>0.79166666666666663</v>
      </c>
      <c r="CR138" s="39">
        <v>0.79166666666666663</v>
      </c>
      <c r="CS138" s="38">
        <v>-105</v>
      </c>
      <c r="CT138" s="38">
        <f t="shared" si="144"/>
        <v>-0.80777986614324515</v>
      </c>
      <c r="CU138" s="38">
        <f t="shared" si="165"/>
        <v>-62.404173266606605</v>
      </c>
      <c r="CW138">
        <f t="shared" si="146"/>
        <v>9.0807779866143239</v>
      </c>
      <c r="CX138">
        <f t="shared" si="147"/>
        <v>152.40417326660662</v>
      </c>
      <c r="CY138" s="7">
        <f t="shared" si="148"/>
        <v>-8.0477243653167001</v>
      </c>
      <c r="CZ138" s="7">
        <f t="shared" si="149"/>
        <v>4.2065022741069811</v>
      </c>
      <c r="DA138" s="39">
        <v>0.79166666666666663</v>
      </c>
      <c r="DC138" s="39">
        <v>0.79166666666666663</v>
      </c>
      <c r="DD138" s="38">
        <v>-105</v>
      </c>
      <c r="DE138" s="38">
        <f t="shared" si="150"/>
        <v>-23.465180129092047</v>
      </c>
      <c r="DF138" s="38">
        <f t="shared" si="166"/>
        <v>-104.25379012152538</v>
      </c>
      <c r="DH138">
        <f t="shared" si="152"/>
        <v>11.346518012909204</v>
      </c>
      <c r="DI138">
        <f t="shared" si="153"/>
        <v>194.25379012152538</v>
      </c>
      <c r="DJ138" s="7">
        <f t="shared" si="154"/>
        <v>-10.997211195505972</v>
      </c>
      <c r="DK138" s="7">
        <f t="shared" si="155"/>
        <v>-2.7937102460189238</v>
      </c>
      <c r="DL138" s="39">
        <v>0.79166666666666663</v>
      </c>
    </row>
    <row r="139" spans="1:116" x14ac:dyDescent="0.25">
      <c r="A139">
        <v>-4.7</v>
      </c>
      <c r="B139">
        <f t="shared" si="158"/>
        <v>7.6752850109947053</v>
      </c>
      <c r="C139">
        <f t="shared" si="159"/>
        <v>-7.6752850109947053</v>
      </c>
      <c r="D139">
        <f t="shared" si="108"/>
        <v>6.473793323855805</v>
      </c>
      <c r="E139">
        <f t="shared" si="109"/>
        <v>-6.473793323855805</v>
      </c>
      <c r="F139">
        <f t="shared" si="112"/>
        <v>5.1874849397371747</v>
      </c>
      <c r="G139">
        <f t="shared" si="113"/>
        <v>-5.1874849397371747</v>
      </c>
      <c r="H139">
        <f t="shared" si="156"/>
        <v>3.7296112397943029</v>
      </c>
      <c r="I139">
        <f t="shared" si="157"/>
        <v>-3.7296112397943029</v>
      </c>
      <c r="J139">
        <f t="shared" si="106"/>
        <v>1.7058722109231972</v>
      </c>
      <c r="K139">
        <f>-J139</f>
        <v>-1.7058722109231972</v>
      </c>
      <c r="AO139" s="39">
        <v>0.83333333333333304</v>
      </c>
      <c r="AP139" s="38">
        <v>-120</v>
      </c>
      <c r="AQ139" s="38">
        <f t="shared" si="114"/>
        <v>-34.263131703153903</v>
      </c>
      <c r="AR139" s="38">
        <f t="shared" si="160"/>
        <v>-92.169938930599614</v>
      </c>
      <c r="AT139">
        <f t="shared" si="116"/>
        <v>12.426313170315391</v>
      </c>
      <c r="AU139">
        <f t="shared" si="117"/>
        <v>182.16993893059961</v>
      </c>
      <c r="AV139" s="7">
        <f t="shared" si="118"/>
        <v>-12.41740250470423</v>
      </c>
      <c r="AW139" s="7">
        <f t="shared" si="119"/>
        <v>-0.47050403071482649</v>
      </c>
      <c r="AX139" s="39">
        <v>0.83333333333333304</v>
      </c>
      <c r="AZ139" s="39">
        <v>0.83333333333333304</v>
      </c>
      <c r="BA139" s="38">
        <v>-120</v>
      </c>
      <c r="BB139" s="38">
        <f t="shared" si="120"/>
        <v>-30.166174654908502</v>
      </c>
      <c r="BC139" s="38">
        <f t="shared" si="161"/>
        <v>-82.395681730571113</v>
      </c>
      <c r="BE139">
        <f t="shared" si="122"/>
        <v>12.01661746549085</v>
      </c>
      <c r="BF139">
        <f t="shared" si="123"/>
        <v>172.39568173057111</v>
      </c>
      <c r="BG139" s="7">
        <f t="shared" si="124"/>
        <v>-11.910938158755613</v>
      </c>
      <c r="BH139" s="7">
        <f t="shared" si="125"/>
        <v>1.5901721574217003</v>
      </c>
      <c r="BI139" s="39">
        <v>0.83333333333333304</v>
      </c>
      <c r="BK139" s="39">
        <v>0.83333333333333304</v>
      </c>
      <c r="BL139" s="38">
        <v>-120</v>
      </c>
      <c r="BM139" s="38">
        <f t="shared" si="126"/>
        <v>-23.693971230022676</v>
      </c>
      <c r="BN139" s="38">
        <f t="shared" si="162"/>
        <v>-70.634773561073217</v>
      </c>
      <c r="BP139">
        <f t="shared" si="128"/>
        <v>11.369397123002267</v>
      </c>
      <c r="BQ139">
        <f t="shared" si="129"/>
        <v>160.63477356107322</v>
      </c>
      <c r="BR139" s="7">
        <f t="shared" si="130"/>
        <v>-10.726162988788303</v>
      </c>
      <c r="BS139" s="7">
        <f t="shared" si="131"/>
        <v>3.7699626627435183</v>
      </c>
      <c r="BT139" s="39">
        <v>0.83333333333333304</v>
      </c>
      <c r="BV139" s="39">
        <v>0.83333333333333304</v>
      </c>
      <c r="BW139" s="38">
        <v>-120</v>
      </c>
      <c r="BX139" s="38">
        <f t="shared" si="132"/>
        <v>-17.295202768452899</v>
      </c>
      <c r="BY139" s="38">
        <f t="shared" si="163"/>
        <v>-61.227129569630065</v>
      </c>
      <c r="CA139">
        <f t="shared" si="134"/>
        <v>10.729520276845291</v>
      </c>
      <c r="CB139">
        <f t="shared" si="135"/>
        <v>151.22712956963005</v>
      </c>
      <c r="CC139" s="7">
        <f t="shared" si="136"/>
        <v>-9.4047967545686433</v>
      </c>
      <c r="CD139" s="7">
        <f t="shared" si="137"/>
        <v>5.1645332196133023</v>
      </c>
      <c r="CE139" s="39">
        <v>0.83333333333333304</v>
      </c>
      <c r="CG139" s="39">
        <v>0.83333333333333304</v>
      </c>
      <c r="CH139" s="38">
        <v>-120</v>
      </c>
      <c r="CI139" s="38">
        <f t="shared" si="138"/>
        <v>-12.865159481895564</v>
      </c>
      <c r="CJ139" s="38">
        <f t="shared" si="164"/>
        <v>-55.427667993562665</v>
      </c>
      <c r="CL139">
        <f t="shared" si="140"/>
        <v>10.286515948189557</v>
      </c>
      <c r="CM139">
        <f t="shared" si="141"/>
        <v>145.42766799356266</v>
      </c>
      <c r="CN139" s="7">
        <f t="shared" si="142"/>
        <v>-8.470025064497646</v>
      </c>
      <c r="CO139" s="7">
        <f t="shared" si="143"/>
        <v>5.8370442656484762</v>
      </c>
      <c r="CP139" s="39">
        <v>0.83333333333333304</v>
      </c>
      <c r="CR139" s="39">
        <v>0.83333333333333304</v>
      </c>
      <c r="CS139" s="38">
        <v>-120</v>
      </c>
      <c r="CT139" s="38">
        <f t="shared" si="144"/>
        <v>-11.973998043852708</v>
      </c>
      <c r="CU139" s="38">
        <f t="shared" si="165"/>
        <v>-54.308590994652675</v>
      </c>
      <c r="CW139">
        <f t="shared" si="146"/>
        <v>10.19739980438527</v>
      </c>
      <c r="CX139">
        <f t="shared" si="147"/>
        <v>144.30859099465266</v>
      </c>
      <c r="CY139" s="7">
        <f t="shared" si="148"/>
        <v>-8.2820325453967403</v>
      </c>
      <c r="CZ139" s="7">
        <f t="shared" si="149"/>
        <v>5.9493612839922516</v>
      </c>
      <c r="DA139" s="39">
        <v>0.83333333333333304</v>
      </c>
      <c r="DC139" s="39">
        <v>0.83333333333333304</v>
      </c>
      <c r="DD139" s="38">
        <v>-120</v>
      </c>
      <c r="DE139" s="38">
        <f t="shared" si="150"/>
        <v>-36.313087788252069</v>
      </c>
      <c r="DF139" s="38">
        <f t="shared" si="166"/>
        <v>-98.417944530448025</v>
      </c>
      <c r="DH139">
        <f t="shared" si="152"/>
        <v>12.631308778825208</v>
      </c>
      <c r="DI139">
        <f t="shared" si="153"/>
        <v>188.41794453044804</v>
      </c>
      <c r="DJ139" s="7">
        <f t="shared" si="154"/>
        <v>-12.495225784661383</v>
      </c>
      <c r="DK139" s="7">
        <f t="shared" si="155"/>
        <v>-1.8491333257394118</v>
      </c>
      <c r="DL139" s="39">
        <v>0.83333333333333304</v>
      </c>
    </row>
    <row r="140" spans="1:116" x14ac:dyDescent="0.25">
      <c r="A140">
        <v>-4.8</v>
      </c>
      <c r="B140">
        <f t="shared" si="158"/>
        <v>7.6131465242697125</v>
      </c>
      <c r="C140">
        <f t="shared" si="159"/>
        <v>-7.6131465242697125</v>
      </c>
      <c r="D140">
        <f t="shared" ref="D140:D172" si="167">+SQRT(64-A140^2)</f>
        <v>6.4</v>
      </c>
      <c r="E140">
        <f t="shared" ref="E140:E171" si="168">-D140</f>
        <v>-6.4</v>
      </c>
      <c r="F140">
        <f t="shared" si="112"/>
        <v>5.0950956811427988</v>
      </c>
      <c r="G140">
        <f t="shared" si="113"/>
        <v>-5.0950956811427988</v>
      </c>
      <c r="H140">
        <f t="shared" si="156"/>
        <v>3.6</v>
      </c>
      <c r="I140">
        <f t="shared" si="157"/>
        <v>-3.6</v>
      </c>
      <c r="J140">
        <f t="shared" si="106"/>
        <v>1.4000000000000004</v>
      </c>
      <c r="K140">
        <f>-J140</f>
        <v>-1.4000000000000004</v>
      </c>
      <c r="AA140" t="s">
        <v>53</v>
      </c>
      <c r="AC140" t="s">
        <v>57</v>
      </c>
      <c r="AE140" t="s">
        <v>58</v>
      </c>
      <c r="AG140" t="s">
        <v>59</v>
      </c>
      <c r="AI140" t="s">
        <v>60</v>
      </c>
      <c r="AK140" t="s">
        <v>61</v>
      </c>
      <c r="AO140" s="39">
        <v>0.875</v>
      </c>
      <c r="AP140" s="38">
        <v>-135</v>
      </c>
      <c r="AQ140" s="38">
        <f t="shared" si="114"/>
        <v>-47.358006013278754</v>
      </c>
      <c r="AR140" s="38">
        <f t="shared" si="160"/>
        <v>-84.519330155836997</v>
      </c>
      <c r="AT140">
        <f t="shared" si="116"/>
        <v>13.735800601327876</v>
      </c>
      <c r="AU140">
        <f t="shared" si="117"/>
        <v>174.519330155837</v>
      </c>
      <c r="AV140" s="7">
        <f t="shared" si="118"/>
        <v>-13.673007082095584</v>
      </c>
      <c r="AW140" s="7">
        <f t="shared" si="119"/>
        <v>1.3119052909426219</v>
      </c>
      <c r="AX140" s="39">
        <v>0.875</v>
      </c>
      <c r="AZ140" s="39">
        <v>0.875</v>
      </c>
      <c r="BA140" s="38">
        <v>-135</v>
      </c>
      <c r="BB140" s="38">
        <f t="shared" si="120"/>
        <v>-42.970049900882437</v>
      </c>
      <c r="BC140" s="38">
        <f t="shared" si="161"/>
        <v>-72.992972749272582</v>
      </c>
      <c r="BE140">
        <f t="shared" si="122"/>
        <v>13.297004990088244</v>
      </c>
      <c r="BF140">
        <f t="shared" si="123"/>
        <v>162.99297274927258</v>
      </c>
      <c r="BG140" s="7">
        <f t="shared" si="124"/>
        <v>-12.715512199162722</v>
      </c>
      <c r="BH140" s="7">
        <f t="shared" si="125"/>
        <v>3.8892275864721073</v>
      </c>
      <c r="BI140" s="39">
        <v>0.875</v>
      </c>
      <c r="BK140" s="39">
        <v>0.875</v>
      </c>
      <c r="BL140" s="38">
        <v>-135</v>
      </c>
      <c r="BM140" s="38">
        <f t="shared" si="126"/>
        <v>-35.619953941187866</v>
      </c>
      <c r="BN140" s="38">
        <f t="shared" si="162"/>
        <v>-60.195037330045565</v>
      </c>
      <c r="BP140">
        <f t="shared" si="128"/>
        <v>12.561995394118787</v>
      </c>
      <c r="BQ140">
        <f t="shared" si="129"/>
        <v>150.19503733004558</v>
      </c>
      <c r="BR140" s="7">
        <f t="shared" si="130"/>
        <v>-10.900324851829215</v>
      </c>
      <c r="BS140" s="7">
        <f t="shared" si="131"/>
        <v>6.24392876372369</v>
      </c>
      <c r="BT140" s="39">
        <v>0.875</v>
      </c>
      <c r="BV140" s="39">
        <v>0.875</v>
      </c>
      <c r="BW140" s="38">
        <v>-135</v>
      </c>
      <c r="BX140" s="38">
        <f t="shared" si="132"/>
        <v>-28.177692758769616</v>
      </c>
      <c r="BY140" s="38">
        <f t="shared" si="163"/>
        <v>-50.823092297341248</v>
      </c>
      <c r="CA140">
        <f t="shared" si="134"/>
        <v>11.817769275876962</v>
      </c>
      <c r="CB140">
        <f t="shared" si="135"/>
        <v>140.82309229734125</v>
      </c>
      <c r="CC140" s="7">
        <f t="shared" si="136"/>
        <v>-9.1611247768654742</v>
      </c>
      <c r="CD140" s="7">
        <f t="shared" si="137"/>
        <v>7.4654848121580821</v>
      </c>
      <c r="CE140" s="39">
        <v>0.875</v>
      </c>
      <c r="CG140" s="39">
        <v>0.875</v>
      </c>
      <c r="CH140" s="38">
        <v>-135</v>
      </c>
      <c r="CI140" s="38">
        <f t="shared" si="138"/>
        <v>-22.981260259153483</v>
      </c>
      <c r="CJ140" s="38">
        <f t="shared" si="164"/>
        <v>-45.392932124001135</v>
      </c>
      <c r="CL140">
        <f t="shared" si="140"/>
        <v>11.298126025915348</v>
      </c>
      <c r="CM140">
        <f t="shared" si="141"/>
        <v>135.39293212400113</v>
      </c>
      <c r="CN140" s="7">
        <f t="shared" si="142"/>
        <v>-8.0435813417555835</v>
      </c>
      <c r="CO140" s="7">
        <f t="shared" si="143"/>
        <v>7.934005980337246</v>
      </c>
      <c r="CP140" s="39">
        <v>0.875</v>
      </c>
      <c r="CR140" s="39">
        <v>0.875</v>
      </c>
      <c r="CS140" s="38">
        <v>-135</v>
      </c>
      <c r="CT140" s="38">
        <f t="shared" si="144"/>
        <v>-21.932757611792816</v>
      </c>
      <c r="CU140" s="38">
        <f t="shared" si="165"/>
        <v>-44.372564277814263</v>
      </c>
      <c r="CW140">
        <f t="shared" si="146"/>
        <v>11.193275761179281</v>
      </c>
      <c r="CX140">
        <f t="shared" si="147"/>
        <v>134.37256427781426</v>
      </c>
      <c r="CY140" s="7">
        <f t="shared" si="148"/>
        <v>-7.8276943609689011</v>
      </c>
      <c r="CZ140" s="7">
        <f t="shared" si="149"/>
        <v>8.0010388861109334</v>
      </c>
      <c r="DA140" s="39">
        <v>0.875</v>
      </c>
      <c r="DC140" s="39">
        <v>0.875</v>
      </c>
      <c r="DD140" s="38">
        <v>-135</v>
      </c>
      <c r="DE140" s="38">
        <f t="shared" si="150"/>
        <v>-49.357961668366194</v>
      </c>
      <c r="DF140" s="38">
        <f t="shared" si="166"/>
        <v>-92.227199589722318</v>
      </c>
      <c r="DH140">
        <f t="shared" si="152"/>
        <v>13.935796166836619</v>
      </c>
      <c r="DI140">
        <f t="shared" si="153"/>
        <v>182.22719958972232</v>
      </c>
      <c r="DJ140" s="7">
        <f t="shared" si="154"/>
        <v>-13.9252687913333</v>
      </c>
      <c r="DK140" s="7">
        <f t="shared" si="155"/>
        <v>-0.54157538047532039</v>
      </c>
      <c r="DL140" s="39">
        <v>0.875</v>
      </c>
    </row>
    <row r="141" spans="1:116" x14ac:dyDescent="0.25">
      <c r="A141">
        <v>-4.9000000000000004</v>
      </c>
      <c r="B141">
        <f t="shared" si="158"/>
        <v>7.5491721400429066</v>
      </c>
      <c r="C141">
        <f t="shared" si="159"/>
        <v>-7.5491721400429066</v>
      </c>
      <c r="D141">
        <f t="shared" si="167"/>
        <v>6.3237647015049507</v>
      </c>
      <c r="E141">
        <f t="shared" si="168"/>
        <v>-6.3237647015049507</v>
      </c>
      <c r="F141">
        <f t="shared" si="112"/>
        <v>4.9989998999799941</v>
      </c>
      <c r="G141">
        <f t="shared" si="113"/>
        <v>-4.9989998999799941</v>
      </c>
      <c r="H141">
        <f t="shared" si="156"/>
        <v>3.4626579386361565</v>
      </c>
      <c r="I141">
        <f t="shared" si="157"/>
        <v>-3.4626579386361565</v>
      </c>
      <c r="J141">
        <f t="shared" si="106"/>
        <v>0.99498743710661741</v>
      </c>
      <c r="K141">
        <f>-J141</f>
        <v>-0.99498743710661741</v>
      </c>
      <c r="AA141" s="55">
        <v>0.25</v>
      </c>
      <c r="AB141" s="198">
        <f>IF(Isorreq!C10=-1,0,1)</f>
        <v>0</v>
      </c>
      <c r="AC141" s="55">
        <v>0.25</v>
      </c>
      <c r="AD141" s="198">
        <f>IF(Isorreq!D10=-1,0,1)</f>
        <v>0</v>
      </c>
      <c r="AE141" s="55">
        <v>0.25</v>
      </c>
      <c r="AF141" s="198">
        <f>IF(Isorreq!E10=-1,0,1)</f>
        <v>0</v>
      </c>
      <c r="AG141" s="55">
        <v>0.25</v>
      </c>
      <c r="AH141" s="198">
        <f>IF(Isorreq!F10=-1,0,1)</f>
        <v>0</v>
      </c>
      <c r="AI141" s="55">
        <v>0.25</v>
      </c>
      <c r="AJ141" s="198">
        <f>IF(Isorreq!G10=-1,0,1)</f>
        <v>0</v>
      </c>
      <c r="AK141" s="55">
        <v>0.25</v>
      </c>
      <c r="AL141" s="198">
        <f>IF(Isorreq!H10=-1,0,1)</f>
        <v>0</v>
      </c>
      <c r="AO141" s="39">
        <v>0.91666666666666696</v>
      </c>
      <c r="AP141" s="38">
        <v>-150</v>
      </c>
      <c r="AQ141" s="38">
        <f t="shared" si="114"/>
        <v>-60.232400619509299</v>
      </c>
      <c r="AR141" s="38">
        <f t="shared" si="160"/>
        <v>-73.818841067034114</v>
      </c>
      <c r="AT141">
        <f t="shared" si="116"/>
        <v>15.023240061950929</v>
      </c>
      <c r="AU141">
        <f t="shared" si="117"/>
        <v>163.8188410670341</v>
      </c>
      <c r="AV141" s="7">
        <f t="shared" si="118"/>
        <v>-14.428100067872325</v>
      </c>
      <c r="AW141" s="7">
        <f t="shared" si="119"/>
        <v>4.186606070610174</v>
      </c>
      <c r="AX141" s="39">
        <v>0.91666666666666696</v>
      </c>
      <c r="AY141" s="13"/>
      <c r="AZ141" s="39">
        <v>0.91666666666666696</v>
      </c>
      <c r="BA141" s="38">
        <v>-150</v>
      </c>
      <c r="BB141" s="38">
        <f t="shared" si="120"/>
        <v>-54.989718040976605</v>
      </c>
      <c r="BC141" s="38">
        <f t="shared" si="161"/>
        <v>-59.585502367486896</v>
      </c>
      <c r="BE141">
        <f t="shared" si="122"/>
        <v>14.498971804097661</v>
      </c>
      <c r="BF141">
        <f t="shared" si="123"/>
        <v>149.5855023674869</v>
      </c>
      <c r="BG141" s="7">
        <f t="shared" si="124"/>
        <v>-12.503704486408052</v>
      </c>
      <c r="BH141" s="7">
        <f t="shared" si="125"/>
        <v>7.3401333429712352</v>
      </c>
      <c r="BI141" s="39">
        <v>0.91666666666666696</v>
      </c>
      <c r="BK141" s="39">
        <v>0.91666666666666696</v>
      </c>
      <c r="BL141" s="38">
        <v>-150</v>
      </c>
      <c r="BM141" s="38">
        <f t="shared" si="126"/>
        <v>-46.133018433380855</v>
      </c>
      <c r="BN141" s="38">
        <f t="shared" si="162"/>
        <v>-46.033218302412109</v>
      </c>
      <c r="BP141">
        <f t="shared" si="128"/>
        <v>13.613301843338085</v>
      </c>
      <c r="BQ141">
        <f t="shared" si="129"/>
        <v>136.03321830241211</v>
      </c>
      <c r="BR141" s="7">
        <f t="shared" si="130"/>
        <v>-9.7980708215459078</v>
      </c>
      <c r="BS141" s="7">
        <f t="shared" si="131"/>
        <v>9.4509150484914848</v>
      </c>
      <c r="BT141" s="39">
        <v>0.91666666666666696</v>
      </c>
      <c r="BV141" s="39">
        <v>0.91666666666666696</v>
      </c>
      <c r="BW141" s="38">
        <v>-150</v>
      </c>
      <c r="BX141" s="38">
        <f t="shared" si="132"/>
        <v>-37.33129672095771</v>
      </c>
      <c r="BY141" s="38">
        <f t="shared" si="163"/>
        <v>-37.421390721411996</v>
      </c>
      <c r="CA141">
        <f t="shared" si="134"/>
        <v>12.733129672095771</v>
      </c>
      <c r="CB141">
        <f t="shared" si="135"/>
        <v>127.421390721412</v>
      </c>
      <c r="CC141" s="7">
        <f t="shared" si="136"/>
        <v>-7.7375712504447289</v>
      </c>
      <c r="CD141" s="7">
        <f t="shared" si="137"/>
        <v>10.112496348117856</v>
      </c>
      <c r="CE141" s="39">
        <v>0.91666666666666696</v>
      </c>
      <c r="CG141" s="39">
        <v>0.91666666666666696</v>
      </c>
      <c r="CH141" s="38">
        <v>-150</v>
      </c>
      <c r="CI141" s="38">
        <f t="shared" si="138"/>
        <v>-31.276362355278998</v>
      </c>
      <c r="CJ141" s="38">
        <f t="shared" si="164"/>
        <v>-32.838198459563159</v>
      </c>
      <c r="CL141">
        <f t="shared" si="140"/>
        <v>12.1276362355279</v>
      </c>
      <c r="CM141">
        <f t="shared" si="141"/>
        <v>122.83819845956316</v>
      </c>
      <c r="CN141" s="7">
        <f t="shared" si="142"/>
        <v>-6.5764349434517442</v>
      </c>
      <c r="CO141" s="7">
        <f t="shared" si="143"/>
        <v>10.189703827679987</v>
      </c>
      <c r="CP141" s="39">
        <v>0.91666666666666696</v>
      </c>
      <c r="CR141" s="39">
        <v>0.91666666666666696</v>
      </c>
      <c r="CS141" s="38">
        <v>-150</v>
      </c>
      <c r="CT141" s="38">
        <f t="shared" si="144"/>
        <v>-30.061756873161897</v>
      </c>
      <c r="CU141" s="38">
        <f t="shared" si="165"/>
        <v>-32.005223707712958</v>
      </c>
      <c r="CW141">
        <f t="shared" si="146"/>
        <v>12.00617568731619</v>
      </c>
      <c r="CX141">
        <f t="shared" si="147"/>
        <v>122.00522370771296</v>
      </c>
      <c r="CY141" s="7">
        <f t="shared" si="148"/>
        <v>-6.3632320452066082</v>
      </c>
      <c r="CZ141" s="7">
        <f t="shared" si="149"/>
        <v>10.181234334478219</v>
      </c>
      <c r="DA141" s="39">
        <v>0.91666666666666696</v>
      </c>
      <c r="DC141" s="39">
        <v>0.91666666666666696</v>
      </c>
      <c r="DD141" s="38">
        <v>-150</v>
      </c>
      <c r="DE141" s="38">
        <f t="shared" si="150"/>
        <v>-62.452473976782521</v>
      </c>
      <c r="DF141" s="38">
        <f t="shared" si="166"/>
        <v>-84.319044517006716</v>
      </c>
      <c r="DH141">
        <f t="shared" si="152"/>
        <v>15.245247397678252</v>
      </c>
      <c r="DI141">
        <f t="shared" si="153"/>
        <v>174.31904451700672</v>
      </c>
      <c r="DJ141" s="7">
        <f t="shared" si="154"/>
        <v>-15.170370789465272</v>
      </c>
      <c r="DK141" s="7">
        <f t="shared" si="155"/>
        <v>1.5091117674162806</v>
      </c>
      <c r="DL141" s="39">
        <v>0.91666666666666696</v>
      </c>
    </row>
    <row r="142" spans="1:116" x14ac:dyDescent="0.25">
      <c r="A142">
        <v>-5</v>
      </c>
      <c r="B142">
        <f t="shared" si="158"/>
        <v>7.4833147735478827</v>
      </c>
      <c r="C142">
        <f t="shared" si="159"/>
        <v>-7.4833147735478827</v>
      </c>
      <c r="D142">
        <f t="shared" si="167"/>
        <v>6.2449979983983983</v>
      </c>
      <c r="E142">
        <f t="shared" si="168"/>
        <v>-6.2449979983983983</v>
      </c>
      <c r="F142">
        <f t="shared" si="112"/>
        <v>4.8989794855663558</v>
      </c>
      <c r="G142">
        <f t="shared" si="113"/>
        <v>-4.8989794855663558</v>
      </c>
      <c r="H142">
        <f t="shared" si="156"/>
        <v>3.3166247903553998</v>
      </c>
      <c r="I142">
        <f t="shared" si="157"/>
        <v>-3.3166247903553998</v>
      </c>
      <c r="J142">
        <f t="shared" si="106"/>
        <v>0</v>
      </c>
      <c r="K142">
        <f>-J142</f>
        <v>0</v>
      </c>
      <c r="AA142" s="55">
        <v>0.29166666666666702</v>
      </c>
      <c r="AB142" s="198">
        <f>IF(Isorreq!C11=-1,0,1)</f>
        <v>0</v>
      </c>
      <c r="AC142" s="55">
        <v>0.29166666666666702</v>
      </c>
      <c r="AD142" s="198">
        <f>IF(Isorreq!D11=-1,0,1)</f>
        <v>0</v>
      </c>
      <c r="AE142" s="55">
        <v>0.29166666666666702</v>
      </c>
      <c r="AF142" s="198">
        <f>IF(Isorreq!E11=-1,0,1)</f>
        <v>0</v>
      </c>
      <c r="AG142" s="55">
        <v>0.29166666666666702</v>
      </c>
      <c r="AH142" s="198">
        <f>IF(Isorreq!F11=-1,0,1)</f>
        <v>0</v>
      </c>
      <c r="AI142" s="55">
        <v>0.29166666666666702</v>
      </c>
      <c r="AJ142" s="198">
        <f>IF(Isorreq!G11=-1,0,1)</f>
        <v>0</v>
      </c>
      <c r="AK142" s="55">
        <v>0.29166666666666702</v>
      </c>
      <c r="AL142" s="198">
        <f>IF(Isorreq!H11=-1,0,1)</f>
        <v>1</v>
      </c>
      <c r="AO142" s="39">
        <v>0.95833333333333304</v>
      </c>
      <c r="AP142" s="38">
        <v>-165</v>
      </c>
      <c r="AQ142" s="38">
        <f t="shared" si="114"/>
        <v>-72.046150944645134</v>
      </c>
      <c r="AR142" s="38">
        <f t="shared" si="160"/>
        <v>-53.197388177510931</v>
      </c>
      <c r="AT142">
        <f t="shared" si="116"/>
        <v>16.204615094464515</v>
      </c>
      <c r="AU142">
        <f t="shared" si="117"/>
        <v>143.19738817751093</v>
      </c>
      <c r="AV142" s="7">
        <f t="shared" si="118"/>
        <v>-12.975101156585922</v>
      </c>
      <c r="AW142" s="7">
        <f t="shared" si="119"/>
        <v>9.7075383252454817</v>
      </c>
      <c r="AX142" s="39">
        <v>0.95833333333333304</v>
      </c>
      <c r="AY142" s="13"/>
      <c r="AZ142" s="39">
        <v>0.95833333333333304</v>
      </c>
      <c r="BA142" s="38">
        <v>-165</v>
      </c>
      <c r="BB142" s="38">
        <f t="shared" si="120"/>
        <v>-64.883038153692766</v>
      </c>
      <c r="BC142" s="38">
        <f t="shared" si="161"/>
        <v>-37.111855036527061</v>
      </c>
      <c r="BE142">
        <f t="shared" si="122"/>
        <v>15.488303815369276</v>
      </c>
      <c r="BF142">
        <f t="shared" si="123"/>
        <v>127.11185503652706</v>
      </c>
      <c r="BG142" s="7">
        <f t="shared" si="124"/>
        <v>-9.3452243760977627</v>
      </c>
      <c r="BH142" s="7">
        <f t="shared" si="125"/>
        <v>12.351288857344835</v>
      </c>
      <c r="BI142" s="39">
        <v>0.95833333333333304</v>
      </c>
      <c r="BK142" s="39">
        <v>0.95833333333333304</v>
      </c>
      <c r="BL142" s="38">
        <v>-165</v>
      </c>
      <c r="BM142" s="38">
        <f t="shared" si="126"/>
        <v>-53.905193379238668</v>
      </c>
      <c r="BN142" s="38">
        <f t="shared" si="162"/>
        <v>-25.992283534126898</v>
      </c>
      <c r="BP142">
        <f t="shared" si="128"/>
        <v>14.390519337923866</v>
      </c>
      <c r="BQ142">
        <f t="shared" si="129"/>
        <v>115.9922835341269</v>
      </c>
      <c r="BR142" s="7">
        <f t="shared" si="130"/>
        <v>-6.3066464707789134</v>
      </c>
      <c r="BS142" s="7">
        <f t="shared" si="131"/>
        <v>12.934962586253297</v>
      </c>
      <c r="BT142" s="39">
        <v>0.95833333333333304</v>
      </c>
      <c r="BV142" s="39">
        <v>0.95833333333333304</v>
      </c>
      <c r="BW142" s="38">
        <v>-165</v>
      </c>
      <c r="BX142" s="38">
        <f t="shared" si="132"/>
        <v>-43.692996391273049</v>
      </c>
      <c r="BY142" s="38">
        <f t="shared" si="163"/>
        <v>-20.237754688613791</v>
      </c>
      <c r="CA142">
        <f t="shared" si="134"/>
        <v>13.369299639127306</v>
      </c>
      <c r="CB142">
        <f t="shared" si="135"/>
        <v>110.23775468861379</v>
      </c>
      <c r="CC142" s="7">
        <f t="shared" si="136"/>
        <v>-4.6246618464143543</v>
      </c>
      <c r="CD142" s="7">
        <f t="shared" si="137"/>
        <v>12.543949762618189</v>
      </c>
      <c r="CE142" s="39">
        <v>0.95833333333333304</v>
      </c>
      <c r="CG142" s="39">
        <v>0.95833333333333304</v>
      </c>
      <c r="CH142" s="38">
        <v>-165</v>
      </c>
      <c r="CI142" s="38">
        <f t="shared" si="138"/>
        <v>-36.876609818260775</v>
      </c>
      <c r="CJ142" s="38">
        <f t="shared" si="164"/>
        <v>-17.452108433901259</v>
      </c>
      <c r="CL142">
        <f t="shared" si="140"/>
        <v>12.687660981826077</v>
      </c>
      <c r="CM142">
        <f t="shared" si="141"/>
        <v>107.45210843390126</v>
      </c>
      <c r="CN142" s="7">
        <f t="shared" si="142"/>
        <v>-3.805137569493255</v>
      </c>
      <c r="CO142" s="7">
        <f t="shared" si="143"/>
        <v>12.103622154833769</v>
      </c>
      <c r="CP142" s="39">
        <v>0.95833333333333304</v>
      </c>
      <c r="CR142" s="39">
        <v>0.95833333333333304</v>
      </c>
      <c r="CS142" s="38">
        <v>-165</v>
      </c>
      <c r="CT142" s="38">
        <f t="shared" si="144"/>
        <v>-35.522989333110012</v>
      </c>
      <c r="CU142" s="38">
        <f t="shared" si="165"/>
        <v>-16.962222906987591</v>
      </c>
      <c r="CW142">
        <f t="shared" si="146"/>
        <v>12.552298933311</v>
      </c>
      <c r="CX142">
        <f t="shared" si="147"/>
        <v>106.96222290698759</v>
      </c>
      <c r="CY142" s="7">
        <f t="shared" si="148"/>
        <v>-3.6620217035873983</v>
      </c>
      <c r="CZ142" s="7">
        <f t="shared" si="149"/>
        <v>12.006240275525695</v>
      </c>
      <c r="DA142" s="39">
        <v>0.95833333333333304</v>
      </c>
      <c r="DC142" s="39">
        <v>0.95833333333333304</v>
      </c>
      <c r="DD142" s="38">
        <v>-165</v>
      </c>
      <c r="DE142" s="38">
        <f t="shared" si="150"/>
        <v>-75.23679981258222</v>
      </c>
      <c r="DF142" s="38">
        <f t="shared" si="166"/>
        <v>-69.204392711010712</v>
      </c>
      <c r="DH142">
        <f t="shared" si="152"/>
        <v>16.523679981258223</v>
      </c>
      <c r="DI142">
        <f t="shared" si="153"/>
        <v>159.20439271101071</v>
      </c>
      <c r="DJ142" s="7">
        <f t="shared" si="154"/>
        <v>-15.447210128166809</v>
      </c>
      <c r="DK142" s="7">
        <f t="shared" si="155"/>
        <v>5.8664895277580156</v>
      </c>
      <c r="DL142" s="39">
        <v>0.95833333333333304</v>
      </c>
    </row>
    <row r="143" spans="1:116" x14ac:dyDescent="0.25">
      <c r="A143">
        <v>-5.0999999999999996</v>
      </c>
      <c r="B143">
        <f t="shared" si="158"/>
        <v>7.4155242565849653</v>
      </c>
      <c r="C143">
        <f t="shared" si="159"/>
        <v>-7.4155242565849653</v>
      </c>
      <c r="D143">
        <f t="shared" si="167"/>
        <v>6.163602842493991</v>
      </c>
      <c r="E143">
        <f t="shared" si="168"/>
        <v>-6.163602842493991</v>
      </c>
      <c r="F143">
        <f t="shared" si="112"/>
        <v>4.7947888378947408</v>
      </c>
      <c r="G143">
        <f t="shared" si="113"/>
        <v>-4.7947888378947408</v>
      </c>
      <c r="H143">
        <f t="shared" si="156"/>
        <v>3.1606961258558219</v>
      </c>
      <c r="I143">
        <f t="shared" si="157"/>
        <v>-3.1606961258558219</v>
      </c>
      <c r="AA143" s="55">
        <v>0.33333333333333298</v>
      </c>
      <c r="AB143" s="198">
        <f>IF(Isorreq!C12=-1,0,1)</f>
        <v>0</v>
      </c>
      <c r="AC143" s="55">
        <v>0.33333333333333298</v>
      </c>
      <c r="AD143" s="198">
        <f>IF(Isorreq!D12=-1,0,1)</f>
        <v>0</v>
      </c>
      <c r="AE143" s="55">
        <v>0.33333333333333298</v>
      </c>
      <c r="AF143" s="198">
        <f>IF(Isorreq!E12=-1,0,1)</f>
        <v>0</v>
      </c>
      <c r="AG143" s="55">
        <v>0.33333333333333298</v>
      </c>
      <c r="AH143" s="198">
        <f>IF(Isorreq!F12=-1,0,1)</f>
        <v>0</v>
      </c>
      <c r="AI143" s="55">
        <v>0.33333333333333298</v>
      </c>
      <c r="AJ143" s="198">
        <f>IF(Isorreq!G12=-1,0,1)</f>
        <v>1</v>
      </c>
      <c r="AK143" s="55">
        <v>0.33333333333333298</v>
      </c>
      <c r="AL143" s="198">
        <f>IF(Isorreq!H12=-1,0,1)</f>
        <v>1</v>
      </c>
      <c r="AO143" s="39">
        <v>1</v>
      </c>
      <c r="AP143" s="38">
        <v>-180</v>
      </c>
      <c r="AQ143" s="38">
        <f t="shared" si="114"/>
        <v>-78.436495456484224</v>
      </c>
      <c r="AR143" s="38" t="e">
        <f t="shared" si="160"/>
        <v>#NUM!</v>
      </c>
      <c r="AT143">
        <f t="shared" si="116"/>
        <v>16.843649545648422</v>
      </c>
      <c r="AU143" t="e">
        <f t="shared" si="117"/>
        <v>#NUM!</v>
      </c>
      <c r="AV143" s="7" t="e">
        <f t="shared" si="118"/>
        <v>#NUM!</v>
      </c>
      <c r="AW143" s="7" t="e">
        <f t="shared" si="119"/>
        <v>#NUM!</v>
      </c>
      <c r="AX143" s="39">
        <v>1</v>
      </c>
      <c r="AY143" s="13"/>
      <c r="AZ143" s="39">
        <v>1</v>
      </c>
      <c r="BA143" s="38">
        <v>-180</v>
      </c>
      <c r="BB143" s="38">
        <f t="shared" si="120"/>
        <v>-69.213705065035924</v>
      </c>
      <c r="BC143" s="38" t="e">
        <f t="shared" si="161"/>
        <v>#NUM!</v>
      </c>
      <c r="BE143">
        <f t="shared" si="122"/>
        <v>15.921370506503592</v>
      </c>
      <c r="BF143" t="e">
        <f t="shared" si="123"/>
        <v>#NUM!</v>
      </c>
      <c r="BG143" s="7" t="e">
        <f t="shared" si="124"/>
        <v>#NUM!</v>
      </c>
      <c r="BH143" s="7" t="e">
        <f t="shared" si="125"/>
        <v>#NUM!</v>
      </c>
      <c r="BI143" s="39">
        <v>1</v>
      </c>
      <c r="BK143" s="39">
        <v>1</v>
      </c>
      <c r="BL143" s="38">
        <v>-180</v>
      </c>
      <c r="BM143" s="38">
        <f t="shared" si="126"/>
        <v>-56.903175768944351</v>
      </c>
      <c r="BN143" s="38" t="e">
        <f t="shared" si="162"/>
        <v>#NUM!</v>
      </c>
      <c r="BP143">
        <f t="shared" si="128"/>
        <v>14.690317576894435</v>
      </c>
      <c r="BQ143" t="e">
        <f t="shared" si="129"/>
        <v>#NUM!</v>
      </c>
      <c r="BR143" s="7" t="e">
        <f t="shared" si="130"/>
        <v>#NUM!</v>
      </c>
      <c r="BS143" s="7" t="e">
        <f t="shared" si="131"/>
        <v>#NUM!</v>
      </c>
      <c r="BT143" s="39">
        <v>1</v>
      </c>
      <c r="BV143" s="39">
        <v>1</v>
      </c>
      <c r="BW143" s="38">
        <v>-180</v>
      </c>
      <c r="BX143" s="38">
        <f t="shared" si="132"/>
        <v>-46.019112544125342</v>
      </c>
      <c r="BY143" s="38" t="e">
        <f t="shared" si="163"/>
        <v>#NUM!</v>
      </c>
      <c r="CA143">
        <f t="shared" si="134"/>
        <v>13.601911254412535</v>
      </c>
      <c r="CB143" t="e">
        <f t="shared" si="135"/>
        <v>#NUM!</v>
      </c>
      <c r="CC143" s="7" t="e">
        <f t="shared" si="136"/>
        <v>#NUM!</v>
      </c>
      <c r="CD143" s="7" t="e">
        <f t="shared" si="137"/>
        <v>#NUM!</v>
      </c>
      <c r="CE143" s="39">
        <v>1</v>
      </c>
      <c r="CG143" s="39">
        <v>1</v>
      </c>
      <c r="CH143" s="38">
        <v>-180</v>
      </c>
      <c r="CI143" s="38">
        <f t="shared" si="138"/>
        <v>-38.880375441262558</v>
      </c>
      <c r="CJ143" s="38" t="e">
        <f t="shared" si="164"/>
        <v>#NUM!</v>
      </c>
      <c r="CL143">
        <f t="shared" si="140"/>
        <v>12.888037544126256</v>
      </c>
      <c r="CM143" t="e">
        <f t="shared" si="141"/>
        <v>#NUM!</v>
      </c>
      <c r="CN143" s="7" t="e">
        <f t="shared" si="142"/>
        <v>#NUM!</v>
      </c>
      <c r="CO143" s="7" t="e">
        <f t="shared" si="143"/>
        <v>#NUM!</v>
      </c>
      <c r="CP143" s="39">
        <v>1</v>
      </c>
      <c r="CR143" s="39">
        <v>1</v>
      </c>
      <c r="CS143" s="38">
        <v>-180</v>
      </c>
      <c r="CT143" s="38">
        <f t="shared" si="144"/>
        <v>-37.47021715318634</v>
      </c>
      <c r="CU143" s="38">
        <f t="shared" si="165"/>
        <v>0</v>
      </c>
      <c r="CW143">
        <f t="shared" si="146"/>
        <v>12.747021715318635</v>
      </c>
      <c r="CX143">
        <f t="shared" si="147"/>
        <v>90</v>
      </c>
      <c r="CY143" s="7">
        <f t="shared" si="148"/>
        <v>7.8084969796046266E-16</v>
      </c>
      <c r="CZ143" s="7">
        <f t="shared" si="149"/>
        <v>12.747021715318635</v>
      </c>
      <c r="DA143" s="39">
        <v>1</v>
      </c>
      <c r="DC143" s="39">
        <v>1</v>
      </c>
      <c r="DD143" s="38">
        <v>-180</v>
      </c>
      <c r="DE143" s="38">
        <f t="shared" si="150"/>
        <v>-83.931636727869119</v>
      </c>
      <c r="DF143" s="38">
        <f t="shared" si="166"/>
        <v>-1.1454575485458918E-5</v>
      </c>
      <c r="DH143">
        <f t="shared" si="152"/>
        <v>17.393163672786912</v>
      </c>
      <c r="DI143">
        <f t="shared" si="153"/>
        <v>90.000011454575485</v>
      </c>
      <c r="DJ143" s="7">
        <f t="shared" si="154"/>
        <v>-3.4772422671388359E-6</v>
      </c>
      <c r="DK143" s="7">
        <f t="shared" si="155"/>
        <v>17.393163672786564</v>
      </c>
      <c r="DL143" s="39">
        <v>1</v>
      </c>
    </row>
    <row r="144" spans="1:116" x14ac:dyDescent="0.25">
      <c r="A144">
        <v>-5.2</v>
      </c>
      <c r="B144">
        <f t="shared" si="158"/>
        <v>7.3457470688827824</v>
      </c>
      <c r="C144">
        <f t="shared" si="159"/>
        <v>-7.3457470688827824</v>
      </c>
      <c r="D144">
        <f t="shared" si="167"/>
        <v>6.0794736614282652</v>
      </c>
      <c r="E144">
        <f t="shared" si="168"/>
        <v>-6.0794736614282652</v>
      </c>
      <c r="F144">
        <f t="shared" si="112"/>
        <v>4.6861498055439927</v>
      </c>
      <c r="G144">
        <f t="shared" si="113"/>
        <v>-4.6861498055439927</v>
      </c>
      <c r="H144">
        <f t="shared" si="156"/>
        <v>2.9933259094191524</v>
      </c>
      <c r="I144">
        <f t="shared" si="157"/>
        <v>-2.9933259094191524</v>
      </c>
      <c r="AA144" s="55">
        <v>0.375</v>
      </c>
      <c r="AB144" s="198">
        <f>IF(Isorreq!C13=-1,0,1)</f>
        <v>0</v>
      </c>
      <c r="AC144" s="55">
        <v>0.375</v>
      </c>
      <c r="AD144" s="198">
        <f>IF(Isorreq!D13=-1,0,1)</f>
        <v>0</v>
      </c>
      <c r="AE144" s="55">
        <v>0.375</v>
      </c>
      <c r="AF144" s="198">
        <f>IF(Isorreq!E13=-1,0,1)</f>
        <v>0</v>
      </c>
      <c r="AG144" s="55">
        <v>0.375</v>
      </c>
      <c r="AH144" s="198">
        <f>IF(Isorreq!F13=-1,0,1)</f>
        <v>1</v>
      </c>
      <c r="AI144" s="55">
        <v>0.375</v>
      </c>
      <c r="AJ144" s="198">
        <f>IF(Isorreq!G13=-1,0,1)</f>
        <v>1</v>
      </c>
      <c r="AK144" s="55">
        <v>0.375</v>
      </c>
      <c r="AL144" s="198">
        <f>IF(Isorreq!H13=-1,0,1)</f>
        <v>1</v>
      </c>
    </row>
    <row r="145" spans="1:88" x14ac:dyDescent="0.25">
      <c r="A145">
        <v>-5.3</v>
      </c>
      <c r="B145">
        <f t="shared" si="158"/>
        <v>7.2739260375673327</v>
      </c>
      <c r="C145">
        <f t="shared" si="159"/>
        <v>-7.2739260375673327</v>
      </c>
      <c r="D145">
        <f t="shared" si="167"/>
        <v>5.9924953066314535</v>
      </c>
      <c r="E145">
        <f t="shared" si="168"/>
        <v>-5.9924953066314535</v>
      </c>
      <c r="F145">
        <f t="shared" si="112"/>
        <v>4.5727453460694703</v>
      </c>
      <c r="G145">
        <f t="shared" si="113"/>
        <v>-4.5727453460694703</v>
      </c>
      <c r="H145">
        <f t="shared" si="156"/>
        <v>2.8124722220850469</v>
      </c>
      <c r="I145">
        <f t="shared" si="157"/>
        <v>-2.8124722220850469</v>
      </c>
      <c r="AA145" s="55">
        <v>0.41666666666666602</v>
      </c>
      <c r="AB145" s="198">
        <f>IF(Isorreq!C14=-1,0,1)</f>
        <v>0</v>
      </c>
      <c r="AC145" s="55">
        <v>0.41666666666666602</v>
      </c>
      <c r="AD145" s="198">
        <f>IF(Isorreq!D14=-1,0,1)</f>
        <v>0</v>
      </c>
      <c r="AE145" s="55">
        <v>0.41666666666666602</v>
      </c>
      <c r="AF145" s="198">
        <f>IF(Isorreq!E14=-1,0,1)</f>
        <v>1</v>
      </c>
      <c r="AG145" s="55">
        <v>0.41666666666666602</v>
      </c>
      <c r="AH145" s="198">
        <f>IF(Isorreq!F14=-1,0,1)</f>
        <v>1</v>
      </c>
      <c r="AI145" s="55">
        <v>0.41666666666666602</v>
      </c>
      <c r="AJ145" s="198">
        <f>IF(Isorreq!G14=-1,0,1)</f>
        <v>1</v>
      </c>
      <c r="AK145" s="55">
        <v>0.41666666666666602</v>
      </c>
      <c r="AL145" s="198">
        <f>IF(Isorreq!H14=-1,0,1)</f>
        <v>1</v>
      </c>
    </row>
    <row r="146" spans="1:88" x14ac:dyDescent="0.25">
      <c r="A146">
        <v>-5.4</v>
      </c>
      <c r="B146">
        <f t="shared" si="158"/>
        <v>7.2</v>
      </c>
      <c r="C146">
        <f t="shared" si="159"/>
        <v>-7.2</v>
      </c>
      <c r="D146">
        <f t="shared" si="167"/>
        <v>5.9025418253494824</v>
      </c>
      <c r="E146">
        <f t="shared" si="168"/>
        <v>-5.9025418253494824</v>
      </c>
      <c r="F146">
        <f t="shared" si="112"/>
        <v>4.4542114902640169</v>
      </c>
      <c r="G146">
        <f t="shared" si="113"/>
        <v>-4.4542114902640169</v>
      </c>
      <c r="H146">
        <f t="shared" si="156"/>
        <v>2.6153393661244033</v>
      </c>
      <c r="I146">
        <f t="shared" si="157"/>
        <v>-2.6153393661244033</v>
      </c>
      <c r="AA146" s="55">
        <v>0.45833333333333298</v>
      </c>
      <c r="AB146" s="198">
        <f>IF(Isorreq!C15=-1,0,1)</f>
        <v>0</v>
      </c>
      <c r="AC146" s="55">
        <v>0.45833333333333298</v>
      </c>
      <c r="AD146" s="198">
        <f>IF(Isorreq!D15=-1,0,1)</f>
        <v>1</v>
      </c>
      <c r="AE146" s="55">
        <v>0.45833333333333298</v>
      </c>
      <c r="AF146" s="198">
        <f>IF(Isorreq!E15=-1,0,1)</f>
        <v>1</v>
      </c>
      <c r="AG146" s="55">
        <v>0.45833333333333298</v>
      </c>
      <c r="AH146" s="198">
        <f>IF(Isorreq!F15=-1,0,1)</f>
        <v>1</v>
      </c>
      <c r="AI146" s="55">
        <v>0.45833333333333298</v>
      </c>
      <c r="AJ146" s="198">
        <f>IF(Isorreq!G15=-1,0,1)</f>
        <v>1</v>
      </c>
      <c r="AK146" s="55">
        <v>0.45833333333333298</v>
      </c>
      <c r="AL146" s="198">
        <f>IF(Isorreq!H15=-1,0,1)</f>
        <v>1</v>
      </c>
      <c r="AO146" s="326">
        <v>4.1666666666666664E-2</v>
      </c>
      <c r="AP146" s="292"/>
      <c r="AQ146" s="327">
        <v>8.3333333333333301E-2</v>
      </c>
      <c r="AR146" s="292"/>
      <c r="AS146" s="327">
        <v>0.125</v>
      </c>
      <c r="AT146" s="292"/>
      <c r="AU146" s="327">
        <v>0.16666666666666699</v>
      </c>
      <c r="AV146" s="292"/>
      <c r="AW146" s="327">
        <v>0.20833333333333301</v>
      </c>
      <c r="AX146" s="292"/>
      <c r="AY146" s="327">
        <v>0.25</v>
      </c>
      <c r="AZ146" s="292"/>
      <c r="BA146" s="327">
        <v>0.29166666666666702</v>
      </c>
      <c r="BB146" s="292"/>
      <c r="BC146" s="327">
        <v>0.33333333333333298</v>
      </c>
      <c r="BD146" s="292"/>
      <c r="BE146" s="327">
        <v>0.375</v>
      </c>
      <c r="BF146" s="292"/>
      <c r="BG146" s="327">
        <v>0.41666666666666702</v>
      </c>
      <c r="BH146" s="292"/>
      <c r="BI146" s="327">
        <v>0.45833333333333298</v>
      </c>
      <c r="BJ146" s="292"/>
      <c r="BK146" s="327">
        <v>0.5</v>
      </c>
      <c r="BL146" s="292"/>
      <c r="BM146" s="327">
        <v>0.54166666666666696</v>
      </c>
      <c r="BN146" s="292"/>
      <c r="BO146" s="327">
        <v>0.58333333333333304</v>
      </c>
      <c r="BP146" s="292"/>
      <c r="BQ146" s="327">
        <v>0.625</v>
      </c>
      <c r="BR146" s="292"/>
      <c r="BS146" s="327">
        <v>0.66666666666666696</v>
      </c>
      <c r="BT146" s="292"/>
      <c r="BU146" s="327">
        <v>0.70833333333333304</v>
      </c>
      <c r="BV146" s="292"/>
      <c r="BW146" s="327">
        <v>0.75</v>
      </c>
      <c r="BX146" s="292"/>
      <c r="BY146" s="327">
        <v>0.79166666666666696</v>
      </c>
      <c r="BZ146" s="292"/>
      <c r="CA146" s="327">
        <v>0.83333333333333304</v>
      </c>
      <c r="CB146" s="292"/>
      <c r="CC146" s="327">
        <v>0.875</v>
      </c>
      <c r="CD146" s="292"/>
      <c r="CE146" s="327">
        <v>0.91666666666666696</v>
      </c>
      <c r="CF146" s="292"/>
      <c r="CG146" s="327">
        <v>0.95833333333333304</v>
      </c>
      <c r="CH146" s="292"/>
      <c r="CI146" s="327">
        <v>1</v>
      </c>
      <c r="CJ146" s="292"/>
    </row>
    <row r="147" spans="1:88" x14ac:dyDescent="0.25">
      <c r="A147">
        <v>-5.5</v>
      </c>
      <c r="B147">
        <f t="shared" si="158"/>
        <v>7.1239034243875032</v>
      </c>
      <c r="C147">
        <f t="shared" si="159"/>
        <v>-7.1239034243875032</v>
      </c>
      <c r="D147">
        <f t="shared" si="167"/>
        <v>5.8094750193111251</v>
      </c>
      <c r="E147">
        <f t="shared" si="168"/>
        <v>-5.8094750193111251</v>
      </c>
      <c r="F147">
        <f t="shared" si="112"/>
        <v>4.3301270189221936</v>
      </c>
      <c r="G147">
        <f t="shared" si="113"/>
        <v>-4.3301270189221936</v>
      </c>
      <c r="H147">
        <f t="shared" si="156"/>
        <v>2.3979157616563596</v>
      </c>
      <c r="I147">
        <f t="shared" si="157"/>
        <v>-2.3979157616563596</v>
      </c>
      <c r="AA147" s="55">
        <v>0.5</v>
      </c>
      <c r="AB147" s="198">
        <f>IF(Isorreq!C16=-1,0,1)</f>
        <v>1</v>
      </c>
      <c r="AC147" s="55">
        <v>0.5</v>
      </c>
      <c r="AD147" s="198">
        <f>IF(Isorreq!D16=-1,0,1)</f>
        <v>1</v>
      </c>
      <c r="AE147" s="55">
        <v>0.5</v>
      </c>
      <c r="AF147" s="198">
        <f>IF(Isorreq!E16=-1,0,1)</f>
        <v>1</v>
      </c>
      <c r="AG147" s="55">
        <v>0.5</v>
      </c>
      <c r="AH147" s="198">
        <f>IF(Isorreq!F16=-1,0,1)</f>
        <v>1</v>
      </c>
      <c r="AI147" s="55">
        <v>0.5</v>
      </c>
      <c r="AJ147" s="198">
        <f>IF(Isorreq!G16=-1,0,1)</f>
        <v>1</v>
      </c>
      <c r="AK147" s="55">
        <v>0.5</v>
      </c>
      <c r="AL147" s="198">
        <f>IF(Isorreq!H16=-1,0,1)</f>
        <v>1</v>
      </c>
      <c r="AO147" s="35" t="s">
        <v>42</v>
      </c>
      <c r="AP147" s="34" t="s">
        <v>43</v>
      </c>
      <c r="AQ147" s="33" t="s">
        <v>42</v>
      </c>
      <c r="AR147" s="34" t="s">
        <v>43</v>
      </c>
      <c r="AS147" s="33" t="s">
        <v>42</v>
      </c>
      <c r="AT147" s="34" t="s">
        <v>43</v>
      </c>
      <c r="AU147" s="33" t="s">
        <v>42</v>
      </c>
      <c r="AV147" s="34" t="s">
        <v>43</v>
      </c>
      <c r="AW147" s="33" t="s">
        <v>42</v>
      </c>
      <c r="AX147" s="34" t="s">
        <v>43</v>
      </c>
      <c r="AY147" s="33" t="s">
        <v>42</v>
      </c>
      <c r="AZ147" s="34" t="s">
        <v>43</v>
      </c>
      <c r="BA147" s="33" t="s">
        <v>42</v>
      </c>
      <c r="BB147" s="34" t="s">
        <v>43</v>
      </c>
      <c r="BC147" s="33" t="s">
        <v>42</v>
      </c>
      <c r="BD147" s="34" t="s">
        <v>43</v>
      </c>
      <c r="BE147" s="33" t="s">
        <v>42</v>
      </c>
      <c r="BF147" s="34" t="s">
        <v>43</v>
      </c>
      <c r="BG147" s="33" t="s">
        <v>42</v>
      </c>
      <c r="BH147" s="34" t="s">
        <v>43</v>
      </c>
      <c r="BI147" s="33" t="s">
        <v>42</v>
      </c>
      <c r="BJ147" s="34" t="s">
        <v>43</v>
      </c>
      <c r="BK147" s="33" t="s">
        <v>42</v>
      </c>
      <c r="BL147" s="34" t="s">
        <v>43</v>
      </c>
      <c r="BM147" s="33" t="s">
        <v>42</v>
      </c>
      <c r="BN147" s="34" t="s">
        <v>43</v>
      </c>
      <c r="BO147" s="33" t="s">
        <v>42</v>
      </c>
      <c r="BP147" s="34" t="s">
        <v>43</v>
      </c>
      <c r="BQ147" s="33" t="s">
        <v>42</v>
      </c>
      <c r="BR147" s="34" t="s">
        <v>43</v>
      </c>
      <c r="BS147" s="33" t="s">
        <v>42</v>
      </c>
      <c r="BT147" s="34" t="s">
        <v>43</v>
      </c>
      <c r="BU147" s="33" t="s">
        <v>42</v>
      </c>
      <c r="BV147" s="34" t="s">
        <v>43</v>
      </c>
      <c r="BW147" s="33" t="s">
        <v>42</v>
      </c>
      <c r="BX147" s="34" t="s">
        <v>43</v>
      </c>
      <c r="BY147" s="33" t="s">
        <v>42</v>
      </c>
      <c r="BZ147" s="34" t="s">
        <v>43</v>
      </c>
      <c r="CA147" s="33" t="s">
        <v>42</v>
      </c>
      <c r="CB147" s="34" t="s">
        <v>43</v>
      </c>
      <c r="CC147" s="33" t="s">
        <v>42</v>
      </c>
      <c r="CD147" s="34" t="s">
        <v>43</v>
      </c>
      <c r="CE147" s="33" t="s">
        <v>42</v>
      </c>
      <c r="CF147" s="34" t="s">
        <v>43</v>
      </c>
      <c r="CG147" s="33" t="s">
        <v>42</v>
      </c>
      <c r="CH147" s="34" t="s">
        <v>43</v>
      </c>
      <c r="CI147" s="33" t="s">
        <v>42</v>
      </c>
      <c r="CJ147" s="34" t="s">
        <v>43</v>
      </c>
    </row>
    <row r="148" spans="1:88" x14ac:dyDescent="0.25">
      <c r="A148">
        <v>-5.6</v>
      </c>
      <c r="B148">
        <f t="shared" si="158"/>
        <v>7.0455659815234153</v>
      </c>
      <c r="C148">
        <f t="shared" si="159"/>
        <v>-7.0455659815234153</v>
      </c>
      <c r="D148">
        <f t="shared" si="167"/>
        <v>5.7131427428342798</v>
      </c>
      <c r="E148">
        <f t="shared" si="168"/>
        <v>-5.7131427428342798</v>
      </c>
      <c r="F148">
        <f t="shared" si="112"/>
        <v>4.2</v>
      </c>
      <c r="G148">
        <f t="shared" si="113"/>
        <v>-4.2</v>
      </c>
      <c r="H148">
        <f t="shared" si="156"/>
        <v>2.1540659228538024</v>
      </c>
      <c r="I148">
        <f t="shared" si="157"/>
        <v>-2.1540659228538024</v>
      </c>
      <c r="AA148" s="55">
        <v>0.54166666666666596</v>
      </c>
      <c r="AB148" s="198">
        <f>IF(Isorreq!C17=-1,0,1)</f>
        <v>1</v>
      </c>
      <c r="AC148" s="55">
        <v>0.54166666666666596</v>
      </c>
      <c r="AD148" s="198">
        <f>IF(Isorreq!D17=-1,0,1)</f>
        <v>1</v>
      </c>
      <c r="AE148" s="55">
        <v>0.54166666666666596</v>
      </c>
      <c r="AF148" s="198">
        <f>IF(Isorreq!E17=-1,0,1)</f>
        <v>1</v>
      </c>
      <c r="AG148" s="55">
        <v>0.54166666666666596</v>
      </c>
      <c r="AH148" s="198">
        <f>IF(Isorreq!F17=-1,0,1)</f>
        <v>1</v>
      </c>
      <c r="AI148" s="55">
        <v>0.54166666666666596</v>
      </c>
      <c r="AJ148" s="198">
        <f>IF(Isorreq!G17=-1,0,1)</f>
        <v>1</v>
      </c>
      <c r="AK148" s="55">
        <v>0.54166666666666596</v>
      </c>
      <c r="AL148" s="198">
        <f>IF(Isorreq!H17=-1,0,1)</f>
        <v>1</v>
      </c>
      <c r="AN148" s="13" t="s">
        <v>105</v>
      </c>
      <c r="AO148" s="50">
        <f>+DJ120</f>
        <v>15.447210128166809</v>
      </c>
      <c r="AP148" s="51">
        <f>+DK120</f>
        <v>5.8664895277580156</v>
      </c>
      <c r="AQ148" s="52">
        <f>+DJ121</f>
        <v>15.170370789465272</v>
      </c>
      <c r="AR148" s="51">
        <f>+DK121</f>
        <v>1.5091117674162819</v>
      </c>
      <c r="AS148" s="52">
        <f>+DJ122</f>
        <v>13.9252687913333</v>
      </c>
      <c r="AT148" s="51">
        <f>+DK122</f>
        <v>-0.5415753804753205</v>
      </c>
      <c r="AU148" s="52">
        <f>+DJ123</f>
        <v>12.495225784661383</v>
      </c>
      <c r="AV148" s="51">
        <f>+DK123</f>
        <v>-1.8491333257394087</v>
      </c>
      <c r="AW148" s="52">
        <f>+DJ124</f>
        <v>10.997211195505972</v>
      </c>
      <c r="AX148" s="51">
        <f>+DK124</f>
        <v>-2.7937102460189251</v>
      </c>
      <c r="AY148" s="52">
        <f>+DJ125</f>
        <v>9.4643389348438767</v>
      </c>
      <c r="AZ148" s="51">
        <f>+DK125</f>
        <v>-3.5129339306460108</v>
      </c>
      <c r="BA148" s="52">
        <f>+DJ126</f>
        <v>7.9101816263441691</v>
      </c>
      <c r="BB148" s="51">
        <f>+DK126</f>
        <v>-4.0697958999738741</v>
      </c>
      <c r="BC148" s="52">
        <f>+DJ127</f>
        <v>6.3418643967501813</v>
      </c>
      <c r="BD148" s="51">
        <f>+DK127</f>
        <v>-4.4976926632318861</v>
      </c>
      <c r="BE148" s="52">
        <f>+DJ128</f>
        <v>4.763838160119902</v>
      </c>
      <c r="BF148" s="51">
        <f>+DK128</f>
        <v>-4.8160129075246552</v>
      </c>
      <c r="BG148" s="52">
        <f>+DJ129</f>
        <v>3.1792610376260351</v>
      </c>
      <c r="BH148" s="51">
        <f>+DK129</f>
        <v>-5.036524706116456</v>
      </c>
      <c r="BI148" s="52">
        <f>+DJ130</f>
        <v>1.5906095938181593</v>
      </c>
      <c r="BJ148" s="51">
        <f>+DK130</f>
        <v>-5.1663051434165812</v>
      </c>
      <c r="BK148" s="52">
        <f>+DJ131</f>
        <v>3.1909994125405056E-16</v>
      </c>
      <c r="BL148" s="51">
        <f>+DK131</f>
        <v>-5.2091636727869233</v>
      </c>
      <c r="BM148" s="52">
        <f>+DJ132</f>
        <v>-1.5906095938181599</v>
      </c>
      <c r="BN148" s="51">
        <f>+DK132</f>
        <v>-5.1663051434165812</v>
      </c>
      <c r="BO148" s="52">
        <f>+DJ133</f>
        <v>-3.1792610376260346</v>
      </c>
      <c r="BP148" s="51">
        <f>+DK133</f>
        <v>-5.0365247061164569</v>
      </c>
      <c r="BQ148" s="52">
        <f>+DJ134</f>
        <v>-4.7638381601199011</v>
      </c>
      <c r="BR148" s="51">
        <f>+DK134</f>
        <v>-4.8160129075246561</v>
      </c>
      <c r="BS148" s="52">
        <f>+DJ135</f>
        <v>-6.3418643967501813</v>
      </c>
      <c r="BT148" s="51">
        <f>+DK135</f>
        <v>-4.4976926632318852</v>
      </c>
      <c r="BU148" s="52">
        <f>+DJ136</f>
        <v>-7.91018162634417</v>
      </c>
      <c r="BV148" s="51">
        <f>+DK136</f>
        <v>-4.0697958999738733</v>
      </c>
      <c r="BW148" s="52">
        <f>+DJ137</f>
        <v>-9.4643389348438767</v>
      </c>
      <c r="BX148" s="51">
        <f>+DK137</f>
        <v>-3.5129339306460108</v>
      </c>
      <c r="BY148" s="52">
        <f>+DJ138</f>
        <v>-10.997211195505972</v>
      </c>
      <c r="BZ148" s="51">
        <f>+DK138</f>
        <v>-2.7937102460189238</v>
      </c>
      <c r="CA148" s="52">
        <f>+DJ139</f>
        <v>-12.495225784661383</v>
      </c>
      <c r="CB148" s="51">
        <f>+DK139</f>
        <v>-1.8491333257394118</v>
      </c>
      <c r="CC148" s="52">
        <f>+DJ140</f>
        <v>-13.9252687913333</v>
      </c>
      <c r="CD148" s="51">
        <f>+DK140</f>
        <v>-0.54157538047532039</v>
      </c>
      <c r="CE148" s="52">
        <f>+DJ141</f>
        <v>-15.170370789465272</v>
      </c>
      <c r="CF148" s="51">
        <f>+DK141</f>
        <v>1.5091117674162806</v>
      </c>
      <c r="CG148" s="52">
        <f>+DJ142</f>
        <v>-15.447210128166809</v>
      </c>
      <c r="CH148" s="51">
        <f>+DK142</f>
        <v>5.8664895277580156</v>
      </c>
      <c r="CI148" s="52">
        <f>+DJ143</f>
        <v>-3.4772422671388359E-6</v>
      </c>
      <c r="CJ148" s="51">
        <f>+DK143</f>
        <v>17.393163672786564</v>
      </c>
    </row>
    <row r="149" spans="1:88" x14ac:dyDescent="0.25">
      <c r="A149">
        <v>-5.7</v>
      </c>
      <c r="B149">
        <f t="shared" si="158"/>
        <v>6.9649120597463394</v>
      </c>
      <c r="C149">
        <f t="shared" si="159"/>
        <v>-6.9649120597463394</v>
      </c>
      <c r="D149">
        <f t="shared" si="167"/>
        <v>5.6133768802744752</v>
      </c>
      <c r="E149">
        <f t="shared" si="168"/>
        <v>-5.6133768802744752</v>
      </c>
      <c r="F149">
        <f t="shared" si="112"/>
        <v>4.0632499307820087</v>
      </c>
      <c r="G149">
        <f t="shared" si="113"/>
        <v>-4.0632499307820087</v>
      </c>
      <c r="H149">
        <f t="shared" si="156"/>
        <v>1.8734993995195188</v>
      </c>
      <c r="I149">
        <f t="shared" si="157"/>
        <v>-1.8734993995195188</v>
      </c>
      <c r="AA149" s="55">
        <v>0.58333333333333304</v>
      </c>
      <c r="AB149" s="198">
        <f>IF(Isorreq!C18=-1,0,1)</f>
        <v>1</v>
      </c>
      <c r="AC149" s="55">
        <v>0.58333333333333304</v>
      </c>
      <c r="AD149" s="198">
        <f>IF(Isorreq!D18=-1,0,1)</f>
        <v>1</v>
      </c>
      <c r="AE149" s="55">
        <v>0.58333333333333304</v>
      </c>
      <c r="AF149" s="198">
        <f>IF(Isorreq!E18=-1,0,1)</f>
        <v>1</v>
      </c>
      <c r="AG149" s="55">
        <v>0.58333333333333304</v>
      </c>
      <c r="AH149" s="198">
        <f>IF(Isorreq!F18=-1,0,1)</f>
        <v>1</v>
      </c>
      <c r="AI149" s="55">
        <v>0.58333333333333304</v>
      </c>
      <c r="AJ149" s="198">
        <f>IF(Isorreq!G18=-1,0,1)</f>
        <v>1</v>
      </c>
      <c r="AK149" s="55">
        <v>0.58333333333333304</v>
      </c>
      <c r="AL149" s="198">
        <f>IF(Isorreq!H18=-1,0,1)</f>
        <v>1</v>
      </c>
      <c r="AN149" t="s">
        <v>104</v>
      </c>
      <c r="AO149" s="50">
        <f>+AV120</f>
        <v>12.975101156585923</v>
      </c>
      <c r="AP149" s="51">
        <f>+AW120</f>
        <v>9.7075383252454799</v>
      </c>
      <c r="AQ149" s="16">
        <f>+AV121</f>
        <v>14.428100067872327</v>
      </c>
      <c r="AR149" s="14">
        <f>+AW121</f>
        <v>4.1866060706101669</v>
      </c>
      <c r="AS149" s="16">
        <f>+AV122</f>
        <v>13.673007082095582</v>
      </c>
      <c r="AT149" s="14">
        <f>+AW122</f>
        <v>1.311905290942623</v>
      </c>
      <c r="AU149" s="52">
        <f>+AV123</f>
        <v>12.417402504704228</v>
      </c>
      <c r="AV149" s="51">
        <f>+AW123</f>
        <v>-0.47050403071482749</v>
      </c>
      <c r="AW149" s="52">
        <f>+AV124</f>
        <v>10.990453038698439</v>
      </c>
      <c r="AX149" s="51">
        <f>+AW124</f>
        <v>-1.7071278454542096</v>
      </c>
      <c r="AY149" s="52">
        <f>+AV125</f>
        <v>9.4868975670639042</v>
      </c>
      <c r="AZ149" s="51">
        <f>+AW125</f>
        <v>-2.616766015055271</v>
      </c>
      <c r="BA149" s="52">
        <f>+AV126</f>
        <v>7.9427188060969565</v>
      </c>
      <c r="BB149" s="51">
        <f>+AW126</f>
        <v>-3.3025120163095778</v>
      </c>
      <c r="BC149" s="52">
        <f>+AV127</f>
        <v>6.3745781167226729</v>
      </c>
      <c r="BD149" s="51">
        <f>+AW127</f>
        <v>-3.819074768232817</v>
      </c>
      <c r="BE149" s="52">
        <f>+AV128</f>
        <v>4.7914718059899393</v>
      </c>
      <c r="BF149" s="51">
        <f>+AW128</f>
        <v>-4.1978666039421961</v>
      </c>
      <c r="BG149" s="52">
        <f>+AV129</f>
        <v>3.1989291170115344</v>
      </c>
      <c r="BH149" s="51">
        <f>+AW129</f>
        <v>-4.4576700187236371</v>
      </c>
      <c r="BI149" s="16">
        <f>+AV130</f>
        <v>1.6007777970337362</v>
      </c>
      <c r="BJ149" s="14">
        <f>+AW130</f>
        <v>-4.6096209042552729</v>
      </c>
      <c r="BK149" s="16">
        <f>+AV131</f>
        <v>2.8543812206334089E-16</v>
      </c>
      <c r="BL149" s="14">
        <f>+AW131</f>
        <v>-4.6596495456484224</v>
      </c>
      <c r="BM149" s="16">
        <f>+AV132</f>
        <v>-1.6007777970337347</v>
      </c>
      <c r="BN149" s="14">
        <f>+AW132</f>
        <v>-4.6096209042552738</v>
      </c>
      <c r="BO149" s="16">
        <f>+AV133</f>
        <v>-3.1989291170115348</v>
      </c>
      <c r="BP149" s="14">
        <f>+AW133</f>
        <v>-4.4576700187236371</v>
      </c>
      <c r="BQ149" s="16">
        <f>+AV134</f>
        <v>-4.7914718059899393</v>
      </c>
      <c r="BR149" s="14">
        <f>+AW134</f>
        <v>-4.197866603942197</v>
      </c>
      <c r="BS149" s="16">
        <f>+AV135</f>
        <v>-6.3745781167226738</v>
      </c>
      <c r="BT149" s="14">
        <f>+AW135</f>
        <v>-3.8190747682328157</v>
      </c>
      <c r="BU149" s="16">
        <f>+AV136</f>
        <v>-7.9427188060969565</v>
      </c>
      <c r="BV149" s="14">
        <f>+AW136</f>
        <v>-3.3025120163095769</v>
      </c>
      <c r="BW149" s="16">
        <f>+AV137</f>
        <v>-9.4868975670639042</v>
      </c>
      <c r="BX149" s="14">
        <f>+AW137</f>
        <v>-2.6167660150552736</v>
      </c>
      <c r="BY149" s="16">
        <f>+AV138</f>
        <v>-10.990453038698439</v>
      </c>
      <c r="BZ149" s="14">
        <f>+AW138</f>
        <v>-1.7071278454542105</v>
      </c>
      <c r="CA149" s="16">
        <f>+AV139</f>
        <v>-12.41740250470423</v>
      </c>
      <c r="CB149" s="14">
        <f>+AW139</f>
        <v>-0.47050403071482649</v>
      </c>
      <c r="CC149" s="16">
        <f>+AV140</f>
        <v>-13.673007082095584</v>
      </c>
      <c r="CD149" s="14">
        <f>+AW140</f>
        <v>1.3119052909426219</v>
      </c>
      <c r="CE149" s="16">
        <f>+AV141</f>
        <v>-14.428100067872325</v>
      </c>
      <c r="CF149" s="14">
        <f>+AW141</f>
        <v>4.186606070610174</v>
      </c>
      <c r="CG149" s="16">
        <f>+AV142</f>
        <v>-12.975101156585922</v>
      </c>
      <c r="CH149" s="14">
        <f>+AW142</f>
        <v>9.7075383252454817</v>
      </c>
      <c r="CI149" s="52" t="e">
        <f>+AV143</f>
        <v>#NUM!</v>
      </c>
      <c r="CJ149" s="51" t="e">
        <f>+AW143</f>
        <v>#NUM!</v>
      </c>
    </row>
    <row r="150" spans="1:88" x14ac:dyDescent="0.25">
      <c r="A150">
        <v>-5.8</v>
      </c>
      <c r="B150">
        <f t="shared" si="158"/>
        <v>6.8818602136341012</v>
      </c>
      <c r="C150">
        <f t="shared" si="159"/>
        <v>-6.8818602136341012</v>
      </c>
      <c r="D150">
        <f t="shared" si="167"/>
        <v>5.5099909255823647</v>
      </c>
      <c r="E150">
        <f t="shared" si="168"/>
        <v>-5.5099909255823647</v>
      </c>
      <c r="F150">
        <f t="shared" ref="F150:F162" si="169">+SQRT(49-A150^2)</f>
        <v>3.9191835884530848</v>
      </c>
      <c r="G150">
        <f t="shared" ref="G150:G162" si="170">-F150</f>
        <v>-3.9191835884530848</v>
      </c>
      <c r="H150">
        <f t="shared" si="156"/>
        <v>1.5362291495737215</v>
      </c>
      <c r="I150">
        <f t="shared" si="157"/>
        <v>-1.5362291495737215</v>
      </c>
      <c r="AA150" s="55">
        <v>0.625</v>
      </c>
      <c r="AB150" s="198">
        <f>IF(Isorreq!C19=-1,0,1)</f>
        <v>1</v>
      </c>
      <c r="AC150" s="55">
        <v>0.625</v>
      </c>
      <c r="AD150" s="198">
        <f>IF(Isorreq!D19=-1,0,1)</f>
        <v>1</v>
      </c>
      <c r="AE150" s="55">
        <v>0.625</v>
      </c>
      <c r="AF150" s="198">
        <f>IF(Isorreq!E19=-1,0,1)</f>
        <v>1</v>
      </c>
      <c r="AG150" s="55">
        <v>0.625</v>
      </c>
      <c r="AH150" s="198">
        <f>IF(Isorreq!F19=-1,0,1)</f>
        <v>1</v>
      </c>
      <c r="AI150" s="55">
        <v>0.625</v>
      </c>
      <c r="AJ150" s="198">
        <f>IF(Isorreq!G19=-1,0,1)</f>
        <v>1</v>
      </c>
      <c r="AK150" s="55">
        <v>0.625</v>
      </c>
      <c r="AL150" s="198">
        <f>IF(Isorreq!H19=-1,0,1)</f>
        <v>1</v>
      </c>
      <c r="AN150" t="s">
        <v>103</v>
      </c>
      <c r="AO150" s="50">
        <f>+BG120</f>
        <v>9.3452243760977662</v>
      </c>
      <c r="AP150" s="51">
        <f>+BH120</f>
        <v>12.351288857344832</v>
      </c>
      <c r="AQ150" s="16">
        <f>+BG121</f>
        <v>12.503704486408054</v>
      </c>
      <c r="AR150" s="14">
        <f>+BH121</f>
        <v>7.3401333429712334</v>
      </c>
      <c r="AS150" s="16">
        <f>+BG122</f>
        <v>12.715512199162722</v>
      </c>
      <c r="AT150" s="14">
        <f>+BH122</f>
        <v>3.8892275864721073</v>
      </c>
      <c r="AU150" s="16">
        <f>+BG123</f>
        <v>11.910938158755613</v>
      </c>
      <c r="AV150" s="14">
        <f>+BH123</f>
        <v>1.5901721574216976</v>
      </c>
      <c r="AW150" s="52">
        <f>+BG124</f>
        <v>10.709359084345353</v>
      </c>
      <c r="AX150" s="51">
        <f>+BH124</f>
        <v>-1.7765708874136463E-2</v>
      </c>
      <c r="AY150" s="52">
        <f>+BG125</f>
        <v>9.3266425907843757</v>
      </c>
      <c r="AZ150" s="51">
        <f>+BH125</f>
        <v>-1.1881795743172854</v>
      </c>
      <c r="BA150" s="52">
        <f>+BG126</f>
        <v>7.8505349227251555</v>
      </c>
      <c r="BB150" s="51">
        <f>+BH126</f>
        <v>-2.0577961364005248</v>
      </c>
      <c r="BC150" s="52">
        <f>+BG127</f>
        <v>6.3219057421889273</v>
      </c>
      <c r="BD150" s="51">
        <f>+BH127</f>
        <v>-2.7039695211361687</v>
      </c>
      <c r="BE150" s="52">
        <f>+BG128</f>
        <v>4.7621175617680649</v>
      </c>
      <c r="BF150" s="51">
        <f>+BH128</f>
        <v>-3.1725031675284874</v>
      </c>
      <c r="BG150" s="52">
        <f>+BG129</f>
        <v>3.1835652798692924</v>
      </c>
      <c r="BH150" s="51">
        <f>+BH129</f>
        <v>-3.4911671364102341</v>
      </c>
      <c r="BI150" s="52">
        <f>+BG130</f>
        <v>1.5942481393866368</v>
      </c>
      <c r="BJ150" s="51">
        <f>+BH130</f>
        <v>-3.6765137729703996</v>
      </c>
      <c r="BK150" s="52">
        <f>+BG131</f>
        <v>2.2894168507319601E-16</v>
      </c>
      <c r="BL150" s="51">
        <f>+BH131</f>
        <v>-3.7373705065035905</v>
      </c>
      <c r="BM150" s="52">
        <f>+BG132</f>
        <v>-1.5942481393866366</v>
      </c>
      <c r="BN150" s="51">
        <f>+BH132</f>
        <v>-3.6765137729703996</v>
      </c>
      <c r="BO150" s="52">
        <f>+BG133</f>
        <v>-3.1835652798692937</v>
      </c>
      <c r="BP150" s="51">
        <f>+BH133</f>
        <v>-3.4911671364102332</v>
      </c>
      <c r="BQ150" s="52">
        <f>+BG134</f>
        <v>-4.7621175617680658</v>
      </c>
      <c r="BR150" s="51">
        <f>+BH134</f>
        <v>-3.1725031675284869</v>
      </c>
      <c r="BS150" s="52">
        <f>+BG135</f>
        <v>-6.3219057421889273</v>
      </c>
      <c r="BT150" s="51">
        <f>+BH135</f>
        <v>-2.7039695211361696</v>
      </c>
      <c r="BU150" s="52">
        <f>+BG136</f>
        <v>-7.8505349227251564</v>
      </c>
      <c r="BV150" s="51">
        <f>+BH136</f>
        <v>-2.0577961364005222</v>
      </c>
      <c r="BW150" s="52">
        <f>+BG137</f>
        <v>-9.3266425907843757</v>
      </c>
      <c r="BX150" s="51">
        <f>+BH137</f>
        <v>-1.1881795743172858</v>
      </c>
      <c r="BY150" s="52">
        <f>+BG138</f>
        <v>-10.709359084345353</v>
      </c>
      <c r="BZ150" s="51">
        <f>+BH138</f>
        <v>-1.7765708874136893E-2</v>
      </c>
      <c r="CA150" s="52">
        <f>+BG139</f>
        <v>-11.910938158755613</v>
      </c>
      <c r="CB150" s="51">
        <f>+BH139</f>
        <v>1.5901721574217003</v>
      </c>
      <c r="CC150" s="52">
        <f>+BG140</f>
        <v>-12.715512199162722</v>
      </c>
      <c r="CD150" s="51">
        <f>+BH140</f>
        <v>3.8892275864721073</v>
      </c>
      <c r="CE150" s="52">
        <f>+BG141</f>
        <v>-12.503704486408052</v>
      </c>
      <c r="CF150" s="51">
        <f>+BH141</f>
        <v>7.3401333429712352</v>
      </c>
      <c r="CG150" s="52">
        <f>+BG142</f>
        <v>-9.3452243760977627</v>
      </c>
      <c r="CH150" s="51">
        <f>+BH142</f>
        <v>12.351288857344835</v>
      </c>
      <c r="CI150" s="52" t="e">
        <f>+BG143</f>
        <v>#NUM!</v>
      </c>
      <c r="CJ150" s="51" t="e">
        <f>+BH143</f>
        <v>#NUM!</v>
      </c>
    </row>
    <row r="151" spans="1:88" x14ac:dyDescent="0.25">
      <c r="A151">
        <v>-5.9</v>
      </c>
      <c r="B151">
        <f t="shared" si="158"/>
        <v>6.7963225350184784</v>
      </c>
      <c r="C151">
        <f t="shared" si="159"/>
        <v>-6.7963225350184784</v>
      </c>
      <c r="D151">
        <f t="shared" si="167"/>
        <v>5.4027770636960391</v>
      </c>
      <c r="E151">
        <f t="shared" si="168"/>
        <v>-5.4027770636960391</v>
      </c>
      <c r="F151">
        <f t="shared" si="169"/>
        <v>3.7669616403674722</v>
      </c>
      <c r="G151">
        <f t="shared" si="170"/>
        <v>-3.7669616403674722</v>
      </c>
      <c r="H151">
        <f t="shared" si="156"/>
        <v>1.0908712114635704</v>
      </c>
      <c r="I151">
        <f t="shared" si="157"/>
        <v>-1.0908712114635704</v>
      </c>
      <c r="AA151" s="55">
        <v>0.66666666666666596</v>
      </c>
      <c r="AB151" s="198">
        <f>IF(Isorreq!C20=-1,0,1)</f>
        <v>1</v>
      </c>
      <c r="AC151" s="55">
        <v>0.66666666666666596</v>
      </c>
      <c r="AD151" s="198">
        <f>IF(Isorreq!D20=-1,0,1)</f>
        <v>1</v>
      </c>
      <c r="AE151" s="55">
        <v>0.66666666666666596</v>
      </c>
      <c r="AF151" s="198">
        <f>IF(Isorreq!E20=-1,0,1)</f>
        <v>1</v>
      </c>
      <c r="AG151" s="55">
        <v>0.66666666666666596</v>
      </c>
      <c r="AH151" s="198">
        <f>IF(Isorreq!F20=-1,0,1)</f>
        <v>1</v>
      </c>
      <c r="AI151" s="55">
        <v>0.66666666666666596</v>
      </c>
      <c r="AJ151" s="198">
        <f>IF(Isorreq!G20=-1,0,1)</f>
        <v>1</v>
      </c>
      <c r="AK151" s="55">
        <v>0.66666666666666596</v>
      </c>
      <c r="AL151" s="198">
        <f>IF(Isorreq!H20=-1,0,1)</f>
        <v>1</v>
      </c>
      <c r="AN151" t="s">
        <v>102</v>
      </c>
      <c r="AO151" s="50">
        <f>+BR120</f>
        <v>6.3066464707789178</v>
      </c>
      <c r="AP151" s="51">
        <f>+BS120</f>
        <v>12.934962586253297</v>
      </c>
      <c r="AQ151" s="16">
        <f>+BR121</f>
        <v>9.7980708215459078</v>
      </c>
      <c r="AR151" s="14">
        <f>+BS121</f>
        <v>9.4509150484914848</v>
      </c>
      <c r="AS151" s="16">
        <f>+BR122</f>
        <v>10.900324851829213</v>
      </c>
      <c r="AT151" s="14">
        <f>+BS122</f>
        <v>6.2439287637236935</v>
      </c>
      <c r="AU151" s="52">
        <f>+BR123</f>
        <v>10.726162988788303</v>
      </c>
      <c r="AV151" s="51">
        <f>+BS123</f>
        <v>3.7699626627435197</v>
      </c>
      <c r="AW151" s="52">
        <f>+BR124</f>
        <v>9.9200550673093009</v>
      </c>
      <c r="AX151" s="51">
        <f>+BS124</f>
        <v>1.9221712660480537</v>
      </c>
      <c r="AY151" s="52">
        <f>+BR125</f>
        <v>8.7883582682606036</v>
      </c>
      <c r="AZ151" s="51">
        <f>+BS125</f>
        <v>0.53934028205281404</v>
      </c>
      <c r="BA151" s="52">
        <f>+BR126</f>
        <v>7.4782579609816162</v>
      </c>
      <c r="BB151" s="51">
        <f>+BS126</f>
        <v>-0.49877504340216094</v>
      </c>
      <c r="BC151" s="52">
        <f>+BR127</f>
        <v>6.0649626831945911</v>
      </c>
      <c r="BD151" s="51">
        <f>+BS127</f>
        <v>-1.2721013335297824</v>
      </c>
      <c r="BE151" s="52">
        <f>+BR128</f>
        <v>4.5898087062962007</v>
      </c>
      <c r="BF151" s="51">
        <f>+BS128</f>
        <v>-1.8324364394971171</v>
      </c>
      <c r="BG151" s="52">
        <f>+BR129</f>
        <v>3.077355290895408</v>
      </c>
      <c r="BH151" s="51">
        <f>+BS129</f>
        <v>-2.2128940080973147</v>
      </c>
      <c r="BI151" s="52">
        <f>+BR130</f>
        <v>1.5435540171470266</v>
      </c>
      <c r="BJ151" s="51">
        <f>+BS130</f>
        <v>-2.4338374353420646</v>
      </c>
      <c r="BK151" s="52">
        <f>+BR131</f>
        <v>1.5353055534212649E-16</v>
      </c>
      <c r="BL151" s="51">
        <f>+BS131</f>
        <v>-2.5063175768944319</v>
      </c>
      <c r="BM151" s="52">
        <f>+BR132</f>
        <v>-1.5435540171470266</v>
      </c>
      <c r="BN151" s="51">
        <f>+BS132</f>
        <v>-2.4338374353420642</v>
      </c>
      <c r="BO151" s="52">
        <f>+BR133</f>
        <v>-3.0773552908954072</v>
      </c>
      <c r="BP151" s="51">
        <f>+BS133</f>
        <v>-2.2128940080973156</v>
      </c>
      <c r="BQ151" s="52">
        <f>+BR134</f>
        <v>-4.5898087062962007</v>
      </c>
      <c r="BR151" s="51">
        <f>+BS134</f>
        <v>-1.8324364394971171</v>
      </c>
      <c r="BS151" s="52">
        <f>+BR135</f>
        <v>-6.0649626831945911</v>
      </c>
      <c r="BT151" s="51">
        <f>+BS135</f>
        <v>-1.2721013335297828</v>
      </c>
      <c r="BU151" s="52">
        <f>+BR136</f>
        <v>-7.4782579609816162</v>
      </c>
      <c r="BV151" s="51">
        <f>+BS136</f>
        <v>-0.49877504340215972</v>
      </c>
      <c r="BW151" s="52">
        <f>+BR137</f>
        <v>-8.7883582682606036</v>
      </c>
      <c r="BX151" s="51">
        <f>+BS137</f>
        <v>0.53934028205281592</v>
      </c>
      <c r="BY151" s="52">
        <f>+BR138</f>
        <v>-9.9200550673093009</v>
      </c>
      <c r="BZ151" s="51">
        <f>+BS138</f>
        <v>1.9221712660480583</v>
      </c>
      <c r="CA151" s="52">
        <f>+BR139</f>
        <v>-10.726162988788303</v>
      </c>
      <c r="CB151" s="51">
        <f>+BS139</f>
        <v>3.7699626627435183</v>
      </c>
      <c r="CC151" s="52">
        <f>+BR140</f>
        <v>-10.900324851829215</v>
      </c>
      <c r="CD151" s="51">
        <f>+BS140</f>
        <v>6.24392876372369</v>
      </c>
      <c r="CE151" s="52">
        <f>+BR141</f>
        <v>-9.7980708215459078</v>
      </c>
      <c r="CF151" s="51">
        <f>+BS141</f>
        <v>9.4509150484914848</v>
      </c>
      <c r="CG151" s="52">
        <f>+BR142</f>
        <v>-6.3066464707789134</v>
      </c>
      <c r="CH151" s="51">
        <f>+BS142</f>
        <v>12.934962586253297</v>
      </c>
      <c r="CI151" s="52" t="e">
        <f>+BR143</f>
        <v>#NUM!</v>
      </c>
      <c r="CJ151" s="51" t="e">
        <f>+BS143</f>
        <v>#NUM!</v>
      </c>
    </row>
    <row r="152" spans="1:88" x14ac:dyDescent="0.25">
      <c r="A152">
        <v>-6</v>
      </c>
      <c r="B152">
        <f t="shared" si="158"/>
        <v>6.7082039324993694</v>
      </c>
      <c r="C152">
        <f t="shared" si="159"/>
        <v>-6.7082039324993694</v>
      </c>
      <c r="D152">
        <f t="shared" si="167"/>
        <v>5.2915026221291814</v>
      </c>
      <c r="E152">
        <f t="shared" si="168"/>
        <v>-5.2915026221291814</v>
      </c>
      <c r="F152">
        <f t="shared" si="169"/>
        <v>3.6055512754639891</v>
      </c>
      <c r="G152">
        <f t="shared" si="170"/>
        <v>-3.6055512754639891</v>
      </c>
      <c r="H152">
        <f t="shared" si="156"/>
        <v>0</v>
      </c>
      <c r="I152">
        <f t="shared" si="157"/>
        <v>0</v>
      </c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44"/>
      <c r="X152" s="13"/>
      <c r="Y152" s="13"/>
      <c r="Z152" s="13"/>
      <c r="AA152" s="55">
        <v>0.70833333333333304</v>
      </c>
      <c r="AB152" s="198">
        <f>IF(Isorreq!C21=-1,0,1)</f>
        <v>1</v>
      </c>
      <c r="AC152" s="55">
        <v>0.70833333333333304</v>
      </c>
      <c r="AD152" s="198">
        <f>IF(Isorreq!D21=-1,0,1)</f>
        <v>1</v>
      </c>
      <c r="AE152" s="55">
        <v>0.70833333333333304</v>
      </c>
      <c r="AF152" s="198">
        <f>IF(Isorreq!E21=-1,0,1)</f>
        <v>1</v>
      </c>
      <c r="AG152" s="55">
        <v>0.70833333333333304</v>
      </c>
      <c r="AH152" s="198">
        <f>IF(Isorreq!F21=-1,0,1)</f>
        <v>1</v>
      </c>
      <c r="AI152" s="55">
        <v>0.70833333333333304</v>
      </c>
      <c r="AJ152" s="198">
        <f>IF(Isorreq!G21=-1,0,1)</f>
        <v>1</v>
      </c>
      <c r="AK152" s="55">
        <v>0.70833333333333304</v>
      </c>
      <c r="AL152" s="198">
        <f>IF(Isorreq!H21=-1,0,1)</f>
        <v>1</v>
      </c>
      <c r="AM152" s="13"/>
      <c r="AN152" t="s">
        <v>101</v>
      </c>
      <c r="AO152" s="50">
        <f>+CC120</f>
        <v>4.6246618464143561</v>
      </c>
      <c r="AP152" s="51">
        <f>+CD120</f>
        <v>12.543949762618187</v>
      </c>
      <c r="AQ152" s="16">
        <f>+CC121</f>
        <v>7.7375712504447289</v>
      </c>
      <c r="AR152" s="14">
        <f>+CD121</f>
        <v>10.112496348117856</v>
      </c>
      <c r="AS152" s="54">
        <f>+CC122</f>
        <v>9.1611247768654742</v>
      </c>
      <c r="AT152" s="53">
        <f>+CD122</f>
        <v>7.465484812158083</v>
      </c>
      <c r="AU152" s="52">
        <f>+CC123</f>
        <v>9.4047967545686468</v>
      </c>
      <c r="AV152" s="51">
        <f>+CD123</f>
        <v>5.1645332196132978</v>
      </c>
      <c r="AW152" s="52">
        <f>+CC124</f>
        <v>8.9416074768578966</v>
      </c>
      <c r="AX152" s="51">
        <f>+CD124</f>
        <v>3.3172242904691451</v>
      </c>
      <c r="AY152" s="52">
        <f>+CC125</f>
        <v>8.0667743759958661</v>
      </c>
      <c r="AZ152" s="51">
        <f>+CD125</f>
        <v>1.8759482527650697</v>
      </c>
      <c r="BA152" s="52">
        <f>+CC126</f>
        <v>6.9482491884736275</v>
      </c>
      <c r="BB152" s="51">
        <f>+CD126</f>
        <v>0.76795237286723683</v>
      </c>
      <c r="BC152" s="52">
        <f>+CC127</f>
        <v>5.681673954671612</v>
      </c>
      <c r="BD152" s="51">
        <f>+CD127</f>
        <v>-6.8641989673889181E-2</v>
      </c>
      <c r="BE152" s="52">
        <f>+CC128</f>
        <v>4.3235372056031043</v>
      </c>
      <c r="BF152" s="51">
        <f>+CD128</f>
        <v>-0.67945035312016167</v>
      </c>
      <c r="BG152" s="52">
        <f>+CC129</f>
        <v>2.9090953902894121</v>
      </c>
      <c r="BH152" s="51">
        <f>+CD129</f>
        <v>-1.0959270054663139</v>
      </c>
      <c r="BI152" s="52">
        <f>+CC130</f>
        <v>1.4620437645376918</v>
      </c>
      <c r="BJ152" s="51">
        <f>+CD130</f>
        <v>-1.3383201044311768</v>
      </c>
      <c r="BK152" s="52">
        <f>+CC131</f>
        <v>8.6857589127052893E-17</v>
      </c>
      <c r="BL152" s="51">
        <f>+CD131</f>
        <v>-1.417911254412533</v>
      </c>
      <c r="BM152" s="52">
        <f>+CC132</f>
        <v>-1.4620437645376916</v>
      </c>
      <c r="BN152" s="51">
        <f>+CD132</f>
        <v>-1.338320104431177</v>
      </c>
      <c r="BO152" s="52">
        <f>+CC133</f>
        <v>-2.9090953902894121</v>
      </c>
      <c r="BP152" s="51">
        <f>+CD133</f>
        <v>-1.0959270054663137</v>
      </c>
      <c r="BQ152" s="52">
        <f>+CC134</f>
        <v>-4.3235372056031043</v>
      </c>
      <c r="BR152" s="51">
        <f>+CD134</f>
        <v>-0.67945035312016244</v>
      </c>
      <c r="BS152" s="52">
        <f>+CC135</f>
        <v>-5.681673954671612</v>
      </c>
      <c r="BT152" s="51">
        <f>+CD135</f>
        <v>-6.8641989673888751E-2</v>
      </c>
      <c r="BU152" s="52">
        <f>+CC136</f>
        <v>-6.9482491884736275</v>
      </c>
      <c r="BV152" s="51">
        <f>+CD136</f>
        <v>0.76795237286723794</v>
      </c>
      <c r="BW152" s="52">
        <f>+CC137</f>
        <v>-8.0667743759958661</v>
      </c>
      <c r="BX152" s="51">
        <f>+CD137</f>
        <v>1.8759482527650715</v>
      </c>
      <c r="BY152" s="52">
        <f>+CC138</f>
        <v>-8.9416074768578948</v>
      </c>
      <c r="BZ152" s="51">
        <f>+CD138</f>
        <v>3.317224290469146</v>
      </c>
      <c r="CA152" s="52">
        <f>+CC139</f>
        <v>-9.4047967545686433</v>
      </c>
      <c r="CB152" s="51">
        <f>+CD139</f>
        <v>5.1645332196133023</v>
      </c>
      <c r="CC152" s="52">
        <f>+CC140</f>
        <v>-9.1611247768654742</v>
      </c>
      <c r="CD152" s="51">
        <f>+CD140</f>
        <v>7.4654848121580821</v>
      </c>
      <c r="CE152" s="52">
        <f>+CC141</f>
        <v>-7.7375712504447289</v>
      </c>
      <c r="CF152" s="51">
        <f>+CD141</f>
        <v>10.112496348117856</v>
      </c>
      <c r="CG152" s="52">
        <f>+CC142</f>
        <v>-4.6246618464143543</v>
      </c>
      <c r="CH152" s="51">
        <f>+CD142</f>
        <v>12.543949762618189</v>
      </c>
      <c r="CI152" s="52" t="e">
        <f>+CC143</f>
        <v>#NUM!</v>
      </c>
      <c r="CJ152" s="51" t="e">
        <f>+CD143</f>
        <v>#NUM!</v>
      </c>
    </row>
    <row r="153" spans="1:88" x14ac:dyDescent="0.25">
      <c r="A153">
        <v>-6.1</v>
      </c>
      <c r="B153">
        <f t="shared" si="158"/>
        <v>6.6174013026262815</v>
      </c>
      <c r="C153">
        <f t="shared" si="159"/>
        <v>-6.6174013026262815</v>
      </c>
      <c r="D153">
        <f t="shared" si="167"/>
        <v>5.1759057178430137</v>
      </c>
      <c r="E153">
        <f t="shared" si="168"/>
        <v>-5.1759057178430137</v>
      </c>
      <c r="F153">
        <f t="shared" si="169"/>
        <v>3.4336569426778802</v>
      </c>
      <c r="G153">
        <f t="shared" si="170"/>
        <v>-3.4336569426778802</v>
      </c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44"/>
      <c r="X153" s="13"/>
      <c r="Y153" s="13"/>
      <c r="Z153" s="13"/>
      <c r="AA153" s="55">
        <v>0.75</v>
      </c>
      <c r="AB153" s="198">
        <f>IF(Isorreq!C22=-1,0,1)</f>
        <v>1</v>
      </c>
      <c r="AC153" s="55">
        <v>0.75</v>
      </c>
      <c r="AD153" s="198">
        <f>IF(Isorreq!D22=-1,0,1)</f>
        <v>1</v>
      </c>
      <c r="AE153" s="55">
        <v>0.75</v>
      </c>
      <c r="AF153" s="198">
        <f>IF(Isorreq!E22=-1,0,1)</f>
        <v>1</v>
      </c>
      <c r="AG153" s="55">
        <v>0.75</v>
      </c>
      <c r="AH153" s="198">
        <f>IF(Isorreq!F22=-1,0,1)</f>
        <v>1</v>
      </c>
      <c r="AI153" s="55">
        <v>0.75</v>
      </c>
      <c r="AJ153" s="198">
        <f>IF(Isorreq!G22=-1,0,1)</f>
        <v>1</v>
      </c>
      <c r="AK153" s="55">
        <v>0.75</v>
      </c>
      <c r="AL153" s="198">
        <f>IF(Isorreq!H22=-1,0,1)</f>
        <v>1</v>
      </c>
      <c r="AM153" s="13"/>
      <c r="AN153" t="s">
        <v>100</v>
      </c>
      <c r="AO153" s="50">
        <f>+CN120</f>
        <v>3.8051375694932532</v>
      </c>
      <c r="AP153" s="51">
        <f>+CO120</f>
        <v>12.103622154833769</v>
      </c>
      <c r="AQ153" s="16">
        <f>+CN121</f>
        <v>6.5764349434517442</v>
      </c>
      <c r="AR153" s="14">
        <f>+CO121</f>
        <v>10.189703827679988</v>
      </c>
      <c r="AS153" s="54">
        <f>+CN122</f>
        <v>8.0435813417555835</v>
      </c>
      <c r="AT153" s="53">
        <f>+CO122</f>
        <v>7.934005980337246</v>
      </c>
      <c r="AU153" s="52">
        <f>+CN123</f>
        <v>8.470025064497646</v>
      </c>
      <c r="AV153" s="51">
        <f>+CO123</f>
        <v>5.8370442656484753</v>
      </c>
      <c r="AW153" s="52">
        <f>+CN124</f>
        <v>8.2010873559628532</v>
      </c>
      <c r="AX153" s="51">
        <f>+CO124</f>
        <v>4.0719286416399205</v>
      </c>
      <c r="AY153" s="52">
        <f>+CN125</f>
        <v>7.4939503996922818</v>
      </c>
      <c r="AZ153" s="51">
        <f>+CO125</f>
        <v>2.6513500426204568</v>
      </c>
      <c r="BA153" s="52">
        <f>+CN126</f>
        <v>6.5128329273581409</v>
      </c>
      <c r="BB153" s="51">
        <f>+CO126</f>
        <v>1.5373408369743473</v>
      </c>
      <c r="BC153" s="52">
        <f>+CN127</f>
        <v>5.3589112820436533</v>
      </c>
      <c r="BD153" s="51">
        <f>+CO127</f>
        <v>0.68552167573681089</v>
      </c>
      <c r="BE153" s="52">
        <f>+CN128</f>
        <v>4.0953514088422205</v>
      </c>
      <c r="BF153" s="51">
        <f>+CO128</f>
        <v>5.8631501008162723E-2</v>
      </c>
      <c r="BG153" s="52">
        <f>+CN129</f>
        <v>2.7632024243694069</v>
      </c>
      <c r="BH153" s="51">
        <f>+CO129</f>
        <v>-0.37090968772972588</v>
      </c>
      <c r="BI153" s="52">
        <f>+CN130</f>
        <v>1.3908903010032683</v>
      </c>
      <c r="BJ153" s="51">
        <f>+CO130</f>
        <v>-0.62161206557584159</v>
      </c>
      <c r="BK153" s="52">
        <f>+CN131</f>
        <v>4.312752546919713E-17</v>
      </c>
      <c r="BL153" s="51">
        <f>+CO131</f>
        <v>-0.70403754412625652</v>
      </c>
      <c r="BM153" s="52">
        <f>+CN132</f>
        <v>-1.3908903010032683</v>
      </c>
      <c r="BN153" s="51">
        <f>+CO132</f>
        <v>-0.62161206557584214</v>
      </c>
      <c r="BO153" s="52">
        <f>+CN133</f>
        <v>-2.7632024243694073</v>
      </c>
      <c r="BP153" s="51">
        <f>+CO133</f>
        <v>-0.37090968772972527</v>
      </c>
      <c r="BQ153" s="52">
        <f>+CN134</f>
        <v>-4.0953514088422205</v>
      </c>
      <c r="BR153" s="51">
        <f>+CO134</f>
        <v>5.8631501008163472E-2</v>
      </c>
      <c r="BS153" s="52">
        <f>+CN135</f>
        <v>-5.3589112820436533</v>
      </c>
      <c r="BT153" s="51">
        <f>+CO135</f>
        <v>0.68552167573681033</v>
      </c>
      <c r="BU153" s="52">
        <f>+CN136</f>
        <v>-6.5128329273581409</v>
      </c>
      <c r="BV153" s="51">
        <f>+CO136</f>
        <v>1.5373408369743473</v>
      </c>
      <c r="BW153" s="52">
        <f>+CN137</f>
        <v>-7.4939503996922818</v>
      </c>
      <c r="BX153" s="51">
        <f>+CO137</f>
        <v>2.6513500426204546</v>
      </c>
      <c r="BY153" s="52">
        <f>+CN138</f>
        <v>-8.2010873559628497</v>
      </c>
      <c r="BZ153" s="51">
        <f>+CO138</f>
        <v>4.0719286416399241</v>
      </c>
      <c r="CA153" s="52">
        <f>+CN139</f>
        <v>-8.470025064497646</v>
      </c>
      <c r="CB153" s="51">
        <f>+CO139</f>
        <v>5.8370442656484762</v>
      </c>
      <c r="CC153" s="52">
        <f>+CN140</f>
        <v>-8.0435813417555835</v>
      </c>
      <c r="CD153" s="51">
        <f>+CO140</f>
        <v>7.934005980337246</v>
      </c>
      <c r="CE153" s="52">
        <f>+CN141</f>
        <v>-6.5764349434517442</v>
      </c>
      <c r="CF153" s="51">
        <f>+CO141</f>
        <v>10.189703827679987</v>
      </c>
      <c r="CG153" s="52">
        <f>+CN142</f>
        <v>-3.805137569493255</v>
      </c>
      <c r="CH153" s="51">
        <f>+CO142</f>
        <v>12.103622154833769</v>
      </c>
      <c r="CI153" s="52" t="e">
        <f>+CN143</f>
        <v>#NUM!</v>
      </c>
      <c r="CJ153" s="51" t="e">
        <f>+CO143</f>
        <v>#NUM!</v>
      </c>
    </row>
    <row r="154" spans="1:88" x14ac:dyDescent="0.25">
      <c r="A154">
        <v>-6.2</v>
      </c>
      <c r="B154">
        <f t="shared" si="158"/>
        <v>6.5238025721200357</v>
      </c>
      <c r="C154">
        <f t="shared" si="159"/>
        <v>-6.5238025721200357</v>
      </c>
      <c r="D154">
        <f t="shared" si="167"/>
        <v>5.0556898639058145</v>
      </c>
      <c r="E154">
        <f t="shared" si="168"/>
        <v>-5.0556898639058145</v>
      </c>
      <c r="F154">
        <f t="shared" si="169"/>
        <v>3.2496153618543833</v>
      </c>
      <c r="G154">
        <f t="shared" si="170"/>
        <v>-3.2496153618543833</v>
      </c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44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44"/>
      <c r="AI154" s="13"/>
      <c r="AJ154" s="13"/>
      <c r="AK154" s="13"/>
      <c r="AL154" s="13"/>
      <c r="AM154" s="13"/>
      <c r="AN154" t="s">
        <v>99</v>
      </c>
      <c r="AO154" s="50">
        <f>+CY120</f>
        <v>3.6620217035873996</v>
      </c>
      <c r="AP154" s="51">
        <f>+CZ120</f>
        <v>12.006240275525695</v>
      </c>
      <c r="AQ154" s="16">
        <f>+CY121</f>
        <v>6.3632320452066073</v>
      </c>
      <c r="AR154" s="14">
        <f>+CZ121</f>
        <v>10.181234334478219</v>
      </c>
      <c r="AS154" s="54">
        <f>+CY122</f>
        <v>7.8276943609688994</v>
      </c>
      <c r="AT154" s="53">
        <f>+CZ122</f>
        <v>8.0010388861109352</v>
      </c>
      <c r="AU154" s="52">
        <f>+CY123</f>
        <v>8.2820325453967421</v>
      </c>
      <c r="AV154" s="51">
        <f>+CZ123</f>
        <v>5.9493612839922481</v>
      </c>
      <c r="AW154" s="52">
        <f>+CY124</f>
        <v>8.0477243653167001</v>
      </c>
      <c r="AX154" s="51">
        <f>+CZ124</f>
        <v>4.2065022741069811</v>
      </c>
      <c r="AY154" s="52">
        <f>+CY125</f>
        <v>7.3728011230173927</v>
      </c>
      <c r="AZ154" s="51">
        <f>+CZ125</f>
        <v>2.7949575952418426</v>
      </c>
      <c r="BA154" s="52">
        <f>+CY126</f>
        <v>6.4193538234426155</v>
      </c>
      <c r="BB154" s="51">
        <f>+CZ126</f>
        <v>1.6833583727711796</v>
      </c>
      <c r="BC154" s="52">
        <f>+CY127</f>
        <v>5.2888743491714614</v>
      </c>
      <c r="BD154" s="51">
        <f>+CZ127</f>
        <v>0.83101995755279379</v>
      </c>
      <c r="BE154" s="52">
        <f>+CY128</f>
        <v>4.0454667905311457</v>
      </c>
      <c r="BF154" s="51">
        <f>+CZ128</f>
        <v>0.20261451930685959</v>
      </c>
      <c r="BG154" s="52">
        <f>+CY129</f>
        <v>2.731150994716121</v>
      </c>
      <c r="BH154" s="51">
        <f>+CZ129</f>
        <v>-0.22845695384356915</v>
      </c>
      <c r="BI154" s="52">
        <f>+CY130</f>
        <v>1.3752146338471711</v>
      </c>
      <c r="BJ154" s="51">
        <f>+CZ130</f>
        <v>-0.48022136807352639</v>
      </c>
      <c r="BK154" s="52">
        <f>+CY131</f>
        <v>3.4489259230131462E-17</v>
      </c>
      <c r="BL154" s="51">
        <f>+CZ131</f>
        <v>-0.56302171531863721</v>
      </c>
      <c r="BM154" s="52">
        <f>+CY132</f>
        <v>-1.3752146338471709</v>
      </c>
      <c r="BN154" s="51">
        <f>+CZ132</f>
        <v>-0.48022136807352689</v>
      </c>
      <c r="BO154" s="52">
        <f>+CY133</f>
        <v>-2.731150994716121</v>
      </c>
      <c r="BP154" s="51">
        <f>+CZ133</f>
        <v>-0.22845695384356787</v>
      </c>
      <c r="BQ154" s="52">
        <f>+CY134</f>
        <v>-4.0454667905311457</v>
      </c>
      <c r="BR154" s="51">
        <f>+CZ134</f>
        <v>0.20261451930686047</v>
      </c>
      <c r="BS154" s="52">
        <f>+CY135</f>
        <v>-5.2888743491714614</v>
      </c>
      <c r="BT154" s="51">
        <f>+CZ135</f>
        <v>0.83101995755279434</v>
      </c>
      <c r="BU154" s="52">
        <f>+CY136</f>
        <v>-6.4193538234426146</v>
      </c>
      <c r="BV154" s="51">
        <f>+CZ136</f>
        <v>1.6833583727711809</v>
      </c>
      <c r="BW154" s="52">
        <f>+CY137</f>
        <v>-7.3728011230173927</v>
      </c>
      <c r="BX154" s="51">
        <f>+CZ137</f>
        <v>2.7949575952418431</v>
      </c>
      <c r="BY154" s="52">
        <f>+CY138</f>
        <v>-8.0477243653167001</v>
      </c>
      <c r="BZ154" s="51">
        <f>+CZ138</f>
        <v>4.2065022741069811</v>
      </c>
      <c r="CA154" s="52">
        <f>+CY139</f>
        <v>-8.2820325453967403</v>
      </c>
      <c r="CB154" s="51">
        <f>+CZ139</f>
        <v>5.9493612839922516</v>
      </c>
      <c r="CC154" s="52">
        <f>+CY140</f>
        <v>-7.8276943609689011</v>
      </c>
      <c r="CD154" s="51">
        <f>+CZ140</f>
        <v>8.0010388861109334</v>
      </c>
      <c r="CE154" s="52">
        <f>+CY141</f>
        <v>-6.3632320452066082</v>
      </c>
      <c r="CF154" s="51">
        <f>+CZ141</f>
        <v>10.181234334478219</v>
      </c>
      <c r="CG154" s="52">
        <f>+CY142</f>
        <v>-3.6620217035873983</v>
      </c>
      <c r="CH154" s="51">
        <f>+CZ142</f>
        <v>12.006240275525695</v>
      </c>
      <c r="CI154" s="52">
        <f>+CY143</f>
        <v>7.8084969796046266E-16</v>
      </c>
      <c r="CJ154" s="51">
        <f>+CZ143</f>
        <v>12.747021715318635</v>
      </c>
    </row>
    <row r="155" spans="1:88" x14ac:dyDescent="0.25">
      <c r="A155">
        <v>-6.3</v>
      </c>
      <c r="B155">
        <f t="shared" si="158"/>
        <v>6.4272855856885656</v>
      </c>
      <c r="C155">
        <f t="shared" si="159"/>
        <v>-6.4272855856885656</v>
      </c>
      <c r="D155">
        <f t="shared" si="167"/>
        <v>4.9305172142484199</v>
      </c>
      <c r="E155">
        <f t="shared" si="168"/>
        <v>-4.9305172142484199</v>
      </c>
      <c r="F155">
        <f t="shared" si="169"/>
        <v>3.0512292604784719</v>
      </c>
      <c r="G155">
        <f t="shared" si="170"/>
        <v>-3.0512292604784719</v>
      </c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44"/>
      <c r="X155" s="13"/>
      <c r="Y155" s="13"/>
      <c r="Z155" s="13"/>
      <c r="AA155" s="13" t="s">
        <v>237</v>
      </c>
      <c r="AB155" s="197">
        <f>SUM(AB141:AB153)</f>
        <v>7</v>
      </c>
      <c r="AC155" s="197"/>
      <c r="AD155" s="197">
        <f>SUM(AD141:AD153)</f>
        <v>8</v>
      </c>
      <c r="AE155" s="197"/>
      <c r="AF155" s="197">
        <f>SUM(AF141:AF153)</f>
        <v>9</v>
      </c>
      <c r="AG155" s="197"/>
      <c r="AH155" s="197">
        <f>SUM(AH141:AH153)</f>
        <v>10</v>
      </c>
      <c r="AI155" s="197"/>
      <c r="AJ155" s="197">
        <f>SUM(AJ141:AJ153)</f>
        <v>11</v>
      </c>
      <c r="AK155" s="197"/>
      <c r="AL155" s="197">
        <f>SUM(AL141:AL153)</f>
        <v>12</v>
      </c>
      <c r="AM155" s="13"/>
      <c r="AO155" s="35" t="s">
        <v>89</v>
      </c>
      <c r="AP155" s="34" t="s">
        <v>93</v>
      </c>
      <c r="AQ155" s="33" t="s">
        <v>89</v>
      </c>
      <c r="AR155" s="34" t="s">
        <v>93</v>
      </c>
      <c r="AS155" s="33" t="s">
        <v>89</v>
      </c>
      <c r="AT155" s="34" t="s">
        <v>93</v>
      </c>
      <c r="AU155" s="33" t="s">
        <v>89</v>
      </c>
      <c r="AV155" s="34" t="s">
        <v>93</v>
      </c>
      <c r="AW155" s="33" t="s">
        <v>89</v>
      </c>
      <c r="AX155" s="34" t="s">
        <v>93</v>
      </c>
      <c r="AY155" s="33" t="s">
        <v>89</v>
      </c>
      <c r="AZ155" s="34" t="s">
        <v>93</v>
      </c>
      <c r="BA155" s="33" t="s">
        <v>89</v>
      </c>
      <c r="BB155" s="34" t="s">
        <v>93</v>
      </c>
      <c r="BC155" s="33" t="s">
        <v>89</v>
      </c>
      <c r="BD155" s="34" t="s">
        <v>93</v>
      </c>
      <c r="BE155" s="33" t="s">
        <v>89</v>
      </c>
      <c r="BF155" s="34" t="s">
        <v>93</v>
      </c>
      <c r="BG155" s="33" t="s">
        <v>89</v>
      </c>
      <c r="BH155" s="34" t="s">
        <v>93</v>
      </c>
      <c r="BI155" s="33" t="s">
        <v>89</v>
      </c>
      <c r="BJ155" s="34" t="s">
        <v>93</v>
      </c>
      <c r="BK155" s="33" t="s">
        <v>89</v>
      </c>
      <c r="BL155" s="34" t="s">
        <v>93</v>
      </c>
      <c r="BM155" s="33" t="s">
        <v>89</v>
      </c>
      <c r="BN155" s="34" t="s">
        <v>93</v>
      </c>
      <c r="BO155" s="33" t="s">
        <v>89</v>
      </c>
      <c r="BP155" s="34" t="s">
        <v>93</v>
      </c>
      <c r="BQ155" s="33" t="s">
        <v>89</v>
      </c>
      <c r="BR155" s="34" t="s">
        <v>93</v>
      </c>
      <c r="BS155" s="33" t="s">
        <v>89</v>
      </c>
      <c r="BT155" s="34" t="s">
        <v>93</v>
      </c>
      <c r="BU155" s="33" t="s">
        <v>89</v>
      </c>
      <c r="BV155" s="34" t="s">
        <v>93</v>
      </c>
      <c r="BW155" s="33" t="s">
        <v>89</v>
      </c>
      <c r="BX155" s="34" t="s">
        <v>93</v>
      </c>
      <c r="BY155" s="33" t="s">
        <v>89</v>
      </c>
      <c r="BZ155" s="34" t="s">
        <v>93</v>
      </c>
      <c r="CA155" s="33" t="s">
        <v>89</v>
      </c>
      <c r="CB155" s="34" t="s">
        <v>93</v>
      </c>
      <c r="CC155" s="33" t="s">
        <v>89</v>
      </c>
      <c r="CD155" s="34" t="s">
        <v>93</v>
      </c>
      <c r="CE155" s="33" t="s">
        <v>89</v>
      </c>
      <c r="CF155" s="34" t="s">
        <v>93</v>
      </c>
      <c r="CG155" s="33" t="s">
        <v>89</v>
      </c>
      <c r="CH155" s="34" t="s">
        <v>93</v>
      </c>
      <c r="CI155" s="33" t="s">
        <v>89</v>
      </c>
      <c r="CJ155" s="34" t="s">
        <v>93</v>
      </c>
    </row>
    <row r="156" spans="1:88" x14ac:dyDescent="0.25">
      <c r="A156">
        <v>-6.4</v>
      </c>
      <c r="B156">
        <f t="shared" si="158"/>
        <v>6.327716807822549</v>
      </c>
      <c r="C156">
        <f t="shared" si="159"/>
        <v>-6.327716807822549</v>
      </c>
      <c r="D156">
        <f t="shared" si="167"/>
        <v>4.7999999999999989</v>
      </c>
      <c r="E156">
        <f t="shared" si="168"/>
        <v>-4.7999999999999989</v>
      </c>
      <c r="F156">
        <f t="shared" si="169"/>
        <v>2.8354893757515636</v>
      </c>
      <c r="G156">
        <f t="shared" si="170"/>
        <v>-2.8354893757515636</v>
      </c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44"/>
      <c r="X156" s="13"/>
      <c r="Y156" s="13"/>
      <c r="Z156" s="13"/>
      <c r="AA156" s="13" t="s">
        <v>223</v>
      </c>
      <c r="AB156" s="197">
        <f>13-AB155</f>
        <v>6</v>
      </c>
      <c r="AC156" s="197"/>
      <c r="AD156" s="197">
        <f>13-AD155</f>
        <v>5</v>
      </c>
      <c r="AE156" s="197"/>
      <c r="AF156" s="197">
        <f>13-AF155</f>
        <v>4</v>
      </c>
      <c r="AG156" s="197"/>
      <c r="AH156" s="197">
        <f>13-AH155</f>
        <v>3</v>
      </c>
      <c r="AI156" s="197"/>
      <c r="AJ156" s="197">
        <f>13-AJ155</f>
        <v>2</v>
      </c>
      <c r="AK156" s="197"/>
      <c r="AL156" s="197">
        <f>13-AL155</f>
        <v>1</v>
      </c>
      <c r="AM156" s="13"/>
      <c r="AN156" s="13" t="s">
        <v>105</v>
      </c>
      <c r="AO156" s="13">
        <f t="shared" ref="AO156:AO161" si="171">+IF(AO157=0,0,IF(SQRT((AO148^2)+(AP148^2))&gt;9,9,SQRT((AO148^2)+(AP148^2))))</f>
        <v>0</v>
      </c>
      <c r="AP156" s="14">
        <f t="shared" ref="AP156:AP161" si="172">+IF(SQRT((AO148^2)+(AP148^2))&gt;9,(9-AO157)*(DEGREES(ATAN2(AO148,AP148))-AP157)/(SQRT((AO148^2)+(AP148^2))-AO157)+AP157,DEGREES(ATAN2(AO148,AP148)))</f>
        <v>32.496582487576674</v>
      </c>
      <c r="AQ156" s="16">
        <f t="shared" ref="AQ156:AQ161" si="173">+IF(AQ157=0,0,IF(SQRT((AQ148^2)+(AR148^2))&gt;9,9,SQRT((AQ148^2)+(AR148^2))))</f>
        <v>0</v>
      </c>
      <c r="AR156" s="14">
        <f t="shared" ref="AR156:AR161" si="174">+IF(SQRT((AQ148^2)+(AR148^2))&gt;9,(9-AQ157)*(DEGREES(ATAN2(AQ148,AR148))-AR157)/(SQRT((AQ148^2)+(AR148^2))-AQ157)+AR157,DEGREES(ATAN2(AQ148,AR148)))</f>
        <v>13.375755307618185</v>
      </c>
      <c r="AS156" s="16">
        <f t="shared" ref="AS156:AS161" si="175">+IF(AS157=0,0,IF(SQRT((AS148^2)+(AT148^2))&gt;9,9,SQRT((AS148^2)+(AT148^2))))</f>
        <v>0</v>
      </c>
      <c r="AT156" s="14">
        <f t="shared" ref="AT156:AT161" si="176">+IF(SQRT((AS148^2)+(AT148^2))&gt;9,(9-AS157)*(DEGREES(ATAN2(AS148,AT148))-AT157)/(SQRT((AS148^2)+(AT148^2))-AS157)+AT157,DEGREES(ATAN2(AS148,AT148)))</f>
        <v>2.5352484991192732</v>
      </c>
      <c r="AU156" s="16">
        <f t="shared" ref="AU156:AU161" si="177">+IF(AU157=0,0,IF(SQRT((AU148^2)+(AV148^2))&gt;9,9,SQRT((AU148^2)+(AV148^2))))</f>
        <v>0</v>
      </c>
      <c r="AV156" s="14">
        <f t="shared" ref="AV156:AV161" si="178">+IF(SQRT((AU148^2)+(AV148^2))&gt;9,(9-AU157)*(DEGREES(ATAN2(AU148,AV148))-AV157)/(SQRT((AU148^2)+(AV148^2))-AU157)+AV157,DEGREES(ATAN2(AU148,AV148)))</f>
        <v>-5.5699313806001207</v>
      </c>
      <c r="AW156" s="16">
        <f t="shared" ref="AW156:AW161" si="179">+IF(AW157=0,0,IF(SQRT((AW148^2)+(AX148^2))&gt;9,9,SQRT((AW148^2)+(AX148^2))))</f>
        <v>0</v>
      </c>
      <c r="AX156" s="14">
        <f t="shared" ref="AX156:AX161" si="180">+IF(SQRT((AW148^2)+(AX148^2))&gt;9,(9-AW157)*(DEGREES(ATAN2(AW148,AX148))-AX157)/(SQRT((AW148^2)+(AX148^2))-AW157)+AX157,DEGREES(ATAN2(AW148,AX148)))</f>
        <v>-12.710916745018331</v>
      </c>
      <c r="AY156" s="16">
        <f t="shared" ref="AY156:AY161" si="181">+IF(AY157=0,0,IF(SQRT((AY148^2)+(AZ148^2))&gt;9,9,SQRT((AY148^2)+(AZ148^2))))</f>
        <v>9</v>
      </c>
      <c r="AZ156" s="14">
        <f t="shared" ref="AZ156:AZ161" si="182">+IF(SQRT((AY148^2)+(AZ148^2))&gt;9,(9-AY157)*(DEGREES(ATAN2(AY148,AZ148))-AZ157)/(SQRT((AY148^2)+(AZ148^2))-AY157)+AZ157,DEGREES(ATAN2(AY148,AZ148)))</f>
        <v>-7.8334010068008553E-3</v>
      </c>
      <c r="BA156" s="16">
        <f t="shared" ref="BA156:BA161" si="183">+IF(BA157=0,0,IF(SQRT((BA148^2)+(BB148^2))&gt;9,9,SQRT((BA148^2)+(BB148^2))))</f>
        <v>8.8957412298918097</v>
      </c>
      <c r="BB156" s="14">
        <f t="shared" ref="BB156:BB161" si="184">+IF(SQRT((BA148^2)+(BB148^2))&gt;9,(9-BA157)*(DEGREES(ATAN2(BA148,BB148))-BB157)/(SQRT((BA148^2)+(BB148^2))-BA157)+BB157,DEGREES(ATAN2(BA148,BB148)))</f>
        <v>-27.225862979151785</v>
      </c>
      <c r="BC156" s="16">
        <f t="shared" ref="BC156:BC161" si="185">+IF(BC157=0,0,IF(SQRT((BC148^2)+(BD148^2))&gt;9,9,SQRT((BC148^2)+(BD148^2))))</f>
        <v>7.7748622701407051</v>
      </c>
      <c r="BD156" s="14">
        <f t="shared" ref="BD156:BD161" si="186">+IF(SQRT((BC148^2)+(BD148^2))&gt;9,(9-BC157)*(DEGREES(ATAN2(BC148,BD148))-BD157)/(SQRT((BC148^2)+(BD148^2))-BC157)+BD157,DEGREES(ATAN2(BC148,BD148)))</f>
        <v>-35.344520952247308</v>
      </c>
      <c r="BE156" s="16">
        <f t="shared" ref="BE156:BE161" si="187">+IF(BE157=0,0,IF(SQRT((BE148^2)+(BF148^2))&gt;9,9,SQRT((BE148^2)+(BF148^2))))</f>
        <v>6.7740781174458462</v>
      </c>
      <c r="BF156" s="14">
        <f t="shared" ref="BF156:BF161" si="188">+IF(SQRT((BE148^2)+(BF148^2))&gt;9,(9-BE157)*(DEGREES(ATAN2(BE148,BF148))-BF157)/(SQRT((BE148^2)+(BF148^2))-BE157)+BF157,DEGREES(ATAN2(BE148,BF148)))</f>
        <v>-45.312046945778157</v>
      </c>
      <c r="BG156" s="16">
        <f t="shared" ref="BG156:BG161" si="189">+IF(BG157=0,0,IF(SQRT((BG148^2)+(BH148^2))&gt;9,9,SQRT((BG148^2)+(BH148^2))))</f>
        <v>5.9560290345739935</v>
      </c>
      <c r="BH156" s="14">
        <f t="shared" ref="BH156:BH161" si="190">+IF(SQRT((BG148^2)+(BH148^2))&gt;9,(9-BG157)*(DEGREES(ATAN2(BG148,BH148))-BH157)/(SQRT((BG148^2)+(BH148^2))-BG157)+BH157,DEGREES(ATAN2(BG148,BH148)))</f>
        <v>-57.738198252116575</v>
      </c>
      <c r="BI156" s="16">
        <f t="shared" ref="BI156:BI161" si="191">+IF(BI157=0,0,IF(SQRT((BI148^2)+(BJ148^2))&gt;9,9,SQRT((BI148^2)+(BJ148^2))))</f>
        <v>5.4056218619913654</v>
      </c>
      <c r="BJ156" s="14">
        <f t="shared" ref="BJ156:BJ161" si="192">+IF(SQRT((BI148^2)+(BJ148^2))&gt;9,(9-BI157)*(DEGREES(ATAN2(BI148,BJ148))-BJ157)/(SQRT((BI148^2)+(BJ148^2))-BI157)+BJ157,DEGREES(ATAN2(BI148,BJ148)))</f>
        <v>-72.887370999294632</v>
      </c>
      <c r="BK156" s="16">
        <f t="shared" ref="BK156:BK161" si="193">+IF(BK157=0,0,IF(SQRT((BK148^2)+(BL148^2))&gt;9,9,SQRT((BK148^2)+(BL148^2))))</f>
        <v>5.2091636727869233</v>
      </c>
      <c r="BL156" s="14">
        <f t="shared" ref="BL156:BL161" si="194">+IF(SQRT((BK148^2)+(BL148^2))&gt;9,(9-BK157)*(DEGREES(ATAN2(BK148,BL148))-BL157)/(SQRT((BK148^2)+(BL148^2))-BK157)+BL157,DEGREES(ATAN2(BK148,BL148)))</f>
        <v>-90</v>
      </c>
      <c r="BM156" s="16">
        <f t="shared" ref="BM156:BM161" si="195">+IF(BM157=0,0,IF(SQRT((BM148^2)+(BN148^2))&gt;9,9,SQRT((BM148^2)+(BN148^2))))</f>
        <v>5.4056218619913654</v>
      </c>
      <c r="BN156" s="14">
        <f t="shared" ref="BN156:BN161" si="196">+IF(SQRT((BM148^2)+(BN148^2))&gt;9,IF(DEGREES(ATAN2(BM148,BN148))&lt;0,(9-BM157)*(360+DEGREES(ATAN2(BM148,BN148))-BN157)/(SQRT((BM148^2)+(BN148^2))-BM157)+BN157,(9-BM157)*(DEGREES(ATAN2(BM148,BN148))-BN157)/(SQRT((BM148^2)+(BN148^2))-BM157)+BN157),IF(DEGREES(ATAN2(BM148,BN148))&lt;0,360+DEGREES(ATAN2(BM148,BN148)),DEGREES(ATAN2(BM148,BN148))))</f>
        <v>252.8873709992946</v>
      </c>
      <c r="BO156" s="16">
        <f t="shared" ref="BO156:BO161" si="197">+IF(BO157=0,0,IF(SQRT((BO148^2)+(BP148^2))&gt;9,9,SQRT((BO148^2)+(BP148^2))))</f>
        <v>5.9560290345739952</v>
      </c>
      <c r="BP156" s="14">
        <f t="shared" ref="BP156:BP161" si="198">+IF(SQRT((BO148^2)+(BP148^2))&gt;9,IF(DEGREES(ATAN2(BO148,BP148))&lt;0,(9-BO157)*(360+DEGREES(ATAN2(BO148,BP148))-BP157)/(SQRT((BO148^2)+(BP148^2))-BO157)+BP157,(9-BO157)*(DEGREES(ATAN2(BO148,BP148))-BP157)/(SQRT((BO148^2)+(BP148^2))-BO157)+BP157),IF(DEGREES(ATAN2(BO148,BP148))&lt;0,360+DEGREES(ATAN2(BO148,BP148)),DEGREES(ATAN2(BO148,BP148))))</f>
        <v>237.7381982521166</v>
      </c>
      <c r="BQ156" s="16">
        <f t="shared" ref="BQ156:BQ161" si="199">+IF(BQ157=0,0,IF(SQRT((BQ148^2)+(BR148^2))&gt;9,9,SQRT((BQ148^2)+(BR148^2))))</f>
        <v>6.7740781174458462</v>
      </c>
      <c r="BR156" s="14">
        <f t="shared" ref="BR156:BR161" si="200">+IF(SQRT((BQ148^2)+(BR148^2))&gt;9,IF(DEGREES(ATAN2(BQ148,BR148))&lt;0,(9-BQ157)*(360+DEGREES(ATAN2(BQ148,BR148))-BR157)/(SQRT((BQ148^2)+(BR148^2))-BQ157)+BR157,(9-BQ157)*(DEGREES(ATAN2(BQ148,BR148))-BR157)/(SQRT((BQ148^2)+(BR148^2))-BQ157)+BR157),IF(DEGREES(ATAN2(BQ148,BR148))&lt;0,360+DEGREES(ATAN2(BQ148,BR148)),DEGREES(ATAN2(BQ148,BR148))))</f>
        <v>225.31204694577818</v>
      </c>
      <c r="BS156" s="16">
        <f t="shared" ref="BS156:BS161" si="201">+IF(BS157=0,0,IF(SQRT((BS148^2)+(BT148^2))&gt;9,9,SQRT((BS148^2)+(BT148^2))))</f>
        <v>7.7748622701407042</v>
      </c>
      <c r="BT156" s="14">
        <f t="shared" ref="BT156:BT161" si="202">+IF(SQRT((BS148^2)+(BT148^2))&gt;9,IF(DEGREES(ATAN2(BS148,BT148))&lt;0,(9-BS157)*(360+DEGREES(ATAN2(BS148,BT148))-BT157)/(SQRT((BS148^2)+(BT148^2))-BS157)+BT157,(9-BS157)*(DEGREES(ATAN2(BS148,BT148))-BT157)/(SQRT((BS148^2)+(BT148^2))-BS157)+BT157),IF(DEGREES(ATAN2(BS148,BT148))&lt;0,360+DEGREES(ATAN2(BS148,BT148)),DEGREES(ATAN2(BS148,BT148))))</f>
        <v>215.34452095224731</v>
      </c>
      <c r="BU156" s="16">
        <f t="shared" ref="BU156:BU161" si="203">+IF(BU157=0,0,IF(SQRT((BU148^2)+(BV148^2))&gt;9,9,SQRT((BU148^2)+(BV148^2))))</f>
        <v>8.8957412298918097</v>
      </c>
      <c r="BV156" s="14">
        <f t="shared" ref="BV156:BV161" si="204">+IF(SQRT((BU148^2)+(BV148^2))&gt;9,IF(DEGREES(ATAN2(BU148,BV148))&lt;0,(9-BU157)*(360+DEGREES(ATAN2(BU148,BV148))-BV157)/(SQRT((BU148^2)+(BV148^2))-BU157)+BV157,(9-BU157)*(DEGREES(ATAN2(BU148,BV148))-BV157)/(SQRT((BU148^2)+(BV148^2))-BU157)+BV157),IF(DEGREES(ATAN2(BU148,BV148))&lt;0,360+DEGREES(ATAN2(BU148,BV148)),DEGREES(ATAN2(BU148,BV148))))</f>
        <v>207.22586297915177</v>
      </c>
      <c r="BW156" s="16">
        <f t="shared" ref="BW156:BW161" si="205">+IF(BW157=0,0,IF(SQRT((BW148^2)+(BX148^2))&gt;9,9,SQRT((BW148^2)+(BX148^2))))</f>
        <v>9</v>
      </c>
      <c r="BX156" s="14">
        <f t="shared" ref="BX156:BX161" si="206">+IF(SQRT((BW148^2)+(BX148^2))&gt;9,IF(DEGREES(ATAN2(BW148,BX148))&lt;0,(9-BW157)*(360+DEGREES(ATAN2(BW148,BX148))-BX157)/(SQRT((BW148^2)+(BX148^2))-BW157)+BX157,(9-BW157)*(DEGREES(ATAN2(BW148,BX148))-BX157)/(SQRT((BW148^2)+(BX148^2))-BW157)+BX157),IF(DEGREES(ATAN2(BW148,BX148))&lt;0,360+DEGREES(ATAN2(BW148,BX148)),DEGREES(ATAN2(BW148,BX148))))</f>
        <v>180.00783340100679</v>
      </c>
      <c r="BY156" s="16">
        <f t="shared" ref="BY156:BY161" si="207">+IF(BY157=0,0,IF(SQRT((BY148^2)+(BZ148^2))&gt;9,9,SQRT((BY148^2)+(BZ148^2))))</f>
        <v>0</v>
      </c>
      <c r="BZ156" s="14">
        <f t="shared" ref="BZ156:BZ161" si="208">+IF(SQRT((BY148^2)+(BZ148^2))&gt;9,IF(DEGREES(ATAN2(BY148,BZ148))&lt;0,(9-BY157)*(360+DEGREES(ATAN2(BY148,BZ148))-BZ157)/(SQRT((BY148^2)+(BZ148^2))-BY157)+BZ157,(9-BY157)*(DEGREES(ATAN2(BY148,BZ148))-BZ157)/(SQRT((BY148^2)+(BZ148^2))-BY157)+BZ157),IF(DEGREES(ATAN2(BY148,BZ148))&lt;0,360+DEGREES(ATAN2(BY148,BZ148)),DEGREES(ATAN2(BY148,BZ148))))</f>
        <v>192.71091674501832</v>
      </c>
      <c r="CA156" s="16">
        <f t="shared" ref="CA156:CA161" si="209">+IF(CA157=0,0,IF(SQRT((CA148^2)+(CB148^2))&gt;9,9,SQRT((CA148^2)+(CB148^2))))</f>
        <v>0</v>
      </c>
      <c r="CB156" s="14">
        <f t="shared" ref="CB156:CB161" si="210">+IF(SQRT((CA148^2)+(CB148^2))&gt;9,IF(DEGREES(ATAN2(CA148,CB148))&lt;0,(9-CA157)*(360+DEGREES(ATAN2(CA148,CB148))-CB157)/(SQRT((CA148^2)+(CB148^2))-CA157)+CB157,(9-CA157)*(DEGREES(ATAN2(CA148,CB148))-CB157)/(SQRT((CA148^2)+(CB148^2))-CA157)+CB157),IF(DEGREES(ATAN2(CA148,CB148))&lt;0,360+DEGREES(ATAN2(CA148,CB148)),DEGREES(ATAN2(CA148,CB148))))</f>
        <v>185.56993138060014</v>
      </c>
      <c r="CC156" s="16">
        <f t="shared" ref="CC156:CC161" si="211">+IF(CC157=0,0,IF(SQRT((CC148^2)+(CD148^2))&gt;9,9,SQRT((CC148^2)+(CD148^2))))</f>
        <v>0</v>
      </c>
      <c r="CD156" s="14">
        <f t="shared" ref="CD156:CD161" si="212">+IF(SQRT((CC148^2)+(CD148^2))&gt;9,IF(DEGREES(ATAN2(CC148,CD148))&lt;0,(9-CC157)*(360+DEGREES(ATAN2(CC148,CD148))-CD157)/(SQRT((CC148^2)+(CD148^2))-CC157)+CD157,(9-CC157)*(DEGREES(ATAN2(CC148,CD148))-CD157)/(SQRT((CC148^2)+(CD148^2))-CC157)+CD157),IF(DEGREES(ATAN2(CC148,CD148))&lt;0,360+DEGREES(ATAN2(CC148,CD148)),DEGREES(ATAN2(CC148,CD148))))</f>
        <v>177.46475150088071</v>
      </c>
      <c r="CE156" s="16">
        <f t="shared" ref="CE156:CE161" si="213">+IF(CE157=0,0,IF(SQRT((CE148^2)+(CF148^2))&gt;9,9,SQRT((CE148^2)+(CF148^2))))</f>
        <v>0</v>
      </c>
      <c r="CF156" s="14">
        <f t="shared" ref="CF156:CF161" si="214">+IF(SQRT((CE148^2)+(CF148^2))&gt;9,IF(DEGREES(ATAN2(CE148,CF148))&lt;0,(9-CE157)*(360+DEGREES(ATAN2(CE148,CF148))-CF157)/(SQRT((CE148^2)+(CF148^2))-CE157)+CF157,(9-CE157)*(DEGREES(ATAN2(CE148,CF148))-CF157)/(SQRT((CE148^2)+(CF148^2))-CE157)+CF157),IF(DEGREES(ATAN2(CE148,CF148))&lt;0,360+DEGREES(ATAN2(CE148,CF148)),DEGREES(ATAN2(CE148,CF148))))</f>
        <v>166.62424469238181</v>
      </c>
      <c r="CG156" s="16">
        <f t="shared" ref="CG156:CG161" si="215">+IF(CG157=0,0,IF(SQRT((CG148^2)+(CH148^2))&gt;9,9,SQRT((CG148^2)+(CH148^2))))</f>
        <v>0</v>
      </c>
      <c r="CH156" s="14">
        <f t="shared" ref="CH156:CH161" si="216">+IF(SQRT((CG148^2)+(CH148^2))&gt;9,IF(DEGREES(ATAN2(CG148,CH148))&lt;0,(9-CG157)*(360+DEGREES(ATAN2(CG148,CH148))-CH157)/(SQRT((CG148^2)+(CH148^2))-CG157)+CH157,(9-CG157)*(DEGREES(ATAN2(CG148,CH148))-CH157)/(SQRT((CG148^2)+(CH148^2))-CG157)+CH157),IF(DEGREES(ATAN2(CG148,CH148))&lt;0,360+DEGREES(ATAN2(CG148,CH148)),DEGREES(ATAN2(CG148,CH148))))</f>
        <v>147.50341751242334</v>
      </c>
      <c r="CI156" s="16">
        <f t="shared" ref="CI156:CI161" si="217">+IF(CI157=0,0,IF(SQRT((CI148^2)+(CJ148^2))&gt;9,9,SQRT((CI148^2)+(CJ148^2))))</f>
        <v>0</v>
      </c>
      <c r="CJ156" s="14" t="e">
        <f t="shared" ref="CJ156:CJ161" si="218">+IF(SQRT((CI148^2)+(CJ148^2))&gt;9,IF(DEGREES(ATAN2(CI148,CJ148))&lt;0,(9-CI157)*(360+DEGREES(ATAN2(CI148,CJ148))-CJ157)/(SQRT((CI148^2)+(CJ148^2))-CI157)+CJ157,(9-CI157)*(DEGREES(ATAN2(CI148,CJ148))-CJ157)/(SQRT((CI148^2)+(CJ148^2))-CI157)+CJ157),IF(DEGREES(ATAN2(CI148,CJ148))&lt;0,360+DEGREES(ATAN2(CI148,CJ148)),DEGREES(ATAN2(CI148,CJ148))))</f>
        <v>#NUM!</v>
      </c>
    </row>
    <row r="157" spans="1:88" x14ac:dyDescent="0.25">
      <c r="A157">
        <v>-6.5</v>
      </c>
      <c r="B157">
        <f t="shared" si="158"/>
        <v>6.2249497989943663</v>
      </c>
      <c r="C157">
        <f t="shared" si="159"/>
        <v>-6.2249497989943663</v>
      </c>
      <c r="D157">
        <f t="shared" si="167"/>
        <v>4.6636895265444078</v>
      </c>
      <c r="E157">
        <f t="shared" si="168"/>
        <v>-4.6636895265444078</v>
      </c>
      <c r="F157">
        <f t="shared" si="169"/>
        <v>2.598076211353316</v>
      </c>
      <c r="G157">
        <f t="shared" si="170"/>
        <v>-2.598076211353316</v>
      </c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44"/>
      <c r="X157" s="50"/>
      <c r="Y157" s="50"/>
      <c r="Z157" s="13"/>
      <c r="AA157" s="13"/>
      <c r="AB157" s="13"/>
      <c r="AC157" s="13"/>
      <c r="AD157" s="13"/>
      <c r="AE157" s="13"/>
      <c r="AF157" s="13"/>
      <c r="AG157" s="13"/>
      <c r="AH157" s="44"/>
      <c r="AI157" s="50"/>
      <c r="AJ157" s="50"/>
      <c r="AK157" s="13"/>
      <c r="AL157" s="13"/>
      <c r="AM157" s="13"/>
      <c r="AN157" t="s">
        <v>104</v>
      </c>
      <c r="AO157" s="13">
        <f t="shared" si="171"/>
        <v>0</v>
      </c>
      <c r="AP157" s="14">
        <f t="shared" si="172"/>
        <v>46.493559638334645</v>
      </c>
      <c r="AQ157" s="16">
        <f t="shared" si="173"/>
        <v>0</v>
      </c>
      <c r="AR157" s="14">
        <f t="shared" si="174"/>
        <v>24.464699269609163</v>
      </c>
      <c r="AS157" s="16">
        <f t="shared" si="175"/>
        <v>0</v>
      </c>
      <c r="AT157" s="14">
        <f t="shared" si="176"/>
        <v>11.21916318092123</v>
      </c>
      <c r="AU157" s="16">
        <f t="shared" si="177"/>
        <v>0</v>
      </c>
      <c r="AV157" s="14">
        <f t="shared" si="178"/>
        <v>1.4887132871561679</v>
      </c>
      <c r="AW157" s="16">
        <f t="shared" si="179"/>
        <v>0</v>
      </c>
      <c r="AX157" s="14">
        <f t="shared" si="180"/>
        <v>-6.793271829372495</v>
      </c>
      <c r="AY157" s="16">
        <f t="shared" si="181"/>
        <v>9</v>
      </c>
      <c r="AZ157" s="14">
        <f t="shared" si="182"/>
        <v>-7.8334010068008553E-3</v>
      </c>
      <c r="BA157" s="16">
        <f t="shared" si="183"/>
        <v>8.6019397609257542</v>
      </c>
      <c r="BB157" s="14">
        <f t="shared" si="184"/>
        <v>-22.577107831979806</v>
      </c>
      <c r="BC157" s="16">
        <f t="shared" si="185"/>
        <v>7.4310549891352657</v>
      </c>
      <c r="BD157" s="14">
        <f t="shared" si="186"/>
        <v>-30.926255195118465</v>
      </c>
      <c r="BE157" s="16">
        <f t="shared" si="187"/>
        <v>6.3702657787638408</v>
      </c>
      <c r="BF157" s="14">
        <f t="shared" si="188"/>
        <v>-41.22199491730089</v>
      </c>
      <c r="BG157" s="16">
        <f t="shared" si="189"/>
        <v>5.4867084387173142</v>
      </c>
      <c r="BH157" s="14">
        <f t="shared" si="190"/>
        <v>-54.335886410821551</v>
      </c>
      <c r="BI157" s="16">
        <f t="shared" si="191"/>
        <v>4.879661303453692</v>
      </c>
      <c r="BJ157" s="14">
        <f t="shared" si="192"/>
        <v>-70.849477923090234</v>
      </c>
      <c r="BK157" s="16">
        <f t="shared" si="193"/>
        <v>4.6596495456484224</v>
      </c>
      <c r="BL157" s="14">
        <f t="shared" si="194"/>
        <v>-90</v>
      </c>
      <c r="BM157" s="16">
        <f t="shared" si="195"/>
        <v>4.879661303453692</v>
      </c>
      <c r="BN157" s="14">
        <f t="shared" si="196"/>
        <v>250.84947792309026</v>
      </c>
      <c r="BO157" s="16">
        <f t="shared" si="197"/>
        <v>5.4867084387173142</v>
      </c>
      <c r="BP157" s="14">
        <f t="shared" si="198"/>
        <v>234.33588641082156</v>
      </c>
      <c r="BQ157" s="16">
        <f t="shared" si="199"/>
        <v>6.3702657787638408</v>
      </c>
      <c r="BR157" s="14">
        <f t="shared" si="200"/>
        <v>221.22199491730089</v>
      </c>
      <c r="BS157" s="16">
        <f t="shared" si="201"/>
        <v>7.4310549891352657</v>
      </c>
      <c r="BT157" s="14">
        <f t="shared" si="202"/>
        <v>210.92625519511847</v>
      </c>
      <c r="BU157" s="16">
        <f t="shared" si="203"/>
        <v>8.6019397609257542</v>
      </c>
      <c r="BV157" s="14">
        <f t="shared" si="204"/>
        <v>202.57710783197982</v>
      </c>
      <c r="BW157" s="16">
        <f t="shared" si="205"/>
        <v>9</v>
      </c>
      <c r="BX157" s="14">
        <f t="shared" si="206"/>
        <v>180.00783340100679</v>
      </c>
      <c r="BY157" s="16">
        <f t="shared" si="207"/>
        <v>0</v>
      </c>
      <c r="BZ157" s="14">
        <f t="shared" si="208"/>
        <v>186.79327182937249</v>
      </c>
      <c r="CA157" s="16">
        <f t="shared" si="209"/>
        <v>0</v>
      </c>
      <c r="CB157" s="14">
        <f t="shared" si="210"/>
        <v>178.51128671284383</v>
      </c>
      <c r="CC157" s="16">
        <f t="shared" si="211"/>
        <v>0</v>
      </c>
      <c r="CD157" s="14">
        <f t="shared" si="212"/>
        <v>168.78083681907876</v>
      </c>
      <c r="CE157" s="16">
        <f t="shared" si="213"/>
        <v>0</v>
      </c>
      <c r="CF157" s="14">
        <f t="shared" si="214"/>
        <v>155.53530073039082</v>
      </c>
      <c r="CG157" s="16">
        <f t="shared" si="215"/>
        <v>0</v>
      </c>
      <c r="CH157" s="14">
        <f t="shared" si="216"/>
        <v>133.50644036166537</v>
      </c>
      <c r="CI157" s="16">
        <f t="shared" si="217"/>
        <v>0</v>
      </c>
      <c r="CJ157" s="14" t="e">
        <f t="shared" si="218"/>
        <v>#NUM!</v>
      </c>
    </row>
    <row r="158" spans="1:88" x14ac:dyDescent="0.25">
      <c r="A158">
        <v>-6.6</v>
      </c>
      <c r="B158">
        <f t="shared" si="158"/>
        <v>6.1188234163113426</v>
      </c>
      <c r="C158">
        <f t="shared" si="159"/>
        <v>-6.1188234163113426</v>
      </c>
      <c r="D158">
        <f t="shared" si="167"/>
        <v>4.5210618221829266</v>
      </c>
      <c r="E158">
        <f t="shared" si="168"/>
        <v>-4.5210618221829266</v>
      </c>
      <c r="F158">
        <f t="shared" si="169"/>
        <v>2.3323807579381213</v>
      </c>
      <c r="G158">
        <f t="shared" si="170"/>
        <v>-2.3323807579381213</v>
      </c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44"/>
      <c r="X158" s="50"/>
      <c r="Y158" s="50"/>
      <c r="Z158" s="13"/>
      <c r="AA158" s="197" t="s">
        <v>5</v>
      </c>
      <c r="AB158" s="197" t="s">
        <v>6</v>
      </c>
      <c r="AC158" s="197" t="s">
        <v>7</v>
      </c>
      <c r="AD158" s="47" t="s">
        <v>8</v>
      </c>
      <c r="AE158" s="47" t="s">
        <v>9</v>
      </c>
      <c r="AF158" s="47" t="s">
        <v>10</v>
      </c>
      <c r="AG158" s="13"/>
      <c r="AH158" s="44"/>
      <c r="AI158" s="50"/>
      <c r="AJ158" s="50"/>
      <c r="AK158" s="13"/>
      <c r="AL158" s="13"/>
      <c r="AM158" s="13"/>
      <c r="AN158" t="s">
        <v>103</v>
      </c>
      <c r="AO158" s="13">
        <f t="shared" si="171"/>
        <v>0</v>
      </c>
      <c r="AP158" s="14">
        <f t="shared" si="172"/>
        <v>58.599484687630095</v>
      </c>
      <c r="AQ158" s="16">
        <f t="shared" si="173"/>
        <v>0</v>
      </c>
      <c r="AR158" s="14">
        <f t="shared" si="174"/>
        <v>36.8420679720019</v>
      </c>
      <c r="AS158" s="16">
        <f t="shared" si="175"/>
        <v>0</v>
      </c>
      <c r="AT158" s="14">
        <f t="shared" si="176"/>
        <v>22.124698354075029</v>
      </c>
      <c r="AU158" s="16">
        <f t="shared" si="177"/>
        <v>0</v>
      </c>
      <c r="AV158" s="14">
        <f t="shared" si="178"/>
        <v>11.099005260779533</v>
      </c>
      <c r="AW158" s="16">
        <f t="shared" si="179"/>
        <v>0</v>
      </c>
      <c r="AX158" s="14">
        <f t="shared" si="180"/>
        <v>1.8402429990918634</v>
      </c>
      <c r="AY158" s="16">
        <f t="shared" si="181"/>
        <v>9</v>
      </c>
      <c r="AZ158" s="14">
        <f t="shared" si="182"/>
        <v>-7.8334010068008553E-3</v>
      </c>
      <c r="BA158" s="16">
        <f t="shared" si="183"/>
        <v>8.1157515679025192</v>
      </c>
      <c r="BB158" s="14">
        <f t="shared" si="184"/>
        <v>-14.688028222821471</v>
      </c>
      <c r="BC158" s="16">
        <f t="shared" si="185"/>
        <v>6.8758958241348234</v>
      </c>
      <c r="BD158" s="14">
        <f t="shared" si="186"/>
        <v>-23.157088530167229</v>
      </c>
      <c r="BE158" s="16">
        <f t="shared" si="187"/>
        <v>5.7221097525369178</v>
      </c>
      <c r="BF158" s="14">
        <f t="shared" si="188"/>
        <v>-33.671389663748442</v>
      </c>
      <c r="BG158" s="16">
        <f t="shared" si="189"/>
        <v>4.7247577573395318</v>
      </c>
      <c r="BH158" s="14">
        <f t="shared" si="190"/>
        <v>-47.638581774363452</v>
      </c>
      <c r="BI158" s="16">
        <f t="shared" si="191"/>
        <v>4.0072909368772809</v>
      </c>
      <c r="BJ158" s="14">
        <f t="shared" si="192"/>
        <v>-66.556978885345387</v>
      </c>
      <c r="BK158" s="16">
        <f t="shared" si="193"/>
        <v>3.7373705065035905</v>
      </c>
      <c r="BL158" s="14">
        <f t="shared" si="194"/>
        <v>-90</v>
      </c>
      <c r="BM158" s="16">
        <f t="shared" si="195"/>
        <v>4.0072909368772809</v>
      </c>
      <c r="BN158" s="14">
        <f t="shared" si="196"/>
        <v>246.55697888534539</v>
      </c>
      <c r="BO158" s="16">
        <f t="shared" si="197"/>
        <v>4.7247577573395318</v>
      </c>
      <c r="BP158" s="14">
        <f t="shared" si="198"/>
        <v>227.63858177436344</v>
      </c>
      <c r="BQ158" s="16">
        <f t="shared" si="199"/>
        <v>5.7221097525369178</v>
      </c>
      <c r="BR158" s="14">
        <f t="shared" si="200"/>
        <v>213.67138966374844</v>
      </c>
      <c r="BS158" s="16">
        <f t="shared" si="201"/>
        <v>6.8758958241348234</v>
      </c>
      <c r="BT158" s="14">
        <f t="shared" si="202"/>
        <v>203.15708853016724</v>
      </c>
      <c r="BU158" s="16">
        <f t="shared" si="203"/>
        <v>8.1157515679025192</v>
      </c>
      <c r="BV158" s="14">
        <f t="shared" si="204"/>
        <v>194.68802822282146</v>
      </c>
      <c r="BW158" s="16">
        <f t="shared" si="205"/>
        <v>9</v>
      </c>
      <c r="BX158" s="14">
        <f t="shared" si="206"/>
        <v>180.00783340100679</v>
      </c>
      <c r="BY158" s="16">
        <f t="shared" si="207"/>
        <v>0</v>
      </c>
      <c r="BZ158" s="14">
        <f t="shared" si="208"/>
        <v>178.15975700090814</v>
      </c>
      <c r="CA158" s="16">
        <f t="shared" si="209"/>
        <v>0</v>
      </c>
      <c r="CB158" s="14">
        <f t="shared" si="210"/>
        <v>168.90099473922047</v>
      </c>
      <c r="CC158" s="16">
        <f t="shared" si="211"/>
        <v>0</v>
      </c>
      <c r="CD158" s="14">
        <f t="shared" si="212"/>
        <v>157.87530164592496</v>
      </c>
      <c r="CE158" s="16">
        <f t="shared" si="213"/>
        <v>0</v>
      </c>
      <c r="CF158" s="14">
        <f t="shared" si="214"/>
        <v>143.1579320279981</v>
      </c>
      <c r="CG158" s="16">
        <f t="shared" si="215"/>
        <v>0</v>
      </c>
      <c r="CH158" s="14">
        <f t="shared" si="216"/>
        <v>121.40051531236989</v>
      </c>
      <c r="CI158" s="16">
        <f t="shared" si="217"/>
        <v>0</v>
      </c>
      <c r="CJ158" s="14" t="e">
        <f t="shared" si="218"/>
        <v>#NUM!</v>
      </c>
    </row>
    <row r="159" spans="1:88" x14ac:dyDescent="0.25">
      <c r="A159">
        <v>-6.7</v>
      </c>
      <c r="B159">
        <f t="shared" si="158"/>
        <v>6.009159675029446</v>
      </c>
      <c r="C159">
        <f t="shared" si="159"/>
        <v>-6.009159675029446</v>
      </c>
      <c r="D159">
        <f t="shared" si="167"/>
        <v>4.3714985988788788</v>
      </c>
      <c r="E159">
        <f t="shared" si="168"/>
        <v>-4.3714985988788788</v>
      </c>
      <c r="F159">
        <f t="shared" si="169"/>
        <v>2.027313493271329</v>
      </c>
      <c r="G159">
        <f t="shared" si="170"/>
        <v>-2.027313493271329</v>
      </c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44"/>
      <c r="X159" s="13"/>
      <c r="Y159" s="35"/>
      <c r="Z159" s="13" t="s">
        <v>237</v>
      </c>
      <c r="AA159" s="197">
        <f>AB155</f>
        <v>7</v>
      </c>
      <c r="AB159" s="197">
        <f>AD155</f>
        <v>8</v>
      </c>
      <c r="AC159" s="197">
        <f>AF155</f>
        <v>9</v>
      </c>
      <c r="AD159" s="197">
        <f>AH155</f>
        <v>10</v>
      </c>
      <c r="AE159" s="197">
        <f>AJ155</f>
        <v>11</v>
      </c>
      <c r="AF159" s="197">
        <f>AL155</f>
        <v>12</v>
      </c>
      <c r="AG159" s="13"/>
      <c r="AH159" s="44"/>
      <c r="AI159" s="13"/>
      <c r="AJ159" s="35"/>
      <c r="AK159" s="13"/>
      <c r="AL159" s="13"/>
      <c r="AM159" s="13"/>
      <c r="AN159" t="s">
        <v>102</v>
      </c>
      <c r="AO159" s="13">
        <f t="shared" si="171"/>
        <v>0</v>
      </c>
      <c r="AP159" s="14">
        <f t="shared" si="172"/>
        <v>66.521748961947068</v>
      </c>
      <c r="AQ159" s="16">
        <f t="shared" si="173"/>
        <v>0</v>
      </c>
      <c r="AR159" s="14">
        <f t="shared" si="174"/>
        <v>47.361876968347815</v>
      </c>
      <c r="AS159" s="16">
        <f t="shared" si="175"/>
        <v>0</v>
      </c>
      <c r="AT159" s="14">
        <f t="shared" si="176"/>
        <v>32.843568831621909</v>
      </c>
      <c r="AU159" s="16">
        <f t="shared" si="177"/>
        <v>0</v>
      </c>
      <c r="AV159" s="14">
        <f t="shared" si="178"/>
        <v>21.525313296836089</v>
      </c>
      <c r="AW159" s="16">
        <f t="shared" si="179"/>
        <v>0</v>
      </c>
      <c r="AX159" s="14">
        <f t="shared" si="180"/>
        <v>12.029714407637632</v>
      </c>
      <c r="AY159" s="16">
        <f t="shared" si="181"/>
        <v>8.804892332740323</v>
      </c>
      <c r="AZ159" s="14">
        <f t="shared" si="182"/>
        <v>3.5118293417097988</v>
      </c>
      <c r="BA159" s="16">
        <f t="shared" si="183"/>
        <v>7.494872825799364</v>
      </c>
      <c r="BB159" s="14">
        <f t="shared" si="184"/>
        <v>-3.8157873566820086</v>
      </c>
      <c r="BC159" s="16">
        <f t="shared" si="185"/>
        <v>6.1969358679359576</v>
      </c>
      <c r="BD159" s="14">
        <f t="shared" si="186"/>
        <v>-11.84583698554694</v>
      </c>
      <c r="BE159" s="16">
        <f t="shared" si="187"/>
        <v>4.9420812685739266</v>
      </c>
      <c r="BF159" s="14">
        <f t="shared" si="188"/>
        <v>-21.763874082610215</v>
      </c>
      <c r="BG159" s="16">
        <f t="shared" si="189"/>
        <v>3.7903846081202581</v>
      </c>
      <c r="BH159" s="14">
        <f t="shared" si="190"/>
        <v>-35.719516930850816</v>
      </c>
      <c r="BI159" s="16">
        <f t="shared" si="191"/>
        <v>2.882034639889528</v>
      </c>
      <c r="BJ159" s="14">
        <f t="shared" si="192"/>
        <v>-57.616889354112288</v>
      </c>
      <c r="BK159" s="16">
        <f t="shared" si="193"/>
        <v>2.5063175768944319</v>
      </c>
      <c r="BL159" s="14">
        <f t="shared" si="194"/>
        <v>-90</v>
      </c>
      <c r="BM159" s="16">
        <f t="shared" si="195"/>
        <v>2.8820346398895276</v>
      </c>
      <c r="BN159" s="14">
        <f t="shared" si="196"/>
        <v>237.61688935411229</v>
      </c>
      <c r="BO159" s="16">
        <f t="shared" si="197"/>
        <v>3.7903846081202572</v>
      </c>
      <c r="BP159" s="14">
        <f t="shared" si="198"/>
        <v>215.71951693085083</v>
      </c>
      <c r="BQ159" s="16">
        <f t="shared" si="199"/>
        <v>4.9420812685739266</v>
      </c>
      <c r="BR159" s="14">
        <f t="shared" si="200"/>
        <v>201.76387408261022</v>
      </c>
      <c r="BS159" s="16">
        <f t="shared" si="201"/>
        <v>6.1969358679359576</v>
      </c>
      <c r="BT159" s="14">
        <f t="shared" si="202"/>
        <v>191.84583698554695</v>
      </c>
      <c r="BU159" s="16">
        <f t="shared" si="203"/>
        <v>7.494872825799364</v>
      </c>
      <c r="BV159" s="14">
        <f t="shared" si="204"/>
        <v>183.81578735668199</v>
      </c>
      <c r="BW159" s="16">
        <f t="shared" si="205"/>
        <v>8.804892332740323</v>
      </c>
      <c r="BX159" s="14">
        <f t="shared" si="206"/>
        <v>176.48817065829019</v>
      </c>
      <c r="BY159" s="16">
        <f t="shared" si="207"/>
        <v>0</v>
      </c>
      <c r="BZ159" s="14">
        <f t="shared" si="208"/>
        <v>167.97028559236236</v>
      </c>
      <c r="CA159" s="16">
        <f t="shared" si="209"/>
        <v>0</v>
      </c>
      <c r="CB159" s="14">
        <f t="shared" si="210"/>
        <v>158.47468670316391</v>
      </c>
      <c r="CC159" s="16">
        <f t="shared" si="211"/>
        <v>0</v>
      </c>
      <c r="CD159" s="14">
        <f t="shared" si="212"/>
        <v>147.15643116837811</v>
      </c>
      <c r="CE159" s="16">
        <f t="shared" si="213"/>
        <v>0</v>
      </c>
      <c r="CF159" s="14">
        <f t="shared" si="214"/>
        <v>132.63812303165219</v>
      </c>
      <c r="CG159" s="16">
        <f t="shared" si="215"/>
        <v>0</v>
      </c>
      <c r="CH159" s="14">
        <f t="shared" si="216"/>
        <v>113.47825103805292</v>
      </c>
      <c r="CI159" s="16">
        <f t="shared" si="217"/>
        <v>0</v>
      </c>
      <c r="CJ159" s="14" t="e">
        <f t="shared" si="218"/>
        <v>#NUM!</v>
      </c>
    </row>
    <row r="160" spans="1:88" x14ac:dyDescent="0.25">
      <c r="A160">
        <v>-6.8</v>
      </c>
      <c r="B160">
        <f t="shared" si="158"/>
        <v>5.89576118919347</v>
      </c>
      <c r="C160">
        <f t="shared" si="159"/>
        <v>-5.89576118919347</v>
      </c>
      <c r="D160">
        <f t="shared" si="167"/>
        <v>4.2142615011410962</v>
      </c>
      <c r="E160">
        <f t="shared" si="168"/>
        <v>-4.2142615011410962</v>
      </c>
      <c r="F160">
        <f t="shared" si="169"/>
        <v>1.6613247725836164</v>
      </c>
      <c r="G160">
        <f t="shared" si="170"/>
        <v>-1.6613247725836164</v>
      </c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13"/>
      <c r="U160" s="13"/>
      <c r="V160" s="13"/>
      <c r="W160" s="44"/>
      <c r="X160" s="50"/>
      <c r="Y160" s="50"/>
      <c r="Z160" s="13" t="s">
        <v>223</v>
      </c>
      <c r="AA160" s="197">
        <f>AB156</f>
        <v>6</v>
      </c>
      <c r="AB160" s="197">
        <f>AD156</f>
        <v>5</v>
      </c>
      <c r="AC160" s="197">
        <f>AF156</f>
        <v>4</v>
      </c>
      <c r="AD160" s="197">
        <f>AH156</f>
        <v>3</v>
      </c>
      <c r="AE160" s="197">
        <f>AJ156</f>
        <v>2</v>
      </c>
      <c r="AF160" s="197">
        <f>AL156</f>
        <v>1</v>
      </c>
      <c r="AG160" s="13"/>
      <c r="AH160" s="44"/>
      <c r="AI160" s="50"/>
      <c r="AJ160" s="50"/>
      <c r="AK160" s="13"/>
      <c r="AL160" s="50"/>
      <c r="AM160" s="13"/>
      <c r="AN160" t="s">
        <v>101</v>
      </c>
      <c r="AO160" s="13">
        <f t="shared" si="171"/>
        <v>0</v>
      </c>
      <c r="AP160" s="14">
        <f t="shared" si="172"/>
        <v>70.719172446820437</v>
      </c>
      <c r="AQ160" s="16">
        <f t="shared" si="173"/>
        <v>0</v>
      </c>
      <c r="AR160" s="14">
        <f t="shared" si="174"/>
        <v>53.985301681162554</v>
      </c>
      <c r="AS160" s="16">
        <f t="shared" si="175"/>
        <v>0</v>
      </c>
      <c r="AT160" s="14">
        <f t="shared" si="176"/>
        <v>40.521135035149477</v>
      </c>
      <c r="AU160" s="16">
        <f t="shared" si="177"/>
        <v>0</v>
      </c>
      <c r="AV160" s="14">
        <f t="shared" si="178"/>
        <v>29.730261944933666</v>
      </c>
      <c r="AW160" s="16">
        <f t="shared" si="179"/>
        <v>0</v>
      </c>
      <c r="AX160" s="14">
        <f t="shared" si="180"/>
        <v>20.696124264683974</v>
      </c>
      <c r="AY160" s="16">
        <f t="shared" si="181"/>
        <v>8.2820305891898158</v>
      </c>
      <c r="AZ160" s="14">
        <f t="shared" si="182"/>
        <v>13.091584531383944</v>
      </c>
      <c r="BA160" s="16">
        <f t="shared" si="183"/>
        <v>6.9905591787865466</v>
      </c>
      <c r="BB160" s="14">
        <f t="shared" si="184"/>
        <v>6.3069940854475703</v>
      </c>
      <c r="BC160" s="16">
        <f t="shared" si="185"/>
        <v>5.6820885816696087</v>
      </c>
      <c r="BD160" s="14">
        <f t="shared" si="186"/>
        <v>-0.69217364605589182</v>
      </c>
      <c r="BE160" s="16">
        <f t="shared" si="187"/>
        <v>4.3765999075297497</v>
      </c>
      <c r="BF160" s="14">
        <f t="shared" si="188"/>
        <v>-8.9310733129878344</v>
      </c>
      <c r="BG160" s="16">
        <f t="shared" si="189"/>
        <v>3.1086801043390535</v>
      </c>
      <c r="BH160" s="14">
        <f t="shared" si="190"/>
        <v>-20.642612369180679</v>
      </c>
      <c r="BI160" s="16">
        <f t="shared" si="191"/>
        <v>1.9820879575206096</v>
      </c>
      <c r="BJ160" s="14">
        <f t="shared" si="192"/>
        <v>-42.470244283928565</v>
      </c>
      <c r="BK160" s="16">
        <f t="shared" si="193"/>
        <v>1.417911254412533</v>
      </c>
      <c r="BL160" s="14">
        <f t="shared" si="194"/>
        <v>-90</v>
      </c>
      <c r="BM160" s="16">
        <f t="shared" si="195"/>
        <v>1.9820879575206094</v>
      </c>
      <c r="BN160" s="14">
        <f t="shared" si="196"/>
        <v>222.47024428392857</v>
      </c>
      <c r="BO160" s="16">
        <f t="shared" si="197"/>
        <v>3.1086801043390535</v>
      </c>
      <c r="BP160" s="14">
        <f t="shared" si="198"/>
        <v>200.64261236918068</v>
      </c>
      <c r="BQ160" s="16">
        <f t="shared" si="199"/>
        <v>4.3765999075297497</v>
      </c>
      <c r="BR160" s="14">
        <f t="shared" si="200"/>
        <v>188.93107331298785</v>
      </c>
      <c r="BS160" s="16">
        <f t="shared" si="201"/>
        <v>5.6820885816696087</v>
      </c>
      <c r="BT160" s="14">
        <f t="shared" si="202"/>
        <v>180.69217364605589</v>
      </c>
      <c r="BU160" s="16">
        <f t="shared" si="203"/>
        <v>6.9905591787865475</v>
      </c>
      <c r="BV160" s="14">
        <f t="shared" si="204"/>
        <v>173.69300591455243</v>
      </c>
      <c r="BW160" s="16">
        <f t="shared" si="205"/>
        <v>8.2820305891898158</v>
      </c>
      <c r="BX160" s="14">
        <f t="shared" si="206"/>
        <v>166.90841546861606</v>
      </c>
      <c r="BY160" s="16">
        <f t="shared" si="207"/>
        <v>0</v>
      </c>
      <c r="BZ160" s="14">
        <f t="shared" si="208"/>
        <v>159.30387573531601</v>
      </c>
      <c r="CA160" s="16">
        <f t="shared" si="209"/>
        <v>0</v>
      </c>
      <c r="CB160" s="14">
        <f t="shared" si="210"/>
        <v>150.26973805506631</v>
      </c>
      <c r="CC160" s="16">
        <f t="shared" si="211"/>
        <v>0</v>
      </c>
      <c r="CD160" s="14">
        <f t="shared" si="212"/>
        <v>139.47886496485052</v>
      </c>
      <c r="CE160" s="16">
        <f t="shared" si="213"/>
        <v>0</v>
      </c>
      <c r="CF160" s="14">
        <f t="shared" si="214"/>
        <v>126.01469831883746</v>
      </c>
      <c r="CG160" s="16">
        <f t="shared" si="215"/>
        <v>0</v>
      </c>
      <c r="CH160" s="14">
        <f t="shared" si="216"/>
        <v>109.28082755317956</v>
      </c>
      <c r="CI160" s="16">
        <f t="shared" si="217"/>
        <v>0</v>
      </c>
      <c r="CJ160" s="14" t="e">
        <f t="shared" si="218"/>
        <v>#NUM!</v>
      </c>
    </row>
    <row r="161" spans="1:88" x14ac:dyDescent="0.25">
      <c r="A161">
        <v>-6.9</v>
      </c>
      <c r="B161">
        <f t="shared" si="158"/>
        <v>5.7784080852774666</v>
      </c>
      <c r="C161">
        <f t="shared" si="159"/>
        <v>-5.7784080852774666</v>
      </c>
      <c r="D161">
        <f t="shared" si="167"/>
        <v>4.0484564959994316</v>
      </c>
      <c r="E161">
        <f t="shared" si="168"/>
        <v>-4.0484564959994316</v>
      </c>
      <c r="F161">
        <f t="shared" si="169"/>
        <v>1.1789826122551568</v>
      </c>
      <c r="G161">
        <f t="shared" si="170"/>
        <v>-1.1789826122551568</v>
      </c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13"/>
      <c r="U161" s="13"/>
      <c r="V161" s="13"/>
      <c r="W161" s="44"/>
      <c r="X161" s="50"/>
      <c r="Y161" s="50"/>
      <c r="Z161" s="13"/>
      <c r="AA161" s="50"/>
      <c r="AB161" s="50"/>
      <c r="AC161" s="50"/>
      <c r="AD161" s="50"/>
      <c r="AE161" s="13"/>
      <c r="AF161" s="13"/>
      <c r="AG161" s="13"/>
      <c r="AH161" s="44"/>
      <c r="AI161" s="50"/>
      <c r="AJ161" s="50"/>
      <c r="AK161" s="13"/>
      <c r="AL161" s="50"/>
      <c r="AM161" s="13"/>
      <c r="AN161" t="s">
        <v>100</v>
      </c>
      <c r="AO161" s="13">
        <f t="shared" si="171"/>
        <v>0</v>
      </c>
      <c r="AP161" s="14">
        <f t="shared" si="172"/>
        <v>72.690276497864218</v>
      </c>
      <c r="AQ161" s="16">
        <f t="shared" si="173"/>
        <v>0</v>
      </c>
      <c r="AR161" s="14">
        <f t="shared" si="174"/>
        <v>57.376620155257633</v>
      </c>
      <c r="AS161" s="16">
        <f t="shared" si="175"/>
        <v>0</v>
      </c>
      <c r="AT161" s="14">
        <f t="shared" si="176"/>
        <v>44.814618570507889</v>
      </c>
      <c r="AU161" s="16">
        <f t="shared" si="177"/>
        <v>0</v>
      </c>
      <c r="AV161" s="14">
        <f t="shared" si="178"/>
        <v>34.712292943026675</v>
      </c>
      <c r="AW161" s="16">
        <f t="shared" si="179"/>
        <v>0</v>
      </c>
      <c r="AX161" s="14">
        <f t="shared" si="180"/>
        <v>26.425229707013109</v>
      </c>
      <c r="AY161" s="16">
        <f t="shared" si="181"/>
        <v>7.9491477305149889</v>
      </c>
      <c r="AZ161" s="14">
        <f t="shared" si="182"/>
        <v>19.483714082779059</v>
      </c>
      <c r="BA161" s="16">
        <f t="shared" si="183"/>
        <v>6.6918166134996104</v>
      </c>
      <c r="BB161" s="14">
        <f t="shared" si="184"/>
        <v>13.281438462559318</v>
      </c>
      <c r="BC161" s="16">
        <f t="shared" si="185"/>
        <v>5.4025799482025025</v>
      </c>
      <c r="BD161" s="14">
        <f t="shared" si="186"/>
        <v>7.2897889969830754</v>
      </c>
      <c r="BE161" s="16">
        <f t="shared" si="187"/>
        <v>4.0957710891621408</v>
      </c>
      <c r="BF161" s="14">
        <f t="shared" si="188"/>
        <v>0.82022462339318736</v>
      </c>
      <c r="BG161" s="16">
        <f t="shared" si="189"/>
        <v>2.7879852285284317</v>
      </c>
      <c r="BH161" s="14">
        <f t="shared" si="190"/>
        <v>-7.6452176359462669</v>
      </c>
      <c r="BI161" s="16">
        <f t="shared" si="191"/>
        <v>1.5234754312080081</v>
      </c>
      <c r="BJ161" s="14">
        <f t="shared" si="192"/>
        <v>-24.080663969566604</v>
      </c>
      <c r="BK161" s="16">
        <f t="shared" si="193"/>
        <v>0.70403754412625652</v>
      </c>
      <c r="BL161" s="14">
        <f t="shared" si="194"/>
        <v>-90</v>
      </c>
      <c r="BM161" s="16">
        <f t="shared" si="195"/>
        <v>1.5234754312080085</v>
      </c>
      <c r="BN161" s="14">
        <f t="shared" si="196"/>
        <v>204.08066396956664</v>
      </c>
      <c r="BO161" s="16">
        <f t="shared" si="197"/>
        <v>2.7879852285284321</v>
      </c>
      <c r="BP161" s="14">
        <f t="shared" si="198"/>
        <v>187.64521763594627</v>
      </c>
      <c r="BQ161" s="16">
        <f t="shared" si="199"/>
        <v>4.0957710891621408</v>
      </c>
      <c r="BR161" s="14">
        <f t="shared" si="200"/>
        <v>179.17977537660681</v>
      </c>
      <c r="BS161" s="16">
        <f t="shared" si="201"/>
        <v>5.4025799482025025</v>
      </c>
      <c r="BT161" s="14">
        <f t="shared" si="202"/>
        <v>172.71021100301692</v>
      </c>
      <c r="BU161" s="16">
        <f t="shared" si="203"/>
        <v>6.6918166134996104</v>
      </c>
      <c r="BV161" s="14">
        <f t="shared" si="204"/>
        <v>166.71856153744068</v>
      </c>
      <c r="BW161" s="16">
        <f t="shared" si="205"/>
        <v>7.9491477305149889</v>
      </c>
      <c r="BX161" s="14">
        <f t="shared" si="206"/>
        <v>160.51628591722096</v>
      </c>
      <c r="BY161" s="16">
        <f t="shared" si="207"/>
        <v>0</v>
      </c>
      <c r="BZ161" s="14">
        <f t="shared" si="208"/>
        <v>153.57477029298687</v>
      </c>
      <c r="CA161" s="16">
        <f t="shared" si="209"/>
        <v>0</v>
      </c>
      <c r="CB161" s="14">
        <f t="shared" si="210"/>
        <v>145.28770705697332</v>
      </c>
      <c r="CC161" s="16">
        <f t="shared" si="211"/>
        <v>0</v>
      </c>
      <c r="CD161" s="14">
        <f t="shared" si="212"/>
        <v>135.18538142949211</v>
      </c>
      <c r="CE161" s="16">
        <f t="shared" si="213"/>
        <v>0</v>
      </c>
      <c r="CF161" s="14">
        <f t="shared" si="214"/>
        <v>122.62337984474239</v>
      </c>
      <c r="CG161" s="16">
        <f t="shared" si="215"/>
        <v>0</v>
      </c>
      <c r="CH161" s="14">
        <f t="shared" si="216"/>
        <v>107.3097235021358</v>
      </c>
      <c r="CI161" s="16">
        <f t="shared" si="217"/>
        <v>0</v>
      </c>
      <c r="CJ161" s="14" t="e">
        <f t="shared" si="218"/>
        <v>#NUM!</v>
      </c>
    </row>
    <row r="162" spans="1:88" x14ac:dyDescent="0.25">
      <c r="A162">
        <v>-7</v>
      </c>
      <c r="B162">
        <f t="shared" ref="B162:B182" si="219">+SQRT(81-A162^2)</f>
        <v>5.6568542494923806</v>
      </c>
      <c r="C162">
        <f t="shared" ref="C162:C182" si="220">-B162</f>
        <v>-5.6568542494923806</v>
      </c>
      <c r="D162">
        <f t="shared" si="167"/>
        <v>3.872983346207417</v>
      </c>
      <c r="E162">
        <f t="shared" si="168"/>
        <v>-3.872983346207417</v>
      </c>
      <c r="F162">
        <f t="shared" si="169"/>
        <v>0</v>
      </c>
      <c r="G162">
        <f t="shared" si="170"/>
        <v>0</v>
      </c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35"/>
      <c r="S162" s="35"/>
      <c r="T162" s="13"/>
      <c r="U162" s="13"/>
      <c r="V162" s="13"/>
      <c r="W162" s="44"/>
      <c r="X162" s="13"/>
      <c r="Y162" s="13"/>
      <c r="Z162" s="13"/>
      <c r="AA162" s="13"/>
      <c r="AB162" s="13"/>
      <c r="AC162" s="35"/>
      <c r="AD162" s="35"/>
      <c r="AE162" s="13"/>
      <c r="AF162" s="13"/>
      <c r="AG162" s="13"/>
      <c r="AH162" s="44"/>
      <c r="AI162" s="13"/>
      <c r="AJ162" s="13"/>
      <c r="AK162" s="13"/>
      <c r="AL162" s="13"/>
      <c r="AM162" s="13"/>
      <c r="AN162" t="s">
        <v>99</v>
      </c>
      <c r="AO162" s="13">
        <f>+IF(SQRT((AO154^2)+(AP154^2))&gt;9,0,SQRT((AO154^2)+(AP154^2)))</f>
        <v>0</v>
      </c>
      <c r="AP162" s="14">
        <f>+DEGREES(ATAN2(AO154,AP154))</f>
        <v>73.037777093012409</v>
      </c>
      <c r="AQ162" s="16">
        <f>+IF(SQRT((AQ154^2)+(AR154^2))&gt;9,0,SQRT((AQ154^2)+(AR154^2)))</f>
        <v>0</v>
      </c>
      <c r="AR162" s="14">
        <f>+DEGREES(ATAN2(AQ154,AR154))</f>
        <v>57.994776292287042</v>
      </c>
      <c r="AS162" s="16">
        <f>+IF(SQRT((AS154^2)+(AT154^2))&gt;9,0,SQRT((AS154^2)+(AT154^2)))</f>
        <v>0</v>
      </c>
      <c r="AT162" s="14">
        <f>+DEGREES(ATAN2(AS154,AT154))</f>
        <v>45.627435722185737</v>
      </c>
      <c r="AU162" s="16">
        <f>+IF(SQRT((AU154^2)+(AV154^2))&gt;9,0,SQRT((AU154^2)+(AV154^2)))</f>
        <v>0</v>
      </c>
      <c r="AV162" s="14">
        <f>+DEGREES(ATAN2(AU154,AV154))</f>
        <v>35.691409005347332</v>
      </c>
      <c r="AW162" s="16">
        <f>+IF(SQRT((AW154^2)+(AX154^2))&gt;9,0,SQRT((AW154^2)+(AX154^2)))</f>
        <v>0</v>
      </c>
      <c r="AX162" s="14">
        <f>+DEGREES(ATAN2(AW154,AX154))</f>
        <v>27.595826733393398</v>
      </c>
      <c r="AY162" s="16">
        <f>+IF(SQRT((AY154^2)+(AZ154^2))&gt;9,0,SQRT((AY154^2)+(AZ154^2)))</f>
        <v>7.8847945032680835</v>
      </c>
      <c r="AZ162" s="14">
        <f>+DEGREES(ATAN2(AY154,AZ154))</f>
        <v>20.761233419723805</v>
      </c>
      <c r="BA162" s="16">
        <f>+IF(SQRT((BA154^2)+(BB154^2))&gt;9,0,SQRT((BA154^2)+(BB154^2)))</f>
        <v>6.6363995450640365</v>
      </c>
      <c r="BB162" s="14">
        <f>+DEGREES(ATAN2(BA154,BB154))</f>
        <v>14.69392403052011</v>
      </c>
      <c r="BC162" s="16">
        <f>+IF(SQRT((BC154^2)+(BD154^2))&gt;9,0,SQRT((BC154^2)+(BD154^2)))</f>
        <v>5.3537637276195609</v>
      </c>
      <c r="BD162" s="14">
        <f>+DEGREES(ATAN2(BC154,BD154))</f>
        <v>8.9296505601242746</v>
      </c>
      <c r="BE162" s="16">
        <f>+IF(SQRT((BE154^2)+(BF154^2))&gt;9,0,SQRT((BE154^2)+(BF154^2)))</f>
        <v>4.0505375194811268</v>
      </c>
      <c r="BF162" s="14">
        <f>+DEGREES(ATAN2(BE154,BF154))</f>
        <v>2.8672252708378072</v>
      </c>
      <c r="BG162" s="16">
        <f>+IF(SQRT((BG154^2)+(BH154^2))&gt;9,0,SQRT((BG154^2)+(BH154^2)))</f>
        <v>2.7406893905910499</v>
      </c>
      <c r="BH162" s="14">
        <f>+DEGREES(ATAN2(BG154,BH154))</f>
        <v>-4.7815800282462684</v>
      </c>
      <c r="BI162" s="16">
        <f>+IF(SQRT((BI154^2)+(BJ154^2))&gt;9,0,SQRT((BI154^2)+(BJ154^2)))</f>
        <v>1.456649529400198</v>
      </c>
      <c r="BJ162" s="14">
        <f>+DEGREES(ATAN2(BI154,BJ154))</f>
        <v>-19.249068609368962</v>
      </c>
      <c r="BK162" s="16">
        <f>+IF(SQRT((BK154^2)+(BL154^2))&gt;9,0,SQRT((BK154^2)+(BL154^2)))</f>
        <v>0.56302171531863721</v>
      </c>
      <c r="BL162" s="14">
        <f>+DEGREES(ATAN2(BK154,BL154))</f>
        <v>-90</v>
      </c>
      <c r="BM162" s="16">
        <f>+IF(SQRT((BM154^2)+(BN154^2))&gt;9,0,SQRT((BM154^2)+(BN154^2)))</f>
        <v>1.456649529400198</v>
      </c>
      <c r="BN162" s="14">
        <f>+IF(DEGREES(ATAN2(BM154,BN154))&lt;0,360+DEGREES(ATAN2(BM154,BN154)),DEGREES(ATAN2(BM154,BN154)))</f>
        <v>199.24906860936898</v>
      </c>
      <c r="BO162" s="16">
        <f>+IF(SQRT((BO154^2)+(BP154^2))&gt;9,0,SQRT((BO154^2)+(BP154^2)))</f>
        <v>2.7406893905910494</v>
      </c>
      <c r="BP162" s="14">
        <f>+IF(DEGREES(ATAN2(BO154,BP154))&lt;0,360+DEGREES(ATAN2(BO154,BP154)),DEGREES(ATAN2(BO154,BP154)))</f>
        <v>184.78158002824625</v>
      </c>
      <c r="BQ162" s="16">
        <f>+IF(SQRT((BQ154^2)+(BR154^2))&gt;9,0,SQRT((BQ154^2)+(BR154^2)))</f>
        <v>4.0505375194811268</v>
      </c>
      <c r="BR162" s="14">
        <f>+IF(DEGREES(ATAN2(BQ154,BR154))&lt;0,360+DEGREES(ATAN2(BQ154,BR154)),DEGREES(ATAN2(BQ154,BR154)))</f>
        <v>177.13277472916218</v>
      </c>
      <c r="BS162" s="16">
        <f>+IF(SQRT((BS154^2)+(BT154^2))&gt;9,0,SQRT((BS154^2)+(BT154^2)))</f>
        <v>5.3537637276195609</v>
      </c>
      <c r="BT162" s="14">
        <f>+IF(DEGREES(ATAN2(BS154,BT154))&lt;0,360+DEGREES(ATAN2(BS154,BT154)),DEGREES(ATAN2(BS154,BT154)))</f>
        <v>171.07034943987571</v>
      </c>
      <c r="BU162" s="16">
        <f>+IF(SQRT((BU154^2)+(BV154^2))&gt;9,0,SQRT((BU154^2)+(BV154^2)))</f>
        <v>6.6363995450640365</v>
      </c>
      <c r="BV162" s="14">
        <f>+IF(DEGREES(ATAN2(BU154,BV154))&lt;0,360+DEGREES(ATAN2(BU154,BV154)),DEGREES(ATAN2(BU154,BV154)))</f>
        <v>165.30607596947988</v>
      </c>
      <c r="BW162" s="16">
        <f>+IF(SQRT((BW154^2)+(BX154^2))&gt;9,0,SQRT((BW154^2)+(BX154^2)))</f>
        <v>7.8847945032680844</v>
      </c>
      <c r="BX162" s="14">
        <f>+IF(DEGREES(ATAN2(BW154,BX154))&lt;0,360+DEGREES(ATAN2(BW154,BX154)),DEGREES(ATAN2(BW154,BX154)))</f>
        <v>159.23876658027621</v>
      </c>
      <c r="BY162" s="16">
        <f>+IF(SQRT((BY154^2)+(BZ154^2))&gt;9,0,SQRT((BY154^2)+(BZ154^2)))</f>
        <v>0</v>
      </c>
      <c r="BZ162" s="14">
        <f>+IF(DEGREES(ATAN2(BY154,BZ154))&lt;0,360+DEGREES(ATAN2(BY154,BZ154)),DEGREES(ATAN2(BY154,BZ154)))</f>
        <v>152.40417326660662</v>
      </c>
      <c r="CA162" s="16">
        <f>+IF(SQRT((CA154^2)+(CB154^2))&gt;9,0,SQRT((CA154^2)+(CB154^2)))</f>
        <v>0</v>
      </c>
      <c r="CB162" s="14">
        <f>+IF(DEGREES(ATAN2(CA154,CB154))&lt;0,360+DEGREES(ATAN2(CA154,CB154)),DEGREES(ATAN2(CA154,CB154)))</f>
        <v>144.30859099465266</v>
      </c>
      <c r="CC162" s="16">
        <f>+IF(SQRT((CC154^2)+(CD154^2))&gt;9,0,SQRT((CC154^2)+(CD154^2)))</f>
        <v>0</v>
      </c>
      <c r="CD162" s="14">
        <f>+IF(DEGREES(ATAN2(CC154,CD154))&lt;0,360+DEGREES(ATAN2(CC154,CD154)),DEGREES(ATAN2(CC154,CD154)))</f>
        <v>134.37256427781426</v>
      </c>
      <c r="CE162" s="16">
        <f>+IF(SQRT((CE154^2)+(CF154^2))&gt;9,0,SQRT((CE154^2)+(CF154^2)))</f>
        <v>0</v>
      </c>
      <c r="CF162" s="14">
        <f>+IF(DEGREES(ATAN2(CE154,CF154))&lt;0,360+DEGREES(ATAN2(CE154,CF154)),DEGREES(ATAN2(CE154,CF154)))</f>
        <v>122.00522370771297</v>
      </c>
      <c r="CG162" s="16">
        <f>+IF(SQRT((CG154^2)+(CH154^2))&gt;9,0,SQRT((CG154^2)+(CH154^2)))</f>
        <v>0</v>
      </c>
      <c r="CH162" s="14">
        <f>+IF(DEGREES(ATAN2(CG154,CH154))&lt;0,360+DEGREES(ATAN2(CG154,CH154)),DEGREES(ATAN2(CG154,CH154)))</f>
        <v>106.96222290698759</v>
      </c>
      <c r="CI162" s="16">
        <f>+IF(SQRT((CI154^2)+(CJ154^2))&gt;9,0,SQRT((CI154^2)+(CJ154^2)))</f>
        <v>0</v>
      </c>
      <c r="CJ162" s="14">
        <f>+IF(DEGREES(ATAN2(CI154,CJ154))&lt;0,360+DEGREES(ATAN2(CI154,CJ154)),DEGREES(ATAN2(CI154,CJ154)))</f>
        <v>90</v>
      </c>
    </row>
    <row r="163" spans="1:88" x14ac:dyDescent="0.25">
      <c r="A163">
        <v>-7.1</v>
      </c>
      <c r="B163">
        <f t="shared" si="219"/>
        <v>5.5308227236099334</v>
      </c>
      <c r="C163">
        <f t="shared" si="220"/>
        <v>-5.5308227236099334</v>
      </c>
      <c r="D163">
        <f t="shared" si="167"/>
        <v>3.6864617182333528</v>
      </c>
      <c r="E163">
        <f t="shared" si="168"/>
        <v>-3.6864617182333528</v>
      </c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245" t="s">
        <v>53</v>
      </c>
      <c r="S163" s="245" t="s">
        <v>57</v>
      </c>
      <c r="T163" s="245" t="s">
        <v>58</v>
      </c>
      <c r="U163" s="245" t="s">
        <v>59</v>
      </c>
      <c r="V163" s="245" t="s">
        <v>60</v>
      </c>
      <c r="W163" s="245" t="s">
        <v>61</v>
      </c>
      <c r="X163" s="245" t="s">
        <v>62</v>
      </c>
      <c r="Y163" s="245" t="s">
        <v>63</v>
      </c>
      <c r="Z163" s="245" t="s">
        <v>64</v>
      </c>
      <c r="AA163" s="245" t="s">
        <v>65</v>
      </c>
      <c r="AB163" s="245" t="s">
        <v>66</v>
      </c>
      <c r="AC163" s="245" t="s">
        <v>67</v>
      </c>
      <c r="AD163" s="245"/>
      <c r="AE163" s="13"/>
      <c r="AF163" s="13"/>
      <c r="AG163" s="13"/>
      <c r="AH163" s="44"/>
      <c r="AI163" s="13"/>
      <c r="AJ163" s="13"/>
      <c r="AK163" s="13"/>
      <c r="AL163" s="13"/>
      <c r="AM163" s="13"/>
      <c r="AN163" s="35"/>
      <c r="AO163" s="35" t="s">
        <v>89</v>
      </c>
      <c r="AP163" s="34" t="s">
        <v>93</v>
      </c>
      <c r="AQ163" s="33" t="s">
        <v>89</v>
      </c>
      <c r="AR163" s="34" t="s">
        <v>93</v>
      </c>
      <c r="AS163" s="33" t="s">
        <v>89</v>
      </c>
      <c r="AT163" s="34" t="s">
        <v>93</v>
      </c>
      <c r="AU163" s="33" t="s">
        <v>89</v>
      </c>
      <c r="AV163" s="34" t="s">
        <v>93</v>
      </c>
      <c r="AW163" s="33" t="s">
        <v>89</v>
      </c>
      <c r="AX163" s="34" t="s">
        <v>93</v>
      </c>
      <c r="AY163" s="33" t="s">
        <v>89</v>
      </c>
      <c r="AZ163" s="34" t="s">
        <v>93</v>
      </c>
      <c r="BA163" s="33" t="s">
        <v>89</v>
      </c>
      <c r="BB163" s="34" t="s">
        <v>93</v>
      </c>
      <c r="BC163" s="33" t="s">
        <v>89</v>
      </c>
      <c r="BD163" s="34" t="s">
        <v>93</v>
      </c>
      <c r="BE163" s="33" t="s">
        <v>89</v>
      </c>
      <c r="BF163" s="34" t="s">
        <v>93</v>
      </c>
      <c r="BG163" s="33" t="s">
        <v>89</v>
      </c>
      <c r="BH163" s="34" t="s">
        <v>93</v>
      </c>
      <c r="BI163" s="33" t="s">
        <v>89</v>
      </c>
      <c r="BJ163" s="34" t="s">
        <v>93</v>
      </c>
      <c r="BK163" s="33" t="s">
        <v>89</v>
      </c>
      <c r="BL163" s="34" t="s">
        <v>93</v>
      </c>
      <c r="BM163" s="33" t="s">
        <v>89</v>
      </c>
      <c r="BN163" s="34" t="s">
        <v>93</v>
      </c>
      <c r="BO163" s="33" t="s">
        <v>89</v>
      </c>
      <c r="BP163" s="34" t="s">
        <v>93</v>
      </c>
      <c r="BQ163" s="33" t="s">
        <v>89</v>
      </c>
      <c r="BR163" s="34" t="s">
        <v>93</v>
      </c>
      <c r="BS163" s="33" t="s">
        <v>89</v>
      </c>
      <c r="BT163" s="34" t="s">
        <v>93</v>
      </c>
      <c r="BU163" s="33" t="s">
        <v>89</v>
      </c>
      <c r="BV163" s="34" t="s">
        <v>93</v>
      </c>
      <c r="BW163" s="33" t="s">
        <v>89</v>
      </c>
      <c r="BX163" s="34" t="s">
        <v>93</v>
      </c>
      <c r="BY163" s="33" t="s">
        <v>89</v>
      </c>
      <c r="BZ163" s="34" t="s">
        <v>93</v>
      </c>
      <c r="CA163" s="33" t="s">
        <v>89</v>
      </c>
      <c r="CB163" s="34" t="s">
        <v>93</v>
      </c>
      <c r="CC163" s="33" t="s">
        <v>89</v>
      </c>
      <c r="CD163" s="34" t="s">
        <v>93</v>
      </c>
      <c r="CE163" s="33" t="s">
        <v>89</v>
      </c>
      <c r="CF163" s="34" t="s">
        <v>93</v>
      </c>
      <c r="CG163" s="33" t="s">
        <v>89</v>
      </c>
      <c r="CH163" s="34" t="s">
        <v>93</v>
      </c>
      <c r="CI163" s="33" t="s">
        <v>89</v>
      </c>
      <c r="CJ163" s="34" t="s">
        <v>93</v>
      </c>
    </row>
    <row r="164" spans="1:88" x14ac:dyDescent="0.25">
      <c r="A164">
        <v>-7.2</v>
      </c>
      <c r="B164">
        <f t="shared" si="219"/>
        <v>5.3999999999999995</v>
      </c>
      <c r="C164">
        <f t="shared" si="220"/>
        <v>-5.3999999999999995</v>
      </c>
      <c r="D164">
        <f t="shared" si="167"/>
        <v>3.4871191548325382</v>
      </c>
      <c r="E164">
        <f t="shared" si="168"/>
        <v>-3.4871191548325382</v>
      </c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245">
        <v>1</v>
      </c>
      <c r="S164" s="245">
        <v>2</v>
      </c>
      <c r="T164" s="245">
        <v>3</v>
      </c>
      <c r="U164" s="245">
        <v>4</v>
      </c>
      <c r="V164" s="245">
        <v>5</v>
      </c>
      <c r="W164" s="245">
        <v>6</v>
      </c>
      <c r="X164" s="245">
        <v>7</v>
      </c>
      <c r="Y164" s="245">
        <v>8</v>
      </c>
      <c r="Z164" s="245">
        <v>9</v>
      </c>
      <c r="AA164" s="245">
        <v>10</v>
      </c>
      <c r="AB164" s="245">
        <v>11</v>
      </c>
      <c r="AC164" s="245">
        <v>12</v>
      </c>
      <c r="AD164" s="245"/>
      <c r="AE164" s="13"/>
      <c r="AF164" s="13"/>
      <c r="AG164" s="13"/>
      <c r="AH164" s="44"/>
      <c r="AI164" s="13"/>
      <c r="AJ164" s="13"/>
      <c r="AK164" s="13"/>
      <c r="AL164" s="13"/>
      <c r="AM164" s="13"/>
      <c r="AN164" s="13" t="s">
        <v>105</v>
      </c>
      <c r="AO164" s="13">
        <f>+IF(SQRT((AO148^2)+(AP148^2))&gt;9,0,SQRT((AO148^2)+(AP148^2)))</f>
        <v>0</v>
      </c>
      <c r="AP164" s="14">
        <f>+DEGREES(ATAN2(AO148,AP148))</f>
        <v>20.795607288989288</v>
      </c>
      <c r="AQ164" s="16">
        <f>+IF(SQRT((AQ148^2)+(AR148^2))&gt;9,0,SQRT((AQ148^2)+(AR148^2)))</f>
        <v>0</v>
      </c>
      <c r="AR164" s="14">
        <f>+DEGREES(ATAN2(AQ148,AR148))</f>
        <v>5.6809554829932836</v>
      </c>
      <c r="AS164" s="16">
        <f>+IF(SQRT((AS148^2)+(AT148^2))&gt;9,0,SQRT((AS148^2)+(AT148^2)))</f>
        <v>0</v>
      </c>
      <c r="AT164" s="14">
        <f>+DEGREES(ATAN2(AS148,AT148))</f>
        <v>-2.2271995897223182</v>
      </c>
      <c r="AU164" s="16">
        <f>+IF(SQRT((AU148^2)+(AV148^2))&gt;9,0,SQRT((AU148^2)+(AV148^2)))</f>
        <v>0</v>
      </c>
      <c r="AV164" s="14">
        <f>+DEGREES(ATAN2(AU148,AV148))</f>
        <v>-8.4179445304480254</v>
      </c>
      <c r="AW164" s="16">
        <f>+IF(SQRT((AW148^2)+(AX148^2))&gt;9,0,SQRT((AW148^2)+(AX148^2)))</f>
        <v>0</v>
      </c>
      <c r="AX164" s="14">
        <f>+DEGREES(ATAN2(AW148,AX148))</f>
        <v>-14.253790121525386</v>
      </c>
      <c r="AY164" s="16">
        <f>+IF(SQRT((AY148^2)+(AZ148^2))&gt;9,0,SQRT((AY148^2)+(AZ148^2)))</f>
        <v>0</v>
      </c>
      <c r="AZ164" s="14">
        <f>+DEGREES(ATAN2(AY148,AZ148))</f>
        <v>-20.363709114945408</v>
      </c>
      <c r="BA164" s="16">
        <f>+IF(SQRT((BA148^2)+(BB148^2))&gt;9,0,SQRT((BA148^2)+(BB148^2)))</f>
        <v>8.8957412298918097</v>
      </c>
      <c r="BB164" s="14">
        <f>+DEGREES(ATAN2(BA148,BB148))</f>
        <v>-27.225862979151785</v>
      </c>
      <c r="BC164" s="16">
        <f>+IF(SQRT((BC148^2)+(BD148^2))&gt;9,0,SQRT((BC148^2)+(BD148^2)))</f>
        <v>7.7748622701407051</v>
      </c>
      <c r="BD164" s="14">
        <f>+DEGREES(ATAN2(BC148,BD148))</f>
        <v>-35.344520952247308</v>
      </c>
      <c r="BE164" s="16">
        <f>+IF(SQRT((BE148^2)+(BF148^2))&gt;9,0,SQRT((BE148^2)+(BF148^2)))</f>
        <v>6.7740781174458462</v>
      </c>
      <c r="BF164" s="14">
        <f>+DEGREES(ATAN2(BE148,BF148))</f>
        <v>-45.312046945778157</v>
      </c>
      <c r="BG164" s="16">
        <f>+IF(SQRT((BG148^2)+(BH148^2))&gt;9,0,SQRT((BG148^2)+(BH148^2)))</f>
        <v>5.9560290345739935</v>
      </c>
      <c r="BH164" s="14">
        <f>+DEGREES(ATAN2(BG148,BH148))</f>
        <v>-57.738198252116575</v>
      </c>
      <c r="BI164" s="16">
        <f>+IF(SQRT((BI148^2)+(BJ148^2))&gt;9,0,SQRT((BI148^2)+(BJ148^2)))</f>
        <v>5.4056218619913654</v>
      </c>
      <c r="BJ164" s="14">
        <f>+DEGREES(ATAN2(BI148,BJ148))</f>
        <v>-72.887370999294632</v>
      </c>
      <c r="BK164" s="16">
        <f>+IF(SQRT((BK148^2)+(BL148^2))&gt;9,0,SQRT((BK148^2)+(BL148^2)))</f>
        <v>5.2091636727869233</v>
      </c>
      <c r="BL164" s="14">
        <f>+DEGREES(ATAN2(BK148,BL148))</f>
        <v>-90</v>
      </c>
      <c r="BM164" s="16">
        <f>+IF(SQRT((BM148^2)+(BN148^2))&gt;9,0,SQRT((BM148^2)+(BN148^2)))</f>
        <v>5.4056218619913654</v>
      </c>
      <c r="BN164" s="14">
        <f>+IF(DEGREES(ATAN2(BM148,BN148))&lt;0,360+DEGREES(ATAN2(BM148,BN148)),DEGREES(ATAN2(BM148,BN148)))</f>
        <v>252.8873709992946</v>
      </c>
      <c r="BO164" s="16">
        <f>+IF(SQRT((BO148^2)+(BP148^2))&gt;9,0,SQRT((BO148^2)+(BP148^2)))</f>
        <v>5.9560290345739952</v>
      </c>
      <c r="BP164" s="14">
        <f>+IF(DEGREES(ATAN2(BO148,BP148))&lt;0,360+DEGREES(ATAN2(BO148,BP148)),DEGREES(ATAN2(BO148,BP148)))</f>
        <v>237.7381982521166</v>
      </c>
      <c r="BQ164" s="16">
        <f>+IF(SQRT((BQ148^2)+(BR148^2))&gt;9,0,SQRT((BQ148^2)+(BR148^2)))</f>
        <v>6.7740781174458462</v>
      </c>
      <c r="BR164" s="14">
        <f>+IF(DEGREES(ATAN2(BQ148,BR148))&lt;0,360+DEGREES(ATAN2(BQ148,BR148)),DEGREES(ATAN2(BQ148,BR148)))</f>
        <v>225.31204694577818</v>
      </c>
      <c r="BS164" s="16">
        <f>+IF(SQRT((BS148^2)+(BT148^2))&gt;9,0,SQRT((BS148^2)+(BT148^2)))</f>
        <v>7.7748622701407042</v>
      </c>
      <c r="BT164" s="14">
        <f>+IF(DEGREES(ATAN2(BS148,BT148))&lt;0,360+DEGREES(ATAN2(BS148,BT148)),DEGREES(ATAN2(BS148,BT148)))</f>
        <v>215.34452095224731</v>
      </c>
      <c r="BU164" s="16">
        <f>+IF(SQRT((BU148^2)+(BV148^2))&gt;9,0,SQRT((BU148^2)+(BV148^2)))</f>
        <v>8.8957412298918097</v>
      </c>
      <c r="BV164" s="14">
        <f>+IF(DEGREES(ATAN2(BU148,BV148))&lt;0,360+DEGREES(ATAN2(BU148,BV148)),DEGREES(ATAN2(BU148,BV148)))</f>
        <v>207.22586297915177</v>
      </c>
      <c r="BW164" s="16">
        <f>+IF(SQRT((BW148^2)+(BX148^2))&gt;9,0,SQRT((BW148^2)+(BX148^2)))</f>
        <v>0</v>
      </c>
      <c r="BX164" s="14">
        <f>+IF(DEGREES(ATAN2(BW148,BX148))&lt;0,360+DEGREES(ATAN2(BW148,BX148)),DEGREES(ATAN2(BW148,BX148)))</f>
        <v>200.36370911494541</v>
      </c>
      <c r="BY164" s="16">
        <f>+IF(SQRT((BY148^2)+(BZ148^2))&gt;9,0,SQRT((BY148^2)+(BZ148^2)))</f>
        <v>0</v>
      </c>
      <c r="BZ164" s="14">
        <f>+IF(DEGREES(ATAN2(BY148,BZ148))&lt;0,360+DEGREES(ATAN2(BY148,BZ148)),DEGREES(ATAN2(BY148,BZ148)))</f>
        <v>194.25379012152538</v>
      </c>
      <c r="CA164" s="16">
        <f>+IF(SQRT((CA148^2)+(CB148^2))&gt;9,0,SQRT((CA148^2)+(CB148^2)))</f>
        <v>0</v>
      </c>
      <c r="CB164" s="14">
        <f>+IF(DEGREES(ATAN2(CA148,CB148))&lt;0,360+DEGREES(ATAN2(CA148,CB148)),DEGREES(ATAN2(CA148,CB148)))</f>
        <v>188.41794453044804</v>
      </c>
      <c r="CC164" s="16">
        <f>+IF(SQRT((CC148^2)+(CD148^2))&gt;9,0,SQRT((CC148^2)+(CD148^2)))</f>
        <v>0</v>
      </c>
      <c r="CD164" s="14">
        <f>+IF(DEGREES(ATAN2(CC148,CD148))&lt;0,360+DEGREES(ATAN2(CC148,CD148)),DEGREES(ATAN2(CC148,CD148)))</f>
        <v>182.22719958972232</v>
      </c>
      <c r="CE164" s="16">
        <f>+IF(SQRT((CE148^2)+(CF148^2))&gt;9,0,SQRT((CE148^2)+(CF148^2)))</f>
        <v>0</v>
      </c>
      <c r="CF164" s="14">
        <f>+IF(DEGREES(ATAN2(CE148,CF148))&lt;0,360+DEGREES(ATAN2(CE148,CF148)),DEGREES(ATAN2(CE148,CF148)))</f>
        <v>174.31904451700672</v>
      </c>
      <c r="CG164" s="16">
        <f>+IF(SQRT((CG148^2)+(CH148^2))&gt;9,0,SQRT((CG148^2)+(CH148^2)))</f>
        <v>0</v>
      </c>
      <c r="CH164" s="14">
        <f>+IF(DEGREES(ATAN2(CG148,CH148))&lt;0,360+DEGREES(ATAN2(CG148,CH148)),DEGREES(ATAN2(CG148,CH148)))</f>
        <v>159.20439271101071</v>
      </c>
      <c r="CI164" s="16">
        <f>+IF(SQRT((CI148^2)+(CJ148^2))&gt;9,0,SQRT((CI148^2)+(CJ148^2)))</f>
        <v>0</v>
      </c>
      <c r="CJ164" s="14">
        <f>+IF(DEGREES(ATAN2(CI148,CJ148))&lt;0,360+DEGREES(ATAN2(CI148,CJ148)),DEGREES(ATAN2(CI148,CJ148)))</f>
        <v>90.000011454575471</v>
      </c>
    </row>
    <row r="165" spans="1:88" x14ac:dyDescent="0.25">
      <c r="A165">
        <v>-7.3</v>
      </c>
      <c r="B165">
        <f t="shared" si="219"/>
        <v>5.2640288753007427</v>
      </c>
      <c r="C165">
        <f t="shared" si="220"/>
        <v>-5.2640288753007427</v>
      </c>
      <c r="D165">
        <f t="shared" si="167"/>
        <v>3.2726136343907144</v>
      </c>
      <c r="E165">
        <f t="shared" si="168"/>
        <v>-3.2726136343907144</v>
      </c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245">
        <v>31</v>
      </c>
      <c r="S165" s="245">
        <v>28</v>
      </c>
      <c r="T165" s="245">
        <v>31</v>
      </c>
      <c r="U165" s="245">
        <v>30</v>
      </c>
      <c r="V165" s="245">
        <v>31</v>
      </c>
      <c r="W165" s="245">
        <v>30</v>
      </c>
      <c r="X165" s="245">
        <v>31</v>
      </c>
      <c r="Y165" s="245">
        <v>31</v>
      </c>
      <c r="Z165" s="245">
        <v>30</v>
      </c>
      <c r="AA165" s="245">
        <v>31</v>
      </c>
      <c r="AB165" s="245">
        <v>30</v>
      </c>
      <c r="AC165" s="245">
        <v>31</v>
      </c>
      <c r="AD165" s="245">
        <v>365</v>
      </c>
      <c r="AE165" s="13"/>
      <c r="AF165" s="13"/>
      <c r="AG165" s="13"/>
      <c r="AH165" s="44"/>
      <c r="AI165" s="13"/>
      <c r="AJ165" s="13"/>
      <c r="AK165" s="13"/>
      <c r="AL165" s="13"/>
      <c r="AM165" s="13"/>
      <c r="AN165" t="s">
        <v>104</v>
      </c>
      <c r="AO165" s="13">
        <f t="shared" ref="AO165:AO170" si="221">+IF(AO164=0,0,IF(SQRT((AO149^2)+(AP149^2))&gt;9,9,SQRT((AO149^2)+(AP149^2))))</f>
        <v>0</v>
      </c>
      <c r="AP165" s="14">
        <f t="shared" ref="AP165:AP170" si="222">+IF(SQRT((AO149^2)+(AP149^2))&gt;9,(9-AO164)*(DEGREES(ATAN2(AO149,AP149))-AP164)/(SQRT((AO149^2)+(AP149^2))-AO164)+AP164,DEGREES(ATAN2(AO149,AP149)))</f>
        <v>29.685854910527052</v>
      </c>
      <c r="AQ165" s="16">
        <f t="shared" ref="AQ165:AQ170" si="223">+IF(AQ164=0,0,IF(SQRT((AQ149^2)+(AR149^2))&gt;9,9,SQRT((AQ149^2)+(AR149^2))))</f>
        <v>0</v>
      </c>
      <c r="AR165" s="14">
        <f t="shared" ref="AR165:AR170" si="224">+IF(SQRT((AQ149^2)+(AR149^2))&gt;9,(9-AQ164)*(DEGREES(ATAN2(AQ149,AR149))-AR164)/(SQRT((AQ149^2)+(AR149^2))-AQ164)+AR164,DEGREES(ATAN2(AQ149,AR149)))</f>
        <v>11.971331637541752</v>
      </c>
      <c r="AS165" s="16">
        <f t="shared" ref="AS165:AS170" si="225">+IF(AS164=0,0,IF(SQRT((AS149^2)+(AT149^2))&gt;9,9,SQRT((AS149^2)+(AT149^2))))</f>
        <v>0</v>
      </c>
      <c r="AT165" s="14">
        <f t="shared" ref="AT165:AT170" si="226">+IF(SQRT((AS149^2)+(AT149^2))&gt;9,(9-AS164)*(DEGREES(ATAN2(AS149,AT149))-AT164)/(SQRT((AS149^2)+(AT149^2))-AS164)+AT164,DEGREES(ATAN2(AS149,AT149)))</f>
        <v>2.8231667426385081</v>
      </c>
      <c r="AU165" s="16">
        <f t="shared" ref="AU165:AU170" si="227">+IF(AU164=0,0,IF(SQRT((AU149^2)+(AV149^2))&gt;9,9,SQRT((AU149^2)+(AV149^2))))</f>
        <v>0</v>
      </c>
      <c r="AV165" s="14">
        <f t="shared" ref="AV165:AV170" si="228">+IF(SQRT((AU149^2)+(AV149^2))&gt;9,(9-AU164)*(DEGREES(ATAN2(AU149,AV149))-AV164)/(SQRT((AU149^2)+(AV149^2))-AU164)+AV164,DEGREES(ATAN2(AU149,AV149)))</f>
        <v>-3.8927044509556064</v>
      </c>
      <c r="AW165" s="16">
        <f t="shared" ref="AW165:AW170" si="229">+IF(AW164=0,0,IF(SQRT((AW149^2)+(AX149^2))&gt;9,9,SQRT((AW149^2)+(AX149^2))))</f>
        <v>0</v>
      </c>
      <c r="AX165" s="14">
        <f t="shared" ref="AX165:AX170" si="230">+IF(SQRT((AW149^2)+(AX149^2))&gt;9,(9-AW164)*(DEGREES(ATAN2(AW149,AX149))-AX164)/(SQRT((AW149^2)+(AX149^2))-AW164)+AX164,DEGREES(ATAN2(AW149,AX149)))</f>
        <v>-9.8641884439416536</v>
      </c>
      <c r="AY165" s="16">
        <f t="shared" ref="AY165:AY170" si="231">+IF(AY164=0,0,IF(SQRT((AY149^2)+(AZ149^2))&gt;9,9,SQRT((AY149^2)+(AZ149^2))))</f>
        <v>0</v>
      </c>
      <c r="AZ165" s="14">
        <f t="shared" ref="AZ165:AZ170" si="232">+IF(SQRT((AY149^2)+(AZ149^2))&gt;9,(9-AY164)*(DEGREES(ATAN2(AY149,AZ149))-AZ164)/(SQRT((AY149^2)+(AZ149^2))-AY164)+AZ164,DEGREES(ATAN2(AY149,AZ149)))</f>
        <v>-15.842952667647058</v>
      </c>
      <c r="BA165" s="16">
        <f t="shared" ref="BA165:BA170" si="233">+IF(BA164=0,0,IF(SQRT((BA149^2)+(BB149^2))&gt;9,9,SQRT((BA149^2)+(BB149^2))))</f>
        <v>8.6019397609257542</v>
      </c>
      <c r="BB165" s="14">
        <f t="shared" ref="BB165:BB170" si="234">+IF(SQRT((BA149^2)+(BB149^2))&gt;9,(9-BA164)*(DEGREES(ATAN2(BA149,BB149))-BB164)/(SQRT((BA149^2)+(BB149^2))-BA164)+BB164,DEGREES(ATAN2(BA149,BB149)))</f>
        <v>-22.577107831979806</v>
      </c>
      <c r="BC165" s="16">
        <f t="shared" ref="BC165:BC170" si="235">+IF(BC164=0,0,IF(SQRT((BC149^2)+(BD149^2))&gt;9,9,SQRT((BC149^2)+(BD149^2))))</f>
        <v>7.4310549891352657</v>
      </c>
      <c r="BD165" s="14">
        <f t="shared" ref="BD165:BD170" si="236">+IF(SQRT((BC149^2)+(BD149^2))&gt;9,(9-BC164)*(DEGREES(ATAN2(BC149,BD149))-BD164)/(SQRT((BC149^2)+(BD149^2))-BC164)+BD164,DEGREES(ATAN2(BC149,BD149)))</f>
        <v>-30.926255195118465</v>
      </c>
      <c r="BE165" s="16">
        <f t="shared" ref="BE165:BE170" si="237">+IF(BE164=0,0,IF(SQRT((BE149^2)+(BF149^2))&gt;9,9,SQRT((BE149^2)+(BF149^2))))</f>
        <v>6.3702657787638408</v>
      </c>
      <c r="BF165" s="14">
        <f t="shared" ref="BF165:BF170" si="238">+IF(SQRT((BE149^2)+(BF149^2))&gt;9,(9-BE164)*(DEGREES(ATAN2(BE149,BF149))-BF164)/(SQRT((BE149^2)+(BF149^2))-BE164)+BF164,DEGREES(ATAN2(BE149,BF149)))</f>
        <v>-41.22199491730089</v>
      </c>
      <c r="BG165" s="16">
        <f t="shared" ref="BG165:BG170" si="239">+IF(BG164=0,0,IF(SQRT((BG149^2)+(BH149^2))&gt;9,9,SQRT((BG149^2)+(BH149^2))))</f>
        <v>5.4867084387173142</v>
      </c>
      <c r="BH165" s="14">
        <f t="shared" ref="BH165:BH170" si="240">+IF(SQRT((BG149^2)+(BH149^2))&gt;9,(9-BG164)*(DEGREES(ATAN2(BG149,BH149))-BH164)/(SQRT((BG149^2)+(BH149^2))-BG164)+BH164,DEGREES(ATAN2(BG149,BH149)))</f>
        <v>-54.335886410821551</v>
      </c>
      <c r="BI165" s="16">
        <f t="shared" ref="BI165:BI170" si="241">+IF(BI164=0,0,IF(SQRT((BI149^2)+(BJ149^2))&gt;9,9,SQRT((BI149^2)+(BJ149^2))))</f>
        <v>4.879661303453692</v>
      </c>
      <c r="BJ165" s="14">
        <f t="shared" ref="BJ165:BJ170" si="242">+IF(SQRT((BI149^2)+(BJ149^2))&gt;9,(9-BI164)*(DEGREES(ATAN2(BI149,BJ149))-BJ164)/(SQRT((BI149^2)+(BJ149^2))-BI164)+BJ164,DEGREES(ATAN2(BI149,BJ149)))</f>
        <v>-70.849477923090234</v>
      </c>
      <c r="BK165" s="16">
        <f t="shared" ref="BK165:BK170" si="243">+IF(BK164=0,0,IF(SQRT((BK149^2)+(BL149^2))&gt;9,9,SQRT((BK149^2)+(BL149^2))))</f>
        <v>4.6596495456484224</v>
      </c>
      <c r="BL165" s="14">
        <f t="shared" ref="BL165:BL170" si="244">+IF(SQRT((BK149^2)+(BL149^2))&gt;9,(9-BK164)*(DEGREES(ATAN2(BK149,BL149))-BL164)/(SQRT((BK149^2)+(BL149^2))-BK164)+BL164,DEGREES(ATAN2(BK149,BL149)))</f>
        <v>-90</v>
      </c>
      <c r="BM165" s="16">
        <f t="shared" ref="BM165:BM170" si="245">+IF(BM164=0,0,IF(SQRT((BM149^2)+(BN149^2))&gt;9,9,SQRT((BM149^2)+(BN149^2))))</f>
        <v>4.879661303453692</v>
      </c>
      <c r="BN165" s="14">
        <f t="shared" ref="BN165:BN170" si="246">+IF(SQRT((BM149^2)+(BN149^2))&gt;9,IF(DEGREES(ATAN2(BM149,BN149))&lt;0,(9-BM164)*(360+DEGREES(ATAN2(BM149,BN149))-BN164)/(SQRT((BM149^2)+(BN149^2))-BM164)+BN164,(9-BM164)*(DEGREES(ATAN2(BM149,BN149))-BN164)/(SQRT((BM149^2)+(BN149^2))-BM164)+BN164),IF(DEGREES(ATAN2(BM149,BN149))&lt;0,360+DEGREES(ATAN2(BM149,BN149)),DEGREES(ATAN2(BM149,BN149))))</f>
        <v>250.84947792309026</v>
      </c>
      <c r="BO165" s="16">
        <f t="shared" ref="BO165:BO170" si="247">+IF(BO164=0,0,IF(SQRT((BO149^2)+(BP149^2))&gt;9,9,SQRT((BO149^2)+(BP149^2))))</f>
        <v>5.4867084387173142</v>
      </c>
      <c r="BP165" s="14">
        <f t="shared" ref="BP165:BP170" si="248">+IF(SQRT((BO149^2)+(BP149^2))&gt;9,IF(DEGREES(ATAN2(BO149,BP149))&lt;0,(9-BO164)*(360+DEGREES(ATAN2(BO149,BP149))-BP164)/(SQRT((BO149^2)+(BP149^2))-BO164)+BP164,(9-BO164)*(DEGREES(ATAN2(BO149,BP149))-BP164)/(SQRT((BO149^2)+(BP149^2))-BO164)+BP164),IF(DEGREES(ATAN2(BO149,BP149))&lt;0,360+DEGREES(ATAN2(BO149,BP149)),DEGREES(ATAN2(BO149,BP149))))</f>
        <v>234.33588641082156</v>
      </c>
      <c r="BQ165" s="16">
        <f t="shared" ref="BQ165:BQ170" si="249">+IF(BQ164=0,0,IF(SQRT((BQ149^2)+(BR149^2))&gt;9,9,SQRT((BQ149^2)+(BR149^2))))</f>
        <v>6.3702657787638408</v>
      </c>
      <c r="BR165" s="14">
        <f t="shared" ref="BR165:BR170" si="250">+IF(SQRT((BQ149^2)+(BR149^2))&gt;9,IF(DEGREES(ATAN2(BQ149,BR149))&lt;0,(9-BQ164)*(360+DEGREES(ATAN2(BQ149,BR149))-BR164)/(SQRT((BQ149^2)+(BR149^2))-BQ164)+BR164,(9-BQ164)*(DEGREES(ATAN2(BQ149,BR149))-BR164)/(SQRT((BQ149^2)+(BR149^2))-BQ164)+BR164),IF(DEGREES(ATAN2(BQ149,BR149))&lt;0,360+DEGREES(ATAN2(BQ149,BR149)),DEGREES(ATAN2(BQ149,BR149))))</f>
        <v>221.22199491730089</v>
      </c>
      <c r="BS165" s="16">
        <f t="shared" ref="BS165:BS170" si="251">+IF(BS164=0,0,IF(SQRT((BS149^2)+(BT149^2))&gt;9,9,SQRT((BS149^2)+(BT149^2))))</f>
        <v>7.4310549891352657</v>
      </c>
      <c r="BT165" s="14">
        <f t="shared" ref="BT165:BT170" si="252">+IF(SQRT((BS149^2)+(BT149^2))&gt;9,IF(DEGREES(ATAN2(BS149,BT149))&lt;0,(9-BS164)*(360+DEGREES(ATAN2(BS149,BT149))-BT164)/(SQRT((BS149^2)+(BT149^2))-BS164)+BT164,(9-BS164)*(DEGREES(ATAN2(BS149,BT149))-BT164)/(SQRT((BS149^2)+(BT149^2))-BS164)+BT164),IF(DEGREES(ATAN2(BS149,BT149))&lt;0,360+DEGREES(ATAN2(BS149,BT149)),DEGREES(ATAN2(BS149,BT149))))</f>
        <v>210.92625519511847</v>
      </c>
      <c r="BU165" s="16">
        <f t="shared" ref="BU165:BU170" si="253">+IF(BU164=0,0,IF(SQRT((BU149^2)+(BV149^2))&gt;9,9,SQRT((BU149^2)+(BV149^2))))</f>
        <v>8.6019397609257542</v>
      </c>
      <c r="BV165" s="14">
        <f t="shared" ref="BV165:BV170" si="254">+IF(SQRT((BU149^2)+(BV149^2))&gt;9,IF(DEGREES(ATAN2(BU149,BV149))&lt;0,(9-BU164)*(360+DEGREES(ATAN2(BU149,BV149))-BV164)/(SQRT((BU149^2)+(BV149^2))-BU164)+BV164,(9-BU164)*(DEGREES(ATAN2(BU149,BV149))-BV164)/(SQRT((BU149^2)+(BV149^2))-BU164)+BV164),IF(DEGREES(ATAN2(BU149,BV149))&lt;0,360+DEGREES(ATAN2(BU149,BV149)),DEGREES(ATAN2(BU149,BV149))))</f>
        <v>202.57710783197982</v>
      </c>
      <c r="BW165" s="16">
        <f t="shared" ref="BW165:BW170" si="255">+IF(BW164=0,0,IF(SQRT((BW149^2)+(BX149^2))&gt;9,9,SQRT((BW149^2)+(BX149^2))))</f>
        <v>0</v>
      </c>
      <c r="BX165" s="14">
        <f t="shared" ref="BX165:BX170" si="256">+IF(SQRT((BW149^2)+(BX149^2))&gt;9,IF(DEGREES(ATAN2(BW149,BX149))&lt;0,(9-BW164)*(360+DEGREES(ATAN2(BW149,BX149))-BX164)/(SQRT((BW149^2)+(BX149^2))-BW164)+BX164,(9-BW164)*(DEGREES(ATAN2(BW149,BX149))-BX164)/(SQRT((BW149^2)+(BX149^2))-BW164)+BX164),IF(DEGREES(ATAN2(BW149,BX149))&lt;0,360+DEGREES(ATAN2(BW149,BX149)),DEGREES(ATAN2(BW149,BX149))))</f>
        <v>195.84295266764707</v>
      </c>
      <c r="BY165" s="16">
        <f t="shared" ref="BY165:BY170" si="257">+IF(BY164=0,0,IF(SQRT((BY149^2)+(BZ149^2))&gt;9,9,SQRT((BY149^2)+(BZ149^2))))</f>
        <v>0</v>
      </c>
      <c r="BZ165" s="14">
        <f t="shared" ref="BZ165:BZ170" si="258">+IF(SQRT((BY149^2)+(BZ149^2))&gt;9,IF(DEGREES(ATAN2(BY149,BZ149))&lt;0,(9-BY164)*(360+DEGREES(ATAN2(BY149,BZ149))-BZ164)/(SQRT((BY149^2)+(BZ149^2))-BY164)+BZ164,(9-BY164)*(DEGREES(ATAN2(BY149,BZ149))-BZ164)/(SQRT((BY149^2)+(BZ149^2))-BY164)+BZ164),IF(DEGREES(ATAN2(BY149,BZ149))&lt;0,360+DEGREES(ATAN2(BY149,BZ149)),DEGREES(ATAN2(BY149,BZ149))))</f>
        <v>189.86418844394166</v>
      </c>
      <c r="CA165" s="16">
        <f t="shared" ref="CA165:CA170" si="259">+IF(CA164=0,0,IF(SQRT((CA149^2)+(CB149^2))&gt;9,9,SQRT((CA149^2)+(CB149^2))))</f>
        <v>0</v>
      </c>
      <c r="CB165" s="14">
        <f t="shared" ref="CB165:CB170" si="260">+IF(SQRT((CA149^2)+(CB149^2))&gt;9,IF(DEGREES(ATAN2(CA149,CB149))&lt;0,(9-CA164)*(360+DEGREES(ATAN2(CA149,CB149))-CB164)/(SQRT((CA149^2)+(CB149^2))-CA164)+CB164,(9-CA164)*(DEGREES(ATAN2(CA149,CB149))-CB164)/(SQRT((CA149^2)+(CB149^2))-CA164)+CB164),IF(DEGREES(ATAN2(CA149,CB149))&lt;0,360+DEGREES(ATAN2(CA149,CB149)),DEGREES(ATAN2(CA149,CB149))))</f>
        <v>183.89270445095562</v>
      </c>
      <c r="CC165" s="16">
        <f t="shared" ref="CC165:CC170" si="261">+IF(CC164=0,0,IF(SQRT((CC149^2)+(CD149^2))&gt;9,9,SQRT((CC149^2)+(CD149^2))))</f>
        <v>0</v>
      </c>
      <c r="CD165" s="14">
        <f t="shared" ref="CD165:CD170" si="262">+IF(SQRT((CC149^2)+(CD149^2))&gt;9,IF(DEGREES(ATAN2(CC149,CD149))&lt;0,(9-CC164)*(360+DEGREES(ATAN2(CC149,CD149))-CD164)/(SQRT((CC149^2)+(CD149^2))-CC164)+CD164,(9-CC164)*(DEGREES(ATAN2(CC149,CD149))-CD164)/(SQRT((CC149^2)+(CD149^2))-CC164)+CD164),IF(DEGREES(ATAN2(CC149,CD149))&lt;0,360+DEGREES(ATAN2(CC149,CD149)),DEGREES(ATAN2(CC149,CD149))))</f>
        <v>177.17683325736149</v>
      </c>
      <c r="CE165" s="16">
        <f t="shared" ref="CE165:CE170" si="263">+IF(CE164=0,0,IF(SQRT((CE149^2)+(CF149^2))&gt;9,9,SQRT((CE149^2)+(CF149^2))))</f>
        <v>0</v>
      </c>
      <c r="CF165" s="14">
        <f t="shared" ref="CF165:CF170" si="264">+IF(SQRT((CE149^2)+(CF149^2))&gt;9,IF(DEGREES(ATAN2(CE149,CF149))&lt;0,(9-CE164)*(360+DEGREES(ATAN2(CE149,CF149))-CF164)/(SQRT((CE149^2)+(CF149^2))-CE164)+CF164,(9-CE164)*(DEGREES(ATAN2(CE149,CF149))-CF164)/(SQRT((CE149^2)+(CF149^2))-CE164)+CF164),IF(DEGREES(ATAN2(CE149,CF149))&lt;0,360+DEGREES(ATAN2(CE149,CF149)),DEGREES(ATAN2(CE149,CF149))))</f>
        <v>168.02866836245823</v>
      </c>
      <c r="CG165" s="16">
        <f t="shared" ref="CG165:CG170" si="265">+IF(CG164=0,0,IF(SQRT((CG149^2)+(CH149^2))&gt;9,9,SQRT((CG149^2)+(CH149^2))))</f>
        <v>0</v>
      </c>
      <c r="CH165" s="14">
        <f t="shared" ref="CH165:CH170" si="266">+IF(SQRT((CG149^2)+(CH149^2))&gt;9,IF(DEGREES(ATAN2(CG149,CH149))&lt;0,(9-CG164)*(360+DEGREES(ATAN2(CG149,CH149))-CH164)/(SQRT((CG149^2)+(CH149^2))-CG164)+CH164,(9-CG164)*(DEGREES(ATAN2(CG149,CH149))-CH164)/(SQRT((CG149^2)+(CH149^2))-CG164)+CH164),IF(DEGREES(ATAN2(CG149,CH149))&lt;0,360+DEGREES(ATAN2(CG149,CH149)),DEGREES(ATAN2(CG149,CH149))))</f>
        <v>150.31414508947296</v>
      </c>
      <c r="CI165" s="16">
        <f t="shared" ref="CI165:CI170" si="267">+IF(CI164=0,0,IF(SQRT((CI149^2)+(CJ149^2))&gt;9,9,SQRT((CI149^2)+(CJ149^2))))</f>
        <v>0</v>
      </c>
      <c r="CJ165" s="14" t="e">
        <f t="shared" ref="CJ165:CJ170" si="268">+IF(SQRT((CI149^2)+(CJ149^2))&gt;9,IF(DEGREES(ATAN2(CI149,CJ149))&lt;0,(9-CI164)*(360+DEGREES(ATAN2(CI149,CJ149))-CJ164)/(SQRT((CI149^2)+(CJ149^2))-CI164)+CJ164,(9-CI164)*(DEGREES(ATAN2(CI149,CJ149))-CJ164)/(SQRT((CI149^2)+(CJ149^2))-CI164)+CJ164),IF(DEGREES(ATAN2(CI149,CJ149))&lt;0,360+DEGREES(ATAN2(CI149,CJ149)),DEGREES(ATAN2(CI149,CJ149))))</f>
        <v>#NUM!</v>
      </c>
    </row>
    <row r="166" spans="1:88" x14ac:dyDescent="0.25">
      <c r="A166">
        <v>-7.4</v>
      </c>
      <c r="B166">
        <f t="shared" si="219"/>
        <v>5.1224993899462783</v>
      </c>
      <c r="C166">
        <f t="shared" si="220"/>
        <v>-5.1224993899462783</v>
      </c>
      <c r="D166">
        <f t="shared" si="167"/>
        <v>3.0397368307141317</v>
      </c>
      <c r="E166">
        <f t="shared" si="168"/>
        <v>-3.0397368307141317</v>
      </c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35"/>
      <c r="S166" s="35"/>
      <c r="T166" s="13"/>
      <c r="U166" s="13"/>
      <c r="V166" s="13"/>
      <c r="W166" s="44"/>
      <c r="X166" s="13"/>
      <c r="Y166" s="13"/>
      <c r="Z166" s="13"/>
      <c r="AA166" s="13"/>
      <c r="AB166" s="13"/>
      <c r="AC166" s="35"/>
      <c r="AD166" s="35"/>
      <c r="AE166" s="13"/>
      <c r="AF166" s="13"/>
      <c r="AG166" s="13"/>
      <c r="AH166" s="44"/>
      <c r="AI166" s="13"/>
      <c r="AJ166" s="13"/>
      <c r="AK166" s="13"/>
      <c r="AL166" s="13"/>
      <c r="AM166" s="13"/>
      <c r="AN166" t="s">
        <v>103</v>
      </c>
      <c r="AO166" s="13">
        <f t="shared" si="221"/>
        <v>0</v>
      </c>
      <c r="AP166" s="14">
        <f t="shared" si="222"/>
        <v>43.16832613305673</v>
      </c>
      <c r="AQ166" s="16">
        <f t="shared" si="223"/>
        <v>0</v>
      </c>
      <c r="AR166" s="14">
        <f t="shared" si="224"/>
        <v>23.419625778498073</v>
      </c>
      <c r="AS166" s="16">
        <f t="shared" si="225"/>
        <v>0</v>
      </c>
      <c r="AT166" s="14">
        <f t="shared" si="226"/>
        <v>12.423429709220507</v>
      </c>
      <c r="AU166" s="16">
        <f t="shared" si="227"/>
        <v>0</v>
      </c>
      <c r="AV166" s="14">
        <f t="shared" si="228"/>
        <v>4.718138390685426</v>
      </c>
      <c r="AW166" s="16">
        <f t="shared" si="229"/>
        <v>0</v>
      </c>
      <c r="AX166" s="14">
        <f t="shared" si="230"/>
        <v>-1.6543464122320852</v>
      </c>
      <c r="AY166" s="16">
        <f t="shared" si="231"/>
        <v>0</v>
      </c>
      <c r="AZ166" s="14">
        <f t="shared" si="232"/>
        <v>-7.6271538919314619</v>
      </c>
      <c r="BA166" s="16">
        <f t="shared" si="233"/>
        <v>8.1157515679025192</v>
      </c>
      <c r="BB166" s="14">
        <f t="shared" si="234"/>
        <v>-14.688028222821471</v>
      </c>
      <c r="BC166" s="16">
        <f t="shared" si="235"/>
        <v>6.8758958241348234</v>
      </c>
      <c r="BD166" s="14">
        <f t="shared" si="236"/>
        <v>-23.157088530167229</v>
      </c>
      <c r="BE166" s="16">
        <f t="shared" si="237"/>
        <v>5.7221097525369178</v>
      </c>
      <c r="BF166" s="14">
        <f t="shared" si="238"/>
        <v>-33.671389663748442</v>
      </c>
      <c r="BG166" s="16">
        <f t="shared" si="239"/>
        <v>4.7247577573395318</v>
      </c>
      <c r="BH166" s="14">
        <f t="shared" si="240"/>
        <v>-47.638581774363452</v>
      </c>
      <c r="BI166" s="16">
        <f t="shared" si="241"/>
        <v>4.0072909368772809</v>
      </c>
      <c r="BJ166" s="14">
        <f t="shared" si="242"/>
        <v>-66.556978885345387</v>
      </c>
      <c r="BK166" s="16">
        <f t="shared" si="243"/>
        <v>3.7373705065035905</v>
      </c>
      <c r="BL166" s="14">
        <f t="shared" si="244"/>
        <v>-90</v>
      </c>
      <c r="BM166" s="16">
        <f t="shared" si="245"/>
        <v>4.0072909368772809</v>
      </c>
      <c r="BN166" s="14">
        <f t="shared" si="246"/>
        <v>246.55697888534539</v>
      </c>
      <c r="BO166" s="16">
        <f t="shared" si="247"/>
        <v>4.7247577573395318</v>
      </c>
      <c r="BP166" s="14">
        <f t="shared" si="248"/>
        <v>227.63858177436344</v>
      </c>
      <c r="BQ166" s="16">
        <f t="shared" si="249"/>
        <v>5.7221097525369178</v>
      </c>
      <c r="BR166" s="14">
        <f t="shared" si="250"/>
        <v>213.67138966374844</v>
      </c>
      <c r="BS166" s="16">
        <f t="shared" si="251"/>
        <v>6.8758958241348234</v>
      </c>
      <c r="BT166" s="14">
        <f t="shared" si="252"/>
        <v>203.15708853016724</v>
      </c>
      <c r="BU166" s="16">
        <f t="shared" si="253"/>
        <v>8.1157515679025192</v>
      </c>
      <c r="BV166" s="14">
        <f t="shared" si="254"/>
        <v>194.68802822282146</v>
      </c>
      <c r="BW166" s="16">
        <f t="shared" si="255"/>
        <v>0</v>
      </c>
      <c r="BX166" s="14">
        <f t="shared" si="256"/>
        <v>187.62715389193147</v>
      </c>
      <c r="BY166" s="16">
        <f t="shared" si="257"/>
        <v>0</v>
      </c>
      <c r="BZ166" s="14">
        <f t="shared" si="258"/>
        <v>181.65434641223209</v>
      </c>
      <c r="CA166" s="16">
        <f t="shared" si="259"/>
        <v>0</v>
      </c>
      <c r="CB166" s="14">
        <f t="shared" si="260"/>
        <v>175.28186160931457</v>
      </c>
      <c r="CC166" s="16">
        <f t="shared" si="261"/>
        <v>0</v>
      </c>
      <c r="CD166" s="14">
        <f t="shared" si="262"/>
        <v>167.5765702907795</v>
      </c>
      <c r="CE166" s="16">
        <f t="shared" si="263"/>
        <v>0</v>
      </c>
      <c r="CF166" s="14">
        <f t="shared" si="264"/>
        <v>156.58037422150193</v>
      </c>
      <c r="CG166" s="16">
        <f t="shared" si="265"/>
        <v>0</v>
      </c>
      <c r="CH166" s="14">
        <f t="shared" si="266"/>
        <v>136.83167386694328</v>
      </c>
      <c r="CI166" s="16">
        <f t="shared" si="267"/>
        <v>0</v>
      </c>
      <c r="CJ166" s="14" t="e">
        <f t="shared" si="268"/>
        <v>#NUM!</v>
      </c>
    </row>
    <row r="167" spans="1:88" x14ac:dyDescent="0.25">
      <c r="A167">
        <v>-7.5</v>
      </c>
      <c r="B167">
        <f t="shared" si="219"/>
        <v>4.9749371855330997</v>
      </c>
      <c r="C167">
        <f t="shared" si="220"/>
        <v>-4.9749371855330997</v>
      </c>
      <c r="D167">
        <f t="shared" si="167"/>
        <v>2.7838821814150108</v>
      </c>
      <c r="E167">
        <f t="shared" si="168"/>
        <v>-2.7838821814150108</v>
      </c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35"/>
      <c r="S167" s="35"/>
      <c r="T167" s="13"/>
      <c r="U167" s="13"/>
      <c r="V167" s="13"/>
      <c r="W167" s="44"/>
      <c r="X167" s="13"/>
      <c r="Y167" s="13"/>
      <c r="Z167" s="13"/>
      <c r="AA167" s="13"/>
      <c r="AB167" s="13"/>
      <c r="AC167" s="35"/>
      <c r="AD167" s="35"/>
      <c r="AE167" s="13"/>
      <c r="AF167" s="13"/>
      <c r="AG167" s="13"/>
      <c r="AH167" s="44"/>
      <c r="AI167" s="13"/>
      <c r="AJ167" s="13"/>
      <c r="AK167" s="13"/>
      <c r="AL167" s="13"/>
      <c r="AM167" s="13"/>
      <c r="AN167" t="s">
        <v>102</v>
      </c>
      <c r="AO167" s="13">
        <f t="shared" si="221"/>
        <v>0</v>
      </c>
      <c r="AP167" s="14">
        <f t="shared" si="222"/>
        <v>56.201525880134518</v>
      </c>
      <c r="AQ167" s="16">
        <f t="shared" si="223"/>
        <v>0</v>
      </c>
      <c r="AR167" s="14">
        <f t="shared" si="224"/>
        <v>37.003722083708887</v>
      </c>
      <c r="AS167" s="16">
        <f t="shared" si="225"/>
        <v>0</v>
      </c>
      <c r="AT167" s="14">
        <f t="shared" si="226"/>
        <v>24.876371438513267</v>
      </c>
      <c r="AU167" s="16">
        <f t="shared" si="227"/>
        <v>0</v>
      </c>
      <c r="AV167" s="14">
        <f t="shared" si="228"/>
        <v>16.312754271194148</v>
      </c>
      <c r="AW167" s="16">
        <f t="shared" si="229"/>
        <v>0</v>
      </c>
      <c r="AX167" s="14">
        <f t="shared" si="230"/>
        <v>9.5865069363183419</v>
      </c>
      <c r="AY167" s="16">
        <f t="shared" si="231"/>
        <v>0</v>
      </c>
      <c r="AZ167" s="14">
        <f t="shared" si="232"/>
        <v>3.5118293417097988</v>
      </c>
      <c r="BA167" s="16">
        <f t="shared" si="233"/>
        <v>7.494872825799364</v>
      </c>
      <c r="BB167" s="14">
        <f t="shared" si="234"/>
        <v>-3.8157873566820086</v>
      </c>
      <c r="BC167" s="16">
        <f t="shared" si="235"/>
        <v>6.1969358679359576</v>
      </c>
      <c r="BD167" s="14">
        <f t="shared" si="236"/>
        <v>-11.84583698554694</v>
      </c>
      <c r="BE167" s="16">
        <f t="shared" si="237"/>
        <v>4.9420812685739266</v>
      </c>
      <c r="BF167" s="14">
        <f t="shared" si="238"/>
        <v>-21.763874082610215</v>
      </c>
      <c r="BG167" s="16">
        <f t="shared" si="239"/>
        <v>3.7903846081202581</v>
      </c>
      <c r="BH167" s="14">
        <f t="shared" si="240"/>
        <v>-35.719516930850816</v>
      </c>
      <c r="BI167" s="16">
        <f t="shared" si="241"/>
        <v>2.882034639889528</v>
      </c>
      <c r="BJ167" s="14">
        <f t="shared" si="242"/>
        <v>-57.616889354112288</v>
      </c>
      <c r="BK167" s="16">
        <f t="shared" si="243"/>
        <v>2.5063175768944319</v>
      </c>
      <c r="BL167" s="14">
        <f t="shared" si="244"/>
        <v>-90</v>
      </c>
      <c r="BM167" s="16">
        <f t="shared" si="245"/>
        <v>2.8820346398895276</v>
      </c>
      <c r="BN167" s="14">
        <f t="shared" si="246"/>
        <v>237.61688935411229</v>
      </c>
      <c r="BO167" s="16">
        <f t="shared" si="247"/>
        <v>3.7903846081202572</v>
      </c>
      <c r="BP167" s="14">
        <f t="shared" si="248"/>
        <v>215.71951693085083</v>
      </c>
      <c r="BQ167" s="16">
        <f t="shared" si="249"/>
        <v>4.9420812685739266</v>
      </c>
      <c r="BR167" s="14">
        <f t="shared" si="250"/>
        <v>201.76387408261022</v>
      </c>
      <c r="BS167" s="16">
        <f t="shared" si="251"/>
        <v>6.1969358679359576</v>
      </c>
      <c r="BT167" s="14">
        <f t="shared" si="252"/>
        <v>191.84583698554695</v>
      </c>
      <c r="BU167" s="16">
        <f t="shared" si="253"/>
        <v>7.494872825799364</v>
      </c>
      <c r="BV167" s="14">
        <f t="shared" si="254"/>
        <v>183.81578735668199</v>
      </c>
      <c r="BW167" s="16">
        <f t="shared" si="255"/>
        <v>0</v>
      </c>
      <c r="BX167" s="14">
        <f t="shared" si="256"/>
        <v>176.48817065829019</v>
      </c>
      <c r="BY167" s="16">
        <f t="shared" si="257"/>
        <v>0</v>
      </c>
      <c r="BZ167" s="14">
        <f t="shared" si="258"/>
        <v>170.41349306368164</v>
      </c>
      <c r="CA167" s="16">
        <f t="shared" si="259"/>
        <v>0</v>
      </c>
      <c r="CB167" s="14">
        <f t="shared" si="260"/>
        <v>163.68724572880586</v>
      </c>
      <c r="CC167" s="16">
        <f t="shared" si="261"/>
        <v>0</v>
      </c>
      <c r="CD167" s="14">
        <f t="shared" si="262"/>
        <v>155.12362856148675</v>
      </c>
      <c r="CE167" s="16">
        <f t="shared" si="263"/>
        <v>0</v>
      </c>
      <c r="CF167" s="14">
        <f t="shared" si="264"/>
        <v>142.99627791629112</v>
      </c>
      <c r="CG167" s="16">
        <f t="shared" si="265"/>
        <v>0</v>
      </c>
      <c r="CH167" s="14">
        <f t="shared" si="266"/>
        <v>123.79847411986547</v>
      </c>
      <c r="CI167" s="16">
        <f t="shared" si="267"/>
        <v>0</v>
      </c>
      <c r="CJ167" s="14" t="e">
        <f t="shared" si="268"/>
        <v>#NUM!</v>
      </c>
    </row>
    <row r="168" spans="1:88" x14ac:dyDescent="0.25">
      <c r="A168">
        <v>-7.6</v>
      </c>
      <c r="B168">
        <f t="shared" si="219"/>
        <v>4.8207883172775805</v>
      </c>
      <c r="C168">
        <f t="shared" si="220"/>
        <v>-4.8207883172775805</v>
      </c>
      <c r="D168">
        <f t="shared" si="167"/>
        <v>2.4979991993593598</v>
      </c>
      <c r="E168">
        <f t="shared" si="168"/>
        <v>-2.4979991993593598</v>
      </c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35"/>
      <c r="S168" s="35"/>
      <c r="T168" s="13"/>
      <c r="U168" s="13"/>
      <c r="V168" s="13"/>
      <c r="W168" s="44"/>
      <c r="X168" s="13"/>
      <c r="Y168" s="13"/>
      <c r="Z168" s="13"/>
      <c r="AA168" s="13"/>
      <c r="AB168" s="13"/>
      <c r="AC168" s="35"/>
      <c r="AD168" s="35"/>
      <c r="AE168" s="13"/>
      <c r="AF168" s="13"/>
      <c r="AG168" s="13"/>
      <c r="AH168" s="44"/>
      <c r="AI168" s="13"/>
      <c r="AJ168" s="13"/>
      <c r="AK168" s="13"/>
      <c r="AL168" s="13"/>
      <c r="AM168" s="13"/>
      <c r="AN168" t="s">
        <v>101</v>
      </c>
      <c r="AO168" s="13">
        <f t="shared" si="221"/>
        <v>0</v>
      </c>
      <c r="AP168" s="14">
        <f t="shared" si="222"/>
        <v>65.33038664140264</v>
      </c>
      <c r="AQ168" s="16">
        <f t="shared" si="223"/>
        <v>0</v>
      </c>
      <c r="AR168" s="14">
        <f t="shared" si="224"/>
        <v>48.012326281080618</v>
      </c>
      <c r="AS168" s="16">
        <f t="shared" si="225"/>
        <v>0</v>
      </c>
      <c r="AT168" s="14">
        <f t="shared" si="226"/>
        <v>35.767159993678945</v>
      </c>
      <c r="AU168" s="16">
        <f t="shared" si="227"/>
        <v>0</v>
      </c>
      <c r="AV168" s="14">
        <f t="shared" si="228"/>
        <v>26.764390741334068</v>
      </c>
      <c r="AW168" s="16">
        <f t="shared" si="229"/>
        <v>0</v>
      </c>
      <c r="AX168" s="14">
        <f t="shared" si="230"/>
        <v>19.747815516022513</v>
      </c>
      <c r="AY168" s="16">
        <f t="shared" si="231"/>
        <v>0</v>
      </c>
      <c r="AZ168" s="14">
        <f t="shared" si="232"/>
        <v>13.091584531383944</v>
      </c>
      <c r="BA168" s="16">
        <f t="shared" si="233"/>
        <v>6.9905591787865466</v>
      </c>
      <c r="BB168" s="14">
        <f t="shared" si="234"/>
        <v>6.3069940854475703</v>
      </c>
      <c r="BC168" s="16">
        <f t="shared" si="235"/>
        <v>5.6820885816696087</v>
      </c>
      <c r="BD168" s="14">
        <f t="shared" si="236"/>
        <v>-0.69217364605589182</v>
      </c>
      <c r="BE168" s="16">
        <f t="shared" si="237"/>
        <v>4.3765999075297497</v>
      </c>
      <c r="BF168" s="14">
        <f t="shared" si="238"/>
        <v>-8.9310733129878344</v>
      </c>
      <c r="BG168" s="16">
        <f t="shared" si="239"/>
        <v>3.1086801043390535</v>
      </c>
      <c r="BH168" s="14">
        <f t="shared" si="240"/>
        <v>-20.642612369180679</v>
      </c>
      <c r="BI168" s="16">
        <f t="shared" si="241"/>
        <v>1.9820879575206096</v>
      </c>
      <c r="BJ168" s="14">
        <f t="shared" si="242"/>
        <v>-42.470244283928565</v>
      </c>
      <c r="BK168" s="16">
        <f t="shared" si="243"/>
        <v>1.417911254412533</v>
      </c>
      <c r="BL168" s="14">
        <f t="shared" si="244"/>
        <v>-90</v>
      </c>
      <c r="BM168" s="16">
        <f t="shared" si="245"/>
        <v>1.9820879575206094</v>
      </c>
      <c r="BN168" s="14">
        <f t="shared" si="246"/>
        <v>222.47024428392857</v>
      </c>
      <c r="BO168" s="16">
        <f t="shared" si="247"/>
        <v>3.1086801043390535</v>
      </c>
      <c r="BP168" s="14">
        <f t="shared" si="248"/>
        <v>200.64261236918068</v>
      </c>
      <c r="BQ168" s="16">
        <f t="shared" si="249"/>
        <v>4.3765999075297497</v>
      </c>
      <c r="BR168" s="14">
        <f t="shared" si="250"/>
        <v>188.93107331298785</v>
      </c>
      <c r="BS168" s="16">
        <f t="shared" si="251"/>
        <v>5.6820885816696087</v>
      </c>
      <c r="BT168" s="14">
        <f t="shared" si="252"/>
        <v>180.69217364605589</v>
      </c>
      <c r="BU168" s="16">
        <f t="shared" si="253"/>
        <v>6.9905591787865475</v>
      </c>
      <c r="BV168" s="14">
        <f t="shared" si="254"/>
        <v>173.69300591455243</v>
      </c>
      <c r="BW168" s="16">
        <f t="shared" si="255"/>
        <v>0</v>
      </c>
      <c r="BX168" s="14">
        <f t="shared" si="256"/>
        <v>166.90841546861606</v>
      </c>
      <c r="BY168" s="16">
        <f t="shared" si="257"/>
        <v>0</v>
      </c>
      <c r="BZ168" s="14">
        <f t="shared" si="258"/>
        <v>160.25218448397749</v>
      </c>
      <c r="CA168" s="16">
        <f t="shared" si="259"/>
        <v>0</v>
      </c>
      <c r="CB168" s="14">
        <f t="shared" si="260"/>
        <v>153.2356092586659</v>
      </c>
      <c r="CC168" s="16">
        <f t="shared" si="261"/>
        <v>0</v>
      </c>
      <c r="CD168" s="14">
        <f t="shared" si="262"/>
        <v>144.23284000632106</v>
      </c>
      <c r="CE168" s="16">
        <f t="shared" si="263"/>
        <v>0</v>
      </c>
      <c r="CF168" s="14">
        <f t="shared" si="264"/>
        <v>131.98767371891938</v>
      </c>
      <c r="CG168" s="16">
        <f t="shared" si="265"/>
        <v>0</v>
      </c>
      <c r="CH168" s="14">
        <f t="shared" si="266"/>
        <v>114.66961335859736</v>
      </c>
      <c r="CI168" s="16">
        <f t="shared" si="267"/>
        <v>0</v>
      </c>
      <c r="CJ168" s="14" t="e">
        <f t="shared" si="268"/>
        <v>#NUM!</v>
      </c>
    </row>
    <row r="169" spans="1:88" x14ac:dyDescent="0.25">
      <c r="A169">
        <v>-7.7</v>
      </c>
      <c r="B169">
        <f t="shared" si="219"/>
        <v>4.6593991028886972</v>
      </c>
      <c r="C169">
        <f t="shared" si="220"/>
        <v>-4.6593991028886972</v>
      </c>
      <c r="D169">
        <f t="shared" si="167"/>
        <v>2.1702534414210692</v>
      </c>
      <c r="E169">
        <f t="shared" si="168"/>
        <v>-2.1702534414210692</v>
      </c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35"/>
      <c r="S169" s="35"/>
      <c r="T169" s="13"/>
      <c r="U169" s="13"/>
      <c r="V169" s="13"/>
      <c r="W169" s="44"/>
      <c r="X169" s="13"/>
      <c r="Y169" s="13"/>
      <c r="Z169" s="13"/>
      <c r="AA169" s="13"/>
      <c r="AB169" s="13"/>
      <c r="AC169" s="35"/>
      <c r="AD169" s="35"/>
      <c r="AE169" s="13"/>
      <c r="AF169" s="13"/>
      <c r="AG169" s="13"/>
      <c r="AH169" s="44"/>
      <c r="AI169" s="13"/>
      <c r="AJ169" s="13"/>
      <c r="AK169" s="13"/>
      <c r="AL169" s="13"/>
      <c r="AM169" s="13"/>
      <c r="AN169" t="s">
        <v>100</v>
      </c>
      <c r="AO169" s="13">
        <f t="shared" si="221"/>
        <v>0</v>
      </c>
      <c r="AP169" s="14">
        <f t="shared" si="222"/>
        <v>70.45012813002775</v>
      </c>
      <c r="AQ169" s="16">
        <f t="shared" si="223"/>
        <v>0</v>
      </c>
      <c r="AR169" s="14">
        <f t="shared" si="224"/>
        <v>54.80221309290431</v>
      </c>
      <c r="AS169" s="16">
        <f t="shared" si="225"/>
        <v>0</v>
      </c>
      <c r="AT169" s="14">
        <f t="shared" si="226"/>
        <v>42.808962391562318</v>
      </c>
      <c r="AU169" s="16">
        <f t="shared" si="227"/>
        <v>0</v>
      </c>
      <c r="AV169" s="14">
        <f t="shared" si="228"/>
        <v>33.595806911771959</v>
      </c>
      <c r="AW169" s="16">
        <f t="shared" si="229"/>
        <v>0</v>
      </c>
      <c r="AX169" s="14">
        <f t="shared" si="230"/>
        <v>26.291234551439409</v>
      </c>
      <c r="AY169" s="16">
        <f t="shared" si="231"/>
        <v>0</v>
      </c>
      <c r="AZ169" s="14">
        <f t="shared" si="232"/>
        <v>19.483714082779059</v>
      </c>
      <c r="BA169" s="16">
        <f t="shared" si="233"/>
        <v>6.6918166134996104</v>
      </c>
      <c r="BB169" s="14">
        <f t="shared" si="234"/>
        <v>13.281438462559318</v>
      </c>
      <c r="BC169" s="16">
        <f t="shared" si="235"/>
        <v>5.4025799482025025</v>
      </c>
      <c r="BD169" s="14">
        <f t="shared" si="236"/>
        <v>7.2897889969830754</v>
      </c>
      <c r="BE169" s="16">
        <f t="shared" si="237"/>
        <v>4.0957710891621408</v>
      </c>
      <c r="BF169" s="14">
        <f t="shared" si="238"/>
        <v>0.82022462339318736</v>
      </c>
      <c r="BG169" s="16">
        <f t="shared" si="239"/>
        <v>2.7879852285284317</v>
      </c>
      <c r="BH169" s="14">
        <f t="shared" si="240"/>
        <v>-7.6452176359462669</v>
      </c>
      <c r="BI169" s="16">
        <f t="shared" si="241"/>
        <v>1.5234754312080081</v>
      </c>
      <c r="BJ169" s="14">
        <f t="shared" si="242"/>
        <v>-24.080663969566604</v>
      </c>
      <c r="BK169" s="16">
        <f t="shared" si="243"/>
        <v>0.70403754412625652</v>
      </c>
      <c r="BL169" s="14">
        <f t="shared" si="244"/>
        <v>-90</v>
      </c>
      <c r="BM169" s="16">
        <f t="shared" si="245"/>
        <v>1.5234754312080085</v>
      </c>
      <c r="BN169" s="14">
        <f t="shared" si="246"/>
        <v>204.08066396956664</v>
      </c>
      <c r="BO169" s="16">
        <f t="shared" si="247"/>
        <v>2.7879852285284321</v>
      </c>
      <c r="BP169" s="14">
        <f t="shared" si="248"/>
        <v>187.64521763594627</v>
      </c>
      <c r="BQ169" s="16">
        <f t="shared" si="249"/>
        <v>4.0957710891621408</v>
      </c>
      <c r="BR169" s="14">
        <f t="shared" si="250"/>
        <v>179.17977537660681</v>
      </c>
      <c r="BS169" s="16">
        <f t="shared" si="251"/>
        <v>5.4025799482025025</v>
      </c>
      <c r="BT169" s="14">
        <f t="shared" si="252"/>
        <v>172.71021100301692</v>
      </c>
      <c r="BU169" s="16">
        <f t="shared" si="253"/>
        <v>6.6918166134996104</v>
      </c>
      <c r="BV169" s="14">
        <f t="shared" si="254"/>
        <v>166.71856153744068</v>
      </c>
      <c r="BW169" s="16">
        <f t="shared" si="255"/>
        <v>0</v>
      </c>
      <c r="BX169" s="14">
        <f t="shared" si="256"/>
        <v>160.51628591722096</v>
      </c>
      <c r="BY169" s="16">
        <f t="shared" si="257"/>
        <v>0</v>
      </c>
      <c r="BZ169" s="14">
        <f t="shared" si="258"/>
        <v>153.70876544856057</v>
      </c>
      <c r="CA169" s="16">
        <f t="shared" si="259"/>
        <v>0</v>
      </c>
      <c r="CB169" s="14">
        <f t="shared" si="260"/>
        <v>146.40419308822803</v>
      </c>
      <c r="CC169" s="16">
        <f t="shared" si="261"/>
        <v>0</v>
      </c>
      <c r="CD169" s="14">
        <f t="shared" si="262"/>
        <v>137.19103760843768</v>
      </c>
      <c r="CE169" s="16">
        <f t="shared" si="263"/>
        <v>0</v>
      </c>
      <c r="CF169" s="14">
        <f t="shared" si="264"/>
        <v>125.1977869070957</v>
      </c>
      <c r="CG169" s="16">
        <f t="shared" si="265"/>
        <v>0</v>
      </c>
      <c r="CH169" s="14">
        <f t="shared" si="266"/>
        <v>109.54987186997226</v>
      </c>
      <c r="CI169" s="16">
        <f t="shared" si="267"/>
        <v>0</v>
      </c>
      <c r="CJ169" s="14" t="e">
        <f t="shared" si="268"/>
        <v>#NUM!</v>
      </c>
    </row>
    <row r="170" spans="1:88" x14ac:dyDescent="0.25">
      <c r="A170">
        <v>-7.8</v>
      </c>
      <c r="B170">
        <f t="shared" si="219"/>
        <v>4.4899888641287298</v>
      </c>
      <c r="C170">
        <f t="shared" si="220"/>
        <v>-4.4899888641287298</v>
      </c>
      <c r="D170">
        <f t="shared" si="167"/>
        <v>1.7776388834631187</v>
      </c>
      <c r="E170">
        <f t="shared" si="168"/>
        <v>-1.7776388834631187</v>
      </c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35"/>
      <c r="S170" s="35"/>
      <c r="T170" s="13"/>
      <c r="U170" s="13"/>
      <c r="V170" s="13"/>
      <c r="W170" s="44"/>
      <c r="X170" s="13"/>
      <c r="Y170" s="13"/>
      <c r="Z170" s="13"/>
      <c r="AA170" s="13"/>
      <c r="AB170" s="13"/>
      <c r="AC170" s="35"/>
      <c r="AD170" s="35"/>
      <c r="AE170" s="13"/>
      <c r="AF170" s="13"/>
      <c r="AG170" s="13"/>
      <c r="AH170" s="44"/>
      <c r="AI170" s="13"/>
      <c r="AJ170" s="13"/>
      <c r="AK170" s="13"/>
      <c r="AL170" s="13"/>
      <c r="AM170" s="13"/>
      <c r="AN170" t="s">
        <v>99</v>
      </c>
      <c r="AO170" s="13">
        <f t="shared" si="221"/>
        <v>0</v>
      </c>
      <c r="AP170" s="14">
        <f t="shared" si="222"/>
        <v>72.305472779688586</v>
      </c>
      <c r="AQ170" s="16">
        <f t="shared" si="223"/>
        <v>0</v>
      </c>
      <c r="AR170" s="14">
        <f t="shared" si="224"/>
        <v>57.195403859286259</v>
      </c>
      <c r="AS170" s="16">
        <f t="shared" si="225"/>
        <v>0</v>
      </c>
      <c r="AT170" s="14">
        <f t="shared" si="226"/>
        <v>45.075167613056678</v>
      </c>
      <c r="AU170" s="16">
        <f t="shared" si="227"/>
        <v>0</v>
      </c>
      <c r="AV170" s="14">
        <f t="shared" si="228"/>
        <v>35.445339067416938</v>
      </c>
      <c r="AW170" s="16">
        <f t="shared" si="229"/>
        <v>0</v>
      </c>
      <c r="AX170" s="14">
        <f t="shared" si="230"/>
        <v>27.584221744265115</v>
      </c>
      <c r="AY170" s="16">
        <f t="shared" si="231"/>
        <v>0</v>
      </c>
      <c r="AZ170" s="14">
        <f t="shared" si="232"/>
        <v>20.761233419723805</v>
      </c>
      <c r="BA170" s="16">
        <f t="shared" si="233"/>
        <v>6.6363995450640365</v>
      </c>
      <c r="BB170" s="14">
        <f t="shared" si="234"/>
        <v>14.69392403052011</v>
      </c>
      <c r="BC170" s="16">
        <f t="shared" si="235"/>
        <v>5.3537637276195609</v>
      </c>
      <c r="BD170" s="14">
        <f t="shared" si="236"/>
        <v>8.9296505601242746</v>
      </c>
      <c r="BE170" s="16">
        <f t="shared" si="237"/>
        <v>4.0505375194811268</v>
      </c>
      <c r="BF170" s="14">
        <f t="shared" si="238"/>
        <v>2.8672252708378072</v>
      </c>
      <c r="BG170" s="16">
        <f t="shared" si="239"/>
        <v>2.7406893905910499</v>
      </c>
      <c r="BH170" s="14">
        <f t="shared" si="240"/>
        <v>-4.7815800282462684</v>
      </c>
      <c r="BI170" s="16">
        <f t="shared" si="241"/>
        <v>1.456649529400198</v>
      </c>
      <c r="BJ170" s="14">
        <f t="shared" si="242"/>
        <v>-19.249068609368962</v>
      </c>
      <c r="BK170" s="16">
        <f t="shared" si="243"/>
        <v>0.56302171531863721</v>
      </c>
      <c r="BL170" s="14">
        <f t="shared" si="244"/>
        <v>-90</v>
      </c>
      <c r="BM170" s="16">
        <f t="shared" si="245"/>
        <v>1.456649529400198</v>
      </c>
      <c r="BN170" s="14">
        <f t="shared" si="246"/>
        <v>199.24906860936898</v>
      </c>
      <c r="BO170" s="16">
        <f t="shared" si="247"/>
        <v>2.7406893905910494</v>
      </c>
      <c r="BP170" s="14">
        <f t="shared" si="248"/>
        <v>184.78158002824625</v>
      </c>
      <c r="BQ170" s="16">
        <f t="shared" si="249"/>
        <v>4.0505375194811268</v>
      </c>
      <c r="BR170" s="14">
        <f t="shared" si="250"/>
        <v>177.13277472916218</v>
      </c>
      <c r="BS170" s="16">
        <f t="shared" si="251"/>
        <v>5.3537637276195609</v>
      </c>
      <c r="BT170" s="14">
        <f t="shared" si="252"/>
        <v>171.07034943987571</v>
      </c>
      <c r="BU170" s="16">
        <f t="shared" si="253"/>
        <v>6.6363995450640365</v>
      </c>
      <c r="BV170" s="14">
        <f t="shared" si="254"/>
        <v>165.30607596947988</v>
      </c>
      <c r="BW170" s="16">
        <f t="shared" si="255"/>
        <v>0</v>
      </c>
      <c r="BX170" s="14">
        <f t="shared" si="256"/>
        <v>159.23876658027621</v>
      </c>
      <c r="BY170" s="16">
        <f t="shared" si="257"/>
        <v>0</v>
      </c>
      <c r="BZ170" s="14">
        <f t="shared" si="258"/>
        <v>152.41577825573489</v>
      </c>
      <c r="CA170" s="16">
        <f t="shared" si="259"/>
        <v>0</v>
      </c>
      <c r="CB170" s="14">
        <f t="shared" si="260"/>
        <v>144.55466093258306</v>
      </c>
      <c r="CC170" s="16">
        <f t="shared" si="261"/>
        <v>0</v>
      </c>
      <c r="CD170" s="14">
        <f t="shared" si="262"/>
        <v>134.92483238694331</v>
      </c>
      <c r="CE170" s="16">
        <f t="shared" si="263"/>
        <v>0</v>
      </c>
      <c r="CF170" s="14">
        <f t="shared" si="264"/>
        <v>122.80459614071376</v>
      </c>
      <c r="CG170" s="16">
        <f t="shared" si="265"/>
        <v>0</v>
      </c>
      <c r="CH170" s="14">
        <f t="shared" si="266"/>
        <v>107.69452722031143</v>
      </c>
      <c r="CI170" s="16">
        <f t="shared" si="267"/>
        <v>0</v>
      </c>
      <c r="CJ170" s="14" t="e">
        <f t="shared" si="268"/>
        <v>#NUM!</v>
      </c>
    </row>
    <row r="171" spans="1:88" x14ac:dyDescent="0.25">
      <c r="A171">
        <v>-7.9</v>
      </c>
      <c r="B171">
        <f t="shared" si="219"/>
        <v>4.3116122274620192</v>
      </c>
      <c r="C171">
        <f t="shared" si="220"/>
        <v>-4.3116122274620192</v>
      </c>
      <c r="D171">
        <f t="shared" si="167"/>
        <v>1.2609520212918477</v>
      </c>
      <c r="E171">
        <f t="shared" si="168"/>
        <v>-1.2609520212918477</v>
      </c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35"/>
      <c r="S171" s="35"/>
      <c r="T171" s="13"/>
      <c r="U171" s="13"/>
      <c r="V171" s="13"/>
      <c r="W171" s="44"/>
      <c r="X171" s="13"/>
      <c r="Y171" s="13"/>
      <c r="Z171" s="13"/>
      <c r="AA171" s="13"/>
      <c r="AB171" s="13"/>
      <c r="AC171" s="35"/>
      <c r="AD171" s="35"/>
      <c r="AE171" s="13"/>
      <c r="AF171" s="13"/>
      <c r="AG171" s="13"/>
      <c r="AH171" s="44"/>
      <c r="AI171" s="13"/>
      <c r="AJ171" s="13"/>
      <c r="AK171" s="13"/>
      <c r="AL171" s="13"/>
      <c r="AM171" s="13"/>
      <c r="AN171" s="35"/>
      <c r="AO171" s="35" t="s">
        <v>42</v>
      </c>
      <c r="AP171" s="34" t="s">
        <v>43</v>
      </c>
      <c r="AQ171" s="33" t="s">
        <v>42</v>
      </c>
      <c r="AR171" s="34" t="s">
        <v>43</v>
      </c>
      <c r="AS171" s="33" t="s">
        <v>42</v>
      </c>
      <c r="AT171" s="34" t="s">
        <v>43</v>
      </c>
      <c r="AU171" s="33" t="s">
        <v>42</v>
      </c>
      <c r="AV171" s="34" t="s">
        <v>43</v>
      </c>
      <c r="AW171" s="33" t="s">
        <v>42</v>
      </c>
      <c r="AX171" s="34" t="s">
        <v>43</v>
      </c>
      <c r="AY171" s="33" t="s">
        <v>42</v>
      </c>
      <c r="AZ171" s="34" t="s">
        <v>43</v>
      </c>
      <c r="BA171" s="33" t="s">
        <v>42</v>
      </c>
      <c r="BB171" s="34" t="s">
        <v>43</v>
      </c>
      <c r="BC171" s="33" t="s">
        <v>42</v>
      </c>
      <c r="BD171" s="34" t="s">
        <v>43</v>
      </c>
      <c r="BE171" s="33" t="s">
        <v>42</v>
      </c>
      <c r="BF171" s="34" t="s">
        <v>43</v>
      </c>
      <c r="BG171" s="33" t="s">
        <v>42</v>
      </c>
      <c r="BH171" s="34" t="s">
        <v>43</v>
      </c>
      <c r="BI171" s="33" t="s">
        <v>42</v>
      </c>
      <c r="BJ171" s="34" t="s">
        <v>43</v>
      </c>
      <c r="BK171" s="33" t="s">
        <v>42</v>
      </c>
      <c r="BL171" s="34" t="s">
        <v>43</v>
      </c>
      <c r="BM171" s="33" t="s">
        <v>42</v>
      </c>
      <c r="BN171" s="34" t="s">
        <v>43</v>
      </c>
      <c r="BO171" s="33" t="s">
        <v>42</v>
      </c>
      <c r="BP171" s="34" t="s">
        <v>43</v>
      </c>
      <c r="BQ171" s="33" t="s">
        <v>42</v>
      </c>
      <c r="BR171" s="34" t="s">
        <v>43</v>
      </c>
      <c r="BS171" s="33" t="s">
        <v>42</v>
      </c>
      <c r="BT171" s="34" t="s">
        <v>43</v>
      </c>
      <c r="BU171" s="33" t="s">
        <v>42</v>
      </c>
      <c r="BV171" s="34" t="s">
        <v>43</v>
      </c>
      <c r="BW171" s="33" t="s">
        <v>42</v>
      </c>
      <c r="BX171" s="34" t="s">
        <v>43</v>
      </c>
      <c r="BY171" s="33" t="s">
        <v>42</v>
      </c>
      <c r="BZ171" s="34" t="s">
        <v>43</v>
      </c>
      <c r="CA171" s="33" t="s">
        <v>42</v>
      </c>
      <c r="CB171" s="34" t="s">
        <v>43</v>
      </c>
      <c r="CC171" s="33" t="s">
        <v>42</v>
      </c>
      <c r="CD171" s="34" t="s">
        <v>43</v>
      </c>
      <c r="CE171" s="33" t="s">
        <v>42</v>
      </c>
      <c r="CF171" s="34" t="s">
        <v>43</v>
      </c>
      <c r="CG171" s="33" t="s">
        <v>42</v>
      </c>
      <c r="CH171" s="34" t="s">
        <v>43</v>
      </c>
      <c r="CI171" s="33" t="s">
        <v>42</v>
      </c>
      <c r="CJ171" s="34" t="s">
        <v>43</v>
      </c>
    </row>
    <row r="172" spans="1:88" x14ac:dyDescent="0.25">
      <c r="A172">
        <v>-8</v>
      </c>
      <c r="B172">
        <f t="shared" si="219"/>
        <v>4.1231056256176606</v>
      </c>
      <c r="C172">
        <f t="shared" si="220"/>
        <v>-4.1231056256176606</v>
      </c>
      <c r="D172">
        <f t="shared" si="167"/>
        <v>0</v>
      </c>
      <c r="E172">
        <f>-D172</f>
        <v>0</v>
      </c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35"/>
      <c r="S172" s="35"/>
      <c r="T172" s="13"/>
      <c r="U172" s="13"/>
      <c r="V172" s="13"/>
      <c r="W172" s="44"/>
      <c r="X172" s="13"/>
      <c r="Y172" s="13"/>
      <c r="Z172" s="13"/>
      <c r="AA172" s="41" t="s">
        <v>92</v>
      </c>
      <c r="AB172" s="41">
        <v>21</v>
      </c>
      <c r="AC172" s="315"/>
      <c r="AD172" s="315"/>
      <c r="AE172" s="316"/>
      <c r="AG172" t="s">
        <v>106</v>
      </c>
      <c r="AH172">
        <f>+'Control Solar 1er Sem'!N14</f>
        <v>0</v>
      </c>
      <c r="AL172" s="13"/>
      <c r="AM172" s="13"/>
      <c r="AN172" s="13" t="s">
        <v>105</v>
      </c>
      <c r="AO172" s="35">
        <f>IF('Control Solar 1er Sem'!$H$4&lt;0,AO164*COS(RADIANS(AP164)),AO156*COS(RADIANS(AP156)))</f>
        <v>0</v>
      </c>
      <c r="AP172" s="49">
        <f>IF('Control Solar 1er Sem'!$H$4&lt;0,AO164*SIN(RADIANS(AP164)),AO156*SIN(RADIANS(AP156)))</f>
        <v>0</v>
      </c>
      <c r="AQ172" s="33">
        <f>IF('Control Solar 1er Sem'!$H$4&lt;0,AQ164*COS(RADIANS(AR164)),AQ156*COS(RADIANS(AR156)))</f>
        <v>0</v>
      </c>
      <c r="AR172" s="49">
        <f>IF('Control Solar 1er Sem'!$H$4&lt;0,AQ164*SIN(RADIANS(AR164)),AQ156*SIN(RADIANS(AR156)))</f>
        <v>0</v>
      </c>
      <c r="AS172" s="33">
        <f>IF('Control Solar 1er Sem'!$H$4&lt;0,AS164*COS(RADIANS(AT164)),AS156*COS(RADIANS(AT156)))</f>
        <v>0</v>
      </c>
      <c r="AT172" s="49">
        <f>IF('Control Solar 1er Sem'!$H$4&lt;0,AS164*SIN(RADIANS(AT164)),AS156*SIN(RADIANS(AT156)))</f>
        <v>0</v>
      </c>
      <c r="AU172" s="33">
        <f>IF('Control Solar 1er Sem'!$H$4&lt;0,AU164*COS(RADIANS(AV164)),AU156*COS(RADIANS(AV156)))</f>
        <v>0</v>
      </c>
      <c r="AV172" s="49">
        <f>IF('Control Solar 1er Sem'!$H$4&lt;0,AU164*SIN(RADIANS(AV164)),AU156*SIN(RADIANS(AV156)))</f>
        <v>0</v>
      </c>
      <c r="AW172" s="33">
        <f>IF('Control Solar 1er Sem'!$H$4&lt;0,AW164*COS(RADIANS(AX164)),AW156*COS(RADIANS(AX156)))</f>
        <v>0</v>
      </c>
      <c r="AX172" s="49">
        <f>IF('Control Solar 1er Sem'!$H$4&lt;0,AW164*SIN(RADIANS(AX164)),AW156*SIN(RADIANS(AX156)))</f>
        <v>0</v>
      </c>
      <c r="AY172" s="33">
        <f>IF('Control Solar 1er Sem'!$H$4&lt;0,AY164*COS(RADIANS(AZ164)),AY156*COS(RADIANS(AZ156)))</f>
        <v>8.9999999158860629</v>
      </c>
      <c r="AZ172" s="49">
        <f>IF('Control Solar 1er Sem'!$H$4&lt;0,AY164*SIN(RADIANS(AZ164)),AY156*SIN(RADIANS(AZ156)))</f>
        <v>-1.2304677489461085E-3</v>
      </c>
      <c r="BA172" s="33">
        <f>IF('Control Solar 1er Sem'!$H$4&lt;0,BA164*COS(RADIANS(BB164)),BA156*COS(RADIANS(BB156)))</f>
        <v>7.9101816263441691</v>
      </c>
      <c r="BB172" s="49">
        <f>IF('Control Solar 1er Sem'!$H$4&lt;0,BA164*SIN(RADIANS(BB164)),BA156*SIN(RADIANS(BB156)))</f>
        <v>-4.0697958999738741</v>
      </c>
      <c r="BC172" s="33">
        <f>IF('Control Solar 1er Sem'!$H$4&lt;0,BC164*COS(RADIANS(BD164)),BC156*COS(RADIANS(BD156)))</f>
        <v>6.3418643967501813</v>
      </c>
      <c r="BD172" s="49">
        <f>IF('Control Solar 1er Sem'!$H$4&lt;0,BC164*SIN(RADIANS(BD164)),BC156*SIN(RADIANS(BD156)))</f>
        <v>-4.4976926632318861</v>
      </c>
      <c r="BE172" s="33">
        <f>IF('Control Solar 1er Sem'!$H$4&lt;0,BE164*COS(RADIANS(BF164)),BE156*COS(RADIANS(BF156)))</f>
        <v>4.7638381601199011</v>
      </c>
      <c r="BF172" s="49">
        <f>IF('Control Solar 1er Sem'!$H$4&lt;0,BE164*SIN(RADIANS(BF164)),BE156*SIN(RADIANS(BF156)))</f>
        <v>-4.8160129075246561</v>
      </c>
      <c r="BG172" s="33">
        <f>IF('Control Solar 1er Sem'!$H$4&lt;0,BG164*COS(RADIANS(BH164)),BG156*COS(RADIANS(BH156)))</f>
        <v>3.1792610376260346</v>
      </c>
      <c r="BH172" s="49">
        <f>IF('Control Solar 1er Sem'!$H$4&lt;0,BG164*SIN(RADIANS(BH164)),BG156*SIN(RADIANS(BH156)))</f>
        <v>-5.0365247061164551</v>
      </c>
      <c r="BI172" s="33">
        <f>IF('Control Solar 1er Sem'!$H$4&lt;0,BI164*COS(RADIANS(BJ164)),BI156*COS(RADIANS(BJ156)))</f>
        <v>1.5906095938181593</v>
      </c>
      <c r="BJ172" s="49">
        <f>IF('Control Solar 1er Sem'!$H$4&lt;0,BI164*SIN(RADIANS(BJ164)),BI156*SIN(RADIANS(BJ156)))</f>
        <v>-5.1663051434165812</v>
      </c>
      <c r="BK172" s="33">
        <f>IF('Control Solar 1er Sem'!$H$4&lt;0,BK164*COS(RADIANS(BL164)),BK156*COS(RADIANS(BL156)))</f>
        <v>3.1909994125405056E-16</v>
      </c>
      <c r="BL172" s="49">
        <f>IF('Control Solar 1er Sem'!$H$4&lt;0,BK164*SIN(RADIANS(BL164)),BK156*SIN(RADIANS(BL156)))</f>
        <v>-5.2091636727869233</v>
      </c>
      <c r="BM172" s="33">
        <f>IF('Control Solar 1er Sem'!$H$4&lt;0,BM164*COS(RADIANS(BN164)),BM156*COS(RADIANS(BN156)))</f>
        <v>-1.5906095938181644</v>
      </c>
      <c r="BN172" s="49">
        <f>IF('Control Solar 1er Sem'!$H$4&lt;0,BM164*SIN(RADIANS(BN164)),BM156*SIN(RADIANS(BN156)))</f>
        <v>-5.1663051434165803</v>
      </c>
      <c r="BO172" s="33">
        <f>IF('Control Solar 1er Sem'!$H$4&lt;0,BO164*COS(RADIANS(BP164)),BO156*COS(RADIANS(BP156)))</f>
        <v>-3.1792610376260351</v>
      </c>
      <c r="BP172" s="49">
        <f>IF('Control Solar 1er Sem'!$H$4&lt;0,BO164*SIN(RADIANS(BP164)),BO156*SIN(RADIANS(BP156)))</f>
        <v>-5.0365247061164578</v>
      </c>
      <c r="BQ172" s="33">
        <f>IF('Control Solar 1er Sem'!$H$4&lt;0,BQ164*COS(RADIANS(BR164)),BQ156*COS(RADIANS(BR156)))</f>
        <v>-4.7638381601198994</v>
      </c>
      <c r="BR172" s="49">
        <f>IF('Control Solar 1er Sem'!$H$4&lt;0,BQ164*SIN(RADIANS(BR164)),BQ156*SIN(RADIANS(BR156)))</f>
        <v>-4.8160129075246578</v>
      </c>
      <c r="BS172" s="33">
        <f>IF('Control Solar 1er Sem'!$H$4&lt;0,BS164*COS(RADIANS(BT164)),BS156*COS(RADIANS(BT156)))</f>
        <v>-6.3418643967501804</v>
      </c>
      <c r="BT172" s="49">
        <f>IF('Control Solar 1er Sem'!$H$4&lt;0,BS164*SIN(RADIANS(BT164)),BS156*SIN(RADIANS(BT156)))</f>
        <v>-4.4976926632318852</v>
      </c>
      <c r="BU172" s="33">
        <f>IF('Control Solar 1er Sem'!$H$4&lt;0,BU164*COS(RADIANS(BV164)),BU156*COS(RADIANS(BV156)))</f>
        <v>-7.91018162634417</v>
      </c>
      <c r="BV172" s="49">
        <f>IF('Control Solar 1er Sem'!$H$4&lt;0,BU164*SIN(RADIANS(BV164)),BU156*SIN(RADIANS(BV156)))</f>
        <v>-4.0697958999738733</v>
      </c>
      <c r="BW172" s="33">
        <f>IF('Control Solar 1er Sem'!$H$4&lt;0,BW164*COS(RADIANS(BX164)),BW156*COS(RADIANS(BX156)))</f>
        <v>-8.9999999158860629</v>
      </c>
      <c r="BX172" s="49">
        <f>IF('Control Solar 1er Sem'!$H$4&lt;0,BW164*SIN(RADIANS(BX164)),BW156*SIN(RADIANS(BX156)))</f>
        <v>-1.230467748946156E-3</v>
      </c>
      <c r="BY172" s="33">
        <f>IF('Control Solar 1er Sem'!$H$4&lt;0,BY164*COS(RADIANS(BZ164)),BY156*COS(RADIANS(BZ156)))</f>
        <v>0</v>
      </c>
      <c r="BZ172" s="49">
        <f>IF('Control Solar 1er Sem'!$H$4&lt;0,BY164*SIN(RADIANS(BZ164)),BY156*SIN(RADIANS(BZ156)))</f>
        <v>0</v>
      </c>
      <c r="CA172" s="33">
        <f>IF('Control Solar 1er Sem'!$H$4&lt;0,CA164*COS(RADIANS(CB164)),CA156*COS(RADIANS(CB156)))</f>
        <v>0</v>
      </c>
      <c r="CB172" s="49">
        <f>IF('Control Solar 1er Sem'!$H$4&lt;0,CA164*SIN(RADIANS(CB164)),CA156*SIN(RADIANS(CB156)))</f>
        <v>0</v>
      </c>
      <c r="CC172" s="33">
        <f>IF('Control Solar 1er Sem'!$H$4&lt;0,CC164*COS(RADIANS(CD164)),CC156*COS(RADIANS(CD156)))</f>
        <v>0</v>
      </c>
      <c r="CD172" s="49">
        <f>IF('Control Solar 1er Sem'!$H$4&lt;0,CC164*SIN(RADIANS(CD164)),CC156*SIN(RADIANS(CD156)))</f>
        <v>0</v>
      </c>
      <c r="CE172" s="33">
        <f>IF('Control Solar 1er Sem'!$H$4&lt;0,CE164*COS(RADIANS(CF164)),CE156*COS(RADIANS(CF156)))</f>
        <v>0</v>
      </c>
      <c r="CF172" s="49">
        <f>IF('Control Solar 1er Sem'!$H$4&lt;0,CE164*SIN(RADIANS(CF164)),CE156*SIN(RADIANS(CF156)))</f>
        <v>0</v>
      </c>
      <c r="CG172" s="33">
        <f>IF('Control Solar 1er Sem'!$H$4&lt;0,CG164*COS(RADIANS(CH164)),CG156*COS(RADIANS(CH156)))</f>
        <v>0</v>
      </c>
      <c r="CH172" s="49">
        <f>IF('Control Solar 1er Sem'!$H$4&lt;0,CG164*SIN(RADIANS(CH164)),CG156*SIN(RADIANS(CH156)))</f>
        <v>0</v>
      </c>
      <c r="CI172" s="33" t="e">
        <f>IF('Control Solar 1er Sem'!$H$4&lt;0,CI164*COS(RADIANS(CJ164)),CI156*COS(RADIANS(CJ156)))</f>
        <v>#NUM!</v>
      </c>
      <c r="CJ172" s="49" t="e">
        <f>IF('Control Solar 1er Sem'!$H$4&lt;0,CI164*SIN(RADIANS(CJ164)),CI156*SIN(RADIANS(CJ156)))</f>
        <v>#NUM!</v>
      </c>
    </row>
    <row r="173" spans="1:88" x14ac:dyDescent="0.25">
      <c r="A173">
        <v>-8.1</v>
      </c>
      <c r="B173">
        <f t="shared" si="219"/>
        <v>3.9230090491866063</v>
      </c>
      <c r="C173">
        <f t="shared" si="220"/>
        <v>-3.9230090491866063</v>
      </c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35"/>
      <c r="S173" s="35"/>
      <c r="T173" s="13"/>
      <c r="U173" s="13"/>
      <c r="V173" s="13"/>
      <c r="W173" s="44"/>
      <c r="X173" s="13"/>
      <c r="Y173" s="13"/>
      <c r="Z173" s="13"/>
      <c r="AA173" s="41" t="s">
        <v>91</v>
      </c>
      <c r="AB173" s="41">
        <v>3</v>
      </c>
      <c r="AC173" s="315"/>
      <c r="AD173" s="315"/>
      <c r="AE173" s="316"/>
      <c r="AL173" s="13"/>
      <c r="AM173" s="13"/>
      <c r="AN173" t="s">
        <v>104</v>
      </c>
      <c r="AO173" s="35">
        <f>IF('Control Solar 1er Sem'!$H$4&lt;0,AO165*COS(RADIANS(AP165)),AO157*COS(RADIANS(AP157)))</f>
        <v>0</v>
      </c>
      <c r="AP173" s="49">
        <f>IF('Control Solar 1er Sem'!$H$4&lt;0,AO165*SIN(RADIANS(AP165)),AO157*SIN(RADIANS(AP157)))</f>
        <v>0</v>
      </c>
      <c r="AQ173" s="33">
        <f>IF('Control Solar 1er Sem'!$H$4&lt;0,AQ165*COS(RADIANS(AR165)),AQ157*COS(RADIANS(AR157)))</f>
        <v>0</v>
      </c>
      <c r="AR173" s="49">
        <f>IF('Control Solar 1er Sem'!$H$4&lt;0,AQ165*SIN(RADIANS(AR165)),AQ157*SIN(RADIANS(AR157)))</f>
        <v>0</v>
      </c>
      <c r="AS173" s="33">
        <f>IF('Control Solar 1er Sem'!$H$4&lt;0,AS165*COS(RADIANS(AT165)),AS157*COS(RADIANS(AT157)))</f>
        <v>0</v>
      </c>
      <c r="AT173" s="49">
        <f>IF('Control Solar 1er Sem'!$H$4&lt;0,AS165*SIN(RADIANS(AT165)),AS157*SIN(RADIANS(AT157)))</f>
        <v>0</v>
      </c>
      <c r="AU173" s="33">
        <f>IF('Control Solar 1er Sem'!$H$4&lt;0,AU165*COS(RADIANS(AV165)),AU157*COS(RADIANS(AV157)))</f>
        <v>0</v>
      </c>
      <c r="AV173" s="49">
        <f>IF('Control Solar 1er Sem'!$H$4&lt;0,AU165*SIN(RADIANS(AV165)),AU157*SIN(RADIANS(AV157)))</f>
        <v>0</v>
      </c>
      <c r="AW173" s="33">
        <f>IF('Control Solar 1er Sem'!$H$4&lt;0,AW165*COS(RADIANS(AX165)),AW157*COS(RADIANS(AX157)))</f>
        <v>0</v>
      </c>
      <c r="AX173" s="49">
        <f>IF('Control Solar 1er Sem'!$H$4&lt;0,AW165*SIN(RADIANS(AX165)),AW157*SIN(RADIANS(AX157)))</f>
        <v>0</v>
      </c>
      <c r="AY173" s="33">
        <f>IF('Control Solar 1er Sem'!$H$4&lt;0,AY165*COS(RADIANS(AZ165)),AY157*COS(RADIANS(AZ157)))</f>
        <v>8.9999999158860629</v>
      </c>
      <c r="AZ173" s="49">
        <f>IF('Control Solar 1er Sem'!$H$4&lt;0,AY165*SIN(RADIANS(AZ165)),AY157*SIN(RADIANS(AZ157)))</f>
        <v>-1.2304677489461085E-3</v>
      </c>
      <c r="BA173" s="33">
        <f>IF('Control Solar 1er Sem'!$H$4&lt;0,BA165*COS(RADIANS(BB165)),BA157*COS(RADIANS(BB157)))</f>
        <v>7.9427188060969565</v>
      </c>
      <c r="BB173" s="49">
        <f>IF('Control Solar 1er Sem'!$H$4&lt;0,BA165*SIN(RADIANS(BB165)),BA157*SIN(RADIANS(BB157)))</f>
        <v>-3.3025120163095782</v>
      </c>
      <c r="BC173" s="33">
        <f>IF('Control Solar 1er Sem'!$H$4&lt;0,BC165*COS(RADIANS(BD165)),BC157*COS(RADIANS(BD157)))</f>
        <v>6.3745781167226738</v>
      </c>
      <c r="BD173" s="49">
        <f>IF('Control Solar 1er Sem'!$H$4&lt;0,BC165*SIN(RADIANS(BD165)),BC157*SIN(RADIANS(BD157)))</f>
        <v>-3.8190747682328166</v>
      </c>
      <c r="BE173" s="33">
        <f>IF('Control Solar 1er Sem'!$H$4&lt;0,BE165*COS(RADIANS(BF165)),BE157*COS(RADIANS(BF157)))</f>
        <v>4.7914718059899393</v>
      </c>
      <c r="BF173" s="49">
        <f>IF('Control Solar 1er Sem'!$H$4&lt;0,BE165*SIN(RADIANS(BF165)),BE157*SIN(RADIANS(BF157)))</f>
        <v>-4.1978666039421961</v>
      </c>
      <c r="BG173" s="33">
        <f>IF('Control Solar 1er Sem'!$H$4&lt;0,BG165*COS(RADIANS(BH165)),BG157*COS(RADIANS(BH157)))</f>
        <v>3.1989291170115344</v>
      </c>
      <c r="BH173" s="49">
        <f>IF('Control Solar 1er Sem'!$H$4&lt;0,BG165*SIN(RADIANS(BH165)),BG157*SIN(RADIANS(BH157)))</f>
        <v>-4.4576700187236371</v>
      </c>
      <c r="BI173" s="33">
        <f>IF('Control Solar 1er Sem'!$H$4&lt;0,BI165*COS(RADIANS(BJ165)),BI157*COS(RADIANS(BJ157)))</f>
        <v>1.6007777970337362</v>
      </c>
      <c r="BJ173" s="49">
        <f>IF('Control Solar 1er Sem'!$H$4&lt;0,BI165*SIN(RADIANS(BJ165)),BI157*SIN(RADIANS(BJ157)))</f>
        <v>-4.6096209042552729</v>
      </c>
      <c r="BK173" s="33">
        <f>IF('Control Solar 1er Sem'!$H$4&lt;0,BK165*COS(RADIANS(BL165)),BK157*COS(RADIANS(BL157)))</f>
        <v>2.8543812206334089E-16</v>
      </c>
      <c r="BL173" s="49">
        <f>IF('Control Solar 1er Sem'!$H$4&lt;0,BK165*SIN(RADIANS(BL165)),BK157*SIN(RADIANS(BL157)))</f>
        <v>-4.6596495456484224</v>
      </c>
      <c r="BM173" s="33">
        <f>IF('Control Solar 1er Sem'!$H$4&lt;0,BM165*COS(RADIANS(BN165)),BM157*COS(RADIANS(BN157)))</f>
        <v>-1.6007777970337347</v>
      </c>
      <c r="BN173" s="49">
        <f>IF('Control Solar 1er Sem'!$H$4&lt;0,BM165*SIN(RADIANS(BN165)),BM157*SIN(RADIANS(BN157)))</f>
        <v>-4.6096209042552738</v>
      </c>
      <c r="BO173" s="33">
        <f>IF('Control Solar 1er Sem'!$H$4&lt;0,BO165*COS(RADIANS(BP165)),BO157*COS(RADIANS(BP157)))</f>
        <v>-3.1989291170115348</v>
      </c>
      <c r="BP173" s="49">
        <f>IF('Control Solar 1er Sem'!$H$4&lt;0,BO165*SIN(RADIANS(BP165)),BO157*SIN(RADIANS(BP157)))</f>
        <v>-4.4576700187236371</v>
      </c>
      <c r="BQ173" s="33">
        <f>IF('Control Solar 1er Sem'!$H$4&lt;0,BQ165*COS(RADIANS(BR165)),BQ157*COS(RADIANS(BR157)))</f>
        <v>-4.7914718059899393</v>
      </c>
      <c r="BR173" s="49">
        <f>IF('Control Solar 1er Sem'!$H$4&lt;0,BQ165*SIN(RADIANS(BR165)),BQ157*SIN(RADIANS(BR157)))</f>
        <v>-4.197866603942197</v>
      </c>
      <c r="BS173" s="33">
        <f>IF('Control Solar 1er Sem'!$H$4&lt;0,BS165*COS(RADIANS(BT165)),BS157*COS(RADIANS(BT157)))</f>
        <v>-6.3745781167226738</v>
      </c>
      <c r="BT173" s="49">
        <f>IF('Control Solar 1er Sem'!$H$4&lt;0,BS165*SIN(RADIANS(BT165)),BS157*SIN(RADIANS(BT157)))</f>
        <v>-3.8190747682328157</v>
      </c>
      <c r="BU173" s="33">
        <f>IF('Control Solar 1er Sem'!$H$4&lt;0,BU165*COS(RADIANS(BV165)),BU157*COS(RADIANS(BV157)))</f>
        <v>-7.9427188060969556</v>
      </c>
      <c r="BV173" s="49">
        <f>IF('Control Solar 1er Sem'!$H$4&lt;0,BU165*SIN(RADIANS(BV165)),BU157*SIN(RADIANS(BV157)))</f>
        <v>-3.3025120163095805</v>
      </c>
      <c r="BW173" s="33">
        <f>IF('Control Solar 1er Sem'!$H$4&lt;0,BW165*COS(RADIANS(BX165)),BW157*COS(RADIANS(BX157)))</f>
        <v>-8.9999999158860629</v>
      </c>
      <c r="BX173" s="49">
        <f>IF('Control Solar 1er Sem'!$H$4&lt;0,BW165*SIN(RADIANS(BX165)),BW157*SIN(RADIANS(BX157)))</f>
        <v>-1.230467748946156E-3</v>
      </c>
      <c r="BY173" s="33">
        <f>IF('Control Solar 1er Sem'!$H$4&lt;0,BY165*COS(RADIANS(BZ165)),BY157*COS(RADIANS(BZ157)))</f>
        <v>0</v>
      </c>
      <c r="BZ173" s="49">
        <f>IF('Control Solar 1er Sem'!$H$4&lt;0,BY165*SIN(RADIANS(BZ165)),BY157*SIN(RADIANS(BZ157)))</f>
        <v>0</v>
      </c>
      <c r="CA173" s="33">
        <f>IF('Control Solar 1er Sem'!$H$4&lt;0,CA165*COS(RADIANS(CB165)),CA157*COS(RADIANS(CB157)))</f>
        <v>0</v>
      </c>
      <c r="CB173" s="49">
        <f>IF('Control Solar 1er Sem'!$H$4&lt;0,CA165*SIN(RADIANS(CB165)),CA157*SIN(RADIANS(CB157)))</f>
        <v>0</v>
      </c>
      <c r="CC173" s="33">
        <f>IF('Control Solar 1er Sem'!$H$4&lt;0,CC165*COS(RADIANS(CD165)),CC157*COS(RADIANS(CD157)))</f>
        <v>0</v>
      </c>
      <c r="CD173" s="49">
        <f>IF('Control Solar 1er Sem'!$H$4&lt;0,CC165*SIN(RADIANS(CD165)),CC157*SIN(RADIANS(CD157)))</f>
        <v>0</v>
      </c>
      <c r="CE173" s="33">
        <f>IF('Control Solar 1er Sem'!$H$4&lt;0,CE165*COS(RADIANS(CF165)),CE157*COS(RADIANS(CF157)))</f>
        <v>0</v>
      </c>
      <c r="CF173" s="49">
        <f>IF('Control Solar 1er Sem'!$H$4&lt;0,CE165*SIN(RADIANS(CF165)),CE157*SIN(RADIANS(CF157)))</f>
        <v>0</v>
      </c>
      <c r="CG173" s="33">
        <f>IF('Control Solar 1er Sem'!$H$4&lt;0,CG165*COS(RADIANS(CH165)),CG157*COS(RADIANS(CH157)))</f>
        <v>0</v>
      </c>
      <c r="CH173" s="49">
        <f>IF('Control Solar 1er Sem'!$H$4&lt;0,CG165*SIN(RADIANS(CH165)),CG157*SIN(RADIANS(CH157)))</f>
        <v>0</v>
      </c>
      <c r="CI173" s="33" t="e">
        <f>IF('Control Solar 1er Sem'!$H$4&lt;0,CI165*COS(RADIANS(CJ165)),CI157*COS(RADIANS(CJ157)))</f>
        <v>#NUM!</v>
      </c>
      <c r="CJ173" s="49" t="e">
        <f>IF('Control Solar 1er Sem'!$H$4&lt;0,CI165*SIN(RADIANS(CJ165)),CI157*SIN(RADIANS(CJ157)))</f>
        <v>#NUM!</v>
      </c>
    </row>
    <row r="174" spans="1:88" x14ac:dyDescent="0.25">
      <c r="A174">
        <v>-8.1999999999999993</v>
      </c>
      <c r="B174">
        <f t="shared" si="219"/>
        <v>3.7094473981982823</v>
      </c>
      <c r="C174">
        <f t="shared" si="220"/>
        <v>-3.7094473981982823</v>
      </c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35"/>
      <c r="S174" s="35"/>
      <c r="T174" s="13"/>
      <c r="U174" s="13"/>
      <c r="V174" s="13"/>
      <c r="W174" s="44"/>
      <c r="X174" s="13"/>
      <c r="Y174" s="13"/>
      <c r="Z174" s="13"/>
      <c r="AC174" s="32">
        <f>+IF(AB173=$AI$63,AB172,IF(AB173=$AJ$63,$AI$64+AB172,IF(AB173=$AK$63,$AI$64+$AJ$64+AB172,IF(AB173=$AL$63,$AI$64+$AJ$64+$AK$64+AB172,IF(AB173=$AM$63,$AI$64+$AJ$64+$AK$64+$AL$64+AB172,IF(AB173=$AN$63,$AI$64+$AJ$64+$AK$64+$AL$64+$AM$64+AB172,IF(AB173=$AO$63,$AI$64+$AJ$64+$AK$64+$AL$64+$AM$64+$AN$64+AB172,IF(AB173=$AP$63,$AI$64+$AJ$64+$AK$64+$AL$64+$AM$64+$AN$64+$AO$64+AB172,IF(AB173=$AQ$63,$AI$64+$AJ$64+$AK$64+$AL$64+$AM$64+$AN$64+$AO$64+$AP$64+AB172,IF(AB173=$AR$63,$AI$64+$AJ$64+$AK$64+$AL$64+$AM$64+$AN$64+$AO$64+$AP$64+$AQ$64+AB172,IF(AB173=$AS$63,$AI$64+$AJ$64+$AK$64+$AL$64+$AM$64+$AN$64+$AO$64+$AP$64+$AQ$64+$AR$64+AB172,IF(AB173=$AT$63,$AI$64+$AJ$64+$AK$64+$AL$64+$AM$64+$AN$64+$AO$64+$AP$64+$AQ$64+$AR$64+$AS$64+AB172,"error"))))))))))))</f>
        <v>80</v>
      </c>
      <c r="AD174" s="38">
        <f>23.45*SIN(RADIANS(360*((284+AC174)/365)))</f>
        <v>-0.40365320185431652</v>
      </c>
      <c r="AE174" s="41">
        <f>IF('Control Solar 1er Sem'!N18&lt;0,-90-'Control Solar 1er Sem'!N18,90-'Control Solar 1er Sem'!N18)</f>
        <v>30</v>
      </c>
      <c r="AL174" s="13"/>
      <c r="AM174" s="13"/>
      <c r="AN174" t="s">
        <v>103</v>
      </c>
      <c r="AO174" s="35">
        <f>IF('Control Solar 1er Sem'!$H$4&lt;0,AO166*COS(RADIANS(AP166)),AO158*COS(RADIANS(AP158)))</f>
        <v>0</v>
      </c>
      <c r="AP174" s="49">
        <f>IF('Control Solar 1er Sem'!$H$4&lt;0,AO166*SIN(RADIANS(AP166)),AO158*SIN(RADIANS(AP158)))</f>
        <v>0</v>
      </c>
      <c r="AQ174" s="33">
        <f>IF('Control Solar 1er Sem'!$H$4&lt;0,AQ166*COS(RADIANS(AR166)),AQ158*COS(RADIANS(AR158)))</f>
        <v>0</v>
      </c>
      <c r="AR174" s="49">
        <f>IF('Control Solar 1er Sem'!$H$4&lt;0,AQ166*SIN(RADIANS(AR166)),AQ158*SIN(RADIANS(AR158)))</f>
        <v>0</v>
      </c>
      <c r="AS174" s="33">
        <f>IF('Control Solar 1er Sem'!$H$4&lt;0,AS166*COS(RADIANS(AT166)),AS158*COS(RADIANS(AT158)))</f>
        <v>0</v>
      </c>
      <c r="AT174" s="49">
        <f>IF('Control Solar 1er Sem'!$H$4&lt;0,AS166*SIN(RADIANS(AT166)),AS158*SIN(RADIANS(AT158)))</f>
        <v>0</v>
      </c>
      <c r="AU174" s="33">
        <f>IF('Control Solar 1er Sem'!$H$4&lt;0,AU166*COS(RADIANS(AV166)),AU158*COS(RADIANS(AV158)))</f>
        <v>0</v>
      </c>
      <c r="AV174" s="49">
        <f>IF('Control Solar 1er Sem'!$H$4&lt;0,AU166*SIN(RADIANS(AV166)),AU158*SIN(RADIANS(AV158)))</f>
        <v>0</v>
      </c>
      <c r="AW174" s="33">
        <f>IF('Control Solar 1er Sem'!$H$4&lt;0,AW166*COS(RADIANS(AX166)),AW158*COS(RADIANS(AX158)))</f>
        <v>0</v>
      </c>
      <c r="AX174" s="49">
        <f>IF('Control Solar 1er Sem'!$H$4&lt;0,AW166*SIN(RADIANS(AX166)),AW158*SIN(RADIANS(AX158)))</f>
        <v>0</v>
      </c>
      <c r="AY174" s="33">
        <f>IF('Control Solar 1er Sem'!$H$4&lt;0,AY166*COS(RADIANS(AZ166)),AY158*COS(RADIANS(AZ158)))</f>
        <v>8.9999999158860629</v>
      </c>
      <c r="AZ174" s="49">
        <f>IF('Control Solar 1er Sem'!$H$4&lt;0,AY166*SIN(RADIANS(AZ166)),AY158*SIN(RADIANS(AZ158)))</f>
        <v>-1.2304677489461085E-3</v>
      </c>
      <c r="BA174" s="33">
        <f>IF('Control Solar 1er Sem'!$H$4&lt;0,BA166*COS(RADIANS(BB166)),BA158*COS(RADIANS(BB158)))</f>
        <v>7.8505349227251555</v>
      </c>
      <c r="BB174" s="49">
        <f>IF('Control Solar 1er Sem'!$H$4&lt;0,BA166*SIN(RADIANS(BB166)),BA158*SIN(RADIANS(BB158)))</f>
        <v>-2.0577961364005248</v>
      </c>
      <c r="BC174" s="33">
        <f>IF('Control Solar 1er Sem'!$H$4&lt;0,BC166*COS(RADIANS(BD166)),BC158*COS(RADIANS(BD158)))</f>
        <v>6.3219057421889273</v>
      </c>
      <c r="BD174" s="49">
        <f>IF('Control Solar 1er Sem'!$H$4&lt;0,BC166*SIN(RADIANS(BD166)),BC158*SIN(RADIANS(BD158)))</f>
        <v>-2.7039695211361687</v>
      </c>
      <c r="BE174" s="33">
        <f>IF('Control Solar 1er Sem'!$H$4&lt;0,BE166*COS(RADIANS(BF166)),BE158*COS(RADIANS(BF158)))</f>
        <v>4.7621175617680649</v>
      </c>
      <c r="BF174" s="49">
        <f>IF('Control Solar 1er Sem'!$H$4&lt;0,BE166*SIN(RADIANS(BF166)),BE158*SIN(RADIANS(BF158)))</f>
        <v>-3.1725031675284874</v>
      </c>
      <c r="BG174" s="33">
        <f>IF('Control Solar 1er Sem'!$H$4&lt;0,BG166*COS(RADIANS(BH166)),BG158*COS(RADIANS(BH158)))</f>
        <v>3.1835652798692924</v>
      </c>
      <c r="BH174" s="49">
        <f>IF('Control Solar 1er Sem'!$H$4&lt;0,BG166*SIN(RADIANS(BH166)),BG158*SIN(RADIANS(BH158)))</f>
        <v>-3.4911671364102346</v>
      </c>
      <c r="BI174" s="33">
        <f>IF('Control Solar 1er Sem'!$H$4&lt;0,BI166*COS(RADIANS(BJ166)),BI158*COS(RADIANS(BJ158)))</f>
        <v>1.5942481393866368</v>
      </c>
      <c r="BJ174" s="49">
        <f>IF('Control Solar 1er Sem'!$H$4&lt;0,BI166*SIN(RADIANS(BJ166)),BI158*SIN(RADIANS(BJ158)))</f>
        <v>-3.6765137729703996</v>
      </c>
      <c r="BK174" s="33">
        <f>IF('Control Solar 1er Sem'!$H$4&lt;0,BK166*COS(RADIANS(BL166)),BK158*COS(RADIANS(BL158)))</f>
        <v>2.2894168507319601E-16</v>
      </c>
      <c r="BL174" s="49">
        <f>IF('Control Solar 1er Sem'!$H$4&lt;0,BK166*SIN(RADIANS(BL166)),BK158*SIN(RADIANS(BL158)))</f>
        <v>-3.7373705065035905</v>
      </c>
      <c r="BM174" s="33">
        <f>IF('Control Solar 1er Sem'!$H$4&lt;0,BM166*COS(RADIANS(BN166)),BM158*COS(RADIANS(BN158)))</f>
        <v>-1.5942481393866366</v>
      </c>
      <c r="BN174" s="49">
        <f>IF('Control Solar 1er Sem'!$H$4&lt;0,BM166*SIN(RADIANS(BN166)),BM158*SIN(RADIANS(BN158)))</f>
        <v>-3.6765137729703996</v>
      </c>
      <c r="BO174" s="33">
        <f>IF('Control Solar 1er Sem'!$H$4&lt;0,BO166*COS(RADIANS(BP166)),BO158*COS(RADIANS(BP158)))</f>
        <v>-3.1835652798692937</v>
      </c>
      <c r="BP174" s="49">
        <f>IF('Control Solar 1er Sem'!$H$4&lt;0,BO166*SIN(RADIANS(BP166)),BO158*SIN(RADIANS(BP158)))</f>
        <v>-3.4911671364102332</v>
      </c>
      <c r="BQ174" s="33">
        <f>IF('Control Solar 1er Sem'!$H$4&lt;0,BQ166*COS(RADIANS(BR166)),BQ158*COS(RADIANS(BR158)))</f>
        <v>-4.7621175617680658</v>
      </c>
      <c r="BR174" s="49">
        <f>IF('Control Solar 1er Sem'!$H$4&lt;0,BQ166*SIN(RADIANS(BR166)),BQ158*SIN(RADIANS(BR158)))</f>
        <v>-3.1725031675284869</v>
      </c>
      <c r="BS174" s="33">
        <f>IF('Control Solar 1er Sem'!$H$4&lt;0,BS166*COS(RADIANS(BT166)),BS158*COS(RADIANS(BT158)))</f>
        <v>-6.3219057421889273</v>
      </c>
      <c r="BT174" s="49">
        <f>IF('Control Solar 1er Sem'!$H$4&lt;0,BS166*SIN(RADIANS(BT166)),BS158*SIN(RADIANS(BT158)))</f>
        <v>-2.7039695211361696</v>
      </c>
      <c r="BU174" s="33">
        <f>IF('Control Solar 1er Sem'!$H$4&lt;0,BU166*COS(RADIANS(BV166)),BU158*COS(RADIANS(BV158)))</f>
        <v>-7.8505349227251564</v>
      </c>
      <c r="BV174" s="49">
        <f>IF('Control Solar 1er Sem'!$H$4&lt;0,BU166*SIN(RADIANS(BV166)),BU158*SIN(RADIANS(BV158)))</f>
        <v>-2.0577961364005222</v>
      </c>
      <c r="BW174" s="33">
        <f>IF('Control Solar 1er Sem'!$H$4&lt;0,BW166*COS(RADIANS(BX166)),BW158*COS(RADIANS(BX158)))</f>
        <v>-8.9999999158860629</v>
      </c>
      <c r="BX174" s="49">
        <f>IF('Control Solar 1er Sem'!$H$4&lt;0,BW166*SIN(RADIANS(BX166)),BW158*SIN(RADIANS(BX158)))</f>
        <v>-1.230467748946156E-3</v>
      </c>
      <c r="BY174" s="33">
        <f>IF('Control Solar 1er Sem'!$H$4&lt;0,BY166*COS(RADIANS(BZ166)),BY158*COS(RADIANS(BZ158)))</f>
        <v>0</v>
      </c>
      <c r="BZ174" s="49">
        <f>IF('Control Solar 1er Sem'!$H$4&lt;0,BY166*SIN(RADIANS(BZ166)),BY158*SIN(RADIANS(BZ158)))</f>
        <v>0</v>
      </c>
      <c r="CA174" s="33">
        <f>IF('Control Solar 1er Sem'!$H$4&lt;0,CA166*COS(RADIANS(CB166)),CA158*COS(RADIANS(CB158)))</f>
        <v>0</v>
      </c>
      <c r="CB174" s="49">
        <f>IF('Control Solar 1er Sem'!$H$4&lt;0,CA166*SIN(RADIANS(CB166)),CA158*SIN(RADIANS(CB158)))</f>
        <v>0</v>
      </c>
      <c r="CC174" s="33">
        <f>IF('Control Solar 1er Sem'!$H$4&lt;0,CC166*COS(RADIANS(CD166)),CC158*COS(RADIANS(CD158)))</f>
        <v>0</v>
      </c>
      <c r="CD174" s="49">
        <f>IF('Control Solar 1er Sem'!$H$4&lt;0,CC166*SIN(RADIANS(CD166)),CC158*SIN(RADIANS(CD158)))</f>
        <v>0</v>
      </c>
      <c r="CE174" s="33">
        <f>IF('Control Solar 1er Sem'!$H$4&lt;0,CE166*COS(RADIANS(CF166)),CE158*COS(RADIANS(CF158)))</f>
        <v>0</v>
      </c>
      <c r="CF174" s="49">
        <f>IF('Control Solar 1er Sem'!$H$4&lt;0,CE166*SIN(RADIANS(CF166)),CE158*SIN(RADIANS(CF158)))</f>
        <v>0</v>
      </c>
      <c r="CG174" s="33">
        <f>IF('Control Solar 1er Sem'!$H$4&lt;0,CG166*COS(RADIANS(CH166)),CG158*COS(RADIANS(CH158)))</f>
        <v>0</v>
      </c>
      <c r="CH174" s="49">
        <f>IF('Control Solar 1er Sem'!$H$4&lt;0,CG166*SIN(RADIANS(CH166)),CG158*SIN(RADIANS(CH158)))</f>
        <v>0</v>
      </c>
      <c r="CI174" s="33" t="e">
        <f>IF('Control Solar 1er Sem'!$H$4&lt;0,CI166*COS(RADIANS(CJ166)),CI158*COS(RADIANS(CJ158)))</f>
        <v>#NUM!</v>
      </c>
      <c r="CJ174" s="49" t="e">
        <f>IF('Control Solar 1er Sem'!$H$4&lt;0,CI166*SIN(RADIANS(CJ166)),CI158*SIN(RADIANS(CJ158)))</f>
        <v>#NUM!</v>
      </c>
    </row>
    <row r="175" spans="1:88" x14ac:dyDescent="0.25">
      <c r="A175">
        <v>-8.3000000000000007</v>
      </c>
      <c r="B175">
        <f t="shared" si="219"/>
        <v>3.479942528261061</v>
      </c>
      <c r="C175">
        <f t="shared" si="220"/>
        <v>-3.479942528261061</v>
      </c>
      <c r="AB175" s="317" t="s">
        <v>90</v>
      </c>
      <c r="AC175" s="315"/>
      <c r="AD175" s="315"/>
      <c r="AE175" s="315"/>
      <c r="AG175" s="319" t="s">
        <v>89</v>
      </c>
      <c r="AH175" s="319"/>
      <c r="AI175" s="319" t="s">
        <v>42</v>
      </c>
      <c r="AJ175" s="319" t="s">
        <v>43</v>
      </c>
      <c r="AN175" t="s">
        <v>102</v>
      </c>
      <c r="AO175" s="35">
        <f>IF('Control Solar 1er Sem'!$H$4&lt;0,AO167*COS(RADIANS(AP167)),AO159*COS(RADIANS(AP159)))</f>
        <v>0</v>
      </c>
      <c r="AP175" s="49">
        <f>IF('Control Solar 1er Sem'!$H$4&lt;0,AO167*SIN(RADIANS(AP167)),AO159*SIN(RADIANS(AP159)))</f>
        <v>0</v>
      </c>
      <c r="AQ175" s="33">
        <f>IF('Control Solar 1er Sem'!$H$4&lt;0,AQ167*COS(RADIANS(AR167)),AQ159*COS(RADIANS(AR159)))</f>
        <v>0</v>
      </c>
      <c r="AR175" s="49">
        <f>IF('Control Solar 1er Sem'!$H$4&lt;0,AQ167*SIN(RADIANS(AR167)),AQ159*SIN(RADIANS(AR159)))</f>
        <v>0</v>
      </c>
      <c r="AS175" s="33">
        <f>IF('Control Solar 1er Sem'!$H$4&lt;0,AS167*COS(RADIANS(AT167)),AS159*COS(RADIANS(AT159)))</f>
        <v>0</v>
      </c>
      <c r="AT175" s="49">
        <f>IF('Control Solar 1er Sem'!$H$4&lt;0,AS167*SIN(RADIANS(AT167)),AS159*SIN(RADIANS(AT159)))</f>
        <v>0</v>
      </c>
      <c r="AU175" s="33">
        <f>IF('Control Solar 1er Sem'!$H$4&lt;0,AU167*COS(RADIANS(AV167)),AU159*COS(RADIANS(AV159)))</f>
        <v>0</v>
      </c>
      <c r="AV175" s="49">
        <f>IF('Control Solar 1er Sem'!$H$4&lt;0,AU167*SIN(RADIANS(AV167)),AU159*SIN(RADIANS(AV159)))</f>
        <v>0</v>
      </c>
      <c r="AW175" s="33">
        <f>IF('Control Solar 1er Sem'!$H$4&lt;0,AW167*COS(RADIANS(AX167)),AW159*COS(RADIANS(AX159)))</f>
        <v>0</v>
      </c>
      <c r="AX175" s="49">
        <f>IF('Control Solar 1er Sem'!$H$4&lt;0,AW167*SIN(RADIANS(AX167)),AW159*SIN(RADIANS(AX159)))</f>
        <v>0</v>
      </c>
      <c r="AY175" s="33">
        <f>IF('Control Solar 1er Sem'!$H$4&lt;0,AY167*COS(RADIANS(AZ167)),AY159*COS(RADIANS(AZ159)))</f>
        <v>8.7883582682606036</v>
      </c>
      <c r="AZ175" s="49">
        <f>IF('Control Solar 1er Sem'!$H$4&lt;0,AY167*SIN(RADIANS(AZ167)),AY159*SIN(RADIANS(AZ159)))</f>
        <v>0.53934028205281404</v>
      </c>
      <c r="BA175" s="33">
        <f>IF('Control Solar 1er Sem'!$H$4&lt;0,BA167*COS(RADIANS(BB167)),BA159*COS(RADIANS(BB159)))</f>
        <v>7.4782579609816162</v>
      </c>
      <c r="BB175" s="49">
        <f>IF('Control Solar 1er Sem'!$H$4&lt;0,BA167*SIN(RADIANS(BB167)),BA159*SIN(RADIANS(BB159)))</f>
        <v>-0.49877504340216094</v>
      </c>
      <c r="BC175" s="33">
        <f>IF('Control Solar 1er Sem'!$H$4&lt;0,BC167*COS(RADIANS(BD167)),BC159*COS(RADIANS(BD159)))</f>
        <v>6.0649626831945911</v>
      </c>
      <c r="BD175" s="49">
        <f>IF('Control Solar 1er Sem'!$H$4&lt;0,BC167*SIN(RADIANS(BD167)),BC159*SIN(RADIANS(BD159)))</f>
        <v>-1.2721013335297824</v>
      </c>
      <c r="BE175" s="33">
        <f>IF('Control Solar 1er Sem'!$H$4&lt;0,BE167*COS(RADIANS(BF167)),BE159*COS(RADIANS(BF159)))</f>
        <v>4.5898087062962007</v>
      </c>
      <c r="BF175" s="49">
        <f>IF('Control Solar 1er Sem'!$H$4&lt;0,BE167*SIN(RADIANS(BF167)),BE159*SIN(RADIANS(BF159)))</f>
        <v>-1.8324364394971169</v>
      </c>
      <c r="BG175" s="33">
        <f>IF('Control Solar 1er Sem'!$H$4&lt;0,BG167*COS(RADIANS(BH167)),BG159*COS(RADIANS(BH159)))</f>
        <v>3.0773552908954085</v>
      </c>
      <c r="BH175" s="49">
        <f>IF('Control Solar 1er Sem'!$H$4&lt;0,BG167*SIN(RADIANS(BH167)),BG159*SIN(RADIANS(BH159)))</f>
        <v>-2.2128940080973147</v>
      </c>
      <c r="BI175" s="33">
        <f>IF('Control Solar 1er Sem'!$H$4&lt;0,BI167*COS(RADIANS(BJ167)),BI159*COS(RADIANS(BJ159)))</f>
        <v>1.5435540171470266</v>
      </c>
      <c r="BJ175" s="49">
        <f>IF('Control Solar 1er Sem'!$H$4&lt;0,BI167*SIN(RADIANS(BJ167)),BI159*SIN(RADIANS(BJ159)))</f>
        <v>-2.4338374353420646</v>
      </c>
      <c r="BK175" s="33">
        <f>IF('Control Solar 1er Sem'!$H$4&lt;0,BK167*COS(RADIANS(BL167)),BK159*COS(RADIANS(BL159)))</f>
        <v>1.5353055534212649E-16</v>
      </c>
      <c r="BL175" s="49">
        <f>IF('Control Solar 1er Sem'!$H$4&lt;0,BK167*SIN(RADIANS(BL167)),BK159*SIN(RADIANS(BL159)))</f>
        <v>-2.5063175768944319</v>
      </c>
      <c r="BM175" s="33">
        <f>IF('Control Solar 1er Sem'!$H$4&lt;0,BM167*COS(RADIANS(BN167)),BM159*COS(RADIANS(BN159)))</f>
        <v>-1.5435540171470263</v>
      </c>
      <c r="BN175" s="49">
        <f>IF('Control Solar 1er Sem'!$H$4&lt;0,BM167*SIN(RADIANS(BN167)),BM159*SIN(RADIANS(BN159)))</f>
        <v>-2.4338374353420638</v>
      </c>
      <c r="BO175" s="33">
        <f>IF('Control Solar 1er Sem'!$H$4&lt;0,BO167*COS(RADIANS(BP167)),BO159*COS(RADIANS(BP159)))</f>
        <v>-3.0773552908954072</v>
      </c>
      <c r="BP175" s="49">
        <f>IF('Control Solar 1er Sem'!$H$4&lt;0,BO167*SIN(RADIANS(BP167)),BO159*SIN(RADIANS(BP159)))</f>
        <v>-2.2128940080973152</v>
      </c>
      <c r="BQ175" s="33">
        <f>IF('Control Solar 1er Sem'!$H$4&lt;0,BQ167*COS(RADIANS(BR167)),BQ159*COS(RADIANS(BR159)))</f>
        <v>-4.5898087062962007</v>
      </c>
      <c r="BR175" s="49">
        <f>IF('Control Solar 1er Sem'!$H$4&lt;0,BQ167*SIN(RADIANS(BR167)),BQ159*SIN(RADIANS(BR159)))</f>
        <v>-1.8324364394971169</v>
      </c>
      <c r="BS175" s="33">
        <f>IF('Control Solar 1er Sem'!$H$4&lt;0,BS167*COS(RADIANS(BT167)),BS159*COS(RADIANS(BT159)))</f>
        <v>-6.0649626831945911</v>
      </c>
      <c r="BT175" s="49">
        <f>IF('Control Solar 1er Sem'!$H$4&lt;0,BS167*SIN(RADIANS(BT167)),BS159*SIN(RADIANS(BT159)))</f>
        <v>-1.2721013335297828</v>
      </c>
      <c r="BU175" s="33">
        <f>IF('Control Solar 1er Sem'!$H$4&lt;0,BU167*COS(RADIANS(BV167)),BU159*COS(RADIANS(BV159)))</f>
        <v>-7.4782579609816162</v>
      </c>
      <c r="BV175" s="49">
        <f>IF('Control Solar 1er Sem'!$H$4&lt;0,BU167*SIN(RADIANS(BV167)),BU159*SIN(RADIANS(BV159)))</f>
        <v>-0.49877504340215972</v>
      </c>
      <c r="BW175" s="33">
        <f>IF('Control Solar 1er Sem'!$H$4&lt;0,BW167*COS(RADIANS(BX167)),BW159*COS(RADIANS(BX159)))</f>
        <v>-8.7883582682606036</v>
      </c>
      <c r="BX175" s="49">
        <f>IF('Control Solar 1er Sem'!$H$4&lt;0,BW167*SIN(RADIANS(BX167)),BW159*SIN(RADIANS(BX159)))</f>
        <v>0.53934028205281592</v>
      </c>
      <c r="BY175" s="33">
        <f>IF('Control Solar 1er Sem'!$H$4&lt;0,BY167*COS(RADIANS(BZ167)),BY159*COS(RADIANS(BZ159)))</f>
        <v>0</v>
      </c>
      <c r="BZ175" s="49">
        <f>IF('Control Solar 1er Sem'!$H$4&lt;0,BY167*SIN(RADIANS(BZ167)),BY159*SIN(RADIANS(BZ159)))</f>
        <v>0</v>
      </c>
      <c r="CA175" s="33">
        <f>IF('Control Solar 1er Sem'!$H$4&lt;0,CA167*COS(RADIANS(CB167)),CA159*COS(RADIANS(CB159)))</f>
        <v>0</v>
      </c>
      <c r="CB175" s="49">
        <f>IF('Control Solar 1er Sem'!$H$4&lt;0,CA167*SIN(RADIANS(CB167)),CA159*SIN(RADIANS(CB159)))</f>
        <v>0</v>
      </c>
      <c r="CC175" s="33">
        <f>IF('Control Solar 1er Sem'!$H$4&lt;0,CC167*COS(RADIANS(CD167)),CC159*COS(RADIANS(CD159)))</f>
        <v>0</v>
      </c>
      <c r="CD175" s="49">
        <f>IF('Control Solar 1er Sem'!$H$4&lt;0,CC167*SIN(RADIANS(CD167)),CC159*SIN(RADIANS(CD159)))</f>
        <v>0</v>
      </c>
      <c r="CE175" s="33">
        <f>IF('Control Solar 1er Sem'!$H$4&lt;0,CE167*COS(RADIANS(CF167)),CE159*COS(RADIANS(CF159)))</f>
        <v>0</v>
      </c>
      <c r="CF175" s="49">
        <f>IF('Control Solar 1er Sem'!$H$4&lt;0,CE167*SIN(RADIANS(CF167)),CE159*SIN(RADIANS(CF159)))</f>
        <v>0</v>
      </c>
      <c r="CG175" s="33">
        <f>IF('Control Solar 1er Sem'!$H$4&lt;0,CG167*COS(RADIANS(CH167)),CG159*COS(RADIANS(CH159)))</f>
        <v>0</v>
      </c>
      <c r="CH175" s="49">
        <f>IF('Control Solar 1er Sem'!$H$4&lt;0,CG167*SIN(RADIANS(CH167)),CG159*SIN(RADIANS(CH159)))</f>
        <v>0</v>
      </c>
      <c r="CI175" s="33" t="e">
        <f>IF('Control Solar 1er Sem'!$H$4&lt;0,CI167*COS(RADIANS(CJ167)),CI159*COS(RADIANS(CJ159)))</f>
        <v>#NUM!</v>
      </c>
      <c r="CJ175" s="49" t="e">
        <f>IF('Control Solar 1er Sem'!$H$4&lt;0,CI167*SIN(RADIANS(CJ167)),CI159*SIN(RADIANS(CJ159)))</f>
        <v>#NUM!</v>
      </c>
    </row>
    <row r="176" spans="1:88" x14ac:dyDescent="0.25">
      <c r="A176">
        <v>-8.4</v>
      </c>
      <c r="B176">
        <f t="shared" si="219"/>
        <v>3.2310988842807022</v>
      </c>
      <c r="C176">
        <f t="shared" si="220"/>
        <v>-3.2310988842807022</v>
      </c>
      <c r="AB176" s="318"/>
      <c r="AC176" s="315"/>
      <c r="AD176" s="315"/>
      <c r="AE176" s="315"/>
      <c r="AG176" s="319"/>
      <c r="AH176" s="319"/>
      <c r="AI176" s="319"/>
      <c r="AJ176" s="319"/>
      <c r="AK176" s="7"/>
      <c r="AL176" s="7"/>
      <c r="AN176" t="s">
        <v>101</v>
      </c>
      <c r="AO176" s="35">
        <f>IF('Control Solar 1er Sem'!$H$4&lt;0,AO168*COS(RADIANS(AP168)),AO160*COS(RADIANS(AP160)))</f>
        <v>0</v>
      </c>
      <c r="AP176" s="49">
        <f>IF('Control Solar 1er Sem'!$H$4&lt;0,AO168*SIN(RADIANS(AP168)),AO160*SIN(RADIANS(AP160)))</f>
        <v>0</v>
      </c>
      <c r="AQ176" s="33">
        <f>IF('Control Solar 1er Sem'!$H$4&lt;0,AQ168*COS(RADIANS(AR168)),AQ160*COS(RADIANS(AR160)))</f>
        <v>0</v>
      </c>
      <c r="AR176" s="49">
        <f>IF('Control Solar 1er Sem'!$H$4&lt;0,AQ168*SIN(RADIANS(AR168)),AQ160*SIN(RADIANS(AR160)))</f>
        <v>0</v>
      </c>
      <c r="AS176" s="33">
        <f>IF('Control Solar 1er Sem'!$H$4&lt;0,AS168*COS(RADIANS(AT168)),AS160*COS(RADIANS(AT160)))</f>
        <v>0</v>
      </c>
      <c r="AT176" s="49">
        <f>IF('Control Solar 1er Sem'!$H$4&lt;0,AS168*SIN(RADIANS(AT168)),AS160*SIN(RADIANS(AT160)))</f>
        <v>0</v>
      </c>
      <c r="AU176" s="33">
        <f>IF('Control Solar 1er Sem'!$H$4&lt;0,AU168*COS(RADIANS(AV168)),AU160*COS(RADIANS(AV160)))</f>
        <v>0</v>
      </c>
      <c r="AV176" s="49">
        <f>IF('Control Solar 1er Sem'!$H$4&lt;0,AU168*SIN(RADIANS(AV168)),AU160*SIN(RADIANS(AV160)))</f>
        <v>0</v>
      </c>
      <c r="AW176" s="33">
        <f>IF('Control Solar 1er Sem'!$H$4&lt;0,AW168*COS(RADIANS(AX168)),AW160*COS(RADIANS(AX160)))</f>
        <v>0</v>
      </c>
      <c r="AX176" s="49">
        <f>IF('Control Solar 1er Sem'!$H$4&lt;0,AW168*SIN(RADIANS(AX168)),AW160*SIN(RADIANS(AX160)))</f>
        <v>0</v>
      </c>
      <c r="AY176" s="33">
        <f>IF('Control Solar 1er Sem'!$H$4&lt;0,AY168*COS(RADIANS(AZ168)),AY160*COS(RADIANS(AZ160)))</f>
        <v>8.0667743759958661</v>
      </c>
      <c r="AZ176" s="49">
        <f>IF('Control Solar 1er Sem'!$H$4&lt;0,AY168*SIN(RADIANS(AZ168)),AY160*SIN(RADIANS(AZ160)))</f>
        <v>1.8759482527650697</v>
      </c>
      <c r="BA176" s="33">
        <f>IF('Control Solar 1er Sem'!$H$4&lt;0,BA168*COS(RADIANS(BB168)),BA160*COS(RADIANS(BB160)))</f>
        <v>6.9482491884736275</v>
      </c>
      <c r="BB176" s="49">
        <f>IF('Control Solar 1er Sem'!$H$4&lt;0,BA168*SIN(RADIANS(BB168)),BA160*SIN(RADIANS(BB160)))</f>
        <v>0.76795237286723683</v>
      </c>
      <c r="BC176" s="33">
        <f>IF('Control Solar 1er Sem'!$H$4&lt;0,BC168*COS(RADIANS(BD168)),BC160*COS(RADIANS(BD160)))</f>
        <v>5.681673954671612</v>
      </c>
      <c r="BD176" s="49">
        <f>IF('Control Solar 1er Sem'!$H$4&lt;0,BC168*SIN(RADIANS(BD168)),BC160*SIN(RADIANS(BD160)))</f>
        <v>-6.8641989673889181E-2</v>
      </c>
      <c r="BE176" s="33">
        <f>IF('Control Solar 1er Sem'!$H$4&lt;0,BE168*COS(RADIANS(BF168)),BE160*COS(RADIANS(BF160)))</f>
        <v>4.3235372056031043</v>
      </c>
      <c r="BF176" s="49">
        <f>IF('Control Solar 1er Sem'!$H$4&lt;0,BE168*SIN(RADIANS(BF168)),BE160*SIN(RADIANS(BF160)))</f>
        <v>-0.67945035312016167</v>
      </c>
      <c r="BG176" s="33">
        <f>IF('Control Solar 1er Sem'!$H$4&lt;0,BG168*COS(RADIANS(BH168)),BG160*COS(RADIANS(BH160)))</f>
        <v>2.9090953902894121</v>
      </c>
      <c r="BH176" s="49">
        <f>IF('Control Solar 1er Sem'!$H$4&lt;0,BG168*SIN(RADIANS(BH168)),BG160*SIN(RADIANS(BH160)))</f>
        <v>-1.0959270054663139</v>
      </c>
      <c r="BI176" s="33">
        <f>IF('Control Solar 1er Sem'!$H$4&lt;0,BI168*COS(RADIANS(BJ168)),BI160*COS(RADIANS(BJ160)))</f>
        <v>1.462043764537692</v>
      </c>
      <c r="BJ176" s="49">
        <f>IF('Control Solar 1er Sem'!$H$4&lt;0,BI168*SIN(RADIANS(BJ168)),BI160*SIN(RADIANS(BJ160)))</f>
        <v>-1.3383201044311768</v>
      </c>
      <c r="BK176" s="33">
        <f>IF('Control Solar 1er Sem'!$H$4&lt;0,BK168*COS(RADIANS(BL168)),BK160*COS(RADIANS(BL160)))</f>
        <v>8.6857589127052893E-17</v>
      </c>
      <c r="BL176" s="49">
        <f>IF('Control Solar 1er Sem'!$H$4&lt;0,BK168*SIN(RADIANS(BL168)),BK160*SIN(RADIANS(BL160)))</f>
        <v>-1.417911254412533</v>
      </c>
      <c r="BM176" s="33">
        <f>IF('Control Solar 1er Sem'!$H$4&lt;0,BM168*COS(RADIANS(BN168)),BM160*COS(RADIANS(BN160)))</f>
        <v>-1.4620437645376916</v>
      </c>
      <c r="BN176" s="49">
        <f>IF('Control Solar 1er Sem'!$H$4&lt;0,BM168*SIN(RADIANS(BN168)),BM160*SIN(RADIANS(BN160)))</f>
        <v>-1.338320104431177</v>
      </c>
      <c r="BO176" s="33">
        <f>IF('Control Solar 1er Sem'!$H$4&lt;0,BO168*COS(RADIANS(BP168)),BO160*COS(RADIANS(BP160)))</f>
        <v>-2.9090953902894121</v>
      </c>
      <c r="BP176" s="49">
        <f>IF('Control Solar 1er Sem'!$H$4&lt;0,BO168*SIN(RADIANS(BP168)),BO160*SIN(RADIANS(BP160)))</f>
        <v>-1.0959270054663137</v>
      </c>
      <c r="BQ176" s="33">
        <f>IF('Control Solar 1er Sem'!$H$4&lt;0,BQ168*COS(RADIANS(BR168)),BQ160*COS(RADIANS(BR160)))</f>
        <v>-4.3235372056031043</v>
      </c>
      <c r="BR176" s="49">
        <f>IF('Control Solar 1er Sem'!$H$4&lt;0,BQ168*SIN(RADIANS(BR168)),BQ160*SIN(RADIANS(BR160)))</f>
        <v>-0.67945035312016244</v>
      </c>
      <c r="BS176" s="33">
        <f>IF('Control Solar 1er Sem'!$H$4&lt;0,BS168*COS(RADIANS(BT168)),BS160*COS(RADIANS(BT160)))</f>
        <v>-5.681673954671612</v>
      </c>
      <c r="BT176" s="49">
        <f>IF('Control Solar 1er Sem'!$H$4&lt;0,BS168*SIN(RADIANS(BT168)),BS160*SIN(RADIANS(BT160)))</f>
        <v>-6.8641989673888751E-2</v>
      </c>
      <c r="BU176" s="33">
        <f>IF('Control Solar 1er Sem'!$H$4&lt;0,BU168*COS(RADIANS(BV168)),BU160*COS(RADIANS(BV160)))</f>
        <v>-6.9482491884736284</v>
      </c>
      <c r="BV176" s="49">
        <f>IF('Control Solar 1er Sem'!$H$4&lt;0,BU168*SIN(RADIANS(BV168)),BU160*SIN(RADIANS(BV160)))</f>
        <v>0.76795237286723794</v>
      </c>
      <c r="BW176" s="33">
        <f>IF('Control Solar 1er Sem'!$H$4&lt;0,BW168*COS(RADIANS(BX168)),BW160*COS(RADIANS(BX160)))</f>
        <v>-8.0667743759958661</v>
      </c>
      <c r="BX176" s="49">
        <f>IF('Control Solar 1er Sem'!$H$4&lt;0,BW168*SIN(RADIANS(BX168)),BW160*SIN(RADIANS(BX160)))</f>
        <v>1.8759482527650715</v>
      </c>
      <c r="BY176" s="33">
        <f>IF('Control Solar 1er Sem'!$H$4&lt;0,BY168*COS(RADIANS(BZ168)),BY160*COS(RADIANS(BZ160)))</f>
        <v>0</v>
      </c>
      <c r="BZ176" s="49">
        <f>IF('Control Solar 1er Sem'!$H$4&lt;0,BY168*SIN(RADIANS(BZ168)),BY160*SIN(RADIANS(BZ160)))</f>
        <v>0</v>
      </c>
      <c r="CA176" s="33">
        <f>IF('Control Solar 1er Sem'!$H$4&lt;0,CA168*COS(RADIANS(CB168)),CA160*COS(RADIANS(CB160)))</f>
        <v>0</v>
      </c>
      <c r="CB176" s="49">
        <f>IF('Control Solar 1er Sem'!$H$4&lt;0,CA168*SIN(RADIANS(CB168)),CA160*SIN(RADIANS(CB160)))</f>
        <v>0</v>
      </c>
      <c r="CC176" s="33">
        <f>IF('Control Solar 1er Sem'!$H$4&lt;0,CC168*COS(RADIANS(CD168)),CC160*COS(RADIANS(CD160)))</f>
        <v>0</v>
      </c>
      <c r="CD176" s="49">
        <f>IF('Control Solar 1er Sem'!$H$4&lt;0,CC168*SIN(RADIANS(CD168)),CC160*SIN(RADIANS(CD160)))</f>
        <v>0</v>
      </c>
      <c r="CE176" s="33">
        <f>IF('Control Solar 1er Sem'!$H$4&lt;0,CE168*COS(RADIANS(CF168)),CE160*COS(RADIANS(CF160)))</f>
        <v>0</v>
      </c>
      <c r="CF176" s="49">
        <f>IF('Control Solar 1er Sem'!$H$4&lt;0,CE168*SIN(RADIANS(CF168)),CE160*SIN(RADIANS(CF160)))</f>
        <v>0</v>
      </c>
      <c r="CG176" s="33">
        <f>IF('Control Solar 1er Sem'!$H$4&lt;0,CG168*COS(RADIANS(CH168)),CG160*COS(RADIANS(CH160)))</f>
        <v>0</v>
      </c>
      <c r="CH176" s="49">
        <f>IF('Control Solar 1er Sem'!$H$4&lt;0,CG168*SIN(RADIANS(CH168)),CG160*SIN(RADIANS(CH160)))</f>
        <v>0</v>
      </c>
      <c r="CI176" s="33" t="e">
        <f>IF('Control Solar 1er Sem'!$H$4&lt;0,CI168*COS(RADIANS(CJ168)),CI160*COS(RADIANS(CJ160)))</f>
        <v>#NUM!</v>
      </c>
      <c r="CJ176" s="49" t="e">
        <f>IF('Control Solar 1er Sem'!$H$4&lt;0,CI168*SIN(RADIANS(CJ168)),CI160*SIN(RADIANS(CJ160)))</f>
        <v>#NUM!</v>
      </c>
    </row>
    <row r="177" spans="1:88" x14ac:dyDescent="0.25">
      <c r="A177">
        <v>-8.5</v>
      </c>
      <c r="B177">
        <f t="shared" si="219"/>
        <v>2.9580398915498081</v>
      </c>
      <c r="C177">
        <f t="shared" si="220"/>
        <v>-2.9580398915498081</v>
      </c>
      <c r="AC177" s="38">
        <v>180</v>
      </c>
      <c r="AD177" s="38">
        <v>0</v>
      </c>
      <c r="AE177" s="38">
        <v>90</v>
      </c>
      <c r="AG177">
        <f t="shared" ref="AG177:AG182" si="269">IF((9-(AD177/10))&gt;9,9,9-(AD177/10))</f>
        <v>9</v>
      </c>
      <c r="AH177">
        <f t="shared" ref="AH177:AH182" si="270">IF((9-(AD177/10))&gt;9,90-(180-DEGREES(ACOS((((SIN(RADIANS(0)))*SIN(RADIANS($AE$174)))-SIN(RADIANS($AD$174)))/((COS(RADIANS(0)))*COS(RADIANS($AE$174))))))+$AH$172,90-AE177+$AH$172)</f>
        <v>0</v>
      </c>
      <c r="AI177" s="7">
        <f t="shared" ref="AI177:AI182" si="271">IF(AG177&gt;9,AI178,AG177*COS(RADIANS(AH177)))</f>
        <v>9</v>
      </c>
      <c r="AJ177" s="7">
        <f t="shared" ref="AJ177:AJ182" si="272">IF(AG177&gt;9,AJ178,AG177*SIN(RADIANS(AH177)))</f>
        <v>0</v>
      </c>
      <c r="AK177" s="42"/>
      <c r="AN177" t="s">
        <v>100</v>
      </c>
      <c r="AO177" s="35">
        <f>IF('Control Solar 1er Sem'!$H$4&lt;0,AO169*COS(RADIANS(AP169)),AO161*COS(RADIANS(AP161)))</f>
        <v>0</v>
      </c>
      <c r="AP177" s="49">
        <f>IF('Control Solar 1er Sem'!$H$4&lt;0,AO169*SIN(RADIANS(AP169)),AO161*SIN(RADIANS(AP161)))</f>
        <v>0</v>
      </c>
      <c r="AQ177" s="33">
        <f>IF('Control Solar 1er Sem'!$H$4&lt;0,AQ169*COS(RADIANS(AR169)),AQ161*COS(RADIANS(AR161)))</f>
        <v>0</v>
      </c>
      <c r="AR177" s="49">
        <f>IF('Control Solar 1er Sem'!$H$4&lt;0,AQ169*SIN(RADIANS(AR169)),AQ161*SIN(RADIANS(AR161)))</f>
        <v>0</v>
      </c>
      <c r="AS177" s="33">
        <f>IF('Control Solar 1er Sem'!$H$4&lt;0,AS169*COS(RADIANS(AT169)),AS161*COS(RADIANS(AT161)))</f>
        <v>0</v>
      </c>
      <c r="AT177" s="49">
        <f>IF('Control Solar 1er Sem'!$H$4&lt;0,AS169*SIN(RADIANS(AT169)),AS161*SIN(RADIANS(AT161)))</f>
        <v>0</v>
      </c>
      <c r="AU177" s="33">
        <f>IF('Control Solar 1er Sem'!$H$4&lt;0,AU169*COS(RADIANS(AV169)),AU161*COS(RADIANS(AV161)))</f>
        <v>0</v>
      </c>
      <c r="AV177" s="49">
        <f>IF('Control Solar 1er Sem'!$H$4&lt;0,AU169*SIN(RADIANS(AV169)),AU161*SIN(RADIANS(AV161)))</f>
        <v>0</v>
      </c>
      <c r="AW177" s="33">
        <f>IF('Control Solar 1er Sem'!$H$4&lt;0,AW169*COS(RADIANS(AX169)),AW161*COS(RADIANS(AX161)))</f>
        <v>0</v>
      </c>
      <c r="AX177" s="49">
        <f>IF('Control Solar 1er Sem'!$H$4&lt;0,AW169*SIN(RADIANS(AX169)),AW161*SIN(RADIANS(AX161)))</f>
        <v>0</v>
      </c>
      <c r="AY177" s="33">
        <f>IF('Control Solar 1er Sem'!$H$4&lt;0,AY169*COS(RADIANS(AZ169)),AY161*COS(RADIANS(AZ161)))</f>
        <v>7.4939503996922818</v>
      </c>
      <c r="AZ177" s="49">
        <f>IF('Control Solar 1er Sem'!$H$4&lt;0,AY169*SIN(RADIANS(AZ169)),AY161*SIN(RADIANS(AZ161)))</f>
        <v>2.6513500426204568</v>
      </c>
      <c r="BA177" s="33">
        <f>IF('Control Solar 1er Sem'!$H$4&lt;0,BA169*COS(RADIANS(BB169)),BA161*COS(RADIANS(BB161)))</f>
        <v>6.5128329273581409</v>
      </c>
      <c r="BB177" s="49">
        <f>IF('Control Solar 1er Sem'!$H$4&lt;0,BA169*SIN(RADIANS(BB169)),BA161*SIN(RADIANS(BB161)))</f>
        <v>1.5373408369743471</v>
      </c>
      <c r="BC177" s="33">
        <f>IF('Control Solar 1er Sem'!$H$4&lt;0,BC169*COS(RADIANS(BD169)),BC161*COS(RADIANS(BD161)))</f>
        <v>5.3589112820436533</v>
      </c>
      <c r="BD177" s="49">
        <f>IF('Control Solar 1er Sem'!$H$4&lt;0,BC169*SIN(RADIANS(BD169)),BC161*SIN(RADIANS(BD161)))</f>
        <v>0.68552167573681078</v>
      </c>
      <c r="BE177" s="33">
        <f>IF('Control Solar 1er Sem'!$H$4&lt;0,BE169*COS(RADIANS(BF169)),BE161*COS(RADIANS(BF161)))</f>
        <v>4.0953514088422205</v>
      </c>
      <c r="BF177" s="49">
        <f>IF('Control Solar 1er Sem'!$H$4&lt;0,BE169*SIN(RADIANS(BF169)),BE161*SIN(RADIANS(BF161)))</f>
        <v>5.8631501008162723E-2</v>
      </c>
      <c r="BG177" s="33">
        <f>IF('Control Solar 1er Sem'!$H$4&lt;0,BG169*COS(RADIANS(BH169)),BG161*COS(RADIANS(BH161)))</f>
        <v>2.7632024243694069</v>
      </c>
      <c r="BH177" s="49">
        <f>IF('Control Solar 1er Sem'!$H$4&lt;0,BG169*SIN(RADIANS(BH169)),BG161*SIN(RADIANS(BH161)))</f>
        <v>-0.37090968772972588</v>
      </c>
      <c r="BI177" s="33">
        <f>IF('Control Solar 1er Sem'!$H$4&lt;0,BI169*COS(RADIANS(BJ169)),BI161*COS(RADIANS(BJ161)))</f>
        <v>1.390890301003268</v>
      </c>
      <c r="BJ177" s="49">
        <f>IF('Control Solar 1er Sem'!$H$4&lt;0,BI169*SIN(RADIANS(BJ169)),BI161*SIN(RADIANS(BJ161)))</f>
        <v>-0.62161206557584159</v>
      </c>
      <c r="BK177" s="33">
        <f>IF('Control Solar 1er Sem'!$H$4&lt;0,BK169*COS(RADIANS(BL169)),BK161*COS(RADIANS(BL161)))</f>
        <v>4.312752546919713E-17</v>
      </c>
      <c r="BL177" s="49">
        <f>IF('Control Solar 1er Sem'!$H$4&lt;0,BK169*SIN(RADIANS(BL169)),BK161*SIN(RADIANS(BL161)))</f>
        <v>-0.70403754412625652</v>
      </c>
      <c r="BM177" s="33">
        <f>IF('Control Solar 1er Sem'!$H$4&lt;0,BM169*COS(RADIANS(BN169)),BM161*COS(RADIANS(BN161)))</f>
        <v>-1.390890301003268</v>
      </c>
      <c r="BN177" s="49">
        <f>IF('Control Solar 1er Sem'!$H$4&lt;0,BM169*SIN(RADIANS(BN169)),BM161*SIN(RADIANS(BN161)))</f>
        <v>-0.62161206557584281</v>
      </c>
      <c r="BO177" s="33">
        <f>IF('Control Solar 1er Sem'!$H$4&lt;0,BO169*COS(RADIANS(BP169)),BO161*COS(RADIANS(BP161)))</f>
        <v>-2.7632024243694078</v>
      </c>
      <c r="BP177" s="49">
        <f>IF('Control Solar 1er Sem'!$H$4&lt;0,BO169*SIN(RADIANS(BP169)),BO161*SIN(RADIANS(BP161)))</f>
        <v>-0.37090968772972532</v>
      </c>
      <c r="BQ177" s="33">
        <f>IF('Control Solar 1er Sem'!$H$4&lt;0,BQ169*COS(RADIANS(BR169)),BQ161*COS(RADIANS(BR161)))</f>
        <v>-4.0953514088422205</v>
      </c>
      <c r="BR177" s="49">
        <f>IF('Control Solar 1er Sem'!$H$4&lt;0,BQ169*SIN(RADIANS(BR169)),BQ161*SIN(RADIANS(BR161)))</f>
        <v>5.8631501008163472E-2</v>
      </c>
      <c r="BS177" s="33">
        <f>IF('Control Solar 1er Sem'!$H$4&lt;0,BS169*COS(RADIANS(BT169)),BS161*COS(RADIANS(BT161)))</f>
        <v>-5.3589112820436533</v>
      </c>
      <c r="BT177" s="49">
        <f>IF('Control Solar 1er Sem'!$H$4&lt;0,BS169*SIN(RADIANS(BT169)),BS161*SIN(RADIANS(BT161)))</f>
        <v>0.68552167573681033</v>
      </c>
      <c r="BU177" s="33">
        <f>IF('Control Solar 1er Sem'!$H$4&lt;0,BU169*COS(RADIANS(BV169)),BU161*COS(RADIANS(BV161)))</f>
        <v>-6.5128329273581409</v>
      </c>
      <c r="BV177" s="49">
        <f>IF('Control Solar 1er Sem'!$H$4&lt;0,BU169*SIN(RADIANS(BV169)),BU161*SIN(RADIANS(BV161)))</f>
        <v>1.5373408369743473</v>
      </c>
      <c r="BW177" s="33">
        <f>IF('Control Solar 1er Sem'!$H$4&lt;0,BW169*COS(RADIANS(BX169)),BW161*COS(RADIANS(BX161)))</f>
        <v>-7.4939503996922818</v>
      </c>
      <c r="BX177" s="49">
        <f>IF('Control Solar 1er Sem'!$H$4&lt;0,BW169*SIN(RADIANS(BX169)),BW161*SIN(RADIANS(BX161)))</f>
        <v>2.6513500426204546</v>
      </c>
      <c r="BY177" s="33">
        <f>IF('Control Solar 1er Sem'!$H$4&lt;0,BY169*COS(RADIANS(BZ169)),BY161*COS(RADIANS(BZ161)))</f>
        <v>0</v>
      </c>
      <c r="BZ177" s="49">
        <f>IF('Control Solar 1er Sem'!$H$4&lt;0,BY169*SIN(RADIANS(BZ169)),BY161*SIN(RADIANS(BZ161)))</f>
        <v>0</v>
      </c>
      <c r="CA177" s="33">
        <f>IF('Control Solar 1er Sem'!$H$4&lt;0,CA169*COS(RADIANS(CB169)),CA161*COS(RADIANS(CB161)))</f>
        <v>0</v>
      </c>
      <c r="CB177" s="49">
        <f>IF('Control Solar 1er Sem'!$H$4&lt;0,CA169*SIN(RADIANS(CB169)),CA161*SIN(RADIANS(CB161)))</f>
        <v>0</v>
      </c>
      <c r="CC177" s="33">
        <f>IF('Control Solar 1er Sem'!$H$4&lt;0,CC169*COS(RADIANS(CD169)),CC161*COS(RADIANS(CD161)))</f>
        <v>0</v>
      </c>
      <c r="CD177" s="49">
        <f>IF('Control Solar 1er Sem'!$H$4&lt;0,CC169*SIN(RADIANS(CD169)),CC161*SIN(RADIANS(CD161)))</f>
        <v>0</v>
      </c>
      <c r="CE177" s="33">
        <f>IF('Control Solar 1er Sem'!$H$4&lt;0,CE169*COS(RADIANS(CF169)),CE161*COS(RADIANS(CF161)))</f>
        <v>0</v>
      </c>
      <c r="CF177" s="49">
        <f>IF('Control Solar 1er Sem'!$H$4&lt;0,CE169*SIN(RADIANS(CF169)),CE161*SIN(RADIANS(CF161)))</f>
        <v>0</v>
      </c>
      <c r="CG177" s="33">
        <f>IF('Control Solar 1er Sem'!$H$4&lt;0,CG169*COS(RADIANS(CH169)),CG161*COS(RADIANS(CH161)))</f>
        <v>0</v>
      </c>
      <c r="CH177" s="49">
        <f>IF('Control Solar 1er Sem'!$H$4&lt;0,CG169*SIN(RADIANS(CH169)),CG161*SIN(RADIANS(CH161)))</f>
        <v>0</v>
      </c>
      <c r="CI177" s="33" t="e">
        <f>IF('Control Solar 1er Sem'!$H$4&lt;0,CI169*COS(RADIANS(CJ169)),CI161*COS(RADIANS(CJ161)))</f>
        <v>#NUM!</v>
      </c>
      <c r="CJ177" s="49" t="e">
        <f>IF('Control Solar 1er Sem'!$H$4&lt;0,CI169*SIN(RADIANS(CJ169)),CI161*SIN(RADIANS(CJ161)))</f>
        <v>#NUM!</v>
      </c>
    </row>
    <row r="178" spans="1:88" x14ac:dyDescent="0.25">
      <c r="A178">
        <v>-8.6</v>
      </c>
      <c r="B178">
        <f t="shared" si="219"/>
        <v>2.6532998322843211</v>
      </c>
      <c r="C178">
        <f t="shared" si="220"/>
        <v>-2.6532998322843211</v>
      </c>
      <c r="AB178" s="39">
        <v>4.1666666666666699E-2</v>
      </c>
      <c r="AC178" s="38">
        <v>165</v>
      </c>
      <c r="AD178" s="38">
        <f t="shared" ref="AD178:AD209" si="273">+DEGREES(ASIN(COS(RADIANS($AE$174))*COS(RADIANS($AD$174))*COS(RADIANS(AC178))+SIN(RADIANS($AE$174))*SIN(RADIANS($AD$174))))</f>
        <v>-57.142026120888801</v>
      </c>
      <c r="AE178" s="38">
        <f t="shared" ref="AE178:AE206" si="274">180-DEGREES(ACOS((((SIN(RADIANS(AD178)))*SIN(RADIANS($AE$174)))-SIN(RADIANS($AD$174)))/((COS(RADIANS(AD178)))*COS(RADIANS($AE$174)))))</f>
        <v>28.491120897585603</v>
      </c>
      <c r="AG178">
        <f t="shared" si="269"/>
        <v>9</v>
      </c>
      <c r="AH178">
        <f t="shared" si="270"/>
        <v>-0.46609985475278393</v>
      </c>
      <c r="AI178" s="7">
        <f t="shared" si="271"/>
        <v>8.9997022013058103</v>
      </c>
      <c r="AJ178" s="7">
        <f t="shared" si="272"/>
        <v>-7.3213986446229368E-2</v>
      </c>
      <c r="AK178" s="43"/>
      <c r="AN178" t="s">
        <v>99</v>
      </c>
      <c r="AO178" s="35">
        <f>IF('Control Solar 1er Sem'!$H$4&lt;0,AO170*COS(RADIANS(AP170)),AO162*COS(RADIANS(AP162)))</f>
        <v>0</v>
      </c>
      <c r="AP178" s="49">
        <f>IF('Control Solar 1er Sem'!$H$4&lt;0,AO170*SIN(RADIANS(AP170)),AO162*SIN(RADIANS(AP162)))</f>
        <v>0</v>
      </c>
      <c r="AQ178" s="33">
        <f>IF('Control Solar 1er Sem'!$H$4&lt;0,AQ170*COS(RADIANS(AR170)),AQ162*COS(RADIANS(AR162)))</f>
        <v>0</v>
      </c>
      <c r="AR178" s="49">
        <f>IF('Control Solar 1er Sem'!$H$4&lt;0,AQ170*SIN(RADIANS(AR170)),AQ162*SIN(RADIANS(AR162)))</f>
        <v>0</v>
      </c>
      <c r="AS178" s="33">
        <f>IF('Control Solar 1er Sem'!$H$4&lt;0,AS170*COS(RADIANS(AT170)),AS162*COS(RADIANS(AT162)))</f>
        <v>0</v>
      </c>
      <c r="AT178" s="49">
        <f>IF('Control Solar 1er Sem'!$H$4&lt;0,AS170*SIN(RADIANS(AT170)),AS162*SIN(RADIANS(AT162)))</f>
        <v>0</v>
      </c>
      <c r="AU178" s="33">
        <f>IF('Control Solar 1er Sem'!$H$4&lt;0,AU170*COS(RADIANS(AV170)),AU162*COS(RADIANS(AV162)))</f>
        <v>0</v>
      </c>
      <c r="AV178" s="49">
        <f>IF('Control Solar 1er Sem'!$H$4&lt;0,AU170*SIN(RADIANS(AV170)),AU162*SIN(RADIANS(AV162)))</f>
        <v>0</v>
      </c>
      <c r="AW178" s="33">
        <f>IF('Control Solar 1er Sem'!$H$4&lt;0,AW170*COS(RADIANS(AX170)),AW162*COS(RADIANS(AX162)))</f>
        <v>0</v>
      </c>
      <c r="AX178" s="49">
        <f>IF('Control Solar 1er Sem'!$H$4&lt;0,AW170*SIN(RADIANS(AX170)),AW162*SIN(RADIANS(AX162)))</f>
        <v>0</v>
      </c>
      <c r="AY178" s="33">
        <f>IF('Control Solar 1er Sem'!$H$4&lt;0,AY170*COS(RADIANS(AZ170)),AY162*COS(RADIANS(AZ162)))</f>
        <v>7.3728011230173927</v>
      </c>
      <c r="AZ178" s="49">
        <f>IF('Control Solar 1er Sem'!$H$4&lt;0,AY170*SIN(RADIANS(AZ170)),AY162*SIN(RADIANS(AZ162)))</f>
        <v>2.7949575952418422</v>
      </c>
      <c r="BA178" s="33">
        <f>IF('Control Solar 1er Sem'!$H$4&lt;0,BA170*COS(RADIANS(BB170)),BA162*COS(RADIANS(BB162)))</f>
        <v>6.4193538234426146</v>
      </c>
      <c r="BB178" s="49">
        <f>IF('Control Solar 1er Sem'!$H$4&lt;0,BA170*SIN(RADIANS(BB170)),BA162*SIN(RADIANS(BB162)))</f>
        <v>1.6833583727711794</v>
      </c>
      <c r="BC178" s="33">
        <f>IF('Control Solar 1er Sem'!$H$4&lt;0,BC170*COS(RADIANS(BD170)),BC162*COS(RADIANS(BD162)))</f>
        <v>5.2888743491714614</v>
      </c>
      <c r="BD178" s="49">
        <f>IF('Control Solar 1er Sem'!$H$4&lt;0,BC170*SIN(RADIANS(BD170)),BC162*SIN(RADIANS(BD162)))</f>
        <v>0.8310199575527939</v>
      </c>
      <c r="BE178" s="33">
        <f>IF('Control Solar 1er Sem'!$H$4&lt;0,BE170*COS(RADIANS(BF170)),BE162*COS(RADIANS(BF162)))</f>
        <v>4.0454667905311457</v>
      </c>
      <c r="BF178" s="49">
        <f>IF('Control Solar 1er Sem'!$H$4&lt;0,BE170*SIN(RADIANS(BF170)),BE162*SIN(RADIANS(BF162)))</f>
        <v>0.20261451930685961</v>
      </c>
      <c r="BG178" s="33">
        <f>IF('Control Solar 1er Sem'!$H$4&lt;0,BG170*COS(RADIANS(BH170)),BG162*COS(RADIANS(BH162)))</f>
        <v>2.731150994716121</v>
      </c>
      <c r="BH178" s="49">
        <f>IF('Control Solar 1er Sem'!$H$4&lt;0,BG170*SIN(RADIANS(BH170)),BG162*SIN(RADIANS(BH162)))</f>
        <v>-0.22845695384356918</v>
      </c>
      <c r="BI178" s="33">
        <f>IF('Control Solar 1er Sem'!$H$4&lt;0,BI170*COS(RADIANS(BJ170)),BI162*COS(RADIANS(BJ162)))</f>
        <v>1.3752146338471711</v>
      </c>
      <c r="BJ178" s="49">
        <f>IF('Control Solar 1er Sem'!$H$4&lt;0,BI170*SIN(RADIANS(BJ170)),BI162*SIN(RADIANS(BJ162)))</f>
        <v>-0.48022136807352639</v>
      </c>
      <c r="BK178" s="33">
        <f>IF('Control Solar 1er Sem'!$H$4&lt;0,BK170*COS(RADIANS(BL170)),BK162*COS(RADIANS(BL162)))</f>
        <v>3.4489259230131462E-17</v>
      </c>
      <c r="BL178" s="49">
        <f>IF('Control Solar 1er Sem'!$H$4&lt;0,BK170*SIN(RADIANS(BL170)),BK162*SIN(RADIANS(BL162)))</f>
        <v>-0.56302171531863721</v>
      </c>
      <c r="BM178" s="33">
        <f>IF('Control Solar 1er Sem'!$H$4&lt;0,BM170*COS(RADIANS(BN170)),BM162*COS(RADIANS(BN162)))</f>
        <v>-1.3752146338471709</v>
      </c>
      <c r="BN178" s="49">
        <f>IF('Control Solar 1er Sem'!$H$4&lt;0,BM170*SIN(RADIANS(BN170)),BM162*SIN(RADIANS(BN162)))</f>
        <v>-0.48022136807352689</v>
      </c>
      <c r="BO178" s="33">
        <f>IF('Control Solar 1er Sem'!$H$4&lt;0,BO170*COS(RADIANS(BP170)),BO162*COS(RADIANS(BP162)))</f>
        <v>-2.7311509947161206</v>
      </c>
      <c r="BP178" s="49">
        <f>IF('Control Solar 1er Sem'!$H$4&lt;0,BO170*SIN(RADIANS(BP170)),BO162*SIN(RADIANS(BP162)))</f>
        <v>-0.22845695384356782</v>
      </c>
      <c r="BQ178" s="33">
        <f>IF('Control Solar 1er Sem'!$H$4&lt;0,BQ170*COS(RADIANS(BR170)),BQ162*COS(RADIANS(BR162)))</f>
        <v>-4.0454667905311457</v>
      </c>
      <c r="BR178" s="49">
        <f>IF('Control Solar 1er Sem'!$H$4&lt;0,BQ170*SIN(RADIANS(BR170)),BQ162*SIN(RADIANS(BR162)))</f>
        <v>0.20261451930686047</v>
      </c>
      <c r="BS178" s="33">
        <f>IF('Control Solar 1er Sem'!$H$4&lt;0,BS170*COS(RADIANS(BT170)),BS162*COS(RADIANS(BT162)))</f>
        <v>-5.2888743491714614</v>
      </c>
      <c r="BT178" s="49">
        <f>IF('Control Solar 1er Sem'!$H$4&lt;0,BS170*SIN(RADIANS(BT170)),BS162*SIN(RADIANS(BT162)))</f>
        <v>0.83101995755279434</v>
      </c>
      <c r="BU178" s="33">
        <f>IF('Control Solar 1er Sem'!$H$4&lt;0,BU170*COS(RADIANS(BV170)),BU162*COS(RADIANS(BV162)))</f>
        <v>-6.4193538234426137</v>
      </c>
      <c r="BV178" s="49">
        <f>IF('Control Solar 1er Sem'!$H$4&lt;0,BU170*SIN(RADIANS(BV170)),BU162*SIN(RADIANS(BV162)))</f>
        <v>1.6833583727711807</v>
      </c>
      <c r="BW178" s="33">
        <f>IF('Control Solar 1er Sem'!$H$4&lt;0,BW170*COS(RADIANS(BX170)),BW162*COS(RADIANS(BX162)))</f>
        <v>-7.3728011230173935</v>
      </c>
      <c r="BX178" s="49">
        <f>IF('Control Solar 1er Sem'!$H$4&lt;0,BW170*SIN(RADIANS(BX170)),BW162*SIN(RADIANS(BX162)))</f>
        <v>2.7949575952418435</v>
      </c>
      <c r="BY178" s="33">
        <f>IF('Control Solar 1er Sem'!$H$4&lt;0,BY170*COS(RADIANS(BZ170)),BY162*COS(RADIANS(BZ162)))</f>
        <v>0</v>
      </c>
      <c r="BZ178" s="49">
        <f>IF('Control Solar 1er Sem'!$H$4&lt;0,BY170*SIN(RADIANS(BZ170)),BY162*SIN(RADIANS(BZ162)))</f>
        <v>0</v>
      </c>
      <c r="CA178" s="33">
        <f>IF('Control Solar 1er Sem'!$H$4&lt;0,CA170*COS(RADIANS(CB170)),CA162*COS(RADIANS(CB162)))</f>
        <v>0</v>
      </c>
      <c r="CB178" s="49">
        <f>IF('Control Solar 1er Sem'!$H$4&lt;0,CA170*SIN(RADIANS(CB170)),CA162*SIN(RADIANS(CB162)))</f>
        <v>0</v>
      </c>
      <c r="CC178" s="33">
        <f>IF('Control Solar 1er Sem'!$H$4&lt;0,CC170*COS(RADIANS(CD170)),CC162*COS(RADIANS(CD162)))</f>
        <v>0</v>
      </c>
      <c r="CD178" s="49">
        <f>IF('Control Solar 1er Sem'!$H$4&lt;0,CC170*SIN(RADIANS(CD170)),CC162*SIN(RADIANS(CD162)))</f>
        <v>0</v>
      </c>
      <c r="CE178" s="33">
        <f>IF('Control Solar 1er Sem'!$H$4&lt;0,CE170*COS(RADIANS(CF170)),CE162*COS(RADIANS(CF162)))</f>
        <v>0</v>
      </c>
      <c r="CF178" s="49">
        <f>IF('Control Solar 1er Sem'!$H$4&lt;0,CE170*SIN(RADIANS(CF170)),CE162*SIN(RADIANS(CF162)))</f>
        <v>0</v>
      </c>
      <c r="CG178" s="33">
        <f>IF('Control Solar 1er Sem'!$H$4&lt;0,CG170*COS(RADIANS(CH170)),CG162*COS(RADIANS(CH162)))</f>
        <v>0</v>
      </c>
      <c r="CH178" s="49">
        <f>IF('Control Solar 1er Sem'!$H$4&lt;0,CG170*SIN(RADIANS(CH170)),CG162*SIN(RADIANS(CH162)))</f>
        <v>0</v>
      </c>
      <c r="CI178" s="33">
        <f>IF('Control Solar 1er Sem'!$H$4&lt;0,CI170*COS(RADIANS(CJ170)),CI162*COS(RADIANS(CJ162)))</f>
        <v>0</v>
      </c>
      <c r="CJ178" s="49">
        <f>IF('Control Solar 1er Sem'!$H$4&lt;0,CI170*SIN(RADIANS(CJ170)),CI162*SIN(RADIANS(CJ162)))</f>
        <v>0</v>
      </c>
    </row>
    <row r="179" spans="1:88" x14ac:dyDescent="0.25">
      <c r="A179">
        <v>-8.6999999999999993</v>
      </c>
      <c r="B179">
        <f t="shared" si="219"/>
        <v>2.304343724360586</v>
      </c>
      <c r="C179">
        <f t="shared" si="220"/>
        <v>-2.304343724360586</v>
      </c>
      <c r="AB179" s="39">
        <v>8.3333333333333301E-2</v>
      </c>
      <c r="AC179" s="38">
        <v>150</v>
      </c>
      <c r="AD179" s="38">
        <f t="shared" si="273"/>
        <v>-48.894814772724636</v>
      </c>
      <c r="AE179" s="38">
        <f t="shared" si="274"/>
        <v>49.50854567862288</v>
      </c>
      <c r="AG179">
        <f t="shared" si="269"/>
        <v>9</v>
      </c>
      <c r="AH179">
        <f t="shared" si="270"/>
        <v>-0.46609985475278393</v>
      </c>
      <c r="AI179" s="7">
        <f t="shared" si="271"/>
        <v>8.9997022013058103</v>
      </c>
      <c r="AJ179" s="7">
        <f t="shared" si="272"/>
        <v>-7.3213986446229368E-2</v>
      </c>
      <c r="AK179" s="43"/>
      <c r="AO179" s="326">
        <v>4.1666666666666664E-2</v>
      </c>
      <c r="AP179" s="292"/>
      <c r="AQ179" s="327">
        <v>8.3333333333333301E-2</v>
      </c>
      <c r="AR179" s="292"/>
      <c r="AS179" s="327">
        <v>0.125</v>
      </c>
      <c r="AT179" s="292"/>
      <c r="AU179" s="327">
        <v>0.16666666666666699</v>
      </c>
      <c r="AV179" s="292"/>
      <c r="AW179" s="327">
        <v>0.20833333333333301</v>
      </c>
      <c r="AX179" s="292"/>
      <c r="AY179" s="327">
        <v>0.25</v>
      </c>
      <c r="AZ179" s="292"/>
      <c r="BA179" s="327">
        <v>0.29166666666666702</v>
      </c>
      <c r="BB179" s="292"/>
      <c r="BC179" s="327">
        <v>0.33333333333333298</v>
      </c>
      <c r="BD179" s="292"/>
      <c r="BE179" s="327">
        <v>0.375</v>
      </c>
      <c r="BF179" s="292"/>
      <c r="BG179" s="327">
        <v>0.41666666666666702</v>
      </c>
      <c r="BH179" s="292"/>
      <c r="BI179" s="327">
        <v>0.45833333333333298</v>
      </c>
      <c r="BJ179" s="292"/>
      <c r="BK179" s="327">
        <v>0.5</v>
      </c>
      <c r="BL179" s="292"/>
      <c r="BM179" s="327">
        <v>0.54166666666666696</v>
      </c>
      <c r="BN179" s="292"/>
      <c r="BO179" s="327">
        <v>0.58333333333333304</v>
      </c>
      <c r="BP179" s="292"/>
      <c r="BQ179" s="327">
        <v>0.625</v>
      </c>
      <c r="BR179" s="292"/>
      <c r="BS179" s="327">
        <v>0.66666666666666696</v>
      </c>
      <c r="BT179" s="292"/>
      <c r="BU179" s="327">
        <v>0.70833333333333304</v>
      </c>
      <c r="BV179" s="292"/>
      <c r="BW179" s="327">
        <v>0.75</v>
      </c>
      <c r="BX179" s="292"/>
      <c r="BY179" s="327">
        <v>0.79166666666666696</v>
      </c>
      <c r="BZ179" s="292"/>
      <c r="CA179" s="327">
        <v>0.83333333333333304</v>
      </c>
      <c r="CB179" s="292"/>
      <c r="CC179" s="327">
        <v>0.875</v>
      </c>
      <c r="CD179" s="292"/>
      <c r="CE179" s="327">
        <v>0.91666666666666696</v>
      </c>
      <c r="CF179" s="292"/>
      <c r="CG179" s="327">
        <v>0.95833333333333304</v>
      </c>
      <c r="CH179" s="292"/>
      <c r="CI179" s="327">
        <v>1</v>
      </c>
      <c r="CJ179" s="292"/>
    </row>
    <row r="180" spans="1:88" x14ac:dyDescent="0.25">
      <c r="A180">
        <v>-8.8000000000000007</v>
      </c>
      <c r="B180">
        <f t="shared" si="219"/>
        <v>1.8867962264113176</v>
      </c>
      <c r="C180">
        <f t="shared" si="220"/>
        <v>-1.8867962264113176</v>
      </c>
      <c r="AB180" s="39">
        <v>0.125</v>
      </c>
      <c r="AC180" s="38">
        <v>135</v>
      </c>
      <c r="AD180" s="38">
        <f t="shared" si="273"/>
        <v>-38.015872215677796</v>
      </c>
      <c r="AE180" s="38">
        <f t="shared" si="274"/>
        <v>63.831816551724259</v>
      </c>
      <c r="AG180">
        <f t="shared" si="269"/>
        <v>9</v>
      </c>
      <c r="AH180">
        <f t="shared" si="270"/>
        <v>-0.46609985475278393</v>
      </c>
      <c r="AI180" s="7">
        <f t="shared" si="271"/>
        <v>8.9997022013058103</v>
      </c>
      <c r="AJ180" s="7">
        <f t="shared" si="272"/>
        <v>-7.3213986446229368E-2</v>
      </c>
      <c r="AK180" s="4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47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</row>
    <row r="181" spans="1:88" x14ac:dyDescent="0.25">
      <c r="A181">
        <v>-8.9</v>
      </c>
      <c r="B181">
        <f t="shared" si="219"/>
        <v>1.3379088160259622</v>
      </c>
      <c r="C181">
        <f t="shared" si="220"/>
        <v>-1.3379088160259622</v>
      </c>
      <c r="AB181" s="39">
        <v>0.16666666666666699</v>
      </c>
      <c r="AC181" s="38">
        <v>120</v>
      </c>
      <c r="AD181" s="38">
        <f t="shared" si="273"/>
        <v>-25.882337727854544</v>
      </c>
      <c r="AE181" s="38">
        <f t="shared" si="274"/>
        <v>74.271190911100817</v>
      </c>
      <c r="AG181">
        <f t="shared" si="269"/>
        <v>9</v>
      </c>
      <c r="AH181">
        <f t="shared" si="270"/>
        <v>-0.46609985475278393</v>
      </c>
      <c r="AI181" s="7">
        <f t="shared" si="271"/>
        <v>8.9997022013058103</v>
      </c>
      <c r="AJ181" s="7">
        <f t="shared" si="272"/>
        <v>-7.3213986446229368E-2</v>
      </c>
      <c r="AK181" s="43"/>
      <c r="AN181" s="322" t="s">
        <v>104</v>
      </c>
      <c r="AO181" s="46">
        <f t="shared" ref="AO181:AX181" si="275">+AO172</f>
        <v>0</v>
      </c>
      <c r="AP181" s="46">
        <f t="shared" si="275"/>
        <v>0</v>
      </c>
      <c r="AQ181" s="46">
        <f t="shared" si="275"/>
        <v>0</v>
      </c>
      <c r="AR181" s="46">
        <f t="shared" si="275"/>
        <v>0</v>
      </c>
      <c r="AS181" s="46">
        <f t="shared" si="275"/>
        <v>0</v>
      </c>
      <c r="AT181" s="46">
        <f t="shared" si="275"/>
        <v>0</v>
      </c>
      <c r="AU181" s="46">
        <f t="shared" si="275"/>
        <v>0</v>
      </c>
      <c r="AV181" s="46">
        <f t="shared" si="275"/>
        <v>0</v>
      </c>
      <c r="AW181" s="46">
        <f t="shared" si="275"/>
        <v>0</v>
      </c>
      <c r="AX181" s="46">
        <f t="shared" si="275"/>
        <v>0</v>
      </c>
      <c r="AY181" s="46">
        <f>IF($AB$125="si",IF(AY172&gt;=8.99,DJ93,AY172),0)</f>
        <v>0</v>
      </c>
      <c r="AZ181" s="46">
        <f>IF($AB$125="si",IF(AY172&gt;=8.99,DK93,AZ172),0)</f>
        <v>0</v>
      </c>
      <c r="BA181" s="46">
        <f>IF($AB$126="si",BA172,0)</f>
        <v>0</v>
      </c>
      <c r="BB181" s="46">
        <f>IF($AB$126="si",BB172,0)</f>
        <v>0</v>
      </c>
      <c r="BC181" s="46">
        <f>IF($AB$127="si",BC172,0)</f>
        <v>0</v>
      </c>
      <c r="BD181" s="46">
        <f>IF($AB$127="si",BD172,0)</f>
        <v>0</v>
      </c>
      <c r="BE181" s="46">
        <f>IF($AB$128="si",BE172,0)</f>
        <v>0</v>
      </c>
      <c r="BF181" s="46">
        <f>IF($AB$128="si",BF172,0)</f>
        <v>0</v>
      </c>
      <c r="BG181" s="46">
        <f>IF($AB$129="si",BG172,0)</f>
        <v>0</v>
      </c>
      <c r="BH181" s="46">
        <f>IF($AB$129="si",BH172,0)</f>
        <v>0</v>
      </c>
      <c r="BI181" s="46">
        <f>IF($AB$130="si",BI172,0)</f>
        <v>0</v>
      </c>
      <c r="BJ181" s="46">
        <f>IF($AB$130="si",BJ172,0)</f>
        <v>0</v>
      </c>
      <c r="BK181" s="46">
        <f>IF($AB$131="si",BK172,0)</f>
        <v>3.1909994125405056E-16</v>
      </c>
      <c r="BL181" s="46">
        <f>IF($AB$131="si",BL172,0)</f>
        <v>-5.2091636727869233</v>
      </c>
      <c r="BM181" s="46">
        <f>IF($AB$132="si",BM172,0)</f>
        <v>-1.5906095938181644</v>
      </c>
      <c r="BN181" s="46">
        <f>IF($AB$132="si",BN172,0)</f>
        <v>-5.1663051434165803</v>
      </c>
      <c r="BO181" s="46">
        <f>IF($AB$133="si",BO172,0)</f>
        <v>-3.1792610376260351</v>
      </c>
      <c r="BP181" s="46">
        <f>IF($AB$133="si",BP172,0)</f>
        <v>-5.0365247061164578</v>
      </c>
      <c r="BQ181" s="46">
        <f>IF($AB$134="si",BQ172,0)</f>
        <v>-4.7638381601198994</v>
      </c>
      <c r="BR181" s="46">
        <f>IF($AB$134="si",BR172,0)</f>
        <v>-4.8160129075246578</v>
      </c>
      <c r="BS181" s="46">
        <f>IF($AB$135="si",BS172,0)</f>
        <v>-6.3418643967501804</v>
      </c>
      <c r="BT181" s="46">
        <f>IF($AB$135="si",BT172,0)</f>
        <v>-4.4976926632318852</v>
      </c>
      <c r="BU181" s="46">
        <f>IF($AB$136="si",BU172,0)</f>
        <v>-7.91018162634417</v>
      </c>
      <c r="BV181" s="46">
        <f>IF($AB$136="si",BV172,0)</f>
        <v>-4.0697958999738733</v>
      </c>
      <c r="BW181" s="46">
        <f t="shared" ref="BW181:CJ181" si="276">+BW172</f>
        <v>-8.9999999158860629</v>
      </c>
      <c r="BX181" s="46">
        <f t="shared" si="276"/>
        <v>-1.230467748946156E-3</v>
      </c>
      <c r="BY181" s="46">
        <f t="shared" si="276"/>
        <v>0</v>
      </c>
      <c r="BZ181" s="46">
        <f t="shared" si="276"/>
        <v>0</v>
      </c>
      <c r="CA181" s="46">
        <f t="shared" si="276"/>
        <v>0</v>
      </c>
      <c r="CB181" s="46">
        <f t="shared" si="276"/>
        <v>0</v>
      </c>
      <c r="CC181" s="46">
        <f t="shared" si="276"/>
        <v>0</v>
      </c>
      <c r="CD181" s="46">
        <f t="shared" si="276"/>
        <v>0</v>
      </c>
      <c r="CE181" s="46">
        <f t="shared" si="276"/>
        <v>0</v>
      </c>
      <c r="CF181" s="46">
        <f t="shared" si="276"/>
        <v>0</v>
      </c>
      <c r="CG181" s="46">
        <f t="shared" si="276"/>
        <v>0</v>
      </c>
      <c r="CH181" s="46">
        <f t="shared" si="276"/>
        <v>0</v>
      </c>
      <c r="CI181" s="46" t="e">
        <f t="shared" si="276"/>
        <v>#NUM!</v>
      </c>
      <c r="CJ181" s="46" t="e">
        <f t="shared" si="276"/>
        <v>#NUM!</v>
      </c>
    </row>
    <row r="182" spans="1:88" x14ac:dyDescent="0.25">
      <c r="A182">
        <v>-9</v>
      </c>
      <c r="B182">
        <f t="shared" si="219"/>
        <v>0</v>
      </c>
      <c r="C182">
        <f t="shared" si="220"/>
        <v>0</v>
      </c>
      <c r="AB182" s="39">
        <v>0.20833333333333334</v>
      </c>
      <c r="AC182" s="38">
        <v>105</v>
      </c>
      <c r="AD182" s="38">
        <f t="shared" si="273"/>
        <v>-13.159393168690809</v>
      </c>
      <c r="AE182" s="38">
        <f t="shared" si="274"/>
        <v>82.725081093746851</v>
      </c>
      <c r="AG182">
        <f t="shared" si="269"/>
        <v>9</v>
      </c>
      <c r="AH182">
        <f t="shared" si="270"/>
        <v>-0.46609985475278393</v>
      </c>
      <c r="AI182" s="7">
        <f t="shared" si="271"/>
        <v>8.9997022013058103</v>
      </c>
      <c r="AJ182" s="7">
        <f t="shared" si="272"/>
        <v>-7.3213986446229368E-2</v>
      </c>
      <c r="AK182" s="43"/>
      <c r="AN182" s="323"/>
      <c r="AO182" s="13">
        <f t="shared" ref="AO182:AX182" si="277">+AQ173</f>
        <v>0</v>
      </c>
      <c r="AP182" s="13">
        <f t="shared" si="277"/>
        <v>0</v>
      </c>
      <c r="AQ182" s="13">
        <f t="shared" si="277"/>
        <v>0</v>
      </c>
      <c r="AR182" s="13">
        <f t="shared" si="277"/>
        <v>0</v>
      </c>
      <c r="AS182" s="13">
        <f t="shared" si="277"/>
        <v>0</v>
      </c>
      <c r="AT182" s="13">
        <f t="shared" si="277"/>
        <v>0</v>
      </c>
      <c r="AU182" s="13">
        <f t="shared" si="277"/>
        <v>0</v>
      </c>
      <c r="AV182" s="13">
        <f t="shared" si="277"/>
        <v>0</v>
      </c>
      <c r="AW182" s="13">
        <f t="shared" si="277"/>
        <v>8.9999999158860629</v>
      </c>
      <c r="AX182" s="13">
        <f t="shared" si="277"/>
        <v>-1.2304677489461085E-3</v>
      </c>
      <c r="AY182" s="13">
        <f>IF($AB$125="si",BA173,0)</f>
        <v>0</v>
      </c>
      <c r="AZ182" s="13">
        <f>IF($AB$125="si",BB173,0)</f>
        <v>0</v>
      </c>
      <c r="BA182" s="13">
        <f>IF($AB$126="si",BC173,0)</f>
        <v>0</v>
      </c>
      <c r="BB182" s="13">
        <f>IF($AB$126="si",BD173,0)</f>
        <v>0</v>
      </c>
      <c r="BC182" s="13">
        <f>IF($AB$127="si",BE173,0)</f>
        <v>0</v>
      </c>
      <c r="BD182" s="13">
        <f>IF($AB$127="si",BF173,0)</f>
        <v>0</v>
      </c>
      <c r="BE182" s="13">
        <f>IF($AB$128="si",BG173,0)</f>
        <v>0</v>
      </c>
      <c r="BF182" s="13">
        <f>IF($AB$128="si",BH173,0)</f>
        <v>0</v>
      </c>
      <c r="BG182" s="13">
        <f>IF($AB$129="si",BI173,0)</f>
        <v>0</v>
      </c>
      <c r="BH182" s="13">
        <f>IF($AB$129="si",BJ173,0)</f>
        <v>0</v>
      </c>
      <c r="BI182" s="13">
        <f>IF($AB$130="si",BK173,0)</f>
        <v>0</v>
      </c>
      <c r="BJ182" s="13">
        <f>IF($AB$130="si",BL173,0)</f>
        <v>0</v>
      </c>
      <c r="BK182" s="13">
        <f>IF($AB$131="si",BM173,0)</f>
        <v>-1.6007777970337347</v>
      </c>
      <c r="BL182" s="13">
        <f>IF($AB$131="si",BN173,0)</f>
        <v>-4.6096209042552738</v>
      </c>
      <c r="BM182" s="13">
        <f>IF($AB$132="si",BO173,0)</f>
        <v>-3.1989291170115348</v>
      </c>
      <c r="BN182" s="13">
        <f>IF($AB$132="si",BP173,0)</f>
        <v>-4.4576700187236371</v>
      </c>
      <c r="BO182" s="13">
        <f>IF($AB$133="si",BQ173,0)</f>
        <v>-4.7914718059899393</v>
      </c>
      <c r="BP182" s="13">
        <f>IF($AB$133="si",BR173,0)</f>
        <v>-4.197866603942197</v>
      </c>
      <c r="BQ182" s="13">
        <f>IF($AB$134="si",BS173,0)</f>
        <v>-6.3745781167226738</v>
      </c>
      <c r="BR182" s="13">
        <f>IF($AB$134="si",BT173,0)</f>
        <v>-3.8190747682328157</v>
      </c>
      <c r="BS182" s="13">
        <f>IF($AB$135="si",IF(BU157=9,AV104,BU173),0)</f>
        <v>-7.9427188060969556</v>
      </c>
      <c r="BT182" s="13">
        <f>IF($AB$135="si",IF(BU157=9,AW104,BV173),0)</f>
        <v>-3.3025120163095805</v>
      </c>
      <c r="BU182" s="13">
        <f>IF($AB$136="si",IF(BW173&lt;=-8.99,AV105,BW173),0)</f>
        <v>-8.4494268639521586</v>
      </c>
      <c r="BV182" s="13">
        <f>IF($AB$136="si",IF(BW173&lt;=-8.99,AW105,BX173),0)</f>
        <v>-3.0995460426848935</v>
      </c>
      <c r="BW182" s="13">
        <f t="shared" ref="BW182:CJ182" si="278">+BY173</f>
        <v>0</v>
      </c>
      <c r="BX182" s="13">
        <f t="shared" si="278"/>
        <v>0</v>
      </c>
      <c r="BY182" s="13">
        <f t="shared" si="278"/>
        <v>0</v>
      </c>
      <c r="BZ182" s="13">
        <f t="shared" si="278"/>
        <v>0</v>
      </c>
      <c r="CA182" s="13">
        <f t="shared" si="278"/>
        <v>0</v>
      </c>
      <c r="CB182" s="13">
        <f t="shared" si="278"/>
        <v>0</v>
      </c>
      <c r="CC182" s="13">
        <f t="shared" si="278"/>
        <v>0</v>
      </c>
      <c r="CD182" s="13">
        <f t="shared" si="278"/>
        <v>0</v>
      </c>
      <c r="CE182" s="13">
        <f t="shared" si="278"/>
        <v>0</v>
      </c>
      <c r="CF182" s="13">
        <f t="shared" si="278"/>
        <v>0</v>
      </c>
      <c r="CG182" s="13" t="e">
        <f t="shared" si="278"/>
        <v>#NUM!</v>
      </c>
      <c r="CH182" s="13" t="e">
        <f t="shared" si="278"/>
        <v>#NUM!</v>
      </c>
      <c r="CI182" s="13">
        <f t="shared" si="278"/>
        <v>0</v>
      </c>
      <c r="CJ182" s="13">
        <f t="shared" si="278"/>
        <v>0</v>
      </c>
    </row>
    <row r="183" spans="1:88" x14ac:dyDescent="0.25">
      <c r="AB183" s="39">
        <v>0.25</v>
      </c>
      <c r="AC183" s="38">
        <v>90</v>
      </c>
      <c r="AD183" s="38">
        <f t="shared" si="273"/>
        <v>-0.20182534876289174</v>
      </c>
      <c r="AE183" s="38">
        <f t="shared" si="274"/>
        <v>90.349575372991453</v>
      </c>
      <c r="AG183">
        <f t="shared" ref="AG183:AG214" si="279">IF($AF$110="si",9-(AD183/10),0)</f>
        <v>9.0201825348762892</v>
      </c>
      <c r="AH183">
        <f t="shared" ref="AH183:AH214" si="280">90-AE183+$AH$172</f>
        <v>-0.34957537299145258</v>
      </c>
      <c r="AI183" s="7">
        <f t="shared" ref="AI183:AI214" si="281">+AG183*COS(RADIANS(AH183))</f>
        <v>9.0200146465970548</v>
      </c>
      <c r="AJ183" s="7">
        <f t="shared" ref="AJ183:AJ214" si="282">+AG183*SIN(RADIANS(AH183))</f>
        <v>-5.503396825473867E-2</v>
      </c>
      <c r="AK183" s="43"/>
      <c r="AN183" s="323"/>
      <c r="AO183" s="13">
        <f t="shared" ref="AO183:AX183" si="283">+AO173</f>
        <v>0</v>
      </c>
      <c r="AP183" s="13">
        <f t="shared" si="283"/>
        <v>0</v>
      </c>
      <c r="AQ183" s="13">
        <f t="shared" si="283"/>
        <v>0</v>
      </c>
      <c r="AR183" s="13">
        <f t="shared" si="283"/>
        <v>0</v>
      </c>
      <c r="AS183" s="13">
        <f t="shared" si="283"/>
        <v>0</v>
      </c>
      <c r="AT183" s="13">
        <f t="shared" si="283"/>
        <v>0</v>
      </c>
      <c r="AU183" s="13">
        <f t="shared" si="283"/>
        <v>0</v>
      </c>
      <c r="AV183" s="13">
        <f t="shared" si="283"/>
        <v>0</v>
      </c>
      <c r="AW183" s="13">
        <f t="shared" si="283"/>
        <v>0</v>
      </c>
      <c r="AX183" s="13">
        <f t="shared" si="283"/>
        <v>0</v>
      </c>
      <c r="AY183" s="13">
        <f>IF($AB$125="si",IF(AY173&gt;=8.99,AV93,AY173),0)</f>
        <v>0</v>
      </c>
      <c r="AZ183" s="13">
        <f>IF($AB$125="si",IF(AY173&gt;=8.99,AW93,AZ173),0)</f>
        <v>0</v>
      </c>
      <c r="BA183" s="13">
        <f>IF($AB$126="si",BA173,0)</f>
        <v>0</v>
      </c>
      <c r="BB183" s="13">
        <f>IF($AB$126="si",BB173,0)</f>
        <v>0</v>
      </c>
      <c r="BC183" s="13">
        <f>IF($AB$127="si",BC173,0)</f>
        <v>0</v>
      </c>
      <c r="BD183" s="13">
        <f>IF($AB$127="si",BD173,0)</f>
        <v>0</v>
      </c>
      <c r="BE183" s="13">
        <f>IF($AB$128="si",BE173,0)</f>
        <v>0</v>
      </c>
      <c r="BF183" s="13">
        <f>IF($AB$128="si",BF173,0)</f>
        <v>0</v>
      </c>
      <c r="BG183" s="13">
        <f>IF($AB$129="si",BG173,0)</f>
        <v>0</v>
      </c>
      <c r="BH183" s="13">
        <f>IF($AB$129="si",BH173,0)</f>
        <v>0</v>
      </c>
      <c r="BI183" s="13">
        <f>IF($AB$130="si",BI173,0)</f>
        <v>0</v>
      </c>
      <c r="BJ183" s="13">
        <f>IF($AB$130="si",BJ173,0)</f>
        <v>0</v>
      </c>
      <c r="BK183" s="13">
        <f>IF($AB$131="si",BK173,0)</f>
        <v>2.8543812206334089E-16</v>
      </c>
      <c r="BL183" s="13">
        <f>IF($AB$131="si",BL173,0)</f>
        <v>-4.6596495456484224</v>
      </c>
      <c r="BM183" s="13">
        <f>IF($AB$132="si",BM173,0)</f>
        <v>-1.6007777970337347</v>
      </c>
      <c r="BN183" s="13">
        <f>IF($AB$132="si",BN173,0)</f>
        <v>-4.6096209042552738</v>
      </c>
      <c r="BO183" s="13">
        <f>IF($AB$133="si",BO173,0)</f>
        <v>-3.1989291170115348</v>
      </c>
      <c r="BP183" s="13">
        <f>IF($AB$133="si",BP173,0)</f>
        <v>-4.4576700187236371</v>
      </c>
      <c r="BQ183" s="13">
        <f>IF($AB$134="si",BQ173,0)</f>
        <v>-4.7914718059899393</v>
      </c>
      <c r="BR183" s="13">
        <f>IF($AB$134="si",BR173,0)</f>
        <v>-4.197866603942197</v>
      </c>
      <c r="BS183" s="13">
        <f>IF($AB$135="si",BS173,0)</f>
        <v>-6.3745781167226738</v>
      </c>
      <c r="BT183" s="13">
        <f>IF($AB$135="si",BT173,0)</f>
        <v>-3.8190747682328157</v>
      </c>
      <c r="BU183" s="13">
        <f>IF($AB$136="si",BU173,0)</f>
        <v>-7.9427188060969556</v>
      </c>
      <c r="BV183" s="13">
        <f>IF($AB$136="si",BV173,0)</f>
        <v>-3.3025120163095805</v>
      </c>
      <c r="BW183" s="13">
        <f t="shared" ref="BW183:CJ183" si="284">+BW173</f>
        <v>-8.9999999158860629</v>
      </c>
      <c r="BX183" s="13">
        <f t="shared" si="284"/>
        <v>-1.230467748946156E-3</v>
      </c>
      <c r="BY183" s="13">
        <f t="shared" si="284"/>
        <v>0</v>
      </c>
      <c r="BZ183" s="13">
        <f t="shared" si="284"/>
        <v>0</v>
      </c>
      <c r="CA183" s="13">
        <f t="shared" si="284"/>
        <v>0</v>
      </c>
      <c r="CB183" s="13">
        <f t="shared" si="284"/>
        <v>0</v>
      </c>
      <c r="CC183" s="13">
        <f t="shared" si="284"/>
        <v>0</v>
      </c>
      <c r="CD183" s="13">
        <f t="shared" si="284"/>
        <v>0</v>
      </c>
      <c r="CE183" s="13">
        <f t="shared" si="284"/>
        <v>0</v>
      </c>
      <c r="CF183" s="13">
        <f t="shared" si="284"/>
        <v>0</v>
      </c>
      <c r="CG183" s="13">
        <f t="shared" si="284"/>
        <v>0</v>
      </c>
      <c r="CH183" s="13">
        <f t="shared" si="284"/>
        <v>0</v>
      </c>
      <c r="CI183" s="13" t="e">
        <f t="shared" si="284"/>
        <v>#NUM!</v>
      </c>
      <c r="CJ183" s="13" t="e">
        <f t="shared" si="284"/>
        <v>#NUM!</v>
      </c>
    </row>
    <row r="184" spans="1:88" x14ac:dyDescent="0.25">
      <c r="A184" s="41" t="s">
        <v>92</v>
      </c>
      <c r="B184" s="41">
        <v>21</v>
      </c>
      <c r="C184" s="315"/>
      <c r="D184" s="315"/>
      <c r="E184" s="316"/>
      <c r="L184" s="41" t="s">
        <v>92</v>
      </c>
      <c r="M184" s="41">
        <v>21</v>
      </c>
      <c r="N184" s="315"/>
      <c r="O184" s="315"/>
      <c r="P184" s="316"/>
      <c r="AB184" s="39">
        <v>0.26041666666666669</v>
      </c>
      <c r="AC184">
        <f t="shared" ref="AC184:AC231" si="285">+AC183-3.75</f>
        <v>86.25</v>
      </c>
      <c r="AD184" s="38">
        <f t="shared" si="273"/>
        <v>3.0448045969825834</v>
      </c>
      <c r="AE184" s="38">
        <f t="shared" si="274"/>
        <v>92.226889692657693</v>
      </c>
      <c r="AG184">
        <f t="shared" si="279"/>
        <v>8.695519540301742</v>
      </c>
      <c r="AH184">
        <f t="shared" si="280"/>
        <v>-2.2268896926576929</v>
      </c>
      <c r="AI184" s="7">
        <f t="shared" si="281"/>
        <v>8.6889526008258624</v>
      </c>
      <c r="AJ184" s="7">
        <f t="shared" si="282"/>
        <v>-0.33787982533866967</v>
      </c>
      <c r="AK184" s="43"/>
      <c r="AN184" s="324"/>
      <c r="AO184" s="45">
        <f t="shared" ref="AO184:AX184" si="286">+AQ172</f>
        <v>0</v>
      </c>
      <c r="AP184" s="45">
        <f t="shared" si="286"/>
        <v>0</v>
      </c>
      <c r="AQ184" s="45">
        <f t="shared" si="286"/>
        <v>0</v>
      </c>
      <c r="AR184" s="45">
        <f t="shared" si="286"/>
        <v>0</v>
      </c>
      <c r="AS184" s="45">
        <f t="shared" si="286"/>
        <v>0</v>
      </c>
      <c r="AT184" s="45">
        <f t="shared" si="286"/>
        <v>0</v>
      </c>
      <c r="AU184" s="45">
        <f t="shared" si="286"/>
        <v>0</v>
      </c>
      <c r="AV184" s="45">
        <f t="shared" si="286"/>
        <v>0</v>
      </c>
      <c r="AW184" s="45">
        <f t="shared" si="286"/>
        <v>8.9999999158860629</v>
      </c>
      <c r="AX184" s="45">
        <f t="shared" si="286"/>
        <v>-1.2304677489461085E-3</v>
      </c>
      <c r="AY184" s="45">
        <f>IF($AB$125="si",BA172,0)</f>
        <v>0</v>
      </c>
      <c r="AZ184" s="45">
        <f>IF($AB$125="si",BB172,0)</f>
        <v>0</v>
      </c>
      <c r="BA184" s="45">
        <f>IF($AB$126="si",BC172,0)</f>
        <v>0</v>
      </c>
      <c r="BB184" s="45">
        <f>IF($AB$126="si",BD172,0)</f>
        <v>0</v>
      </c>
      <c r="BC184" s="45">
        <f>IF($AB$127="si",BE172,0)</f>
        <v>0</v>
      </c>
      <c r="BD184" s="45">
        <f>IF($AB$127="si",BF172,0)</f>
        <v>0</v>
      </c>
      <c r="BE184" s="45">
        <f>IF($AB$128="si",BG172,0)</f>
        <v>0</v>
      </c>
      <c r="BF184" s="45">
        <f>IF($AB$128="si",BH172,0)</f>
        <v>0</v>
      </c>
      <c r="BG184" s="45">
        <f>IF($AB$129="si",BI172,0)</f>
        <v>0</v>
      </c>
      <c r="BH184" s="45">
        <f>IF($AB$129="si",BJ172,0)</f>
        <v>0</v>
      </c>
      <c r="BI184" s="45">
        <f>IF($AB$130="si",BK172,0)</f>
        <v>0</v>
      </c>
      <c r="BJ184" s="45">
        <f>IF($AB$130="si",BL172,0)</f>
        <v>0</v>
      </c>
      <c r="BK184" s="45">
        <f>IF($AB$131="si",BM172,0)</f>
        <v>-1.5906095938181644</v>
      </c>
      <c r="BL184" s="45">
        <f>IF($AB$131="si",BN172,0)</f>
        <v>-5.1663051434165803</v>
      </c>
      <c r="BM184" s="45">
        <f>IF($AB$132="si",BO172,0)</f>
        <v>-3.1792610376260351</v>
      </c>
      <c r="BN184" s="45">
        <f>IF($AB$132="si",BP172,0)</f>
        <v>-5.0365247061164578</v>
      </c>
      <c r="BO184" s="45">
        <f>IF($AB$133="si",BQ172,0)</f>
        <v>-4.7638381601198994</v>
      </c>
      <c r="BP184" s="45">
        <f>IF($AB$133="si",BR172,0)</f>
        <v>-4.8160129075246578</v>
      </c>
      <c r="BQ184" s="45">
        <f>IF($AB$134="si",BS172,0)</f>
        <v>-6.3418643967501804</v>
      </c>
      <c r="BR184" s="45">
        <f>IF($AB$134="si",BT172,0)</f>
        <v>-4.4976926632318852</v>
      </c>
      <c r="BS184" s="45">
        <f>IF($AB$135="si",IF(BU156=9,DJ104,BU172),0)</f>
        <v>-7.91018162634417</v>
      </c>
      <c r="BT184" s="45">
        <f>IF($AB$135="si",IF(BU156=9,DK104,BV172),0)</f>
        <v>-4.0697958999738733</v>
      </c>
      <c r="BU184" s="45">
        <f>IF($AB$136="si",IF(BW172&lt;=-8.99,DJ105,BW172),0)</f>
        <v>-8.049436034917786</v>
      </c>
      <c r="BV184" s="45">
        <f>IF($AB$136="si",IF(BW172&lt;=-8.99,DK105,BX172),0)</f>
        <v>-4.025739623940801</v>
      </c>
      <c r="BW184" s="45">
        <f t="shared" ref="BW184:CJ184" si="287">+BY172</f>
        <v>0</v>
      </c>
      <c r="BX184" s="45">
        <f t="shared" si="287"/>
        <v>0</v>
      </c>
      <c r="BY184" s="45">
        <f t="shared" si="287"/>
        <v>0</v>
      </c>
      <c r="BZ184" s="45">
        <f t="shared" si="287"/>
        <v>0</v>
      </c>
      <c r="CA184" s="45">
        <f t="shared" si="287"/>
        <v>0</v>
      </c>
      <c r="CB184" s="45">
        <f t="shared" si="287"/>
        <v>0</v>
      </c>
      <c r="CC184" s="45">
        <f t="shared" si="287"/>
        <v>0</v>
      </c>
      <c r="CD184" s="45">
        <f t="shared" si="287"/>
        <v>0</v>
      </c>
      <c r="CE184" s="45">
        <f t="shared" si="287"/>
        <v>0</v>
      </c>
      <c r="CF184" s="45">
        <f t="shared" si="287"/>
        <v>0</v>
      </c>
      <c r="CG184" s="45" t="e">
        <f t="shared" si="287"/>
        <v>#NUM!</v>
      </c>
      <c r="CH184" s="45" t="e">
        <f t="shared" si="287"/>
        <v>#NUM!</v>
      </c>
      <c r="CI184" s="45">
        <f t="shared" si="287"/>
        <v>0</v>
      </c>
      <c r="CJ184" s="45">
        <f t="shared" si="287"/>
        <v>0</v>
      </c>
    </row>
    <row r="185" spans="1:88" x14ac:dyDescent="0.25">
      <c r="A185" s="41" t="s">
        <v>91</v>
      </c>
      <c r="B185" s="41">
        <v>3</v>
      </c>
      <c r="C185" s="315"/>
      <c r="D185" s="315"/>
      <c r="E185" s="316"/>
      <c r="L185" s="41" t="s">
        <v>91</v>
      </c>
      <c r="M185" s="41">
        <v>3</v>
      </c>
      <c r="N185" s="315"/>
      <c r="O185" s="315"/>
      <c r="P185" s="316"/>
      <c r="AB185" s="39">
        <v>0.27083333333333298</v>
      </c>
      <c r="AC185">
        <f t="shared" si="285"/>
        <v>82.5</v>
      </c>
      <c r="AD185" s="38">
        <f t="shared" si="273"/>
        <v>6.2872823240365783</v>
      </c>
      <c r="AE185" s="38">
        <f t="shared" si="274"/>
        <v>94.117061881393724</v>
      </c>
      <c r="AG185">
        <f t="shared" si="279"/>
        <v>8.3712717675963422</v>
      </c>
      <c r="AH185">
        <f t="shared" si="280"/>
        <v>-4.1170618813937239</v>
      </c>
      <c r="AI185" s="7">
        <f t="shared" si="281"/>
        <v>8.3496692635520056</v>
      </c>
      <c r="AJ185" s="7">
        <f t="shared" si="282"/>
        <v>-0.60101097847750606</v>
      </c>
      <c r="AK185" s="4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</row>
    <row r="186" spans="1:88" x14ac:dyDescent="0.25">
      <c r="C186" s="32">
        <f>+IF(B185=$AI$63,B184,IF(B185=$AJ$63,$AI$64+B184,IF(B185=$AK$63,$AI$64+$AJ$64+B184,IF(B185=$AL$63,$AI$64+$AJ$64+$AK$64+B184,IF(B185=$AM$63,$AI$64+$AJ$64+$AK$64+$AL$64+B184,IF(B185=$AN$63,$AI$64+$AJ$64+$AK$64+$AL$64+$AM$64+B184,IF(B185=$AO$63,$AI$64+$AJ$64+$AK$64+$AL$64+$AM$64+$AN$64+B184,IF(B185=$AP$63,$AI$64+$AJ$64+$AK$64+$AL$64+$AM$64+$AN$64+$AO$64+B184,IF(B185=$AQ$63,$AI$64+$AJ$64+$AK$64+$AL$64+$AM$64+$AN$64+$AO$64+$AP$64+B184,IF(B185=$AR$63,$AI$64+$AJ$64+$AK$64+$AL$64+$AM$64+$AN$64+$AO$64+$AP$64+$AQ$64+B184,IF(B185=$AS$63,$AI$64+$AJ$64+$AK$64+$AL$64+$AM$64+$AN$64+$AO$64+$AP$64+$AQ$64+$AR$64+B184,IF(B185=$AT$63,$AI$64+$AJ$64+$AK$64+$AL$64+$AM$64+$AN$64+$AO$64+$AP$64+$AQ$64+$AR$64+$AS$64+B184,"error"))))))))))))</f>
        <v>80</v>
      </c>
      <c r="D186" s="38">
        <f>23.45*SIN(RADIANS(360*((284+C186)/365)))</f>
        <v>-0.40365320185431652</v>
      </c>
      <c r="E186" s="41">
        <v>5</v>
      </c>
      <c r="N186" s="32">
        <f>+IF(M185=$AI$63,M184,IF(M185=$AJ$63,$AI$64+M184,IF(M185=$AK$63,$AI$64+$AJ$64+M184,IF(M185=$AL$63,$AI$64+$AJ$64+$AK$64+M184,IF(M185=$AM$63,$AI$64+$AJ$64+$AK$64+$AL$64+M184,IF(M185=$AN$63,$AI$64+$AJ$64+$AK$64+$AL$64+$AM$64+M184,IF(M185=$AO$63,$AI$64+$AJ$64+$AK$64+$AL$64+$AM$64+$AN$64+M184,IF(M185=$AP$63,$AI$64+$AJ$64+$AK$64+$AL$64+$AM$64+$AN$64+$AO$64+M184,IF(M185=$AQ$63,$AI$64+$AJ$64+$AK$64+$AL$64+$AM$64+$AN$64+$AO$64+$AP$64+M184,IF(M185=$AR$63,$AI$64+$AJ$64+$AK$64+$AL$64+$AM$64+$AN$64+$AO$64+$AP$64+$AQ$64+M184,IF(M185=$AS$63,$AI$64+$AJ$64+$AK$64+$AL$64+$AM$64+$AN$64+$AO$64+$AP$64+$AQ$64+$AR$64+M184,IF(M185=$AT$63,$AI$64+$AJ$64+$AK$64+$AL$64+$AM$64+$AN$64+$AO$64+$AP$64+$AQ$64+$AR$64+$AS$64+M184,"error"))))))))))))</f>
        <v>80</v>
      </c>
      <c r="O186" s="38">
        <f>23.45*SIN(RADIANS(360*((284+N186)/365)))</f>
        <v>-0.40365320185431652</v>
      </c>
      <c r="P186" s="41">
        <v>10</v>
      </c>
      <c r="AB186" s="39">
        <v>0.28125</v>
      </c>
      <c r="AC186">
        <f t="shared" si="285"/>
        <v>78.75</v>
      </c>
      <c r="AD186" s="38">
        <f t="shared" si="273"/>
        <v>9.5220100126131602</v>
      </c>
      <c r="AE186" s="38">
        <f t="shared" si="274"/>
        <v>96.032458342683015</v>
      </c>
      <c r="AG186">
        <f t="shared" si="279"/>
        <v>8.0477989987386849</v>
      </c>
      <c r="AH186">
        <f t="shared" si="280"/>
        <v>-6.0324583426830145</v>
      </c>
      <c r="AI186" s="7">
        <f t="shared" si="281"/>
        <v>8.0032344718920641</v>
      </c>
      <c r="AJ186" s="7">
        <f t="shared" si="282"/>
        <v>-0.84575806943707621</v>
      </c>
      <c r="AK186" s="43"/>
      <c r="AN186" s="322" t="s">
        <v>103</v>
      </c>
      <c r="AO186" s="46">
        <f t="shared" ref="AO186:AX186" si="288">+AO173</f>
        <v>0</v>
      </c>
      <c r="AP186" s="46">
        <f t="shared" si="288"/>
        <v>0</v>
      </c>
      <c r="AQ186" s="46">
        <f t="shared" si="288"/>
        <v>0</v>
      </c>
      <c r="AR186" s="46">
        <f t="shared" si="288"/>
        <v>0</v>
      </c>
      <c r="AS186" s="46">
        <f t="shared" si="288"/>
        <v>0</v>
      </c>
      <c r="AT186" s="46">
        <f t="shared" si="288"/>
        <v>0</v>
      </c>
      <c r="AU186" s="46">
        <f t="shared" si="288"/>
        <v>0</v>
      </c>
      <c r="AV186" s="46">
        <f t="shared" si="288"/>
        <v>0</v>
      </c>
      <c r="AW186" s="46">
        <f t="shared" si="288"/>
        <v>0</v>
      </c>
      <c r="AX186" s="46">
        <f t="shared" si="288"/>
        <v>0</v>
      </c>
      <c r="AY186" s="46">
        <f>IF($AD$125="si",IF(AY173&gt;=8.99,AV93,AY173),0)</f>
        <v>0</v>
      </c>
      <c r="AZ186" s="46">
        <f>IF($AD$125="si",IF(AY173&gt;=8.99,AW93,AZ173),0)</f>
        <v>0</v>
      </c>
      <c r="BA186" s="46">
        <f>IF($AD$126="si",BA173,0)</f>
        <v>0</v>
      </c>
      <c r="BB186" s="46">
        <f>IF($AD$126="si",BB173,0)</f>
        <v>0</v>
      </c>
      <c r="BC186" s="46">
        <f>IF($AD$127="si",BC173,0)</f>
        <v>0</v>
      </c>
      <c r="BD186" s="46">
        <f>IF($AD$127="si",BD173,0)</f>
        <v>0</v>
      </c>
      <c r="BE186" s="46">
        <f>IF($AD$128="si",BE173,0)</f>
        <v>0</v>
      </c>
      <c r="BF186" s="46">
        <f>IF($AD$128="si",BF173,0)</f>
        <v>0</v>
      </c>
      <c r="BG186" s="46">
        <f>IF($AD$129="si",BG173,0)</f>
        <v>0</v>
      </c>
      <c r="BH186" s="46">
        <f>IF($AD$129="si",BH173,0)</f>
        <v>0</v>
      </c>
      <c r="BI186" s="46">
        <f>IF($AD$130="si",BI173,0)</f>
        <v>1.6007777970337362</v>
      </c>
      <c r="BJ186" s="46">
        <f>IF($AD$130="si",BJ173,0)</f>
        <v>-4.6096209042552729</v>
      </c>
      <c r="BK186" s="46">
        <f>IF($AD$131="si",BK173,0)</f>
        <v>2.8543812206334089E-16</v>
      </c>
      <c r="BL186" s="46">
        <f>IF($AD$131="si",BL173,0)</f>
        <v>-4.6596495456484224</v>
      </c>
      <c r="BM186" s="46">
        <f>IF($AD$132="si",BM173,0)</f>
        <v>-1.6007777970337347</v>
      </c>
      <c r="BN186" s="46">
        <f>IF($AD$132="si",BN173,0)</f>
        <v>-4.6096209042552738</v>
      </c>
      <c r="BO186" s="46">
        <f>IF($AD$133="si",BO173,0)</f>
        <v>-3.1989291170115348</v>
      </c>
      <c r="BP186" s="46">
        <f>IF($AD$133="si",BP173,0)</f>
        <v>-4.4576700187236371</v>
      </c>
      <c r="BQ186" s="46">
        <f>IF($AD$134="si",BQ173,0)</f>
        <v>-4.7914718059899393</v>
      </c>
      <c r="BR186" s="46">
        <f>IF($AD$134="si",BR173,0)</f>
        <v>-4.197866603942197</v>
      </c>
      <c r="BS186" s="46">
        <f>IF($AD$135="si",BS173,0)</f>
        <v>-6.3745781167226738</v>
      </c>
      <c r="BT186" s="46">
        <f>IF($AD$135="si",BT173,0)</f>
        <v>-3.8190747682328157</v>
      </c>
      <c r="BU186" s="46">
        <f>IF($AD$136="si",BU173,0)</f>
        <v>-7.9427188060969556</v>
      </c>
      <c r="BV186" s="46">
        <f>IF($AD$136="si",BV173,0)</f>
        <v>-3.3025120163095805</v>
      </c>
      <c r="BW186" s="46">
        <f t="shared" ref="BW186:CJ186" si="289">+BW173</f>
        <v>-8.9999999158860629</v>
      </c>
      <c r="BX186" s="46">
        <f t="shared" si="289"/>
        <v>-1.230467748946156E-3</v>
      </c>
      <c r="BY186" s="46">
        <f t="shared" si="289"/>
        <v>0</v>
      </c>
      <c r="BZ186" s="46">
        <f t="shared" si="289"/>
        <v>0</v>
      </c>
      <c r="CA186" s="46">
        <f t="shared" si="289"/>
        <v>0</v>
      </c>
      <c r="CB186" s="46">
        <f t="shared" si="289"/>
        <v>0</v>
      </c>
      <c r="CC186" s="46">
        <f t="shared" si="289"/>
        <v>0</v>
      </c>
      <c r="CD186" s="46">
        <f t="shared" si="289"/>
        <v>0</v>
      </c>
      <c r="CE186" s="46">
        <f t="shared" si="289"/>
        <v>0</v>
      </c>
      <c r="CF186" s="46">
        <f t="shared" si="289"/>
        <v>0</v>
      </c>
      <c r="CG186" s="46">
        <f t="shared" si="289"/>
        <v>0</v>
      </c>
      <c r="CH186" s="46">
        <f t="shared" si="289"/>
        <v>0</v>
      </c>
      <c r="CI186" s="46" t="e">
        <f t="shared" si="289"/>
        <v>#NUM!</v>
      </c>
      <c r="CJ186" s="46" t="e">
        <f t="shared" si="289"/>
        <v>#NUM!</v>
      </c>
    </row>
    <row r="187" spans="1:88" x14ac:dyDescent="0.25">
      <c r="B187" s="317" t="s">
        <v>90</v>
      </c>
      <c r="C187" s="315"/>
      <c r="D187" s="315"/>
      <c r="E187" s="315"/>
      <c r="G187" s="319" t="s">
        <v>89</v>
      </c>
      <c r="H187" s="319"/>
      <c r="I187" s="319" t="s">
        <v>42</v>
      </c>
      <c r="J187" s="319" t="s">
        <v>43</v>
      </c>
      <c r="M187" s="317" t="s">
        <v>90</v>
      </c>
      <c r="N187" s="315"/>
      <c r="O187" s="315"/>
      <c r="P187" s="315"/>
      <c r="R187" s="319" t="s">
        <v>89</v>
      </c>
      <c r="S187" s="319"/>
      <c r="T187" s="319" t="s">
        <v>42</v>
      </c>
      <c r="U187" s="319" t="s">
        <v>43</v>
      </c>
      <c r="AB187" s="39">
        <v>0.29166666666666702</v>
      </c>
      <c r="AC187">
        <f t="shared" si="285"/>
        <v>75</v>
      </c>
      <c r="AD187" s="38">
        <f t="shared" si="273"/>
        <v>12.745204221314955</v>
      </c>
      <c r="AE187" s="38">
        <f t="shared" si="274"/>
        <v>97.985970411644061</v>
      </c>
      <c r="AG187">
        <f t="shared" si="279"/>
        <v>7.725479577868505</v>
      </c>
      <c r="AH187">
        <f t="shared" si="280"/>
        <v>-7.9859704116440611</v>
      </c>
      <c r="AI187" s="7">
        <f t="shared" si="281"/>
        <v>7.6505587833444721</v>
      </c>
      <c r="AJ187" s="7">
        <f t="shared" si="282"/>
        <v>-1.0733056464279307</v>
      </c>
      <c r="AK187" s="43"/>
      <c r="AN187" s="323"/>
      <c r="AO187" s="13">
        <f t="shared" ref="AO187:AX187" si="290">+AQ174</f>
        <v>0</v>
      </c>
      <c r="AP187" s="13">
        <f t="shared" si="290"/>
        <v>0</v>
      </c>
      <c r="AQ187" s="13">
        <f t="shared" si="290"/>
        <v>0</v>
      </c>
      <c r="AR187" s="13">
        <f t="shared" si="290"/>
        <v>0</v>
      </c>
      <c r="AS187" s="13">
        <f t="shared" si="290"/>
        <v>0</v>
      </c>
      <c r="AT187" s="13">
        <f t="shared" si="290"/>
        <v>0</v>
      </c>
      <c r="AU187" s="13">
        <f t="shared" si="290"/>
        <v>0</v>
      </c>
      <c r="AV187" s="13">
        <f t="shared" si="290"/>
        <v>0</v>
      </c>
      <c r="AW187" s="13">
        <f t="shared" si="290"/>
        <v>8.9999999158860629</v>
      </c>
      <c r="AX187" s="13">
        <f t="shared" si="290"/>
        <v>-1.2304677489461085E-3</v>
      </c>
      <c r="AY187" s="13">
        <f>IF($AD$125="si",BA174,0)</f>
        <v>0</v>
      </c>
      <c r="AZ187" s="13">
        <f>IF($AD$125="si",BB174,0)</f>
        <v>0</v>
      </c>
      <c r="BA187" s="13">
        <f>IF($AD$126="si",BC174,0)</f>
        <v>0</v>
      </c>
      <c r="BB187" s="13">
        <f>IF($AD$126="si",BD174,0)</f>
        <v>0</v>
      </c>
      <c r="BC187" s="13">
        <f>IF($AD$127="si",BE174,0)</f>
        <v>0</v>
      </c>
      <c r="BD187" s="13">
        <f>IF($AD$127="si",BF174,0)</f>
        <v>0</v>
      </c>
      <c r="BE187" s="13">
        <f>IF($AD$128="si",BG174,0)</f>
        <v>0</v>
      </c>
      <c r="BF187" s="13">
        <f>IF($AD$128="si",BH174,0)</f>
        <v>0</v>
      </c>
      <c r="BG187" s="13">
        <f>IF($AD$129="si",BI174,0)</f>
        <v>0</v>
      </c>
      <c r="BH187" s="13">
        <f>IF($AD$129="si",BJ174,0)</f>
        <v>0</v>
      </c>
      <c r="BI187" s="13">
        <f>IF($AD$130="si",BK174,0)</f>
        <v>2.2894168507319601E-16</v>
      </c>
      <c r="BJ187" s="13">
        <f>IF($AD$130="si",BL174,0)</f>
        <v>-3.7373705065035905</v>
      </c>
      <c r="BK187" s="13">
        <f>IF($AD$131="si",BM174,0)</f>
        <v>-1.5942481393866366</v>
      </c>
      <c r="BL187" s="13">
        <f>IF($AD$131="si",BN174,0)</f>
        <v>-3.6765137729703996</v>
      </c>
      <c r="BM187" s="13">
        <f>IF($AD$132="si",BO174,0)</f>
        <v>-3.1835652798692937</v>
      </c>
      <c r="BN187" s="13">
        <f>IF($AD$132="si",BP174,0)</f>
        <v>-3.4911671364102332</v>
      </c>
      <c r="BO187" s="13">
        <f>IF($AD$133="si",BQ174,0)</f>
        <v>-4.7621175617680658</v>
      </c>
      <c r="BP187" s="13">
        <f>IF($AD$133="si",BR174,0)</f>
        <v>-3.1725031675284869</v>
      </c>
      <c r="BQ187" s="13">
        <f>IF($AD$134="si",BS174,0)</f>
        <v>-6.3219057421889273</v>
      </c>
      <c r="BR187" s="13">
        <f>IF($AD$134="si",BT174,0)</f>
        <v>-2.7039695211361696</v>
      </c>
      <c r="BS187" s="13">
        <f>IF($AD$135="si",BU174,0)</f>
        <v>-7.8505349227251564</v>
      </c>
      <c r="BT187" s="13">
        <f>IF($AD$135="si",BV174,0)</f>
        <v>-2.0577961364005222</v>
      </c>
      <c r="BU187" s="13">
        <f>IF($AD$136="si",IF(BW174&lt;=-8.99,BG105,BW174),0)</f>
        <v>-8.87656100451896</v>
      </c>
      <c r="BV187" s="13">
        <f>IF($AD$136="si",IF(BW174&lt;=-8.99,BH105,BX174),0)</f>
        <v>-1.4854846795081202</v>
      </c>
      <c r="BW187" s="13">
        <f t="shared" ref="BW187:CJ187" si="291">+BY174</f>
        <v>0</v>
      </c>
      <c r="BX187" s="13">
        <f t="shared" si="291"/>
        <v>0</v>
      </c>
      <c r="BY187" s="13">
        <f t="shared" si="291"/>
        <v>0</v>
      </c>
      <c r="BZ187" s="13">
        <f t="shared" si="291"/>
        <v>0</v>
      </c>
      <c r="CA187" s="13">
        <f t="shared" si="291"/>
        <v>0</v>
      </c>
      <c r="CB187" s="13">
        <f t="shared" si="291"/>
        <v>0</v>
      </c>
      <c r="CC187" s="13">
        <f t="shared" si="291"/>
        <v>0</v>
      </c>
      <c r="CD187" s="13">
        <f t="shared" si="291"/>
        <v>0</v>
      </c>
      <c r="CE187" s="13">
        <f t="shared" si="291"/>
        <v>0</v>
      </c>
      <c r="CF187" s="13">
        <f t="shared" si="291"/>
        <v>0</v>
      </c>
      <c r="CG187" s="13" t="e">
        <f t="shared" si="291"/>
        <v>#NUM!</v>
      </c>
      <c r="CH187" s="13" t="e">
        <f t="shared" si="291"/>
        <v>#NUM!</v>
      </c>
      <c r="CI187" s="13">
        <f t="shared" si="291"/>
        <v>0</v>
      </c>
      <c r="CJ187" s="13">
        <f t="shared" si="291"/>
        <v>0</v>
      </c>
    </row>
    <row r="188" spans="1:88" x14ac:dyDescent="0.25">
      <c r="B188" s="318"/>
      <c r="C188" s="315"/>
      <c r="D188" s="315"/>
      <c r="E188" s="315"/>
      <c r="G188" s="319"/>
      <c r="H188" s="319"/>
      <c r="I188" s="319"/>
      <c r="J188" s="319"/>
      <c r="M188" s="318"/>
      <c r="N188" s="315"/>
      <c r="O188" s="315"/>
      <c r="P188" s="315"/>
      <c r="R188" s="319"/>
      <c r="S188" s="319"/>
      <c r="T188" s="319"/>
      <c r="U188" s="319"/>
      <c r="AB188" s="39">
        <v>0.30208333333333398</v>
      </c>
      <c r="AC188">
        <f t="shared" si="285"/>
        <v>71.25</v>
      </c>
      <c r="AD188" s="38">
        <f t="shared" si="273"/>
        <v>15.952796751373725</v>
      </c>
      <c r="AE188" s="38">
        <f t="shared" si="274"/>
        <v>99.99129828280698</v>
      </c>
      <c r="AG188">
        <f t="shared" si="279"/>
        <v>7.4047203248626277</v>
      </c>
      <c r="AH188">
        <f t="shared" si="280"/>
        <v>-9.9912982828069801</v>
      </c>
      <c r="AI188" s="7">
        <f t="shared" si="281"/>
        <v>7.2924211822651248</v>
      </c>
      <c r="AJ188" s="7">
        <f t="shared" si="282"/>
        <v>-1.2847086789948219</v>
      </c>
      <c r="AK188" s="43"/>
      <c r="AN188" s="323"/>
      <c r="AO188" s="13">
        <f t="shared" ref="AO188:AX188" si="292">+AO174</f>
        <v>0</v>
      </c>
      <c r="AP188" s="13">
        <f t="shared" si="292"/>
        <v>0</v>
      </c>
      <c r="AQ188" s="13">
        <f t="shared" si="292"/>
        <v>0</v>
      </c>
      <c r="AR188" s="13">
        <f t="shared" si="292"/>
        <v>0</v>
      </c>
      <c r="AS188" s="13">
        <f t="shared" si="292"/>
        <v>0</v>
      </c>
      <c r="AT188" s="13">
        <f t="shared" si="292"/>
        <v>0</v>
      </c>
      <c r="AU188" s="13">
        <f t="shared" si="292"/>
        <v>0</v>
      </c>
      <c r="AV188" s="13">
        <f t="shared" si="292"/>
        <v>0</v>
      </c>
      <c r="AW188" s="13">
        <f t="shared" si="292"/>
        <v>0</v>
      </c>
      <c r="AX188" s="13">
        <f t="shared" si="292"/>
        <v>0</v>
      </c>
      <c r="AY188" s="13">
        <f>IF($AD$125="si",IF(AY174&gt;=8.99,BG93,AY174),0)</f>
        <v>0</v>
      </c>
      <c r="AZ188" s="13">
        <f>IF($AD$125="si",IF(AY174&gt;=8.99,BH93,AZ174),0)</f>
        <v>0</v>
      </c>
      <c r="BA188" s="13">
        <f>IF($AD$126="si",BA174,0)</f>
        <v>0</v>
      </c>
      <c r="BB188" s="13">
        <f>IF($AD$126="si",BB174,0)</f>
        <v>0</v>
      </c>
      <c r="BC188" s="13">
        <f>IF($AD$127="si",BC174,0)</f>
        <v>0</v>
      </c>
      <c r="BD188" s="13">
        <f>IF($AD$127="si",BD174,0)</f>
        <v>0</v>
      </c>
      <c r="BE188" s="13">
        <f>IF($AD$128="si",BE174,0)</f>
        <v>0</v>
      </c>
      <c r="BF188" s="13">
        <f>IF($AD$128="si",BF174,0)</f>
        <v>0</v>
      </c>
      <c r="BG188" s="13">
        <f>IF($AD$129="si",BG174,0)</f>
        <v>0</v>
      </c>
      <c r="BH188" s="13">
        <f>IF($AD$129="si",BH174,0)</f>
        <v>0</v>
      </c>
      <c r="BI188" s="13">
        <f>IF($AD$130="si",BI174,0)</f>
        <v>1.5942481393866368</v>
      </c>
      <c r="BJ188" s="13">
        <f>IF($AD$130="si",BJ174,0)</f>
        <v>-3.6765137729703996</v>
      </c>
      <c r="BK188" s="13">
        <f>IF($AD$131="si",BK174,0)</f>
        <v>2.2894168507319601E-16</v>
      </c>
      <c r="BL188" s="13">
        <f>IF($AD$131="si",BL174,0)</f>
        <v>-3.7373705065035905</v>
      </c>
      <c r="BM188" s="13">
        <f>IF($AD$132="si",BM174,0)</f>
        <v>-1.5942481393866366</v>
      </c>
      <c r="BN188" s="13">
        <f>IF($AD$132="si",BN174,0)</f>
        <v>-3.6765137729703996</v>
      </c>
      <c r="BO188" s="13">
        <f>IF($AD$133="si",BO174,0)</f>
        <v>-3.1835652798692937</v>
      </c>
      <c r="BP188" s="13">
        <f>IF($AD$133="si",BP174,0)</f>
        <v>-3.4911671364102332</v>
      </c>
      <c r="BQ188" s="13">
        <f>IF($AD$134="si",BQ174,0)</f>
        <v>-4.7621175617680658</v>
      </c>
      <c r="BR188" s="13">
        <f>IF($AD$134="si",BR174,0)</f>
        <v>-3.1725031675284869</v>
      </c>
      <c r="BS188" s="13">
        <f>IF($AD$135="si",BS174,0)</f>
        <v>-6.3219057421889273</v>
      </c>
      <c r="BT188" s="13">
        <f>IF($AD$135="si",BT174,0)</f>
        <v>-2.7039695211361696</v>
      </c>
      <c r="BU188" s="13">
        <f>IF($AD$136="si",BU174,0)</f>
        <v>-7.8505349227251564</v>
      </c>
      <c r="BV188" s="13">
        <f>IF($AD$136="si",BV174,0)</f>
        <v>-2.0577961364005222</v>
      </c>
      <c r="BW188" s="13">
        <f t="shared" ref="BW188:CJ188" si="293">+BW174</f>
        <v>-8.9999999158860629</v>
      </c>
      <c r="BX188" s="13">
        <f t="shared" si="293"/>
        <v>-1.230467748946156E-3</v>
      </c>
      <c r="BY188" s="13">
        <f t="shared" si="293"/>
        <v>0</v>
      </c>
      <c r="BZ188" s="13">
        <f t="shared" si="293"/>
        <v>0</v>
      </c>
      <c r="CA188" s="13">
        <f t="shared" si="293"/>
        <v>0</v>
      </c>
      <c r="CB188" s="13">
        <f t="shared" si="293"/>
        <v>0</v>
      </c>
      <c r="CC188" s="13">
        <f t="shared" si="293"/>
        <v>0</v>
      </c>
      <c r="CD188" s="13">
        <f t="shared" si="293"/>
        <v>0</v>
      </c>
      <c r="CE188" s="13">
        <f t="shared" si="293"/>
        <v>0</v>
      </c>
      <c r="CF188" s="13">
        <f t="shared" si="293"/>
        <v>0</v>
      </c>
      <c r="CG188" s="13">
        <f t="shared" si="293"/>
        <v>0</v>
      </c>
      <c r="CH188" s="13">
        <f t="shared" si="293"/>
        <v>0</v>
      </c>
      <c r="CI188" s="13" t="e">
        <f t="shared" si="293"/>
        <v>#NUM!</v>
      </c>
      <c r="CJ188" s="13" t="e">
        <f t="shared" si="293"/>
        <v>#NUM!</v>
      </c>
    </row>
    <row r="189" spans="1:88" x14ac:dyDescent="0.25">
      <c r="B189" s="39">
        <v>0.25</v>
      </c>
      <c r="C189" s="38">
        <v>90</v>
      </c>
      <c r="D189" s="38">
        <f>+DEGREES(ASIN(COS(RADIANS(E186))*COS(RADIANS(D186))*COS(RADIANS(C189))+SIN(RADIANS(E186))*SIN(RADIANS(D186))))</f>
        <v>-3.5180405810133208E-2</v>
      </c>
      <c r="E189" s="38">
        <f>180-DEGREES(ACOS((((SIN(RADIANS(D189)))*SIN(RADIANS(E186)))-SIN(RADIANS(D186)))/((COS(RADIANS(D189)))*COS(RADIANS(E186)))))</f>
        <v>90.402117230089857</v>
      </c>
      <c r="G189">
        <f t="shared" ref="G189:G201" si="294">9-(D189/10)</f>
        <v>9.0035180405810138</v>
      </c>
      <c r="H189">
        <f t="shared" ref="H189:H201" si="295">90-E189+$AH$172</f>
        <v>-0.402117230089857</v>
      </c>
      <c r="I189" s="7">
        <f t="shared" ref="I189:I201" si="296">IF($E$186&gt;=$AE$174,0,G189*COS(RADIANS(H189)))</f>
        <v>9.0032963023590984</v>
      </c>
      <c r="J189" s="7">
        <f t="shared" ref="J189:J201" si="297">IF($E$186&gt;=$AE$174,0,G189*SIN(RADIANS(H189)))</f>
        <v>-6.3188598613629257E-2</v>
      </c>
      <c r="M189" s="39">
        <v>0.25</v>
      </c>
      <c r="N189" s="38">
        <v>90</v>
      </c>
      <c r="O189" s="38">
        <f>+DEGREES(ASIN(COS(RADIANS(P186))*COS(RADIANS(O186))*COS(RADIANS(N189))+SIN(RADIANS(P186))*SIN(RADIANS(O186))))</f>
        <v>-7.0093080568731952E-2</v>
      </c>
      <c r="P189" s="38">
        <f>180-DEGREES(ACOS((((SIN(RADIANS(O189)))*SIN(RADIANS(P186)))-SIN(RADIANS(O186)))/((COS(RADIANS(O189)))*COS(RADIANS(P186)))))</f>
        <v>90.397521001025282</v>
      </c>
      <c r="R189">
        <f t="shared" ref="R189:R201" si="298">9-(O189/10)</f>
        <v>9.0070093080568725</v>
      </c>
      <c r="S189">
        <f t="shared" ref="S189:S201" si="299">90-P189+$AH$172</f>
        <v>-0.39752100102528232</v>
      </c>
      <c r="T189" s="7">
        <f t="shared" ref="T189:T201" si="300">IF($P$186&gt;=$AE$174,0,R189*COS(RADIANS(S189)))</f>
        <v>9.006792525784844</v>
      </c>
      <c r="U189" s="7">
        <f t="shared" ref="U189:U201" si="301">IF($P$186&gt;=$AE$174,0,R189*SIN(RADIANS(S189)))</f>
        <v>-6.2490582405822691E-2</v>
      </c>
      <c r="AB189" s="39">
        <v>0.312500000000001</v>
      </c>
      <c r="AC189">
        <f t="shared" si="285"/>
        <v>67.5</v>
      </c>
      <c r="AD189" s="38">
        <f t="shared" si="273"/>
        <v>19.140322770208016</v>
      </c>
      <c r="AE189" s="38">
        <f t="shared" si="274"/>
        <v>102.06325931022904</v>
      </c>
      <c r="AG189">
        <f t="shared" si="279"/>
        <v>7.0859677229791984</v>
      </c>
      <c r="AH189">
        <f t="shared" si="280"/>
        <v>-12.063259310229043</v>
      </c>
      <c r="AI189" s="7">
        <f t="shared" si="281"/>
        <v>6.9294915061735685</v>
      </c>
      <c r="AJ189" s="7">
        <f t="shared" si="282"/>
        <v>-1.4809071668985123</v>
      </c>
      <c r="AK189" s="43"/>
      <c r="AN189" s="324"/>
      <c r="AO189" s="45">
        <f t="shared" ref="AO189:AX189" si="302">+AQ173</f>
        <v>0</v>
      </c>
      <c r="AP189" s="45">
        <f t="shared" si="302"/>
        <v>0</v>
      </c>
      <c r="AQ189" s="45">
        <f t="shared" si="302"/>
        <v>0</v>
      </c>
      <c r="AR189" s="45">
        <f t="shared" si="302"/>
        <v>0</v>
      </c>
      <c r="AS189" s="45">
        <f t="shared" si="302"/>
        <v>0</v>
      </c>
      <c r="AT189" s="45">
        <f t="shared" si="302"/>
        <v>0</v>
      </c>
      <c r="AU189" s="45">
        <f t="shared" si="302"/>
        <v>0</v>
      </c>
      <c r="AV189" s="45">
        <f t="shared" si="302"/>
        <v>0</v>
      </c>
      <c r="AW189" s="45">
        <f t="shared" si="302"/>
        <v>8.9999999158860629</v>
      </c>
      <c r="AX189" s="45">
        <f t="shared" si="302"/>
        <v>-1.2304677489461085E-3</v>
      </c>
      <c r="AY189" s="45">
        <f>IF($AD$125="si",BA173,0)</f>
        <v>0</v>
      </c>
      <c r="AZ189" s="45">
        <f>IF($AD$125="si",BB173,0)</f>
        <v>0</v>
      </c>
      <c r="BA189" s="45">
        <f>IF($AD$126="si",BC173,0)</f>
        <v>0</v>
      </c>
      <c r="BB189" s="45">
        <f>IF($AD$126="si",BD173,0)</f>
        <v>0</v>
      </c>
      <c r="BC189" s="45">
        <f>IF($AD$127="si",BE173,0)</f>
        <v>0</v>
      </c>
      <c r="BD189" s="45">
        <f>IF($AD$127="si",BF173,0)</f>
        <v>0</v>
      </c>
      <c r="BE189" s="45">
        <f>IF($AD$128="si",BG173,0)</f>
        <v>0</v>
      </c>
      <c r="BF189" s="45">
        <f>IF($AD$128="si",BH173,0)</f>
        <v>0</v>
      </c>
      <c r="BG189" s="45">
        <f>IF($AD$129="si",BI173,0)</f>
        <v>0</v>
      </c>
      <c r="BH189" s="45">
        <f>IF($AD$129="si",BJ173,0)</f>
        <v>0</v>
      </c>
      <c r="BI189" s="45">
        <f>IF($AD$130="si",BK173,0)</f>
        <v>2.8543812206334089E-16</v>
      </c>
      <c r="BJ189" s="45">
        <f>IF($AD$130="si",BL173,0)</f>
        <v>-4.6596495456484224</v>
      </c>
      <c r="BK189" s="45">
        <f>IF($AD$131="si",BM173,0)</f>
        <v>-1.6007777970337347</v>
      </c>
      <c r="BL189" s="45">
        <f>IF($AD$131="si",BN173,0)</f>
        <v>-4.6096209042552738</v>
      </c>
      <c r="BM189" s="45">
        <f>IF($AD$132="si",BO173,0)</f>
        <v>-3.1989291170115348</v>
      </c>
      <c r="BN189" s="45">
        <f>IF($AD$132="si",BP173,0)</f>
        <v>-4.4576700187236371</v>
      </c>
      <c r="BO189" s="45">
        <f>IF($AD$133="si",BQ173,0)</f>
        <v>-4.7914718059899393</v>
      </c>
      <c r="BP189" s="45">
        <f>IF($AD$133="si",BR173,0)</f>
        <v>-4.197866603942197</v>
      </c>
      <c r="BQ189" s="45">
        <f>IF($AD$134="si",BS173,0)</f>
        <v>-6.3745781167226738</v>
      </c>
      <c r="BR189" s="45">
        <f>IF($AD$134="si",BT173,0)</f>
        <v>-3.8190747682328157</v>
      </c>
      <c r="BS189" s="45">
        <f>IF($AD$135="si",IF(BU157=9,AV104,BU173),0)</f>
        <v>-7.9427188060969556</v>
      </c>
      <c r="BT189" s="45">
        <f>IF($AD$135="si",IF(BU157=9,AW104,BV173),0)</f>
        <v>-3.3025120163095805</v>
      </c>
      <c r="BU189" s="45">
        <f>IF($AD$136="si",IF(BW173&lt;=-8.99,AV105,BW173),0)</f>
        <v>-8.4494268639521586</v>
      </c>
      <c r="BV189" s="45">
        <f>IF($AD$136="si",IF(BW173&lt;=-8.99,AW105,BX173),0)</f>
        <v>-3.0995460426848935</v>
      </c>
      <c r="BW189" s="45">
        <f t="shared" ref="BW189:CJ189" si="303">+BY173</f>
        <v>0</v>
      </c>
      <c r="BX189" s="45">
        <f t="shared" si="303"/>
        <v>0</v>
      </c>
      <c r="BY189" s="45">
        <f t="shared" si="303"/>
        <v>0</v>
      </c>
      <c r="BZ189" s="45">
        <f t="shared" si="303"/>
        <v>0</v>
      </c>
      <c r="CA189" s="45">
        <f t="shared" si="303"/>
        <v>0</v>
      </c>
      <c r="CB189" s="45">
        <f t="shared" si="303"/>
        <v>0</v>
      </c>
      <c r="CC189" s="45">
        <f t="shared" si="303"/>
        <v>0</v>
      </c>
      <c r="CD189" s="45">
        <f t="shared" si="303"/>
        <v>0</v>
      </c>
      <c r="CE189" s="45">
        <f t="shared" si="303"/>
        <v>0</v>
      </c>
      <c r="CF189" s="45">
        <f t="shared" si="303"/>
        <v>0</v>
      </c>
      <c r="CG189" s="45" t="e">
        <f t="shared" si="303"/>
        <v>#NUM!</v>
      </c>
      <c r="CH189" s="45" t="e">
        <f t="shared" si="303"/>
        <v>#NUM!</v>
      </c>
      <c r="CI189" s="45">
        <f t="shared" si="303"/>
        <v>0</v>
      </c>
      <c r="CJ189" s="45">
        <f t="shared" si="303"/>
        <v>0</v>
      </c>
    </row>
    <row r="190" spans="1:88" x14ac:dyDescent="0.25">
      <c r="B190" s="39">
        <v>0.29166666666666669</v>
      </c>
      <c r="C190">
        <v>75</v>
      </c>
      <c r="D190" s="38">
        <f>+DEGREES(ASIN(COS(RADIANS(E186))*COS(RADIANS(D186))*COS(RADIANS(C190))+SIN(RADIANS(E186))*SIN(RADIANS(D186))))</f>
        <v>14.904799816556887</v>
      </c>
      <c r="E190" s="38">
        <f>180-DEGREES(ACOS((((SIN(RADIANS(D190)))*SIN(RADIANS(E186)))-SIN(RADIANS(D186)))/((COS(RADIANS(D190)))*COS(RADIANS(E186)))))</f>
        <v>91.753807425353287</v>
      </c>
      <c r="G190">
        <f t="shared" si="294"/>
        <v>7.5095200183443112</v>
      </c>
      <c r="H190">
        <f t="shared" si="295"/>
        <v>-1.7538074253532869</v>
      </c>
      <c r="I190" s="7">
        <f t="shared" si="296"/>
        <v>7.5060022533891617</v>
      </c>
      <c r="J190" s="7">
        <f t="shared" si="297"/>
        <v>-0.22982836646239974</v>
      </c>
      <c r="M190" s="39">
        <v>0.29166666666666669</v>
      </c>
      <c r="N190">
        <v>75</v>
      </c>
      <c r="O190" s="38">
        <f>+DEGREES(ASIN(COS(RADIANS(P186))*COS(RADIANS(O186))*COS(RADIANS(N190))+SIN(RADIANS(P186))*SIN(RADIANS(O186))))</f>
        <v>14.694039743431569</v>
      </c>
      <c r="P190" s="38">
        <f>180-DEGREES(ACOS((((SIN(RADIANS(O190)))*SIN(RADIANS(P186)))-SIN(RADIANS(O186)))/((COS(RADIANS(O190)))*COS(RADIANS(P186)))))</f>
        <v>93.07450525597902</v>
      </c>
      <c r="R190">
        <f t="shared" si="298"/>
        <v>7.5305960256568429</v>
      </c>
      <c r="S190">
        <f t="shared" si="299"/>
        <v>-3.0745052559790196</v>
      </c>
      <c r="T190" s="7">
        <f t="shared" si="300"/>
        <v>7.5197567475893017</v>
      </c>
      <c r="U190" s="7">
        <f t="shared" si="301"/>
        <v>-0.40389968893748579</v>
      </c>
      <c r="AB190" s="39">
        <v>0.32291666666666802</v>
      </c>
      <c r="AC190">
        <f t="shared" si="285"/>
        <v>63.75</v>
      </c>
      <c r="AD190" s="38">
        <f t="shared" si="273"/>
        <v>22.302790902157312</v>
      </c>
      <c r="AE190" s="38">
        <f t="shared" si="274"/>
        <v>104.21812868870686</v>
      </c>
      <c r="AG190">
        <f t="shared" si="279"/>
        <v>6.7697209097842688</v>
      </c>
      <c r="AH190">
        <f t="shared" si="280"/>
        <v>-14.218128688706855</v>
      </c>
      <c r="AI190" s="7">
        <f t="shared" si="281"/>
        <v>6.5623486851340873</v>
      </c>
      <c r="AJ190" s="7">
        <f t="shared" si="282"/>
        <v>-1.6627389846543152</v>
      </c>
      <c r="AK190" s="43"/>
    </row>
    <row r="191" spans="1:88" x14ac:dyDescent="0.25">
      <c r="B191" s="39">
        <v>0.33333333333333298</v>
      </c>
      <c r="C191" s="38">
        <v>60</v>
      </c>
      <c r="D191" s="38">
        <f>+DEGREES(ASIN(COS(RADIANS(E186))*COS(RADIANS(D186))*COS(RADIANS(C191))+SIN(RADIANS(E186))*SIN(RADIANS(D186))))</f>
        <v>29.832821574407284</v>
      </c>
      <c r="E191" s="38">
        <f>180-DEGREES(ACOS((((SIN(RADIANS(D191)))*SIN(RADIANS(E186)))-SIN(RADIANS(D186)))/((COS(RADIANS(D191)))*COS(RADIANS(E186)))))</f>
        <v>93.34362055594309</v>
      </c>
      <c r="G191">
        <f t="shared" si="294"/>
        <v>6.016717842559272</v>
      </c>
      <c r="H191">
        <f t="shared" si="295"/>
        <v>-3.3436205559430903</v>
      </c>
      <c r="I191" s="7">
        <f t="shared" si="296"/>
        <v>6.0064755989035694</v>
      </c>
      <c r="J191" s="7">
        <f t="shared" si="297"/>
        <v>-0.35091947330849393</v>
      </c>
      <c r="M191" s="39">
        <v>0.33333333333333298</v>
      </c>
      <c r="N191" s="38">
        <v>60</v>
      </c>
      <c r="O191" s="38">
        <f>+DEGREES(ASIN(COS(RADIANS(P186))*COS(RADIANS(O186))*COS(RADIANS(N191))+SIN(RADIANS(P186))*SIN(RADIANS(O186))))</f>
        <v>29.417399639445083</v>
      </c>
      <c r="P191" s="38">
        <f>180-DEGREES(ACOS((((SIN(RADIANS(O191)))*SIN(RADIANS(P186)))-SIN(RADIANS(O186)))/((COS(RADIANS(O191)))*COS(RADIANS(P186)))))</f>
        <v>96.179191790944685</v>
      </c>
      <c r="R191">
        <f t="shared" si="298"/>
        <v>6.0582600360554917</v>
      </c>
      <c r="S191">
        <f t="shared" si="299"/>
        <v>-6.1791917909446852</v>
      </c>
      <c r="T191" s="7">
        <f t="shared" si="300"/>
        <v>6.0230622766376207</v>
      </c>
      <c r="U191" s="7">
        <f t="shared" si="301"/>
        <v>-0.65210081752129223</v>
      </c>
      <c r="AB191" s="39">
        <v>0.33333333333333298</v>
      </c>
      <c r="AC191">
        <f t="shared" si="285"/>
        <v>60</v>
      </c>
      <c r="AD191" s="38">
        <f t="shared" si="273"/>
        <v>25.434529047364645</v>
      </c>
      <c r="AE191" s="38">
        <f t="shared" si="274"/>
        <v>106.4740194500216</v>
      </c>
      <c r="AG191">
        <f t="shared" si="279"/>
        <v>6.4565470952635353</v>
      </c>
      <c r="AH191">
        <f t="shared" si="280"/>
        <v>-16.474019450021601</v>
      </c>
      <c r="AI191" s="7">
        <f t="shared" si="281"/>
        <v>6.1914956482620465</v>
      </c>
      <c r="AJ191" s="7">
        <f t="shared" si="282"/>
        <v>-1.8309511273947583</v>
      </c>
      <c r="AK191" s="43"/>
      <c r="AN191" s="322" t="s">
        <v>102</v>
      </c>
      <c r="AO191" s="46">
        <f t="shared" ref="AO191:AX191" si="304">+AO174</f>
        <v>0</v>
      </c>
      <c r="AP191" s="46">
        <f t="shared" si="304"/>
        <v>0</v>
      </c>
      <c r="AQ191" s="46">
        <f t="shared" si="304"/>
        <v>0</v>
      </c>
      <c r="AR191" s="46">
        <f t="shared" si="304"/>
        <v>0</v>
      </c>
      <c r="AS191" s="46">
        <f t="shared" si="304"/>
        <v>0</v>
      </c>
      <c r="AT191" s="46">
        <f t="shared" si="304"/>
        <v>0</v>
      </c>
      <c r="AU191" s="46">
        <f t="shared" si="304"/>
        <v>0</v>
      </c>
      <c r="AV191" s="46">
        <f t="shared" si="304"/>
        <v>0</v>
      </c>
      <c r="AW191" s="46">
        <f t="shared" si="304"/>
        <v>0</v>
      </c>
      <c r="AX191" s="46">
        <f t="shared" si="304"/>
        <v>0</v>
      </c>
      <c r="AY191" s="46">
        <f>IF($AF$125="si",IF(AY174&gt;=8.99,BG93,AY174),0)</f>
        <v>0</v>
      </c>
      <c r="AZ191" s="46">
        <f>IF($AF$125="si",IF(AY174&gt;=8.99,BH93,AZ174),0)</f>
        <v>0</v>
      </c>
      <c r="BA191" s="46">
        <f>IF($AF$126="si",BA174,0)</f>
        <v>0</v>
      </c>
      <c r="BB191" s="46">
        <f>IF($AF$126="si",BB174,0)</f>
        <v>0</v>
      </c>
      <c r="BC191" s="46">
        <f>IF($AF$127="si",BC174,0)</f>
        <v>0</v>
      </c>
      <c r="BD191" s="46">
        <f>IF($AF$127="si",BD174,0)</f>
        <v>0</v>
      </c>
      <c r="BE191" s="46">
        <f>IF($AF$128="si",BE174,0)</f>
        <v>0</v>
      </c>
      <c r="BF191" s="46">
        <f>IF($AF$128="si",BF174,0)</f>
        <v>0</v>
      </c>
      <c r="BG191" s="46">
        <f>IF($AF$129="si",BG174,0)</f>
        <v>3.1835652798692924</v>
      </c>
      <c r="BH191" s="46">
        <f>IF($AF$129="si",BH174,0)</f>
        <v>-3.4911671364102346</v>
      </c>
      <c r="BI191" s="46">
        <f>IF($AF$130="si",BI174,0)</f>
        <v>1.5942481393866368</v>
      </c>
      <c r="BJ191" s="46">
        <f>IF($AF$130="si",BJ174,0)</f>
        <v>-3.6765137729703996</v>
      </c>
      <c r="BK191" s="46">
        <f>IF($AF$131="si",BK174,0)</f>
        <v>2.2894168507319601E-16</v>
      </c>
      <c r="BL191" s="46">
        <f>IF($AF$131="si",BL174,0)</f>
        <v>-3.7373705065035905</v>
      </c>
      <c r="BM191" s="46">
        <f>IF($AF$132="si",BM174,0)</f>
        <v>-1.5942481393866366</v>
      </c>
      <c r="BN191" s="46">
        <f>IF($AF$132="si",BN174,0)</f>
        <v>-3.6765137729703996</v>
      </c>
      <c r="BO191" s="46">
        <f>IF($AF$133="si",BO174,0)</f>
        <v>-3.1835652798692937</v>
      </c>
      <c r="BP191" s="46">
        <f>IF($AF$133="si",BP174,0)</f>
        <v>-3.4911671364102332</v>
      </c>
      <c r="BQ191" s="46">
        <f>IF($AF$134="si",BQ174,0)</f>
        <v>-4.7621175617680658</v>
      </c>
      <c r="BR191" s="46">
        <f>IF($AF$134="si",BR174,0)</f>
        <v>-3.1725031675284869</v>
      </c>
      <c r="BS191" s="46">
        <f>IF($AF$135="si",BS174,0)</f>
        <v>-6.3219057421889273</v>
      </c>
      <c r="BT191" s="46">
        <f>IF($AF$135="si",BT174,0)</f>
        <v>-2.7039695211361696</v>
      </c>
      <c r="BU191" s="46">
        <f>IF($AF$136="si",BU174,0)</f>
        <v>-7.8505349227251564</v>
      </c>
      <c r="BV191" s="46">
        <f>IF($AF$136="si",BV174,0)</f>
        <v>-2.0577961364005222</v>
      </c>
      <c r="BW191" s="46">
        <f t="shared" ref="BW191:CJ191" si="305">+BW174</f>
        <v>-8.9999999158860629</v>
      </c>
      <c r="BX191" s="46">
        <f t="shared" si="305"/>
        <v>-1.230467748946156E-3</v>
      </c>
      <c r="BY191" s="46">
        <f t="shared" si="305"/>
        <v>0</v>
      </c>
      <c r="BZ191" s="46">
        <f t="shared" si="305"/>
        <v>0</v>
      </c>
      <c r="CA191" s="46">
        <f t="shared" si="305"/>
        <v>0</v>
      </c>
      <c r="CB191" s="46">
        <f t="shared" si="305"/>
        <v>0</v>
      </c>
      <c r="CC191" s="46">
        <f t="shared" si="305"/>
        <v>0</v>
      </c>
      <c r="CD191" s="46">
        <f t="shared" si="305"/>
        <v>0</v>
      </c>
      <c r="CE191" s="46">
        <f t="shared" si="305"/>
        <v>0</v>
      </c>
      <c r="CF191" s="46">
        <f t="shared" si="305"/>
        <v>0</v>
      </c>
      <c r="CG191" s="46">
        <f t="shared" si="305"/>
        <v>0</v>
      </c>
      <c r="CH191" s="46">
        <f t="shared" si="305"/>
        <v>0</v>
      </c>
      <c r="CI191" s="46" t="e">
        <f t="shared" si="305"/>
        <v>#NUM!</v>
      </c>
      <c r="CJ191" s="46" t="e">
        <f t="shared" si="305"/>
        <v>#NUM!</v>
      </c>
    </row>
    <row r="192" spans="1:88" x14ac:dyDescent="0.25">
      <c r="B192" s="39">
        <v>0.375</v>
      </c>
      <c r="C192">
        <v>45</v>
      </c>
      <c r="D192" s="38">
        <f>+DEGREES(ASIN(COS(RADIANS(E186))*COS(RADIANS(D186))*COS(RADIANS(C192))+SIN(RADIANS(E186))*SIN(RADIANS(D186))))</f>
        <v>44.731431648789403</v>
      </c>
      <c r="E192" s="38">
        <f>180-DEGREES(ACOS((((SIN(RADIANS(D192)))*SIN(RADIANS(E186)))-SIN(RADIANS(D186)))/((COS(RADIANS(D192)))*COS(RADIANS(E186)))))</f>
        <v>95.544968751429025</v>
      </c>
      <c r="G192">
        <f t="shared" si="294"/>
        <v>4.5268568351210599</v>
      </c>
      <c r="H192">
        <f t="shared" si="295"/>
        <v>-5.5449687514290247</v>
      </c>
      <c r="I192" s="7">
        <f t="shared" si="296"/>
        <v>4.505674164506801</v>
      </c>
      <c r="J192" s="7">
        <f t="shared" si="297"/>
        <v>-0.43741642513536494</v>
      </c>
      <c r="M192" s="39">
        <v>0.375</v>
      </c>
      <c r="N192">
        <v>45</v>
      </c>
      <c r="O192" s="38">
        <f>+DEGREES(ASIN(COS(RADIANS(P186))*COS(RADIANS(O186))*COS(RADIANS(N192))+SIN(RADIANS(P186))*SIN(RADIANS(O186))))</f>
        <v>44.03706769238434</v>
      </c>
      <c r="P192" s="38">
        <f>180-DEGREES(ACOS((((SIN(RADIANS(O192)))*SIN(RADIANS(P186)))-SIN(RADIANS(O186)))/((COS(RADIANS(O192)))*COS(RADIANS(P186)))))</f>
        <v>100.39589131604674</v>
      </c>
      <c r="R192">
        <f t="shared" si="298"/>
        <v>4.5962932307615656</v>
      </c>
      <c r="S192">
        <f t="shared" si="299"/>
        <v>-10.395891316046743</v>
      </c>
      <c r="T192" s="7">
        <f t="shared" si="300"/>
        <v>4.5208423808423577</v>
      </c>
      <c r="U192" s="7">
        <f t="shared" si="301"/>
        <v>-0.8293947375792744</v>
      </c>
      <c r="AB192" s="39">
        <v>0.343750000000002</v>
      </c>
      <c r="AC192">
        <f t="shared" si="285"/>
        <v>56.25</v>
      </c>
      <c r="AD192" s="38">
        <f t="shared" si="273"/>
        <v>28.528998516080662</v>
      </c>
      <c r="AE192" s="38">
        <f t="shared" si="274"/>
        <v>108.85130613630989</v>
      </c>
      <c r="AG192">
        <f t="shared" si="279"/>
        <v>6.1471001483919334</v>
      </c>
      <c r="AH192">
        <f t="shared" si="280"/>
        <v>-18.851306136309887</v>
      </c>
      <c r="AI192" s="7">
        <f t="shared" si="281"/>
        <v>5.8173715667204986</v>
      </c>
      <c r="AJ192" s="7">
        <f t="shared" si="282"/>
        <v>-1.9862095279884302</v>
      </c>
      <c r="AK192" s="43"/>
      <c r="AN192" s="323"/>
      <c r="AO192" s="13">
        <f t="shared" ref="AO192:AX192" si="306">+AQ175</f>
        <v>0</v>
      </c>
      <c r="AP192" s="13">
        <f t="shared" si="306"/>
        <v>0</v>
      </c>
      <c r="AQ192" s="13">
        <f t="shared" si="306"/>
        <v>0</v>
      </c>
      <c r="AR192" s="13">
        <f t="shared" si="306"/>
        <v>0</v>
      </c>
      <c r="AS192" s="13">
        <f t="shared" si="306"/>
        <v>0</v>
      </c>
      <c r="AT192" s="13">
        <f t="shared" si="306"/>
        <v>0</v>
      </c>
      <c r="AU192" s="13">
        <f t="shared" si="306"/>
        <v>0</v>
      </c>
      <c r="AV192" s="13">
        <f t="shared" si="306"/>
        <v>0</v>
      </c>
      <c r="AW192" s="13">
        <f t="shared" si="306"/>
        <v>8.7883582682606036</v>
      </c>
      <c r="AX192" s="13">
        <f t="shared" si="306"/>
        <v>0.53934028205281404</v>
      </c>
      <c r="AY192" s="13">
        <f>IF($AF$125="si",BA175,0)</f>
        <v>0</v>
      </c>
      <c r="AZ192" s="13">
        <f>IF($AF$125="si",BB175,0)</f>
        <v>0</v>
      </c>
      <c r="BA192" s="13">
        <f>IF($AF$126="si",BC175,0)</f>
        <v>0</v>
      </c>
      <c r="BB192" s="13">
        <f>IF($AF$126="si",BD175,0)</f>
        <v>0</v>
      </c>
      <c r="BC192" s="13">
        <f>IF($AF$127="si",+BE175,0)</f>
        <v>0</v>
      </c>
      <c r="BD192" s="13">
        <f>IF($AF$127="si",BF175,0)</f>
        <v>0</v>
      </c>
      <c r="BE192" s="13">
        <f>IF($AF$128="si",BG175,0)</f>
        <v>0</v>
      </c>
      <c r="BF192" s="13">
        <f>IF($AF$128="si",BH175,0)</f>
        <v>0</v>
      </c>
      <c r="BG192" s="13">
        <f>IF($AF$129="si",BI175,0)</f>
        <v>1.5435540171470266</v>
      </c>
      <c r="BH192" s="13">
        <f>IF($AF$129="si",BJ175,0)</f>
        <v>-2.4338374353420646</v>
      </c>
      <c r="BI192" s="13">
        <f>IF($AF$130="si",BK175,0)</f>
        <v>1.5353055534212649E-16</v>
      </c>
      <c r="BJ192" s="13">
        <f>IF($AF$130="si",BL175,0)</f>
        <v>-2.5063175768944319</v>
      </c>
      <c r="BK192" s="13">
        <f>IF($AF$131="si",BM175,0)</f>
        <v>-1.5435540171470263</v>
      </c>
      <c r="BL192" s="13">
        <f>IF($AF$131="si",BN175,0)</f>
        <v>-2.4338374353420638</v>
      </c>
      <c r="BM192" s="13">
        <f>IF($AF$132="si",BO175,0)</f>
        <v>-3.0773552908954072</v>
      </c>
      <c r="BN192" s="13">
        <f>IF($AF$132="si",BP175,0)</f>
        <v>-2.2128940080973152</v>
      </c>
      <c r="BO192" s="13">
        <f>IF($AF$133="si",BQ175,0)</f>
        <v>-4.5898087062962007</v>
      </c>
      <c r="BP192" s="13">
        <f>IF($AF$133="si",BR175,0)</f>
        <v>-1.8324364394971169</v>
      </c>
      <c r="BQ192" s="13">
        <f>IF($AF$134="si",BS175,0)</f>
        <v>-6.0649626831945911</v>
      </c>
      <c r="BR192" s="13">
        <f>IF($AF$134="si",BT175,0)</f>
        <v>-1.2721013335297828</v>
      </c>
      <c r="BS192" s="13">
        <f>IF($AF$135="si",BU175,0)</f>
        <v>-7.4782579609816162</v>
      </c>
      <c r="BT192" s="13">
        <f>IF($AF$135="si",BV175,0)</f>
        <v>-0.49877504340215972</v>
      </c>
      <c r="BU192" s="13">
        <f>IF($AF$136="si",IF(BW175&lt;=-8.99,BR105,BW175),0)</f>
        <v>-8.7883582682606036</v>
      </c>
      <c r="BV192" s="13">
        <f>IF($AF$136="si",IF(BW175&lt;=-8.99,BS105,BX175),0)</f>
        <v>0.53934028205281592</v>
      </c>
      <c r="BW192" s="13">
        <f t="shared" ref="BW192:CJ192" si="307">+BY175</f>
        <v>0</v>
      </c>
      <c r="BX192" s="13">
        <f t="shared" si="307"/>
        <v>0</v>
      </c>
      <c r="BY192" s="13">
        <f t="shared" si="307"/>
        <v>0</v>
      </c>
      <c r="BZ192" s="13">
        <f t="shared" si="307"/>
        <v>0</v>
      </c>
      <c r="CA192" s="13">
        <f t="shared" si="307"/>
        <v>0</v>
      </c>
      <c r="CB192" s="13">
        <f t="shared" si="307"/>
        <v>0</v>
      </c>
      <c r="CC192" s="13">
        <f t="shared" si="307"/>
        <v>0</v>
      </c>
      <c r="CD192" s="13">
        <f t="shared" si="307"/>
        <v>0</v>
      </c>
      <c r="CE192" s="13">
        <f t="shared" si="307"/>
        <v>0</v>
      </c>
      <c r="CF192" s="13">
        <f t="shared" si="307"/>
        <v>0</v>
      </c>
      <c r="CG192" s="13" t="e">
        <f t="shared" si="307"/>
        <v>#NUM!</v>
      </c>
      <c r="CH192" s="13" t="e">
        <f t="shared" si="307"/>
        <v>#NUM!</v>
      </c>
      <c r="CI192" s="13">
        <f t="shared" si="307"/>
        <v>0</v>
      </c>
      <c r="CJ192" s="13">
        <f t="shared" si="307"/>
        <v>0</v>
      </c>
    </row>
    <row r="193" spans="1:88" x14ac:dyDescent="0.25">
      <c r="B193" s="39">
        <v>0.41666666666666702</v>
      </c>
      <c r="C193" s="38">
        <v>30</v>
      </c>
      <c r="D193" s="38">
        <f>+DEGREES(ASIN(COS(RADIANS(E186))*COS(RADIANS(D186))*COS(RADIANS(C193))+SIN(RADIANS(E186))*SIN(RADIANS(D186))))</f>
        <v>59.552572012755121</v>
      </c>
      <c r="E193" s="38">
        <f>180-DEGREES(ACOS((((SIN(RADIANS(D193)))*SIN(RADIANS(E186)))-SIN(RADIANS(D186)))/((COS(RADIANS(D193)))*COS(RADIANS(E186)))))</f>
        <v>99.36910310685964</v>
      </c>
      <c r="G193">
        <f t="shared" si="294"/>
        <v>3.0447427987244877</v>
      </c>
      <c r="H193">
        <f t="shared" si="295"/>
        <v>-9.3691031068596402</v>
      </c>
      <c r="I193" s="7">
        <f t="shared" si="296"/>
        <v>3.004126210192533</v>
      </c>
      <c r="J193" s="7">
        <f t="shared" si="297"/>
        <v>-0.49566563691552751</v>
      </c>
      <c r="M193" s="39">
        <v>0.41666666666666702</v>
      </c>
      <c r="N193" s="38">
        <v>30</v>
      </c>
      <c r="O193" s="38">
        <f>+DEGREES(ASIN(COS(RADIANS(P186))*COS(RADIANS(O186))*COS(RADIANS(N193))+SIN(RADIANS(P186))*SIN(RADIANS(O186))))</f>
        <v>58.388747672962069</v>
      </c>
      <c r="P193" s="38">
        <f>180-DEGREES(ACOS((((SIN(RADIANS(O193)))*SIN(RADIANS(P186)))-SIN(RADIANS(O186)))/((COS(RADIANS(O193)))*COS(RADIANS(P186)))))</f>
        <v>107.46585839239938</v>
      </c>
      <c r="R193">
        <f t="shared" si="298"/>
        <v>3.1611252327037933</v>
      </c>
      <c r="S193">
        <f t="shared" si="299"/>
        <v>-17.465858392399383</v>
      </c>
      <c r="T193" s="7">
        <f t="shared" si="300"/>
        <v>3.0153846107520401</v>
      </c>
      <c r="U193" s="7">
        <f t="shared" si="301"/>
        <v>-0.94877204115444957</v>
      </c>
      <c r="AB193" s="39">
        <v>0.35416666666666902</v>
      </c>
      <c r="AC193">
        <f t="shared" si="285"/>
        <v>52.5</v>
      </c>
      <c r="AD193" s="38">
        <f t="shared" si="273"/>
        <v>31.578567749170684</v>
      </c>
      <c r="AE193" s="38">
        <f t="shared" si="274"/>
        <v>111.37309110119403</v>
      </c>
      <c r="AG193">
        <f t="shared" si="279"/>
        <v>5.8421432250829319</v>
      </c>
      <c r="AH193">
        <f t="shared" si="280"/>
        <v>-21.373091101194035</v>
      </c>
      <c r="AI193" s="7">
        <f t="shared" si="281"/>
        <v>5.4403619597776451</v>
      </c>
      <c r="AJ193" s="7">
        <f t="shared" si="282"/>
        <v>-2.1291076085972591</v>
      </c>
      <c r="AK193" s="43"/>
      <c r="AN193" s="323"/>
      <c r="AO193" s="13">
        <f t="shared" ref="AO193:AX193" si="308">+AO175</f>
        <v>0</v>
      </c>
      <c r="AP193" s="13">
        <f t="shared" si="308"/>
        <v>0</v>
      </c>
      <c r="AQ193" s="13">
        <f t="shared" si="308"/>
        <v>0</v>
      </c>
      <c r="AR193" s="13">
        <f t="shared" si="308"/>
        <v>0</v>
      </c>
      <c r="AS193" s="13">
        <f t="shared" si="308"/>
        <v>0</v>
      </c>
      <c r="AT193" s="13">
        <f t="shared" si="308"/>
        <v>0</v>
      </c>
      <c r="AU193" s="13">
        <f t="shared" si="308"/>
        <v>0</v>
      </c>
      <c r="AV193" s="13">
        <f t="shared" si="308"/>
        <v>0</v>
      </c>
      <c r="AW193" s="13">
        <f t="shared" si="308"/>
        <v>0</v>
      </c>
      <c r="AX193" s="13">
        <f t="shared" si="308"/>
        <v>0</v>
      </c>
      <c r="AY193" s="13">
        <f>IF($AF$125="si",IF(AY175&gt;=8.99,BR93,AY175),0)</f>
        <v>0</v>
      </c>
      <c r="AZ193" s="13">
        <f>IF($AF$125="si",IF(AY175&gt;=8.99,BS93,AZ175),0)</f>
        <v>0</v>
      </c>
      <c r="BA193" s="13">
        <f>IF($AF$126="si",BA175,0)</f>
        <v>0</v>
      </c>
      <c r="BB193" s="13">
        <f>IF($AF$126="si",BB175,0)</f>
        <v>0</v>
      </c>
      <c r="BC193" s="13">
        <f>IF($AF$127="si",BC175,0)</f>
        <v>0</v>
      </c>
      <c r="BD193" s="13">
        <f>IF($AF$127="si",BD175,0)</f>
        <v>0</v>
      </c>
      <c r="BE193" s="13">
        <f>IF($AF$128="si",BE175,0)</f>
        <v>0</v>
      </c>
      <c r="BF193" s="13">
        <f>IF($AF$128="si",BF175,0)</f>
        <v>0</v>
      </c>
      <c r="BG193" s="13">
        <f>IF($AF$129="si",BG175,0)</f>
        <v>3.0773552908954085</v>
      </c>
      <c r="BH193" s="13">
        <f>IF($AF$129="si",BH175,0)</f>
        <v>-2.2128940080973147</v>
      </c>
      <c r="BI193" s="13">
        <f>IF($AF$130="si",BI175,0)</f>
        <v>1.5435540171470266</v>
      </c>
      <c r="BJ193" s="13">
        <f>IF($AF$130="si",BJ175,0)</f>
        <v>-2.4338374353420646</v>
      </c>
      <c r="BK193" s="13">
        <f>IF($AF$131="si",BK175,0)</f>
        <v>1.5353055534212649E-16</v>
      </c>
      <c r="BL193" s="13">
        <f>IF($AF$131="si",BL175,0)</f>
        <v>-2.5063175768944319</v>
      </c>
      <c r="BM193" s="13">
        <f>IF($AF$132="si",BM175,0)</f>
        <v>-1.5435540171470263</v>
      </c>
      <c r="BN193" s="13">
        <f>IF($AF$132="si",BN175,0)</f>
        <v>-2.4338374353420638</v>
      </c>
      <c r="BO193" s="13">
        <f>IF($AF$133="si",BO175,0)</f>
        <v>-3.0773552908954072</v>
      </c>
      <c r="BP193" s="13">
        <f>IF($AF$133="si",BP175,0)</f>
        <v>-2.2128940080973152</v>
      </c>
      <c r="BQ193" s="13">
        <f>IF($AF$134="si",BQ175,0)</f>
        <v>-4.5898087062962007</v>
      </c>
      <c r="BR193" s="13">
        <f>IF($AF$134="si",BR175,0)</f>
        <v>-1.8324364394971169</v>
      </c>
      <c r="BS193" s="13">
        <f>IF($AF$135="si",BS175,0)</f>
        <v>-6.0649626831945911</v>
      </c>
      <c r="BT193" s="13">
        <f>IF($AF$135="si",BT175,0)</f>
        <v>-1.2721013335297828</v>
      </c>
      <c r="BU193" s="13">
        <f>IF($AF$136="si",BU175,0)</f>
        <v>-7.4782579609816162</v>
      </c>
      <c r="BV193" s="13">
        <f>IF($AF$136="si",BV175,0)</f>
        <v>-0.49877504340215972</v>
      </c>
      <c r="BW193" s="13">
        <f t="shared" ref="BW193:CJ193" si="309">+BW175</f>
        <v>-8.7883582682606036</v>
      </c>
      <c r="BX193" s="13">
        <f t="shared" si="309"/>
        <v>0.53934028205281592</v>
      </c>
      <c r="BY193" s="13">
        <f t="shared" si="309"/>
        <v>0</v>
      </c>
      <c r="BZ193" s="13">
        <f t="shared" si="309"/>
        <v>0</v>
      </c>
      <c r="CA193" s="13">
        <f t="shared" si="309"/>
        <v>0</v>
      </c>
      <c r="CB193" s="13">
        <f t="shared" si="309"/>
        <v>0</v>
      </c>
      <c r="CC193" s="13">
        <f t="shared" si="309"/>
        <v>0</v>
      </c>
      <c r="CD193" s="13">
        <f t="shared" si="309"/>
        <v>0</v>
      </c>
      <c r="CE193" s="13">
        <f t="shared" si="309"/>
        <v>0</v>
      </c>
      <c r="CF193" s="13">
        <f t="shared" si="309"/>
        <v>0</v>
      </c>
      <c r="CG193" s="13">
        <f t="shared" si="309"/>
        <v>0</v>
      </c>
      <c r="CH193" s="13">
        <f t="shared" si="309"/>
        <v>0</v>
      </c>
      <c r="CI193" s="13" t="e">
        <f t="shared" si="309"/>
        <v>#NUM!</v>
      </c>
      <c r="CJ193" s="13" t="e">
        <f t="shared" si="309"/>
        <v>#NUM!</v>
      </c>
    </row>
    <row r="194" spans="1:88" x14ac:dyDescent="0.25">
      <c r="B194" s="39">
        <v>0.45833333333333298</v>
      </c>
      <c r="C194">
        <v>15</v>
      </c>
      <c r="D194" s="38">
        <f>+DEGREES(ASIN(COS(RADIANS(E186))*COS(RADIANS(D186))*COS(RADIANS(C194))+SIN(RADIANS(E186))*SIN(RADIANS(D186))))</f>
        <v>74.073039849887181</v>
      </c>
      <c r="E194" s="38">
        <f>180-DEGREES(ACOS((((SIN(RADIANS(D194)))*SIN(RADIANS(E186)))-SIN(RADIANS(D186)))/((COS(RADIANS(D194)))*COS(RADIANS(E186)))))</f>
        <v>109.41177556484027</v>
      </c>
      <c r="G194">
        <f t="shared" si="294"/>
        <v>1.5926960150112821</v>
      </c>
      <c r="H194">
        <f t="shared" si="295"/>
        <v>-19.411775564840269</v>
      </c>
      <c r="I194" s="7">
        <f t="shared" si="296"/>
        <v>1.5021582089996295</v>
      </c>
      <c r="J194" s="7">
        <f t="shared" si="297"/>
        <v>-0.52934044939702429</v>
      </c>
      <c r="M194" s="39">
        <v>0.45833333333333298</v>
      </c>
      <c r="N194">
        <v>15</v>
      </c>
      <c r="O194" s="38">
        <f>+DEGREES(ASIN(COS(RADIANS(P186))*COS(RADIANS(O186))*COS(RADIANS(N194))+SIN(RADIANS(P186))*SIN(RADIANS(O186))))</f>
        <v>71.805913239559928</v>
      </c>
      <c r="P194" s="38">
        <f>180-DEGREES(ACOS((((SIN(RADIANS(O194)))*SIN(RADIANS(P186)))-SIN(RADIANS(O186)))/((COS(RADIANS(O194)))*COS(RADIANS(P186)))))</f>
        <v>124.01426493967799</v>
      </c>
      <c r="R194">
        <f t="shared" si="298"/>
        <v>1.8194086760440076</v>
      </c>
      <c r="S194">
        <f t="shared" si="299"/>
        <v>-34.014264939677986</v>
      </c>
      <c r="T194" s="7">
        <f t="shared" si="300"/>
        <v>1.5081048031766149</v>
      </c>
      <c r="U194" s="7">
        <f t="shared" si="301"/>
        <v>-1.0177759247986915</v>
      </c>
      <c r="AB194" s="39">
        <v>0.36458333333333598</v>
      </c>
      <c r="AC194">
        <f t="shared" si="285"/>
        <v>48.75</v>
      </c>
      <c r="AD194" s="38">
        <f t="shared" si="273"/>
        <v>34.574235654839462</v>
      </c>
      <c r="AE194" s="38">
        <f t="shared" si="274"/>
        <v>114.06570188831427</v>
      </c>
      <c r="AG194">
        <f t="shared" si="279"/>
        <v>5.5425764345160538</v>
      </c>
      <c r="AH194">
        <f t="shared" si="280"/>
        <v>-24.065701888314265</v>
      </c>
      <c r="AI194" s="7">
        <f t="shared" si="281"/>
        <v>5.0608070798523244</v>
      </c>
      <c r="AJ194" s="7">
        <f t="shared" si="282"/>
        <v>-2.2601737174317549</v>
      </c>
      <c r="AK194" s="43"/>
      <c r="AN194" s="324"/>
      <c r="AO194" s="45">
        <f t="shared" ref="AO194:AX194" si="310">+AQ174</f>
        <v>0</v>
      </c>
      <c r="AP194" s="45">
        <f t="shared" si="310"/>
        <v>0</v>
      </c>
      <c r="AQ194" s="45">
        <f t="shared" si="310"/>
        <v>0</v>
      </c>
      <c r="AR194" s="45">
        <f t="shared" si="310"/>
        <v>0</v>
      </c>
      <c r="AS194" s="45">
        <f t="shared" si="310"/>
        <v>0</v>
      </c>
      <c r="AT194" s="45">
        <f t="shared" si="310"/>
        <v>0</v>
      </c>
      <c r="AU194" s="45">
        <f t="shared" si="310"/>
        <v>0</v>
      </c>
      <c r="AV194" s="45">
        <f t="shared" si="310"/>
        <v>0</v>
      </c>
      <c r="AW194" s="45">
        <f t="shared" si="310"/>
        <v>8.9999999158860629</v>
      </c>
      <c r="AX194" s="45">
        <f t="shared" si="310"/>
        <v>-1.2304677489461085E-3</v>
      </c>
      <c r="AY194" s="45">
        <f>IF($AF$125="si",BA174,0)</f>
        <v>0</v>
      </c>
      <c r="AZ194" s="45">
        <f>IF($AF$125="si",BB174,0)</f>
        <v>0</v>
      </c>
      <c r="BA194" s="45">
        <f>IF($AF$126="si",BC174,0)</f>
        <v>0</v>
      </c>
      <c r="BB194" s="45">
        <f>IF($AF$126="si",BD174,0)</f>
        <v>0</v>
      </c>
      <c r="BC194" s="45">
        <f>IF($AF$127="si",BE174,0)</f>
        <v>0</v>
      </c>
      <c r="BD194" s="45">
        <f>IF($AF$127="si",BF174,0)</f>
        <v>0</v>
      </c>
      <c r="BE194" s="45">
        <f>IF($AF$128="si",BG174,0)</f>
        <v>0</v>
      </c>
      <c r="BF194" s="45">
        <f>IF($AF$128="si",BH174,0)</f>
        <v>0</v>
      </c>
      <c r="BG194" s="45">
        <f>IF($AF$129="si",BI174,0)</f>
        <v>1.5942481393866368</v>
      </c>
      <c r="BH194" s="45">
        <f>IF($AF$129="si",BJ174,0)</f>
        <v>-3.6765137729703996</v>
      </c>
      <c r="BI194" s="45">
        <f>IF($AF$130="si",BK174,0)</f>
        <v>2.2894168507319601E-16</v>
      </c>
      <c r="BJ194" s="45">
        <f>IF($AF$130="si",BL174,0)</f>
        <v>-3.7373705065035905</v>
      </c>
      <c r="BK194" s="45">
        <f>IF($AF$131="si",BM174,0)</f>
        <v>-1.5942481393866366</v>
      </c>
      <c r="BL194" s="45">
        <f>IF($AF$131="si",BN174,0)</f>
        <v>-3.6765137729703996</v>
      </c>
      <c r="BM194" s="45">
        <f>IF($AF$132="si",BO174,0)</f>
        <v>-3.1835652798692937</v>
      </c>
      <c r="BN194" s="45">
        <f>IF($AF$132="si",BP174,0)</f>
        <v>-3.4911671364102332</v>
      </c>
      <c r="BO194" s="45">
        <f>IF($AF$133="si",BQ174,0)</f>
        <v>-4.7621175617680658</v>
      </c>
      <c r="BP194" s="45">
        <f>IF($AF$133="si",BR174,0)</f>
        <v>-3.1725031675284869</v>
      </c>
      <c r="BQ194" s="45">
        <f>IF($AF$134="si",BS174,0)</f>
        <v>-6.3219057421889273</v>
      </c>
      <c r="BR194" s="45">
        <f>IF($AF$134="si",BT174,0)</f>
        <v>-2.7039695211361696</v>
      </c>
      <c r="BS194" s="45">
        <f>IF($AF$135="si",BU174,0)</f>
        <v>-7.8505349227251564</v>
      </c>
      <c r="BT194" s="45">
        <f>IF($AF$135="si",BV174,0)</f>
        <v>-2.0577961364005222</v>
      </c>
      <c r="BU194" s="45">
        <f>IF($AF$136="si",IF(BW174&lt;=-8.99,BG105,BW174),0)</f>
        <v>-8.87656100451896</v>
      </c>
      <c r="BV194" s="45">
        <f>IF($AF$136="si",IF(BW174&lt;=-8.99,BH105,BX174),0)</f>
        <v>-1.4854846795081202</v>
      </c>
      <c r="BW194" s="45">
        <f t="shared" ref="BW194:CJ194" si="311">+BY174</f>
        <v>0</v>
      </c>
      <c r="BX194" s="45">
        <f t="shared" si="311"/>
        <v>0</v>
      </c>
      <c r="BY194" s="45">
        <f t="shared" si="311"/>
        <v>0</v>
      </c>
      <c r="BZ194" s="45">
        <f t="shared" si="311"/>
        <v>0</v>
      </c>
      <c r="CA194" s="45">
        <f t="shared" si="311"/>
        <v>0</v>
      </c>
      <c r="CB194" s="45">
        <f t="shared" si="311"/>
        <v>0</v>
      </c>
      <c r="CC194" s="45">
        <f t="shared" si="311"/>
        <v>0</v>
      </c>
      <c r="CD194" s="45">
        <f t="shared" si="311"/>
        <v>0</v>
      </c>
      <c r="CE194" s="45">
        <f t="shared" si="311"/>
        <v>0</v>
      </c>
      <c r="CF194" s="45">
        <f t="shared" si="311"/>
        <v>0</v>
      </c>
      <c r="CG194" s="45" t="e">
        <f t="shared" si="311"/>
        <v>#NUM!</v>
      </c>
      <c r="CH194" s="45" t="e">
        <f t="shared" si="311"/>
        <v>#NUM!</v>
      </c>
      <c r="CI194" s="45">
        <f t="shared" si="311"/>
        <v>0</v>
      </c>
      <c r="CJ194" s="45">
        <f t="shared" si="311"/>
        <v>0</v>
      </c>
    </row>
    <row r="195" spans="1:88" x14ac:dyDescent="0.25">
      <c r="B195" s="39">
        <v>0.5</v>
      </c>
      <c r="C195" s="38">
        <v>0</v>
      </c>
      <c r="D195" s="38">
        <f>+DEGREES(ASIN(COS(RADIANS(E186))*COS(RADIANS(D186))*COS(RADIANS(C195))+SIN(RADIANS(E186))*SIN(RADIANS(D186))))</f>
        <v>84.596346798145674</v>
      </c>
      <c r="E195" s="38">
        <f>+IF(E186&gt;=0,180,0)</f>
        <v>180</v>
      </c>
      <c r="G195">
        <f t="shared" si="294"/>
        <v>0.54036532018543326</v>
      </c>
      <c r="H195">
        <f t="shared" si="295"/>
        <v>-90</v>
      </c>
      <c r="I195" s="7">
        <f t="shared" si="296"/>
        <v>3.3101386855569266E-17</v>
      </c>
      <c r="J195" s="7">
        <f t="shared" si="297"/>
        <v>-0.54036532018543326</v>
      </c>
      <c r="M195" s="39">
        <v>0.5</v>
      </c>
      <c r="N195" s="38">
        <v>0</v>
      </c>
      <c r="O195" s="38">
        <f>+DEGREES(ASIN(COS(RADIANS(P186))*COS(RADIANS(O186))*COS(RADIANS(N195))+SIN(RADIANS(P186))*SIN(RADIANS(O186))))</f>
        <v>79.59634679814566</v>
      </c>
      <c r="P195" s="38">
        <f>+IF(P186&gt;=0,180,0)</f>
        <v>180</v>
      </c>
      <c r="R195">
        <f t="shared" si="298"/>
        <v>1.0403653201854342</v>
      </c>
      <c r="S195">
        <f t="shared" si="299"/>
        <v>-90</v>
      </c>
      <c r="T195" s="7">
        <f t="shared" si="300"/>
        <v>6.3730098228284816E-17</v>
      </c>
      <c r="U195" s="7">
        <f t="shared" si="301"/>
        <v>-1.0403653201854342</v>
      </c>
      <c r="AB195" s="39">
        <v>0.375000000000003</v>
      </c>
      <c r="AC195">
        <f t="shared" si="285"/>
        <v>45</v>
      </c>
      <c r="AD195" s="38">
        <f t="shared" si="273"/>
        <v>37.505293910382669</v>
      </c>
      <c r="AE195" s="38">
        <f t="shared" si="274"/>
        <v>116.9591888957782</v>
      </c>
      <c r="AG195">
        <f t="shared" si="279"/>
        <v>5.2494706089617331</v>
      </c>
      <c r="AH195">
        <f t="shared" si="280"/>
        <v>-26.959188895778198</v>
      </c>
      <c r="AI195" s="7">
        <f t="shared" si="281"/>
        <v>4.6790089065141443</v>
      </c>
      <c r="AJ195" s="7">
        <f t="shared" si="282"/>
        <v>-2.3798775865817943</v>
      </c>
      <c r="AK195" s="43"/>
    </row>
    <row r="196" spans="1:88" x14ac:dyDescent="0.25">
      <c r="B196" s="39">
        <v>0.54166666666666696</v>
      </c>
      <c r="C196">
        <v>-15</v>
      </c>
      <c r="D196" s="38">
        <f>+DEGREES(ASIN(COS(RADIANS(E186))*COS(RADIANS(D186))*COS(RADIANS(C196))+SIN(RADIANS(E186))*SIN(RADIANS(D186))))</f>
        <v>74.073039849887181</v>
      </c>
      <c r="E196" s="38">
        <f>-(180-DEGREES(ACOS((((SIN(RADIANS(D196)))*SIN(RADIANS(E186)))-SIN(RADIANS(D186)))/((COS(RADIANS(D196)))*COS(RADIANS(E186))))))</f>
        <v>-109.41177556484027</v>
      </c>
      <c r="G196">
        <f t="shared" si="294"/>
        <v>1.5926960150112821</v>
      </c>
      <c r="H196">
        <f t="shared" si="295"/>
        <v>199.41177556484027</v>
      </c>
      <c r="I196" s="7">
        <f t="shared" si="296"/>
        <v>-1.5021582089996297</v>
      </c>
      <c r="J196" s="7">
        <f t="shared" si="297"/>
        <v>-0.52934044939702385</v>
      </c>
      <c r="M196" s="39">
        <v>0.54166666666666696</v>
      </c>
      <c r="N196">
        <v>-15</v>
      </c>
      <c r="O196" s="38">
        <f>+DEGREES(ASIN(COS(RADIANS(P186))*COS(RADIANS(O186))*COS(RADIANS(N196))+SIN(RADIANS(P186))*SIN(RADIANS(O186))))</f>
        <v>71.805913239559928</v>
      </c>
      <c r="P196" s="38">
        <f>-(180-DEGREES(ACOS((((SIN(RADIANS(O196)))*SIN(RADIANS(P186)))-SIN(RADIANS(O186)))/((COS(RADIANS(O196)))*COS(RADIANS(P186))))))</f>
        <v>-124.01426493967799</v>
      </c>
      <c r="R196">
        <f t="shared" si="298"/>
        <v>1.8194086760440076</v>
      </c>
      <c r="S196">
        <f t="shared" si="299"/>
        <v>214.01426493967799</v>
      </c>
      <c r="T196" s="7">
        <f t="shared" si="300"/>
        <v>-1.5081048031766149</v>
      </c>
      <c r="U196" s="7">
        <f t="shared" si="301"/>
        <v>-1.0177759247986917</v>
      </c>
      <c r="AB196" s="39">
        <v>0.38541666666667002</v>
      </c>
      <c r="AC196">
        <f t="shared" si="285"/>
        <v>41.25</v>
      </c>
      <c r="AD196" s="38">
        <f t="shared" si="273"/>
        <v>40.358918432770984</v>
      </c>
      <c r="AE196" s="38">
        <f t="shared" si="274"/>
        <v>120.08775890220005</v>
      </c>
      <c r="AG196">
        <f t="shared" si="279"/>
        <v>4.9641081567229017</v>
      </c>
      <c r="AH196">
        <f t="shared" si="280"/>
        <v>-30.087758902200051</v>
      </c>
      <c r="AI196" s="7">
        <f t="shared" si="281"/>
        <v>4.2952370124222448</v>
      </c>
      <c r="AJ196" s="7">
        <f t="shared" si="282"/>
        <v>-2.4886359313408777</v>
      </c>
      <c r="AK196" s="43"/>
      <c r="AN196" s="322" t="s">
        <v>101</v>
      </c>
      <c r="AO196" s="46">
        <f t="shared" ref="AO196:AX196" si="312">+AO175</f>
        <v>0</v>
      </c>
      <c r="AP196" s="46">
        <f t="shared" si="312"/>
        <v>0</v>
      </c>
      <c r="AQ196" s="46">
        <f t="shared" si="312"/>
        <v>0</v>
      </c>
      <c r="AR196" s="46">
        <f t="shared" si="312"/>
        <v>0</v>
      </c>
      <c r="AS196" s="46">
        <f t="shared" si="312"/>
        <v>0</v>
      </c>
      <c r="AT196" s="46">
        <f t="shared" si="312"/>
        <v>0</v>
      </c>
      <c r="AU196" s="46">
        <f t="shared" si="312"/>
        <v>0</v>
      </c>
      <c r="AV196" s="46">
        <f t="shared" si="312"/>
        <v>0</v>
      </c>
      <c r="AW196" s="46">
        <f t="shared" si="312"/>
        <v>0</v>
      </c>
      <c r="AX196" s="46">
        <f t="shared" si="312"/>
        <v>0</v>
      </c>
      <c r="AY196" s="46">
        <f>IF($AH$125="si",AY175,0)</f>
        <v>0</v>
      </c>
      <c r="AZ196" s="46">
        <f>IF($AH$125="si",AZ175,0)</f>
        <v>0</v>
      </c>
      <c r="BA196" s="46">
        <f>IF($AH$126="si",BA175,0)</f>
        <v>0</v>
      </c>
      <c r="BB196" s="46">
        <f>IF($AH$126="si",BB175,0)</f>
        <v>0</v>
      </c>
      <c r="BC196" s="46">
        <f>IF($AH$127="si",BC175,0)</f>
        <v>0</v>
      </c>
      <c r="BD196" s="46">
        <f>IF($AH$127="si",BD175,0)</f>
        <v>0</v>
      </c>
      <c r="BE196" s="46">
        <f>IF($AH$128="si",BE175,0)</f>
        <v>4.5898087062962007</v>
      </c>
      <c r="BF196" s="46">
        <f>IF($AH$128="si",BF175,0)</f>
        <v>-1.8324364394971169</v>
      </c>
      <c r="BG196" s="46">
        <f>IF($AH$129="si",BG175,0)</f>
        <v>3.0773552908954085</v>
      </c>
      <c r="BH196" s="46">
        <f>IF($AH$129="si",BH175,0)</f>
        <v>-2.2128940080973147</v>
      </c>
      <c r="BI196" s="46">
        <f>IF($AH$130="si",BI175,0)</f>
        <v>1.5435540171470266</v>
      </c>
      <c r="BJ196" s="46">
        <f>IF($AH$130="si",BJ175,0)</f>
        <v>-2.4338374353420646</v>
      </c>
      <c r="BK196" s="46">
        <f>IF($AH$131="si",BK175,0)</f>
        <v>1.5353055534212649E-16</v>
      </c>
      <c r="BL196" s="46">
        <f>IF($AH$131="si",BL175,0)</f>
        <v>-2.5063175768944319</v>
      </c>
      <c r="BM196" s="46">
        <f>IF($AH$132="si",BM175,0)</f>
        <v>-1.5435540171470263</v>
      </c>
      <c r="BN196" s="46">
        <f>IF($AH$132="si",BN175,0)</f>
        <v>-2.4338374353420638</v>
      </c>
      <c r="BO196" s="46">
        <f>IF($AH$133="si",BO175,0)</f>
        <v>-3.0773552908954072</v>
      </c>
      <c r="BP196" s="46">
        <f>IF($AH$133="si",BP175,0)</f>
        <v>-2.2128940080973152</v>
      </c>
      <c r="BQ196" s="46">
        <f>IF($AH$134="si",BQ175,0)</f>
        <v>-4.5898087062962007</v>
      </c>
      <c r="BR196" s="46">
        <f>IF($AH$134="si",BR175,0)</f>
        <v>-1.8324364394971169</v>
      </c>
      <c r="BS196" s="46">
        <f>IF($AH$135="si",BS175,0)</f>
        <v>-6.0649626831945911</v>
      </c>
      <c r="BT196" s="46">
        <f>IF($AH$135="si",BT175,0)</f>
        <v>-1.2721013335297828</v>
      </c>
      <c r="BU196" s="46">
        <f>IF($AH$136="si",BU175,0)</f>
        <v>-7.4782579609816162</v>
      </c>
      <c r="BV196" s="46">
        <f>IF($AH$136="si",BV175,0)</f>
        <v>-0.49877504340215972</v>
      </c>
      <c r="BW196" s="46">
        <f t="shared" ref="BW196:CJ196" si="313">+BW175</f>
        <v>-8.7883582682606036</v>
      </c>
      <c r="BX196" s="46">
        <f t="shared" si="313"/>
        <v>0.53934028205281592</v>
      </c>
      <c r="BY196" s="46">
        <f t="shared" si="313"/>
        <v>0</v>
      </c>
      <c r="BZ196" s="46">
        <f t="shared" si="313"/>
        <v>0</v>
      </c>
      <c r="CA196" s="46">
        <f t="shared" si="313"/>
        <v>0</v>
      </c>
      <c r="CB196" s="46">
        <f t="shared" si="313"/>
        <v>0</v>
      </c>
      <c r="CC196" s="46">
        <f t="shared" si="313"/>
        <v>0</v>
      </c>
      <c r="CD196" s="46">
        <f t="shared" si="313"/>
        <v>0</v>
      </c>
      <c r="CE196" s="46">
        <f t="shared" si="313"/>
        <v>0</v>
      </c>
      <c r="CF196" s="46">
        <f t="shared" si="313"/>
        <v>0</v>
      </c>
      <c r="CG196" s="46">
        <f t="shared" si="313"/>
        <v>0</v>
      </c>
      <c r="CH196" s="46">
        <f t="shared" si="313"/>
        <v>0</v>
      </c>
      <c r="CI196" s="46" t="e">
        <f t="shared" si="313"/>
        <v>#NUM!</v>
      </c>
      <c r="CJ196" s="46" t="e">
        <f t="shared" si="313"/>
        <v>#NUM!</v>
      </c>
    </row>
    <row r="197" spans="1:88" x14ac:dyDescent="0.25">
      <c r="B197" s="39">
        <v>0.58333333333333304</v>
      </c>
      <c r="C197" s="38">
        <v>-30</v>
      </c>
      <c r="D197" s="38">
        <f>+DEGREES(ASIN(COS(RADIANS(E186))*COS(RADIANS(D186))*COS(RADIANS(C197))+SIN(RADIANS(E186))*SIN(RADIANS(D186))))</f>
        <v>59.552572012755121</v>
      </c>
      <c r="E197" s="38">
        <f>-(180-DEGREES(ACOS((((SIN(RADIANS(D197)))*SIN(RADIANS(E186)))-SIN(RADIANS(D186)))/((COS(RADIANS(D197)))*COS(RADIANS(E186))))))</f>
        <v>-99.36910310685964</v>
      </c>
      <c r="G197">
        <f t="shared" si="294"/>
        <v>3.0447427987244877</v>
      </c>
      <c r="H197">
        <f t="shared" si="295"/>
        <v>189.36910310685965</v>
      </c>
      <c r="I197" s="7">
        <f t="shared" si="296"/>
        <v>-3.004126210192533</v>
      </c>
      <c r="J197" s="7">
        <f t="shared" si="297"/>
        <v>-0.49566563691552801</v>
      </c>
      <c r="M197" s="39">
        <v>0.58333333333333304</v>
      </c>
      <c r="N197" s="38">
        <v>-30</v>
      </c>
      <c r="O197" s="38">
        <f>+DEGREES(ASIN(COS(RADIANS(P186))*COS(RADIANS(O186))*COS(RADIANS(N197))+SIN(RADIANS(P186))*SIN(RADIANS(O186))))</f>
        <v>58.388747672962069</v>
      </c>
      <c r="P197" s="38">
        <f>-(180-DEGREES(ACOS((((SIN(RADIANS(O197)))*SIN(RADIANS(P186)))-SIN(RADIANS(O186)))/((COS(RADIANS(O197)))*COS(RADIANS(P186))))))</f>
        <v>-107.46585839239938</v>
      </c>
      <c r="R197">
        <f t="shared" si="298"/>
        <v>3.1611252327037933</v>
      </c>
      <c r="S197">
        <f t="shared" si="299"/>
        <v>197.46585839239938</v>
      </c>
      <c r="T197" s="7">
        <f t="shared" si="300"/>
        <v>-3.0153846107520397</v>
      </c>
      <c r="U197" s="7">
        <f t="shared" si="301"/>
        <v>-0.94877204115445013</v>
      </c>
      <c r="AB197" s="39">
        <v>0.39583333333333698</v>
      </c>
      <c r="AC197">
        <f t="shared" si="285"/>
        <v>37.5</v>
      </c>
      <c r="AD197" s="38">
        <f t="shared" si="273"/>
        <v>43.1196844520205</v>
      </c>
      <c r="AE197" s="38">
        <f t="shared" si="274"/>
        <v>123.49002390271269</v>
      </c>
      <c r="AG197">
        <f t="shared" si="279"/>
        <v>4.6880315547979503</v>
      </c>
      <c r="AH197">
        <f t="shared" si="280"/>
        <v>-33.490023902712693</v>
      </c>
      <c r="AI197" s="7">
        <f t="shared" si="281"/>
        <v>3.9097335118301353</v>
      </c>
      <c r="AJ197" s="7">
        <f t="shared" si="282"/>
        <v>-2.5868172964578853</v>
      </c>
      <c r="AK197" s="43"/>
      <c r="AN197" s="323"/>
      <c r="AO197" s="13">
        <f t="shared" ref="AO197:AX197" si="314">+AQ176</f>
        <v>0</v>
      </c>
      <c r="AP197" s="13">
        <f t="shared" si="314"/>
        <v>0</v>
      </c>
      <c r="AQ197" s="13">
        <f t="shared" si="314"/>
        <v>0</v>
      </c>
      <c r="AR197" s="13">
        <f t="shared" si="314"/>
        <v>0</v>
      </c>
      <c r="AS197" s="13">
        <f t="shared" si="314"/>
        <v>0</v>
      </c>
      <c r="AT197" s="13">
        <f t="shared" si="314"/>
        <v>0</v>
      </c>
      <c r="AU197" s="13">
        <f t="shared" si="314"/>
        <v>0</v>
      </c>
      <c r="AV197" s="13">
        <f t="shared" si="314"/>
        <v>0</v>
      </c>
      <c r="AW197" s="13">
        <f t="shared" si="314"/>
        <v>8.0667743759958661</v>
      </c>
      <c r="AX197" s="13">
        <f t="shared" si="314"/>
        <v>1.8759482527650697</v>
      </c>
      <c r="AY197" s="13">
        <f>IF($AH$125="si",BA176,0)</f>
        <v>0</v>
      </c>
      <c r="AZ197" s="13">
        <f>IF($AH$125="si",BB176,0)</f>
        <v>0</v>
      </c>
      <c r="BA197" s="13">
        <f>IF($AH$126="si",BC176,0)</f>
        <v>0</v>
      </c>
      <c r="BB197" s="13">
        <f>IF($AH$126="si",BD176,0)</f>
        <v>0</v>
      </c>
      <c r="BC197" s="13">
        <f>IF($AH$127="si",BE176,0)</f>
        <v>0</v>
      </c>
      <c r="BD197" s="13">
        <f>IF($AH$127="si",BF176,0)</f>
        <v>0</v>
      </c>
      <c r="BE197" s="13">
        <f>IF($AH$128="si",BG176,0)</f>
        <v>2.9090953902894121</v>
      </c>
      <c r="BF197" s="13">
        <f>IF($AH$128="si",BH176,0)</f>
        <v>-1.0959270054663139</v>
      </c>
      <c r="BG197" s="13">
        <f>IF($AH$129="si",BI176,0)</f>
        <v>1.462043764537692</v>
      </c>
      <c r="BH197" s="13">
        <f>IF($AH$129="si",BJ176,0)</f>
        <v>-1.3383201044311768</v>
      </c>
      <c r="BI197" s="13">
        <f>IF($AH$130="si",BK176,0)</f>
        <v>8.6857589127052893E-17</v>
      </c>
      <c r="BJ197" s="13">
        <f>IF($AH$130="si",BL176,0)</f>
        <v>-1.417911254412533</v>
      </c>
      <c r="BK197" s="13">
        <f>IF($AH$131="si",BM176,0)</f>
        <v>-1.4620437645376916</v>
      </c>
      <c r="BL197" s="13">
        <f>IF($AH$131="si",BN176,0)</f>
        <v>-1.338320104431177</v>
      </c>
      <c r="BM197" s="13">
        <f>IF($AH$132="si",BO176,0)</f>
        <v>-2.9090953902894121</v>
      </c>
      <c r="BN197" s="13">
        <f>IF($AH$132="si",BP176,0)</f>
        <v>-1.0959270054663137</v>
      </c>
      <c r="BO197" s="13">
        <f>IF($AH$133="si",BQ176,0)</f>
        <v>-4.3235372056031043</v>
      </c>
      <c r="BP197" s="13">
        <f>IF($AH$133="si",BR176,0)</f>
        <v>-0.67945035312016244</v>
      </c>
      <c r="BQ197" s="13">
        <f>IF($AH$134="si",BS176,0)</f>
        <v>-5.681673954671612</v>
      </c>
      <c r="BR197" s="13">
        <f>IF($AH$134="si",BT176,0)</f>
        <v>-6.8641989673888751E-2</v>
      </c>
      <c r="BS197" s="13">
        <f>IF($AH$135="si",BU176,0)</f>
        <v>-6.9482491884736284</v>
      </c>
      <c r="BT197" s="13">
        <f>IF($AH$135="si",BV176,0)</f>
        <v>0.76795237286723794</v>
      </c>
      <c r="BU197" s="13">
        <f>IF($AH$136="si",IF(BW176&lt;=-8.99,CC105,BW176),0)</f>
        <v>-8.0667743759958661</v>
      </c>
      <c r="BV197" s="13">
        <f>IF($AH$136="si",IF(BW176&lt;=-8.99,CD105,BX176),0)</f>
        <v>1.8759482527650715</v>
      </c>
      <c r="BW197" s="13">
        <f t="shared" ref="BW197:CJ197" si="315">+BY176</f>
        <v>0</v>
      </c>
      <c r="BX197" s="13">
        <f t="shared" si="315"/>
        <v>0</v>
      </c>
      <c r="BY197" s="13">
        <f t="shared" si="315"/>
        <v>0</v>
      </c>
      <c r="BZ197" s="13">
        <f t="shared" si="315"/>
        <v>0</v>
      </c>
      <c r="CA197" s="13">
        <f t="shared" si="315"/>
        <v>0</v>
      </c>
      <c r="CB197" s="13">
        <f t="shared" si="315"/>
        <v>0</v>
      </c>
      <c r="CC197" s="13">
        <f t="shared" si="315"/>
        <v>0</v>
      </c>
      <c r="CD197" s="13">
        <f t="shared" si="315"/>
        <v>0</v>
      </c>
      <c r="CE197" s="13">
        <f t="shared" si="315"/>
        <v>0</v>
      </c>
      <c r="CF197" s="13">
        <f t="shared" si="315"/>
        <v>0</v>
      </c>
      <c r="CG197" s="13" t="e">
        <f t="shared" si="315"/>
        <v>#NUM!</v>
      </c>
      <c r="CH197" s="13" t="e">
        <f t="shared" si="315"/>
        <v>#NUM!</v>
      </c>
      <c r="CI197" s="13">
        <f t="shared" si="315"/>
        <v>0</v>
      </c>
      <c r="CJ197" s="13">
        <f t="shared" si="315"/>
        <v>0</v>
      </c>
    </row>
    <row r="198" spans="1:88" x14ac:dyDescent="0.25">
      <c r="B198" s="39">
        <v>0.625</v>
      </c>
      <c r="C198">
        <v>-45</v>
      </c>
      <c r="D198" s="38">
        <f>+DEGREES(ASIN(COS(RADIANS(E186))*COS(RADIANS(D186))*COS(RADIANS(C198))+SIN(RADIANS(E186))*SIN(RADIANS(D186))))</f>
        <v>44.731431648789403</v>
      </c>
      <c r="E198" s="38">
        <f>-(180-DEGREES(ACOS((((SIN(RADIANS(D198)))*SIN(RADIANS(E186)))-SIN(RADIANS(D186)))/((COS(RADIANS(D198)))*COS(RADIANS(E186))))))</f>
        <v>-95.544968751429025</v>
      </c>
      <c r="G198">
        <f t="shared" si="294"/>
        <v>4.5268568351210599</v>
      </c>
      <c r="H198">
        <f t="shared" si="295"/>
        <v>185.54496875142902</v>
      </c>
      <c r="I198" s="7">
        <f t="shared" si="296"/>
        <v>-4.505674164506801</v>
      </c>
      <c r="J198" s="7">
        <f t="shared" si="297"/>
        <v>-0.43741642513536499</v>
      </c>
      <c r="M198" s="39">
        <v>0.625</v>
      </c>
      <c r="N198">
        <v>-45</v>
      </c>
      <c r="O198" s="38">
        <f>+DEGREES(ASIN(COS(RADIANS(P186))*COS(RADIANS(O186))*COS(RADIANS(N198))+SIN(RADIANS(P186))*SIN(RADIANS(O186))))</f>
        <v>44.03706769238434</v>
      </c>
      <c r="P198" s="38">
        <f>-(180-DEGREES(ACOS((((SIN(RADIANS(O198)))*SIN(RADIANS(P186)))-SIN(RADIANS(O186)))/((COS(RADIANS(O198)))*COS(RADIANS(P186))))))</f>
        <v>-100.39589131604674</v>
      </c>
      <c r="R198">
        <f t="shared" si="298"/>
        <v>4.5962932307615656</v>
      </c>
      <c r="S198">
        <f t="shared" si="299"/>
        <v>190.39589131604674</v>
      </c>
      <c r="T198" s="7">
        <f t="shared" si="300"/>
        <v>-4.5208423808423577</v>
      </c>
      <c r="U198" s="7">
        <f t="shared" si="301"/>
        <v>-0.82939473757927484</v>
      </c>
      <c r="AB198" s="39">
        <v>0.406250000000004</v>
      </c>
      <c r="AC198">
        <f t="shared" si="285"/>
        <v>33.75</v>
      </c>
      <c r="AD198" s="38">
        <f t="shared" si="273"/>
        <v>45.769010461889643</v>
      </c>
      <c r="AE198" s="38">
        <f t="shared" si="274"/>
        <v>127.20885604611742</v>
      </c>
      <c r="AG198">
        <f t="shared" si="279"/>
        <v>4.4230989538110359</v>
      </c>
      <c r="AH198">
        <f t="shared" si="280"/>
        <v>-37.208856046117418</v>
      </c>
      <c r="AI198" s="7">
        <f t="shared" si="281"/>
        <v>3.5227172612348854</v>
      </c>
      <c r="AJ198" s="7">
        <f t="shared" si="282"/>
        <v>-2.6747462407866038</v>
      </c>
      <c r="AK198" s="43"/>
      <c r="AN198" s="323"/>
      <c r="AO198" s="13">
        <f t="shared" ref="AO198:AX198" si="316">+AO176</f>
        <v>0</v>
      </c>
      <c r="AP198" s="13">
        <f t="shared" si="316"/>
        <v>0</v>
      </c>
      <c r="AQ198" s="13">
        <f t="shared" si="316"/>
        <v>0</v>
      </c>
      <c r="AR198" s="13">
        <f t="shared" si="316"/>
        <v>0</v>
      </c>
      <c r="AS198" s="13">
        <f t="shared" si="316"/>
        <v>0</v>
      </c>
      <c r="AT198" s="13">
        <f t="shared" si="316"/>
        <v>0</v>
      </c>
      <c r="AU198" s="13">
        <f t="shared" si="316"/>
        <v>0</v>
      </c>
      <c r="AV198" s="13">
        <f t="shared" si="316"/>
        <v>0</v>
      </c>
      <c r="AW198" s="13">
        <f t="shared" si="316"/>
        <v>0</v>
      </c>
      <c r="AX198" s="13">
        <f t="shared" si="316"/>
        <v>0</v>
      </c>
      <c r="AY198" s="13">
        <f>IF($AH$125="si",AY176,0)</f>
        <v>0</v>
      </c>
      <c r="AZ198" s="13">
        <f>IF($AH$125="si",AZ176,0)</f>
        <v>0</v>
      </c>
      <c r="BA198" s="13">
        <f>IF($AH$126="si",BA176,0)</f>
        <v>0</v>
      </c>
      <c r="BB198" s="13">
        <f>IF($AH$126="si",BB176,0)</f>
        <v>0</v>
      </c>
      <c r="BC198" s="13">
        <f>IF($AH$127="si",BC176,0)</f>
        <v>0</v>
      </c>
      <c r="BD198" s="13">
        <f>IF($AH$127="si",BD176,0)</f>
        <v>0</v>
      </c>
      <c r="BE198" s="13">
        <f>IF($AH$128="si",BE176,0)</f>
        <v>4.3235372056031043</v>
      </c>
      <c r="BF198" s="13">
        <f>IF($AH$128="si",BF176,0)</f>
        <v>-0.67945035312016167</v>
      </c>
      <c r="BG198" s="13">
        <f>IF($AH$129="si",BG176,0)</f>
        <v>2.9090953902894121</v>
      </c>
      <c r="BH198" s="13">
        <f>IF($AH$129="si",BH176,0)</f>
        <v>-1.0959270054663139</v>
      </c>
      <c r="BI198" s="13">
        <f>IF($AH$130="si",BI176,0)</f>
        <v>1.462043764537692</v>
      </c>
      <c r="BJ198" s="13">
        <f>IF($AH$130="si",BJ176,0)</f>
        <v>-1.3383201044311768</v>
      </c>
      <c r="BK198" s="13">
        <f>IF($AH$131="si",BK176,0)</f>
        <v>8.6857589127052893E-17</v>
      </c>
      <c r="BL198" s="13">
        <f>IF($AH$131="si",BL176,0)</f>
        <v>-1.417911254412533</v>
      </c>
      <c r="BM198" s="13">
        <f>IF($AH$132="si",BM176,0)</f>
        <v>-1.4620437645376916</v>
      </c>
      <c r="BN198" s="13">
        <f>IF($AH$132="si",BN176,0)</f>
        <v>-1.338320104431177</v>
      </c>
      <c r="BO198" s="13">
        <f>IF($AH$133="si",BO176,0)</f>
        <v>-2.9090953902894121</v>
      </c>
      <c r="BP198" s="13">
        <f>IF($AH$133="si",BP176,0)</f>
        <v>-1.0959270054663137</v>
      </c>
      <c r="BQ198" s="13">
        <f>IF($AH$134="si",BQ176,0)</f>
        <v>-4.3235372056031043</v>
      </c>
      <c r="BR198" s="13">
        <f>IF($AH$134="si",BR176,0)</f>
        <v>-0.67945035312016244</v>
      </c>
      <c r="BS198" s="13">
        <f>IF($AH$135="si",BS176,0)</f>
        <v>-5.681673954671612</v>
      </c>
      <c r="BT198" s="13">
        <f>IF($AH$135="si",BT176,0)</f>
        <v>-6.8641989673888751E-2</v>
      </c>
      <c r="BU198" s="13">
        <f>IF($AH$136="si",BU176,0)</f>
        <v>-6.9482491884736284</v>
      </c>
      <c r="BV198" s="13">
        <f>IF($AH$136="si",BV176,0)</f>
        <v>0.76795237286723794</v>
      </c>
      <c r="BW198" s="13">
        <f t="shared" ref="BW198:CJ198" si="317">+BW176</f>
        <v>-8.0667743759958661</v>
      </c>
      <c r="BX198" s="13">
        <f t="shared" si="317"/>
        <v>1.8759482527650715</v>
      </c>
      <c r="BY198" s="13">
        <f t="shared" si="317"/>
        <v>0</v>
      </c>
      <c r="BZ198" s="13">
        <f t="shared" si="317"/>
        <v>0</v>
      </c>
      <c r="CA198" s="13">
        <f t="shared" si="317"/>
        <v>0</v>
      </c>
      <c r="CB198" s="13">
        <f t="shared" si="317"/>
        <v>0</v>
      </c>
      <c r="CC198" s="13">
        <f t="shared" si="317"/>
        <v>0</v>
      </c>
      <c r="CD198" s="13">
        <f t="shared" si="317"/>
        <v>0</v>
      </c>
      <c r="CE198" s="13">
        <f t="shared" si="317"/>
        <v>0</v>
      </c>
      <c r="CF198" s="13">
        <f t="shared" si="317"/>
        <v>0</v>
      </c>
      <c r="CG198" s="13">
        <f t="shared" si="317"/>
        <v>0</v>
      </c>
      <c r="CH198" s="13">
        <f t="shared" si="317"/>
        <v>0</v>
      </c>
      <c r="CI198" s="13" t="e">
        <f t="shared" si="317"/>
        <v>#NUM!</v>
      </c>
      <c r="CJ198" s="13" t="e">
        <f t="shared" si="317"/>
        <v>#NUM!</v>
      </c>
    </row>
    <row r="199" spans="1:88" x14ac:dyDescent="0.25">
      <c r="B199" s="39">
        <v>0.66666666666666696</v>
      </c>
      <c r="C199" s="38">
        <v>-60</v>
      </c>
      <c r="D199" s="38">
        <f>+DEGREES(ASIN(COS(RADIANS(E186))*COS(RADIANS(D186))*COS(RADIANS(C199))+SIN(RADIANS(E186))*SIN(RADIANS(D186))))</f>
        <v>29.832821574407284</v>
      </c>
      <c r="E199" s="38">
        <f>-(180-DEGREES(ACOS((((SIN(RADIANS(D199)))*SIN(RADIANS(E186)))-SIN(RADIANS(D186)))/((COS(RADIANS(D199)))*COS(RADIANS(E186))))))</f>
        <v>-93.34362055594309</v>
      </c>
      <c r="G199">
        <f t="shared" si="294"/>
        <v>6.016717842559272</v>
      </c>
      <c r="H199">
        <f t="shared" si="295"/>
        <v>183.34362055594309</v>
      </c>
      <c r="I199" s="7">
        <f t="shared" si="296"/>
        <v>-6.0064755989035694</v>
      </c>
      <c r="J199" s="7">
        <f t="shared" si="297"/>
        <v>-0.35091947330849477</v>
      </c>
      <c r="M199" s="39">
        <v>0.66666666666666696</v>
      </c>
      <c r="N199" s="38">
        <v>-60</v>
      </c>
      <c r="O199" s="38">
        <f>+DEGREES(ASIN(COS(RADIANS(P186))*COS(RADIANS(O186))*COS(RADIANS(N199))+SIN(RADIANS(P186))*SIN(RADIANS(O186))))</f>
        <v>29.417399639445083</v>
      </c>
      <c r="P199" s="38">
        <f>-(180-DEGREES(ACOS((((SIN(RADIANS(O199)))*SIN(RADIANS(P186)))-SIN(RADIANS(O186)))/((COS(RADIANS(O199)))*COS(RADIANS(P186))))))</f>
        <v>-96.179191790944685</v>
      </c>
      <c r="R199">
        <f t="shared" si="298"/>
        <v>6.0582600360554917</v>
      </c>
      <c r="S199">
        <f t="shared" si="299"/>
        <v>186.17919179094469</v>
      </c>
      <c r="T199" s="7">
        <f t="shared" si="300"/>
        <v>-6.0230622766376198</v>
      </c>
      <c r="U199" s="7">
        <f t="shared" si="301"/>
        <v>-0.65210081752129245</v>
      </c>
      <c r="AB199" s="39">
        <v>0.41666666666667102</v>
      </c>
      <c r="AC199">
        <f t="shared" si="285"/>
        <v>30</v>
      </c>
      <c r="AD199" s="38">
        <f t="shared" si="273"/>
        <v>48.284559002731697</v>
      </c>
      <c r="AE199" s="38">
        <f t="shared" si="274"/>
        <v>131.29050984657982</v>
      </c>
      <c r="AG199">
        <f t="shared" si="279"/>
        <v>4.1715440997268303</v>
      </c>
      <c r="AH199">
        <f t="shared" si="280"/>
        <v>-41.290509846579823</v>
      </c>
      <c r="AI199" s="7">
        <f t="shared" si="281"/>
        <v>3.1343874494739405</v>
      </c>
      <c r="AJ199" s="7">
        <f t="shared" si="282"/>
        <v>-2.7527069390957655</v>
      </c>
      <c r="AK199" s="43"/>
      <c r="AN199" s="324"/>
      <c r="AO199" s="45">
        <f t="shared" ref="AO199:AX199" si="318">+AQ175</f>
        <v>0</v>
      </c>
      <c r="AP199" s="45">
        <f t="shared" si="318"/>
        <v>0</v>
      </c>
      <c r="AQ199" s="45">
        <f t="shared" si="318"/>
        <v>0</v>
      </c>
      <c r="AR199" s="45">
        <f t="shared" si="318"/>
        <v>0</v>
      </c>
      <c r="AS199" s="45">
        <f t="shared" si="318"/>
        <v>0</v>
      </c>
      <c r="AT199" s="45">
        <f t="shared" si="318"/>
        <v>0</v>
      </c>
      <c r="AU199" s="45">
        <f t="shared" si="318"/>
        <v>0</v>
      </c>
      <c r="AV199" s="45">
        <f t="shared" si="318"/>
        <v>0</v>
      </c>
      <c r="AW199" s="45">
        <f t="shared" si="318"/>
        <v>8.7883582682606036</v>
      </c>
      <c r="AX199" s="45">
        <f t="shared" si="318"/>
        <v>0.53934028205281404</v>
      </c>
      <c r="AY199" s="45">
        <f>IF($AH$125="si",BA175,0)</f>
        <v>0</v>
      </c>
      <c r="AZ199" s="45">
        <f>IF($AH$125="si",BB175,0)</f>
        <v>0</v>
      </c>
      <c r="BA199" s="45">
        <f>IF($AH$126="si",BC175,0)</f>
        <v>0</v>
      </c>
      <c r="BB199" s="45">
        <f>IF($AH$126="si",BD175,0)</f>
        <v>0</v>
      </c>
      <c r="BC199" s="45">
        <f>IF($AH$127="si",BE175,0)</f>
        <v>0</v>
      </c>
      <c r="BD199" s="45">
        <f>IF($AH$127="si",BF175,0)</f>
        <v>0</v>
      </c>
      <c r="BE199" s="45">
        <f>IF($AH$128="si",BG175,0)</f>
        <v>3.0773552908954085</v>
      </c>
      <c r="BF199" s="45">
        <f>IF($AH$128="si",BH175,0)</f>
        <v>-2.2128940080973147</v>
      </c>
      <c r="BG199" s="45">
        <f>IF($AH$129="si",BI175,0)</f>
        <v>1.5435540171470266</v>
      </c>
      <c r="BH199" s="45">
        <f>IF($AH$129="si",BJ175,0)</f>
        <v>-2.4338374353420646</v>
      </c>
      <c r="BI199" s="45">
        <f>IF($AH$130="si",BK175,0)</f>
        <v>1.5353055534212649E-16</v>
      </c>
      <c r="BJ199" s="45">
        <f>IF($AH$130="si",BL175,0)</f>
        <v>-2.5063175768944319</v>
      </c>
      <c r="BK199" s="45">
        <f>IF($AH$131="si",BM175,0)</f>
        <v>-1.5435540171470263</v>
      </c>
      <c r="BL199" s="45">
        <f>IF($AH$131="si",BN175,0)</f>
        <v>-2.4338374353420638</v>
      </c>
      <c r="BM199" s="45">
        <f>IF($AH$132="si",BO175,0)</f>
        <v>-3.0773552908954072</v>
      </c>
      <c r="BN199" s="45">
        <f>IF($AH$132="si",BP175,0)</f>
        <v>-2.2128940080973152</v>
      </c>
      <c r="BO199" s="45">
        <f>IF($AH$133="si",BQ175,0)</f>
        <v>-4.5898087062962007</v>
      </c>
      <c r="BP199" s="45">
        <f>IF($AH$133="si",BR175,0)</f>
        <v>-1.8324364394971169</v>
      </c>
      <c r="BQ199" s="45">
        <f>IF($AH$134="si",BS175,0)</f>
        <v>-6.0649626831945911</v>
      </c>
      <c r="BR199" s="45">
        <f>IF($AH$134="si",BT175,0)</f>
        <v>-1.2721013335297828</v>
      </c>
      <c r="BS199" s="45">
        <f>IF($AH$135="si",BU175,0)</f>
        <v>-7.4782579609816162</v>
      </c>
      <c r="BT199" s="45">
        <f>IF($AH$135="si",BV175,0)</f>
        <v>-0.49877504340215972</v>
      </c>
      <c r="BU199" s="45">
        <f>IF($AH$136="si",IF(BW175&lt;=-8.99,BR105,BW175),0)</f>
        <v>-8.7883582682606036</v>
      </c>
      <c r="BV199" s="45">
        <f>IF($AH$136="si",IF(BW175&lt;=-8.99,BS105,BX175),0)</f>
        <v>0.53934028205281592</v>
      </c>
      <c r="BW199" s="45">
        <f t="shared" ref="BW199:CJ199" si="319">+BY175</f>
        <v>0</v>
      </c>
      <c r="BX199" s="45">
        <f t="shared" si="319"/>
        <v>0</v>
      </c>
      <c r="BY199" s="45">
        <f t="shared" si="319"/>
        <v>0</v>
      </c>
      <c r="BZ199" s="45">
        <f t="shared" si="319"/>
        <v>0</v>
      </c>
      <c r="CA199" s="45">
        <f t="shared" si="319"/>
        <v>0</v>
      </c>
      <c r="CB199" s="45">
        <f t="shared" si="319"/>
        <v>0</v>
      </c>
      <c r="CC199" s="45">
        <f t="shared" si="319"/>
        <v>0</v>
      </c>
      <c r="CD199" s="45">
        <f t="shared" si="319"/>
        <v>0</v>
      </c>
      <c r="CE199" s="45">
        <f t="shared" si="319"/>
        <v>0</v>
      </c>
      <c r="CF199" s="45">
        <f t="shared" si="319"/>
        <v>0</v>
      </c>
      <c r="CG199" s="45" t="e">
        <f t="shared" si="319"/>
        <v>#NUM!</v>
      </c>
      <c r="CH199" s="45" t="e">
        <f t="shared" si="319"/>
        <v>#NUM!</v>
      </c>
      <c r="CI199" s="45">
        <f t="shared" si="319"/>
        <v>0</v>
      </c>
      <c r="CJ199" s="45">
        <f t="shared" si="319"/>
        <v>0</v>
      </c>
    </row>
    <row r="200" spans="1:88" x14ac:dyDescent="0.25">
      <c r="B200" s="39">
        <v>0.70833333333333404</v>
      </c>
      <c r="C200">
        <v>-75</v>
      </c>
      <c r="D200" s="38">
        <f>+DEGREES(ASIN(COS(RADIANS(E186))*COS(RADIANS(D186))*COS(RADIANS(C200))+SIN(RADIANS(E186))*SIN(RADIANS(D186))))</f>
        <v>14.904799816556887</v>
      </c>
      <c r="E200" s="38">
        <f>-(180-DEGREES(ACOS((((SIN(RADIANS(D200)))*SIN(RADIANS(E186)))-SIN(RADIANS(D186)))/((COS(RADIANS(D200)))*COS(RADIANS(E186))))))</f>
        <v>-91.753807425353287</v>
      </c>
      <c r="G200">
        <f t="shared" si="294"/>
        <v>7.5095200183443112</v>
      </c>
      <c r="H200">
        <f t="shared" si="295"/>
        <v>181.75380742535327</v>
      </c>
      <c r="I200" s="7">
        <f t="shared" si="296"/>
        <v>-7.5060022533891617</v>
      </c>
      <c r="J200" s="7">
        <f t="shared" si="297"/>
        <v>-0.22982836646239652</v>
      </c>
      <c r="M200" s="39">
        <v>0.70833333333333404</v>
      </c>
      <c r="N200">
        <v>-75</v>
      </c>
      <c r="O200" s="38">
        <f>+DEGREES(ASIN(COS(RADIANS(P186))*COS(RADIANS(O186))*COS(RADIANS(N200))+SIN(RADIANS(P186))*SIN(RADIANS(O186))))</f>
        <v>14.694039743431569</v>
      </c>
      <c r="P200" s="38">
        <f>-(180-DEGREES(ACOS((((SIN(RADIANS(O200)))*SIN(RADIANS(P186)))-SIN(RADIANS(O186)))/((COS(RADIANS(O200)))*COS(RADIANS(P186))))))</f>
        <v>-93.07450525597902</v>
      </c>
      <c r="R200">
        <f t="shared" si="298"/>
        <v>7.5305960256568429</v>
      </c>
      <c r="S200">
        <f t="shared" si="299"/>
        <v>183.07450525597903</v>
      </c>
      <c r="T200" s="7">
        <f t="shared" si="300"/>
        <v>-7.5197567475893017</v>
      </c>
      <c r="U200" s="7">
        <f t="shared" si="301"/>
        <v>-0.40389968893748818</v>
      </c>
      <c r="AB200" s="39">
        <v>0.42708333333333798</v>
      </c>
      <c r="AC200">
        <f t="shared" si="285"/>
        <v>26.25</v>
      </c>
      <c r="AD200" s="38">
        <f t="shared" si="273"/>
        <v>50.639664155446681</v>
      </c>
      <c r="AE200" s="38">
        <f t="shared" si="274"/>
        <v>135.7825062262597</v>
      </c>
      <c r="AG200">
        <f t="shared" si="279"/>
        <v>3.9360335844553322</v>
      </c>
      <c r="AH200">
        <f t="shared" si="280"/>
        <v>-45.782506226259699</v>
      </c>
      <c r="AI200" s="7">
        <f t="shared" si="281"/>
        <v>2.744926689135641</v>
      </c>
      <c r="AJ200" s="7">
        <f t="shared" si="282"/>
        <v>-2.8209462684055397</v>
      </c>
      <c r="AK200" s="43"/>
    </row>
    <row r="201" spans="1:88" x14ac:dyDescent="0.25">
      <c r="B201" s="39">
        <v>0.75</v>
      </c>
      <c r="C201" s="38">
        <v>-90</v>
      </c>
      <c r="D201" s="38">
        <f>+DEGREES(ASIN(COS(RADIANS(E186))*COS(RADIANS(D186))*COS(RADIANS(C201))+SIN(RADIANS(E186))*SIN(RADIANS(D186))))</f>
        <v>-3.5180405810133208E-2</v>
      </c>
      <c r="E201" s="38">
        <f>-(180-DEGREES(ACOS((((SIN(RADIANS(D201)))*SIN(RADIANS(E186)))-SIN(RADIANS(D186)))/((COS(RADIANS(D201)))*COS(RADIANS(E186))))))</f>
        <v>-90.402117230089857</v>
      </c>
      <c r="G201">
        <f t="shared" si="294"/>
        <v>9.0035180405810138</v>
      </c>
      <c r="H201">
        <f t="shared" si="295"/>
        <v>180.40211723008986</v>
      </c>
      <c r="I201" s="7">
        <f t="shared" si="296"/>
        <v>-9.0032963023590984</v>
      </c>
      <c r="J201" s="7">
        <f t="shared" si="297"/>
        <v>-6.3188598613626967E-2</v>
      </c>
      <c r="M201" s="39">
        <v>0.75</v>
      </c>
      <c r="N201" s="38">
        <v>-90</v>
      </c>
      <c r="O201" s="38">
        <f>+DEGREES(ASIN(COS(RADIANS(P186))*COS(RADIANS(O186))*COS(RADIANS(N201))+SIN(RADIANS(P186))*SIN(RADIANS(O186))))</f>
        <v>-7.0093080568731952E-2</v>
      </c>
      <c r="P201" s="38">
        <f>-(180-DEGREES(ACOS((((SIN(RADIANS(O201)))*SIN(RADIANS(P186)))-SIN(RADIANS(O186)))/((COS(RADIANS(O201)))*COS(RADIANS(P186))))))</f>
        <v>-90.397521001025282</v>
      </c>
      <c r="R201">
        <f t="shared" si="298"/>
        <v>9.0070093080568725</v>
      </c>
      <c r="S201">
        <f t="shared" si="299"/>
        <v>180.39752100102527</v>
      </c>
      <c r="T201" s="7">
        <f t="shared" si="300"/>
        <v>-9.006792525784844</v>
      </c>
      <c r="U201" s="7">
        <f t="shared" si="301"/>
        <v>-6.2490582405820956E-2</v>
      </c>
      <c r="AB201" s="39">
        <v>0.437500000000005</v>
      </c>
      <c r="AC201">
        <f t="shared" si="285"/>
        <v>22.5</v>
      </c>
      <c r="AD201" s="38">
        <f t="shared" si="273"/>
        <v>52.802924772419509</v>
      </c>
      <c r="AE201" s="38">
        <f t="shared" si="274"/>
        <v>140.72961032593952</v>
      </c>
      <c r="AG201">
        <f t="shared" si="279"/>
        <v>3.7197075227580489</v>
      </c>
      <c r="AH201">
        <f t="shared" si="280"/>
        <v>-50.729610325939518</v>
      </c>
      <c r="AI201" s="7">
        <f t="shared" si="281"/>
        <v>2.3545037010682437</v>
      </c>
      <c r="AJ201" s="7">
        <f t="shared" si="282"/>
        <v>-2.8796764360807559</v>
      </c>
      <c r="AK201" s="43"/>
      <c r="AN201" s="322" t="s">
        <v>100</v>
      </c>
      <c r="AO201" s="46">
        <f t="shared" ref="AO201:AX201" si="320">+AO176</f>
        <v>0</v>
      </c>
      <c r="AP201" s="46">
        <f t="shared" si="320"/>
        <v>0</v>
      </c>
      <c r="AQ201" s="46">
        <f t="shared" si="320"/>
        <v>0</v>
      </c>
      <c r="AR201" s="46">
        <f t="shared" si="320"/>
        <v>0</v>
      </c>
      <c r="AS201" s="46">
        <f t="shared" si="320"/>
        <v>0</v>
      </c>
      <c r="AT201" s="46">
        <f t="shared" si="320"/>
        <v>0</v>
      </c>
      <c r="AU201" s="46">
        <f t="shared" si="320"/>
        <v>0</v>
      </c>
      <c r="AV201" s="46">
        <f t="shared" si="320"/>
        <v>0</v>
      </c>
      <c r="AW201" s="46">
        <f t="shared" si="320"/>
        <v>0</v>
      </c>
      <c r="AX201" s="46">
        <f t="shared" si="320"/>
        <v>0</v>
      </c>
      <c r="AY201" s="46">
        <f>IF($AJ$125="si",AY176,0)</f>
        <v>0</v>
      </c>
      <c r="AZ201" s="46">
        <f>IF($AJ$125="si",AZ176,0)</f>
        <v>0</v>
      </c>
      <c r="BA201" s="46">
        <f>IF($AJ$126="si",BA176,0)</f>
        <v>0</v>
      </c>
      <c r="BB201" s="46">
        <f>IF($AJ$126="si",BB176,0)</f>
        <v>0</v>
      </c>
      <c r="BC201" s="46">
        <f>IF($AJ$127="si",BC176,0)</f>
        <v>5.681673954671612</v>
      </c>
      <c r="BD201" s="46">
        <f>IF($AJ$127="si",BD176,0)</f>
        <v>-6.8641989673889181E-2</v>
      </c>
      <c r="BE201" s="46">
        <f>IF($AJ$128="si",BE176,0)</f>
        <v>4.3235372056031043</v>
      </c>
      <c r="BF201" s="46">
        <f>IF($AJ$128="si",BF176,0)</f>
        <v>-0.67945035312016167</v>
      </c>
      <c r="BG201" s="46">
        <f>IF($AJ$129="si",BG176,0)</f>
        <v>2.9090953902894121</v>
      </c>
      <c r="BH201" s="46">
        <f>IF($AJ$129="si",BH176,0)</f>
        <v>-1.0959270054663139</v>
      </c>
      <c r="BI201" s="46">
        <f>IF($AJ$130="si",BI176,0)</f>
        <v>1.462043764537692</v>
      </c>
      <c r="BJ201" s="46">
        <f>IF($AJ$130="si",BJ176,0)</f>
        <v>-1.3383201044311768</v>
      </c>
      <c r="BK201" s="46">
        <f>IF($AJ$131="si",BK176,0)</f>
        <v>8.6857589127052893E-17</v>
      </c>
      <c r="BL201" s="46">
        <f>IF($AJ$131="si",BL176,0)</f>
        <v>-1.417911254412533</v>
      </c>
      <c r="BM201" s="46">
        <f>IF($AJ$132="si",BM176,0)</f>
        <v>-1.4620437645376916</v>
      </c>
      <c r="BN201" s="46">
        <f>IF($AJ$132="si",BN176,0)</f>
        <v>-1.338320104431177</v>
      </c>
      <c r="BO201" s="46">
        <f>IF($AJ$133="si",BO176,0)</f>
        <v>-2.9090953902894121</v>
      </c>
      <c r="BP201" s="46">
        <f>IF($AJ$133="si",BP176,0)</f>
        <v>-1.0959270054663137</v>
      </c>
      <c r="BQ201" s="46">
        <f>IF($AJ$134="si",BQ176,0)</f>
        <v>-4.3235372056031043</v>
      </c>
      <c r="BR201" s="46">
        <f>IF($AJ$134="si",BR176,0)</f>
        <v>-0.67945035312016244</v>
      </c>
      <c r="BS201" s="46">
        <f>IF($AJ$135="si",BS176,0)</f>
        <v>-5.681673954671612</v>
      </c>
      <c r="BT201" s="46">
        <f>IF($AJ$135="si",BT176,0)</f>
        <v>-6.8641989673888751E-2</v>
      </c>
      <c r="BU201" s="46">
        <f>IF($AJ$136="si",BU176,0)</f>
        <v>-6.9482491884736284</v>
      </c>
      <c r="BV201" s="46">
        <f>IF($AJ$136="si",BV176,0)</f>
        <v>0.76795237286723794</v>
      </c>
      <c r="BW201" s="46">
        <f t="shared" ref="BW201:CJ201" si="321">+BW176</f>
        <v>-8.0667743759958661</v>
      </c>
      <c r="BX201" s="46">
        <f t="shared" si="321"/>
        <v>1.8759482527650715</v>
      </c>
      <c r="BY201" s="46">
        <f t="shared" si="321"/>
        <v>0</v>
      </c>
      <c r="BZ201" s="46">
        <f t="shared" si="321"/>
        <v>0</v>
      </c>
      <c r="CA201" s="46">
        <f t="shared" si="321"/>
        <v>0</v>
      </c>
      <c r="CB201" s="46">
        <f t="shared" si="321"/>
        <v>0</v>
      </c>
      <c r="CC201" s="46">
        <f t="shared" si="321"/>
        <v>0</v>
      </c>
      <c r="CD201" s="46">
        <f t="shared" si="321"/>
        <v>0</v>
      </c>
      <c r="CE201" s="46">
        <f t="shared" si="321"/>
        <v>0</v>
      </c>
      <c r="CF201" s="46">
        <f t="shared" si="321"/>
        <v>0</v>
      </c>
      <c r="CG201" s="46">
        <f t="shared" si="321"/>
        <v>0</v>
      </c>
      <c r="CH201" s="46">
        <f t="shared" si="321"/>
        <v>0</v>
      </c>
      <c r="CI201" s="46" t="e">
        <f t="shared" si="321"/>
        <v>#NUM!</v>
      </c>
      <c r="CJ201" s="46" t="e">
        <f t="shared" si="321"/>
        <v>#NUM!</v>
      </c>
    </row>
    <row r="202" spans="1:88" x14ac:dyDescent="0.25">
      <c r="AB202" s="39">
        <v>0.44791666666667201</v>
      </c>
      <c r="AC202">
        <f t="shared" si="285"/>
        <v>18.75</v>
      </c>
      <c r="AD202" s="38">
        <f t="shared" si="273"/>
        <v>54.738201152439906</v>
      </c>
      <c r="AE202" s="38">
        <f t="shared" si="274"/>
        <v>146.16719737991926</v>
      </c>
      <c r="AG202">
        <f t="shared" si="279"/>
        <v>3.5261798847560097</v>
      </c>
      <c r="AH202">
        <f t="shared" si="280"/>
        <v>-56.167197379919259</v>
      </c>
      <c r="AI202" s="7">
        <f t="shared" si="281"/>
        <v>1.9632756679104444</v>
      </c>
      <c r="AJ202" s="7">
        <f t="shared" si="282"/>
        <v>-2.9290771979326018</v>
      </c>
      <c r="AK202" s="43"/>
      <c r="AN202" s="323"/>
      <c r="AO202" s="13">
        <f t="shared" ref="AO202:AX202" si="322">+AQ177</f>
        <v>0</v>
      </c>
      <c r="AP202" s="13">
        <f t="shared" si="322"/>
        <v>0</v>
      </c>
      <c r="AQ202" s="13">
        <f t="shared" si="322"/>
        <v>0</v>
      </c>
      <c r="AR202" s="13">
        <f t="shared" si="322"/>
        <v>0</v>
      </c>
      <c r="AS202" s="13">
        <f t="shared" si="322"/>
        <v>0</v>
      </c>
      <c r="AT202" s="13">
        <f t="shared" si="322"/>
        <v>0</v>
      </c>
      <c r="AU202" s="13">
        <f t="shared" si="322"/>
        <v>0</v>
      </c>
      <c r="AV202" s="13">
        <f t="shared" si="322"/>
        <v>0</v>
      </c>
      <c r="AW202" s="13">
        <f t="shared" si="322"/>
        <v>7.4939503996922818</v>
      </c>
      <c r="AX202" s="13">
        <f t="shared" si="322"/>
        <v>2.6513500426204568</v>
      </c>
      <c r="AY202" s="13">
        <f>IF($AJ$125="si",BA177,0)</f>
        <v>0</v>
      </c>
      <c r="AZ202" s="13">
        <f>IF($AJ$125="si",BB177,0)</f>
        <v>0</v>
      </c>
      <c r="BA202" s="13">
        <f>IF($AJ$126="si",BC177,0)</f>
        <v>0</v>
      </c>
      <c r="BB202" s="13">
        <f>IF($AJ$126="si",BD177,0)</f>
        <v>0</v>
      </c>
      <c r="BC202" s="13">
        <f>IF($AJ$127="si",BE177,0)</f>
        <v>4.0953514088422205</v>
      </c>
      <c r="BD202" s="13">
        <f>IF($AJ$127="si",BF177,0)</f>
        <v>5.8631501008162723E-2</v>
      </c>
      <c r="BE202" s="13">
        <f>IF($AJ$128="si",BG177,0)</f>
        <v>2.7632024243694069</v>
      </c>
      <c r="BF202" s="13">
        <f>IF($AJ$128="si",BH177,0)</f>
        <v>-0.37090968772972588</v>
      </c>
      <c r="BG202" s="13">
        <f>IF($AJ$129="si",BI177,0)</f>
        <v>1.390890301003268</v>
      </c>
      <c r="BH202" s="13">
        <f>IF($AJ$129="si",BJ177,0)</f>
        <v>-0.62161206557584159</v>
      </c>
      <c r="BI202" s="13">
        <f>IF($AJ$130="si",BK177,0)</f>
        <v>4.312752546919713E-17</v>
      </c>
      <c r="BJ202" s="13">
        <f>IF($AJ$130="si",BL177,0)</f>
        <v>-0.70403754412625652</v>
      </c>
      <c r="BK202" s="13">
        <f>IF($AJ$131="si",BM177,0)</f>
        <v>-1.390890301003268</v>
      </c>
      <c r="BL202" s="13">
        <f>IF($AJ$131="si",BN177,0)</f>
        <v>-0.62161206557584281</v>
      </c>
      <c r="BM202" s="13">
        <f>IF($AJ$132="si",BO177,0)</f>
        <v>-2.7632024243694078</v>
      </c>
      <c r="BN202" s="13">
        <f>IF($AJ$132="si",BP177,0)</f>
        <v>-0.37090968772972532</v>
      </c>
      <c r="BO202" s="13">
        <f>IF($AJ$133="si",BQ177,0)</f>
        <v>-4.0953514088422205</v>
      </c>
      <c r="BP202" s="13">
        <f>IF($AJ$133="si",BR177,0)</f>
        <v>5.8631501008163472E-2</v>
      </c>
      <c r="BQ202" s="13">
        <f>IF($AJ$134="si",BS177,0)</f>
        <v>-5.3589112820436533</v>
      </c>
      <c r="BR202" s="13">
        <f>IF($AJ$134="si",BT177,0)</f>
        <v>0.68552167573681033</v>
      </c>
      <c r="BS202" s="13">
        <f>IF($AJ$135="si",IF(BU169=9,CN104,BU177),0)</f>
        <v>-6.5128329273581409</v>
      </c>
      <c r="BT202" s="13">
        <f>IF($AJ$135="si",IF(BU169=9,CO104,BV177),0)</f>
        <v>1.5373408369743473</v>
      </c>
      <c r="BU202" s="13">
        <f>IF($AJ$136="si",IF(BW177&lt;=-8.99,CN105,BW177),0)</f>
        <v>-7.4939503996922818</v>
      </c>
      <c r="BV202" s="13">
        <f>IF($AJ$136="si",IF(BW177&lt;=-8.99,CO105,BX177),0)</f>
        <v>2.6513500426204546</v>
      </c>
      <c r="BW202" s="13">
        <f t="shared" ref="BW202:CJ202" si="323">+BY177</f>
        <v>0</v>
      </c>
      <c r="BX202" s="13">
        <f t="shared" si="323"/>
        <v>0</v>
      </c>
      <c r="BY202" s="13">
        <f t="shared" si="323"/>
        <v>0</v>
      </c>
      <c r="BZ202" s="13">
        <f t="shared" si="323"/>
        <v>0</v>
      </c>
      <c r="CA202" s="13">
        <f t="shared" si="323"/>
        <v>0</v>
      </c>
      <c r="CB202" s="13">
        <f t="shared" si="323"/>
        <v>0</v>
      </c>
      <c r="CC202" s="13">
        <f t="shared" si="323"/>
        <v>0</v>
      </c>
      <c r="CD202" s="13">
        <f t="shared" si="323"/>
        <v>0</v>
      </c>
      <c r="CE202" s="13">
        <f t="shared" si="323"/>
        <v>0</v>
      </c>
      <c r="CF202" s="13">
        <f t="shared" si="323"/>
        <v>0</v>
      </c>
      <c r="CG202" s="13" t="e">
        <f t="shared" si="323"/>
        <v>#NUM!</v>
      </c>
      <c r="CH202" s="13" t="e">
        <f t="shared" si="323"/>
        <v>#NUM!</v>
      </c>
      <c r="CI202" s="13">
        <f t="shared" si="323"/>
        <v>0</v>
      </c>
      <c r="CJ202" s="13">
        <f t="shared" si="323"/>
        <v>0</v>
      </c>
    </row>
    <row r="203" spans="1:88" x14ac:dyDescent="0.25">
      <c r="D203" s="44"/>
      <c r="E203" s="13"/>
      <c r="F203" s="13"/>
      <c r="G203" s="13"/>
      <c r="H203" s="13"/>
      <c r="I203" s="13"/>
      <c r="J203" s="13"/>
      <c r="K203" s="35"/>
      <c r="L203" s="35"/>
      <c r="AB203" s="39">
        <v>0.45833333333333898</v>
      </c>
      <c r="AC203">
        <f t="shared" si="285"/>
        <v>15</v>
      </c>
      <c r="AD203" s="38">
        <f t="shared" si="273"/>
        <v>56.40536291527436</v>
      </c>
      <c r="AE203" s="38">
        <f t="shared" si="274"/>
        <v>152.11163440142451</v>
      </c>
      <c r="AG203">
        <f t="shared" si="279"/>
        <v>3.359463708472564</v>
      </c>
      <c r="AH203">
        <f t="shared" si="280"/>
        <v>-62.11163440142451</v>
      </c>
      <c r="AI203" s="7">
        <f t="shared" si="281"/>
        <v>1.5713903200522465</v>
      </c>
      <c r="AJ203" s="7">
        <f t="shared" si="282"/>
        <v>-2.9692977066286788</v>
      </c>
      <c r="AK203" s="43"/>
      <c r="AN203" s="323"/>
      <c r="AO203" s="13">
        <f t="shared" ref="AO203:AX203" si="324">+AO177</f>
        <v>0</v>
      </c>
      <c r="AP203" s="13">
        <f t="shared" si="324"/>
        <v>0</v>
      </c>
      <c r="AQ203" s="13">
        <f t="shared" si="324"/>
        <v>0</v>
      </c>
      <c r="AR203" s="13">
        <f t="shared" si="324"/>
        <v>0</v>
      </c>
      <c r="AS203" s="13">
        <f t="shared" si="324"/>
        <v>0</v>
      </c>
      <c r="AT203" s="13">
        <f t="shared" si="324"/>
        <v>0</v>
      </c>
      <c r="AU203" s="13">
        <f t="shared" si="324"/>
        <v>0</v>
      </c>
      <c r="AV203" s="13">
        <f t="shared" si="324"/>
        <v>0</v>
      </c>
      <c r="AW203" s="13">
        <f t="shared" si="324"/>
        <v>0</v>
      </c>
      <c r="AX203" s="13">
        <f t="shared" si="324"/>
        <v>0</v>
      </c>
      <c r="AY203" s="13">
        <f>IF($AJ$125="si",AY177,0)</f>
        <v>0</v>
      </c>
      <c r="AZ203" s="13">
        <f>IF($AJ$125="si",AZ177,0)</f>
        <v>0</v>
      </c>
      <c r="BA203" s="13">
        <f>IF($AJ$126="si",BA177,0)</f>
        <v>0</v>
      </c>
      <c r="BB203" s="13">
        <f>IF($AJ$126="si",BB177,0)</f>
        <v>0</v>
      </c>
      <c r="BC203" s="13">
        <f>IF($AJ$127="si",BC177,0)</f>
        <v>5.3589112820436533</v>
      </c>
      <c r="BD203" s="13">
        <f>IF($AJ$127="si",BD177,0)</f>
        <v>0.68552167573681078</v>
      </c>
      <c r="BE203" s="13">
        <f>IF($AJ$128="si",BE177,0)</f>
        <v>4.0953514088422205</v>
      </c>
      <c r="BF203" s="13">
        <f>IF($AJ$128="si",BF177,0)</f>
        <v>5.8631501008162723E-2</v>
      </c>
      <c r="BG203" s="13">
        <f>IF($AJ$129="si",BG177,0)</f>
        <v>2.7632024243694069</v>
      </c>
      <c r="BH203" s="13">
        <f>IF($AJ$129="si",BH177,0)</f>
        <v>-0.37090968772972588</v>
      </c>
      <c r="BI203" s="13">
        <f>IF($AJ$130="si",BI177,0)</f>
        <v>1.390890301003268</v>
      </c>
      <c r="BJ203" s="13">
        <f>IF($AJ$130="si",BJ177,0)</f>
        <v>-0.62161206557584159</v>
      </c>
      <c r="BK203" s="13">
        <f>IF($AJ$131="si",BK177,0)</f>
        <v>4.312752546919713E-17</v>
      </c>
      <c r="BL203" s="13">
        <f>IF($AJ$131="si",BL177,0)</f>
        <v>-0.70403754412625652</v>
      </c>
      <c r="BM203" s="13">
        <f>IF($AJ$132="si",BM177,0)</f>
        <v>-1.390890301003268</v>
      </c>
      <c r="BN203" s="13">
        <f>IF($AJ$132="si",BN177,0)</f>
        <v>-0.62161206557584281</v>
      </c>
      <c r="BO203" s="13">
        <f>IF($AJ$133="si",BO177,0)</f>
        <v>-2.7632024243694078</v>
      </c>
      <c r="BP203" s="13">
        <f>IF($AJ$133="si",BP177,0)</f>
        <v>-0.37090968772972532</v>
      </c>
      <c r="BQ203" s="13">
        <f>IF($AJ$134="si",BQ177,0)</f>
        <v>-4.0953514088422205</v>
      </c>
      <c r="BR203" s="13">
        <f>IF($AJ$134="si",BR177,0)</f>
        <v>5.8631501008163472E-2</v>
      </c>
      <c r="BS203" s="13">
        <f>IF($AJ$135="si",BS177,0)</f>
        <v>-5.3589112820436533</v>
      </c>
      <c r="BT203" s="13">
        <f>IF($AJ$135="si",BT177,0)</f>
        <v>0.68552167573681033</v>
      </c>
      <c r="BU203" s="13">
        <f>IF($AJ$136="si",BU177,0)</f>
        <v>-6.5128329273581409</v>
      </c>
      <c r="BV203" s="13">
        <f>IF($AJ$136="si",BV177,0)</f>
        <v>1.5373408369743473</v>
      </c>
      <c r="BW203" s="13">
        <f t="shared" ref="BW203:CJ203" si="325">+BW177</f>
        <v>-7.4939503996922818</v>
      </c>
      <c r="BX203" s="13">
        <f t="shared" si="325"/>
        <v>2.6513500426204546</v>
      </c>
      <c r="BY203" s="13">
        <f t="shared" si="325"/>
        <v>0</v>
      </c>
      <c r="BZ203" s="13">
        <f t="shared" si="325"/>
        <v>0</v>
      </c>
      <c r="CA203" s="13">
        <f t="shared" si="325"/>
        <v>0</v>
      </c>
      <c r="CB203" s="13">
        <f t="shared" si="325"/>
        <v>0</v>
      </c>
      <c r="CC203" s="13">
        <f t="shared" si="325"/>
        <v>0</v>
      </c>
      <c r="CD203" s="13">
        <f t="shared" si="325"/>
        <v>0</v>
      </c>
      <c r="CE203" s="13">
        <f t="shared" si="325"/>
        <v>0</v>
      </c>
      <c r="CF203" s="13">
        <f t="shared" si="325"/>
        <v>0</v>
      </c>
      <c r="CG203" s="13">
        <f t="shared" si="325"/>
        <v>0</v>
      </c>
      <c r="CH203" s="13">
        <f t="shared" si="325"/>
        <v>0</v>
      </c>
      <c r="CI203" s="13" t="e">
        <f t="shared" si="325"/>
        <v>#NUM!</v>
      </c>
      <c r="CJ203" s="13" t="e">
        <f t="shared" si="325"/>
        <v>#NUM!</v>
      </c>
    </row>
    <row r="204" spans="1:88" x14ac:dyDescent="0.25">
      <c r="A204" s="41" t="s">
        <v>92</v>
      </c>
      <c r="B204" s="41">
        <v>21</v>
      </c>
      <c r="C204" s="315"/>
      <c r="D204" s="315"/>
      <c r="E204" s="316"/>
      <c r="K204" s="35"/>
      <c r="L204" s="41" t="s">
        <v>92</v>
      </c>
      <c r="M204" s="41">
        <v>21</v>
      </c>
      <c r="N204" s="315"/>
      <c r="O204" s="315"/>
      <c r="P204" s="316"/>
      <c r="AB204" s="39">
        <v>0.468750000000006</v>
      </c>
      <c r="AC204">
        <f t="shared" si="285"/>
        <v>11.25</v>
      </c>
      <c r="AD204" s="38">
        <f t="shared" si="273"/>
        <v>57.762195170672989</v>
      </c>
      <c r="AE204" s="38">
        <f t="shared" si="274"/>
        <v>158.54835243702061</v>
      </c>
      <c r="AG204">
        <f t="shared" si="279"/>
        <v>3.2237804829327015</v>
      </c>
      <c r="AH204">
        <f t="shared" si="280"/>
        <v>-68.548352437020611</v>
      </c>
      <c r="AI204" s="7">
        <f t="shared" si="281"/>
        <v>1.1789878076001212</v>
      </c>
      <c r="AJ204" s="7">
        <f t="shared" si="282"/>
        <v>-3.0004580236470666</v>
      </c>
      <c r="AK204" s="43"/>
      <c r="AN204" s="324"/>
      <c r="AO204" s="45">
        <f t="shared" ref="AO204:AX204" si="326">+AQ176</f>
        <v>0</v>
      </c>
      <c r="AP204" s="45">
        <f t="shared" si="326"/>
        <v>0</v>
      </c>
      <c r="AQ204" s="45">
        <f t="shared" si="326"/>
        <v>0</v>
      </c>
      <c r="AR204" s="45">
        <f t="shared" si="326"/>
        <v>0</v>
      </c>
      <c r="AS204" s="45">
        <f t="shared" si="326"/>
        <v>0</v>
      </c>
      <c r="AT204" s="45">
        <f t="shared" si="326"/>
        <v>0</v>
      </c>
      <c r="AU204" s="45">
        <f t="shared" si="326"/>
        <v>0</v>
      </c>
      <c r="AV204" s="45">
        <f t="shared" si="326"/>
        <v>0</v>
      </c>
      <c r="AW204" s="45">
        <f t="shared" si="326"/>
        <v>8.0667743759958661</v>
      </c>
      <c r="AX204" s="45">
        <f t="shared" si="326"/>
        <v>1.8759482527650697</v>
      </c>
      <c r="AY204" s="45">
        <f>IF($AJ$125="si",BA176,0)</f>
        <v>0</v>
      </c>
      <c r="AZ204" s="45">
        <f>IF($AJ$125="si",BB176,0)</f>
        <v>0</v>
      </c>
      <c r="BA204" s="45">
        <f>IF($AJ$126="si",BC176,0)</f>
        <v>0</v>
      </c>
      <c r="BB204" s="45">
        <f>IF($AJ$126="si",BD176,0)</f>
        <v>0</v>
      </c>
      <c r="BC204" s="45">
        <f>IF($AJ$127="si",BE176,0)</f>
        <v>4.3235372056031043</v>
      </c>
      <c r="BD204" s="45">
        <f>IF($AJ$127="si",BF176,0)</f>
        <v>-0.67945035312016167</v>
      </c>
      <c r="BE204" s="45">
        <f>IF($AJ$128="si",BG176,0)</f>
        <v>2.9090953902894121</v>
      </c>
      <c r="BF204" s="45">
        <f>IF($AJ$128="si",BH176,0)</f>
        <v>-1.0959270054663139</v>
      </c>
      <c r="BG204" s="45">
        <f>IF($AJ$129="si",BI176,0)</f>
        <v>1.462043764537692</v>
      </c>
      <c r="BH204" s="45">
        <f>IF($AJ$129="si",BJ176,0)</f>
        <v>-1.3383201044311768</v>
      </c>
      <c r="BI204" s="45">
        <f>IF($AJ$130="si",BK176,0)</f>
        <v>8.6857589127052893E-17</v>
      </c>
      <c r="BJ204" s="45">
        <f>IF($AJ$130="si",BL176,0)</f>
        <v>-1.417911254412533</v>
      </c>
      <c r="BK204" s="45">
        <f>IF($AJ$131="si",BM176,0)</f>
        <v>-1.4620437645376916</v>
      </c>
      <c r="BL204" s="45">
        <f>IF($AJ$131="si",BN176,0)</f>
        <v>-1.338320104431177</v>
      </c>
      <c r="BM204" s="45">
        <f>IF($AJ$132="si",BO176,0)</f>
        <v>-2.9090953902894121</v>
      </c>
      <c r="BN204" s="45">
        <f>IF($AJ$132="si",BP176,0)</f>
        <v>-1.0959270054663137</v>
      </c>
      <c r="BO204" s="45">
        <f>IF($AJ$133="si",BQ176,0)</f>
        <v>-4.3235372056031043</v>
      </c>
      <c r="BP204" s="45">
        <f>IF($AJ$133="si",BR176,0)</f>
        <v>-0.67945035312016244</v>
      </c>
      <c r="BQ204" s="45">
        <f>IF($AJ$134="si",BS176,0)</f>
        <v>-5.681673954671612</v>
      </c>
      <c r="BR204" s="45">
        <f>IF($AJ$134="si",BT176,0)</f>
        <v>-6.8641989673888751E-2</v>
      </c>
      <c r="BS204" s="45">
        <f>IF($AJ$135="si",BU176,0)</f>
        <v>-6.9482491884736284</v>
      </c>
      <c r="BT204" s="45">
        <f>IF($AJ$135="si",BV176,0)</f>
        <v>0.76795237286723794</v>
      </c>
      <c r="BU204" s="45">
        <f>IF($AJ$136="si",IF(BW176&lt;=-8.99,CC105,BW176),0)</f>
        <v>-8.0667743759958661</v>
      </c>
      <c r="BV204" s="45">
        <f>IF($AJ$136="si",IF(BW176&lt;=-8.99,CD105,BX176),0)</f>
        <v>1.8759482527650715</v>
      </c>
      <c r="BW204" s="45">
        <f t="shared" ref="BW204:CJ204" si="327">+BY176</f>
        <v>0</v>
      </c>
      <c r="BX204" s="45">
        <f t="shared" si="327"/>
        <v>0</v>
      </c>
      <c r="BY204" s="45">
        <f t="shared" si="327"/>
        <v>0</v>
      </c>
      <c r="BZ204" s="45">
        <f t="shared" si="327"/>
        <v>0</v>
      </c>
      <c r="CA204" s="45">
        <f t="shared" si="327"/>
        <v>0</v>
      </c>
      <c r="CB204" s="45">
        <f t="shared" si="327"/>
        <v>0</v>
      </c>
      <c r="CC204" s="45">
        <f t="shared" si="327"/>
        <v>0</v>
      </c>
      <c r="CD204" s="45">
        <f t="shared" si="327"/>
        <v>0</v>
      </c>
      <c r="CE204" s="45">
        <f t="shared" si="327"/>
        <v>0</v>
      </c>
      <c r="CF204" s="45">
        <f t="shared" si="327"/>
        <v>0</v>
      </c>
      <c r="CG204" s="45" t="e">
        <f t="shared" si="327"/>
        <v>#NUM!</v>
      </c>
      <c r="CH204" s="45" t="e">
        <f t="shared" si="327"/>
        <v>#NUM!</v>
      </c>
      <c r="CI204" s="45">
        <f t="shared" si="327"/>
        <v>0</v>
      </c>
      <c r="CJ204" s="45">
        <f t="shared" si="327"/>
        <v>0</v>
      </c>
    </row>
    <row r="205" spans="1:88" x14ac:dyDescent="0.25">
      <c r="A205" s="41" t="s">
        <v>91</v>
      </c>
      <c r="B205" s="41">
        <v>3</v>
      </c>
      <c r="C205" s="315"/>
      <c r="D205" s="315"/>
      <c r="E205" s="316"/>
      <c r="K205" s="35"/>
      <c r="L205" s="41" t="s">
        <v>91</v>
      </c>
      <c r="M205" s="41">
        <v>3</v>
      </c>
      <c r="N205" s="315"/>
      <c r="O205" s="315"/>
      <c r="P205" s="316"/>
      <c r="AB205" s="39">
        <v>0.47916666666667301</v>
      </c>
      <c r="AC205">
        <f t="shared" si="285"/>
        <v>7.5</v>
      </c>
      <c r="AD205" s="38">
        <f t="shared" si="273"/>
        <v>58.767758345427602</v>
      </c>
      <c r="AE205" s="38">
        <f t="shared" si="274"/>
        <v>165.42022086471553</v>
      </c>
      <c r="AG205">
        <f t="shared" si="279"/>
        <v>3.1232241654572395</v>
      </c>
      <c r="AH205">
        <f t="shared" si="280"/>
        <v>-75.420220864715532</v>
      </c>
      <c r="AI205" s="7">
        <f t="shared" si="281"/>
        <v>0.78620240425297039</v>
      </c>
      <c r="AJ205" s="7">
        <f t="shared" si="282"/>
        <v>-3.0226503216950054</v>
      </c>
      <c r="AK205" s="43"/>
    </row>
    <row r="206" spans="1:88" x14ac:dyDescent="0.25">
      <c r="C206" s="32">
        <f>+IF(B205=$AI$63,B204,IF(B205=$AJ$63,$AI$64+B204,IF(B205=$AK$63,$AI$64+$AJ$64+B204,IF(B205=$AL$63,$AI$64+$AJ$64+$AK$64+B204,IF(B205=$AM$63,$AI$64+$AJ$64+$AK$64+$AL$64+B204,IF(B205=$AN$63,$AI$64+$AJ$64+$AK$64+$AL$64+$AM$64+B204,IF(B205=$AO$63,$AI$64+$AJ$64+$AK$64+$AL$64+$AM$64+$AN$64+B204,IF(B205=$AP$63,$AI$64+$AJ$64+$AK$64+$AL$64+$AM$64+$AN$64+$AO$64+B204,IF(B205=$AQ$63,$AI$64+$AJ$64+$AK$64+$AL$64+$AM$64+$AN$64+$AO$64+$AP$64+B204,IF(B205=$AR$63,$AI$64+$AJ$64+$AK$64+$AL$64+$AM$64+$AN$64+$AO$64+$AP$64+$AQ$64+B204,IF(B205=$AS$63,$AI$64+$AJ$64+$AK$64+$AL$64+$AM$64+$AN$64+$AO$64+$AP$64+$AQ$64+$AR$64+B204,IF(B205=$AT$63,$AI$64+$AJ$64+$AK$64+$AL$64+$AM$64+$AN$64+$AO$64+$AP$64+$AQ$64+$AR$64+$AS$64+B204,"error"))))))))))))</f>
        <v>80</v>
      </c>
      <c r="D206" s="38">
        <f>23.45*SIN(RADIANS(360*((284+C206)/365)))</f>
        <v>-0.40365320185431652</v>
      </c>
      <c r="E206" s="41">
        <v>15</v>
      </c>
      <c r="K206" s="35"/>
      <c r="N206" s="32">
        <f>+IF(M205=$AI$63,M204,IF(M205=$AJ$63,$AI$64+M204,IF(M205=$AK$63,$AI$64+$AJ$64+M204,IF(M205=$AL$63,$AI$64+$AJ$64+$AK$64+M204,IF(M205=$AM$63,$AI$64+$AJ$64+$AK$64+$AL$64+M204,IF(M205=$AN$63,$AI$64+$AJ$64+$AK$64+$AL$64+$AM$64+M204,IF(M205=$AO$63,$AI$64+$AJ$64+$AK$64+$AL$64+$AM$64+$AN$64+M204,IF(M205=$AP$63,$AI$64+$AJ$64+$AK$64+$AL$64+$AM$64+$AN$64+$AO$64+M204,IF(M205=$AQ$63,$AI$64+$AJ$64+$AK$64+$AL$64+$AM$64+$AN$64+$AO$64+$AP$64+M204,IF(M205=$AR$63,$AI$64+$AJ$64+$AK$64+$AL$64+$AM$64+$AN$64+$AO$64+$AP$64+$AQ$64+M204,IF(M205=$AS$63,$AI$64+$AJ$64+$AK$64+$AL$64+$AM$64+$AN$64+$AO$64+$AP$64+$AQ$64+$AR$64+M204,IF(M205=$AT$63,$AI$64+$AJ$64+$AK$64+$AL$64+$AM$64+$AN$64+$AO$64+$AP$64+$AQ$64+$AR$64+$AS$64+M204,"error"))))))))))))</f>
        <v>80</v>
      </c>
      <c r="O206" s="38">
        <f>23.45*SIN(RADIANS(360*((284+N206)/365)))</f>
        <v>-0.40365320185431652</v>
      </c>
      <c r="P206" s="41">
        <v>20</v>
      </c>
      <c r="AB206" s="39">
        <v>0.48958333333333998</v>
      </c>
      <c r="AC206">
        <f t="shared" si="285"/>
        <v>3.75</v>
      </c>
      <c r="AD206" s="38">
        <f t="shared" si="273"/>
        <v>59.387080409951224</v>
      </c>
      <c r="AE206" s="38">
        <f t="shared" si="274"/>
        <v>172.62107808740797</v>
      </c>
      <c r="AG206">
        <f t="shared" si="279"/>
        <v>3.0612919590048779</v>
      </c>
      <c r="AH206">
        <f t="shared" si="280"/>
        <v>-82.621078087407966</v>
      </c>
      <c r="AI206" s="7">
        <f t="shared" si="281"/>
        <v>0.39316408310632844</v>
      </c>
      <c r="AJ206" s="7">
        <f t="shared" si="282"/>
        <v>-3.0359397988140482</v>
      </c>
      <c r="AK206" s="43"/>
      <c r="AN206" s="322" t="s">
        <v>99</v>
      </c>
      <c r="AO206" s="46">
        <f t="shared" ref="AO206:AX206" si="328">+AO177</f>
        <v>0</v>
      </c>
      <c r="AP206" s="46">
        <f t="shared" si="328"/>
        <v>0</v>
      </c>
      <c r="AQ206" s="46">
        <f t="shared" si="328"/>
        <v>0</v>
      </c>
      <c r="AR206" s="46">
        <f t="shared" si="328"/>
        <v>0</v>
      </c>
      <c r="AS206" s="46">
        <f t="shared" si="328"/>
        <v>0</v>
      </c>
      <c r="AT206" s="46">
        <f t="shared" si="328"/>
        <v>0</v>
      </c>
      <c r="AU206" s="46">
        <f t="shared" si="328"/>
        <v>0</v>
      </c>
      <c r="AV206" s="46">
        <f t="shared" si="328"/>
        <v>0</v>
      </c>
      <c r="AW206" s="46">
        <f t="shared" si="328"/>
        <v>0</v>
      </c>
      <c r="AX206" s="46">
        <f t="shared" si="328"/>
        <v>0</v>
      </c>
      <c r="AY206" s="46">
        <f>IF($AL$125="si",AY177,0)</f>
        <v>0</v>
      </c>
      <c r="AZ206" s="46">
        <f>IF($AL$125="si",AZ177,0)</f>
        <v>0</v>
      </c>
      <c r="BA206" s="46">
        <f>IF($AL$126="si",BA177,0)</f>
        <v>6.5128329273581409</v>
      </c>
      <c r="BB206" s="46">
        <f>IF($AL$126="si",BB177,0)</f>
        <v>1.5373408369743471</v>
      </c>
      <c r="BC206" s="46">
        <f>IF($AL$127="si",BC177,0)</f>
        <v>5.3589112820436533</v>
      </c>
      <c r="BD206" s="46">
        <f>IF($AL$127="si",BD177,0)</f>
        <v>0.68552167573681078</v>
      </c>
      <c r="BE206" s="46">
        <f>IF($AL$128="si",BE177,0)</f>
        <v>4.0953514088422205</v>
      </c>
      <c r="BF206" s="46">
        <f>IF($AL$128="si",BF177,0)</f>
        <v>5.8631501008162723E-2</v>
      </c>
      <c r="BG206" s="46">
        <f>IF($AL$129="si",BG177,0)</f>
        <v>2.7632024243694069</v>
      </c>
      <c r="BH206" s="46">
        <f>IF($AL$129="si",BH177,0)</f>
        <v>-0.37090968772972588</v>
      </c>
      <c r="BI206" s="46">
        <f>IF($AL$130="si",BI177,0)</f>
        <v>1.390890301003268</v>
      </c>
      <c r="BJ206" s="46">
        <f>IF($AL$130="si",BJ177,0)</f>
        <v>-0.62161206557584159</v>
      </c>
      <c r="BK206" s="46">
        <f>IF($AL$131="si",BK177,0)</f>
        <v>4.312752546919713E-17</v>
      </c>
      <c r="BL206" s="46">
        <f>IF($AL$131="si",BL177,0)</f>
        <v>-0.70403754412625652</v>
      </c>
      <c r="BM206" s="46">
        <f>IF($AL$132="si",BM177,0)</f>
        <v>-1.390890301003268</v>
      </c>
      <c r="BN206" s="46">
        <f>IF($AL$132="si",BN177,0)</f>
        <v>-0.62161206557584281</v>
      </c>
      <c r="BO206" s="46">
        <f>IF($AL$133="si",BO177,0)</f>
        <v>-2.7632024243694078</v>
      </c>
      <c r="BP206" s="46">
        <f>IF($AL$133="si",BP177,0)</f>
        <v>-0.37090968772972532</v>
      </c>
      <c r="BQ206" s="46">
        <f>IF($AL$134="si",BQ177,0)</f>
        <v>-4.0953514088422205</v>
      </c>
      <c r="BR206" s="46">
        <f>IF($AL$134="si",BR177,0)</f>
        <v>5.8631501008163472E-2</v>
      </c>
      <c r="BS206" s="46">
        <f>IF($AL$135="si",BS177,0)</f>
        <v>-5.3589112820436533</v>
      </c>
      <c r="BT206" s="46">
        <f>IF($AL$135="si",BT177,0)</f>
        <v>0.68552167573681033</v>
      </c>
      <c r="BU206" s="46">
        <f>IF($AL$136="si",BU177,0)</f>
        <v>-6.5128329273581409</v>
      </c>
      <c r="BV206" s="46">
        <f>IF($AL$136="si",BV177,0)</f>
        <v>1.5373408369743473</v>
      </c>
      <c r="BW206" s="46">
        <f t="shared" ref="BW206:CJ206" si="329">+BW177</f>
        <v>-7.4939503996922818</v>
      </c>
      <c r="BX206" s="46">
        <f t="shared" si="329"/>
        <v>2.6513500426204546</v>
      </c>
      <c r="BY206" s="46">
        <f t="shared" si="329"/>
        <v>0</v>
      </c>
      <c r="BZ206" s="46">
        <f t="shared" si="329"/>
        <v>0</v>
      </c>
      <c r="CA206" s="46">
        <f t="shared" si="329"/>
        <v>0</v>
      </c>
      <c r="CB206" s="46">
        <f t="shared" si="329"/>
        <v>0</v>
      </c>
      <c r="CC206" s="46">
        <f t="shared" si="329"/>
        <v>0</v>
      </c>
      <c r="CD206" s="46">
        <f t="shared" si="329"/>
        <v>0</v>
      </c>
      <c r="CE206" s="46">
        <f t="shared" si="329"/>
        <v>0</v>
      </c>
      <c r="CF206" s="46">
        <f t="shared" si="329"/>
        <v>0</v>
      </c>
      <c r="CG206" s="46">
        <f t="shared" si="329"/>
        <v>0</v>
      </c>
      <c r="CH206" s="46">
        <f t="shared" si="329"/>
        <v>0</v>
      </c>
      <c r="CI206" s="46" t="e">
        <f t="shared" si="329"/>
        <v>#NUM!</v>
      </c>
      <c r="CJ206" s="46" t="e">
        <f t="shared" si="329"/>
        <v>#NUM!</v>
      </c>
    </row>
    <row r="207" spans="1:88" x14ac:dyDescent="0.25">
      <c r="B207" s="317" t="s">
        <v>90</v>
      </c>
      <c r="C207" s="315"/>
      <c r="D207" s="315"/>
      <c r="E207" s="315"/>
      <c r="G207" s="319" t="s">
        <v>89</v>
      </c>
      <c r="H207" s="319"/>
      <c r="I207" s="319" t="s">
        <v>42</v>
      </c>
      <c r="J207" s="319" t="s">
        <v>43</v>
      </c>
      <c r="K207" s="35"/>
      <c r="M207" s="317" t="s">
        <v>90</v>
      </c>
      <c r="N207" s="315"/>
      <c r="O207" s="315"/>
      <c r="P207" s="315"/>
      <c r="R207" s="319" t="s">
        <v>89</v>
      </c>
      <c r="S207" s="319"/>
      <c r="T207" s="319" t="s">
        <v>42</v>
      </c>
      <c r="U207" s="319" t="s">
        <v>43</v>
      </c>
      <c r="AB207" s="39">
        <v>0.50000000000000699</v>
      </c>
      <c r="AC207">
        <f t="shared" si="285"/>
        <v>0</v>
      </c>
      <c r="AD207" s="38">
        <f t="shared" si="273"/>
        <v>59.596346798145696</v>
      </c>
      <c r="AE207" s="38">
        <f>+IF(AE174&gt;=0,180,0)</f>
        <v>180</v>
      </c>
      <c r="AG207">
        <f t="shared" si="279"/>
        <v>3.0403653201854306</v>
      </c>
      <c r="AH207">
        <f t="shared" si="280"/>
        <v>-90</v>
      </c>
      <c r="AI207" s="7">
        <f t="shared" si="281"/>
        <v>1.8624494371914661E-16</v>
      </c>
      <c r="AJ207" s="7">
        <f t="shared" si="282"/>
        <v>-3.0403653201854306</v>
      </c>
      <c r="AK207" s="43"/>
      <c r="AN207" s="323"/>
      <c r="AO207" s="13">
        <f t="shared" ref="AO207:AX207" si="330">+AQ178</f>
        <v>0</v>
      </c>
      <c r="AP207" s="13">
        <f t="shared" si="330"/>
        <v>0</v>
      </c>
      <c r="AQ207" s="13">
        <f t="shared" si="330"/>
        <v>0</v>
      </c>
      <c r="AR207" s="13">
        <f t="shared" si="330"/>
        <v>0</v>
      </c>
      <c r="AS207" s="13">
        <f t="shared" si="330"/>
        <v>0</v>
      </c>
      <c r="AT207" s="13">
        <f t="shared" si="330"/>
        <v>0</v>
      </c>
      <c r="AU207" s="13">
        <f t="shared" si="330"/>
        <v>0</v>
      </c>
      <c r="AV207" s="13">
        <f t="shared" si="330"/>
        <v>0</v>
      </c>
      <c r="AW207" s="13">
        <f t="shared" si="330"/>
        <v>7.3728011230173927</v>
      </c>
      <c r="AX207" s="13">
        <f t="shared" si="330"/>
        <v>2.7949575952418422</v>
      </c>
      <c r="AY207" s="13">
        <f>IF($AL$125="si",BA178,0)</f>
        <v>0</v>
      </c>
      <c r="AZ207" s="13">
        <f>IF($AL$125="si",BB178,0)</f>
        <v>0</v>
      </c>
      <c r="BA207" s="13">
        <f>IF($AL$126="si",BC178,0)</f>
        <v>5.2888743491714614</v>
      </c>
      <c r="BB207" s="13">
        <f>IF($AL$126="si",BD178,0)</f>
        <v>0.8310199575527939</v>
      </c>
      <c r="BC207" s="13">
        <f>IF($AL$127="si",BE178,0)</f>
        <v>4.0454667905311457</v>
      </c>
      <c r="BD207" s="13">
        <f>IF($AL$127="si",BF178,0)</f>
        <v>0.20261451930685961</v>
      </c>
      <c r="BE207" s="13">
        <f>IF($AL$128="si",BG178,0)</f>
        <v>2.731150994716121</v>
      </c>
      <c r="BF207" s="13">
        <f>IF($AL$128="si",BH178,0)</f>
        <v>-0.22845695384356918</v>
      </c>
      <c r="BG207" s="13">
        <f>IF($AL$129="si",BI178,0)</f>
        <v>1.3752146338471711</v>
      </c>
      <c r="BH207" s="13">
        <f>IF($AL$129="si",BJ178,0)</f>
        <v>-0.48022136807352639</v>
      </c>
      <c r="BI207" s="13">
        <f>IF($AL$130="si",BK178,0)</f>
        <v>3.4489259230131462E-17</v>
      </c>
      <c r="BJ207" s="13">
        <f>IF($AL$130="si",BL178,0)</f>
        <v>-0.56302171531863721</v>
      </c>
      <c r="BK207" s="13">
        <f>IF($AL$131="si",BM178,0)</f>
        <v>-1.3752146338471709</v>
      </c>
      <c r="BL207" s="13">
        <f>IF($AL$131="si",BN178,0)</f>
        <v>-0.48022136807352689</v>
      </c>
      <c r="BM207" s="13">
        <f>IF($AL$132="si",BO178,0)</f>
        <v>-2.7311509947161206</v>
      </c>
      <c r="BN207" s="13">
        <f>IF($AL$132="si",BP178,0)</f>
        <v>-0.22845695384356782</v>
      </c>
      <c r="BO207" s="13">
        <f>IF($AL$133="si",BQ178,0)</f>
        <v>-4.0454667905311457</v>
      </c>
      <c r="BP207" s="13">
        <f>IF($AL$133="si",BR178,0)</f>
        <v>0.20261451930686047</v>
      </c>
      <c r="BQ207" s="13">
        <f>IF($AL$134="si",BS178,)</f>
        <v>-5.2888743491714614</v>
      </c>
      <c r="BR207" s="13">
        <f>IF($AL$134="si",BT178,)</f>
        <v>0.83101995755279434</v>
      </c>
      <c r="BS207" s="13">
        <f>IF($AL$135="si",IF(BU170=9,CY104,BU178),0)</f>
        <v>-6.4193538234426137</v>
      </c>
      <c r="BT207" s="13">
        <f>IF($AL$135="si",IF(BU170=9,CZ104,BV178),0)</f>
        <v>1.6833583727711807</v>
      </c>
      <c r="BU207" s="13">
        <f>IF($AL$136="si",IF(BW178&lt;=-8.99,CY105,BW178),0)</f>
        <v>-7.3728011230173935</v>
      </c>
      <c r="BV207" s="13">
        <f>IF($AL$136="si",IF(BW178&lt;=-8.99,CZ105,BX178),0)</f>
        <v>2.7949575952418435</v>
      </c>
      <c r="BW207" s="13">
        <f t="shared" ref="BW207:CJ207" si="331">+BY178</f>
        <v>0</v>
      </c>
      <c r="BX207" s="13">
        <f t="shared" si="331"/>
        <v>0</v>
      </c>
      <c r="BY207" s="13">
        <f t="shared" si="331"/>
        <v>0</v>
      </c>
      <c r="BZ207" s="13">
        <f t="shared" si="331"/>
        <v>0</v>
      </c>
      <c r="CA207" s="13">
        <f t="shared" si="331"/>
        <v>0</v>
      </c>
      <c r="CB207" s="13">
        <f t="shared" si="331"/>
        <v>0</v>
      </c>
      <c r="CC207" s="13">
        <f t="shared" si="331"/>
        <v>0</v>
      </c>
      <c r="CD207" s="13">
        <f t="shared" si="331"/>
        <v>0</v>
      </c>
      <c r="CE207" s="13">
        <f t="shared" si="331"/>
        <v>0</v>
      </c>
      <c r="CF207" s="13">
        <f t="shared" si="331"/>
        <v>0</v>
      </c>
      <c r="CG207" s="13">
        <f t="shared" si="331"/>
        <v>0</v>
      </c>
      <c r="CH207" s="13">
        <f t="shared" si="331"/>
        <v>0</v>
      </c>
      <c r="CI207" s="13">
        <f t="shared" si="331"/>
        <v>0</v>
      </c>
      <c r="CJ207" s="13">
        <f t="shared" si="331"/>
        <v>0</v>
      </c>
    </row>
    <row r="208" spans="1:88" x14ac:dyDescent="0.25">
      <c r="B208" s="318"/>
      <c r="C208" s="315"/>
      <c r="D208" s="315"/>
      <c r="E208" s="315"/>
      <c r="G208" s="319"/>
      <c r="H208" s="319"/>
      <c r="I208" s="319"/>
      <c r="J208" s="319"/>
      <c r="K208" s="35"/>
      <c r="M208" s="318"/>
      <c r="N208" s="315"/>
      <c r="O208" s="315"/>
      <c r="P208" s="315"/>
      <c r="R208" s="319"/>
      <c r="S208" s="319"/>
      <c r="T208" s="319"/>
      <c r="U208" s="319"/>
      <c r="AB208" s="39">
        <v>0.51041666666667396</v>
      </c>
      <c r="AC208">
        <f t="shared" si="285"/>
        <v>-3.75</v>
      </c>
      <c r="AD208" s="38">
        <f t="shared" si="273"/>
        <v>59.387080409951224</v>
      </c>
      <c r="AE208" s="38">
        <f t="shared" ref="AE208:AE236" si="332">-(180-DEGREES(ACOS((((SIN(RADIANS(AD208)))*SIN(RADIANS($AE$174)))-SIN(RADIANS($AD$174)))/((COS(RADIANS(AD208)))*COS(RADIANS($AE$174))))))</f>
        <v>-172.62107808740797</v>
      </c>
      <c r="AG208">
        <f t="shared" si="279"/>
        <v>3.0612919590048779</v>
      </c>
      <c r="AH208">
        <f t="shared" si="280"/>
        <v>262.62107808740797</v>
      </c>
      <c r="AI208" s="7">
        <f t="shared" si="281"/>
        <v>-0.3931640831063275</v>
      </c>
      <c r="AJ208" s="7">
        <f t="shared" si="282"/>
        <v>-3.0359397988140482</v>
      </c>
      <c r="AK208" s="43"/>
      <c r="AN208" s="323"/>
      <c r="AO208" s="13">
        <f t="shared" ref="AO208:AX208" si="333">+AO178</f>
        <v>0</v>
      </c>
      <c r="AP208" s="13">
        <f t="shared" si="333"/>
        <v>0</v>
      </c>
      <c r="AQ208" s="13">
        <f t="shared" si="333"/>
        <v>0</v>
      </c>
      <c r="AR208" s="13">
        <f t="shared" si="333"/>
        <v>0</v>
      </c>
      <c r="AS208" s="13">
        <f t="shared" si="333"/>
        <v>0</v>
      </c>
      <c r="AT208" s="13">
        <f t="shared" si="333"/>
        <v>0</v>
      </c>
      <c r="AU208" s="13">
        <f t="shared" si="333"/>
        <v>0</v>
      </c>
      <c r="AV208" s="13">
        <f t="shared" si="333"/>
        <v>0</v>
      </c>
      <c r="AW208" s="13">
        <f t="shared" si="333"/>
        <v>0</v>
      </c>
      <c r="AX208" s="13">
        <f t="shared" si="333"/>
        <v>0</v>
      </c>
      <c r="AY208" s="13">
        <f>IF($AL$125="si",AY178,0)</f>
        <v>0</v>
      </c>
      <c r="AZ208" s="13">
        <f>IF($AL$125="si",AZ178,0)</f>
        <v>0</v>
      </c>
      <c r="BA208" s="13">
        <f>IF($AL$126="si",BA178,0)</f>
        <v>6.4193538234426146</v>
      </c>
      <c r="BB208" s="13">
        <f>IF($AL$126="si",BB178,0)</f>
        <v>1.6833583727711794</v>
      </c>
      <c r="BC208" s="13">
        <f>IF($AL$127="si",BC178,0)</f>
        <v>5.2888743491714614</v>
      </c>
      <c r="BD208" s="13">
        <f>IF($AL$127="si",BD178,0)</f>
        <v>0.8310199575527939</v>
      </c>
      <c r="BE208" s="13">
        <f>IF($AL$128="si",BE178,0)</f>
        <v>4.0454667905311457</v>
      </c>
      <c r="BF208" s="13">
        <f>IF($AL$128="si",BF178,0)</f>
        <v>0.20261451930685961</v>
      </c>
      <c r="BG208" s="13">
        <f>IF($AL$129="si",BG178,0)</f>
        <v>2.731150994716121</v>
      </c>
      <c r="BH208" s="13">
        <f>IF($AL$129="si",BH178,0)</f>
        <v>-0.22845695384356918</v>
      </c>
      <c r="BI208" s="13">
        <f>IF($AL$130="si",BI178,0)</f>
        <v>1.3752146338471711</v>
      </c>
      <c r="BJ208" s="13">
        <f>IF($AL$130="si",BJ178,0)</f>
        <v>-0.48022136807352639</v>
      </c>
      <c r="BK208" s="13">
        <f>IF($AL$131="si",BK178,0)</f>
        <v>3.4489259230131462E-17</v>
      </c>
      <c r="BL208" s="13">
        <f>IF($AL$131="si",BL178,0)</f>
        <v>-0.56302171531863721</v>
      </c>
      <c r="BM208" s="13">
        <f>IF($AL$132="si",BM178,0)</f>
        <v>-1.3752146338471709</v>
      </c>
      <c r="BN208" s="13">
        <f>IF($AL$132="si",BN178,0)</f>
        <v>-0.48022136807352689</v>
      </c>
      <c r="BO208" s="13">
        <f>IF($AL$133="si",BO178,0)</f>
        <v>-2.7311509947161206</v>
      </c>
      <c r="BP208" s="13">
        <f>IF($AL$133="si",BP178,0)</f>
        <v>-0.22845695384356782</v>
      </c>
      <c r="BQ208" s="13">
        <f>IF($AL$134="si",BQ178,0)</f>
        <v>-4.0454667905311457</v>
      </c>
      <c r="BR208" s="13">
        <f>IF($AL$134="si",BR178,0)</f>
        <v>0.20261451930686047</v>
      </c>
      <c r="BS208" s="13">
        <f>IF($AL$135="si",BS178,0)</f>
        <v>-5.2888743491714614</v>
      </c>
      <c r="BT208" s="13">
        <f>IF($AL$135="si",BT178,0)</f>
        <v>0.83101995755279434</v>
      </c>
      <c r="BU208" s="13">
        <f>IF($AL$136="si",BU178,0)</f>
        <v>-6.4193538234426137</v>
      </c>
      <c r="BV208" s="13">
        <f>IF($AL$136="si",BV178,0)</f>
        <v>1.6833583727711807</v>
      </c>
      <c r="BW208" s="13">
        <f t="shared" ref="BW208:CJ208" si="334">+BW178</f>
        <v>-7.3728011230173935</v>
      </c>
      <c r="BX208" s="13">
        <f t="shared" si="334"/>
        <v>2.7949575952418435</v>
      </c>
      <c r="BY208" s="13">
        <f t="shared" si="334"/>
        <v>0</v>
      </c>
      <c r="BZ208" s="13">
        <f t="shared" si="334"/>
        <v>0</v>
      </c>
      <c r="CA208" s="13">
        <f t="shared" si="334"/>
        <v>0</v>
      </c>
      <c r="CB208" s="13">
        <f t="shared" si="334"/>
        <v>0</v>
      </c>
      <c r="CC208" s="13">
        <f t="shared" si="334"/>
        <v>0</v>
      </c>
      <c r="CD208" s="13">
        <f t="shared" si="334"/>
        <v>0</v>
      </c>
      <c r="CE208" s="13">
        <f t="shared" si="334"/>
        <v>0</v>
      </c>
      <c r="CF208" s="13">
        <f t="shared" si="334"/>
        <v>0</v>
      </c>
      <c r="CG208" s="13">
        <f t="shared" si="334"/>
        <v>0</v>
      </c>
      <c r="CH208" s="13">
        <f t="shared" si="334"/>
        <v>0</v>
      </c>
      <c r="CI208" s="13">
        <f t="shared" si="334"/>
        <v>0</v>
      </c>
      <c r="CJ208" s="13">
        <f t="shared" si="334"/>
        <v>0</v>
      </c>
    </row>
    <row r="209" spans="1:88" x14ac:dyDescent="0.25">
      <c r="B209" s="39">
        <v>0.25</v>
      </c>
      <c r="C209" s="38">
        <v>90</v>
      </c>
      <c r="D209" s="38">
        <f>+DEGREES(ASIN(COS(RADIANS(E206))*COS(RADIANS(D206))*COS(RADIANS(C209))+SIN(RADIANS(E206))*SIN(RADIANS(D206))))</f>
        <v>-0.10447232992793457</v>
      </c>
      <c r="E209" s="38">
        <f>180-DEGREES(ACOS((((SIN(RADIANS(D209)))*SIN(RADIANS(E206)))-SIN(RADIANS(D206)))/((COS(RADIANS(D209)))*COS(RADIANS(E206)))))</f>
        <v>90.389899484642541</v>
      </c>
      <c r="G209">
        <f t="shared" ref="G209:G221" si="335">9-(D209/10)</f>
        <v>9.010447232992794</v>
      </c>
      <c r="H209">
        <f t="shared" ref="H209:H221" si="336">90-E209+$AH$172</f>
        <v>-0.38989948464254098</v>
      </c>
      <c r="I209" s="7">
        <f t="shared" ref="I209:I221" si="337">IF($E$206&gt;=$AE$174,0,G209*COS(RADIANS(H209)))</f>
        <v>9.0102386039653393</v>
      </c>
      <c r="J209" s="7">
        <f t="shared" ref="J209:J221" si="338">IF($E$206&gt;=$AE$174,0,G209*SIN(RADIANS(H209)))</f>
        <v>-6.1315888318008875E-2</v>
      </c>
      <c r="K209" s="35"/>
      <c r="M209" s="39">
        <v>0.25</v>
      </c>
      <c r="N209" s="38">
        <v>90</v>
      </c>
      <c r="O209" s="38">
        <f>+DEGREES(ASIN(COS(RADIANS(P206))*COS(RADIANS(O206))*COS(RADIANS(N209))+SIN(RADIANS(P206))*SIN(RADIANS(O206))))</f>
        <v>-0.13805651750742945</v>
      </c>
      <c r="P209" s="38">
        <f>180-DEGREES(ACOS((((SIN(RADIANS(O209)))*SIN(RADIANS(P206)))-SIN(RADIANS(O206)))/((COS(RADIANS(O209)))*COS(RADIANS(P206)))))</f>
        <v>90.379310669221951</v>
      </c>
      <c r="R209">
        <f t="shared" ref="R209:R221" si="339">9-(O209/10)</f>
        <v>9.0138056517507437</v>
      </c>
      <c r="S209">
        <f t="shared" ref="S209:S221" si="340">90-P209+$AH$172</f>
        <v>-0.379310669221951</v>
      </c>
      <c r="T209" s="7">
        <f t="shared" ref="T209:T221" si="341">IF($P$206&gt;=$AE$174,0,R209*COS(RADIANS(S209)))</f>
        <v>9.0136081270281014</v>
      </c>
      <c r="U209" s="7">
        <f t="shared" ref="U209:U221" si="342">IF($P$206&gt;=$AE$174,0,R209*SIN(RADIANS(S209)))</f>
        <v>-5.9672941159190536E-2</v>
      </c>
      <c r="AB209" s="39">
        <v>0.52083333333334103</v>
      </c>
      <c r="AC209">
        <f t="shared" si="285"/>
        <v>-7.5</v>
      </c>
      <c r="AD209" s="38">
        <f t="shared" si="273"/>
        <v>58.767758345427602</v>
      </c>
      <c r="AE209" s="38">
        <f t="shared" si="332"/>
        <v>-165.42022086471553</v>
      </c>
      <c r="AG209">
        <f t="shared" si="279"/>
        <v>3.1232241654572395</v>
      </c>
      <c r="AH209">
        <f t="shared" si="280"/>
        <v>255.42022086471553</v>
      </c>
      <c r="AI209" s="7">
        <f t="shared" si="281"/>
        <v>-0.78620240425297216</v>
      </c>
      <c r="AJ209" s="7">
        <f t="shared" si="282"/>
        <v>-3.0226503216950045</v>
      </c>
      <c r="AK209" s="43"/>
      <c r="AN209" s="324"/>
      <c r="AO209" s="45">
        <f t="shared" ref="AO209:AX209" si="343">+AQ177</f>
        <v>0</v>
      </c>
      <c r="AP209" s="45">
        <f t="shared" si="343"/>
        <v>0</v>
      </c>
      <c r="AQ209" s="45">
        <f t="shared" si="343"/>
        <v>0</v>
      </c>
      <c r="AR209" s="45">
        <f t="shared" si="343"/>
        <v>0</v>
      </c>
      <c r="AS209" s="45">
        <f t="shared" si="343"/>
        <v>0</v>
      </c>
      <c r="AT209" s="45">
        <f t="shared" si="343"/>
        <v>0</v>
      </c>
      <c r="AU209" s="45">
        <f t="shared" si="343"/>
        <v>0</v>
      </c>
      <c r="AV209" s="45">
        <f t="shared" si="343"/>
        <v>0</v>
      </c>
      <c r="AW209" s="45">
        <f t="shared" si="343"/>
        <v>7.4939503996922818</v>
      </c>
      <c r="AX209" s="45">
        <f t="shared" si="343"/>
        <v>2.6513500426204568</v>
      </c>
      <c r="AY209" s="45">
        <f>IF($AL$125="si",BA177,0)</f>
        <v>0</v>
      </c>
      <c r="AZ209" s="45">
        <f>IF($AL$125="si",BB177,0)</f>
        <v>0</v>
      </c>
      <c r="BA209" s="45">
        <f>IF($AL$126="si",BC177,0)</f>
        <v>5.3589112820436533</v>
      </c>
      <c r="BB209" s="45">
        <f>IF($AL$126="si",BD177,0)</f>
        <v>0.68552167573681078</v>
      </c>
      <c r="BC209" s="45">
        <f>IF($AL$127="si",BE177,0)</f>
        <v>4.0953514088422205</v>
      </c>
      <c r="BD209" s="45">
        <f>IF($AL$127="si",BF177,0)</f>
        <v>5.8631501008162723E-2</v>
      </c>
      <c r="BE209" s="45">
        <f>IF($AL$128="si",BG177,0)</f>
        <v>2.7632024243694069</v>
      </c>
      <c r="BF209" s="45">
        <f>IF($AL$128="si",BH177,0)</f>
        <v>-0.37090968772972588</v>
      </c>
      <c r="BG209" s="45">
        <f>IF($AL$129="si",BI177,0)</f>
        <v>1.390890301003268</v>
      </c>
      <c r="BH209" s="45">
        <f>IF($AL$129="si",BJ177,0)</f>
        <v>-0.62161206557584159</v>
      </c>
      <c r="BI209" s="45">
        <f>IF($AL$130="si",BK177,0)</f>
        <v>4.312752546919713E-17</v>
      </c>
      <c r="BJ209" s="45">
        <f>IF($AL$130="si",BL177,0)</f>
        <v>-0.70403754412625652</v>
      </c>
      <c r="BK209" s="45">
        <f>IF($AL$131="si",BM177,0)</f>
        <v>-1.390890301003268</v>
      </c>
      <c r="BL209" s="45">
        <f>IF($AL$131="si",BN177,0)</f>
        <v>-0.62161206557584281</v>
      </c>
      <c r="BM209" s="45">
        <f>IF($AL$132="si",BO177,0)</f>
        <v>-2.7632024243694078</v>
      </c>
      <c r="BN209" s="45">
        <f>IF($AL$132="si",BP177,0)</f>
        <v>-0.37090968772972532</v>
      </c>
      <c r="BO209" s="45">
        <f>IF($AL$133="si",BQ177,0)</f>
        <v>-4.0953514088422205</v>
      </c>
      <c r="BP209" s="45">
        <f>IF($AL$133="si",BR177,0)</f>
        <v>5.8631501008163472E-2</v>
      </c>
      <c r="BQ209" s="45">
        <f>IF($AL$134="si",BS177,0)</f>
        <v>-5.3589112820436533</v>
      </c>
      <c r="BR209" s="45">
        <f>IF($AL$134="si",BT177,0)</f>
        <v>0.68552167573681033</v>
      </c>
      <c r="BS209" s="45">
        <f>IF($AL$135="si",IF(BU169=9,CN104,BU177),0)</f>
        <v>-6.5128329273581409</v>
      </c>
      <c r="BT209" s="45">
        <f>IF($AL$135="si",IF(BU169=9,CO104,BV177),0)</f>
        <v>1.5373408369743473</v>
      </c>
      <c r="BU209" s="45">
        <f>IF($AL$136="si",IF(BW177&lt;=-8.99,CN105,BW177),0)</f>
        <v>-7.4939503996922818</v>
      </c>
      <c r="BV209" s="45">
        <f>IF($AL$136="si",IF(BW177&lt;=-8.99,CO105,BX177),0)</f>
        <v>2.6513500426204546</v>
      </c>
      <c r="BW209" s="45">
        <f t="shared" ref="BW209:CJ209" si="344">+BY177</f>
        <v>0</v>
      </c>
      <c r="BX209" s="45">
        <f t="shared" si="344"/>
        <v>0</v>
      </c>
      <c r="BY209" s="45">
        <f t="shared" si="344"/>
        <v>0</v>
      </c>
      <c r="BZ209" s="45">
        <f t="shared" si="344"/>
        <v>0</v>
      </c>
      <c r="CA209" s="45">
        <f t="shared" si="344"/>
        <v>0</v>
      </c>
      <c r="CB209" s="45">
        <f t="shared" si="344"/>
        <v>0</v>
      </c>
      <c r="CC209" s="45">
        <f t="shared" si="344"/>
        <v>0</v>
      </c>
      <c r="CD209" s="45">
        <f t="shared" si="344"/>
        <v>0</v>
      </c>
      <c r="CE209" s="45">
        <f t="shared" si="344"/>
        <v>0</v>
      </c>
      <c r="CF209" s="45">
        <f t="shared" si="344"/>
        <v>0</v>
      </c>
      <c r="CG209" s="45" t="e">
        <f t="shared" si="344"/>
        <v>#NUM!</v>
      </c>
      <c r="CH209" s="45" t="e">
        <f t="shared" si="344"/>
        <v>#NUM!</v>
      </c>
      <c r="CI209" s="45">
        <f t="shared" si="344"/>
        <v>0</v>
      </c>
      <c r="CJ209" s="45">
        <f t="shared" si="344"/>
        <v>0</v>
      </c>
    </row>
    <row r="210" spans="1:88" x14ac:dyDescent="0.25">
      <c r="B210" s="39">
        <v>0.29166666666666669</v>
      </c>
      <c r="C210">
        <v>75</v>
      </c>
      <c r="D210" s="38">
        <f>+DEGREES(ASIN(COS(RADIANS(E206))*COS(RADIANS(D206))*COS(RADIANS(C210))+SIN(RADIANS(E206))*SIN(RADIANS(D206))))</f>
        <v>14.369272893621556</v>
      </c>
      <c r="E210" s="38">
        <f>180-DEGREES(ACOS((((SIN(RADIANS(D210)))*SIN(RADIANS(E206)))-SIN(RADIANS(D206)))/((COS(RADIANS(D210)))*COS(RADIANS(E206)))))</f>
        <v>94.368656764923699</v>
      </c>
      <c r="G210">
        <f t="shared" si="335"/>
        <v>7.5630727106378446</v>
      </c>
      <c r="H210">
        <f t="shared" si="336"/>
        <v>-4.3686567649236991</v>
      </c>
      <c r="I210" s="7">
        <f t="shared" si="337"/>
        <v>7.5410987445327518</v>
      </c>
      <c r="J210" s="7">
        <f t="shared" si="338"/>
        <v>-0.57610637177645341</v>
      </c>
      <c r="K210" s="35"/>
      <c r="M210" s="39">
        <v>0.29166666666666669</v>
      </c>
      <c r="N210">
        <v>75</v>
      </c>
      <c r="O210" s="38">
        <f>+DEGREES(ASIN(COS(RADIANS(P206))*COS(RADIANS(O206))*COS(RADIANS(N210))+SIN(RADIANS(P206))*SIN(RADIANS(O206))))</f>
        <v>13.933453227779413</v>
      </c>
      <c r="P210" s="38">
        <f>180-DEGREES(ACOS((((SIN(RADIANS(O210)))*SIN(RADIANS(P206)))-SIN(RADIANS(O206)))/((COS(RADIANS(O210)))*COS(RADIANS(P206)))))</f>
        <v>95.62536737544977</v>
      </c>
      <c r="R210">
        <f t="shared" si="339"/>
        <v>7.6066546772220587</v>
      </c>
      <c r="S210">
        <f t="shared" si="340"/>
        <v>-5.6253673754497697</v>
      </c>
      <c r="T210" s="7">
        <f t="shared" si="341"/>
        <v>7.5700217750763867</v>
      </c>
      <c r="U210" s="7">
        <f t="shared" si="342"/>
        <v>-0.74563107725843436</v>
      </c>
      <c r="AB210" s="39">
        <v>0.53125000000000799</v>
      </c>
      <c r="AC210">
        <f t="shared" si="285"/>
        <v>-11.25</v>
      </c>
      <c r="AD210" s="38">
        <f t="shared" ref="AD210:AD236" si="345">+DEGREES(ASIN(COS(RADIANS($AE$174))*COS(RADIANS($AD$174))*COS(RADIANS(AC210))+SIN(RADIANS($AE$174))*SIN(RADIANS($AD$174))))</f>
        <v>57.762195170672989</v>
      </c>
      <c r="AE210" s="38">
        <f t="shared" si="332"/>
        <v>-158.54835243702061</v>
      </c>
      <c r="AG210">
        <f t="shared" si="279"/>
        <v>3.2237804829327015</v>
      </c>
      <c r="AH210">
        <f t="shared" si="280"/>
        <v>248.54835243702061</v>
      </c>
      <c r="AI210" s="7">
        <f t="shared" si="281"/>
        <v>-1.1789878076001203</v>
      </c>
      <c r="AJ210" s="7">
        <f t="shared" si="282"/>
        <v>-3.000458023647067</v>
      </c>
      <c r="AK210" s="43"/>
    </row>
    <row r="211" spans="1:88" x14ac:dyDescent="0.25">
      <c r="B211" s="39">
        <v>0.33333333333333298</v>
      </c>
      <c r="C211" s="38">
        <v>60</v>
      </c>
      <c r="D211" s="38">
        <f>+DEGREES(ASIN(COS(RADIANS(E206))*COS(RADIANS(D206))*COS(RADIANS(C211))+SIN(RADIANS(E206))*SIN(RADIANS(D206))))</f>
        <v>28.759069520289422</v>
      </c>
      <c r="E211" s="38">
        <f>180-DEGREES(ACOS((((SIN(RADIANS(D211)))*SIN(RADIANS(E206)))-SIN(RADIANS(D206)))/((COS(RADIANS(D211)))*COS(RADIANS(E206)))))</f>
        <v>98.93865739925937</v>
      </c>
      <c r="G211">
        <f t="shared" si="335"/>
        <v>6.1240930479710576</v>
      </c>
      <c r="H211">
        <f t="shared" si="336"/>
        <v>-8.9386573992593696</v>
      </c>
      <c r="I211" s="7">
        <f t="shared" si="337"/>
        <v>6.0497175178056715</v>
      </c>
      <c r="J211" s="7">
        <f t="shared" si="338"/>
        <v>-0.95154275519422782</v>
      </c>
      <c r="K211" s="35"/>
      <c r="M211" s="39">
        <v>0.33333333333333298</v>
      </c>
      <c r="N211" s="38">
        <v>60</v>
      </c>
      <c r="O211" s="38">
        <f>+DEGREES(ASIN(COS(RADIANS(P206))*COS(RADIANS(O206))*COS(RADIANS(N211))+SIN(RADIANS(P206))*SIN(RADIANS(O206))))</f>
        <v>27.867284381409078</v>
      </c>
      <c r="P211" s="38">
        <f>180-DEGREES(ACOS((((SIN(RADIANS(O211)))*SIN(RADIANS(P206)))-SIN(RADIANS(O206)))/((COS(RADIANS(O211)))*COS(RADIANS(P206)))))</f>
        <v>101.59116923367722</v>
      </c>
      <c r="R211">
        <f t="shared" si="339"/>
        <v>6.2132715618590924</v>
      </c>
      <c r="S211">
        <f t="shared" si="340"/>
        <v>-11.591169233677221</v>
      </c>
      <c r="T211" s="7">
        <f t="shared" si="341"/>
        <v>6.0865595262650283</v>
      </c>
      <c r="U211" s="7">
        <f t="shared" si="342"/>
        <v>-1.2484136472497267</v>
      </c>
      <c r="AB211" s="39">
        <v>0.54166666666667496</v>
      </c>
      <c r="AC211">
        <f t="shared" si="285"/>
        <v>-15</v>
      </c>
      <c r="AD211" s="38">
        <f t="shared" si="345"/>
        <v>56.40536291527436</v>
      </c>
      <c r="AE211" s="38">
        <f t="shared" si="332"/>
        <v>-152.11163440142451</v>
      </c>
      <c r="AG211">
        <f t="shared" si="279"/>
        <v>3.359463708472564</v>
      </c>
      <c r="AH211">
        <f t="shared" si="280"/>
        <v>242.11163440142451</v>
      </c>
      <c r="AI211" s="7">
        <f t="shared" si="281"/>
        <v>-1.5713903200522463</v>
      </c>
      <c r="AJ211" s="7">
        <f t="shared" si="282"/>
        <v>-2.9692977066286792</v>
      </c>
      <c r="AK211" s="43"/>
      <c r="AQ211" s="325" t="s">
        <v>53</v>
      </c>
      <c r="AR211" s="325"/>
      <c r="AT211" s="325" t="s">
        <v>57</v>
      </c>
      <c r="AU211" s="325"/>
      <c r="AW211" s="325" t="s">
        <v>58</v>
      </c>
      <c r="AX211" s="325"/>
      <c r="AZ211" s="325" t="s">
        <v>59</v>
      </c>
      <c r="BA211" s="325"/>
      <c r="BC211" s="325" t="s">
        <v>60</v>
      </c>
      <c r="BD211" s="325"/>
      <c r="BF211" s="325" t="s">
        <v>61</v>
      </c>
      <c r="BG211" s="325"/>
      <c r="BI211" s="325" t="s">
        <v>67</v>
      </c>
      <c r="BJ211" s="325"/>
    </row>
    <row r="212" spans="1:88" x14ac:dyDescent="0.25">
      <c r="B212" s="39">
        <v>0.375</v>
      </c>
      <c r="C212">
        <v>45</v>
      </c>
      <c r="D212" s="38">
        <f>+DEGREES(ASIN(COS(RADIANS(E206))*COS(RADIANS(D206))*COS(RADIANS(C212))+SIN(RADIANS(E206))*SIN(RADIANS(D206))))</f>
        <v>42.935323986604324</v>
      </c>
      <c r="E212" s="38">
        <f>180-DEGREES(ACOS((((SIN(RADIANS(D212)))*SIN(RADIANS(E206)))-SIN(RADIANS(D206)))/((COS(RADIANS(D212)))*COS(RADIANS(E206)))))</f>
        <v>105.02639236235854</v>
      </c>
      <c r="G212">
        <f t="shared" si="335"/>
        <v>4.7064676013395674</v>
      </c>
      <c r="H212">
        <f t="shared" si="336"/>
        <v>-15.026392362358536</v>
      </c>
      <c r="I212" s="7">
        <f t="shared" si="337"/>
        <v>4.5455370158281161</v>
      </c>
      <c r="J212" s="7">
        <f t="shared" si="338"/>
        <v>-1.2202174069383884</v>
      </c>
      <c r="K212" s="35"/>
      <c r="M212" s="39">
        <v>0.375</v>
      </c>
      <c r="N212">
        <v>45</v>
      </c>
      <c r="O212" s="38">
        <f>+DEGREES(ASIN(COS(RADIANS(P206))*COS(RADIANS(O206))*COS(RADIANS(N212))+SIN(RADIANS(P206))*SIN(RADIANS(O206))))</f>
        <v>41.455411356106673</v>
      </c>
      <c r="P212" s="38">
        <f>180-DEGREES(ACOS((((SIN(RADIANS(O212)))*SIN(RADIANS(P206)))-SIN(RADIANS(O206)))/((COS(RADIANS(O212)))*COS(RADIANS(P206)))))</f>
        <v>109.36059218001047</v>
      </c>
      <c r="R212">
        <f t="shared" si="339"/>
        <v>4.8544588643893327</v>
      </c>
      <c r="S212">
        <f t="shared" si="340"/>
        <v>-19.360592180010471</v>
      </c>
      <c r="T212" s="7">
        <f t="shared" si="341"/>
        <v>4.5799435554700727</v>
      </c>
      <c r="U212" s="7">
        <f t="shared" si="342"/>
        <v>-1.6093128641616943</v>
      </c>
      <c r="AB212" s="39">
        <v>0.55208333333334203</v>
      </c>
      <c r="AC212">
        <f t="shared" si="285"/>
        <v>-18.75</v>
      </c>
      <c r="AD212" s="38">
        <f t="shared" si="345"/>
        <v>54.738201152439906</v>
      </c>
      <c r="AE212" s="38">
        <f t="shared" si="332"/>
        <v>-146.16719737991926</v>
      </c>
      <c r="AG212">
        <f t="shared" si="279"/>
        <v>3.5261798847560097</v>
      </c>
      <c r="AH212">
        <f t="shared" si="280"/>
        <v>236.16719737991926</v>
      </c>
      <c r="AI212" s="7">
        <f t="shared" si="281"/>
        <v>-1.9632756679104457</v>
      </c>
      <c r="AJ212" s="7">
        <f t="shared" si="282"/>
        <v>-2.9290771979326014</v>
      </c>
      <c r="AK212" s="43"/>
      <c r="AP212" s="317" t="s">
        <v>90</v>
      </c>
      <c r="AQ212" s="315"/>
      <c r="AR212" s="315"/>
      <c r="AT212" s="315"/>
      <c r="AU212" s="315"/>
      <c r="AW212" s="315"/>
      <c r="AX212" s="315"/>
      <c r="AZ212" s="315"/>
      <c r="BA212" s="315"/>
      <c r="BC212" s="315"/>
      <c r="BD212" s="315"/>
      <c r="BF212" s="315"/>
      <c r="BG212" s="315"/>
      <c r="BI212" s="315"/>
      <c r="BJ212" s="315"/>
    </row>
    <row r="213" spans="1:88" x14ac:dyDescent="0.25">
      <c r="B213" s="39">
        <v>0.41666666666666702</v>
      </c>
      <c r="C213" s="38">
        <v>30</v>
      </c>
      <c r="D213" s="38">
        <f>+DEGREES(ASIN(COS(RADIANS(E206))*COS(RADIANS(D206))*COS(RADIANS(C213))+SIN(RADIANS(E206))*SIN(RADIANS(D206))))</f>
        <v>56.581716592822332</v>
      </c>
      <c r="E213" s="38">
        <f>180-DEGREES(ACOS((((SIN(RADIANS(D213)))*SIN(RADIANS(E206)))-SIN(RADIANS(D206)))/((COS(RADIANS(D213)))*COS(RADIANS(E206)))))</f>
        <v>114.79212098330166</v>
      </c>
      <c r="G213">
        <f t="shared" si="335"/>
        <v>3.3418283407177665</v>
      </c>
      <c r="H213">
        <f t="shared" si="336"/>
        <v>-24.792120983301658</v>
      </c>
      <c r="I213" s="7">
        <f t="shared" si="337"/>
        <v>3.0338292356824281</v>
      </c>
      <c r="J213" s="7">
        <f t="shared" si="338"/>
        <v>-1.4013196735731053</v>
      </c>
      <c r="K213" s="35"/>
      <c r="M213" s="39">
        <v>0.41666666666666702</v>
      </c>
      <c r="N213" s="38">
        <v>30</v>
      </c>
      <c r="O213" s="38">
        <f>+DEGREES(ASIN(COS(RADIANS(P206))*COS(RADIANS(O206))*COS(RADIANS(N213))+SIN(RADIANS(P206))*SIN(RADIANS(O206))))</f>
        <v>54.229799687692569</v>
      </c>
      <c r="P213" s="38">
        <f>180-DEGREES(ACOS((((SIN(RADIANS(O213)))*SIN(RADIANS(P206)))-SIN(RADIANS(O206)))/((COS(RADIANS(O213)))*COS(RADIANS(P206)))))</f>
        <v>121.20064439621024</v>
      </c>
      <c r="R213">
        <f t="shared" si="339"/>
        <v>3.5770200312307434</v>
      </c>
      <c r="S213">
        <f t="shared" si="340"/>
        <v>-31.200644396210237</v>
      </c>
      <c r="T213" s="7">
        <f t="shared" si="341"/>
        <v>3.0596342520920516</v>
      </c>
      <c r="U213" s="7">
        <f t="shared" si="342"/>
        <v>-1.8530274005667327</v>
      </c>
      <c r="AB213" s="39">
        <v>0.56250000000000899</v>
      </c>
      <c r="AC213">
        <f t="shared" si="285"/>
        <v>-22.5</v>
      </c>
      <c r="AD213" s="38">
        <f t="shared" si="345"/>
        <v>52.802924772419509</v>
      </c>
      <c r="AE213" s="38">
        <f t="shared" si="332"/>
        <v>-140.72961032593952</v>
      </c>
      <c r="AG213">
        <f t="shared" si="279"/>
        <v>3.7197075227580489</v>
      </c>
      <c r="AH213">
        <f t="shared" si="280"/>
        <v>230.72961032593952</v>
      </c>
      <c r="AI213" s="7">
        <f t="shared" si="281"/>
        <v>-2.3545037010682446</v>
      </c>
      <c r="AJ213" s="7">
        <f t="shared" si="282"/>
        <v>-2.8796764360807554</v>
      </c>
      <c r="AK213" s="43"/>
      <c r="AP213" s="318"/>
      <c r="AQ213" s="315"/>
      <c r="AR213" s="315"/>
      <c r="AT213" s="315"/>
      <c r="AU213" s="315"/>
      <c r="AW213" s="315"/>
      <c r="AX213" s="315"/>
      <c r="AZ213" s="315"/>
      <c r="BA213" s="315"/>
      <c r="BC213" s="315"/>
      <c r="BD213" s="315"/>
      <c r="BF213" s="315"/>
      <c r="BG213" s="315"/>
      <c r="BI213" s="315"/>
      <c r="BJ213" s="315"/>
    </row>
    <row r="214" spans="1:88" x14ac:dyDescent="0.25">
      <c r="B214" s="39">
        <v>0.45833333333333298</v>
      </c>
      <c r="C214">
        <v>15</v>
      </c>
      <c r="D214" s="38">
        <f>+DEGREES(ASIN(COS(RADIANS(E206))*COS(RADIANS(D206))*COS(RADIANS(C214))+SIN(RADIANS(E206))*SIN(RADIANS(D206))))</f>
        <v>68.617334206518535</v>
      </c>
      <c r="E214" s="38">
        <f>180-DEGREES(ACOS((((SIN(RADIANS(D214)))*SIN(RADIANS(E206)))-SIN(RADIANS(D206)))/((COS(RADIANS(D214)))*COS(RADIANS(E206)))))</f>
        <v>134.77621690727344</v>
      </c>
      <c r="G214">
        <f t="shared" si="335"/>
        <v>2.1382665793481461</v>
      </c>
      <c r="H214">
        <f t="shared" si="336"/>
        <v>-44.776216907273437</v>
      </c>
      <c r="I214" s="7">
        <f t="shared" si="337"/>
        <v>1.5178766801740677</v>
      </c>
      <c r="J214" s="7">
        <f t="shared" si="338"/>
        <v>-1.5060658511967437</v>
      </c>
      <c r="K214" s="35"/>
      <c r="M214" s="39">
        <v>0.45833333333333298</v>
      </c>
      <c r="N214">
        <v>15</v>
      </c>
      <c r="O214" s="38">
        <f>+DEGREES(ASIN(COS(RADIANS(P206))*COS(RADIANS(O206))*COS(RADIANS(N214))+SIN(RADIANS(P206))*SIN(RADIANS(O206))))</f>
        <v>64.855802753889463</v>
      </c>
      <c r="P214" s="38">
        <f>180-DEGREES(ACOS((((SIN(RADIANS(O214)))*SIN(RADIANS(P206)))-SIN(RADIANS(O206)))/((COS(RADIANS(O214)))*COS(RADIANS(P206)))))</f>
        <v>142.4742952535257</v>
      </c>
      <c r="R214">
        <f t="shared" si="339"/>
        <v>2.514419724611054</v>
      </c>
      <c r="S214">
        <f t="shared" si="340"/>
        <v>-52.474295253525696</v>
      </c>
      <c r="T214" s="7">
        <f t="shared" si="341"/>
        <v>1.5315765330883693</v>
      </c>
      <c r="U214" s="7">
        <f t="shared" si="342"/>
        <v>-1.9941363731716393</v>
      </c>
      <c r="AB214" s="39">
        <v>0.57291666666667596</v>
      </c>
      <c r="AC214">
        <f t="shared" si="285"/>
        <v>-26.25</v>
      </c>
      <c r="AD214" s="38">
        <f t="shared" si="345"/>
        <v>50.639664155446681</v>
      </c>
      <c r="AE214" s="38">
        <f t="shared" si="332"/>
        <v>-135.7825062262597</v>
      </c>
      <c r="AG214">
        <f t="shared" si="279"/>
        <v>3.9360335844553322</v>
      </c>
      <c r="AH214">
        <f t="shared" si="280"/>
        <v>225.7825062262597</v>
      </c>
      <c r="AI214" s="7">
        <f t="shared" si="281"/>
        <v>-2.7449266891356405</v>
      </c>
      <c r="AJ214" s="7">
        <f t="shared" si="282"/>
        <v>-2.8209462684055402</v>
      </c>
      <c r="AK214" s="43"/>
      <c r="AP214" s="39">
        <v>4.1666666666666664E-2</v>
      </c>
      <c r="AQ214">
        <f t="shared" ref="AQ214:AQ225" si="346">IF(AQ88&lt;0,0,AQ88)</f>
        <v>0</v>
      </c>
      <c r="AR214">
        <f t="shared" ref="AR214:AR224" si="347">180-DEGREES(ACOS((((SIN(RADIANS(AQ214)))*SIN(RADIANS($AR$85)))-SIN(RADIANS($AQ$85)))/((COS(RADIANS(AQ214)))*COS(RADIANS($AR$85)))))</f>
        <v>110.14480796075449</v>
      </c>
      <c r="AT214">
        <f t="shared" ref="AT214:AT225" si="348">IF(BB88&lt;0,0,BB88)</f>
        <v>0</v>
      </c>
      <c r="AU214" s="38">
        <f t="shared" ref="AU214:AU224" si="349">180-DEGREES(ACOS((((SIN(RADIANS(AT214)))*SIN(RADIANS($BC$85)))-SIN(RADIANS($BB$85)))/((COS(RADIANS(AT214)))*COS(RADIANS($BC$85)))))</f>
        <v>99.500362928216276</v>
      </c>
      <c r="AW214">
        <f t="shared" ref="AW214:AW225" si="350">IF(BM88&lt;0,0,BM88)</f>
        <v>0</v>
      </c>
      <c r="AX214" s="38">
        <f t="shared" ref="AX214:AX224" si="351">180-DEGREES(ACOS((((SIN(RADIANS(AW214)))*SIN(RADIANS($BN$85)))-SIN(RADIANS($BM$85)))/((COS(RADIANS(AW214)))*COS(RADIANS($BN$85)))))</f>
        <v>85.402618331677971</v>
      </c>
      <c r="AZ214">
        <f t="shared" ref="AZ214:AZ225" si="352">IF(BX88&lt;0,0,BX88)</f>
        <v>0</v>
      </c>
      <c r="BA214" s="38">
        <f t="shared" ref="BA214:BA224" si="353">180-DEGREES(ACOS((((SIN(RADIANS(AZ214)))*SIN(RADIANS($BY$85)))-SIN(RADIANS($BX$85)))/((COS(RADIANS(AZ214)))*COS(RADIANS($BY$85)))))</f>
        <v>72.888092578495346</v>
      </c>
      <c r="BC214">
        <f t="shared" ref="BC214:BC225" si="354">IF(CI88&lt;0,0,CI88)</f>
        <v>0</v>
      </c>
      <c r="BD214" s="38">
        <f t="shared" ref="BD214:BD224" si="355">180-DEGREES(ACOS((((SIN(RADIANS(BC214)))*SIN(RADIANS($CJ$85)))-SIN(RADIANS($CI$85)))/((COS(RADIANS(BC214)))*COS(RADIANS($CJ$85)))))</f>
        <v>64.572176712649494</v>
      </c>
      <c r="BF214">
        <f t="shared" ref="BF214:BF225" si="356">IF(CT88&lt;0,0,CT88)</f>
        <v>0</v>
      </c>
      <c r="BG214" s="38">
        <f t="shared" ref="BG214:BG224" si="357">180-DEGREES(ACOS((((SIN(RADIANS(BF214)))*SIN(RADIANS($CU$85)))-SIN(RADIANS($CT$85)))/((COS(RADIANS(BF214)))*COS(RADIANS($CU$85)))))</f>
        <v>62.9128608915928</v>
      </c>
      <c r="BI214">
        <f t="shared" ref="BI214:BI225" si="358">IF(DE88&lt;0,0,DE88)</f>
        <v>0</v>
      </c>
      <c r="BJ214" s="38">
        <f t="shared" ref="BJ214:BJ224" si="359">180-DEGREES(ACOS((((SIN(RADIANS(BI214)))*SIN(RADIANS($DF$85)))-SIN(RADIANS($DE$85)))/((COS(RADIANS(BI214)))*COS(RADIANS($DF$85)))))</f>
        <v>116.57086830691144</v>
      </c>
      <c r="BK214" s="39">
        <v>4.1666666666666664E-2</v>
      </c>
    </row>
    <row r="215" spans="1:88" x14ac:dyDescent="0.25">
      <c r="B215" s="39">
        <v>0.5</v>
      </c>
      <c r="C215" s="38">
        <v>0</v>
      </c>
      <c r="D215" s="38">
        <f>+DEGREES(ASIN(COS(RADIANS(E206))*COS(RADIANS(D206))*COS(RADIANS(C215))+SIN(RADIANS(E206))*SIN(RADIANS(D206))))</f>
        <v>74.596346798145689</v>
      </c>
      <c r="E215" s="38">
        <f>+IF(E206&gt;=0,180,0)</f>
        <v>180</v>
      </c>
      <c r="G215">
        <f t="shared" si="335"/>
        <v>1.5403653201854315</v>
      </c>
      <c r="H215">
        <f t="shared" si="336"/>
        <v>-90</v>
      </c>
      <c r="I215" s="7">
        <f t="shared" si="337"/>
        <v>9.4358809601000156E-17</v>
      </c>
      <c r="J215" s="7">
        <f t="shared" si="338"/>
        <v>-1.5403653201854315</v>
      </c>
      <c r="K215" s="35"/>
      <c r="M215" s="39">
        <v>0.5</v>
      </c>
      <c r="N215" s="38">
        <v>0</v>
      </c>
      <c r="O215" s="38">
        <f>+DEGREES(ASIN(COS(RADIANS(P206))*COS(RADIANS(O206))*COS(RADIANS(N215))+SIN(RADIANS(P206))*SIN(RADIANS(O206))))</f>
        <v>69.596346798145689</v>
      </c>
      <c r="P215" s="38">
        <f>+IF(P206&gt;=0,180,0)</f>
        <v>180</v>
      </c>
      <c r="R215">
        <f t="shared" si="339"/>
        <v>2.0403653201854315</v>
      </c>
      <c r="S215">
        <f t="shared" si="340"/>
        <v>-90</v>
      </c>
      <c r="T215" s="7">
        <f t="shared" si="341"/>
        <v>1.2498752097371566E-16</v>
      </c>
      <c r="U215" s="7">
        <f t="shared" si="342"/>
        <v>-2.0403653201854315</v>
      </c>
      <c r="AB215" s="39">
        <v>0.58333333333334303</v>
      </c>
      <c r="AC215">
        <f t="shared" si="285"/>
        <v>-30</v>
      </c>
      <c r="AD215" s="38">
        <f t="shared" si="345"/>
        <v>48.284559002731697</v>
      </c>
      <c r="AE215" s="38">
        <f t="shared" si="332"/>
        <v>-131.29050984657982</v>
      </c>
      <c r="AG215">
        <f t="shared" ref="AG215:AG231" si="360">IF($AF$110="si",9-(AD215/10),0)</f>
        <v>4.1715440997268303</v>
      </c>
      <c r="AH215">
        <f t="shared" ref="AH215:AH231" si="361">90-AE215+$AH$172</f>
        <v>221.29050984657982</v>
      </c>
      <c r="AI215" s="7">
        <f t="shared" ref="AI215:AI238" si="362">+AG215*COS(RADIANS(AH215))</f>
        <v>-3.134387449473941</v>
      </c>
      <c r="AJ215" s="7">
        <f t="shared" ref="AJ215:AJ238" si="363">+AG215*SIN(RADIANS(AH215))</f>
        <v>-2.752706939095765</v>
      </c>
      <c r="AK215" s="43"/>
      <c r="AP215" s="39">
        <v>8.3333333333333301E-2</v>
      </c>
      <c r="AQ215">
        <f t="shared" si="346"/>
        <v>0</v>
      </c>
      <c r="AR215">
        <f t="shared" si="347"/>
        <v>110.14480796075449</v>
      </c>
      <c r="AT215">
        <f t="shared" si="348"/>
        <v>0</v>
      </c>
      <c r="AU215" s="38">
        <f t="shared" si="349"/>
        <v>99.500362928216276</v>
      </c>
      <c r="AW215">
        <f t="shared" si="350"/>
        <v>0</v>
      </c>
      <c r="AX215" s="38">
        <f t="shared" si="351"/>
        <v>85.402618331677971</v>
      </c>
      <c r="AZ215">
        <f t="shared" si="352"/>
        <v>0</v>
      </c>
      <c r="BA215" s="38">
        <f t="shared" si="353"/>
        <v>72.888092578495346</v>
      </c>
      <c r="BC215">
        <f t="shared" si="354"/>
        <v>0</v>
      </c>
      <c r="BD215" s="38">
        <f t="shared" si="355"/>
        <v>64.572176712649494</v>
      </c>
      <c r="BF215">
        <f t="shared" si="356"/>
        <v>0</v>
      </c>
      <c r="BG215" s="38">
        <f t="shared" si="357"/>
        <v>62.9128608915928</v>
      </c>
      <c r="BI215">
        <f t="shared" si="358"/>
        <v>0</v>
      </c>
      <c r="BJ215" s="38">
        <f t="shared" si="359"/>
        <v>116.57086830691144</v>
      </c>
      <c r="BK215" s="39">
        <v>8.3333333333333301E-2</v>
      </c>
    </row>
    <row r="216" spans="1:88" x14ac:dyDescent="0.25">
      <c r="B216" s="39">
        <v>0.54166666666666696</v>
      </c>
      <c r="C216">
        <v>-15</v>
      </c>
      <c r="D216" s="38">
        <f>+DEGREES(ASIN(COS(RADIANS(E206))*COS(RADIANS(D206))*COS(RADIANS(C216))+SIN(RADIANS(E206))*SIN(RADIANS(D206))))</f>
        <v>68.617334206518535</v>
      </c>
      <c r="E216" s="38">
        <f>-(180-DEGREES(ACOS((((SIN(RADIANS(D216)))*SIN(RADIANS(E206)))-SIN(RADIANS(D206)))/((COS(RADIANS(D216)))*COS(RADIANS(E206))))))</f>
        <v>-134.77621690727344</v>
      </c>
      <c r="G216">
        <f t="shared" si="335"/>
        <v>2.1382665793481461</v>
      </c>
      <c r="H216">
        <f t="shared" si="336"/>
        <v>224.77621690727344</v>
      </c>
      <c r="I216" s="7">
        <f t="shared" si="337"/>
        <v>-1.517876680174068</v>
      </c>
      <c r="J216" s="7">
        <f t="shared" si="338"/>
        <v>-1.5060658511967435</v>
      </c>
      <c r="K216" s="35"/>
      <c r="M216" s="39">
        <v>0.54166666666666696</v>
      </c>
      <c r="N216">
        <v>-15</v>
      </c>
      <c r="O216" s="38">
        <f>+DEGREES(ASIN(COS(RADIANS(P206))*COS(RADIANS(O206))*COS(RADIANS(N216))+SIN(RADIANS(P206))*SIN(RADIANS(O206))))</f>
        <v>64.855802753889463</v>
      </c>
      <c r="P216" s="38">
        <f>-(180-DEGREES(ACOS((((SIN(RADIANS(O216)))*SIN(RADIANS(P206)))-SIN(RADIANS(O206)))/((COS(RADIANS(O216)))*COS(RADIANS(P206))))))</f>
        <v>-142.4742952535257</v>
      </c>
      <c r="R216">
        <f t="shared" si="339"/>
        <v>2.514419724611054</v>
      </c>
      <c r="S216">
        <f t="shared" si="340"/>
        <v>232.4742952535257</v>
      </c>
      <c r="T216" s="7">
        <f t="shared" si="341"/>
        <v>-1.5315765330883702</v>
      </c>
      <c r="U216" s="7">
        <f t="shared" si="342"/>
        <v>-1.9941363731716391</v>
      </c>
      <c r="AB216" s="39">
        <v>0.59375000000000999</v>
      </c>
      <c r="AC216">
        <f t="shared" si="285"/>
        <v>-33.75</v>
      </c>
      <c r="AD216" s="38">
        <f t="shared" si="345"/>
        <v>45.769010461889643</v>
      </c>
      <c r="AE216" s="38">
        <f t="shared" si="332"/>
        <v>-127.20885604611742</v>
      </c>
      <c r="AG216">
        <f t="shared" si="360"/>
        <v>4.4230989538110359</v>
      </c>
      <c r="AH216">
        <f t="shared" si="361"/>
        <v>217.20885604611743</v>
      </c>
      <c r="AI216" s="7">
        <f t="shared" si="362"/>
        <v>-3.5227172612348849</v>
      </c>
      <c r="AJ216" s="7">
        <f t="shared" si="363"/>
        <v>-2.6747462407866047</v>
      </c>
      <c r="AK216" s="43"/>
      <c r="AP216" s="39">
        <v>0.125</v>
      </c>
      <c r="AQ216">
        <f t="shared" si="346"/>
        <v>0</v>
      </c>
      <c r="AR216">
        <f t="shared" si="347"/>
        <v>110.14480796075449</v>
      </c>
      <c r="AT216">
        <f t="shared" si="348"/>
        <v>0</v>
      </c>
      <c r="AU216" s="38">
        <f t="shared" si="349"/>
        <v>99.500362928216276</v>
      </c>
      <c r="AW216">
        <f t="shared" si="350"/>
        <v>0</v>
      </c>
      <c r="AX216" s="38">
        <f t="shared" si="351"/>
        <v>85.402618331677971</v>
      </c>
      <c r="AZ216">
        <f t="shared" si="352"/>
        <v>0</v>
      </c>
      <c r="BA216" s="38">
        <f t="shared" si="353"/>
        <v>72.888092578495346</v>
      </c>
      <c r="BC216">
        <f t="shared" si="354"/>
        <v>0</v>
      </c>
      <c r="BD216" s="38">
        <f t="shared" si="355"/>
        <v>64.572176712649494</v>
      </c>
      <c r="BF216">
        <f t="shared" si="356"/>
        <v>0</v>
      </c>
      <c r="BG216" s="38">
        <f t="shared" si="357"/>
        <v>62.9128608915928</v>
      </c>
      <c r="BI216">
        <f t="shared" si="358"/>
        <v>0</v>
      </c>
      <c r="BJ216" s="38">
        <f t="shared" si="359"/>
        <v>116.57086830691144</v>
      </c>
      <c r="BK216" s="39">
        <v>0.125</v>
      </c>
    </row>
    <row r="217" spans="1:88" x14ac:dyDescent="0.25">
      <c r="B217" s="39">
        <v>0.58333333333333304</v>
      </c>
      <c r="C217" s="38">
        <v>-30</v>
      </c>
      <c r="D217" s="38">
        <f>+DEGREES(ASIN(COS(RADIANS(E206))*COS(RADIANS(D206))*COS(RADIANS(C217))+SIN(RADIANS(E206))*SIN(RADIANS(D206))))</f>
        <v>56.581716592822332</v>
      </c>
      <c r="E217" s="38">
        <f>-(180-DEGREES(ACOS((((SIN(RADIANS(D217)))*SIN(RADIANS(E206)))-SIN(RADIANS(D206)))/((COS(RADIANS(D217)))*COS(RADIANS(E206))))))</f>
        <v>-114.79212098330166</v>
      </c>
      <c r="G217">
        <f t="shared" si="335"/>
        <v>3.3418283407177665</v>
      </c>
      <c r="H217">
        <f t="shared" si="336"/>
        <v>204.79212098330166</v>
      </c>
      <c r="I217" s="7">
        <f t="shared" si="337"/>
        <v>-3.0338292356824281</v>
      </c>
      <c r="J217" s="7">
        <f t="shared" si="338"/>
        <v>-1.4013196735731048</v>
      </c>
      <c r="K217" s="35"/>
      <c r="M217" s="39">
        <v>0.58333333333333304</v>
      </c>
      <c r="N217" s="38">
        <v>-30</v>
      </c>
      <c r="O217" s="38">
        <f>+DEGREES(ASIN(COS(RADIANS(P206))*COS(RADIANS(O206))*COS(RADIANS(N217))+SIN(RADIANS(P206))*SIN(RADIANS(O206))))</f>
        <v>54.229799687692569</v>
      </c>
      <c r="P217" s="38">
        <f>-(180-DEGREES(ACOS((((SIN(RADIANS(O217)))*SIN(RADIANS(P206)))-SIN(RADIANS(O206)))/((COS(RADIANS(O217)))*COS(RADIANS(P206))))))</f>
        <v>-121.20064439621024</v>
      </c>
      <c r="R217">
        <f t="shared" si="339"/>
        <v>3.5770200312307434</v>
      </c>
      <c r="S217">
        <f t="shared" si="340"/>
        <v>211.20064439621024</v>
      </c>
      <c r="T217" s="7">
        <f t="shared" si="341"/>
        <v>-3.0596342520920516</v>
      </c>
      <c r="U217" s="7">
        <f t="shared" si="342"/>
        <v>-1.8530274005667327</v>
      </c>
      <c r="AB217" s="39">
        <v>0.60416666666667795</v>
      </c>
      <c r="AC217">
        <f t="shared" si="285"/>
        <v>-37.5</v>
      </c>
      <c r="AD217" s="38">
        <f t="shared" si="345"/>
        <v>43.1196844520205</v>
      </c>
      <c r="AE217" s="38">
        <f t="shared" si="332"/>
        <v>-123.49002390271269</v>
      </c>
      <c r="AG217">
        <f t="shared" si="360"/>
        <v>4.6880315547979503</v>
      </c>
      <c r="AH217">
        <f t="shared" si="361"/>
        <v>213.49002390271269</v>
      </c>
      <c r="AI217" s="7">
        <f t="shared" si="362"/>
        <v>-3.9097335118301353</v>
      </c>
      <c r="AJ217" s="7">
        <f t="shared" si="363"/>
        <v>-2.5868172964578857</v>
      </c>
      <c r="AK217" s="43"/>
      <c r="AP217" s="39">
        <v>0.16666666666666699</v>
      </c>
      <c r="AQ217">
        <f t="shared" si="346"/>
        <v>0</v>
      </c>
      <c r="AR217">
        <f t="shared" si="347"/>
        <v>110.14480796075449</v>
      </c>
      <c r="AT217">
        <f t="shared" si="348"/>
        <v>0</v>
      </c>
      <c r="AU217" s="38">
        <f t="shared" si="349"/>
        <v>99.500362928216276</v>
      </c>
      <c r="AW217">
        <f t="shared" si="350"/>
        <v>0</v>
      </c>
      <c r="AX217" s="38">
        <f t="shared" si="351"/>
        <v>85.402618331677971</v>
      </c>
      <c r="AZ217">
        <f t="shared" si="352"/>
        <v>0</v>
      </c>
      <c r="BA217" s="38">
        <f t="shared" si="353"/>
        <v>72.888092578495346</v>
      </c>
      <c r="BC217">
        <f t="shared" si="354"/>
        <v>0</v>
      </c>
      <c r="BD217" s="38">
        <f t="shared" si="355"/>
        <v>64.572176712649494</v>
      </c>
      <c r="BF217">
        <f t="shared" si="356"/>
        <v>0</v>
      </c>
      <c r="BG217" s="38">
        <f t="shared" si="357"/>
        <v>62.9128608915928</v>
      </c>
      <c r="BI217">
        <f t="shared" si="358"/>
        <v>0</v>
      </c>
      <c r="BJ217" s="38">
        <f t="shared" si="359"/>
        <v>116.57086830691144</v>
      </c>
      <c r="BK217" s="39">
        <v>0.16666666666666699</v>
      </c>
    </row>
    <row r="218" spans="1:88" x14ac:dyDescent="0.25">
      <c r="B218" s="39">
        <v>0.625</v>
      </c>
      <c r="C218">
        <v>-45</v>
      </c>
      <c r="D218" s="38">
        <f>+DEGREES(ASIN(COS(RADIANS(E206))*COS(RADIANS(D206))*COS(RADIANS(C218))+SIN(RADIANS(E206))*SIN(RADIANS(D206))))</f>
        <v>42.935323986604324</v>
      </c>
      <c r="E218" s="38">
        <f>-(180-DEGREES(ACOS((((SIN(RADIANS(D218)))*SIN(RADIANS(E206)))-SIN(RADIANS(D206)))/((COS(RADIANS(D218)))*COS(RADIANS(E206))))))</f>
        <v>-105.02639236235854</v>
      </c>
      <c r="G218">
        <f t="shared" si="335"/>
        <v>4.7064676013395674</v>
      </c>
      <c r="H218">
        <f t="shared" si="336"/>
        <v>195.02639236235854</v>
      </c>
      <c r="I218" s="7">
        <f t="shared" si="337"/>
        <v>-4.5455370158281161</v>
      </c>
      <c r="J218" s="7">
        <f t="shared" si="338"/>
        <v>-1.2202174069383891</v>
      </c>
      <c r="K218" s="35"/>
      <c r="M218" s="39">
        <v>0.625</v>
      </c>
      <c r="N218">
        <v>-45</v>
      </c>
      <c r="O218" s="38">
        <f>+DEGREES(ASIN(COS(RADIANS(P206))*COS(RADIANS(O206))*COS(RADIANS(N218))+SIN(RADIANS(P206))*SIN(RADIANS(O206))))</f>
        <v>41.455411356106673</v>
      </c>
      <c r="P218" s="38">
        <f>-(180-DEGREES(ACOS((((SIN(RADIANS(O218)))*SIN(RADIANS(P206)))-SIN(RADIANS(O206)))/((COS(RADIANS(O218)))*COS(RADIANS(P206))))))</f>
        <v>-109.36059218001047</v>
      </c>
      <c r="R218">
        <f t="shared" si="339"/>
        <v>4.8544588643893327</v>
      </c>
      <c r="S218">
        <f t="shared" si="340"/>
        <v>199.36059218001049</v>
      </c>
      <c r="T218" s="7">
        <f t="shared" si="341"/>
        <v>-4.5799435554700727</v>
      </c>
      <c r="U218" s="7">
        <f t="shared" si="342"/>
        <v>-1.6093128641616945</v>
      </c>
      <c r="AB218" s="39">
        <v>0.61458333333334503</v>
      </c>
      <c r="AC218">
        <f t="shared" si="285"/>
        <v>-41.25</v>
      </c>
      <c r="AD218" s="38">
        <f t="shared" si="345"/>
        <v>40.358918432770984</v>
      </c>
      <c r="AE218" s="38">
        <f t="shared" si="332"/>
        <v>-120.08775890220005</v>
      </c>
      <c r="AG218">
        <f t="shared" si="360"/>
        <v>4.9641081567229017</v>
      </c>
      <c r="AH218">
        <f t="shared" si="361"/>
        <v>210.08775890220005</v>
      </c>
      <c r="AI218" s="7">
        <f t="shared" si="362"/>
        <v>-4.2952370124222448</v>
      </c>
      <c r="AJ218" s="7">
        <f t="shared" si="363"/>
        <v>-2.4886359313408777</v>
      </c>
      <c r="AK218" s="43"/>
      <c r="AP218" s="39">
        <v>0.20833333333333334</v>
      </c>
      <c r="AQ218">
        <f t="shared" si="346"/>
        <v>0</v>
      </c>
      <c r="AR218">
        <f t="shared" si="347"/>
        <v>110.14480796075449</v>
      </c>
      <c r="AT218">
        <f t="shared" si="348"/>
        <v>0</v>
      </c>
      <c r="AU218" s="38">
        <f t="shared" si="349"/>
        <v>99.500362928216276</v>
      </c>
      <c r="AW218">
        <f t="shared" si="350"/>
        <v>0</v>
      </c>
      <c r="AX218" s="38">
        <f t="shared" si="351"/>
        <v>85.402618331677971</v>
      </c>
      <c r="AZ218">
        <f t="shared" si="352"/>
        <v>0</v>
      </c>
      <c r="BA218" s="38">
        <f t="shared" si="353"/>
        <v>72.888092578495346</v>
      </c>
      <c r="BC218">
        <f t="shared" si="354"/>
        <v>0</v>
      </c>
      <c r="BD218" s="38">
        <f t="shared" si="355"/>
        <v>64.572176712649494</v>
      </c>
      <c r="BF218">
        <f t="shared" si="356"/>
        <v>0</v>
      </c>
      <c r="BG218" s="38">
        <f t="shared" si="357"/>
        <v>62.9128608915928</v>
      </c>
      <c r="BI218">
        <f t="shared" si="358"/>
        <v>0</v>
      </c>
      <c r="BJ218" s="38">
        <f t="shared" si="359"/>
        <v>116.57086830691144</v>
      </c>
      <c r="BK218" s="39">
        <v>0.20833333333333334</v>
      </c>
    </row>
    <row r="219" spans="1:88" x14ac:dyDescent="0.25">
      <c r="B219" s="39">
        <v>0.66666666666666696</v>
      </c>
      <c r="C219" s="38">
        <v>-60</v>
      </c>
      <c r="D219" s="38">
        <f>+DEGREES(ASIN(COS(RADIANS(E206))*COS(RADIANS(D206))*COS(RADIANS(C219))+SIN(RADIANS(E206))*SIN(RADIANS(D206))))</f>
        <v>28.759069520289422</v>
      </c>
      <c r="E219" s="38">
        <f>-(180-DEGREES(ACOS((((SIN(RADIANS(D219)))*SIN(RADIANS(E206)))-SIN(RADIANS(D206)))/((COS(RADIANS(D219)))*COS(RADIANS(E206))))))</f>
        <v>-98.93865739925937</v>
      </c>
      <c r="G219">
        <f t="shared" si="335"/>
        <v>6.1240930479710576</v>
      </c>
      <c r="H219">
        <f t="shared" si="336"/>
        <v>188.93865739925937</v>
      </c>
      <c r="I219" s="7">
        <f t="shared" si="337"/>
        <v>-6.0497175178056715</v>
      </c>
      <c r="J219" s="7">
        <f t="shared" si="338"/>
        <v>-0.9515427551942266</v>
      </c>
      <c r="K219" s="35"/>
      <c r="M219" s="39">
        <v>0.66666666666666696</v>
      </c>
      <c r="N219" s="38">
        <v>-60</v>
      </c>
      <c r="O219" s="38">
        <f>+DEGREES(ASIN(COS(RADIANS(P206))*COS(RADIANS(O206))*COS(RADIANS(N219))+SIN(RADIANS(P206))*SIN(RADIANS(O206))))</f>
        <v>27.867284381409078</v>
      </c>
      <c r="P219" s="38">
        <f>-(180-DEGREES(ACOS((((SIN(RADIANS(O219)))*SIN(RADIANS(P206)))-SIN(RADIANS(O206)))/((COS(RADIANS(O219)))*COS(RADIANS(P206))))))</f>
        <v>-101.59116923367722</v>
      </c>
      <c r="R219">
        <f t="shared" si="339"/>
        <v>6.2132715618590924</v>
      </c>
      <c r="S219">
        <f t="shared" si="340"/>
        <v>191.59116923367722</v>
      </c>
      <c r="T219" s="7">
        <f t="shared" si="341"/>
        <v>-6.0865595262650283</v>
      </c>
      <c r="U219" s="7">
        <f t="shared" si="342"/>
        <v>-1.2484136472497258</v>
      </c>
      <c r="AB219" s="39">
        <v>0.62500000000001199</v>
      </c>
      <c r="AC219">
        <f t="shared" si="285"/>
        <v>-45</v>
      </c>
      <c r="AD219" s="38">
        <f t="shared" si="345"/>
        <v>37.505293910382669</v>
      </c>
      <c r="AE219" s="38">
        <f t="shared" si="332"/>
        <v>-116.9591888957782</v>
      </c>
      <c r="AG219">
        <f t="shared" si="360"/>
        <v>5.2494706089617331</v>
      </c>
      <c r="AH219">
        <f t="shared" si="361"/>
        <v>206.9591888957782</v>
      </c>
      <c r="AI219" s="7">
        <f t="shared" si="362"/>
        <v>-4.6790089065141434</v>
      </c>
      <c r="AJ219" s="7">
        <f t="shared" si="363"/>
        <v>-2.3798775865817947</v>
      </c>
      <c r="AK219" s="43"/>
      <c r="AP219" s="39">
        <v>0.25</v>
      </c>
      <c r="AQ219">
        <f t="shared" si="346"/>
        <v>0</v>
      </c>
      <c r="AR219">
        <f t="shared" si="347"/>
        <v>110.14480796075449</v>
      </c>
      <c r="AT219">
        <f t="shared" si="348"/>
        <v>0</v>
      </c>
      <c r="AU219" s="38">
        <f t="shared" si="349"/>
        <v>99.500362928216276</v>
      </c>
      <c r="AW219">
        <f t="shared" si="350"/>
        <v>1.9510766725967672</v>
      </c>
      <c r="AX219" s="38">
        <f t="shared" si="351"/>
        <v>86.488170658290201</v>
      </c>
      <c r="AZ219">
        <f t="shared" si="352"/>
        <v>7.1796941081018506</v>
      </c>
      <c r="BA219" s="38">
        <f t="shared" si="353"/>
        <v>76.908415468616056</v>
      </c>
      <c r="BC219">
        <f t="shared" si="354"/>
        <v>10.508522694850116</v>
      </c>
      <c r="BD219" s="38">
        <f t="shared" si="355"/>
        <v>70.516285917220941</v>
      </c>
      <c r="BF219">
        <f t="shared" si="356"/>
        <v>11.152054967319165</v>
      </c>
      <c r="BG219" s="38">
        <f t="shared" si="357"/>
        <v>69.238766580276192</v>
      </c>
      <c r="BI219">
        <f t="shared" si="358"/>
        <v>0</v>
      </c>
      <c r="BJ219" s="38">
        <f t="shared" si="359"/>
        <v>116.57086830691144</v>
      </c>
      <c r="BK219" s="39">
        <v>0.25</v>
      </c>
    </row>
    <row r="220" spans="1:88" x14ac:dyDescent="0.25">
      <c r="B220" s="39">
        <v>0.70833333333333404</v>
      </c>
      <c r="C220">
        <v>-75</v>
      </c>
      <c r="D220" s="38">
        <f>+DEGREES(ASIN(COS(RADIANS(E206))*COS(RADIANS(D206))*COS(RADIANS(C220))+SIN(RADIANS(E206))*SIN(RADIANS(D206))))</f>
        <v>14.369272893621556</v>
      </c>
      <c r="E220" s="38">
        <f>-(180-DEGREES(ACOS((((SIN(RADIANS(D220)))*SIN(RADIANS(E206)))-SIN(RADIANS(D206)))/((COS(RADIANS(D220)))*COS(RADIANS(E206))))))</f>
        <v>-94.368656764923699</v>
      </c>
      <c r="G220">
        <f t="shared" si="335"/>
        <v>7.5630727106378446</v>
      </c>
      <c r="H220">
        <f t="shared" si="336"/>
        <v>184.36865676492368</v>
      </c>
      <c r="I220" s="7">
        <f t="shared" si="337"/>
        <v>-7.5410987445327518</v>
      </c>
      <c r="J220" s="7">
        <f t="shared" si="338"/>
        <v>-0.57610637177645163</v>
      </c>
      <c r="K220" s="35"/>
      <c r="M220" s="39">
        <v>0.70833333333333404</v>
      </c>
      <c r="N220">
        <v>-75</v>
      </c>
      <c r="O220" s="38">
        <f>+DEGREES(ASIN(COS(RADIANS(P206))*COS(RADIANS(O206))*COS(RADIANS(N220))+SIN(RADIANS(P206))*SIN(RADIANS(O206))))</f>
        <v>13.933453227779413</v>
      </c>
      <c r="P220" s="38">
        <f>-(180-DEGREES(ACOS((((SIN(RADIANS(O220)))*SIN(RADIANS(P206)))-SIN(RADIANS(O206)))/((COS(RADIANS(O220)))*COS(RADIANS(P206))))))</f>
        <v>-95.62536737544977</v>
      </c>
      <c r="R220">
        <f t="shared" si="339"/>
        <v>7.6066546772220587</v>
      </c>
      <c r="S220">
        <f t="shared" si="340"/>
        <v>185.62536737544977</v>
      </c>
      <c r="T220" s="7">
        <f t="shared" si="341"/>
        <v>-7.5700217750763859</v>
      </c>
      <c r="U220" s="7">
        <f t="shared" si="342"/>
        <v>-0.7456310772584348</v>
      </c>
      <c r="AB220" s="39">
        <v>0.63541666666667895</v>
      </c>
      <c r="AC220">
        <f t="shared" si="285"/>
        <v>-48.75</v>
      </c>
      <c r="AD220" s="38">
        <f t="shared" si="345"/>
        <v>34.574235654839462</v>
      </c>
      <c r="AE220" s="38">
        <f t="shared" si="332"/>
        <v>-114.06570188831427</v>
      </c>
      <c r="AG220">
        <f t="shared" si="360"/>
        <v>5.5425764345160538</v>
      </c>
      <c r="AH220">
        <f t="shared" si="361"/>
        <v>204.06570188831427</v>
      </c>
      <c r="AI220" s="7">
        <f t="shared" si="362"/>
        <v>-5.0608070798523244</v>
      </c>
      <c r="AJ220" s="7">
        <f t="shared" si="363"/>
        <v>-2.2601737174317549</v>
      </c>
      <c r="AK220" s="43"/>
      <c r="AP220" s="39">
        <v>0.29166666666666702</v>
      </c>
      <c r="AQ220">
        <f t="shared" si="346"/>
        <v>3.9806023907424599</v>
      </c>
      <c r="AR220">
        <f t="shared" si="347"/>
        <v>112.5771078319798</v>
      </c>
      <c r="AT220">
        <f t="shared" si="348"/>
        <v>8.8424843209748119</v>
      </c>
      <c r="AU220" s="38">
        <f t="shared" si="349"/>
        <v>104.68802822282147</v>
      </c>
      <c r="AW220">
        <f t="shared" si="350"/>
        <v>15.051271742006362</v>
      </c>
      <c r="AX220" s="38">
        <f t="shared" si="351"/>
        <v>93.815787356682009</v>
      </c>
      <c r="AZ220">
        <f t="shared" si="352"/>
        <v>20.094408212134532</v>
      </c>
      <c r="BA220" s="38">
        <f t="shared" si="353"/>
        <v>83.69300591455243</v>
      </c>
      <c r="BC220">
        <f t="shared" si="354"/>
        <v>23.081833865003894</v>
      </c>
      <c r="BD220" s="38">
        <f t="shared" si="355"/>
        <v>76.718561537440678</v>
      </c>
      <c r="BF220">
        <f t="shared" si="356"/>
        <v>23.63600454935963</v>
      </c>
      <c r="BG220" s="38">
        <f t="shared" si="357"/>
        <v>75.306075969479892</v>
      </c>
      <c r="BI220">
        <f t="shared" si="358"/>
        <v>1.0425877010819102</v>
      </c>
      <c r="BJ220" s="38">
        <f t="shared" si="359"/>
        <v>117.22586297915178</v>
      </c>
      <c r="BK220" s="39">
        <v>0.29166666666666702</v>
      </c>
    </row>
    <row r="221" spans="1:88" x14ac:dyDescent="0.25">
      <c r="B221" s="39">
        <v>0.75</v>
      </c>
      <c r="C221" s="38">
        <v>-90</v>
      </c>
      <c r="D221" s="38">
        <f>+DEGREES(ASIN(COS(RADIANS(E206))*COS(RADIANS(D206))*COS(RADIANS(C221))+SIN(RADIANS(E206))*SIN(RADIANS(D206))))</f>
        <v>-0.10447232992793457</v>
      </c>
      <c r="E221" s="38">
        <f>-(180-DEGREES(ACOS((((SIN(RADIANS(D221)))*SIN(RADIANS(E206)))-SIN(RADIANS(D206)))/((COS(RADIANS(D221)))*COS(RADIANS(E206))))))</f>
        <v>-90.389899484642541</v>
      </c>
      <c r="G221">
        <f t="shared" si="335"/>
        <v>9.010447232992794</v>
      </c>
      <c r="H221">
        <f t="shared" si="336"/>
        <v>180.38989948464254</v>
      </c>
      <c r="I221" s="7">
        <f t="shared" si="337"/>
        <v>-9.0102386039653393</v>
      </c>
      <c r="J221" s="7">
        <f t="shared" si="338"/>
        <v>-6.1315888318009173E-2</v>
      </c>
      <c r="K221" s="35"/>
      <c r="M221" s="39">
        <v>0.75</v>
      </c>
      <c r="N221" s="38">
        <v>-90</v>
      </c>
      <c r="O221" s="38">
        <f>+DEGREES(ASIN(COS(RADIANS(P206))*COS(RADIANS(O206))*COS(RADIANS(N221))+SIN(RADIANS(P206))*SIN(RADIANS(O206))))</f>
        <v>-0.13805651750742945</v>
      </c>
      <c r="P221" s="38">
        <f>-(180-DEGREES(ACOS((((SIN(RADIANS(O221)))*SIN(RADIANS(P206)))-SIN(RADIANS(O206)))/((COS(RADIANS(O221)))*COS(RADIANS(P206))))))</f>
        <v>-90.379310669221951</v>
      </c>
      <c r="R221">
        <f t="shared" si="339"/>
        <v>9.0138056517507437</v>
      </c>
      <c r="S221">
        <f t="shared" si="340"/>
        <v>180.37931066922195</v>
      </c>
      <c r="T221" s="7">
        <f t="shared" si="341"/>
        <v>-9.0136081270281014</v>
      </c>
      <c r="U221" s="7">
        <f t="shared" si="342"/>
        <v>-5.9672941159190362E-2</v>
      </c>
      <c r="AB221" s="39">
        <v>0.64583333333334603</v>
      </c>
      <c r="AC221">
        <f t="shared" si="285"/>
        <v>-52.5</v>
      </c>
      <c r="AD221" s="38">
        <f t="shared" si="345"/>
        <v>31.578567749170684</v>
      </c>
      <c r="AE221" s="38">
        <f t="shared" si="332"/>
        <v>-111.37309110119403</v>
      </c>
      <c r="AG221">
        <f t="shared" si="360"/>
        <v>5.8421432250829319</v>
      </c>
      <c r="AH221">
        <f t="shared" si="361"/>
        <v>201.37309110119403</v>
      </c>
      <c r="AI221" s="7">
        <f t="shared" si="362"/>
        <v>-5.4403619597776451</v>
      </c>
      <c r="AJ221" s="7">
        <f t="shared" si="363"/>
        <v>-2.1291076085972582</v>
      </c>
      <c r="AK221" s="43"/>
      <c r="AP221" s="39">
        <v>0.33333333333333298</v>
      </c>
      <c r="AQ221">
        <f t="shared" si="346"/>
        <v>15.689450108647346</v>
      </c>
      <c r="AR221">
        <f t="shared" si="347"/>
        <v>120.92625519511847</v>
      </c>
      <c r="AT221">
        <f t="shared" si="348"/>
        <v>21.241041758651765</v>
      </c>
      <c r="AU221" s="38">
        <f t="shared" si="349"/>
        <v>113.15708853016723</v>
      </c>
      <c r="AW221">
        <f t="shared" si="350"/>
        <v>28.03064132064042</v>
      </c>
      <c r="AX221" s="38">
        <f t="shared" si="351"/>
        <v>101.84583698554694</v>
      </c>
      <c r="AZ221">
        <f t="shared" si="352"/>
        <v>33.179114183303909</v>
      </c>
      <c r="BA221" s="38">
        <f t="shared" si="353"/>
        <v>90.692173646055892</v>
      </c>
      <c r="BC221">
        <f t="shared" si="354"/>
        <v>35.974200517974971</v>
      </c>
      <c r="BD221" s="38">
        <f t="shared" si="355"/>
        <v>82.710211003016923</v>
      </c>
      <c r="BF221">
        <f t="shared" si="356"/>
        <v>36.462362723804389</v>
      </c>
      <c r="BG221" s="38">
        <f t="shared" si="357"/>
        <v>81.070349439875727</v>
      </c>
      <c r="BI221">
        <f t="shared" si="358"/>
        <v>12.251377298592953</v>
      </c>
      <c r="BJ221" s="38">
        <f t="shared" si="359"/>
        <v>125.34452095224731</v>
      </c>
      <c r="BK221" s="39">
        <v>0.33333333333333298</v>
      </c>
    </row>
    <row r="222" spans="1:88" x14ac:dyDescent="0.25">
      <c r="K222" s="35"/>
      <c r="L222" s="35"/>
      <c r="AB222" s="39">
        <v>0.65625000000001299</v>
      </c>
      <c r="AC222">
        <f t="shared" si="285"/>
        <v>-56.25</v>
      </c>
      <c r="AD222" s="38">
        <f t="shared" si="345"/>
        <v>28.528998516080662</v>
      </c>
      <c r="AE222" s="38">
        <f t="shared" si="332"/>
        <v>-108.85130613630989</v>
      </c>
      <c r="AG222">
        <f t="shared" si="360"/>
        <v>6.1471001483919334</v>
      </c>
      <c r="AH222">
        <f t="shared" si="361"/>
        <v>198.85130613630989</v>
      </c>
      <c r="AI222" s="7">
        <f t="shared" si="362"/>
        <v>-5.8173715667204986</v>
      </c>
      <c r="AJ222" s="7">
        <f t="shared" si="363"/>
        <v>-1.9862095279884302</v>
      </c>
      <c r="AK222" s="43"/>
      <c r="AP222" s="39">
        <v>0.375</v>
      </c>
      <c r="AQ222">
        <f t="shared" si="346"/>
        <v>26.297342212361595</v>
      </c>
      <c r="AR222">
        <f t="shared" si="347"/>
        <v>131.22199491730089</v>
      </c>
      <c r="AT222">
        <f t="shared" si="348"/>
        <v>32.778902474630826</v>
      </c>
      <c r="AU222" s="38">
        <f t="shared" si="349"/>
        <v>123.67138966374844</v>
      </c>
      <c r="AW222">
        <f t="shared" si="350"/>
        <v>40.579187314260722</v>
      </c>
      <c r="AX222" s="38">
        <f t="shared" si="351"/>
        <v>111.76387408261022</v>
      </c>
      <c r="AZ222">
        <f t="shared" si="352"/>
        <v>46.234000924702507</v>
      </c>
      <c r="BA222" s="38">
        <f t="shared" si="353"/>
        <v>98.931073312987834</v>
      </c>
      <c r="BC222">
        <f t="shared" si="354"/>
        <v>49.04228910837859</v>
      </c>
      <c r="BD222" s="38">
        <f t="shared" si="355"/>
        <v>89.179775376606813</v>
      </c>
      <c r="BF222">
        <f t="shared" si="356"/>
        <v>49.494624805188728</v>
      </c>
      <c r="BG222" s="38">
        <f t="shared" si="357"/>
        <v>87.132774729162193</v>
      </c>
      <c r="BI222">
        <f t="shared" si="358"/>
        <v>22.259218825541542</v>
      </c>
      <c r="BJ222" s="38">
        <f t="shared" si="359"/>
        <v>135.31204694577815</v>
      </c>
      <c r="BK222" s="39">
        <v>0.375</v>
      </c>
    </row>
    <row r="223" spans="1:88" x14ac:dyDescent="0.25">
      <c r="D223" s="44"/>
      <c r="E223" s="13"/>
      <c r="F223" s="13"/>
      <c r="G223" s="13"/>
      <c r="H223" s="13"/>
      <c r="I223" s="13"/>
      <c r="J223" s="13"/>
      <c r="K223" s="35"/>
      <c r="L223" s="35"/>
      <c r="AB223" s="39">
        <v>0.66666666666667995</v>
      </c>
      <c r="AC223">
        <f t="shared" si="285"/>
        <v>-60</v>
      </c>
      <c r="AD223" s="38">
        <f t="shared" si="345"/>
        <v>25.434529047364645</v>
      </c>
      <c r="AE223" s="38">
        <f t="shared" si="332"/>
        <v>-106.4740194500216</v>
      </c>
      <c r="AG223">
        <f t="shared" si="360"/>
        <v>6.4565470952635353</v>
      </c>
      <c r="AH223">
        <f t="shared" si="361"/>
        <v>196.47401945002161</v>
      </c>
      <c r="AI223" s="7">
        <f t="shared" si="362"/>
        <v>-6.1914956482620456</v>
      </c>
      <c r="AJ223" s="7">
        <f t="shared" si="363"/>
        <v>-1.8309511273947605</v>
      </c>
      <c r="AK223" s="43"/>
      <c r="AP223" s="39">
        <v>0.41666666666666602</v>
      </c>
      <c r="AQ223">
        <f t="shared" si="346"/>
        <v>35.132915612826856</v>
      </c>
      <c r="AR223">
        <f t="shared" si="347"/>
        <v>144.33588641082156</v>
      </c>
      <c r="AT223">
        <f t="shared" si="348"/>
        <v>42.752422426604682</v>
      </c>
      <c r="AU223" s="38">
        <f t="shared" si="349"/>
        <v>137.63858177436344</v>
      </c>
      <c r="AW223">
        <f t="shared" si="350"/>
        <v>52.096153918797427</v>
      </c>
      <c r="AX223" s="38">
        <f t="shared" si="351"/>
        <v>125.71951693085082</v>
      </c>
      <c r="AZ223">
        <f t="shared" si="352"/>
        <v>58.913198956609463</v>
      </c>
      <c r="BA223" s="38">
        <f t="shared" si="353"/>
        <v>110.64261236918068</v>
      </c>
      <c r="BC223">
        <f t="shared" si="354"/>
        <v>62.120147714715685</v>
      </c>
      <c r="BD223" s="38">
        <f t="shared" si="355"/>
        <v>97.645217635946267</v>
      </c>
      <c r="BF223">
        <f t="shared" si="356"/>
        <v>62.593106094089499</v>
      </c>
      <c r="BG223" s="38">
        <f t="shared" si="357"/>
        <v>94.781580028246267</v>
      </c>
      <c r="BI223">
        <f t="shared" si="358"/>
        <v>30.439709654260056</v>
      </c>
      <c r="BJ223" s="38">
        <f t="shared" si="359"/>
        <v>147.73819825211658</v>
      </c>
      <c r="BK223" s="39">
        <v>0.41666666666666602</v>
      </c>
    </row>
    <row r="224" spans="1:88" x14ac:dyDescent="0.25">
      <c r="A224" s="41" t="s">
        <v>92</v>
      </c>
      <c r="B224" s="41">
        <v>21</v>
      </c>
      <c r="C224" s="315"/>
      <c r="D224" s="315"/>
      <c r="E224" s="316"/>
      <c r="K224" s="35"/>
      <c r="L224" s="41" t="s">
        <v>92</v>
      </c>
      <c r="M224" s="41">
        <v>21</v>
      </c>
      <c r="N224" s="315"/>
      <c r="O224" s="315"/>
      <c r="P224" s="316"/>
      <c r="AB224" s="39">
        <v>0.67708333333334703</v>
      </c>
      <c r="AC224">
        <f t="shared" si="285"/>
        <v>-63.75</v>
      </c>
      <c r="AD224" s="38">
        <f t="shared" si="345"/>
        <v>22.302790902157312</v>
      </c>
      <c r="AE224" s="38">
        <f t="shared" si="332"/>
        <v>-104.21812868870686</v>
      </c>
      <c r="AG224">
        <f t="shared" si="360"/>
        <v>6.7697209097842688</v>
      </c>
      <c r="AH224">
        <f t="shared" si="361"/>
        <v>194.21812868870686</v>
      </c>
      <c r="AI224" s="7">
        <f t="shared" si="362"/>
        <v>-6.5623486851340873</v>
      </c>
      <c r="AJ224" s="7">
        <f t="shared" si="363"/>
        <v>-1.662738984654315</v>
      </c>
      <c r="AK224" s="43"/>
      <c r="AP224" s="39">
        <v>0.45833333333333298</v>
      </c>
      <c r="AQ224">
        <f t="shared" si="346"/>
        <v>41.203386965463082</v>
      </c>
      <c r="AR224">
        <f t="shared" si="347"/>
        <v>160.84947792309023</v>
      </c>
      <c r="AT224">
        <f t="shared" si="348"/>
        <v>49.927090631227195</v>
      </c>
      <c r="AU224" s="38">
        <f t="shared" si="349"/>
        <v>156.55697888534539</v>
      </c>
      <c r="AW224">
        <f t="shared" si="350"/>
        <v>61.179653601104718</v>
      </c>
      <c r="AX224" s="38">
        <f t="shared" si="351"/>
        <v>147.61688935411229</v>
      </c>
      <c r="AZ224">
        <f t="shared" si="352"/>
        <v>70.179120424793908</v>
      </c>
      <c r="BA224" s="38">
        <f t="shared" si="353"/>
        <v>132.47024428392857</v>
      </c>
      <c r="BC224">
        <f t="shared" si="354"/>
        <v>74.765245687919915</v>
      </c>
      <c r="BD224" s="38">
        <f t="shared" si="355"/>
        <v>114.0806639695666</v>
      </c>
      <c r="BF224">
        <f t="shared" si="356"/>
        <v>75.433504705998018</v>
      </c>
      <c r="BG224" s="38">
        <f t="shared" si="357"/>
        <v>109.24906860936896</v>
      </c>
      <c r="BI224">
        <f t="shared" si="358"/>
        <v>35.943781380086349</v>
      </c>
      <c r="BJ224" s="38">
        <f t="shared" si="359"/>
        <v>162.88737099929463</v>
      </c>
      <c r="BK224" s="39">
        <v>0.45833333333333298</v>
      </c>
    </row>
    <row r="225" spans="1:90" x14ac:dyDescent="0.25">
      <c r="A225" s="41" t="s">
        <v>91</v>
      </c>
      <c r="B225" s="41">
        <v>3</v>
      </c>
      <c r="C225" s="315"/>
      <c r="D225" s="315"/>
      <c r="E225" s="316"/>
      <c r="K225" s="35"/>
      <c r="L225" s="41" t="s">
        <v>91</v>
      </c>
      <c r="M225" s="41">
        <v>3</v>
      </c>
      <c r="N225" s="315"/>
      <c r="O225" s="315"/>
      <c r="P225" s="316"/>
      <c r="AB225" s="39">
        <v>0.68750000000001399</v>
      </c>
      <c r="AC225">
        <f t="shared" si="285"/>
        <v>-67.5</v>
      </c>
      <c r="AD225" s="38">
        <f t="shared" si="345"/>
        <v>19.140322770208016</v>
      </c>
      <c r="AE225" s="38">
        <f t="shared" si="332"/>
        <v>-102.06325931022904</v>
      </c>
      <c r="AG225">
        <f t="shared" si="360"/>
        <v>7.0859677229791984</v>
      </c>
      <c r="AH225">
        <f t="shared" si="361"/>
        <v>192.06325931022906</v>
      </c>
      <c r="AI225" s="7">
        <f t="shared" si="362"/>
        <v>-6.9294915061735685</v>
      </c>
      <c r="AJ225" s="7">
        <f t="shared" si="363"/>
        <v>-1.4809071668985139</v>
      </c>
      <c r="AK225" s="43"/>
      <c r="AP225" s="39">
        <v>0.5</v>
      </c>
      <c r="AQ225">
        <f t="shared" si="346"/>
        <v>43.40350454351578</v>
      </c>
      <c r="AR225">
        <f>+AR99</f>
        <v>180</v>
      </c>
      <c r="AT225">
        <f t="shared" si="348"/>
        <v>52.626294934964093</v>
      </c>
      <c r="AU225">
        <f>+BC99</f>
        <v>180</v>
      </c>
      <c r="AW225">
        <f t="shared" si="350"/>
        <v>64.936824231055681</v>
      </c>
      <c r="AX225">
        <f>+BN99</f>
        <v>180</v>
      </c>
      <c r="AZ225">
        <f t="shared" si="352"/>
        <v>75.820887455874669</v>
      </c>
      <c r="BA225">
        <f>+BY99</f>
        <v>180</v>
      </c>
      <c r="BC225">
        <f t="shared" si="354"/>
        <v>82.959624558737431</v>
      </c>
      <c r="BD225">
        <f>+CJ99</f>
        <v>180</v>
      </c>
      <c r="BF225">
        <f t="shared" si="356"/>
        <v>84.369782846813621</v>
      </c>
      <c r="BG225">
        <f>+CU99</f>
        <v>180</v>
      </c>
      <c r="BI225">
        <f t="shared" si="358"/>
        <v>37.908363272130764</v>
      </c>
      <c r="BJ225">
        <f>+DF99</f>
        <v>180</v>
      </c>
      <c r="BK225" s="39">
        <v>0.5</v>
      </c>
    </row>
    <row r="226" spans="1:90" x14ac:dyDescent="0.25">
      <c r="C226" s="32">
        <f>+IF(B225=$AI$63,B224,IF(B225=$AJ$63,$AI$64+B224,IF(B225=$AK$63,$AI$64+$AJ$64+B224,IF(B225=$AL$63,$AI$64+$AJ$64+$AK$64+B224,IF(B225=$AM$63,$AI$64+$AJ$64+$AK$64+$AL$64+B224,IF(B225=$AN$63,$AI$64+$AJ$64+$AK$64+$AL$64+$AM$64+B224,IF(B225=$AO$63,$AI$64+$AJ$64+$AK$64+$AL$64+$AM$64+$AN$64+B224,IF(B225=$AP$63,$AI$64+$AJ$64+$AK$64+$AL$64+$AM$64+$AN$64+$AO$64+B224,IF(B225=$AQ$63,$AI$64+$AJ$64+$AK$64+$AL$64+$AM$64+$AN$64+$AO$64+$AP$64+B224,IF(B225=$AR$63,$AI$64+$AJ$64+$AK$64+$AL$64+$AM$64+$AN$64+$AO$64+$AP$64+$AQ$64+B224,IF(B225=$AS$63,$AI$64+$AJ$64+$AK$64+$AL$64+$AM$64+$AN$64+$AO$64+$AP$64+$AQ$64+$AR$64+B224,IF(B225=$AT$63,$AI$64+$AJ$64+$AK$64+$AL$64+$AM$64+$AN$64+$AO$64+$AP$64+$AQ$64+$AR$64+$AS$64+B224,"error"))))))))))))</f>
        <v>80</v>
      </c>
      <c r="D226" s="38">
        <f>23.45*SIN(RADIANS(360*((284+C226)/365)))</f>
        <v>-0.40365320185431652</v>
      </c>
      <c r="E226" s="41">
        <v>25</v>
      </c>
      <c r="K226" s="35"/>
      <c r="N226" s="32">
        <f>+IF(M225=$AI$63,M224,IF(M225=$AJ$63,$AI$64+M224,IF(M225=$AK$63,$AI$64+$AJ$64+M224,IF(M225=$AL$63,$AI$64+$AJ$64+$AK$64+M224,IF(M225=$AM$63,$AI$64+$AJ$64+$AK$64+$AL$64+M224,IF(M225=$AN$63,$AI$64+$AJ$64+$AK$64+$AL$64+$AM$64+M224,IF(M225=$AO$63,$AI$64+$AJ$64+$AK$64+$AL$64+$AM$64+$AN$64+M224,IF(M225=$AP$63,$AI$64+$AJ$64+$AK$64+$AL$64+$AM$64+$AN$64+$AO$64+M224,IF(M225=$AQ$63,$AI$64+$AJ$64+$AK$64+$AL$64+$AM$64+$AN$64+$AO$64+$AP$64+M224,IF(M225=$AR$63,$AI$64+$AJ$64+$AK$64+$AL$64+$AM$64+$AN$64+$AO$64+$AP$64+$AQ$64+M224,IF(M225=$AS$63,$AI$64+$AJ$64+$AK$64+$AL$64+$AM$64+$AN$64+$AO$64+$AP$64+$AQ$64+$AR$64+M224,IF(M225=$AT$63,$AI$64+$AJ$64+$AK$64+$AL$64+$AM$64+$AN$64+$AO$64+$AP$64+$AQ$64+$AR$64+$AS$64+M224,"error"))))))))))))</f>
        <v>80</v>
      </c>
      <c r="O226" s="38">
        <f>23.45*SIN(RADIANS(360*((284+N226)/365)))</f>
        <v>-0.40365320185431652</v>
      </c>
      <c r="P226" s="41">
        <v>30</v>
      </c>
      <c r="AB226" s="39">
        <v>0.69791666666668095</v>
      </c>
      <c r="AC226">
        <f t="shared" si="285"/>
        <v>-71.25</v>
      </c>
      <c r="AD226" s="38">
        <f t="shared" si="345"/>
        <v>15.952796751373725</v>
      </c>
      <c r="AE226" s="38">
        <f t="shared" si="332"/>
        <v>-99.99129828280698</v>
      </c>
      <c r="AG226">
        <f t="shared" si="360"/>
        <v>7.4047203248626277</v>
      </c>
      <c r="AH226">
        <f t="shared" si="361"/>
        <v>189.99129828280698</v>
      </c>
      <c r="AI226" s="7">
        <f t="shared" si="362"/>
        <v>-7.2924211822651248</v>
      </c>
      <c r="AJ226" s="7">
        <f t="shared" si="363"/>
        <v>-1.2847086789948226</v>
      </c>
      <c r="AK226" s="43"/>
      <c r="AP226" s="39"/>
      <c r="AQ226">
        <f>+AQ225</f>
        <v>43.40350454351578</v>
      </c>
      <c r="AR226">
        <f>+IF(AR225=0,360,AR225)</f>
        <v>180</v>
      </c>
      <c r="AT226">
        <f>+AT225</f>
        <v>52.626294934964093</v>
      </c>
      <c r="AU226">
        <f>+IF(AU225=0,360,AU225)</f>
        <v>180</v>
      </c>
      <c r="AW226">
        <f>+AW225</f>
        <v>64.936824231055681</v>
      </c>
      <c r="AX226">
        <f>+IF(AX225=0,360,AX225)</f>
        <v>180</v>
      </c>
      <c r="AZ226">
        <f>+AZ225</f>
        <v>75.820887455874669</v>
      </c>
      <c r="BA226">
        <f>+IF(BA225=0,360,BA225)</f>
        <v>180</v>
      </c>
      <c r="BC226">
        <f>+BC225</f>
        <v>82.959624558737431</v>
      </c>
      <c r="BD226">
        <f>+IF(BD225=0,360,BD225)</f>
        <v>180</v>
      </c>
      <c r="BF226">
        <f>+BF225</f>
        <v>84.369782846813621</v>
      </c>
      <c r="BG226">
        <f>+IF(BG225=0,360,BG225)</f>
        <v>180</v>
      </c>
      <c r="BI226">
        <f>+BI225</f>
        <v>37.908363272130764</v>
      </c>
      <c r="BJ226">
        <f>+IF(BJ225=0,360,BJ225)</f>
        <v>180</v>
      </c>
      <c r="BK226" s="39"/>
    </row>
    <row r="227" spans="1:90" x14ac:dyDescent="0.25">
      <c r="B227" s="317" t="s">
        <v>90</v>
      </c>
      <c r="C227" s="315"/>
      <c r="D227" s="315"/>
      <c r="E227" s="315"/>
      <c r="G227" s="319" t="s">
        <v>89</v>
      </c>
      <c r="H227" s="319"/>
      <c r="I227" s="319" t="s">
        <v>42</v>
      </c>
      <c r="J227" s="319" t="s">
        <v>43</v>
      </c>
      <c r="K227" s="35"/>
      <c r="M227" s="317" t="s">
        <v>90</v>
      </c>
      <c r="N227" s="315"/>
      <c r="O227" s="315"/>
      <c r="P227" s="315"/>
      <c r="R227" s="319" t="s">
        <v>89</v>
      </c>
      <c r="S227" s="319"/>
      <c r="T227" s="319" t="s">
        <v>42</v>
      </c>
      <c r="U227" s="319" t="s">
        <v>43</v>
      </c>
      <c r="AB227" s="39">
        <v>0.70833333333334803</v>
      </c>
      <c r="AC227">
        <f t="shared" si="285"/>
        <v>-75</v>
      </c>
      <c r="AD227" s="38">
        <f t="shared" si="345"/>
        <v>12.745204221314955</v>
      </c>
      <c r="AE227" s="38">
        <f t="shared" si="332"/>
        <v>-97.985970411644061</v>
      </c>
      <c r="AG227">
        <f t="shared" si="360"/>
        <v>7.725479577868505</v>
      </c>
      <c r="AH227">
        <f t="shared" si="361"/>
        <v>187.98597041164408</v>
      </c>
      <c r="AI227" s="7">
        <f t="shared" si="362"/>
        <v>-7.6505587833444721</v>
      </c>
      <c r="AJ227" s="7">
        <f t="shared" si="363"/>
        <v>-1.0733056464279325</v>
      </c>
      <c r="AK227" s="43"/>
      <c r="AP227" s="39">
        <v>0.54166666666666596</v>
      </c>
      <c r="AQ227">
        <f t="shared" ref="AQ227:AQ237" si="364">IF(AQ100&lt;0,0,AQ100)</f>
        <v>41.203386965463082</v>
      </c>
      <c r="AR227">
        <f t="shared" ref="AR227:AR237" si="365">360-(180-DEGREES(ACOS((((SIN(RADIANS(AQ227)))*SIN(RADIANS($AR$85)))-SIN(RADIANS($AQ$85)))/((COS(RADIANS(AQ227)))*COS(RADIANS($AR$85))))))</f>
        <v>199.15052207690977</v>
      </c>
      <c r="AT227">
        <f t="shared" ref="AT227:AT237" si="366">IF(BB100&lt;0,0,BB100)</f>
        <v>49.927090631227195</v>
      </c>
      <c r="AU227" s="38">
        <f t="shared" ref="AU227:AU237" si="367">360-(180-DEGREES(ACOS((((SIN(RADIANS(AT227)))*SIN(RADIANS($BC$85)))-SIN(RADIANS($BB$85)))/((COS(RADIANS(AT227)))*COS(RADIANS($BC$85))))))</f>
        <v>203.44302111465461</v>
      </c>
      <c r="AW227">
        <f t="shared" ref="AW227:AW237" si="368">IF(BM100&lt;0,0,BM100)</f>
        <v>61.179653601104718</v>
      </c>
      <c r="AX227" s="38">
        <f t="shared" ref="AX227:AX237" si="369">360-(180-DEGREES(ACOS((((SIN(RADIANS(AW227)))*SIN(RADIANS($BN$85)))-SIN(RADIANS($BM$85)))/((COS(RADIANS(AW227)))*COS(RADIANS($BN$85))))))</f>
        <v>212.38311064588771</v>
      </c>
      <c r="AZ227">
        <f t="shared" ref="AZ227:AZ237" si="370">IF(BX100&lt;0,0,BX100)</f>
        <v>70.179120424793908</v>
      </c>
      <c r="BA227" s="38">
        <f t="shared" ref="BA227:BA237" si="371">360-(180-DEGREES(ACOS((((SIN(RADIANS(AZ227)))*SIN(RADIANS($BY$85)))-SIN(RADIANS($BX$85)))/((COS(RADIANS(AZ227)))*COS(RADIANS($BY$85))))))</f>
        <v>227.52975571607143</v>
      </c>
      <c r="BC227">
        <f t="shared" ref="BC227:BC237" si="372">IF(CI100&lt;0,0,CI100)</f>
        <v>74.765245687919915</v>
      </c>
      <c r="BD227" s="38">
        <f t="shared" ref="BD227:BD237" si="373">360-(180-DEGREES(ACOS((((SIN(RADIANS(BC227)))*SIN(RADIANS($CJ$85)))-SIN(RADIANS($CI$85)))/((COS(RADIANS(BC227)))*COS(RADIANS($CJ$85))))))</f>
        <v>245.91933603043339</v>
      </c>
      <c r="BF227">
        <f t="shared" ref="BF227:BF237" si="374">IF(CT100&lt;0,0,CT100)</f>
        <v>75.433504705998018</v>
      </c>
      <c r="BG227" s="38">
        <f t="shared" ref="BG227:BG237" si="375">360-(180-DEGREES(ACOS((((SIN(RADIANS(BF227)))*SIN(RADIANS($CU$85)))-SIN(RADIANS($CT$85)))/((COS(RADIANS(BF227)))*COS(RADIANS($CU$85))))))</f>
        <v>250.75093139063102</v>
      </c>
      <c r="BI227">
        <f t="shared" ref="BI227:BI237" si="376">IF(DE100&lt;0,0,DE100)</f>
        <v>35.943781380086349</v>
      </c>
      <c r="BJ227" s="38">
        <f t="shared" ref="BJ227:BJ237" si="377">360-(180-DEGREES(ACOS((((SIN(RADIANS(BI227)))*SIN(RADIANS($DF$85)))-SIN(RADIANS($DE$85)))/((COS(RADIANS(BI227)))*COS(RADIANS($DF$85))))))</f>
        <v>197.11262900070537</v>
      </c>
      <c r="BK227" s="39">
        <v>0.54166666666666596</v>
      </c>
    </row>
    <row r="228" spans="1:90" x14ac:dyDescent="0.25">
      <c r="B228" s="318"/>
      <c r="C228" s="315"/>
      <c r="D228" s="315"/>
      <c r="E228" s="315"/>
      <c r="G228" s="319"/>
      <c r="H228" s="319"/>
      <c r="I228" s="319"/>
      <c r="J228" s="319"/>
      <c r="K228" s="35"/>
      <c r="M228" s="318"/>
      <c r="N228" s="315"/>
      <c r="O228" s="315"/>
      <c r="P228" s="315"/>
      <c r="R228" s="319"/>
      <c r="S228" s="319"/>
      <c r="T228" s="319"/>
      <c r="U228" s="319"/>
      <c r="AB228" s="39">
        <v>0.71875000000001499</v>
      </c>
      <c r="AC228">
        <f t="shared" si="285"/>
        <v>-78.75</v>
      </c>
      <c r="AD228" s="38">
        <f t="shared" si="345"/>
        <v>9.5220100126131602</v>
      </c>
      <c r="AE228" s="38">
        <f t="shared" si="332"/>
        <v>-96.032458342683015</v>
      </c>
      <c r="AG228">
        <f t="shared" si="360"/>
        <v>8.0477989987386849</v>
      </c>
      <c r="AH228">
        <f t="shared" si="361"/>
        <v>186.03245834268301</v>
      </c>
      <c r="AI228" s="7">
        <f t="shared" si="362"/>
        <v>-8.0032344718920641</v>
      </c>
      <c r="AJ228" s="7">
        <f t="shared" si="363"/>
        <v>-0.84575806943707577</v>
      </c>
      <c r="AK228" s="43"/>
      <c r="AP228" s="39">
        <v>0.58333333333333304</v>
      </c>
      <c r="AQ228">
        <f t="shared" si="364"/>
        <v>35.132915612826856</v>
      </c>
      <c r="AR228">
        <f t="shared" si="365"/>
        <v>215.66411358917844</v>
      </c>
      <c r="AT228">
        <f t="shared" si="366"/>
        <v>42.752422426604682</v>
      </c>
      <c r="AU228" s="38">
        <f t="shared" si="367"/>
        <v>222.36141822563656</v>
      </c>
      <c r="AW228">
        <f t="shared" si="368"/>
        <v>52.096153918797427</v>
      </c>
      <c r="AX228" s="38">
        <f t="shared" si="369"/>
        <v>234.28048306914917</v>
      </c>
      <c r="AZ228">
        <f t="shared" si="370"/>
        <v>58.913198956609463</v>
      </c>
      <c r="BA228" s="38">
        <f t="shared" si="371"/>
        <v>249.35738763081932</v>
      </c>
      <c r="BC228">
        <f t="shared" si="372"/>
        <v>62.120147714715685</v>
      </c>
      <c r="BD228" s="38">
        <f t="shared" si="373"/>
        <v>262.35478236405373</v>
      </c>
      <c r="BF228">
        <f t="shared" si="374"/>
        <v>62.593106094089499</v>
      </c>
      <c r="BG228" s="38">
        <f t="shared" si="375"/>
        <v>265.21841997175375</v>
      </c>
      <c r="BI228">
        <f t="shared" si="376"/>
        <v>30.439709654260056</v>
      </c>
      <c r="BJ228" s="38">
        <f t="shared" si="377"/>
        <v>212.26180174788342</v>
      </c>
      <c r="BK228" s="39">
        <v>0.58333333333333304</v>
      </c>
    </row>
    <row r="229" spans="1:90" x14ac:dyDescent="0.25">
      <c r="B229" s="39">
        <v>0.25</v>
      </c>
      <c r="C229" s="38">
        <v>90</v>
      </c>
      <c r="D229" s="38">
        <f>+DEGREES(ASIN(COS(RADIANS(E226))*COS(RADIANS(D226))*COS(RADIANS(C229))+SIN(RADIANS(E226))*SIN(RADIANS(D226))))</f>
        <v>-0.17059005539206051</v>
      </c>
      <c r="E229" s="38">
        <f>180-DEGREES(ACOS((((SIN(RADIANS(D229)))*SIN(RADIANS(E226)))-SIN(RADIANS(D226)))/((COS(RADIANS(D229)))*COS(RADIANS(E226)))))</f>
        <v>90.365835121110862</v>
      </c>
      <c r="G229">
        <f t="shared" ref="G229:G241" si="378">9-(D229/10)</f>
        <v>9.0170590055392061</v>
      </c>
      <c r="H229">
        <f t="shared" ref="H229:H241" si="379">90-E229+$AH$172</f>
        <v>-0.36583512111086236</v>
      </c>
      <c r="I229" s="7">
        <f t="shared" ref="I229:I241" si="380">IF($E$226&gt;=$AE$174,0,G229*COS(RADIANS(H229)))</f>
        <v>9.0168751998419374</v>
      </c>
      <c r="J229" s="7">
        <f t="shared" ref="J229:J241" si="381">IF($E$226&gt;=$AE$174,0,G229*SIN(RADIANS(H229)))</f>
        <v>-5.7573777460840636E-2</v>
      </c>
      <c r="K229" s="35"/>
      <c r="M229" s="39">
        <v>0.25</v>
      </c>
      <c r="N229" s="38">
        <v>90</v>
      </c>
      <c r="O229" s="38">
        <f>+DEGREES(ASIN(COS(RADIANS(P226))*COS(RADIANS(O226))*COS(RADIANS(N229))+SIN(RADIANS(P226))*SIN(RADIANS(O226))))</f>
        <v>-0.20182534876289174</v>
      </c>
      <c r="P229" s="38">
        <f>180-DEGREES(ACOS((((SIN(RADIANS(O229)))*SIN(RADIANS(P226)))-SIN(RADIANS(O226)))/((COS(RADIANS(O229)))*COS(RADIANS(P226)))))</f>
        <v>90.349575372991453</v>
      </c>
      <c r="R229">
        <f t="shared" ref="R229:R241" si="382">9-(O229/10)</f>
        <v>9.0201825348762892</v>
      </c>
      <c r="S229">
        <f t="shared" ref="S229:S241" si="383">90-P229+$AH$172</f>
        <v>-0.34957537299145258</v>
      </c>
      <c r="T229" s="7">
        <f t="shared" ref="T229:T241" si="384">IF($P$226&gt;=$AE$174,0,R229*COS(RADIANS(S229)))</f>
        <v>0</v>
      </c>
      <c r="U229" s="7">
        <f t="shared" ref="U229:U241" si="385">IF($P$226&gt;=$AE$174,0,R229*SIN(RADIANS(S229)))</f>
        <v>0</v>
      </c>
      <c r="AB229" s="39">
        <v>0.72916666666668195</v>
      </c>
      <c r="AC229">
        <f t="shared" si="285"/>
        <v>-82.5</v>
      </c>
      <c r="AD229" s="38">
        <f t="shared" si="345"/>
        <v>6.2872823240365783</v>
      </c>
      <c r="AE229" s="38">
        <f t="shared" si="332"/>
        <v>-94.117061881393724</v>
      </c>
      <c r="AG229">
        <f t="shared" si="360"/>
        <v>8.3712717675963422</v>
      </c>
      <c r="AH229">
        <f t="shared" si="361"/>
        <v>184.11706188139374</v>
      </c>
      <c r="AI229" s="7">
        <f t="shared" si="362"/>
        <v>-8.3496692635520056</v>
      </c>
      <c r="AJ229" s="7">
        <f t="shared" si="363"/>
        <v>-0.60101097847750762</v>
      </c>
      <c r="AK229" s="43"/>
      <c r="AP229" s="39">
        <v>0.625</v>
      </c>
      <c r="AQ229">
        <f t="shared" si="364"/>
        <v>26.297342212361595</v>
      </c>
      <c r="AR229">
        <f t="shared" si="365"/>
        <v>228.77800508269911</v>
      </c>
      <c r="AT229">
        <f t="shared" si="366"/>
        <v>32.778902474630826</v>
      </c>
      <c r="AU229" s="38">
        <f t="shared" si="367"/>
        <v>236.32861033625156</v>
      </c>
      <c r="AW229">
        <f t="shared" si="368"/>
        <v>40.579187314260722</v>
      </c>
      <c r="AX229" s="38">
        <f t="shared" si="369"/>
        <v>248.23612591738978</v>
      </c>
      <c r="AZ229">
        <f t="shared" si="370"/>
        <v>46.234000924702507</v>
      </c>
      <c r="BA229" s="38">
        <f t="shared" si="371"/>
        <v>261.06892668701215</v>
      </c>
      <c r="BC229">
        <f t="shared" si="372"/>
        <v>49.04228910837859</v>
      </c>
      <c r="BD229" s="38">
        <f t="shared" si="373"/>
        <v>270.82022462339319</v>
      </c>
      <c r="BF229">
        <f t="shared" si="374"/>
        <v>49.494624805188728</v>
      </c>
      <c r="BG229" s="38">
        <f t="shared" si="375"/>
        <v>272.86722527083782</v>
      </c>
      <c r="BI229">
        <f t="shared" si="376"/>
        <v>22.259218825541542</v>
      </c>
      <c r="BJ229" s="38">
        <f t="shared" si="377"/>
        <v>224.68795305422185</v>
      </c>
      <c r="BK229" s="39">
        <v>0.625</v>
      </c>
    </row>
    <row r="230" spans="1:90" x14ac:dyDescent="0.25">
      <c r="B230" s="39">
        <v>0.29166666666666669</v>
      </c>
      <c r="C230">
        <v>75</v>
      </c>
      <c r="D230" s="38">
        <f>+DEGREES(ASIN(COS(RADIANS(E226))*COS(RADIANS(D226))*COS(RADIANS(C230))+SIN(RADIANS(E226))*SIN(RADIANS(D226))))</f>
        <v>13.390496061053557</v>
      </c>
      <c r="E230" s="38">
        <f>180-DEGREES(ACOS((((SIN(RADIANS(D230)))*SIN(RADIANS(E226)))-SIN(RADIANS(D226)))/((COS(RADIANS(D230)))*COS(RADIANS(E226)))))</f>
        <v>96.834333575565424</v>
      </c>
      <c r="G230">
        <f t="shared" si="378"/>
        <v>7.6609503938946446</v>
      </c>
      <c r="H230">
        <f t="shared" si="379"/>
        <v>-6.8343335755654238</v>
      </c>
      <c r="I230" s="7">
        <f t="shared" si="380"/>
        <v>7.6065145774372969</v>
      </c>
      <c r="J230" s="7">
        <f t="shared" si="381"/>
        <v>-0.91164517272259926</v>
      </c>
      <c r="K230" s="35"/>
      <c r="M230" s="39">
        <v>0.29166666666666669</v>
      </c>
      <c r="N230">
        <v>75</v>
      </c>
      <c r="O230" s="38">
        <f>+DEGREES(ASIN(COS(RADIANS(P226))*COS(RADIANS(O226))*COS(RADIANS(N230))+SIN(RADIANS(P226))*SIN(RADIANS(O226))))</f>
        <v>12.745204221314955</v>
      </c>
      <c r="P230" s="38">
        <f>180-DEGREES(ACOS((((SIN(RADIANS(O230)))*SIN(RADIANS(P226)))-SIN(RADIANS(O226)))/((COS(RADIANS(O230)))*COS(RADIANS(P226)))))</f>
        <v>97.985970411644061</v>
      </c>
      <c r="R230">
        <f t="shared" si="382"/>
        <v>7.725479577868505</v>
      </c>
      <c r="S230">
        <f t="shared" si="383"/>
        <v>-7.9859704116440611</v>
      </c>
      <c r="T230" s="7">
        <f t="shared" si="384"/>
        <v>0</v>
      </c>
      <c r="U230" s="7">
        <f t="shared" si="385"/>
        <v>0</v>
      </c>
      <c r="AB230" s="39">
        <v>0.73958333333334902</v>
      </c>
      <c r="AC230">
        <f t="shared" si="285"/>
        <v>-86.25</v>
      </c>
      <c r="AD230" s="38">
        <f t="shared" si="345"/>
        <v>3.0448045969825834</v>
      </c>
      <c r="AE230" s="38">
        <f t="shared" si="332"/>
        <v>-92.226889692657693</v>
      </c>
      <c r="AG230">
        <f t="shared" si="360"/>
        <v>8.695519540301742</v>
      </c>
      <c r="AH230">
        <f t="shared" si="361"/>
        <v>182.22688969265769</v>
      </c>
      <c r="AI230" s="7">
        <f t="shared" si="362"/>
        <v>-8.6889526008258624</v>
      </c>
      <c r="AJ230" s="7">
        <f t="shared" si="363"/>
        <v>-0.33787982533866817</v>
      </c>
      <c r="AK230" s="43"/>
      <c r="AP230" s="39">
        <v>0.66666666666666596</v>
      </c>
      <c r="AQ230">
        <f t="shared" si="364"/>
        <v>15.689450108647346</v>
      </c>
      <c r="AR230">
        <f t="shared" si="365"/>
        <v>239.07374480488153</v>
      </c>
      <c r="AT230">
        <f t="shared" si="366"/>
        <v>21.241041758651765</v>
      </c>
      <c r="AU230" s="38">
        <f t="shared" si="367"/>
        <v>246.84291146983276</v>
      </c>
      <c r="AW230">
        <f t="shared" si="368"/>
        <v>28.03064132064042</v>
      </c>
      <c r="AX230" s="38">
        <f t="shared" si="369"/>
        <v>258.15416301445305</v>
      </c>
      <c r="AZ230">
        <f t="shared" si="370"/>
        <v>33.179114183303909</v>
      </c>
      <c r="BA230" s="38">
        <f t="shared" si="371"/>
        <v>269.30782635394411</v>
      </c>
      <c r="BC230">
        <f t="shared" si="372"/>
        <v>35.974200517974971</v>
      </c>
      <c r="BD230" s="38">
        <f t="shared" si="373"/>
        <v>277.28978899698308</v>
      </c>
      <c r="BF230">
        <f t="shared" si="374"/>
        <v>36.462362723804389</v>
      </c>
      <c r="BG230" s="38">
        <f t="shared" si="375"/>
        <v>278.92965056012429</v>
      </c>
      <c r="BI230">
        <f t="shared" si="376"/>
        <v>12.251377298592953</v>
      </c>
      <c r="BJ230" s="38">
        <f t="shared" si="377"/>
        <v>234.65547904775269</v>
      </c>
      <c r="BK230" s="39">
        <v>0.66666666666666596</v>
      </c>
    </row>
    <row r="231" spans="1:90" x14ac:dyDescent="0.25">
      <c r="B231" s="39">
        <v>0.33333333333333298</v>
      </c>
      <c r="C231" s="38">
        <v>60</v>
      </c>
      <c r="D231" s="38">
        <f>+DEGREES(ASIN(COS(RADIANS(E226))*COS(RADIANS(D226))*COS(RADIANS(C231))+SIN(RADIANS(E226))*SIN(RADIANS(D226))))</f>
        <v>26.754289542312229</v>
      </c>
      <c r="E231" s="38">
        <f>180-DEGREES(ACOS((((SIN(RADIANS(D231)))*SIN(RADIANS(E226)))-SIN(RADIANS(D226)))/((COS(RADIANS(D231)))*COS(RADIANS(E226)))))</f>
        <v>104.11018703457104</v>
      </c>
      <c r="G231">
        <f t="shared" si="378"/>
        <v>6.3245710457687769</v>
      </c>
      <c r="H231">
        <f t="shared" si="379"/>
        <v>-14.110187034571041</v>
      </c>
      <c r="I231" s="7">
        <f t="shared" si="380"/>
        <v>6.1337504259796329</v>
      </c>
      <c r="J231" s="7">
        <f t="shared" si="381"/>
        <v>-1.5418510384506776</v>
      </c>
      <c r="K231" s="35"/>
      <c r="M231" s="39">
        <v>0.33333333333333298</v>
      </c>
      <c r="N231" s="38">
        <v>60</v>
      </c>
      <c r="O231" s="38">
        <f>+DEGREES(ASIN(COS(RADIANS(P226))*COS(RADIANS(O226))*COS(RADIANS(N231))+SIN(RADIANS(P226))*SIN(RADIANS(O226))))</f>
        <v>25.434529047364645</v>
      </c>
      <c r="P231" s="38">
        <f>180-DEGREES(ACOS((((SIN(RADIANS(O231)))*SIN(RADIANS(P226)))-SIN(RADIANS(O226)))/((COS(RADIANS(O231)))*COS(RADIANS(P226)))))</f>
        <v>106.4740194500216</v>
      </c>
      <c r="R231">
        <f t="shared" si="382"/>
        <v>6.4565470952635353</v>
      </c>
      <c r="S231">
        <f t="shared" si="383"/>
        <v>-16.474019450021601</v>
      </c>
      <c r="T231" s="7">
        <f t="shared" si="384"/>
        <v>0</v>
      </c>
      <c r="U231" s="7">
        <f t="shared" si="385"/>
        <v>0</v>
      </c>
      <c r="AB231" s="39">
        <v>0.75000000000001599</v>
      </c>
      <c r="AC231">
        <f t="shared" si="285"/>
        <v>-90</v>
      </c>
      <c r="AD231" s="38">
        <f t="shared" si="345"/>
        <v>-0.20182534876289174</v>
      </c>
      <c r="AE231" s="38">
        <f t="shared" si="332"/>
        <v>-90.349575372991453</v>
      </c>
      <c r="AG231">
        <f t="shared" si="360"/>
        <v>9.0201825348762892</v>
      </c>
      <c r="AH231">
        <f t="shared" si="361"/>
        <v>180.34957537299147</v>
      </c>
      <c r="AI231" s="7">
        <f t="shared" si="362"/>
        <v>-9.0200146465970548</v>
      </c>
      <c r="AJ231" s="7">
        <f t="shared" si="363"/>
        <v>-5.5033968254738962E-2</v>
      </c>
      <c r="AK231" s="43"/>
      <c r="AP231" s="39">
        <v>0.70833333333333304</v>
      </c>
      <c r="AQ231">
        <f t="shared" si="364"/>
        <v>3.9806023907424599</v>
      </c>
      <c r="AR231">
        <f t="shared" si="365"/>
        <v>247.42289216802021</v>
      </c>
      <c r="AT231">
        <f t="shared" si="366"/>
        <v>8.8424843209748119</v>
      </c>
      <c r="AU231" s="38">
        <f t="shared" si="367"/>
        <v>255.31197177717854</v>
      </c>
      <c r="AW231">
        <f t="shared" si="368"/>
        <v>15.051271742006362</v>
      </c>
      <c r="AX231" s="38">
        <f t="shared" si="369"/>
        <v>266.18421264331801</v>
      </c>
      <c r="AZ231">
        <f t="shared" si="370"/>
        <v>20.094408212134532</v>
      </c>
      <c r="BA231" s="38">
        <f t="shared" si="371"/>
        <v>276.30699408544757</v>
      </c>
      <c r="BC231">
        <f t="shared" si="372"/>
        <v>23.081833865003894</v>
      </c>
      <c r="BD231" s="38">
        <f t="shared" si="373"/>
        <v>283.28143846255932</v>
      </c>
      <c r="BF231">
        <f t="shared" si="374"/>
        <v>23.63600454935963</v>
      </c>
      <c r="BG231" s="38">
        <f t="shared" si="375"/>
        <v>284.69392403052012</v>
      </c>
      <c r="BI231">
        <f t="shared" si="376"/>
        <v>1.0425877010819102</v>
      </c>
      <c r="BJ231" s="38">
        <f t="shared" si="377"/>
        <v>242.77413702084823</v>
      </c>
      <c r="BK231" s="39">
        <v>0.70833333333333304</v>
      </c>
    </row>
    <row r="232" spans="1:90" x14ac:dyDescent="0.25">
      <c r="B232" s="39">
        <v>0.375</v>
      </c>
      <c r="C232">
        <v>45</v>
      </c>
      <c r="D232" s="38">
        <f>+DEGREES(ASIN(COS(RADIANS(E226))*COS(RADIANS(D226))*COS(RADIANS(C232))+SIN(RADIANS(E226))*SIN(RADIANS(D226))))</f>
        <v>39.632662002345647</v>
      </c>
      <c r="E232" s="38">
        <f>180-DEGREES(ACOS((((SIN(RADIANS(D232)))*SIN(RADIANS(E226)))-SIN(RADIANS(D226)))/((COS(RADIANS(D232)))*COS(RADIANS(E226)))))</f>
        <v>113.34735462280341</v>
      </c>
      <c r="G232">
        <f t="shared" si="378"/>
        <v>5.0367337997654351</v>
      </c>
      <c r="H232">
        <f t="shared" si="379"/>
        <v>-23.347354622803408</v>
      </c>
      <c r="I232" s="7">
        <f t="shared" si="380"/>
        <v>4.6243217634313547</v>
      </c>
      <c r="J232" s="7">
        <f t="shared" si="381"/>
        <v>-1.9960800580023557</v>
      </c>
      <c r="K232" s="35"/>
      <c r="M232" s="39">
        <v>0.375</v>
      </c>
      <c r="N232">
        <v>45</v>
      </c>
      <c r="O232" s="38">
        <f>+DEGREES(ASIN(COS(RADIANS(P226))*COS(RADIANS(O226))*COS(RADIANS(N232))+SIN(RADIANS(P226))*SIN(RADIANS(O226))))</f>
        <v>37.505293910382669</v>
      </c>
      <c r="P232" s="38">
        <f>180-DEGREES(ACOS((((SIN(RADIANS(O232)))*SIN(RADIANS(P226)))-SIN(RADIANS(O226)))/((COS(RADIANS(O232)))*COS(RADIANS(P226)))))</f>
        <v>116.9591888957782</v>
      </c>
      <c r="R232">
        <f t="shared" si="382"/>
        <v>5.2494706089617331</v>
      </c>
      <c r="S232">
        <f t="shared" si="383"/>
        <v>-26.959188895778198</v>
      </c>
      <c r="T232" s="7">
        <f t="shared" si="384"/>
        <v>0</v>
      </c>
      <c r="U232" s="7">
        <f t="shared" si="385"/>
        <v>0</v>
      </c>
      <c r="AB232" s="39">
        <v>0.79166666666666663</v>
      </c>
      <c r="AC232" s="38">
        <v>-105</v>
      </c>
      <c r="AD232" s="38">
        <f t="shared" si="345"/>
        <v>-13.159393168690809</v>
      </c>
      <c r="AE232" s="38">
        <f t="shared" si="332"/>
        <v>-82.725081093746851</v>
      </c>
      <c r="AG232">
        <f t="shared" ref="AG232:AG238" si="386">IF((9-(AD232/10))&gt;9,9,9-(AD232/10))</f>
        <v>9</v>
      </c>
      <c r="AH232">
        <f t="shared" ref="AH232:AH238" si="387">IF((9-(AD232/10))&gt;9,90+(180-DEGREES(ACOS((((SIN(RADIANS(0)))*SIN(RADIANS($AE$174)))-SIN(RADIANS($AD$174)))/((COS(RADIANS(0)))*COS(RADIANS($AE$174))))))+$AH$172,90-AE232+$AH$172)</f>
        <v>180.46609985475277</v>
      </c>
      <c r="AI232" s="7">
        <f t="shared" si="362"/>
        <v>-8.9997022013058103</v>
      </c>
      <c r="AJ232" s="7">
        <f t="shared" si="363"/>
        <v>-7.3213986446225232E-2</v>
      </c>
      <c r="AK232" s="43"/>
      <c r="AP232" s="39">
        <v>0.75</v>
      </c>
      <c r="AQ232">
        <f t="shared" si="364"/>
        <v>0</v>
      </c>
      <c r="AR232">
        <f t="shared" si="365"/>
        <v>249.85519203924551</v>
      </c>
      <c r="AT232">
        <f t="shared" si="366"/>
        <v>0</v>
      </c>
      <c r="AU232" s="38">
        <f t="shared" si="367"/>
        <v>260.4996370717837</v>
      </c>
      <c r="AW232">
        <f t="shared" si="368"/>
        <v>1.9510766725967672</v>
      </c>
      <c r="AX232" s="38">
        <f t="shared" si="369"/>
        <v>273.51182934170981</v>
      </c>
      <c r="AZ232">
        <f t="shared" si="370"/>
        <v>7.1796941081018506</v>
      </c>
      <c r="BA232" s="38">
        <f t="shared" si="371"/>
        <v>283.09158453138394</v>
      </c>
      <c r="BC232">
        <f t="shared" si="372"/>
        <v>10.508522694850116</v>
      </c>
      <c r="BD232" s="38">
        <f t="shared" si="373"/>
        <v>289.48371408277904</v>
      </c>
      <c r="BF232">
        <f t="shared" si="374"/>
        <v>11.152054967319165</v>
      </c>
      <c r="BG232" s="38">
        <f t="shared" si="375"/>
        <v>290.76123341972379</v>
      </c>
      <c r="BI232">
        <f t="shared" si="376"/>
        <v>0</v>
      </c>
      <c r="BJ232" s="38">
        <f t="shared" si="377"/>
        <v>243.42913169308855</v>
      </c>
      <c r="BK232" s="39">
        <v>0.75</v>
      </c>
    </row>
    <row r="233" spans="1:90" x14ac:dyDescent="0.25">
      <c r="B233" s="39">
        <v>0.41666666666666702</v>
      </c>
      <c r="C233" s="38">
        <v>30</v>
      </c>
      <c r="D233" s="38">
        <f>+DEGREES(ASIN(COS(RADIANS(E226))*COS(RADIANS(D226))*COS(RADIANS(C233))+SIN(RADIANS(E226))*SIN(RADIANS(D226))))</f>
        <v>51.433833007078441</v>
      </c>
      <c r="E233" s="38">
        <f>180-DEGREES(ACOS((((SIN(RADIANS(D233)))*SIN(RADIANS(E226)))-SIN(RADIANS(D226)))/((COS(RADIANS(D233)))*COS(RADIANS(E226)))))</f>
        <v>126.67750738894603</v>
      </c>
      <c r="G233">
        <f t="shared" si="378"/>
        <v>3.8566166992921556</v>
      </c>
      <c r="H233">
        <f t="shared" si="379"/>
        <v>-36.677507388946026</v>
      </c>
      <c r="I233" s="7">
        <f t="shared" si="380"/>
        <v>3.0930459003652357</v>
      </c>
      <c r="J233" s="7">
        <f t="shared" si="381"/>
        <v>-2.3035970618779942</v>
      </c>
      <c r="K233" s="35"/>
      <c r="M233" s="39">
        <v>0.41666666666666702</v>
      </c>
      <c r="N233" s="38">
        <v>30</v>
      </c>
      <c r="O233" s="38">
        <f>+DEGREES(ASIN(COS(RADIANS(P226))*COS(RADIANS(O226))*COS(RADIANS(N233))+SIN(RADIANS(P226))*SIN(RADIANS(O226))))</f>
        <v>48.284559002731697</v>
      </c>
      <c r="P233" s="38">
        <f>180-DEGREES(ACOS((((SIN(RADIANS(O233)))*SIN(RADIANS(P226)))-SIN(RADIANS(O226)))/((COS(RADIANS(O233)))*COS(RADIANS(P226)))))</f>
        <v>131.29050984657982</v>
      </c>
      <c r="R233">
        <f t="shared" si="382"/>
        <v>4.1715440997268303</v>
      </c>
      <c r="S233">
        <f t="shared" si="383"/>
        <v>-41.290509846579823</v>
      </c>
      <c r="T233" s="7">
        <f t="shared" si="384"/>
        <v>0</v>
      </c>
      <c r="U233" s="7">
        <f t="shared" si="385"/>
        <v>0</v>
      </c>
      <c r="AB233" s="39">
        <v>0.83333333333333304</v>
      </c>
      <c r="AC233" s="38">
        <v>-120</v>
      </c>
      <c r="AD233" s="38">
        <f t="shared" si="345"/>
        <v>-25.882337727854544</v>
      </c>
      <c r="AE233" s="38">
        <f t="shared" si="332"/>
        <v>-74.271190911100817</v>
      </c>
      <c r="AG233">
        <f t="shared" si="386"/>
        <v>9</v>
      </c>
      <c r="AH233">
        <f t="shared" si="387"/>
        <v>180.46609985475277</v>
      </c>
      <c r="AI233" s="7">
        <f t="shared" si="362"/>
        <v>-8.9997022013058103</v>
      </c>
      <c r="AJ233" s="7">
        <f t="shared" si="363"/>
        <v>-7.3213986446225232E-2</v>
      </c>
      <c r="AK233" s="43"/>
      <c r="AP233" s="39">
        <v>0.79166666666666663</v>
      </c>
      <c r="AQ233">
        <f t="shared" si="364"/>
        <v>0</v>
      </c>
      <c r="AR233">
        <f t="shared" si="365"/>
        <v>249.85519203924551</v>
      </c>
      <c r="AT233">
        <f t="shared" si="366"/>
        <v>0</v>
      </c>
      <c r="AU233" s="38">
        <f t="shared" si="367"/>
        <v>260.4996370717837</v>
      </c>
      <c r="AW233">
        <f t="shared" si="368"/>
        <v>0</v>
      </c>
      <c r="AX233" s="38">
        <f t="shared" si="369"/>
        <v>274.59738166832204</v>
      </c>
      <c r="AZ233">
        <f t="shared" si="370"/>
        <v>0</v>
      </c>
      <c r="BA233" s="38">
        <f t="shared" si="371"/>
        <v>287.11190742150467</v>
      </c>
      <c r="BC233">
        <f t="shared" si="372"/>
        <v>0</v>
      </c>
      <c r="BD233" s="38">
        <f t="shared" si="373"/>
        <v>295.42782328735052</v>
      </c>
      <c r="BF233">
        <f t="shared" si="374"/>
        <v>0</v>
      </c>
      <c r="BG233" s="38">
        <f t="shared" si="375"/>
        <v>297.0871391084072</v>
      </c>
      <c r="BI233">
        <f t="shared" si="376"/>
        <v>0</v>
      </c>
      <c r="BJ233" s="38">
        <f t="shared" si="377"/>
        <v>243.42913169308855</v>
      </c>
      <c r="BK233" s="39">
        <v>0.79166666666666663</v>
      </c>
    </row>
    <row r="234" spans="1:90" x14ac:dyDescent="0.25">
      <c r="B234" s="39">
        <v>0.45833333333333298</v>
      </c>
      <c r="C234">
        <v>15</v>
      </c>
      <c r="D234" s="38">
        <f>+DEGREES(ASIN(COS(RADIANS(E226))*COS(RADIANS(D226))*COS(RADIANS(C234))+SIN(RADIANS(E226))*SIN(RADIANS(D226))))</f>
        <v>60.74191151210858</v>
      </c>
      <c r="E234" s="38">
        <f>180-DEGREES(ACOS((((SIN(RADIANS(D234)))*SIN(RADIANS(E226)))-SIN(RADIANS(D226)))/((COS(RADIANS(D234)))*COS(RADIANS(E226)))))</f>
        <v>148.02521829510778</v>
      </c>
      <c r="G234">
        <f t="shared" si="378"/>
        <v>2.925808848789142</v>
      </c>
      <c r="H234">
        <f t="shared" si="379"/>
        <v>-58.025218295107777</v>
      </c>
      <c r="I234" s="7">
        <f t="shared" si="380"/>
        <v>1.5493502295458406</v>
      </c>
      <c r="J234" s="7">
        <f t="shared" si="381"/>
        <v>-2.4819087988600823</v>
      </c>
      <c r="K234" s="35"/>
      <c r="M234" s="39">
        <v>0.45833333333333298</v>
      </c>
      <c r="N234">
        <v>15</v>
      </c>
      <c r="O234" s="38">
        <f>+DEGREES(ASIN(COS(RADIANS(P226))*COS(RADIANS(O226))*COS(RADIANS(N234))+SIN(RADIANS(P226))*SIN(RADIANS(O226))))</f>
        <v>56.40536291527436</v>
      </c>
      <c r="P234" s="38">
        <f>180-DEGREES(ACOS((((SIN(RADIANS(O234)))*SIN(RADIANS(P226)))-SIN(RADIANS(O226)))/((COS(RADIANS(O234)))*COS(RADIANS(P226)))))</f>
        <v>152.11163440142451</v>
      </c>
      <c r="R234">
        <f t="shared" si="382"/>
        <v>3.359463708472564</v>
      </c>
      <c r="S234">
        <f t="shared" si="383"/>
        <v>-62.11163440142451</v>
      </c>
      <c r="T234" s="7">
        <f t="shared" si="384"/>
        <v>0</v>
      </c>
      <c r="U234" s="7">
        <f t="shared" si="385"/>
        <v>0</v>
      </c>
      <c r="AB234" s="39">
        <v>0.875</v>
      </c>
      <c r="AC234" s="38">
        <v>-135</v>
      </c>
      <c r="AD234" s="38">
        <f t="shared" si="345"/>
        <v>-38.015872215677796</v>
      </c>
      <c r="AE234" s="38">
        <f t="shared" si="332"/>
        <v>-63.831816551724259</v>
      </c>
      <c r="AG234">
        <f t="shared" si="386"/>
        <v>9</v>
      </c>
      <c r="AH234">
        <f t="shared" si="387"/>
        <v>180.46609985475277</v>
      </c>
      <c r="AI234" s="7">
        <f t="shared" si="362"/>
        <v>-8.9997022013058103</v>
      </c>
      <c r="AJ234" s="7">
        <f t="shared" si="363"/>
        <v>-7.3213986446225232E-2</v>
      </c>
      <c r="AK234" s="43"/>
      <c r="AP234" s="39">
        <v>0.83333333333333304</v>
      </c>
      <c r="AQ234">
        <f t="shared" si="364"/>
        <v>0</v>
      </c>
      <c r="AR234">
        <f t="shared" si="365"/>
        <v>249.85519203924551</v>
      </c>
      <c r="AT234">
        <f t="shared" si="366"/>
        <v>0</v>
      </c>
      <c r="AU234" s="38">
        <f t="shared" si="367"/>
        <v>260.4996370717837</v>
      </c>
      <c r="AW234">
        <f t="shared" si="368"/>
        <v>0</v>
      </c>
      <c r="AX234" s="38">
        <f t="shared" si="369"/>
        <v>274.59738166832204</v>
      </c>
      <c r="AZ234">
        <f t="shared" si="370"/>
        <v>0</v>
      </c>
      <c r="BA234" s="38">
        <f t="shared" si="371"/>
        <v>287.11190742150467</v>
      </c>
      <c r="BC234">
        <f t="shared" si="372"/>
        <v>0</v>
      </c>
      <c r="BD234" s="38">
        <f t="shared" si="373"/>
        <v>295.42782328735052</v>
      </c>
      <c r="BF234">
        <f t="shared" si="374"/>
        <v>0</v>
      </c>
      <c r="BG234" s="38">
        <f t="shared" si="375"/>
        <v>297.0871391084072</v>
      </c>
      <c r="BI234">
        <f t="shared" si="376"/>
        <v>0</v>
      </c>
      <c r="BJ234" s="38">
        <f t="shared" si="377"/>
        <v>243.42913169308855</v>
      </c>
      <c r="BK234" s="39">
        <v>0.83333333333333304</v>
      </c>
    </row>
    <row r="235" spans="1:90" x14ac:dyDescent="0.25">
      <c r="B235" s="39">
        <v>0.5</v>
      </c>
      <c r="C235" s="38">
        <v>0</v>
      </c>
      <c r="D235" s="38">
        <f>+DEGREES(ASIN(COS(RADIANS(E226))*COS(RADIANS(D226))*COS(RADIANS(C235))+SIN(RADIANS(E226))*SIN(RADIANS(D226))))</f>
        <v>64.596346798145674</v>
      </c>
      <c r="E235" s="38">
        <f>+IF(E226&gt;=0,180,0)</f>
        <v>180</v>
      </c>
      <c r="G235">
        <f t="shared" si="378"/>
        <v>2.5403653201854324</v>
      </c>
      <c r="H235">
        <f t="shared" si="379"/>
        <v>-90</v>
      </c>
      <c r="I235" s="7">
        <f t="shared" si="380"/>
        <v>1.5561623234643121E-16</v>
      </c>
      <c r="J235" s="7">
        <f t="shared" si="381"/>
        <v>-2.5403653201854324</v>
      </c>
      <c r="K235" s="35"/>
      <c r="M235" s="39">
        <v>0.5</v>
      </c>
      <c r="N235" s="38">
        <v>0</v>
      </c>
      <c r="O235" s="38">
        <f>+DEGREES(ASIN(COS(RADIANS(P226))*COS(RADIANS(O226))*COS(RADIANS(N235))+SIN(RADIANS(P226))*SIN(RADIANS(O226))))</f>
        <v>59.596346798145696</v>
      </c>
      <c r="P235" s="38">
        <f>+IF(P226&gt;=0,180,0)</f>
        <v>180</v>
      </c>
      <c r="R235">
        <f t="shared" si="382"/>
        <v>3.0403653201854306</v>
      </c>
      <c r="S235">
        <f t="shared" si="383"/>
        <v>-90</v>
      </c>
      <c r="T235" s="7">
        <f t="shared" si="384"/>
        <v>0</v>
      </c>
      <c r="U235" s="7">
        <f t="shared" si="385"/>
        <v>0</v>
      </c>
      <c r="AB235" s="39">
        <v>0.91666666666666696</v>
      </c>
      <c r="AC235" s="38">
        <v>-150</v>
      </c>
      <c r="AD235" s="38">
        <f t="shared" si="345"/>
        <v>-48.894814772724636</v>
      </c>
      <c r="AE235" s="38">
        <f t="shared" si="332"/>
        <v>-49.50854567862288</v>
      </c>
      <c r="AG235">
        <f t="shared" si="386"/>
        <v>9</v>
      </c>
      <c r="AH235">
        <f t="shared" si="387"/>
        <v>180.46609985475277</v>
      </c>
      <c r="AI235" s="7">
        <f t="shared" si="362"/>
        <v>-8.9997022013058103</v>
      </c>
      <c r="AJ235" s="7">
        <f t="shared" si="363"/>
        <v>-7.3213986446225232E-2</v>
      </c>
      <c r="AK235" s="43"/>
      <c r="AP235" s="39">
        <v>0.875</v>
      </c>
      <c r="AQ235">
        <f t="shared" si="364"/>
        <v>0</v>
      </c>
      <c r="AR235">
        <f t="shared" si="365"/>
        <v>249.85519203924551</v>
      </c>
      <c r="AT235">
        <f t="shared" si="366"/>
        <v>0</v>
      </c>
      <c r="AU235" s="38">
        <f t="shared" si="367"/>
        <v>260.4996370717837</v>
      </c>
      <c r="AW235">
        <f t="shared" si="368"/>
        <v>0</v>
      </c>
      <c r="AX235" s="38">
        <f t="shared" si="369"/>
        <v>274.59738166832204</v>
      </c>
      <c r="AZ235">
        <f t="shared" si="370"/>
        <v>0</v>
      </c>
      <c r="BA235" s="38">
        <f t="shared" si="371"/>
        <v>287.11190742150467</v>
      </c>
      <c r="BC235">
        <f t="shared" si="372"/>
        <v>0</v>
      </c>
      <c r="BD235" s="38">
        <f t="shared" si="373"/>
        <v>295.42782328735052</v>
      </c>
      <c r="BF235">
        <f t="shared" si="374"/>
        <v>0</v>
      </c>
      <c r="BG235" s="38">
        <f t="shared" si="375"/>
        <v>297.0871391084072</v>
      </c>
      <c r="BI235">
        <f t="shared" si="376"/>
        <v>0</v>
      </c>
      <c r="BJ235" s="38">
        <f t="shared" si="377"/>
        <v>243.42913169308855</v>
      </c>
      <c r="BK235" s="39">
        <v>0.875</v>
      </c>
    </row>
    <row r="236" spans="1:90" x14ac:dyDescent="0.25">
      <c r="B236" s="39">
        <v>0.54166666666666696</v>
      </c>
      <c r="C236">
        <v>-15</v>
      </c>
      <c r="D236" s="38">
        <f>+DEGREES(ASIN(COS(RADIANS(E226))*COS(RADIANS(D226))*COS(RADIANS(C236))+SIN(RADIANS(E226))*SIN(RADIANS(D226))))</f>
        <v>60.74191151210858</v>
      </c>
      <c r="E236" s="38">
        <f>-(180-DEGREES(ACOS((((SIN(RADIANS(D236)))*SIN(RADIANS(E226)))-SIN(RADIANS(D226)))/((COS(RADIANS(D236)))*COS(RADIANS(E226))))))</f>
        <v>-148.02521829510778</v>
      </c>
      <c r="G236">
        <f t="shared" si="378"/>
        <v>2.925808848789142</v>
      </c>
      <c r="H236">
        <f t="shared" si="379"/>
        <v>238.02521829510778</v>
      </c>
      <c r="I236" s="7">
        <f t="shared" si="380"/>
        <v>-1.5493502295458415</v>
      </c>
      <c r="J236" s="7">
        <f t="shared" si="381"/>
        <v>-2.4819087988600814</v>
      </c>
      <c r="K236" s="35"/>
      <c r="M236" s="39">
        <v>0.54166666666666696</v>
      </c>
      <c r="N236">
        <v>-15</v>
      </c>
      <c r="O236" s="38">
        <f>+DEGREES(ASIN(COS(RADIANS(P226))*COS(RADIANS(O226))*COS(RADIANS(N236))+SIN(RADIANS(P226))*SIN(RADIANS(O226))))</f>
        <v>56.40536291527436</v>
      </c>
      <c r="P236" s="38">
        <f>-(180-DEGREES(ACOS((((SIN(RADIANS(O236)))*SIN(RADIANS(P226)))-SIN(RADIANS(O226)))/((COS(RADIANS(O236)))*COS(RADIANS(P226))))))</f>
        <v>-152.11163440142451</v>
      </c>
      <c r="R236">
        <f t="shared" si="382"/>
        <v>3.359463708472564</v>
      </c>
      <c r="S236">
        <f t="shared" si="383"/>
        <v>242.11163440142451</v>
      </c>
      <c r="T236" s="7">
        <f t="shared" si="384"/>
        <v>0</v>
      </c>
      <c r="U236" s="7">
        <f t="shared" si="385"/>
        <v>0</v>
      </c>
      <c r="AB236" s="39">
        <v>0.95833333333333304</v>
      </c>
      <c r="AC236" s="38">
        <v>-165</v>
      </c>
      <c r="AD236" s="38">
        <f t="shared" si="345"/>
        <v>-57.142026120888801</v>
      </c>
      <c r="AE236" s="38">
        <f t="shared" si="332"/>
        <v>-28.491120897585603</v>
      </c>
      <c r="AG236">
        <f t="shared" si="386"/>
        <v>9</v>
      </c>
      <c r="AH236">
        <f t="shared" si="387"/>
        <v>180.46609985475277</v>
      </c>
      <c r="AI236" s="7">
        <f t="shared" si="362"/>
        <v>-8.9997022013058103</v>
      </c>
      <c r="AJ236" s="7">
        <f t="shared" si="363"/>
        <v>-7.3213986446225232E-2</v>
      </c>
      <c r="AK236" s="43"/>
      <c r="AP236" s="39">
        <v>0.91666666666666696</v>
      </c>
      <c r="AQ236">
        <f t="shared" si="364"/>
        <v>0</v>
      </c>
      <c r="AR236">
        <f t="shared" si="365"/>
        <v>249.85519203924551</v>
      </c>
      <c r="AT236">
        <f t="shared" si="366"/>
        <v>0</v>
      </c>
      <c r="AU236" s="38">
        <f t="shared" si="367"/>
        <v>260.4996370717837</v>
      </c>
      <c r="AW236">
        <f t="shared" si="368"/>
        <v>0</v>
      </c>
      <c r="AX236" s="38">
        <f t="shared" si="369"/>
        <v>274.59738166832204</v>
      </c>
      <c r="AZ236">
        <f t="shared" si="370"/>
        <v>0</v>
      </c>
      <c r="BA236" s="38">
        <f t="shared" si="371"/>
        <v>287.11190742150467</v>
      </c>
      <c r="BC236">
        <f t="shared" si="372"/>
        <v>0</v>
      </c>
      <c r="BD236" s="38">
        <f t="shared" si="373"/>
        <v>295.42782328735052</v>
      </c>
      <c r="BF236">
        <f t="shared" si="374"/>
        <v>0</v>
      </c>
      <c r="BG236" s="38">
        <f t="shared" si="375"/>
        <v>297.0871391084072</v>
      </c>
      <c r="BI236">
        <f t="shared" si="376"/>
        <v>0</v>
      </c>
      <c r="BJ236" s="38">
        <f t="shared" si="377"/>
        <v>243.42913169308855</v>
      </c>
      <c r="BK236" s="39">
        <v>0.91666666666666696</v>
      </c>
    </row>
    <row r="237" spans="1:90" x14ac:dyDescent="0.25">
      <c r="B237" s="39">
        <v>0.58333333333333304</v>
      </c>
      <c r="C237" s="38">
        <v>-30</v>
      </c>
      <c r="D237" s="38">
        <f>+DEGREES(ASIN(COS(RADIANS(E226))*COS(RADIANS(D226))*COS(RADIANS(C237))+SIN(RADIANS(E226))*SIN(RADIANS(D226))))</f>
        <v>51.433833007078441</v>
      </c>
      <c r="E237" s="38">
        <f>-(180-DEGREES(ACOS((((SIN(RADIANS(D237)))*SIN(RADIANS(E226)))-SIN(RADIANS(D226)))/((COS(RADIANS(D237)))*COS(RADIANS(E226))))))</f>
        <v>-126.67750738894603</v>
      </c>
      <c r="G237">
        <f t="shared" si="378"/>
        <v>3.8566166992921556</v>
      </c>
      <c r="H237">
        <f t="shared" si="379"/>
        <v>216.67750738894603</v>
      </c>
      <c r="I237" s="7">
        <f t="shared" si="380"/>
        <v>-3.0930459003652357</v>
      </c>
      <c r="J237" s="7">
        <f t="shared" si="381"/>
        <v>-2.3035970618779942</v>
      </c>
      <c r="K237" s="35"/>
      <c r="M237" s="39">
        <v>0.58333333333333304</v>
      </c>
      <c r="N237" s="38">
        <v>-30</v>
      </c>
      <c r="O237" s="38">
        <f>+DEGREES(ASIN(COS(RADIANS(P226))*COS(RADIANS(O226))*COS(RADIANS(N237))+SIN(RADIANS(P226))*SIN(RADIANS(O226))))</f>
        <v>48.284559002731697</v>
      </c>
      <c r="P237" s="38">
        <f>-(180-DEGREES(ACOS((((SIN(RADIANS(O237)))*SIN(RADIANS(P226)))-SIN(RADIANS(O226)))/((COS(RADIANS(O237)))*COS(RADIANS(P226))))))</f>
        <v>-131.29050984657982</v>
      </c>
      <c r="R237">
        <f t="shared" si="382"/>
        <v>4.1715440997268303</v>
      </c>
      <c r="S237">
        <f t="shared" si="383"/>
        <v>221.29050984657982</v>
      </c>
      <c r="T237" s="7">
        <f t="shared" si="384"/>
        <v>0</v>
      </c>
      <c r="U237" s="7">
        <f t="shared" si="385"/>
        <v>0</v>
      </c>
      <c r="AB237" s="39">
        <v>1</v>
      </c>
      <c r="AC237" s="38">
        <v>-180</v>
      </c>
      <c r="AD237" s="38">
        <v>0</v>
      </c>
      <c r="AE237" s="38">
        <v>-90</v>
      </c>
      <c r="AG237">
        <f t="shared" si="386"/>
        <v>9</v>
      </c>
      <c r="AH237">
        <f t="shared" si="387"/>
        <v>180</v>
      </c>
      <c r="AI237" s="7">
        <f t="shared" si="362"/>
        <v>-9</v>
      </c>
      <c r="AJ237" s="7">
        <f t="shared" si="363"/>
        <v>1.102633609417758E-15</v>
      </c>
      <c r="AK237" s="43"/>
      <c r="AP237" s="39">
        <v>0.95833333333333304</v>
      </c>
      <c r="AQ237">
        <f t="shared" si="364"/>
        <v>0</v>
      </c>
      <c r="AR237">
        <f t="shared" si="365"/>
        <v>249.85519203924551</v>
      </c>
      <c r="AT237">
        <f t="shared" si="366"/>
        <v>0</v>
      </c>
      <c r="AU237" s="38">
        <f t="shared" si="367"/>
        <v>260.4996370717837</v>
      </c>
      <c r="AW237">
        <f t="shared" si="368"/>
        <v>0</v>
      </c>
      <c r="AX237" s="38">
        <f t="shared" si="369"/>
        <v>274.59738166832204</v>
      </c>
      <c r="AZ237">
        <f t="shared" si="370"/>
        <v>0</v>
      </c>
      <c r="BA237" s="38">
        <f t="shared" si="371"/>
        <v>287.11190742150467</v>
      </c>
      <c r="BC237">
        <f t="shared" si="372"/>
        <v>0</v>
      </c>
      <c r="BD237" s="38">
        <f t="shared" si="373"/>
        <v>295.42782328735052</v>
      </c>
      <c r="BF237">
        <f t="shared" si="374"/>
        <v>0</v>
      </c>
      <c r="BG237" s="38">
        <f t="shared" si="375"/>
        <v>297.0871391084072</v>
      </c>
      <c r="BI237">
        <f t="shared" si="376"/>
        <v>0</v>
      </c>
      <c r="BJ237" s="38">
        <f t="shared" si="377"/>
        <v>243.42913169308855</v>
      </c>
      <c r="BK237" s="39">
        <v>0.95833333333333304</v>
      </c>
    </row>
    <row r="238" spans="1:90" x14ac:dyDescent="0.25">
      <c r="B238" s="39">
        <v>0.625</v>
      </c>
      <c r="C238">
        <v>-45</v>
      </c>
      <c r="D238" s="38">
        <f>+DEGREES(ASIN(COS(RADIANS(E226))*COS(RADIANS(D226))*COS(RADIANS(C238))+SIN(RADIANS(E226))*SIN(RADIANS(D226))))</f>
        <v>39.632662002345647</v>
      </c>
      <c r="E238" s="38">
        <f>-(180-DEGREES(ACOS((((SIN(RADIANS(D238)))*SIN(RADIANS(E226)))-SIN(RADIANS(D226)))/((COS(RADIANS(D238)))*COS(RADIANS(E226))))))</f>
        <v>-113.34735462280341</v>
      </c>
      <c r="G238">
        <f t="shared" si="378"/>
        <v>5.0367337997654351</v>
      </c>
      <c r="H238">
        <f t="shared" si="379"/>
        <v>203.34735462280341</v>
      </c>
      <c r="I238" s="7">
        <f t="shared" si="380"/>
        <v>-4.6243217634313547</v>
      </c>
      <c r="J238" s="7">
        <f t="shared" si="381"/>
        <v>-1.9960800580023554</v>
      </c>
      <c r="K238" s="35"/>
      <c r="M238" s="39">
        <v>0.625</v>
      </c>
      <c r="N238">
        <v>-45</v>
      </c>
      <c r="O238" s="38">
        <f>+DEGREES(ASIN(COS(RADIANS(P226))*COS(RADIANS(O226))*COS(RADIANS(N238))+SIN(RADIANS(P226))*SIN(RADIANS(O226))))</f>
        <v>37.505293910382669</v>
      </c>
      <c r="P238" s="38">
        <f>-(180-DEGREES(ACOS((((SIN(RADIANS(O238)))*SIN(RADIANS(P226)))-SIN(RADIANS(O226)))/((COS(RADIANS(O238)))*COS(RADIANS(P226))))))</f>
        <v>-116.9591888957782</v>
      </c>
      <c r="R238">
        <f t="shared" si="382"/>
        <v>5.2494706089617331</v>
      </c>
      <c r="S238">
        <f t="shared" si="383"/>
        <v>206.9591888957782</v>
      </c>
      <c r="T238" s="7">
        <f t="shared" si="384"/>
        <v>0</v>
      </c>
      <c r="U238" s="7">
        <f t="shared" si="385"/>
        <v>0</v>
      </c>
      <c r="AB238" s="39">
        <v>1.0416666666666701</v>
      </c>
      <c r="AC238" s="38">
        <v>-195</v>
      </c>
      <c r="AD238" s="38">
        <f>+DEGREES(ASIN(COS(RADIANS($AE$174))*COS(RADIANS($AD$174))*COS(RADIANS(AC238))+SIN(RADIANS($AE$174))*SIN(RADIANS($AD$174))))</f>
        <v>-57.142026120888822</v>
      </c>
      <c r="AE238" s="38">
        <f>-(180-DEGREES(ACOS((((SIN(RADIANS(AD238)))*SIN(RADIANS($AE$174)))-SIN(RADIANS($AD$174)))/((COS(RADIANS(AD238)))*COS(RADIANS($AE$174))))))</f>
        <v>-28.491120897585517</v>
      </c>
      <c r="AG238">
        <f t="shared" si="386"/>
        <v>9</v>
      </c>
      <c r="AH238">
        <f t="shared" si="387"/>
        <v>180.46609985475277</v>
      </c>
      <c r="AI238" s="7">
        <f t="shared" si="362"/>
        <v>-8.9997022013058103</v>
      </c>
      <c r="AJ238" s="7">
        <f t="shared" si="363"/>
        <v>-7.3213986446225232E-2</v>
      </c>
      <c r="AK238" s="43"/>
    </row>
    <row r="239" spans="1:90" x14ac:dyDescent="0.25">
      <c r="B239" s="39">
        <v>0.66666666666666696</v>
      </c>
      <c r="C239" s="38">
        <v>-60</v>
      </c>
      <c r="D239" s="38">
        <f>+DEGREES(ASIN(COS(RADIANS(E226))*COS(RADIANS(D226))*COS(RADIANS(C239))+SIN(RADIANS(E226))*SIN(RADIANS(D226))))</f>
        <v>26.754289542312229</v>
      </c>
      <c r="E239" s="38">
        <f>-(180-DEGREES(ACOS((((SIN(RADIANS(D239)))*SIN(RADIANS(E226)))-SIN(RADIANS(D226)))/((COS(RADIANS(D239)))*COS(RADIANS(E226))))))</f>
        <v>-104.11018703457104</v>
      </c>
      <c r="G239">
        <f t="shared" si="378"/>
        <v>6.3245710457687769</v>
      </c>
      <c r="H239">
        <f t="shared" si="379"/>
        <v>194.11018703457103</v>
      </c>
      <c r="I239" s="7">
        <f t="shared" si="380"/>
        <v>-6.1337504259796329</v>
      </c>
      <c r="J239" s="7">
        <f t="shared" si="381"/>
        <v>-1.5418510384506769</v>
      </c>
      <c r="M239" s="39">
        <v>0.66666666666666696</v>
      </c>
      <c r="N239" s="38">
        <v>-60</v>
      </c>
      <c r="O239" s="38">
        <f>+DEGREES(ASIN(COS(RADIANS(P226))*COS(RADIANS(O226))*COS(RADIANS(N239))+SIN(RADIANS(P226))*SIN(RADIANS(O226))))</f>
        <v>25.434529047364645</v>
      </c>
      <c r="P239" s="38">
        <f>-(180-DEGREES(ACOS((((SIN(RADIANS(O239)))*SIN(RADIANS(P226)))-SIN(RADIANS(O226)))/((COS(RADIANS(O239)))*COS(RADIANS(P226))))))</f>
        <v>-106.4740194500216</v>
      </c>
      <c r="R239">
        <f t="shared" si="382"/>
        <v>6.4565470952635353</v>
      </c>
      <c r="S239">
        <f t="shared" si="383"/>
        <v>196.47401945002161</v>
      </c>
      <c r="T239" s="7">
        <f t="shared" si="384"/>
        <v>0</v>
      </c>
      <c r="U239" s="7">
        <f t="shared" si="385"/>
        <v>0</v>
      </c>
      <c r="AC239" s="319" t="s">
        <v>89</v>
      </c>
      <c r="AD239" s="319"/>
      <c r="AE239" s="319" t="s">
        <v>98</v>
      </c>
      <c r="AF239" s="319" t="s">
        <v>97</v>
      </c>
      <c r="AG239" s="319" t="s">
        <v>96</v>
      </c>
      <c r="AH239" s="319" t="s">
        <v>95</v>
      </c>
      <c r="AQ239" s="320">
        <v>4.1666666666666664E-2</v>
      </c>
      <c r="AR239" s="321"/>
      <c r="AS239" s="320">
        <v>8.3333333333333301E-2</v>
      </c>
      <c r="AT239" s="321"/>
      <c r="AU239" s="320">
        <v>0.125</v>
      </c>
      <c r="AV239" s="321"/>
      <c r="AW239" s="320">
        <v>0.16666666666666699</v>
      </c>
      <c r="AX239" s="321"/>
      <c r="AY239" s="320">
        <v>0.20833333333333301</v>
      </c>
      <c r="AZ239" s="321"/>
      <c r="BA239" s="320">
        <v>0.25</v>
      </c>
      <c r="BB239" s="321"/>
      <c r="BC239" s="320">
        <v>0.29166666666666702</v>
      </c>
      <c r="BD239" s="321"/>
      <c r="BE239" s="320">
        <v>0.33333333333333298</v>
      </c>
      <c r="BF239" s="321"/>
      <c r="BG239" s="320">
        <v>0.375</v>
      </c>
      <c r="BH239" s="321"/>
      <c r="BI239" s="320">
        <v>0.41666666666666702</v>
      </c>
      <c r="BJ239" s="321"/>
      <c r="BK239" s="320">
        <v>0.45833333333333298</v>
      </c>
      <c r="BL239" s="321"/>
      <c r="BM239" s="320">
        <v>0.5</v>
      </c>
      <c r="BN239" s="321"/>
      <c r="BO239" s="320">
        <v>0.5</v>
      </c>
      <c r="BP239" s="321"/>
      <c r="BQ239" s="320">
        <v>0.54166666666666696</v>
      </c>
      <c r="BR239" s="321"/>
      <c r="BS239" s="320">
        <v>0.58333333333333404</v>
      </c>
      <c r="BT239" s="321"/>
      <c r="BU239" s="320">
        <v>0.625000000000001</v>
      </c>
      <c r="BV239" s="321"/>
      <c r="BW239" s="320">
        <v>0.66666666666666796</v>
      </c>
      <c r="BX239" s="321"/>
      <c r="BY239" s="320">
        <v>0.70833333333333504</v>
      </c>
      <c r="BZ239" s="321"/>
      <c r="CA239" s="320">
        <v>0.750000000000002</v>
      </c>
      <c r="CB239" s="321"/>
      <c r="CC239" s="320">
        <v>0.79166666666666896</v>
      </c>
      <c r="CD239" s="321"/>
      <c r="CE239" s="320">
        <v>0.83333333333333703</v>
      </c>
      <c r="CF239" s="321"/>
      <c r="CG239" s="320">
        <v>0.875000000000004</v>
      </c>
      <c r="CH239" s="321"/>
      <c r="CI239" s="320">
        <v>0.91666666666666996</v>
      </c>
      <c r="CJ239" s="321"/>
      <c r="CK239" s="320">
        <v>0.95833333333333703</v>
      </c>
      <c r="CL239" s="321"/>
    </row>
    <row r="240" spans="1:90" x14ac:dyDescent="0.25">
      <c r="B240" s="39">
        <v>0.70833333333333404</v>
      </c>
      <c r="C240">
        <v>-75</v>
      </c>
      <c r="D240" s="38">
        <f>+DEGREES(ASIN(COS(RADIANS(E226))*COS(RADIANS(D226))*COS(RADIANS(C240))+SIN(RADIANS(E226))*SIN(RADIANS(D226))))</f>
        <v>13.390496061053557</v>
      </c>
      <c r="E240" s="38">
        <f>-(180-DEGREES(ACOS((((SIN(RADIANS(D240)))*SIN(RADIANS(E226)))-SIN(RADIANS(D226)))/((COS(RADIANS(D240)))*COS(RADIANS(E226))))))</f>
        <v>-96.834333575565424</v>
      </c>
      <c r="G240">
        <f t="shared" si="378"/>
        <v>7.6609503938946446</v>
      </c>
      <c r="H240">
        <f t="shared" si="379"/>
        <v>186.83433357556544</v>
      </c>
      <c r="I240" s="7">
        <f t="shared" si="380"/>
        <v>-7.6065145774372969</v>
      </c>
      <c r="J240" s="7">
        <f t="shared" si="381"/>
        <v>-0.91164517272259915</v>
      </c>
      <c r="M240" s="39">
        <v>0.70833333333333404</v>
      </c>
      <c r="N240">
        <v>-75</v>
      </c>
      <c r="O240" s="38">
        <f>+DEGREES(ASIN(COS(RADIANS(P226))*COS(RADIANS(O226))*COS(RADIANS(N240))+SIN(RADIANS(P226))*SIN(RADIANS(O226))))</f>
        <v>12.745204221314955</v>
      </c>
      <c r="P240" s="38">
        <f>-(180-DEGREES(ACOS((((SIN(RADIANS(O240)))*SIN(RADIANS(P226)))-SIN(RADIANS(O226)))/((COS(RADIANS(O240)))*COS(RADIANS(P226))))))</f>
        <v>-97.985970411644061</v>
      </c>
      <c r="R240">
        <f t="shared" si="382"/>
        <v>7.725479577868505</v>
      </c>
      <c r="S240">
        <f t="shared" si="383"/>
        <v>187.98597041164408</v>
      </c>
      <c r="T240" s="7">
        <f t="shared" si="384"/>
        <v>0</v>
      </c>
      <c r="U240" s="7">
        <f t="shared" si="385"/>
        <v>0</v>
      </c>
      <c r="AC240" s="319"/>
      <c r="AD240" s="319"/>
      <c r="AE240" s="319"/>
      <c r="AF240" s="319"/>
      <c r="AG240" s="319"/>
      <c r="AH240" s="319"/>
      <c r="AQ240" s="315"/>
      <c r="AR240" s="315"/>
      <c r="AS240" s="315"/>
      <c r="AT240" s="315"/>
      <c r="AU240" s="315"/>
      <c r="AV240" s="315"/>
      <c r="AW240" s="315"/>
      <c r="AX240" s="315"/>
      <c r="AY240" s="315"/>
      <c r="AZ240" s="315"/>
      <c r="BA240" s="315"/>
      <c r="BB240" s="315"/>
      <c r="BC240" s="315"/>
      <c r="BD240" s="315"/>
      <c r="BE240" s="315"/>
      <c r="BF240" s="315"/>
      <c r="BG240" s="315"/>
      <c r="BH240" s="315"/>
      <c r="BI240" s="315"/>
      <c r="BJ240" s="315"/>
      <c r="BK240" s="315"/>
      <c r="BL240" s="315"/>
      <c r="BM240" s="315"/>
      <c r="BN240" s="315"/>
      <c r="BO240" s="315"/>
      <c r="BP240" s="315"/>
      <c r="BQ240" s="315"/>
      <c r="BR240" s="315"/>
      <c r="BS240" s="315"/>
      <c r="BT240" s="315"/>
      <c r="BU240" s="315"/>
      <c r="BV240" s="315"/>
      <c r="BW240" s="315"/>
      <c r="BX240" s="315"/>
      <c r="BY240" s="315"/>
      <c r="BZ240" s="315"/>
      <c r="CA240" s="315"/>
      <c r="CB240" s="315"/>
      <c r="CC240" s="315"/>
      <c r="CD240" s="315"/>
      <c r="CE240" s="315"/>
      <c r="CF240" s="315"/>
      <c r="CG240" s="315"/>
      <c r="CH240" s="315"/>
      <c r="CI240" s="315"/>
      <c r="CJ240" s="315"/>
      <c r="CK240" s="315"/>
      <c r="CL240" s="315"/>
    </row>
    <row r="241" spans="1:90" x14ac:dyDescent="0.25">
      <c r="B241" s="39">
        <v>0.75</v>
      </c>
      <c r="C241" s="38">
        <v>-90</v>
      </c>
      <c r="D241" s="38">
        <f>+DEGREES(ASIN(COS(RADIANS(E226))*COS(RADIANS(D226))*COS(RADIANS(C241))+SIN(RADIANS(E226))*SIN(RADIANS(D226))))</f>
        <v>-0.17059005539206051</v>
      </c>
      <c r="E241" s="38">
        <f>-(180-DEGREES(ACOS((((SIN(RADIANS(D241)))*SIN(RADIANS(E226)))-SIN(RADIANS(D226)))/((COS(RADIANS(D241)))*COS(RADIANS(E226))))))</f>
        <v>-90.365835121110862</v>
      </c>
      <c r="G241">
        <f t="shared" si="378"/>
        <v>9.0170590055392061</v>
      </c>
      <c r="H241">
        <f t="shared" si="379"/>
        <v>180.36583512111088</v>
      </c>
      <c r="I241" s="7">
        <f t="shared" si="380"/>
        <v>-9.0168751998419374</v>
      </c>
      <c r="J241" s="7">
        <f t="shared" si="381"/>
        <v>-5.7573777460843564E-2</v>
      </c>
      <c r="M241" s="39">
        <v>0.75</v>
      </c>
      <c r="N241" s="38">
        <v>-90</v>
      </c>
      <c r="O241" s="38">
        <f>+DEGREES(ASIN(COS(RADIANS(P226))*COS(RADIANS(O226))*COS(RADIANS(N241))+SIN(RADIANS(P226))*SIN(RADIANS(O226))))</f>
        <v>-0.20182534876289174</v>
      </c>
      <c r="P241" s="38">
        <f>-(180-DEGREES(ACOS((((SIN(RADIANS(O241)))*SIN(RADIANS(P226)))-SIN(RADIANS(O226)))/((COS(RADIANS(O241)))*COS(RADIANS(P226))))))</f>
        <v>-90.349575372991453</v>
      </c>
      <c r="R241">
        <f t="shared" si="382"/>
        <v>9.0201825348762892</v>
      </c>
      <c r="S241">
        <f t="shared" si="383"/>
        <v>180.34957537299147</v>
      </c>
      <c r="T241" s="7">
        <f t="shared" si="384"/>
        <v>0</v>
      </c>
      <c r="U241" s="7">
        <f t="shared" si="385"/>
        <v>0</v>
      </c>
      <c r="Z241" s="42"/>
      <c r="AB241" s="39">
        <v>0.25</v>
      </c>
      <c r="AC241">
        <v>9</v>
      </c>
      <c r="AD241">
        <f t="shared" ref="AD241:AD265" si="388">+$AH$172</f>
        <v>0</v>
      </c>
      <c r="AE241" s="7">
        <f t="shared" ref="AE241:AE272" si="389">+AF241</f>
        <v>9.0200146465970548</v>
      </c>
      <c r="AF241">
        <f t="shared" ref="AF241:AF272" si="390">+AI183</f>
        <v>9.0200146465970548</v>
      </c>
      <c r="AG241" s="7">
        <f t="shared" ref="AG241:AG272" si="391">+AC241*SIN(RADIANS(AD241))</f>
        <v>0</v>
      </c>
      <c r="AH241">
        <f t="shared" ref="AH241:AH272" si="392">+AJ183</f>
        <v>-5.503396825473867E-2</v>
      </c>
      <c r="AQ241" s="315"/>
      <c r="AR241" s="315"/>
      <c r="AS241" s="315"/>
      <c r="AT241" s="315"/>
      <c r="AU241" s="315"/>
      <c r="AV241" s="315"/>
      <c r="AW241" s="315"/>
      <c r="AX241" s="315"/>
      <c r="AY241" s="315"/>
      <c r="AZ241" s="315"/>
      <c r="BA241" s="315"/>
      <c r="BB241" s="315"/>
      <c r="BC241" s="315"/>
      <c r="BD241" s="315"/>
      <c r="BE241" s="315"/>
      <c r="BF241" s="315"/>
      <c r="BG241" s="315"/>
      <c r="BH241" s="315"/>
      <c r="BI241" s="315"/>
      <c r="BJ241" s="315"/>
      <c r="BK241" s="315"/>
      <c r="BL241" s="315"/>
      <c r="BM241" s="315"/>
      <c r="BN241" s="315"/>
      <c r="BO241" s="315"/>
      <c r="BP241" s="315"/>
      <c r="BQ241" s="315"/>
      <c r="BR241" s="315"/>
      <c r="BS241" s="315"/>
      <c r="BT241" s="315"/>
      <c r="BU241" s="315"/>
      <c r="BV241" s="315"/>
      <c r="BW241" s="315"/>
      <c r="BX241" s="315"/>
      <c r="BY241" s="315"/>
      <c r="BZ241" s="315"/>
      <c r="CA241" s="315"/>
      <c r="CB241" s="315"/>
      <c r="CC241" s="315"/>
      <c r="CD241" s="315"/>
      <c r="CE241" s="315"/>
      <c r="CF241" s="315"/>
      <c r="CG241" s="315"/>
      <c r="CH241" s="315"/>
      <c r="CI241" s="315"/>
      <c r="CJ241" s="315"/>
      <c r="CK241" s="315"/>
      <c r="CL241" s="315"/>
    </row>
    <row r="242" spans="1:90" x14ac:dyDescent="0.25">
      <c r="AA242">
        <v>1</v>
      </c>
      <c r="AB242" s="39">
        <v>0.26041666666666669</v>
      </c>
      <c r="AC242">
        <f t="shared" ref="AC242:AC265" si="393">+AC241-9/24</f>
        <v>8.625</v>
      </c>
      <c r="AD242">
        <f t="shared" si="388"/>
        <v>0</v>
      </c>
      <c r="AE242" s="7">
        <f t="shared" si="389"/>
        <v>8.6889526008258624</v>
      </c>
      <c r="AF242">
        <f t="shared" si="390"/>
        <v>8.6889526008258624</v>
      </c>
      <c r="AG242" s="7">
        <f t="shared" si="391"/>
        <v>0</v>
      </c>
      <c r="AH242">
        <f t="shared" si="392"/>
        <v>-0.33787982533866967</v>
      </c>
      <c r="AI242">
        <v>1</v>
      </c>
      <c r="AP242" t="s">
        <v>67</v>
      </c>
      <c r="AQ242">
        <f>+BI214</f>
        <v>0</v>
      </c>
      <c r="AR242">
        <f>+BJ214</f>
        <v>116.57086830691144</v>
      </c>
      <c r="AS242">
        <f>+BI215</f>
        <v>0</v>
      </c>
      <c r="AT242">
        <f>+BJ215</f>
        <v>116.57086830691144</v>
      </c>
      <c r="AU242">
        <f>+BI216</f>
        <v>0</v>
      </c>
      <c r="AV242">
        <f>+BJ216</f>
        <v>116.57086830691144</v>
      </c>
      <c r="AW242">
        <f>+BI217</f>
        <v>0</v>
      </c>
      <c r="AX242">
        <f>+BJ217</f>
        <v>116.57086830691144</v>
      </c>
      <c r="AY242">
        <f>+BI218</f>
        <v>0</v>
      </c>
      <c r="AZ242">
        <f>+BJ218</f>
        <v>116.57086830691144</v>
      </c>
      <c r="BA242">
        <f>+BI219</f>
        <v>0</v>
      </c>
      <c r="BB242">
        <f>+BJ219</f>
        <v>116.57086830691144</v>
      </c>
      <c r="BC242">
        <f>+BI220</f>
        <v>1.0425877010819102</v>
      </c>
      <c r="BD242">
        <f>+BJ220</f>
        <v>117.22586297915178</v>
      </c>
      <c r="BE242">
        <f>+BI221</f>
        <v>12.251377298592953</v>
      </c>
      <c r="BF242">
        <f>+BJ221</f>
        <v>125.34452095224731</v>
      </c>
      <c r="BG242">
        <f>+BI222</f>
        <v>22.259218825541542</v>
      </c>
      <c r="BH242">
        <f>+BJ222</f>
        <v>135.31204694577815</v>
      </c>
      <c r="BI242">
        <f>+BI223</f>
        <v>30.439709654260056</v>
      </c>
      <c r="BJ242">
        <f>+BJ223</f>
        <v>147.73819825211658</v>
      </c>
      <c r="BK242">
        <f>+BI224</f>
        <v>35.943781380086349</v>
      </c>
      <c r="BL242">
        <f>+BJ224</f>
        <v>162.88737099929463</v>
      </c>
      <c r="BM242">
        <f>+BI225</f>
        <v>37.908363272130764</v>
      </c>
      <c r="BN242">
        <f>+BJ225</f>
        <v>180</v>
      </c>
      <c r="BO242">
        <f>+BI226</f>
        <v>37.908363272130764</v>
      </c>
      <c r="BP242">
        <f>+BJ226</f>
        <v>180</v>
      </c>
      <c r="BQ242">
        <f>+BI227</f>
        <v>35.943781380086349</v>
      </c>
      <c r="BR242">
        <f>+BJ227</f>
        <v>197.11262900070537</v>
      </c>
      <c r="BS242">
        <f>+BI228</f>
        <v>30.439709654260056</v>
      </c>
      <c r="BT242">
        <f>+BJ228</f>
        <v>212.26180174788342</v>
      </c>
      <c r="BU242">
        <f>+BI229</f>
        <v>22.259218825541542</v>
      </c>
      <c r="BV242">
        <f>+BJ229</f>
        <v>224.68795305422185</v>
      </c>
      <c r="BW242">
        <f>+BI230</f>
        <v>12.251377298592953</v>
      </c>
      <c r="BX242">
        <f>+BJ230</f>
        <v>234.65547904775269</v>
      </c>
      <c r="BY242">
        <f>+BI231</f>
        <v>1.0425877010819102</v>
      </c>
      <c r="BZ242">
        <f>+BJ231</f>
        <v>242.77413702084823</v>
      </c>
      <c r="CA242">
        <f>+BI232</f>
        <v>0</v>
      </c>
      <c r="CB242">
        <f>+BJ232</f>
        <v>243.42913169308855</v>
      </c>
      <c r="CC242">
        <f>+BI233</f>
        <v>0</v>
      </c>
      <c r="CD242">
        <f>+BJ233</f>
        <v>243.42913169308855</v>
      </c>
      <c r="CE242">
        <f>+BI234</f>
        <v>0</v>
      </c>
      <c r="CF242">
        <f>+BJ234</f>
        <v>243.42913169308855</v>
      </c>
      <c r="CG242">
        <f>+BI235</f>
        <v>0</v>
      </c>
      <c r="CH242">
        <f>+BJ235</f>
        <v>243.42913169308855</v>
      </c>
      <c r="CI242">
        <f>+BI236</f>
        <v>0</v>
      </c>
      <c r="CJ242">
        <f>+BJ236</f>
        <v>243.42913169308855</v>
      </c>
      <c r="CK242">
        <f>+BI237</f>
        <v>0</v>
      </c>
      <c r="CL242">
        <f>+BJ237</f>
        <v>243.42913169308855</v>
      </c>
    </row>
    <row r="243" spans="1:90" x14ac:dyDescent="0.25">
      <c r="AB243" s="39">
        <v>0.27083333333333298</v>
      </c>
      <c r="AC243">
        <f t="shared" si="393"/>
        <v>8.25</v>
      </c>
      <c r="AD243">
        <f t="shared" si="388"/>
        <v>0</v>
      </c>
      <c r="AE243" s="7">
        <f t="shared" si="389"/>
        <v>8.3496692635520056</v>
      </c>
      <c r="AF243">
        <f t="shared" si="390"/>
        <v>8.3496692635520056</v>
      </c>
      <c r="AG243" s="7">
        <f t="shared" si="391"/>
        <v>0</v>
      </c>
      <c r="AH243">
        <f t="shared" si="392"/>
        <v>-0.60101097847750606</v>
      </c>
      <c r="AP243" t="s">
        <v>53</v>
      </c>
      <c r="AQ243">
        <f>+AQ214</f>
        <v>0</v>
      </c>
      <c r="AR243">
        <f>+AR214</f>
        <v>110.14480796075449</v>
      </c>
      <c r="AS243">
        <f>+AQ215</f>
        <v>0</v>
      </c>
      <c r="AT243">
        <f>+AR215</f>
        <v>110.14480796075449</v>
      </c>
      <c r="AU243">
        <f>+AQ216</f>
        <v>0</v>
      </c>
      <c r="AV243">
        <f>+AR216</f>
        <v>110.14480796075449</v>
      </c>
      <c r="AW243">
        <f>+AQ217</f>
        <v>0</v>
      </c>
      <c r="AX243">
        <f>+AR217</f>
        <v>110.14480796075449</v>
      </c>
      <c r="AY243">
        <f>+AQ218</f>
        <v>0</v>
      </c>
      <c r="AZ243">
        <f>+AR218</f>
        <v>110.14480796075449</v>
      </c>
      <c r="BA243">
        <f>+AQ219</f>
        <v>0</v>
      </c>
      <c r="BB243">
        <f>+AR219</f>
        <v>110.14480796075449</v>
      </c>
      <c r="BC243">
        <f>+AQ220</f>
        <v>3.9806023907424599</v>
      </c>
      <c r="BD243">
        <f>+AR220</f>
        <v>112.5771078319798</v>
      </c>
      <c r="BE243">
        <f>+AQ221</f>
        <v>15.689450108647346</v>
      </c>
      <c r="BF243">
        <f>+AR221</f>
        <v>120.92625519511847</v>
      </c>
      <c r="BG243">
        <f>+AQ222</f>
        <v>26.297342212361595</v>
      </c>
      <c r="BH243">
        <f>+AR222</f>
        <v>131.22199491730089</v>
      </c>
      <c r="BI243">
        <f>+AQ223</f>
        <v>35.132915612826856</v>
      </c>
      <c r="BJ243">
        <f>+AR223</f>
        <v>144.33588641082156</v>
      </c>
      <c r="BK243">
        <f>+AQ224</f>
        <v>41.203386965463082</v>
      </c>
      <c r="BL243">
        <f>+AR224</f>
        <v>160.84947792309023</v>
      </c>
      <c r="BM243">
        <f>+AQ225</f>
        <v>43.40350454351578</v>
      </c>
      <c r="BN243">
        <f>+AR225</f>
        <v>180</v>
      </c>
      <c r="BO243">
        <f>+AQ226</f>
        <v>43.40350454351578</v>
      </c>
      <c r="BP243">
        <f>+AR226</f>
        <v>180</v>
      </c>
      <c r="BQ243">
        <f>+AQ227</f>
        <v>41.203386965463082</v>
      </c>
      <c r="BR243">
        <f>+AR227</f>
        <v>199.15052207690977</v>
      </c>
      <c r="BS243">
        <f>+AQ228</f>
        <v>35.132915612826856</v>
      </c>
      <c r="BT243">
        <f>+AR228</f>
        <v>215.66411358917844</v>
      </c>
      <c r="BU243">
        <f>+AQ229</f>
        <v>26.297342212361595</v>
      </c>
      <c r="BV243">
        <f>+AR229</f>
        <v>228.77800508269911</v>
      </c>
      <c r="BW243">
        <f>+AQ230</f>
        <v>15.689450108647346</v>
      </c>
      <c r="BX243">
        <f>+AR230</f>
        <v>239.07374480488153</v>
      </c>
      <c r="BY243">
        <f>+AQ231</f>
        <v>3.9806023907424599</v>
      </c>
      <c r="BZ243">
        <f>+AR231</f>
        <v>247.42289216802021</v>
      </c>
      <c r="CA243">
        <f>+AQ232</f>
        <v>0</v>
      </c>
      <c r="CB243">
        <f>+AR232</f>
        <v>249.85519203924551</v>
      </c>
      <c r="CC243">
        <f>+AQ233</f>
        <v>0</v>
      </c>
      <c r="CD243">
        <f>+AR233</f>
        <v>249.85519203924551</v>
      </c>
      <c r="CE243">
        <f>+AQ234</f>
        <v>0</v>
      </c>
      <c r="CF243">
        <f>+AR234</f>
        <v>249.85519203924551</v>
      </c>
      <c r="CG243">
        <f>+AQ235</f>
        <v>0</v>
      </c>
      <c r="CH243">
        <f>+AR235</f>
        <v>249.85519203924551</v>
      </c>
      <c r="CI243">
        <f>+AQ236</f>
        <v>0</v>
      </c>
      <c r="CJ243">
        <f>+AR236</f>
        <v>249.85519203924551</v>
      </c>
      <c r="CK243">
        <f>+AQ237</f>
        <v>0</v>
      </c>
      <c r="CL243">
        <f>+AR237</f>
        <v>249.85519203924551</v>
      </c>
    </row>
    <row r="244" spans="1:90" x14ac:dyDescent="0.25">
      <c r="A244" s="41" t="s">
        <v>92</v>
      </c>
      <c r="B244" s="41">
        <v>21</v>
      </c>
      <c r="C244" s="315"/>
      <c r="D244" s="315"/>
      <c r="E244" s="316"/>
      <c r="L244" s="41" t="s">
        <v>92</v>
      </c>
      <c r="M244" s="41">
        <v>21</v>
      </c>
      <c r="N244" s="315"/>
      <c r="O244" s="315"/>
      <c r="P244" s="316"/>
      <c r="AA244">
        <v>2</v>
      </c>
      <c r="AB244" s="39">
        <v>0.28125</v>
      </c>
      <c r="AC244">
        <f t="shared" si="393"/>
        <v>7.875</v>
      </c>
      <c r="AD244">
        <f t="shared" si="388"/>
        <v>0</v>
      </c>
      <c r="AE244" s="7">
        <f t="shared" si="389"/>
        <v>8.0032344718920641</v>
      </c>
      <c r="AF244">
        <f t="shared" si="390"/>
        <v>8.0032344718920641</v>
      </c>
      <c r="AG244" s="7">
        <f t="shared" si="391"/>
        <v>0</v>
      </c>
      <c r="AH244">
        <f t="shared" si="392"/>
        <v>-0.84575806943707621</v>
      </c>
      <c r="AI244">
        <v>2</v>
      </c>
      <c r="AP244" t="s">
        <v>57</v>
      </c>
      <c r="AQ244">
        <f>+AT214</f>
        <v>0</v>
      </c>
      <c r="AR244">
        <f>+AU214</f>
        <v>99.500362928216276</v>
      </c>
      <c r="AS244">
        <f>+AT215</f>
        <v>0</v>
      </c>
      <c r="AT244">
        <f>+AU215</f>
        <v>99.500362928216276</v>
      </c>
      <c r="AU244">
        <f>+AT216</f>
        <v>0</v>
      </c>
      <c r="AV244">
        <f>+AU216</f>
        <v>99.500362928216276</v>
      </c>
      <c r="AW244">
        <f>+AT217</f>
        <v>0</v>
      </c>
      <c r="AX244">
        <f>+AU217</f>
        <v>99.500362928216276</v>
      </c>
      <c r="AY244">
        <f>+AT218</f>
        <v>0</v>
      </c>
      <c r="AZ244">
        <f>+AU218</f>
        <v>99.500362928216276</v>
      </c>
      <c r="BA244">
        <f>+AT219</f>
        <v>0</v>
      </c>
      <c r="BB244">
        <f>+AU219</f>
        <v>99.500362928216276</v>
      </c>
      <c r="BC244">
        <f>+AT220</f>
        <v>8.8424843209748119</v>
      </c>
      <c r="BD244">
        <f>+AU220</f>
        <v>104.68802822282147</v>
      </c>
      <c r="BE244">
        <f>+AT221</f>
        <v>21.241041758651765</v>
      </c>
      <c r="BF244">
        <f>+AU221</f>
        <v>113.15708853016723</v>
      </c>
      <c r="BG244">
        <f>+AT222</f>
        <v>32.778902474630826</v>
      </c>
      <c r="BH244">
        <f>+AU222</f>
        <v>123.67138966374844</v>
      </c>
      <c r="BI244">
        <f>+AT223</f>
        <v>42.752422426604682</v>
      </c>
      <c r="BJ244">
        <f>+AU223</f>
        <v>137.63858177436344</v>
      </c>
      <c r="BK244">
        <f>+AT224</f>
        <v>49.927090631227195</v>
      </c>
      <c r="BL244">
        <f>+AU224</f>
        <v>156.55697888534539</v>
      </c>
      <c r="BM244">
        <f>+AT225</f>
        <v>52.626294934964093</v>
      </c>
      <c r="BN244">
        <f>+AU225</f>
        <v>180</v>
      </c>
      <c r="BO244">
        <f>+AT226</f>
        <v>52.626294934964093</v>
      </c>
      <c r="BP244">
        <f>+AU226</f>
        <v>180</v>
      </c>
      <c r="BQ244">
        <f>+AT227</f>
        <v>49.927090631227195</v>
      </c>
      <c r="BR244">
        <f>+AU227</f>
        <v>203.44302111465461</v>
      </c>
      <c r="BS244">
        <f>+AT228</f>
        <v>42.752422426604682</v>
      </c>
      <c r="BT244">
        <f>+AU228</f>
        <v>222.36141822563656</v>
      </c>
      <c r="BU244">
        <f>+AT229</f>
        <v>32.778902474630826</v>
      </c>
      <c r="BV244">
        <f>+AU229</f>
        <v>236.32861033625156</v>
      </c>
      <c r="BW244">
        <f>+AT230</f>
        <v>21.241041758651765</v>
      </c>
      <c r="BX244">
        <f>+AU230</f>
        <v>246.84291146983276</v>
      </c>
      <c r="BY244">
        <f>+AT231</f>
        <v>8.8424843209748119</v>
      </c>
      <c r="BZ244">
        <f>+AU231</f>
        <v>255.31197177717854</v>
      </c>
      <c r="CA244">
        <f>+AT232</f>
        <v>0</v>
      </c>
      <c r="CB244">
        <f>+AU232</f>
        <v>260.4996370717837</v>
      </c>
      <c r="CC244">
        <f>+AT233</f>
        <v>0</v>
      </c>
      <c r="CD244">
        <f>+AU233</f>
        <v>260.4996370717837</v>
      </c>
      <c r="CE244">
        <f>+AT234</f>
        <v>0</v>
      </c>
      <c r="CF244">
        <f>+AU234</f>
        <v>260.4996370717837</v>
      </c>
      <c r="CG244">
        <f>+AT235</f>
        <v>0</v>
      </c>
      <c r="CH244">
        <f>+AU235</f>
        <v>260.4996370717837</v>
      </c>
      <c r="CI244">
        <f>+AT236</f>
        <v>0</v>
      </c>
      <c r="CJ244">
        <f>+AU236</f>
        <v>260.4996370717837</v>
      </c>
      <c r="CK244">
        <f>+AT237</f>
        <v>0</v>
      </c>
      <c r="CL244">
        <f>+AU237</f>
        <v>260.4996370717837</v>
      </c>
    </row>
    <row r="245" spans="1:90" x14ac:dyDescent="0.25">
      <c r="A245" s="41" t="s">
        <v>91</v>
      </c>
      <c r="B245" s="41">
        <v>3</v>
      </c>
      <c r="C245" s="315"/>
      <c r="D245" s="315"/>
      <c r="E245" s="316"/>
      <c r="K245" s="35"/>
      <c r="L245" s="41" t="s">
        <v>91</v>
      </c>
      <c r="M245" s="41">
        <v>3</v>
      </c>
      <c r="N245" s="315"/>
      <c r="O245" s="315"/>
      <c r="P245" s="316"/>
      <c r="AB245" s="39">
        <v>0.29166666666666702</v>
      </c>
      <c r="AC245">
        <f t="shared" si="393"/>
        <v>7.5</v>
      </c>
      <c r="AD245">
        <f t="shared" si="388"/>
        <v>0</v>
      </c>
      <c r="AE245" s="7">
        <f t="shared" si="389"/>
        <v>7.6505587833444721</v>
      </c>
      <c r="AF245">
        <f t="shared" si="390"/>
        <v>7.6505587833444721</v>
      </c>
      <c r="AG245" s="7">
        <f t="shared" si="391"/>
        <v>0</v>
      </c>
      <c r="AH245">
        <f t="shared" si="392"/>
        <v>-1.0733056464279307</v>
      </c>
      <c r="AP245" t="s">
        <v>58</v>
      </c>
      <c r="AQ245">
        <f>+AW214</f>
        <v>0</v>
      </c>
      <c r="AR245">
        <f>+AX214</f>
        <v>85.402618331677971</v>
      </c>
      <c r="AS245">
        <f>+AW215</f>
        <v>0</v>
      </c>
      <c r="AT245">
        <f>+AX215</f>
        <v>85.402618331677971</v>
      </c>
      <c r="AU245">
        <f>+AW216</f>
        <v>0</v>
      </c>
      <c r="AV245">
        <f>+AX216</f>
        <v>85.402618331677971</v>
      </c>
      <c r="AW245">
        <f>+AW217</f>
        <v>0</v>
      </c>
      <c r="AX245">
        <f>+AX217</f>
        <v>85.402618331677971</v>
      </c>
      <c r="AY245">
        <f>+AW218</f>
        <v>0</v>
      </c>
      <c r="AZ245">
        <f>+AX218</f>
        <v>85.402618331677971</v>
      </c>
      <c r="BA245">
        <f>+AW219</f>
        <v>1.9510766725967672</v>
      </c>
      <c r="BB245">
        <f>+AX219</f>
        <v>86.488170658290201</v>
      </c>
      <c r="BC245">
        <f>+AW220</f>
        <v>15.051271742006362</v>
      </c>
      <c r="BD245">
        <f>+AX220</f>
        <v>93.815787356682009</v>
      </c>
      <c r="BE245">
        <f>+AW221</f>
        <v>28.03064132064042</v>
      </c>
      <c r="BF245">
        <f>+AX221</f>
        <v>101.84583698554694</v>
      </c>
      <c r="BG245">
        <f>+AW222</f>
        <v>40.579187314260722</v>
      </c>
      <c r="BH245">
        <f>+AX222</f>
        <v>111.76387408261022</v>
      </c>
      <c r="BI245">
        <f>+AW223</f>
        <v>52.096153918797427</v>
      </c>
      <c r="BJ245">
        <f>+AX223</f>
        <v>125.71951693085082</v>
      </c>
      <c r="BK245">
        <f>+AW224</f>
        <v>61.179653601104718</v>
      </c>
      <c r="BL245">
        <f>+AX224</f>
        <v>147.61688935411229</v>
      </c>
      <c r="BM245">
        <f>+AW225</f>
        <v>64.936824231055681</v>
      </c>
      <c r="BN245">
        <f>+AX225</f>
        <v>180</v>
      </c>
      <c r="BO245">
        <f>+AW226</f>
        <v>64.936824231055681</v>
      </c>
      <c r="BP245">
        <f>+AX226</f>
        <v>180</v>
      </c>
      <c r="BQ245">
        <f>+AW227</f>
        <v>61.179653601104718</v>
      </c>
      <c r="BR245">
        <f>+AX227</f>
        <v>212.38311064588771</v>
      </c>
      <c r="BS245">
        <f>+AW228</f>
        <v>52.096153918797427</v>
      </c>
      <c r="BT245">
        <f>+AX228</f>
        <v>234.28048306914917</v>
      </c>
      <c r="BU245">
        <f>+AW229</f>
        <v>40.579187314260722</v>
      </c>
      <c r="BV245">
        <f>+AX229</f>
        <v>248.23612591738978</v>
      </c>
      <c r="BW245">
        <f>+AW230</f>
        <v>28.03064132064042</v>
      </c>
      <c r="BX245">
        <f>+AX230</f>
        <v>258.15416301445305</v>
      </c>
      <c r="BY245">
        <f>+AW231</f>
        <v>15.051271742006362</v>
      </c>
      <c r="BZ245">
        <f>+AX231</f>
        <v>266.18421264331801</v>
      </c>
      <c r="CA245">
        <f>+AW232</f>
        <v>1.9510766725967672</v>
      </c>
      <c r="CB245">
        <f>+AX232</f>
        <v>273.51182934170981</v>
      </c>
      <c r="CC245">
        <f>+AW233</f>
        <v>0</v>
      </c>
      <c r="CD245">
        <f>+AX233</f>
        <v>274.59738166832204</v>
      </c>
      <c r="CE245">
        <f>+AW234</f>
        <v>0</v>
      </c>
      <c r="CF245">
        <f>+AX234</f>
        <v>274.59738166832204</v>
      </c>
      <c r="CG245">
        <f>+AW235</f>
        <v>0</v>
      </c>
      <c r="CH245">
        <f>+AX235</f>
        <v>274.59738166832204</v>
      </c>
      <c r="CI245">
        <f>+AW236</f>
        <v>0</v>
      </c>
      <c r="CJ245">
        <f>+AX236</f>
        <v>274.59738166832204</v>
      </c>
      <c r="CK245">
        <f>+AW237</f>
        <v>0</v>
      </c>
      <c r="CL245">
        <f>+AX237</f>
        <v>274.59738166832204</v>
      </c>
    </row>
    <row r="246" spans="1:90" x14ac:dyDescent="0.25">
      <c r="C246" s="32">
        <f>+IF(B245=$AI$63,B244,IF(B245=$AJ$63,$AI$64+B244,IF(B245=$AK$63,$AI$64+$AJ$64+B244,IF(B245=$AL$63,$AI$64+$AJ$64+$AK$64+B244,IF(B245=$AM$63,$AI$64+$AJ$64+$AK$64+$AL$64+B244,IF(B245=$AN$63,$AI$64+$AJ$64+$AK$64+$AL$64+$AM$64+B244,IF(B245=$AO$63,$AI$64+$AJ$64+$AK$64+$AL$64+$AM$64+$AN$64+B244,IF(B245=$AP$63,$AI$64+$AJ$64+$AK$64+$AL$64+$AM$64+$AN$64+$AO$64+B244,IF(B245=$AQ$63,$AI$64+$AJ$64+$AK$64+$AL$64+$AM$64+$AN$64+$AO$64+$AP$64+B244,IF(B245=$AR$63,$AI$64+$AJ$64+$AK$64+$AL$64+$AM$64+$AN$64+$AO$64+$AP$64+$AQ$64+B244,IF(B245=$AS$63,$AI$64+$AJ$64+$AK$64+$AL$64+$AM$64+$AN$64+$AO$64+$AP$64+$AQ$64+$AR$64+B244,IF(B245=$AT$63,$AI$64+$AJ$64+$AK$64+$AL$64+$AM$64+$AN$64+$AO$64+$AP$64+$AQ$64+$AR$64+$AS$64+B244,"error"))))))))))))</f>
        <v>80</v>
      </c>
      <c r="D246" s="38">
        <f>23.45*SIN(RADIANS(360*((284+C246)/365)))</f>
        <v>-0.40365320185431652</v>
      </c>
      <c r="E246" s="41">
        <v>35</v>
      </c>
      <c r="K246" s="35"/>
      <c r="N246" s="32">
        <f>+IF(M245=$AI$63,M244,IF(M245=$AJ$63,$AI$64+M244,IF(M245=$AK$63,$AI$64+$AJ$64+M244,IF(M245=$AL$63,$AI$64+$AJ$64+$AK$64+M244,IF(M245=$AM$63,$AI$64+$AJ$64+$AK$64+$AL$64+M244,IF(M245=$AN$63,$AI$64+$AJ$64+$AK$64+$AL$64+$AM$64+M244,IF(M245=$AO$63,$AI$64+$AJ$64+$AK$64+$AL$64+$AM$64+$AN$64+M244,IF(M245=$AP$63,$AI$64+$AJ$64+$AK$64+$AL$64+$AM$64+$AN$64+$AO$64+M244,IF(M245=$AQ$63,$AI$64+$AJ$64+$AK$64+$AL$64+$AM$64+$AN$64+$AO$64+$AP$64+M244,IF(M245=$AR$63,$AI$64+$AJ$64+$AK$64+$AL$64+$AM$64+$AN$64+$AO$64+$AP$64+$AQ$64+M244,IF(M245=$AS$63,$AI$64+$AJ$64+$AK$64+$AL$64+$AM$64+$AN$64+$AO$64+$AP$64+$AQ$64+$AR$64+M244,IF(M245=$AT$63,$AI$64+$AJ$64+$AK$64+$AL$64+$AM$64+$AN$64+$AO$64+$AP$64+$AQ$64+$AR$64+$AS$64+M244,"error"))))))))))))</f>
        <v>80</v>
      </c>
      <c r="O246" s="38">
        <f>23.45*SIN(RADIANS(360*((284+N246)/365)))</f>
        <v>-0.40365320185431652</v>
      </c>
      <c r="P246" s="41">
        <v>40</v>
      </c>
      <c r="AA246">
        <v>3</v>
      </c>
      <c r="AB246" s="39">
        <v>0.30208333333333398</v>
      </c>
      <c r="AC246">
        <f t="shared" si="393"/>
        <v>7.125</v>
      </c>
      <c r="AD246">
        <f t="shared" si="388"/>
        <v>0</v>
      </c>
      <c r="AE246" s="7">
        <f t="shared" si="389"/>
        <v>7.2924211822651248</v>
      </c>
      <c r="AF246">
        <f t="shared" si="390"/>
        <v>7.2924211822651248</v>
      </c>
      <c r="AG246" s="7">
        <f t="shared" si="391"/>
        <v>0</v>
      </c>
      <c r="AH246">
        <f t="shared" si="392"/>
        <v>-1.2847086789948219</v>
      </c>
      <c r="AI246">
        <v>3</v>
      </c>
      <c r="AP246" t="s">
        <v>59</v>
      </c>
      <c r="AQ246">
        <f>+AZ214</f>
        <v>0</v>
      </c>
      <c r="AR246">
        <f>+BA214</f>
        <v>72.888092578495346</v>
      </c>
      <c r="AS246">
        <f>+AZ215</f>
        <v>0</v>
      </c>
      <c r="AT246">
        <f>+BA215</f>
        <v>72.888092578495346</v>
      </c>
      <c r="AU246">
        <f>+AZ216</f>
        <v>0</v>
      </c>
      <c r="AV246">
        <f>+BA216</f>
        <v>72.888092578495346</v>
      </c>
      <c r="AW246">
        <f>+AZ217</f>
        <v>0</v>
      </c>
      <c r="AX246">
        <f>+BA217</f>
        <v>72.888092578495346</v>
      </c>
      <c r="AY246">
        <f>+AZ218</f>
        <v>0</v>
      </c>
      <c r="AZ246">
        <f>+BA218</f>
        <v>72.888092578495346</v>
      </c>
      <c r="BA246">
        <f>+AZ219</f>
        <v>7.1796941081018506</v>
      </c>
      <c r="BB246">
        <f>+BA219</f>
        <v>76.908415468616056</v>
      </c>
      <c r="BC246">
        <f>+AZ220</f>
        <v>20.094408212134532</v>
      </c>
      <c r="BD246">
        <f>+BA220</f>
        <v>83.69300591455243</v>
      </c>
      <c r="BE246">
        <f>+AZ221</f>
        <v>33.179114183303909</v>
      </c>
      <c r="BF246">
        <f>+BA221</f>
        <v>90.692173646055892</v>
      </c>
      <c r="BG246">
        <f>+AZ222</f>
        <v>46.234000924702507</v>
      </c>
      <c r="BH246">
        <f>+BA222</f>
        <v>98.931073312987834</v>
      </c>
      <c r="BI246">
        <f>+AZ223</f>
        <v>58.913198956609463</v>
      </c>
      <c r="BJ246">
        <f>+BA223</f>
        <v>110.64261236918068</v>
      </c>
      <c r="BK246">
        <f>+AZ224</f>
        <v>70.179120424793908</v>
      </c>
      <c r="BL246">
        <f>+BA224</f>
        <v>132.47024428392857</v>
      </c>
      <c r="BM246">
        <f>+AZ225</f>
        <v>75.820887455874669</v>
      </c>
      <c r="BN246">
        <f>+BA225</f>
        <v>180</v>
      </c>
      <c r="BO246">
        <f>+AZ226</f>
        <v>75.820887455874669</v>
      </c>
      <c r="BP246">
        <f>+BA226</f>
        <v>180</v>
      </c>
      <c r="BQ246">
        <f>+AZ227</f>
        <v>70.179120424793908</v>
      </c>
      <c r="BR246">
        <f>+BA227</f>
        <v>227.52975571607143</v>
      </c>
      <c r="BS246">
        <f>+AZ228</f>
        <v>58.913198956609463</v>
      </c>
      <c r="BT246">
        <f>+BA228</f>
        <v>249.35738763081932</v>
      </c>
      <c r="BU246">
        <f>+AZ229</f>
        <v>46.234000924702507</v>
      </c>
      <c r="BV246">
        <f>+BA229</f>
        <v>261.06892668701215</v>
      </c>
      <c r="BW246">
        <f>+AZ230</f>
        <v>33.179114183303909</v>
      </c>
      <c r="BX246">
        <f>+BA230</f>
        <v>269.30782635394411</v>
      </c>
      <c r="BY246">
        <f>+AZ231</f>
        <v>20.094408212134532</v>
      </c>
      <c r="BZ246">
        <f>+BA231</f>
        <v>276.30699408544757</v>
      </c>
      <c r="CA246">
        <f>+AZ232</f>
        <v>7.1796941081018506</v>
      </c>
      <c r="CB246">
        <f>+BA232</f>
        <v>283.09158453138394</v>
      </c>
      <c r="CC246">
        <f>+AZ233</f>
        <v>0</v>
      </c>
      <c r="CD246">
        <f>+BA233</f>
        <v>287.11190742150467</v>
      </c>
      <c r="CE246">
        <f>+AZ234</f>
        <v>0</v>
      </c>
      <c r="CF246">
        <f>+BA234</f>
        <v>287.11190742150467</v>
      </c>
      <c r="CG246">
        <f>+AZ235</f>
        <v>0</v>
      </c>
      <c r="CH246">
        <f>+BA235</f>
        <v>287.11190742150467</v>
      </c>
      <c r="CI246">
        <f>+AZ236</f>
        <v>0</v>
      </c>
      <c r="CJ246">
        <f>+BA236</f>
        <v>287.11190742150467</v>
      </c>
      <c r="CK246">
        <f>+AZ237</f>
        <v>0</v>
      </c>
      <c r="CL246">
        <f>+BA237</f>
        <v>287.11190742150467</v>
      </c>
    </row>
    <row r="247" spans="1:90" x14ac:dyDescent="0.25">
      <c r="B247" s="317" t="s">
        <v>90</v>
      </c>
      <c r="C247" s="315"/>
      <c r="D247" s="315"/>
      <c r="E247" s="315"/>
      <c r="G247" s="319" t="s">
        <v>89</v>
      </c>
      <c r="H247" s="319"/>
      <c r="I247" s="319" t="s">
        <v>42</v>
      </c>
      <c r="J247" s="319" t="s">
        <v>43</v>
      </c>
      <c r="K247" s="35"/>
      <c r="M247" s="317" t="s">
        <v>90</v>
      </c>
      <c r="N247" s="315"/>
      <c r="O247" s="315"/>
      <c r="P247" s="315"/>
      <c r="R247" s="319" t="s">
        <v>89</v>
      </c>
      <c r="S247" s="319"/>
      <c r="T247" s="319" t="s">
        <v>42</v>
      </c>
      <c r="U247" s="319" t="s">
        <v>43</v>
      </c>
      <c r="AB247" s="39">
        <v>0.312500000000001</v>
      </c>
      <c r="AC247">
        <f t="shared" si="393"/>
        <v>6.75</v>
      </c>
      <c r="AD247">
        <f t="shared" si="388"/>
        <v>0</v>
      </c>
      <c r="AE247" s="7">
        <f t="shared" si="389"/>
        <v>6.9294915061735685</v>
      </c>
      <c r="AF247">
        <f t="shared" si="390"/>
        <v>6.9294915061735685</v>
      </c>
      <c r="AG247" s="7">
        <f t="shared" si="391"/>
        <v>0</v>
      </c>
      <c r="AH247">
        <f t="shared" si="392"/>
        <v>-1.4809071668985123</v>
      </c>
      <c r="AP247" t="s">
        <v>60</v>
      </c>
      <c r="AQ247">
        <f>+BC214</f>
        <v>0</v>
      </c>
      <c r="AR247">
        <f>+BD214</f>
        <v>64.572176712649494</v>
      </c>
      <c r="AS247">
        <f>+BC215</f>
        <v>0</v>
      </c>
      <c r="AT247">
        <f>+BD215</f>
        <v>64.572176712649494</v>
      </c>
      <c r="AU247">
        <f>+BC216</f>
        <v>0</v>
      </c>
      <c r="AV247">
        <f>+BD216</f>
        <v>64.572176712649494</v>
      </c>
      <c r="AW247">
        <f>+BC217</f>
        <v>0</v>
      </c>
      <c r="AX247">
        <f>+BD217</f>
        <v>64.572176712649494</v>
      </c>
      <c r="AY247">
        <f>+BC218</f>
        <v>0</v>
      </c>
      <c r="AZ247">
        <f>+BD218</f>
        <v>64.572176712649494</v>
      </c>
      <c r="BA247">
        <f>+BC219</f>
        <v>10.508522694850116</v>
      </c>
      <c r="BB247">
        <f>+BD219</f>
        <v>70.516285917220941</v>
      </c>
      <c r="BC247">
        <f>+BC220</f>
        <v>23.081833865003894</v>
      </c>
      <c r="BD247">
        <f>+BD220</f>
        <v>76.718561537440678</v>
      </c>
      <c r="BE247">
        <f>+BC221</f>
        <v>35.974200517974971</v>
      </c>
      <c r="BF247">
        <f>+BD221</f>
        <v>82.710211003016923</v>
      </c>
      <c r="BG247">
        <f>+BC222</f>
        <v>49.04228910837859</v>
      </c>
      <c r="BH247">
        <f>+BD222</f>
        <v>89.179775376606813</v>
      </c>
      <c r="BI247">
        <f>+BC223</f>
        <v>62.120147714715685</v>
      </c>
      <c r="BJ247">
        <f>+BD223</f>
        <v>97.645217635946267</v>
      </c>
      <c r="BK247">
        <f>+BC224</f>
        <v>74.765245687919915</v>
      </c>
      <c r="BL247">
        <f>+BD224</f>
        <v>114.0806639695666</v>
      </c>
      <c r="BM247">
        <f>+BC225</f>
        <v>82.959624558737431</v>
      </c>
      <c r="BN247">
        <f>+BD225</f>
        <v>180</v>
      </c>
      <c r="BO247">
        <f>+BC226</f>
        <v>82.959624558737431</v>
      </c>
      <c r="BP247">
        <f>+BD226</f>
        <v>180</v>
      </c>
      <c r="BQ247">
        <f>+BC227</f>
        <v>74.765245687919915</v>
      </c>
      <c r="BR247">
        <f>+BD227</f>
        <v>245.91933603043339</v>
      </c>
      <c r="BS247">
        <f>+BC228</f>
        <v>62.120147714715685</v>
      </c>
      <c r="BT247">
        <f>+BD228</f>
        <v>262.35478236405373</v>
      </c>
      <c r="BU247">
        <f>+BC229</f>
        <v>49.04228910837859</v>
      </c>
      <c r="BV247">
        <f>+BD229</f>
        <v>270.82022462339319</v>
      </c>
      <c r="BW247">
        <f>+BC230</f>
        <v>35.974200517974971</v>
      </c>
      <c r="BX247">
        <f>+BD230</f>
        <v>277.28978899698308</v>
      </c>
      <c r="BY247">
        <f>+BC231</f>
        <v>23.081833865003894</v>
      </c>
      <c r="BZ247">
        <f>+BD231</f>
        <v>283.28143846255932</v>
      </c>
      <c r="CA247">
        <f>+BC232</f>
        <v>10.508522694850116</v>
      </c>
      <c r="CB247">
        <f>+BD232</f>
        <v>289.48371408277904</v>
      </c>
      <c r="CC247">
        <f>+BC233</f>
        <v>0</v>
      </c>
      <c r="CD247">
        <f>+BD233</f>
        <v>295.42782328735052</v>
      </c>
      <c r="CE247">
        <f>+BC234</f>
        <v>0</v>
      </c>
      <c r="CF247">
        <f>+BD234</f>
        <v>295.42782328735052</v>
      </c>
      <c r="CG247">
        <f>+BC235</f>
        <v>0</v>
      </c>
      <c r="CH247">
        <f>+BD235</f>
        <v>295.42782328735052</v>
      </c>
      <c r="CI247">
        <f>+BC236</f>
        <v>0</v>
      </c>
      <c r="CJ247">
        <f>+BD236</f>
        <v>295.42782328735052</v>
      </c>
      <c r="CK247">
        <f>+BC237</f>
        <v>0</v>
      </c>
      <c r="CL247">
        <f>+BD237</f>
        <v>295.42782328735052</v>
      </c>
    </row>
    <row r="248" spans="1:90" x14ac:dyDescent="0.25">
      <c r="B248" s="318"/>
      <c r="C248" s="315"/>
      <c r="D248" s="315"/>
      <c r="E248" s="315"/>
      <c r="G248" s="319"/>
      <c r="H248" s="319"/>
      <c r="I248" s="319"/>
      <c r="J248" s="319"/>
      <c r="K248" s="35"/>
      <c r="M248" s="318"/>
      <c r="N248" s="315"/>
      <c r="O248" s="315"/>
      <c r="P248" s="315"/>
      <c r="R248" s="319"/>
      <c r="S248" s="319"/>
      <c r="T248" s="319"/>
      <c r="U248" s="319"/>
      <c r="AA248">
        <v>4</v>
      </c>
      <c r="AB248" s="39">
        <v>0.32291666666666802</v>
      </c>
      <c r="AC248">
        <f t="shared" si="393"/>
        <v>6.375</v>
      </c>
      <c r="AD248">
        <f t="shared" si="388"/>
        <v>0</v>
      </c>
      <c r="AE248" s="7">
        <f t="shared" si="389"/>
        <v>6.5623486851340873</v>
      </c>
      <c r="AF248">
        <f t="shared" si="390"/>
        <v>6.5623486851340873</v>
      </c>
      <c r="AG248" s="7">
        <f t="shared" si="391"/>
        <v>0</v>
      </c>
      <c r="AH248">
        <f t="shared" si="392"/>
        <v>-1.6627389846543152</v>
      </c>
      <c r="AI248">
        <v>4</v>
      </c>
      <c r="AP248" t="s">
        <v>61</v>
      </c>
      <c r="AQ248">
        <f>+BF214</f>
        <v>0</v>
      </c>
      <c r="AR248">
        <f>+BG214</f>
        <v>62.9128608915928</v>
      </c>
      <c r="AS248">
        <f>+BF215</f>
        <v>0</v>
      </c>
      <c r="AT248">
        <f>+BG215</f>
        <v>62.9128608915928</v>
      </c>
      <c r="AU248">
        <f>+BF216</f>
        <v>0</v>
      </c>
      <c r="AV248">
        <f>+BG216</f>
        <v>62.9128608915928</v>
      </c>
      <c r="AW248">
        <f>+BF217</f>
        <v>0</v>
      </c>
      <c r="AX248">
        <f>+BG217</f>
        <v>62.9128608915928</v>
      </c>
      <c r="AY248">
        <f>+BF218</f>
        <v>0</v>
      </c>
      <c r="AZ248">
        <f>+BG218</f>
        <v>62.9128608915928</v>
      </c>
      <c r="BA248">
        <f>+BF219</f>
        <v>11.152054967319165</v>
      </c>
      <c r="BB248">
        <f>+BG219</f>
        <v>69.238766580276192</v>
      </c>
      <c r="BC248">
        <f>+BF220</f>
        <v>23.63600454935963</v>
      </c>
      <c r="BD248">
        <f>+BG220</f>
        <v>75.306075969479892</v>
      </c>
      <c r="BE248">
        <f>+BF221</f>
        <v>36.462362723804389</v>
      </c>
      <c r="BF248">
        <f>+BG221</f>
        <v>81.070349439875727</v>
      </c>
      <c r="BG248">
        <f>+BF222</f>
        <v>49.494624805188728</v>
      </c>
      <c r="BH248">
        <f>+BG222</f>
        <v>87.132774729162193</v>
      </c>
      <c r="BI248">
        <f>+BF223</f>
        <v>62.593106094089499</v>
      </c>
      <c r="BJ248">
        <f>+BG223</f>
        <v>94.781580028246267</v>
      </c>
      <c r="BK248">
        <f>+BF224</f>
        <v>75.433504705998018</v>
      </c>
      <c r="BL248">
        <f>+BG224</f>
        <v>109.24906860936896</v>
      </c>
      <c r="BM248">
        <f>+BF225</f>
        <v>84.369782846813621</v>
      </c>
      <c r="BN248">
        <f>BG225</f>
        <v>180</v>
      </c>
      <c r="BO248">
        <f>+BF226</f>
        <v>84.369782846813621</v>
      </c>
      <c r="BP248">
        <f>BG226</f>
        <v>180</v>
      </c>
      <c r="BQ248">
        <f>+BF227</f>
        <v>75.433504705998018</v>
      </c>
      <c r="BR248">
        <f>+BG227</f>
        <v>250.75093139063102</v>
      </c>
      <c r="BS248">
        <f>+BF228</f>
        <v>62.593106094089499</v>
      </c>
      <c r="BT248">
        <f>+BG228</f>
        <v>265.21841997175375</v>
      </c>
      <c r="BU248">
        <f>+BF229</f>
        <v>49.494624805188728</v>
      </c>
      <c r="BV248">
        <f>+BG229</f>
        <v>272.86722527083782</v>
      </c>
      <c r="BW248">
        <f>+BF230</f>
        <v>36.462362723804389</v>
      </c>
      <c r="BX248">
        <f>+BG230</f>
        <v>278.92965056012429</v>
      </c>
      <c r="BY248">
        <f>+BF231</f>
        <v>23.63600454935963</v>
      </c>
      <c r="BZ248">
        <f>+BG231</f>
        <v>284.69392403052012</v>
      </c>
      <c r="CA248">
        <f>+BF232</f>
        <v>11.152054967319165</v>
      </c>
      <c r="CB248">
        <f>+BG232</f>
        <v>290.76123341972379</v>
      </c>
      <c r="CC248">
        <f>+BF233</f>
        <v>0</v>
      </c>
      <c r="CD248">
        <f>+BG233</f>
        <v>297.0871391084072</v>
      </c>
      <c r="CE248">
        <f>+BF234</f>
        <v>0</v>
      </c>
      <c r="CF248">
        <f>+BG234</f>
        <v>297.0871391084072</v>
      </c>
      <c r="CG248">
        <f>+BF235</f>
        <v>0</v>
      </c>
      <c r="CH248">
        <f>+BG235</f>
        <v>297.0871391084072</v>
      </c>
      <c r="CI248">
        <f>+BF236</f>
        <v>0</v>
      </c>
      <c r="CJ248">
        <f>+BG236</f>
        <v>297.0871391084072</v>
      </c>
      <c r="CK248">
        <f>+BF237</f>
        <v>0</v>
      </c>
      <c r="CL248">
        <f>+BG237</f>
        <v>297.0871391084072</v>
      </c>
    </row>
    <row r="249" spans="1:90" x14ac:dyDescent="0.25">
      <c r="B249" s="39">
        <v>0.25</v>
      </c>
      <c r="C249" s="38">
        <v>90</v>
      </c>
      <c r="D249" s="38">
        <f>+DEGREES(ASIN(COS(RADIANS(E246))*COS(RADIANS(D246))*COS(RADIANS(C249))+SIN(RADIANS(E246))*SIN(RADIANS(D246))))</f>
        <v>-0.23152467989920697</v>
      </c>
      <c r="E249" s="38">
        <f>180-DEGREES(ACOS((((SIN(RADIANS(D249)))*SIN(RADIANS(E246)))-SIN(RADIANS(D246)))/((COS(RADIANS(D249)))*COS(RADIANS(E246)))))</f>
        <v>90.330655145206109</v>
      </c>
      <c r="G249">
        <f t="shared" ref="G249:G261" si="394">9-(D249/10)</f>
        <v>9.0231524679899202</v>
      </c>
      <c r="H249">
        <f t="shared" ref="H249:H261" si="395">90-E249+$AH$172</f>
        <v>-0.33065514520610861</v>
      </c>
      <c r="I249" s="7">
        <f t="shared" ref="I249:I261" si="396">IF($E$246&gt;=$AE$174,0,G249*COS(RADIANS(H249)))</f>
        <v>0</v>
      </c>
      <c r="J249" s="7">
        <f t="shared" ref="J249:J261" si="397">IF($E$246&gt;=$AE$174,0,G249*SIN(RADIANS(H249)))</f>
        <v>0</v>
      </c>
      <c r="K249" s="35"/>
      <c r="M249" s="39">
        <v>0.25</v>
      </c>
      <c r="N249" s="38">
        <v>90</v>
      </c>
      <c r="O249" s="38">
        <f>+DEGREES(ASIN(COS(RADIANS(P246))*COS(RADIANS(O246))*COS(RADIANS(N249))+SIN(RADIANS(P246))*SIN(RADIANS(O246))))</f>
        <v>-0.25946201723650403</v>
      </c>
      <c r="P249" s="38">
        <f>180-DEGREES(ACOS((((SIN(RADIANS(O249)))*SIN(RADIANS(P246)))-SIN(RADIANS(O246)))/((COS(RADIANS(O249)))*COS(RADIANS(P246)))))</f>
        <v>90.309218405953629</v>
      </c>
      <c r="R249">
        <f t="shared" ref="R249:R261" si="398">9-(O249/10)</f>
        <v>9.0259462017236505</v>
      </c>
      <c r="S249">
        <f t="shared" ref="S249:S261" si="399">90-P249+$AH$172</f>
        <v>-0.30921840595362937</v>
      </c>
      <c r="T249" s="7">
        <f t="shared" ref="T249:T261" si="400">IF($P$246&gt;=$AE$174,0,R249*COS(RADIANS(S249)))</f>
        <v>0</v>
      </c>
      <c r="U249" s="7">
        <f t="shared" ref="U249:U261" si="401">IF($P$246&gt;=$AE$174,0,R249*SIN(RADIANS(S249)))</f>
        <v>0</v>
      </c>
      <c r="AB249" s="39">
        <v>0.33333333333333298</v>
      </c>
      <c r="AC249">
        <f t="shared" si="393"/>
        <v>6</v>
      </c>
      <c r="AD249">
        <f t="shared" si="388"/>
        <v>0</v>
      </c>
      <c r="AE249" s="7">
        <f t="shared" si="389"/>
        <v>6.1914956482620465</v>
      </c>
      <c r="AF249">
        <f t="shared" si="390"/>
        <v>6.1914956482620465</v>
      </c>
      <c r="AG249" s="7">
        <f t="shared" si="391"/>
        <v>0</v>
      </c>
      <c r="AH249">
        <f t="shared" si="392"/>
        <v>-1.8309511273947583</v>
      </c>
    </row>
    <row r="250" spans="1:90" x14ac:dyDescent="0.25">
      <c r="B250" s="39">
        <v>0.29166666666666669</v>
      </c>
      <c r="C250">
        <v>75</v>
      </c>
      <c r="D250" s="38">
        <f>+DEGREES(ASIN(COS(RADIANS(E246))*COS(RADIANS(D246))*COS(RADIANS(C250))+SIN(RADIANS(E246))*SIN(RADIANS(D246))))</f>
        <v>12.003183070128085</v>
      </c>
      <c r="E250" s="38">
        <f>180-DEGREES(ACOS((((SIN(RADIANS(D250)))*SIN(RADIANS(E246)))-SIN(RADIANS(D246)))/((COS(RADIANS(D250)))*COS(RADIANS(E246)))))</f>
        <v>99.071505636599269</v>
      </c>
      <c r="G250">
        <f t="shared" si="394"/>
        <v>7.7996816929871917</v>
      </c>
      <c r="H250">
        <f t="shared" si="395"/>
        <v>-9.0715056365992695</v>
      </c>
      <c r="I250" s="7">
        <f t="shared" si="396"/>
        <v>0</v>
      </c>
      <c r="J250" s="7">
        <f t="shared" si="397"/>
        <v>0</v>
      </c>
      <c r="K250" s="35"/>
      <c r="M250" s="39">
        <v>0.29166666666666669</v>
      </c>
      <c r="N250">
        <v>75</v>
      </c>
      <c r="O250" s="38">
        <f>+DEGREES(ASIN(COS(RADIANS(P246))*COS(RADIANS(O246))*COS(RADIANS(N250))+SIN(RADIANS(P246))*SIN(RADIANS(O246))))</f>
        <v>11.170748849463411</v>
      </c>
      <c r="P250" s="38">
        <f>180-DEGREES(ACOS((((SIN(RADIANS(O250)))*SIN(RADIANS(P246)))-SIN(RADIANS(O246)))/((COS(RADIANS(O250)))*COS(RADIANS(P246)))))</f>
        <v>100.08303941337513</v>
      </c>
      <c r="R250">
        <f t="shared" si="398"/>
        <v>7.8829251150536592</v>
      </c>
      <c r="S250">
        <f t="shared" si="399"/>
        <v>-10.083039413375133</v>
      </c>
      <c r="T250" s="7">
        <f t="shared" si="400"/>
        <v>0</v>
      </c>
      <c r="U250" s="7">
        <f t="shared" si="401"/>
        <v>0</v>
      </c>
      <c r="AA250">
        <v>5</v>
      </c>
      <c r="AB250" s="39">
        <v>0.343750000000002</v>
      </c>
      <c r="AC250">
        <f t="shared" si="393"/>
        <v>5.625</v>
      </c>
      <c r="AD250">
        <f t="shared" si="388"/>
        <v>0</v>
      </c>
      <c r="AE250" s="7">
        <f t="shared" si="389"/>
        <v>5.8173715667204986</v>
      </c>
      <c r="AF250">
        <f t="shared" si="390"/>
        <v>5.8173715667204986</v>
      </c>
      <c r="AG250" s="7">
        <f t="shared" si="391"/>
        <v>0</v>
      </c>
      <c r="AH250">
        <f t="shared" si="392"/>
        <v>-1.9862095279884302</v>
      </c>
      <c r="AI250">
        <v>5</v>
      </c>
      <c r="AQ250" s="320">
        <v>4.1666666666666664E-2</v>
      </c>
      <c r="AR250" s="321"/>
      <c r="AS250" s="320">
        <v>8.3333333333333301E-2</v>
      </c>
      <c r="AT250" s="321"/>
      <c r="AU250" s="320">
        <v>0.125</v>
      </c>
      <c r="AV250" s="321"/>
      <c r="AW250" s="320">
        <v>0.16666666666666699</v>
      </c>
      <c r="AX250" s="321"/>
      <c r="AY250" s="320">
        <v>0.20833333333333301</v>
      </c>
      <c r="AZ250" s="321"/>
      <c r="BA250" s="320">
        <v>0.25</v>
      </c>
      <c r="BB250" s="321"/>
      <c r="BC250" s="320">
        <v>0.29166666666666702</v>
      </c>
      <c r="BD250" s="321"/>
      <c r="BE250" s="320">
        <v>0.33333333333333298</v>
      </c>
      <c r="BF250" s="321"/>
      <c r="BG250" s="320">
        <v>0.375</v>
      </c>
      <c r="BH250" s="321"/>
      <c r="BI250" s="320">
        <v>0.41666666666666702</v>
      </c>
      <c r="BJ250" s="321"/>
      <c r="BK250" s="320">
        <v>0.45833333333333298</v>
      </c>
      <c r="BL250" s="321"/>
      <c r="BM250" s="320">
        <v>0.5</v>
      </c>
      <c r="BN250" s="321"/>
      <c r="BO250" s="320">
        <v>0.5</v>
      </c>
      <c r="BP250" s="321"/>
      <c r="BQ250" s="320">
        <v>0.54166666666666696</v>
      </c>
      <c r="BR250" s="321"/>
      <c r="BS250" s="320">
        <v>0.58333333333333404</v>
      </c>
      <c r="BT250" s="321"/>
      <c r="BU250" s="320">
        <v>0.625000000000001</v>
      </c>
      <c r="BV250" s="321"/>
      <c r="BW250" s="320">
        <v>0.66666666666666796</v>
      </c>
      <c r="BX250" s="321"/>
      <c r="BY250" s="320">
        <v>0.70833333333333504</v>
      </c>
      <c r="BZ250" s="321"/>
      <c r="CA250" s="320">
        <v>0.750000000000002</v>
      </c>
      <c r="CB250" s="321"/>
      <c r="CC250" s="320">
        <v>0.79166666666666896</v>
      </c>
      <c r="CD250" s="321"/>
      <c r="CE250" s="320">
        <v>0.83333333333333703</v>
      </c>
      <c r="CF250" s="321"/>
      <c r="CG250" s="320">
        <v>0.875000000000004</v>
      </c>
      <c r="CH250" s="321"/>
      <c r="CI250" s="320">
        <v>0.91666666666666996</v>
      </c>
      <c r="CJ250" s="321"/>
      <c r="CK250" s="320">
        <v>0.95833333333333703</v>
      </c>
      <c r="CL250" s="321"/>
    </row>
    <row r="251" spans="1:90" x14ac:dyDescent="0.25">
      <c r="B251" s="39">
        <v>0.33333333333333298</v>
      </c>
      <c r="C251" s="38">
        <v>60</v>
      </c>
      <c r="D251" s="38">
        <f>+DEGREES(ASIN(COS(RADIANS(E246))*COS(RADIANS(D246))*COS(RADIANS(C251))+SIN(RADIANS(E246))*SIN(RADIANS(D246))))</f>
        <v>23.924030583709875</v>
      </c>
      <c r="E251" s="38">
        <f>180-DEGREES(ACOS((((SIN(RADIANS(D251)))*SIN(RADIANS(E246)))-SIN(RADIANS(D246)))/((COS(RADIANS(D251)))*COS(RADIANS(E246)))))</f>
        <v>108.66591387786362</v>
      </c>
      <c r="G251">
        <f t="shared" si="394"/>
        <v>6.6075969416290121</v>
      </c>
      <c r="H251">
        <f t="shared" si="395"/>
        <v>-18.665913877863616</v>
      </c>
      <c r="I251" s="7">
        <f t="shared" si="396"/>
        <v>0</v>
      </c>
      <c r="J251" s="7">
        <f t="shared" si="397"/>
        <v>0</v>
      </c>
      <c r="K251" s="35"/>
      <c r="M251" s="39">
        <v>0.33333333333333298</v>
      </c>
      <c r="N251" s="38">
        <v>60</v>
      </c>
      <c r="O251" s="38">
        <f>+DEGREES(ASIN(COS(RADIANS(P246))*COS(RADIANS(O246))*COS(RADIANS(N251))+SIN(RADIANS(P246))*SIN(RADIANS(O246))))</f>
        <v>22.23982612103455</v>
      </c>
      <c r="P251" s="38">
        <f>180-DEGREES(ACOS((((SIN(RADIANS(O251)))*SIN(RADIANS(P246)))-SIN(RADIANS(O246)))/((COS(RADIANS(O251)))*COS(RADIANS(P246)))))</f>
        <v>110.67377019183745</v>
      </c>
      <c r="R251">
        <f t="shared" si="398"/>
        <v>6.7760173878965446</v>
      </c>
      <c r="S251">
        <f t="shared" si="399"/>
        <v>-20.673770191837448</v>
      </c>
      <c r="T251" s="7">
        <f t="shared" si="400"/>
        <v>0</v>
      </c>
      <c r="U251" s="7">
        <f t="shared" si="401"/>
        <v>0</v>
      </c>
      <c r="AB251" s="39">
        <v>0.35416666666666902</v>
      </c>
      <c r="AC251">
        <f t="shared" si="393"/>
        <v>5.25</v>
      </c>
      <c r="AD251">
        <f t="shared" si="388"/>
        <v>0</v>
      </c>
      <c r="AE251" s="7">
        <f t="shared" si="389"/>
        <v>5.4403619597776451</v>
      </c>
      <c r="AF251">
        <f t="shared" si="390"/>
        <v>5.4403619597776451</v>
      </c>
      <c r="AG251" s="7">
        <f t="shared" si="391"/>
        <v>0</v>
      </c>
      <c r="AH251">
        <f t="shared" si="392"/>
        <v>-2.1291076085972591</v>
      </c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315"/>
      <c r="BD251" s="315"/>
      <c r="BE251" s="315"/>
      <c r="BF251" s="315"/>
      <c r="BG251" s="315"/>
      <c r="BH251" s="315"/>
      <c r="BI251" s="315"/>
      <c r="BJ251" s="315"/>
      <c r="BK251" s="315"/>
      <c r="BL251" s="315"/>
      <c r="BM251" s="315"/>
      <c r="BN251" s="315"/>
      <c r="BO251" s="315"/>
      <c r="BP251" s="315"/>
      <c r="BQ251" s="315"/>
      <c r="BR251" s="315"/>
      <c r="BS251" s="315"/>
      <c r="BT251" s="315"/>
      <c r="BU251" s="315"/>
      <c r="BV251" s="315"/>
      <c r="BW251" s="315"/>
      <c r="BX251" s="315"/>
      <c r="BY251" s="315"/>
      <c r="BZ251" s="315"/>
      <c r="CA251" s="315"/>
      <c r="CB251" s="315"/>
      <c r="CC251" s="315"/>
      <c r="CD251" s="315"/>
      <c r="CE251" s="315"/>
      <c r="CF251" s="315"/>
      <c r="CG251" s="315"/>
      <c r="CH251" s="315"/>
      <c r="CI251" s="315"/>
      <c r="CJ251" s="315"/>
      <c r="CK251" s="315"/>
      <c r="CL251" s="315"/>
    </row>
    <row r="252" spans="1:90" x14ac:dyDescent="0.25">
      <c r="B252" s="39">
        <v>0.375</v>
      </c>
      <c r="C252">
        <v>45</v>
      </c>
      <c r="D252" s="38">
        <f>+DEGREES(ASIN(COS(RADIANS(E246))*COS(RADIANS(D246))*COS(RADIANS(C252))+SIN(RADIANS(E246))*SIN(RADIANS(D246))))</f>
        <v>35.111729759019639</v>
      </c>
      <c r="E252" s="38">
        <f>180-DEGREES(ACOS((((SIN(RADIANS(D252)))*SIN(RADIANS(E246)))-SIN(RADIANS(D246)))/((COS(RADIANS(D252)))*COS(RADIANS(E246)))))</f>
        <v>120.18818988919975</v>
      </c>
      <c r="G252">
        <f t="shared" si="394"/>
        <v>5.4888270240980361</v>
      </c>
      <c r="H252">
        <f t="shared" si="395"/>
        <v>-30.188189889199748</v>
      </c>
      <c r="I252" s="7">
        <f t="shared" si="396"/>
        <v>0</v>
      </c>
      <c r="J252" s="7">
        <f t="shared" si="397"/>
        <v>0</v>
      </c>
      <c r="M252" s="39">
        <v>0.375</v>
      </c>
      <c r="N252">
        <v>45</v>
      </c>
      <c r="O252" s="38">
        <f>+DEGREES(ASIN(COS(RADIANS(P246))*COS(RADIANS(O246))*COS(RADIANS(N252))+SIN(RADIANS(P246))*SIN(RADIANS(O246))))</f>
        <v>32.488704386447722</v>
      </c>
      <c r="P252" s="38">
        <f>180-DEGREES(ACOS((((SIN(RADIANS(O252)))*SIN(RADIANS(P246)))-SIN(RADIANS(O246)))/((COS(RADIANS(O252)))*COS(RADIANS(P246)))))</f>
        <v>123.04078211842585</v>
      </c>
      <c r="R252">
        <f t="shared" si="398"/>
        <v>5.7511295613552278</v>
      </c>
      <c r="S252">
        <f t="shared" si="399"/>
        <v>-33.040782118425852</v>
      </c>
      <c r="T252" s="7">
        <f t="shared" si="400"/>
        <v>0</v>
      </c>
      <c r="U252" s="7">
        <f t="shared" si="401"/>
        <v>0</v>
      </c>
      <c r="AA252">
        <v>6</v>
      </c>
      <c r="AB252" s="39">
        <v>0.36458333333333598</v>
      </c>
      <c r="AC252">
        <f t="shared" si="393"/>
        <v>4.875</v>
      </c>
      <c r="AD252">
        <f t="shared" si="388"/>
        <v>0</v>
      </c>
      <c r="AE252" s="7">
        <f t="shared" si="389"/>
        <v>5.0608070798523244</v>
      </c>
      <c r="AF252">
        <f t="shared" si="390"/>
        <v>5.0608070798523244</v>
      </c>
      <c r="AG252" s="7">
        <f t="shared" si="391"/>
        <v>0</v>
      </c>
      <c r="AH252">
        <f t="shared" si="392"/>
        <v>-2.2601737174317549</v>
      </c>
      <c r="AI252">
        <v>6</v>
      </c>
      <c r="AQ252" s="315"/>
      <c r="AR252" s="315"/>
      <c r="AS252" s="315"/>
      <c r="AT252" s="315"/>
      <c r="AU252" s="315"/>
      <c r="AV252" s="315"/>
      <c r="AW252" s="315"/>
      <c r="AX252" s="315"/>
      <c r="AY252" s="315"/>
      <c r="AZ252" s="315"/>
      <c r="BA252" s="315"/>
      <c r="BB252" s="315"/>
      <c r="BC252" s="315"/>
      <c r="BD252" s="315"/>
      <c r="BE252" s="315"/>
      <c r="BF252" s="315"/>
      <c r="BG252" s="315"/>
      <c r="BH252" s="315"/>
      <c r="BI252" s="315"/>
      <c r="BJ252" s="315"/>
      <c r="BK252" s="315"/>
      <c r="BL252" s="315"/>
      <c r="BM252" s="315"/>
      <c r="BN252" s="315"/>
      <c r="BO252" s="315"/>
      <c r="BP252" s="315"/>
      <c r="BQ252" s="315"/>
      <c r="BR252" s="315"/>
      <c r="BS252" s="315"/>
      <c r="BT252" s="315"/>
      <c r="BU252" s="315"/>
      <c r="BV252" s="315"/>
      <c r="BW252" s="315"/>
      <c r="BX252" s="315"/>
      <c r="BY252" s="315"/>
      <c r="BZ252" s="315"/>
      <c r="CA252" s="315"/>
      <c r="CB252" s="315"/>
      <c r="CC252" s="315"/>
      <c r="CD252" s="315"/>
      <c r="CE252" s="315"/>
      <c r="CF252" s="315"/>
      <c r="CG252" s="315"/>
      <c r="CH252" s="315"/>
      <c r="CI252" s="315"/>
      <c r="CJ252" s="315"/>
      <c r="CK252" s="315"/>
      <c r="CL252" s="315"/>
    </row>
    <row r="253" spans="1:90" x14ac:dyDescent="0.25">
      <c r="B253" s="39">
        <v>0.41666666666666702</v>
      </c>
      <c r="C253" s="38">
        <v>30</v>
      </c>
      <c r="D253" s="38">
        <f>+DEGREES(ASIN(COS(RADIANS(E246))*COS(RADIANS(D246))*COS(RADIANS(C253))+SIN(RADIANS(E246))*SIN(RADIANS(D246))))</f>
        <v>44.857666756708923</v>
      </c>
      <c r="E253" s="38">
        <f>180-DEGREES(ACOS((((SIN(RADIANS(D253)))*SIN(RADIANS(E246)))-SIN(RADIANS(D246)))/((COS(RADIANS(D253)))*COS(RADIANS(E246)))))</f>
        <v>135.1430444212443</v>
      </c>
      <c r="G253">
        <f t="shared" si="394"/>
        <v>4.5142333243291075</v>
      </c>
      <c r="H253">
        <f t="shared" si="395"/>
        <v>-45.143044421244298</v>
      </c>
      <c r="I253" s="7">
        <f t="shared" si="396"/>
        <v>0</v>
      </c>
      <c r="J253" s="7">
        <f t="shared" si="397"/>
        <v>0</v>
      </c>
      <c r="M253" s="39">
        <v>0.41666666666666702</v>
      </c>
      <c r="N253" s="38">
        <v>30</v>
      </c>
      <c r="O253" s="38">
        <f>+DEGREES(ASIN(COS(RADIANS(P246))*COS(RADIANS(O246))*COS(RADIANS(N253))+SIN(RADIANS(P246))*SIN(RADIANS(O246))))</f>
        <v>41.213675801003689</v>
      </c>
      <c r="P253" s="38">
        <f>180-DEGREES(ACOS((((SIN(RADIANS(O253)))*SIN(RADIANS(P246)))-SIN(RADIANS(O246)))/((COS(RADIANS(O253)))*COS(RADIANS(P246)))))</f>
        <v>138.34456757188187</v>
      </c>
      <c r="R253">
        <f t="shared" si="398"/>
        <v>4.8786324198996311</v>
      </c>
      <c r="S253">
        <f t="shared" si="399"/>
        <v>-48.344567571881868</v>
      </c>
      <c r="T253" s="7">
        <f t="shared" si="400"/>
        <v>0</v>
      </c>
      <c r="U253" s="7">
        <f t="shared" si="401"/>
        <v>0</v>
      </c>
      <c r="AB253" s="39">
        <v>0.375000000000003</v>
      </c>
      <c r="AC253">
        <f t="shared" si="393"/>
        <v>4.5</v>
      </c>
      <c r="AD253">
        <f t="shared" si="388"/>
        <v>0</v>
      </c>
      <c r="AE253" s="7">
        <f t="shared" si="389"/>
        <v>4.6790089065141443</v>
      </c>
      <c r="AF253">
        <f t="shared" si="390"/>
        <v>4.6790089065141443</v>
      </c>
      <c r="AG253" s="7">
        <f t="shared" si="391"/>
        <v>0</v>
      </c>
      <c r="AH253">
        <f t="shared" si="392"/>
        <v>-2.3798775865817943</v>
      </c>
      <c r="AP253" t="s">
        <v>67</v>
      </c>
      <c r="AQ253">
        <f t="shared" ref="AQ253:AQ258" si="402">IF(AQ242=0,AQ254,AQ242)</f>
        <v>0</v>
      </c>
      <c r="AR253">
        <f t="shared" ref="AR253:AR258" si="403">IF(AQ242=0,AR254,AR242)</f>
        <v>62.9128608915928</v>
      </c>
      <c r="AS253">
        <f t="shared" ref="AS253:AS258" si="404">IF(AS242=0,AS254,AS242)</f>
        <v>0</v>
      </c>
      <c r="AT253">
        <f t="shared" ref="AT253:AT258" si="405">IF(AS242=0,AT254,AT242)</f>
        <v>62.9128608915928</v>
      </c>
      <c r="AU253">
        <f t="shared" ref="AU253:AU258" si="406">IF(AU242=0,AU254,AU242)</f>
        <v>0</v>
      </c>
      <c r="AV253">
        <f t="shared" ref="AV253:AV258" si="407">IF(AU242=0,AV254,AV242)</f>
        <v>62.9128608915928</v>
      </c>
      <c r="AW253">
        <f t="shared" ref="AW253:AW258" si="408">IF(AW242=0,AW254,AW242)</f>
        <v>0</v>
      </c>
      <c r="AX253">
        <f t="shared" ref="AX253:AX258" si="409">IF(AW242=0,AX254,AX242)</f>
        <v>62.9128608915928</v>
      </c>
      <c r="AY253">
        <f t="shared" ref="AY253:AY258" si="410">IF(AY242=0,AY254,AY242)</f>
        <v>0</v>
      </c>
      <c r="AZ253">
        <f t="shared" ref="AZ253:AZ258" si="411">IF(AY242=0,AZ254,AZ242)</f>
        <v>62.9128608915928</v>
      </c>
      <c r="BA253">
        <f t="shared" ref="BA253:BA258" si="412">IF(BA242=0,BA254,BA242)</f>
        <v>1.9510766725967672</v>
      </c>
      <c r="BB253">
        <f t="shared" ref="BB253:BB258" si="413">IF(BA242=0,BB254,BB242)</f>
        <v>86.488170658290201</v>
      </c>
      <c r="BC253">
        <f t="shared" ref="BC253:BC258" si="414">IF(BC242=0,BC254,BC242)</f>
        <v>1.0425877010819102</v>
      </c>
      <c r="BD253">
        <f t="shared" ref="BD253:BD258" si="415">IF(BC242=0,BD254,BD242)</f>
        <v>117.22586297915178</v>
      </c>
      <c r="BE253">
        <f t="shared" ref="BE253:BE258" si="416">IF(BE242=0,BE254,BE242)</f>
        <v>12.251377298592953</v>
      </c>
      <c r="BF253">
        <f t="shared" ref="BF253:BF258" si="417">IF(BE242=0,BF254,BF242)</f>
        <v>125.34452095224731</v>
      </c>
      <c r="BG253">
        <f t="shared" ref="BG253:BG258" si="418">IF(BG242=0,BG254,BG242)</f>
        <v>22.259218825541542</v>
      </c>
      <c r="BH253">
        <f t="shared" ref="BH253:BH258" si="419">IF(BG242=0,BH254,BH242)</f>
        <v>135.31204694577815</v>
      </c>
      <c r="BI253">
        <f t="shared" ref="BI253:BI258" si="420">IF(BI242=0,BI254,BI242)</f>
        <v>30.439709654260056</v>
      </c>
      <c r="BJ253">
        <f t="shared" ref="BJ253:BJ258" si="421">IF(BI242=0,BJ254,BJ242)</f>
        <v>147.73819825211658</v>
      </c>
      <c r="BK253">
        <f t="shared" ref="BK253:BK258" si="422">IF(BK242=0,BK254,BK242)</f>
        <v>35.943781380086349</v>
      </c>
      <c r="BL253">
        <f t="shared" ref="BL253:BL258" si="423">IF(BK242=0,BL254,BL242)</f>
        <v>162.88737099929463</v>
      </c>
      <c r="BM253">
        <f t="shared" ref="BM253:BM258" si="424">IF(BM242=0,BM254,BM242)</f>
        <v>37.908363272130764</v>
      </c>
      <c r="BN253">
        <f t="shared" ref="BN253:BN258" si="425">IF(BM242=0,BN254,BN242)</f>
        <v>180</v>
      </c>
      <c r="BO253">
        <f t="shared" ref="BO253:BO258" si="426">IF(BO242=0,BO254,BO242)</f>
        <v>37.908363272130764</v>
      </c>
      <c r="BP253">
        <f t="shared" ref="BP253:BP258" si="427">IF(BO242=0,BP254,BP242)</f>
        <v>180</v>
      </c>
      <c r="BQ253">
        <f t="shared" ref="BQ253:BQ258" si="428">IF(BQ242=0,BQ254,BQ242)</f>
        <v>35.943781380086349</v>
      </c>
      <c r="BR253">
        <f t="shared" ref="BR253:BR258" si="429">IF(BQ242=0,BR254,BR242)</f>
        <v>197.11262900070537</v>
      </c>
      <c r="BS253">
        <f t="shared" ref="BS253:BS258" si="430">IF(BS242=0,BS254,BS242)</f>
        <v>30.439709654260056</v>
      </c>
      <c r="BT253">
        <f t="shared" ref="BT253:BT258" si="431">IF(BS242=0,BT254,BT242)</f>
        <v>212.26180174788342</v>
      </c>
      <c r="BU253">
        <f t="shared" ref="BU253:BU258" si="432">IF(BU242=0,BU254,BU242)</f>
        <v>22.259218825541542</v>
      </c>
      <c r="BV253">
        <f t="shared" ref="BV253:BV258" si="433">IF(BU242=0,BV254,BV242)</f>
        <v>224.68795305422185</v>
      </c>
      <c r="BW253">
        <f t="shared" ref="BW253:BW258" si="434">IF(BW242=0,BW254,BW242)</f>
        <v>12.251377298592953</v>
      </c>
      <c r="BX253">
        <f t="shared" ref="BX253:BX258" si="435">IF(BW242=0,BX254,BX242)</f>
        <v>234.65547904775269</v>
      </c>
      <c r="BY253">
        <f t="shared" ref="BY253:BY258" si="436">IF(BY242=0,BY254,BY242)</f>
        <v>1.0425877010819102</v>
      </c>
      <c r="BZ253">
        <f t="shared" ref="BZ253:BZ258" si="437">IF(BY242=0,BZ254,BZ242)</f>
        <v>242.77413702084823</v>
      </c>
      <c r="CA253">
        <f t="shared" ref="CA253:CA258" si="438">IF(CA242=0,CA254,CA242)</f>
        <v>1.9510766725967672</v>
      </c>
      <c r="CB253">
        <f t="shared" ref="CB253:CB258" si="439">IF(CA242=0,CB254,CB242)</f>
        <v>273.51182934170981</v>
      </c>
      <c r="CC253">
        <f t="shared" ref="CC253:CC258" si="440">IF(CC242=0,CC254,CC242)</f>
        <v>0</v>
      </c>
      <c r="CD253">
        <f t="shared" ref="CD253:CD258" si="441">IF(CC242=0,CD254,CD242)</f>
        <v>297.0871391084072</v>
      </c>
      <c r="CE253">
        <f t="shared" ref="CE253:CE258" si="442">IF(CE242=0,CE254,CE242)</f>
        <v>0</v>
      </c>
      <c r="CF253">
        <f t="shared" ref="CF253:CF258" si="443">IF(CE242=0,CF254,CF242)</f>
        <v>297.0871391084072</v>
      </c>
      <c r="CG253">
        <f t="shared" ref="CG253:CG258" si="444">IF(CG242=0,CG254,CG242)</f>
        <v>0</v>
      </c>
      <c r="CH253">
        <f t="shared" ref="CH253:CH258" si="445">IF(CG242=0,CH254,CH242)</f>
        <v>297.0871391084072</v>
      </c>
      <c r="CI253">
        <f t="shared" ref="CI253:CI258" si="446">IF(CI242=0,CI254,CI242)</f>
        <v>0</v>
      </c>
      <c r="CJ253">
        <f t="shared" ref="CJ253:CJ258" si="447">IF(CI242=0,CJ254,CJ242)</f>
        <v>297.0871391084072</v>
      </c>
      <c r="CK253">
        <f t="shared" ref="CK253:CK258" si="448">IF(CK242=0,CK254,CK242)</f>
        <v>0</v>
      </c>
      <c r="CL253">
        <f t="shared" ref="CL253:CL258" si="449">IF(CK242=0,CL254,CL242)</f>
        <v>297.0871391084072</v>
      </c>
    </row>
    <row r="254" spans="1:90" x14ac:dyDescent="0.25">
      <c r="B254" s="39">
        <v>0.45833333333333298</v>
      </c>
      <c r="C254">
        <v>15</v>
      </c>
      <c r="D254" s="38">
        <f>+DEGREES(ASIN(COS(RADIANS(E246))*COS(RADIANS(D246))*COS(RADIANS(C254))+SIN(RADIANS(E246))*SIN(RADIANS(D246))))</f>
        <v>51.922718489418457</v>
      </c>
      <c r="E254" s="38">
        <f>180-DEGREES(ACOS((((SIN(RADIANS(D254)))*SIN(RADIANS(E246)))-SIN(RADIANS(D246)))/((COS(RADIANS(D254)))*COS(RADIANS(E246)))))</f>
        <v>155.18704889162387</v>
      </c>
      <c r="G254">
        <f t="shared" si="394"/>
        <v>3.8077281510581544</v>
      </c>
      <c r="H254">
        <f t="shared" si="395"/>
        <v>-65.187048891623874</v>
      </c>
      <c r="I254" s="7">
        <f t="shared" si="396"/>
        <v>0</v>
      </c>
      <c r="J254" s="7">
        <f t="shared" si="397"/>
        <v>0</v>
      </c>
      <c r="M254" s="39">
        <v>0.45833333333333298</v>
      </c>
      <c r="N254">
        <v>15</v>
      </c>
      <c r="O254" s="38">
        <f>+DEGREES(ASIN(COS(RADIANS(P246))*COS(RADIANS(O246))*COS(RADIANS(N254))+SIN(RADIANS(P246))*SIN(RADIANS(O246))))</f>
        <v>47.340628824570132</v>
      </c>
      <c r="P254" s="38">
        <f>180-DEGREES(ACOS((((SIN(RADIANS(O254)))*SIN(RADIANS(P246)))-SIN(RADIANS(O246)))/((COS(RADIANS(O254)))*COS(RADIANS(P246)))))</f>
        <v>157.54651601054096</v>
      </c>
      <c r="R254">
        <f t="shared" si="398"/>
        <v>4.265937117542987</v>
      </c>
      <c r="S254">
        <f t="shared" si="399"/>
        <v>-67.546516010540955</v>
      </c>
      <c r="T254" s="7">
        <f t="shared" si="400"/>
        <v>0</v>
      </c>
      <c r="U254" s="7">
        <f t="shared" si="401"/>
        <v>0</v>
      </c>
      <c r="AA254">
        <v>7</v>
      </c>
      <c r="AB254" s="39">
        <v>0.38541666666667002</v>
      </c>
      <c r="AC254">
        <f t="shared" si="393"/>
        <v>4.125</v>
      </c>
      <c r="AD254">
        <f t="shared" si="388"/>
        <v>0</v>
      </c>
      <c r="AE254" s="7">
        <f t="shared" si="389"/>
        <v>4.2952370124222448</v>
      </c>
      <c r="AF254">
        <f t="shared" si="390"/>
        <v>4.2952370124222448</v>
      </c>
      <c r="AG254" s="7">
        <f t="shared" si="391"/>
        <v>0</v>
      </c>
      <c r="AH254">
        <f t="shared" si="392"/>
        <v>-2.4886359313408777</v>
      </c>
      <c r="AI254">
        <v>7</v>
      </c>
      <c r="AP254" t="s">
        <v>53</v>
      </c>
      <c r="AQ254">
        <f t="shared" si="402"/>
        <v>0</v>
      </c>
      <c r="AR254">
        <f t="shared" si="403"/>
        <v>62.9128608915928</v>
      </c>
      <c r="AS254">
        <f t="shared" si="404"/>
        <v>0</v>
      </c>
      <c r="AT254">
        <f t="shared" si="405"/>
        <v>62.9128608915928</v>
      </c>
      <c r="AU254">
        <f t="shared" si="406"/>
        <v>0</v>
      </c>
      <c r="AV254">
        <f t="shared" si="407"/>
        <v>62.9128608915928</v>
      </c>
      <c r="AW254">
        <f t="shared" si="408"/>
        <v>0</v>
      </c>
      <c r="AX254">
        <f t="shared" si="409"/>
        <v>62.9128608915928</v>
      </c>
      <c r="AY254">
        <f t="shared" si="410"/>
        <v>0</v>
      </c>
      <c r="AZ254">
        <f t="shared" si="411"/>
        <v>62.9128608915928</v>
      </c>
      <c r="BA254">
        <f t="shared" si="412"/>
        <v>1.9510766725967672</v>
      </c>
      <c r="BB254">
        <f t="shared" si="413"/>
        <v>86.488170658290201</v>
      </c>
      <c r="BC254">
        <f t="shared" si="414"/>
        <v>3.9806023907424599</v>
      </c>
      <c r="BD254">
        <f t="shared" si="415"/>
        <v>112.5771078319798</v>
      </c>
      <c r="BE254">
        <f t="shared" si="416"/>
        <v>15.689450108647346</v>
      </c>
      <c r="BF254">
        <f t="shared" si="417"/>
        <v>120.92625519511847</v>
      </c>
      <c r="BG254">
        <f t="shared" si="418"/>
        <v>26.297342212361595</v>
      </c>
      <c r="BH254">
        <f t="shared" si="419"/>
        <v>131.22199491730089</v>
      </c>
      <c r="BI254">
        <f t="shared" si="420"/>
        <v>35.132915612826856</v>
      </c>
      <c r="BJ254">
        <f t="shared" si="421"/>
        <v>144.33588641082156</v>
      </c>
      <c r="BK254">
        <f t="shared" si="422"/>
        <v>41.203386965463082</v>
      </c>
      <c r="BL254">
        <f t="shared" si="423"/>
        <v>160.84947792309023</v>
      </c>
      <c r="BM254">
        <f t="shared" si="424"/>
        <v>43.40350454351578</v>
      </c>
      <c r="BN254">
        <f t="shared" si="425"/>
        <v>180</v>
      </c>
      <c r="BO254">
        <f t="shared" si="426"/>
        <v>43.40350454351578</v>
      </c>
      <c r="BP254">
        <f t="shared" si="427"/>
        <v>180</v>
      </c>
      <c r="BQ254">
        <f t="shared" si="428"/>
        <v>41.203386965463082</v>
      </c>
      <c r="BR254">
        <f t="shared" si="429"/>
        <v>199.15052207690977</v>
      </c>
      <c r="BS254">
        <f t="shared" si="430"/>
        <v>35.132915612826856</v>
      </c>
      <c r="BT254">
        <f t="shared" si="431"/>
        <v>215.66411358917844</v>
      </c>
      <c r="BU254">
        <f t="shared" si="432"/>
        <v>26.297342212361595</v>
      </c>
      <c r="BV254">
        <f t="shared" si="433"/>
        <v>228.77800508269911</v>
      </c>
      <c r="BW254">
        <f t="shared" si="434"/>
        <v>15.689450108647346</v>
      </c>
      <c r="BX254">
        <f t="shared" si="435"/>
        <v>239.07374480488153</v>
      </c>
      <c r="BY254">
        <f t="shared" si="436"/>
        <v>3.9806023907424599</v>
      </c>
      <c r="BZ254">
        <f t="shared" si="437"/>
        <v>247.42289216802021</v>
      </c>
      <c r="CA254">
        <f t="shared" si="438"/>
        <v>1.9510766725967672</v>
      </c>
      <c r="CB254">
        <f t="shared" si="439"/>
        <v>273.51182934170981</v>
      </c>
      <c r="CC254">
        <f t="shared" si="440"/>
        <v>0</v>
      </c>
      <c r="CD254">
        <f t="shared" si="441"/>
        <v>297.0871391084072</v>
      </c>
      <c r="CE254">
        <f t="shared" si="442"/>
        <v>0</v>
      </c>
      <c r="CF254">
        <f t="shared" si="443"/>
        <v>297.0871391084072</v>
      </c>
      <c r="CG254">
        <f t="shared" si="444"/>
        <v>0</v>
      </c>
      <c r="CH254">
        <f t="shared" si="445"/>
        <v>297.0871391084072</v>
      </c>
      <c r="CI254">
        <f t="shared" si="446"/>
        <v>0</v>
      </c>
      <c r="CJ254">
        <f t="shared" si="447"/>
        <v>297.0871391084072</v>
      </c>
      <c r="CK254">
        <f t="shared" si="448"/>
        <v>0</v>
      </c>
      <c r="CL254">
        <f t="shared" si="449"/>
        <v>297.0871391084072</v>
      </c>
    </row>
    <row r="255" spans="1:90" x14ac:dyDescent="0.25">
      <c r="B255" s="39">
        <v>0.5</v>
      </c>
      <c r="C255" s="38">
        <v>0</v>
      </c>
      <c r="D255" s="38">
        <f>+DEGREES(ASIN(COS(RADIANS(E246))*COS(RADIANS(D246))*COS(RADIANS(C255))+SIN(RADIANS(E246))*SIN(RADIANS(D246))))</f>
        <v>54.596346798145682</v>
      </c>
      <c r="E255" s="38">
        <f>+IF(E246&gt;=0,180,0)</f>
        <v>180</v>
      </c>
      <c r="G255">
        <f t="shared" si="394"/>
        <v>3.5403653201854315</v>
      </c>
      <c r="H255">
        <f t="shared" si="395"/>
        <v>-90</v>
      </c>
      <c r="I255" s="7">
        <f t="shared" si="396"/>
        <v>0</v>
      </c>
      <c r="J255" s="7">
        <f t="shared" si="397"/>
        <v>0</v>
      </c>
      <c r="M255" s="39">
        <v>0.5</v>
      </c>
      <c r="N255" s="38">
        <v>0</v>
      </c>
      <c r="O255" s="38">
        <f>+DEGREES(ASIN(COS(RADIANS(P246))*COS(RADIANS(O246))*COS(RADIANS(N255))+SIN(RADIANS(P246))*SIN(RADIANS(O246))))</f>
        <v>49.596346798145674</v>
      </c>
      <c r="P255" s="38">
        <f>+IF(P246&gt;=0,180,0)</f>
        <v>180</v>
      </c>
      <c r="R255">
        <f t="shared" si="398"/>
        <v>4.0403653201854324</v>
      </c>
      <c r="S255">
        <f t="shared" si="399"/>
        <v>-90</v>
      </c>
      <c r="T255" s="7">
        <f t="shared" si="400"/>
        <v>0</v>
      </c>
      <c r="U255" s="7">
        <f t="shared" si="401"/>
        <v>0</v>
      </c>
      <c r="AB255" s="39">
        <v>0.39583333333333698</v>
      </c>
      <c r="AC255">
        <f t="shared" si="393"/>
        <v>3.75</v>
      </c>
      <c r="AD255">
        <f t="shared" si="388"/>
        <v>0</v>
      </c>
      <c r="AE255" s="7">
        <f t="shared" si="389"/>
        <v>3.9097335118301353</v>
      </c>
      <c r="AF255">
        <f t="shared" si="390"/>
        <v>3.9097335118301353</v>
      </c>
      <c r="AG255" s="7">
        <f t="shared" si="391"/>
        <v>0</v>
      </c>
      <c r="AH255">
        <f t="shared" si="392"/>
        <v>-2.5868172964578853</v>
      </c>
      <c r="AP255" t="s">
        <v>57</v>
      </c>
      <c r="AQ255">
        <f t="shared" si="402"/>
        <v>0</v>
      </c>
      <c r="AR255">
        <f t="shared" si="403"/>
        <v>62.9128608915928</v>
      </c>
      <c r="AS255">
        <f t="shared" si="404"/>
        <v>0</v>
      </c>
      <c r="AT255">
        <f t="shared" si="405"/>
        <v>62.9128608915928</v>
      </c>
      <c r="AU255">
        <f t="shared" si="406"/>
        <v>0</v>
      </c>
      <c r="AV255">
        <f t="shared" si="407"/>
        <v>62.9128608915928</v>
      </c>
      <c r="AW255">
        <f t="shared" si="408"/>
        <v>0</v>
      </c>
      <c r="AX255">
        <f t="shared" si="409"/>
        <v>62.9128608915928</v>
      </c>
      <c r="AY255">
        <f t="shared" si="410"/>
        <v>0</v>
      </c>
      <c r="AZ255">
        <f t="shared" si="411"/>
        <v>62.9128608915928</v>
      </c>
      <c r="BA255">
        <f t="shared" si="412"/>
        <v>1.9510766725967672</v>
      </c>
      <c r="BB255">
        <f t="shared" si="413"/>
        <v>86.488170658290201</v>
      </c>
      <c r="BC255">
        <f t="shared" si="414"/>
        <v>8.8424843209748119</v>
      </c>
      <c r="BD255">
        <f t="shared" si="415"/>
        <v>104.68802822282147</v>
      </c>
      <c r="BE255">
        <f t="shared" si="416"/>
        <v>21.241041758651765</v>
      </c>
      <c r="BF255">
        <f t="shared" si="417"/>
        <v>113.15708853016723</v>
      </c>
      <c r="BG255">
        <f t="shared" si="418"/>
        <v>32.778902474630826</v>
      </c>
      <c r="BH255">
        <f t="shared" si="419"/>
        <v>123.67138966374844</v>
      </c>
      <c r="BI255">
        <f t="shared" si="420"/>
        <v>42.752422426604682</v>
      </c>
      <c r="BJ255">
        <f t="shared" si="421"/>
        <v>137.63858177436344</v>
      </c>
      <c r="BK255">
        <f t="shared" si="422"/>
        <v>49.927090631227195</v>
      </c>
      <c r="BL255">
        <f t="shared" si="423"/>
        <v>156.55697888534539</v>
      </c>
      <c r="BM255">
        <f t="shared" si="424"/>
        <v>52.626294934964093</v>
      </c>
      <c r="BN255">
        <f t="shared" si="425"/>
        <v>180</v>
      </c>
      <c r="BO255">
        <f t="shared" si="426"/>
        <v>52.626294934964093</v>
      </c>
      <c r="BP255">
        <f t="shared" si="427"/>
        <v>180</v>
      </c>
      <c r="BQ255">
        <f t="shared" si="428"/>
        <v>49.927090631227195</v>
      </c>
      <c r="BR255">
        <f t="shared" si="429"/>
        <v>203.44302111465461</v>
      </c>
      <c r="BS255">
        <f t="shared" si="430"/>
        <v>42.752422426604682</v>
      </c>
      <c r="BT255">
        <f t="shared" si="431"/>
        <v>222.36141822563656</v>
      </c>
      <c r="BU255">
        <f t="shared" si="432"/>
        <v>32.778902474630826</v>
      </c>
      <c r="BV255">
        <f t="shared" si="433"/>
        <v>236.32861033625156</v>
      </c>
      <c r="BW255">
        <f t="shared" si="434"/>
        <v>21.241041758651765</v>
      </c>
      <c r="BX255">
        <f t="shared" si="435"/>
        <v>246.84291146983276</v>
      </c>
      <c r="BY255">
        <f t="shared" si="436"/>
        <v>8.8424843209748119</v>
      </c>
      <c r="BZ255">
        <f t="shared" si="437"/>
        <v>255.31197177717854</v>
      </c>
      <c r="CA255">
        <f t="shared" si="438"/>
        <v>1.9510766725967672</v>
      </c>
      <c r="CB255">
        <f t="shared" si="439"/>
        <v>273.51182934170981</v>
      </c>
      <c r="CC255">
        <f t="shared" si="440"/>
        <v>0</v>
      </c>
      <c r="CD255">
        <f t="shared" si="441"/>
        <v>297.0871391084072</v>
      </c>
      <c r="CE255">
        <f t="shared" si="442"/>
        <v>0</v>
      </c>
      <c r="CF255">
        <f t="shared" si="443"/>
        <v>297.0871391084072</v>
      </c>
      <c r="CG255">
        <f t="shared" si="444"/>
        <v>0</v>
      </c>
      <c r="CH255">
        <f t="shared" si="445"/>
        <v>297.0871391084072</v>
      </c>
      <c r="CI255">
        <f t="shared" si="446"/>
        <v>0</v>
      </c>
      <c r="CJ255">
        <f t="shared" si="447"/>
        <v>297.0871391084072</v>
      </c>
      <c r="CK255">
        <f t="shared" si="448"/>
        <v>0</v>
      </c>
      <c r="CL255">
        <f t="shared" si="449"/>
        <v>297.0871391084072</v>
      </c>
    </row>
    <row r="256" spans="1:90" x14ac:dyDescent="0.25">
      <c r="B256" s="39">
        <v>0.54166666666666696</v>
      </c>
      <c r="C256">
        <v>-15</v>
      </c>
      <c r="D256" s="38">
        <f>+DEGREES(ASIN(COS(RADIANS(E246))*COS(RADIANS(D246))*COS(RADIANS(C256))+SIN(RADIANS(E246))*SIN(RADIANS(D246))))</f>
        <v>51.922718489418457</v>
      </c>
      <c r="E256" s="38">
        <f>-(180-DEGREES(ACOS((((SIN(RADIANS(D256)))*SIN(RADIANS(E246)))-SIN(RADIANS(D246)))/((COS(RADIANS(D256)))*COS(RADIANS(E246))))))</f>
        <v>-155.18704889162387</v>
      </c>
      <c r="G256">
        <f t="shared" si="394"/>
        <v>3.8077281510581544</v>
      </c>
      <c r="H256">
        <f t="shared" si="395"/>
        <v>245.18704889162387</v>
      </c>
      <c r="I256" s="7">
        <f t="shared" si="396"/>
        <v>0</v>
      </c>
      <c r="J256" s="7">
        <f t="shared" si="397"/>
        <v>0</v>
      </c>
      <c r="M256" s="39">
        <v>0.54166666666666696</v>
      </c>
      <c r="N256">
        <v>-15</v>
      </c>
      <c r="O256" s="38">
        <f>+DEGREES(ASIN(COS(RADIANS(P246))*COS(RADIANS(O246))*COS(RADIANS(N256))+SIN(RADIANS(P246))*SIN(RADIANS(O246))))</f>
        <v>47.340628824570132</v>
      </c>
      <c r="P256" s="38">
        <f>-(180-DEGREES(ACOS((((SIN(RADIANS(O256)))*SIN(RADIANS(P246)))-SIN(RADIANS(O246)))/((COS(RADIANS(O256)))*COS(RADIANS(P246))))))</f>
        <v>-157.54651601054096</v>
      </c>
      <c r="R256">
        <f t="shared" si="398"/>
        <v>4.265937117542987</v>
      </c>
      <c r="S256">
        <f t="shared" si="399"/>
        <v>247.54651601054096</v>
      </c>
      <c r="T256" s="7">
        <f t="shared" si="400"/>
        <v>0</v>
      </c>
      <c r="U256" s="7">
        <f t="shared" si="401"/>
        <v>0</v>
      </c>
      <c r="AA256">
        <v>8</v>
      </c>
      <c r="AB256" s="39">
        <v>0.406250000000004</v>
      </c>
      <c r="AC256">
        <f t="shared" si="393"/>
        <v>3.375</v>
      </c>
      <c r="AD256">
        <f t="shared" si="388"/>
        <v>0</v>
      </c>
      <c r="AE256" s="7">
        <f t="shared" si="389"/>
        <v>3.5227172612348854</v>
      </c>
      <c r="AF256">
        <f t="shared" si="390"/>
        <v>3.5227172612348854</v>
      </c>
      <c r="AG256" s="7">
        <f t="shared" si="391"/>
        <v>0</v>
      </c>
      <c r="AH256">
        <f t="shared" si="392"/>
        <v>-2.6747462407866038</v>
      </c>
      <c r="AI256">
        <v>8</v>
      </c>
      <c r="AP256" t="s">
        <v>58</v>
      </c>
      <c r="AQ256">
        <f t="shared" si="402"/>
        <v>0</v>
      </c>
      <c r="AR256">
        <f t="shared" si="403"/>
        <v>62.9128608915928</v>
      </c>
      <c r="AS256">
        <f t="shared" si="404"/>
        <v>0</v>
      </c>
      <c r="AT256">
        <f t="shared" si="405"/>
        <v>62.9128608915928</v>
      </c>
      <c r="AU256">
        <f t="shared" si="406"/>
        <v>0</v>
      </c>
      <c r="AV256">
        <f t="shared" si="407"/>
        <v>62.9128608915928</v>
      </c>
      <c r="AW256">
        <f t="shared" si="408"/>
        <v>0</v>
      </c>
      <c r="AX256">
        <f t="shared" si="409"/>
        <v>62.9128608915928</v>
      </c>
      <c r="AY256">
        <f t="shared" si="410"/>
        <v>0</v>
      </c>
      <c r="AZ256">
        <f t="shared" si="411"/>
        <v>62.9128608915928</v>
      </c>
      <c r="BA256">
        <f t="shared" si="412"/>
        <v>1.9510766725967672</v>
      </c>
      <c r="BB256">
        <f t="shared" si="413"/>
        <v>86.488170658290201</v>
      </c>
      <c r="BC256">
        <f t="shared" si="414"/>
        <v>15.051271742006362</v>
      </c>
      <c r="BD256">
        <f t="shared" si="415"/>
        <v>93.815787356682009</v>
      </c>
      <c r="BE256">
        <f t="shared" si="416"/>
        <v>28.03064132064042</v>
      </c>
      <c r="BF256">
        <f t="shared" si="417"/>
        <v>101.84583698554694</v>
      </c>
      <c r="BG256">
        <f t="shared" si="418"/>
        <v>40.579187314260722</v>
      </c>
      <c r="BH256">
        <f t="shared" si="419"/>
        <v>111.76387408261022</v>
      </c>
      <c r="BI256">
        <f t="shared" si="420"/>
        <v>52.096153918797427</v>
      </c>
      <c r="BJ256">
        <f t="shared" si="421"/>
        <v>125.71951693085082</v>
      </c>
      <c r="BK256">
        <f t="shared" si="422"/>
        <v>61.179653601104718</v>
      </c>
      <c r="BL256">
        <f t="shared" si="423"/>
        <v>147.61688935411229</v>
      </c>
      <c r="BM256">
        <f t="shared" si="424"/>
        <v>64.936824231055681</v>
      </c>
      <c r="BN256">
        <f t="shared" si="425"/>
        <v>180</v>
      </c>
      <c r="BO256">
        <f t="shared" si="426"/>
        <v>64.936824231055681</v>
      </c>
      <c r="BP256">
        <f t="shared" si="427"/>
        <v>180</v>
      </c>
      <c r="BQ256">
        <f t="shared" si="428"/>
        <v>61.179653601104718</v>
      </c>
      <c r="BR256">
        <f t="shared" si="429"/>
        <v>212.38311064588771</v>
      </c>
      <c r="BS256">
        <f t="shared" si="430"/>
        <v>52.096153918797427</v>
      </c>
      <c r="BT256">
        <f t="shared" si="431"/>
        <v>234.28048306914917</v>
      </c>
      <c r="BU256">
        <f t="shared" si="432"/>
        <v>40.579187314260722</v>
      </c>
      <c r="BV256">
        <f t="shared" si="433"/>
        <v>248.23612591738978</v>
      </c>
      <c r="BW256">
        <f t="shared" si="434"/>
        <v>28.03064132064042</v>
      </c>
      <c r="BX256">
        <f t="shared" si="435"/>
        <v>258.15416301445305</v>
      </c>
      <c r="BY256">
        <f t="shared" si="436"/>
        <v>15.051271742006362</v>
      </c>
      <c r="BZ256">
        <f t="shared" si="437"/>
        <v>266.18421264331801</v>
      </c>
      <c r="CA256">
        <f t="shared" si="438"/>
        <v>1.9510766725967672</v>
      </c>
      <c r="CB256">
        <f t="shared" si="439"/>
        <v>273.51182934170981</v>
      </c>
      <c r="CC256">
        <f t="shared" si="440"/>
        <v>0</v>
      </c>
      <c r="CD256">
        <f t="shared" si="441"/>
        <v>297.0871391084072</v>
      </c>
      <c r="CE256">
        <f t="shared" si="442"/>
        <v>0</v>
      </c>
      <c r="CF256">
        <f t="shared" si="443"/>
        <v>297.0871391084072</v>
      </c>
      <c r="CG256">
        <f t="shared" si="444"/>
        <v>0</v>
      </c>
      <c r="CH256">
        <f t="shared" si="445"/>
        <v>297.0871391084072</v>
      </c>
      <c r="CI256">
        <f t="shared" si="446"/>
        <v>0</v>
      </c>
      <c r="CJ256">
        <f t="shared" si="447"/>
        <v>297.0871391084072</v>
      </c>
      <c r="CK256">
        <f t="shared" si="448"/>
        <v>0</v>
      </c>
      <c r="CL256">
        <f t="shared" si="449"/>
        <v>297.0871391084072</v>
      </c>
    </row>
    <row r="257" spans="1:90" x14ac:dyDescent="0.25">
      <c r="B257" s="39">
        <v>0.58333333333333304</v>
      </c>
      <c r="C257" s="38">
        <v>-30</v>
      </c>
      <c r="D257" s="38">
        <f>+DEGREES(ASIN(COS(RADIANS(E246))*COS(RADIANS(D246))*COS(RADIANS(C257))+SIN(RADIANS(E246))*SIN(RADIANS(D246))))</f>
        <v>44.857666756708923</v>
      </c>
      <c r="E257" s="38">
        <f>-(180-DEGREES(ACOS((((SIN(RADIANS(D257)))*SIN(RADIANS(E246)))-SIN(RADIANS(D246)))/((COS(RADIANS(D257)))*COS(RADIANS(E246))))))</f>
        <v>-135.1430444212443</v>
      </c>
      <c r="G257">
        <f t="shared" si="394"/>
        <v>4.5142333243291075</v>
      </c>
      <c r="H257">
        <f t="shared" si="395"/>
        <v>225.1430444212443</v>
      </c>
      <c r="I257" s="7">
        <f t="shared" si="396"/>
        <v>0</v>
      </c>
      <c r="J257" s="7">
        <f t="shared" si="397"/>
        <v>0</v>
      </c>
      <c r="M257" s="39">
        <v>0.58333333333333304</v>
      </c>
      <c r="N257" s="38">
        <v>-30</v>
      </c>
      <c r="O257" s="38">
        <f>+DEGREES(ASIN(COS(RADIANS(P246))*COS(RADIANS(O246))*COS(RADIANS(N257))+SIN(RADIANS(P246))*SIN(RADIANS(O246))))</f>
        <v>41.213675801003689</v>
      </c>
      <c r="P257" s="38">
        <f>-(180-DEGREES(ACOS((((SIN(RADIANS(O257)))*SIN(RADIANS(P246)))-SIN(RADIANS(O246)))/((COS(RADIANS(O257)))*COS(RADIANS(P246))))))</f>
        <v>-138.34456757188187</v>
      </c>
      <c r="R257">
        <f t="shared" si="398"/>
        <v>4.8786324198996311</v>
      </c>
      <c r="S257">
        <f t="shared" si="399"/>
        <v>228.34456757188187</v>
      </c>
      <c r="T257" s="7">
        <f t="shared" si="400"/>
        <v>0</v>
      </c>
      <c r="U257" s="7">
        <f t="shared" si="401"/>
        <v>0</v>
      </c>
      <c r="AB257" s="39">
        <v>0.41666666666667102</v>
      </c>
      <c r="AC257">
        <f t="shared" si="393"/>
        <v>3</v>
      </c>
      <c r="AD257">
        <f t="shared" si="388"/>
        <v>0</v>
      </c>
      <c r="AE257" s="7">
        <f t="shared" si="389"/>
        <v>3.1343874494739405</v>
      </c>
      <c r="AF257">
        <f t="shared" si="390"/>
        <v>3.1343874494739405</v>
      </c>
      <c r="AG257" s="7">
        <f t="shared" si="391"/>
        <v>0</v>
      </c>
      <c r="AH257">
        <f t="shared" si="392"/>
        <v>-2.7527069390957655</v>
      </c>
      <c r="AP257" t="s">
        <v>59</v>
      </c>
      <c r="AQ257">
        <f t="shared" si="402"/>
        <v>0</v>
      </c>
      <c r="AR257">
        <f t="shared" si="403"/>
        <v>62.9128608915928</v>
      </c>
      <c r="AS257">
        <f t="shared" si="404"/>
        <v>0</v>
      </c>
      <c r="AT257">
        <f t="shared" si="405"/>
        <v>62.9128608915928</v>
      </c>
      <c r="AU257">
        <f t="shared" si="406"/>
        <v>0</v>
      </c>
      <c r="AV257">
        <f t="shared" si="407"/>
        <v>62.9128608915928</v>
      </c>
      <c r="AW257">
        <f t="shared" si="408"/>
        <v>0</v>
      </c>
      <c r="AX257">
        <f t="shared" si="409"/>
        <v>62.9128608915928</v>
      </c>
      <c r="AY257">
        <f t="shared" si="410"/>
        <v>0</v>
      </c>
      <c r="AZ257">
        <f t="shared" si="411"/>
        <v>62.9128608915928</v>
      </c>
      <c r="BA257">
        <f t="shared" si="412"/>
        <v>7.1796941081018506</v>
      </c>
      <c r="BB257">
        <f t="shared" si="413"/>
        <v>76.908415468616056</v>
      </c>
      <c r="BC257">
        <f t="shared" si="414"/>
        <v>20.094408212134532</v>
      </c>
      <c r="BD257">
        <f t="shared" si="415"/>
        <v>83.69300591455243</v>
      </c>
      <c r="BE257">
        <f t="shared" si="416"/>
        <v>33.179114183303909</v>
      </c>
      <c r="BF257">
        <f t="shared" si="417"/>
        <v>90.692173646055892</v>
      </c>
      <c r="BG257">
        <f t="shared" si="418"/>
        <v>46.234000924702507</v>
      </c>
      <c r="BH257">
        <f t="shared" si="419"/>
        <v>98.931073312987834</v>
      </c>
      <c r="BI257">
        <f t="shared" si="420"/>
        <v>58.913198956609463</v>
      </c>
      <c r="BJ257">
        <f t="shared" si="421"/>
        <v>110.64261236918068</v>
      </c>
      <c r="BK257">
        <f t="shared" si="422"/>
        <v>70.179120424793908</v>
      </c>
      <c r="BL257">
        <f t="shared" si="423"/>
        <v>132.47024428392857</v>
      </c>
      <c r="BM257">
        <f t="shared" si="424"/>
        <v>75.820887455874669</v>
      </c>
      <c r="BN257">
        <f t="shared" si="425"/>
        <v>180</v>
      </c>
      <c r="BO257">
        <f t="shared" si="426"/>
        <v>75.820887455874669</v>
      </c>
      <c r="BP257">
        <f t="shared" si="427"/>
        <v>180</v>
      </c>
      <c r="BQ257">
        <f t="shared" si="428"/>
        <v>70.179120424793908</v>
      </c>
      <c r="BR257">
        <f t="shared" si="429"/>
        <v>227.52975571607143</v>
      </c>
      <c r="BS257">
        <f t="shared" si="430"/>
        <v>58.913198956609463</v>
      </c>
      <c r="BT257">
        <f t="shared" si="431"/>
        <v>249.35738763081932</v>
      </c>
      <c r="BU257">
        <f t="shared" si="432"/>
        <v>46.234000924702507</v>
      </c>
      <c r="BV257">
        <f t="shared" si="433"/>
        <v>261.06892668701215</v>
      </c>
      <c r="BW257">
        <f t="shared" si="434"/>
        <v>33.179114183303909</v>
      </c>
      <c r="BX257">
        <f t="shared" si="435"/>
        <v>269.30782635394411</v>
      </c>
      <c r="BY257">
        <f t="shared" si="436"/>
        <v>20.094408212134532</v>
      </c>
      <c r="BZ257">
        <f t="shared" si="437"/>
        <v>276.30699408544757</v>
      </c>
      <c r="CA257">
        <f t="shared" si="438"/>
        <v>7.1796941081018506</v>
      </c>
      <c r="CB257">
        <f t="shared" si="439"/>
        <v>283.09158453138394</v>
      </c>
      <c r="CC257">
        <f t="shared" si="440"/>
        <v>0</v>
      </c>
      <c r="CD257">
        <f t="shared" si="441"/>
        <v>297.0871391084072</v>
      </c>
      <c r="CE257">
        <f t="shared" si="442"/>
        <v>0</v>
      </c>
      <c r="CF257">
        <f t="shared" si="443"/>
        <v>297.0871391084072</v>
      </c>
      <c r="CG257">
        <f t="shared" si="444"/>
        <v>0</v>
      </c>
      <c r="CH257">
        <f t="shared" si="445"/>
        <v>297.0871391084072</v>
      </c>
      <c r="CI257">
        <f t="shared" si="446"/>
        <v>0</v>
      </c>
      <c r="CJ257">
        <f t="shared" si="447"/>
        <v>297.0871391084072</v>
      </c>
      <c r="CK257">
        <f t="shared" si="448"/>
        <v>0</v>
      </c>
      <c r="CL257">
        <f t="shared" si="449"/>
        <v>297.0871391084072</v>
      </c>
    </row>
    <row r="258" spans="1:90" x14ac:dyDescent="0.25">
      <c r="B258" s="39">
        <v>0.625</v>
      </c>
      <c r="C258">
        <v>-45</v>
      </c>
      <c r="D258" s="38">
        <f>+DEGREES(ASIN(COS(RADIANS(E246))*COS(RADIANS(D246))*COS(RADIANS(C258))+SIN(RADIANS(E246))*SIN(RADIANS(D246))))</f>
        <v>35.111729759019639</v>
      </c>
      <c r="E258" s="38">
        <f>-(180-DEGREES(ACOS((((SIN(RADIANS(D258)))*SIN(RADIANS(E246)))-SIN(RADIANS(D246)))/((COS(RADIANS(D258)))*COS(RADIANS(E246))))))</f>
        <v>-120.18818988919975</v>
      </c>
      <c r="G258">
        <f t="shared" si="394"/>
        <v>5.4888270240980361</v>
      </c>
      <c r="H258">
        <f t="shared" si="395"/>
        <v>210.18818988919975</v>
      </c>
      <c r="I258" s="7">
        <f t="shared" si="396"/>
        <v>0</v>
      </c>
      <c r="J258" s="7">
        <f t="shared" si="397"/>
        <v>0</v>
      </c>
      <c r="M258" s="39">
        <v>0.625</v>
      </c>
      <c r="N258">
        <v>-45</v>
      </c>
      <c r="O258" s="38">
        <f>+DEGREES(ASIN(COS(RADIANS(P246))*COS(RADIANS(O246))*COS(RADIANS(N258))+SIN(RADIANS(P246))*SIN(RADIANS(O246))))</f>
        <v>32.488704386447722</v>
      </c>
      <c r="P258" s="38">
        <f>-(180-DEGREES(ACOS((((SIN(RADIANS(O258)))*SIN(RADIANS(P246)))-SIN(RADIANS(O246)))/((COS(RADIANS(O258)))*COS(RADIANS(P246))))))</f>
        <v>-123.04078211842585</v>
      </c>
      <c r="R258">
        <f t="shared" si="398"/>
        <v>5.7511295613552278</v>
      </c>
      <c r="S258">
        <f t="shared" si="399"/>
        <v>213.04078211842585</v>
      </c>
      <c r="T258" s="7">
        <f t="shared" si="400"/>
        <v>0</v>
      </c>
      <c r="U258" s="7">
        <f t="shared" si="401"/>
        <v>0</v>
      </c>
      <c r="AA258">
        <v>9</v>
      </c>
      <c r="AB258" s="39">
        <v>0.42708333333333798</v>
      </c>
      <c r="AC258">
        <f t="shared" si="393"/>
        <v>2.625</v>
      </c>
      <c r="AD258">
        <f t="shared" si="388"/>
        <v>0</v>
      </c>
      <c r="AE258" s="7">
        <f t="shared" si="389"/>
        <v>2.744926689135641</v>
      </c>
      <c r="AF258">
        <f t="shared" si="390"/>
        <v>2.744926689135641</v>
      </c>
      <c r="AG258" s="7">
        <f t="shared" si="391"/>
        <v>0</v>
      </c>
      <c r="AH258">
        <f t="shared" si="392"/>
        <v>-2.8209462684055397</v>
      </c>
      <c r="AI258">
        <v>9</v>
      </c>
      <c r="AP258" t="s">
        <v>60</v>
      </c>
      <c r="AQ258">
        <f t="shared" si="402"/>
        <v>0</v>
      </c>
      <c r="AR258">
        <f t="shared" si="403"/>
        <v>62.9128608915928</v>
      </c>
      <c r="AS258">
        <f t="shared" si="404"/>
        <v>0</v>
      </c>
      <c r="AT258">
        <f t="shared" si="405"/>
        <v>62.9128608915928</v>
      </c>
      <c r="AU258">
        <f t="shared" si="406"/>
        <v>0</v>
      </c>
      <c r="AV258">
        <f t="shared" si="407"/>
        <v>62.9128608915928</v>
      </c>
      <c r="AW258">
        <f t="shared" si="408"/>
        <v>0</v>
      </c>
      <c r="AX258">
        <f t="shared" si="409"/>
        <v>62.9128608915928</v>
      </c>
      <c r="AY258">
        <f t="shared" si="410"/>
        <v>0</v>
      </c>
      <c r="AZ258">
        <f t="shared" si="411"/>
        <v>62.9128608915928</v>
      </c>
      <c r="BA258">
        <f t="shared" si="412"/>
        <v>10.508522694850116</v>
      </c>
      <c r="BB258">
        <f t="shared" si="413"/>
        <v>70.516285917220941</v>
      </c>
      <c r="BC258">
        <f t="shared" si="414"/>
        <v>23.081833865003894</v>
      </c>
      <c r="BD258">
        <f t="shared" si="415"/>
        <v>76.718561537440678</v>
      </c>
      <c r="BE258">
        <f t="shared" si="416"/>
        <v>35.974200517974971</v>
      </c>
      <c r="BF258">
        <f t="shared" si="417"/>
        <v>82.710211003016923</v>
      </c>
      <c r="BG258">
        <f t="shared" si="418"/>
        <v>49.04228910837859</v>
      </c>
      <c r="BH258">
        <f t="shared" si="419"/>
        <v>89.179775376606813</v>
      </c>
      <c r="BI258">
        <f t="shared" si="420"/>
        <v>62.120147714715685</v>
      </c>
      <c r="BJ258">
        <f t="shared" si="421"/>
        <v>97.645217635946267</v>
      </c>
      <c r="BK258">
        <f t="shared" si="422"/>
        <v>74.765245687919915</v>
      </c>
      <c r="BL258">
        <f t="shared" si="423"/>
        <v>114.0806639695666</v>
      </c>
      <c r="BM258">
        <f t="shared" si="424"/>
        <v>82.959624558737431</v>
      </c>
      <c r="BN258">
        <f t="shared" si="425"/>
        <v>180</v>
      </c>
      <c r="BO258">
        <f t="shared" si="426"/>
        <v>82.959624558737431</v>
      </c>
      <c r="BP258">
        <f t="shared" si="427"/>
        <v>180</v>
      </c>
      <c r="BQ258">
        <f t="shared" si="428"/>
        <v>74.765245687919915</v>
      </c>
      <c r="BR258">
        <f t="shared" si="429"/>
        <v>245.91933603043339</v>
      </c>
      <c r="BS258">
        <f t="shared" si="430"/>
        <v>62.120147714715685</v>
      </c>
      <c r="BT258">
        <f t="shared" si="431"/>
        <v>262.35478236405373</v>
      </c>
      <c r="BU258">
        <f t="shared" si="432"/>
        <v>49.04228910837859</v>
      </c>
      <c r="BV258">
        <f t="shared" si="433"/>
        <v>270.82022462339319</v>
      </c>
      <c r="BW258">
        <f t="shared" si="434"/>
        <v>35.974200517974971</v>
      </c>
      <c r="BX258">
        <f t="shared" si="435"/>
        <v>277.28978899698308</v>
      </c>
      <c r="BY258">
        <f t="shared" si="436"/>
        <v>23.081833865003894</v>
      </c>
      <c r="BZ258">
        <f t="shared" si="437"/>
        <v>283.28143846255932</v>
      </c>
      <c r="CA258">
        <f t="shared" si="438"/>
        <v>10.508522694850116</v>
      </c>
      <c r="CB258">
        <f t="shared" si="439"/>
        <v>289.48371408277904</v>
      </c>
      <c r="CC258">
        <f t="shared" si="440"/>
        <v>0</v>
      </c>
      <c r="CD258">
        <f t="shared" si="441"/>
        <v>297.0871391084072</v>
      </c>
      <c r="CE258">
        <f t="shared" si="442"/>
        <v>0</v>
      </c>
      <c r="CF258">
        <f t="shared" si="443"/>
        <v>297.0871391084072</v>
      </c>
      <c r="CG258">
        <f t="shared" si="444"/>
        <v>0</v>
      </c>
      <c r="CH258">
        <f t="shared" si="445"/>
        <v>297.0871391084072</v>
      </c>
      <c r="CI258">
        <f t="shared" si="446"/>
        <v>0</v>
      </c>
      <c r="CJ258">
        <f t="shared" si="447"/>
        <v>297.0871391084072</v>
      </c>
      <c r="CK258">
        <f t="shared" si="448"/>
        <v>0</v>
      </c>
      <c r="CL258">
        <f t="shared" si="449"/>
        <v>297.0871391084072</v>
      </c>
    </row>
    <row r="259" spans="1:90" x14ac:dyDescent="0.25">
      <c r="B259" s="39">
        <v>0.66666666666666696</v>
      </c>
      <c r="C259" s="38">
        <v>-60</v>
      </c>
      <c r="D259" s="38">
        <f>+DEGREES(ASIN(COS(RADIANS(E246))*COS(RADIANS(D246))*COS(RADIANS(C259))+SIN(RADIANS(E246))*SIN(RADIANS(D246))))</f>
        <v>23.924030583709875</v>
      </c>
      <c r="E259" s="38">
        <f>-(180-DEGREES(ACOS((((SIN(RADIANS(D259)))*SIN(RADIANS(E246)))-SIN(RADIANS(D246)))/((COS(RADIANS(D259)))*COS(RADIANS(E246))))))</f>
        <v>-108.66591387786362</v>
      </c>
      <c r="G259">
        <f t="shared" si="394"/>
        <v>6.6075969416290121</v>
      </c>
      <c r="H259">
        <f t="shared" si="395"/>
        <v>198.6659138778636</v>
      </c>
      <c r="I259" s="7">
        <f t="shared" si="396"/>
        <v>0</v>
      </c>
      <c r="J259" s="7">
        <f t="shared" si="397"/>
        <v>0</v>
      </c>
      <c r="M259" s="39">
        <v>0.66666666666666696</v>
      </c>
      <c r="N259" s="38">
        <v>-60</v>
      </c>
      <c r="O259" s="38">
        <f>+DEGREES(ASIN(COS(RADIANS(P246))*COS(RADIANS(O246))*COS(RADIANS(N259))+SIN(RADIANS(P246))*SIN(RADIANS(O246))))</f>
        <v>22.23982612103455</v>
      </c>
      <c r="P259" s="38">
        <f>-(180-DEGREES(ACOS((((SIN(RADIANS(O259)))*SIN(RADIANS(P246)))-SIN(RADIANS(O246)))/((COS(RADIANS(O259)))*COS(RADIANS(P246))))))</f>
        <v>-110.67377019183745</v>
      </c>
      <c r="R259">
        <f t="shared" si="398"/>
        <v>6.7760173878965446</v>
      </c>
      <c r="S259">
        <f t="shared" si="399"/>
        <v>200.67377019183743</v>
      </c>
      <c r="T259" s="7">
        <f t="shared" si="400"/>
        <v>0</v>
      </c>
      <c r="U259" s="7">
        <f t="shared" si="401"/>
        <v>0</v>
      </c>
      <c r="AB259" s="39">
        <v>0.437500000000005</v>
      </c>
      <c r="AC259">
        <f t="shared" si="393"/>
        <v>2.25</v>
      </c>
      <c r="AD259">
        <f t="shared" si="388"/>
        <v>0</v>
      </c>
      <c r="AE259" s="7">
        <f t="shared" si="389"/>
        <v>2.3545037010682437</v>
      </c>
      <c r="AF259">
        <f t="shared" si="390"/>
        <v>2.3545037010682437</v>
      </c>
      <c r="AG259" s="7">
        <f t="shared" si="391"/>
        <v>0</v>
      </c>
      <c r="AH259">
        <f t="shared" si="392"/>
        <v>-2.8796764360807559</v>
      </c>
      <c r="AP259" t="s">
        <v>61</v>
      </c>
      <c r="AQ259">
        <f t="shared" ref="AQ259:BM259" si="450">+AQ248</f>
        <v>0</v>
      </c>
      <c r="AR259">
        <f t="shared" si="450"/>
        <v>62.9128608915928</v>
      </c>
      <c r="AS259">
        <f t="shared" si="450"/>
        <v>0</v>
      </c>
      <c r="AT259">
        <f t="shared" si="450"/>
        <v>62.9128608915928</v>
      </c>
      <c r="AU259">
        <f t="shared" si="450"/>
        <v>0</v>
      </c>
      <c r="AV259">
        <f t="shared" si="450"/>
        <v>62.9128608915928</v>
      </c>
      <c r="AW259">
        <f t="shared" si="450"/>
        <v>0</v>
      </c>
      <c r="AX259">
        <f t="shared" si="450"/>
        <v>62.9128608915928</v>
      </c>
      <c r="AY259">
        <f t="shared" si="450"/>
        <v>0</v>
      </c>
      <c r="AZ259">
        <f t="shared" si="450"/>
        <v>62.9128608915928</v>
      </c>
      <c r="BA259">
        <f t="shared" si="450"/>
        <v>11.152054967319165</v>
      </c>
      <c r="BB259">
        <f t="shared" si="450"/>
        <v>69.238766580276192</v>
      </c>
      <c r="BC259">
        <f t="shared" si="450"/>
        <v>23.63600454935963</v>
      </c>
      <c r="BD259">
        <f t="shared" si="450"/>
        <v>75.306075969479892</v>
      </c>
      <c r="BE259">
        <f t="shared" si="450"/>
        <v>36.462362723804389</v>
      </c>
      <c r="BF259">
        <f t="shared" si="450"/>
        <v>81.070349439875727</v>
      </c>
      <c r="BG259">
        <f t="shared" si="450"/>
        <v>49.494624805188728</v>
      </c>
      <c r="BH259">
        <f t="shared" si="450"/>
        <v>87.132774729162193</v>
      </c>
      <c r="BI259">
        <f t="shared" si="450"/>
        <v>62.593106094089499</v>
      </c>
      <c r="BJ259">
        <f t="shared" si="450"/>
        <v>94.781580028246267</v>
      </c>
      <c r="BK259">
        <f t="shared" si="450"/>
        <v>75.433504705998018</v>
      </c>
      <c r="BL259">
        <f t="shared" si="450"/>
        <v>109.24906860936896</v>
      </c>
      <c r="BM259">
        <f t="shared" si="450"/>
        <v>84.369782846813621</v>
      </c>
      <c r="BN259">
        <f>IF(BN248=0,180,BN248)</f>
        <v>180</v>
      </c>
      <c r="BO259">
        <f>+BO248</f>
        <v>84.369782846813621</v>
      </c>
      <c r="BP259">
        <f>IF(BP248=360,180,BP248)</f>
        <v>180</v>
      </c>
      <c r="BQ259">
        <f t="shared" ref="BQ259:CL259" si="451">+BQ248</f>
        <v>75.433504705998018</v>
      </c>
      <c r="BR259">
        <f t="shared" si="451"/>
        <v>250.75093139063102</v>
      </c>
      <c r="BS259">
        <f t="shared" si="451"/>
        <v>62.593106094089499</v>
      </c>
      <c r="BT259">
        <f t="shared" si="451"/>
        <v>265.21841997175375</v>
      </c>
      <c r="BU259">
        <f t="shared" si="451"/>
        <v>49.494624805188728</v>
      </c>
      <c r="BV259">
        <f t="shared" si="451"/>
        <v>272.86722527083782</v>
      </c>
      <c r="BW259">
        <f t="shared" si="451"/>
        <v>36.462362723804389</v>
      </c>
      <c r="BX259">
        <f t="shared" si="451"/>
        <v>278.92965056012429</v>
      </c>
      <c r="BY259">
        <f t="shared" si="451"/>
        <v>23.63600454935963</v>
      </c>
      <c r="BZ259">
        <f t="shared" si="451"/>
        <v>284.69392403052012</v>
      </c>
      <c r="CA259">
        <f t="shared" si="451"/>
        <v>11.152054967319165</v>
      </c>
      <c r="CB259">
        <f t="shared" si="451"/>
        <v>290.76123341972379</v>
      </c>
      <c r="CC259">
        <f t="shared" si="451"/>
        <v>0</v>
      </c>
      <c r="CD259">
        <f t="shared" si="451"/>
        <v>297.0871391084072</v>
      </c>
      <c r="CE259">
        <f t="shared" si="451"/>
        <v>0</v>
      </c>
      <c r="CF259">
        <f t="shared" si="451"/>
        <v>297.0871391084072</v>
      </c>
      <c r="CG259">
        <f t="shared" si="451"/>
        <v>0</v>
      </c>
      <c r="CH259">
        <f t="shared" si="451"/>
        <v>297.0871391084072</v>
      </c>
      <c r="CI259">
        <f t="shared" si="451"/>
        <v>0</v>
      </c>
      <c r="CJ259">
        <f t="shared" si="451"/>
        <v>297.0871391084072</v>
      </c>
      <c r="CK259">
        <f t="shared" si="451"/>
        <v>0</v>
      </c>
      <c r="CL259">
        <f t="shared" si="451"/>
        <v>297.0871391084072</v>
      </c>
    </row>
    <row r="260" spans="1:90" x14ac:dyDescent="0.25">
      <c r="B260" s="39">
        <v>0.70833333333333404</v>
      </c>
      <c r="C260">
        <v>-75</v>
      </c>
      <c r="D260" s="38">
        <f>+DEGREES(ASIN(COS(RADIANS(E246))*COS(RADIANS(D246))*COS(RADIANS(C260))+SIN(RADIANS(E246))*SIN(RADIANS(D246))))</f>
        <v>12.003183070128085</v>
      </c>
      <c r="E260" s="38">
        <f>-(180-DEGREES(ACOS((((SIN(RADIANS(D260)))*SIN(RADIANS(E246)))-SIN(RADIANS(D246)))/((COS(RADIANS(D260)))*COS(RADIANS(E246))))))</f>
        <v>-99.071505636599269</v>
      </c>
      <c r="G260">
        <f t="shared" si="394"/>
        <v>7.7996816929871917</v>
      </c>
      <c r="H260">
        <f t="shared" si="395"/>
        <v>189.07150563659928</v>
      </c>
      <c r="I260" s="7">
        <f t="shared" si="396"/>
        <v>0</v>
      </c>
      <c r="J260" s="7">
        <f t="shared" si="397"/>
        <v>0</v>
      </c>
      <c r="M260" s="39">
        <v>0.70833333333333404</v>
      </c>
      <c r="N260">
        <v>-75</v>
      </c>
      <c r="O260" s="38">
        <f>+DEGREES(ASIN(COS(RADIANS(P246))*COS(RADIANS(O246))*COS(RADIANS(N260))+SIN(RADIANS(P246))*SIN(RADIANS(O246))))</f>
        <v>11.170748849463411</v>
      </c>
      <c r="P260" s="38">
        <f>-(180-DEGREES(ACOS((((SIN(RADIANS(O260)))*SIN(RADIANS(P246)))-SIN(RADIANS(O246)))/((COS(RADIANS(O260)))*COS(RADIANS(P246))))))</f>
        <v>-100.08303941337513</v>
      </c>
      <c r="R260">
        <f t="shared" si="398"/>
        <v>7.8829251150536592</v>
      </c>
      <c r="S260">
        <f t="shared" si="399"/>
        <v>190.08303941337513</v>
      </c>
      <c r="T260" s="7">
        <f t="shared" si="400"/>
        <v>0</v>
      </c>
      <c r="U260" s="7">
        <f t="shared" si="401"/>
        <v>0</v>
      </c>
      <c r="AA260">
        <v>10</v>
      </c>
      <c r="AB260" s="39">
        <v>0.44791666666667201</v>
      </c>
      <c r="AC260">
        <f t="shared" si="393"/>
        <v>1.875</v>
      </c>
      <c r="AD260">
        <f t="shared" si="388"/>
        <v>0</v>
      </c>
      <c r="AE260" s="7">
        <f t="shared" si="389"/>
        <v>1.9632756679104444</v>
      </c>
      <c r="AF260">
        <f t="shared" si="390"/>
        <v>1.9632756679104444</v>
      </c>
      <c r="AG260" s="7">
        <f t="shared" si="391"/>
        <v>0</v>
      </c>
      <c r="AH260">
        <f t="shared" si="392"/>
        <v>-2.9290771979326018</v>
      </c>
      <c r="AI260">
        <v>10</v>
      </c>
    </row>
    <row r="261" spans="1:90" x14ac:dyDescent="0.25">
      <c r="B261" s="39">
        <v>0.75</v>
      </c>
      <c r="C261" s="38">
        <v>-90</v>
      </c>
      <c r="D261" s="38">
        <f>+DEGREES(ASIN(COS(RADIANS(E246))*COS(RADIANS(D246))*COS(RADIANS(C261))+SIN(RADIANS(E246))*SIN(RADIANS(D246))))</f>
        <v>-0.23152467989920697</v>
      </c>
      <c r="E261" s="38">
        <f>-(180-DEGREES(ACOS((((SIN(RADIANS(D261)))*SIN(RADIANS(E246)))-SIN(RADIANS(D246)))/((COS(RADIANS(D261)))*COS(RADIANS(E246))))))</f>
        <v>-90.330655145206109</v>
      </c>
      <c r="G261">
        <f t="shared" si="394"/>
        <v>9.0231524679899202</v>
      </c>
      <c r="H261">
        <f t="shared" si="395"/>
        <v>180.33065514520609</v>
      </c>
      <c r="I261" s="7">
        <f t="shared" si="396"/>
        <v>0</v>
      </c>
      <c r="J261" s="7">
        <f t="shared" si="397"/>
        <v>0</v>
      </c>
      <c r="M261" s="39">
        <v>0.75</v>
      </c>
      <c r="N261" s="38">
        <v>-90</v>
      </c>
      <c r="O261" s="38">
        <f>+DEGREES(ASIN(COS(RADIANS(P246))*COS(RADIANS(O246))*COS(RADIANS(N261))+SIN(RADIANS(P246))*SIN(RADIANS(O246))))</f>
        <v>-0.25946201723650403</v>
      </c>
      <c r="P261" s="38">
        <f>-(180-DEGREES(ACOS((((SIN(RADIANS(O261)))*SIN(RADIANS(P246)))-SIN(RADIANS(O246)))/((COS(RADIANS(O261)))*COS(RADIANS(P246))))))</f>
        <v>-90.309218405953629</v>
      </c>
      <c r="R261">
        <f t="shared" si="398"/>
        <v>9.0259462017236505</v>
      </c>
      <c r="S261">
        <f t="shared" si="399"/>
        <v>180.30921840595363</v>
      </c>
      <c r="T261" s="7">
        <f t="shared" si="400"/>
        <v>0</v>
      </c>
      <c r="U261" s="7">
        <f t="shared" si="401"/>
        <v>0</v>
      </c>
      <c r="AB261" s="39">
        <v>0.45833333333333898</v>
      </c>
      <c r="AC261">
        <f t="shared" si="393"/>
        <v>1.5</v>
      </c>
      <c r="AD261">
        <f t="shared" si="388"/>
        <v>0</v>
      </c>
      <c r="AE261" s="7">
        <f t="shared" si="389"/>
        <v>1.5713903200522465</v>
      </c>
      <c r="AF261">
        <f t="shared" si="390"/>
        <v>1.5713903200522465</v>
      </c>
      <c r="AG261" s="7">
        <f t="shared" si="391"/>
        <v>0</v>
      </c>
      <c r="AH261">
        <f t="shared" si="392"/>
        <v>-2.9692977066286788</v>
      </c>
    </row>
    <row r="262" spans="1:90" x14ac:dyDescent="0.25">
      <c r="AA262">
        <v>11</v>
      </c>
      <c r="AB262" s="39">
        <v>0.468750000000006</v>
      </c>
      <c r="AC262">
        <f t="shared" si="393"/>
        <v>1.125</v>
      </c>
      <c r="AD262">
        <f t="shared" si="388"/>
        <v>0</v>
      </c>
      <c r="AE262" s="7">
        <f t="shared" si="389"/>
        <v>1.1789878076001212</v>
      </c>
      <c r="AF262">
        <f t="shared" si="390"/>
        <v>1.1789878076001212</v>
      </c>
      <c r="AG262" s="7">
        <f t="shared" si="391"/>
        <v>0</v>
      </c>
      <c r="AH262">
        <f t="shared" si="392"/>
        <v>-3.0004580236470666</v>
      </c>
      <c r="AI262">
        <v>11</v>
      </c>
    </row>
    <row r="263" spans="1:90" x14ac:dyDescent="0.25">
      <c r="AB263" s="39">
        <v>0.47916666666667301</v>
      </c>
      <c r="AC263">
        <f t="shared" si="393"/>
        <v>0.75</v>
      </c>
      <c r="AD263">
        <f t="shared" si="388"/>
        <v>0</v>
      </c>
      <c r="AE263" s="7">
        <f t="shared" si="389"/>
        <v>0.78620240425297039</v>
      </c>
      <c r="AF263">
        <f t="shared" si="390"/>
        <v>0.78620240425297039</v>
      </c>
      <c r="AG263" s="7">
        <f t="shared" si="391"/>
        <v>0</v>
      </c>
      <c r="AH263">
        <f t="shared" si="392"/>
        <v>-3.0226503216950054</v>
      </c>
    </row>
    <row r="264" spans="1:90" x14ac:dyDescent="0.25">
      <c r="A264" s="41" t="s">
        <v>92</v>
      </c>
      <c r="B264" s="41">
        <v>21</v>
      </c>
      <c r="C264" s="315"/>
      <c r="D264" s="315"/>
      <c r="E264" s="316"/>
      <c r="L264" s="41" t="s">
        <v>92</v>
      </c>
      <c r="M264" s="41">
        <v>21</v>
      </c>
      <c r="N264" s="315"/>
      <c r="O264" s="315"/>
      <c r="P264" s="316"/>
      <c r="AA264">
        <v>12</v>
      </c>
      <c r="AB264" s="39">
        <v>0.48958333333333998</v>
      </c>
      <c r="AC264">
        <f t="shared" si="393"/>
        <v>0.375</v>
      </c>
      <c r="AD264">
        <f t="shared" si="388"/>
        <v>0</v>
      </c>
      <c r="AE264" s="7">
        <f t="shared" si="389"/>
        <v>0.39316408310632844</v>
      </c>
      <c r="AF264">
        <f t="shared" si="390"/>
        <v>0.39316408310632844</v>
      </c>
      <c r="AG264" s="7">
        <f t="shared" si="391"/>
        <v>0</v>
      </c>
      <c r="AH264">
        <f t="shared" si="392"/>
        <v>-3.0359397988140482</v>
      </c>
      <c r="AI264">
        <v>12</v>
      </c>
    </row>
    <row r="265" spans="1:90" x14ac:dyDescent="0.25">
      <c r="A265" s="41" t="s">
        <v>91</v>
      </c>
      <c r="B265" s="41">
        <v>3</v>
      </c>
      <c r="C265" s="315"/>
      <c r="D265" s="315"/>
      <c r="E265" s="316"/>
      <c r="L265" s="41" t="s">
        <v>91</v>
      </c>
      <c r="M265" s="41">
        <v>3</v>
      </c>
      <c r="N265" s="315"/>
      <c r="O265" s="315"/>
      <c r="P265" s="316"/>
      <c r="AB265" s="39">
        <v>0.50000000000000699</v>
      </c>
      <c r="AC265">
        <f t="shared" si="393"/>
        <v>0</v>
      </c>
      <c r="AD265">
        <f t="shared" si="388"/>
        <v>0</v>
      </c>
      <c r="AE265" s="7">
        <f t="shared" si="389"/>
        <v>1.8624494371914661E-16</v>
      </c>
      <c r="AF265">
        <f t="shared" si="390"/>
        <v>1.8624494371914661E-16</v>
      </c>
      <c r="AG265" s="7">
        <f t="shared" si="391"/>
        <v>0</v>
      </c>
      <c r="AH265">
        <f t="shared" si="392"/>
        <v>-3.0403653201854306</v>
      </c>
    </row>
    <row r="266" spans="1:90" x14ac:dyDescent="0.25">
      <c r="C266" s="32">
        <f>+IF(B265=$AI$63,B264,IF(B265=$AJ$63,$AI$64+B264,IF(B265=$AK$63,$AI$64+$AJ$64+B264,IF(B265=$AL$63,$AI$64+$AJ$64+$AK$64+B264,IF(B265=$AM$63,$AI$64+$AJ$64+$AK$64+$AL$64+B264,IF(B265=$AN$63,$AI$64+$AJ$64+$AK$64+$AL$64+$AM$64+B264,IF(B265=$AO$63,$AI$64+$AJ$64+$AK$64+$AL$64+$AM$64+$AN$64+B264,IF(B265=$AP$63,$AI$64+$AJ$64+$AK$64+$AL$64+$AM$64+$AN$64+$AO$64+B264,IF(B265=$AQ$63,$AI$64+$AJ$64+$AK$64+$AL$64+$AM$64+$AN$64+$AO$64+$AP$64+B264,IF(B265=$AR$63,$AI$64+$AJ$64+$AK$64+$AL$64+$AM$64+$AN$64+$AO$64+$AP$64+$AQ$64+B264,IF(B265=$AS$63,$AI$64+$AJ$64+$AK$64+$AL$64+$AM$64+$AN$64+$AO$64+$AP$64+$AQ$64+$AR$64+B264,IF(B265=$AT$63,$AI$64+$AJ$64+$AK$64+$AL$64+$AM$64+$AN$64+$AO$64+$AP$64+$AQ$64+$AR$64+$AS$64+B264,"error"))))))))))))</f>
        <v>80</v>
      </c>
      <c r="D266" s="38">
        <f>23.45*SIN(RADIANS(360*((284+C266)/365)))</f>
        <v>-0.40365320185431652</v>
      </c>
      <c r="E266" s="41">
        <v>45</v>
      </c>
      <c r="N266" s="32">
        <f>+IF(M265=$AI$63,M264,IF(M265=$AJ$63,$AI$64+M264,IF(M265=$AK$63,$AI$64+$AJ$64+M264,IF(M265=$AL$63,$AI$64+$AJ$64+$AK$64+M264,IF(M265=$AM$63,$AI$64+$AJ$64+$AK$64+$AL$64+M264,IF(M265=$AN$63,$AI$64+$AJ$64+$AK$64+$AL$64+$AM$64+M264,IF(M265=$AO$63,$AI$64+$AJ$64+$AK$64+$AL$64+$AM$64+$AN$64+M264,IF(M265=$AP$63,$AI$64+$AJ$64+$AK$64+$AL$64+$AM$64+$AN$64+$AO$64+M264,IF(M265=$AQ$63,$AI$64+$AJ$64+$AK$64+$AL$64+$AM$64+$AN$64+$AO$64+$AP$64+M264,IF(M265=$AR$63,$AI$64+$AJ$64+$AK$64+$AL$64+$AM$64+$AN$64+$AO$64+$AP$64+$AQ$64+M264,IF(M265=$AS$63,$AI$64+$AJ$64+$AK$64+$AL$64+$AM$64+$AN$64+$AO$64+$AP$64+$AQ$64+$AR$64+M264,IF(M265=$AT$63,$AI$64+$AJ$64+$AK$64+$AL$64+$AM$64+$AN$64+$AO$64+$AP$64+$AQ$64+$AR$64+$AS$64+M264,"error"))))))))))))</f>
        <v>80</v>
      </c>
      <c r="O266" s="38">
        <f>23.45*SIN(RADIANS(360*((284+N266)/365)))</f>
        <v>-0.40365320185431652</v>
      </c>
      <c r="P266" s="41">
        <v>50</v>
      </c>
      <c r="AA266">
        <v>13</v>
      </c>
      <c r="AB266" s="39">
        <v>0.51041666666667396</v>
      </c>
      <c r="AC266">
        <f t="shared" ref="AC266:AC289" si="452">+AC265+9/24</f>
        <v>0.375</v>
      </c>
      <c r="AD266">
        <f t="shared" ref="AD266:AD289" si="453">+$AH$172+180</f>
        <v>180</v>
      </c>
      <c r="AE266" s="7">
        <f t="shared" si="389"/>
        <v>-0.3931640831063275</v>
      </c>
      <c r="AF266">
        <f t="shared" si="390"/>
        <v>-0.3931640831063275</v>
      </c>
      <c r="AG266" s="7">
        <f t="shared" si="391"/>
        <v>4.594306705907325E-17</v>
      </c>
      <c r="AH266">
        <f t="shared" si="392"/>
        <v>-3.0359397988140482</v>
      </c>
      <c r="AI266">
        <v>13</v>
      </c>
    </row>
    <row r="267" spans="1:90" x14ac:dyDescent="0.25">
      <c r="B267" s="317" t="s">
        <v>90</v>
      </c>
      <c r="C267" s="315"/>
      <c r="D267" s="315"/>
      <c r="E267" s="315"/>
      <c r="G267" s="319" t="s">
        <v>89</v>
      </c>
      <c r="H267" s="319"/>
      <c r="I267" s="319" t="s">
        <v>42</v>
      </c>
      <c r="J267" s="319" t="s">
        <v>43</v>
      </c>
      <c r="M267" s="317" t="s">
        <v>90</v>
      </c>
      <c r="N267" s="315"/>
      <c r="O267" s="315"/>
      <c r="P267" s="315"/>
      <c r="R267" s="319" t="s">
        <v>89</v>
      </c>
      <c r="S267" s="319"/>
      <c r="T267" s="319" t="s">
        <v>42</v>
      </c>
      <c r="U267" s="319" t="s">
        <v>43</v>
      </c>
      <c r="AB267" s="39">
        <v>0.52083333333334103</v>
      </c>
      <c r="AC267">
        <f t="shared" si="452"/>
        <v>0.75</v>
      </c>
      <c r="AD267">
        <f t="shared" si="453"/>
        <v>180</v>
      </c>
      <c r="AE267" s="7">
        <f t="shared" si="389"/>
        <v>-0.78620240425297216</v>
      </c>
      <c r="AF267">
        <f t="shared" si="390"/>
        <v>-0.78620240425297216</v>
      </c>
      <c r="AG267" s="7">
        <f t="shared" si="391"/>
        <v>9.1886134118146501E-17</v>
      </c>
      <c r="AH267">
        <f t="shared" si="392"/>
        <v>-3.0226503216950045</v>
      </c>
    </row>
    <row r="268" spans="1:90" x14ac:dyDescent="0.25">
      <c r="B268" s="318"/>
      <c r="C268" s="315"/>
      <c r="D268" s="315"/>
      <c r="E268" s="315"/>
      <c r="G268" s="319"/>
      <c r="H268" s="319"/>
      <c r="I268" s="319"/>
      <c r="J268" s="319"/>
      <c r="M268" s="318"/>
      <c r="N268" s="315"/>
      <c r="O268" s="315"/>
      <c r="P268" s="315"/>
      <c r="R268" s="319"/>
      <c r="S268" s="319"/>
      <c r="T268" s="319"/>
      <c r="U268" s="319"/>
      <c r="AA268">
        <v>14</v>
      </c>
      <c r="AB268" s="39">
        <v>0.53125000000000799</v>
      </c>
      <c r="AC268">
        <f t="shared" si="452"/>
        <v>1.125</v>
      </c>
      <c r="AD268">
        <f t="shared" si="453"/>
        <v>180</v>
      </c>
      <c r="AE268" s="7">
        <f t="shared" si="389"/>
        <v>-1.1789878076001203</v>
      </c>
      <c r="AF268">
        <f t="shared" si="390"/>
        <v>-1.1789878076001203</v>
      </c>
      <c r="AG268" s="7">
        <f t="shared" si="391"/>
        <v>1.3782920117721975E-16</v>
      </c>
      <c r="AH268">
        <f t="shared" si="392"/>
        <v>-3.000458023647067</v>
      </c>
      <c r="AI268">
        <v>14</v>
      </c>
    </row>
    <row r="269" spans="1:90" x14ac:dyDescent="0.25">
      <c r="B269" s="39">
        <v>0.25</v>
      </c>
      <c r="C269" s="38">
        <v>90</v>
      </c>
      <c r="D269" s="38">
        <f>+DEGREES(ASIN(COS(RADIANS(E266))*COS(RADIANS(D266))*COS(RADIANS(C269))+SIN(RADIANS(E266))*SIN(RADIANS(D266))))</f>
        <v>-0.28542473572046595</v>
      </c>
      <c r="E269" s="38">
        <f>180-DEGREES(ACOS((((SIN(RADIANS(D269)))*SIN(RADIANS(E266)))-SIN(RADIANS(D266)))/((COS(RADIANS(D269)))*COS(RADIANS(E266)))))</f>
        <v>90.285428277386828</v>
      </c>
      <c r="G269">
        <f t="shared" ref="G269:G281" si="454">9-(D269/10)</f>
        <v>9.0285424735720472</v>
      </c>
      <c r="H269">
        <f t="shared" ref="H269:H281" si="455">90-E269+$AH$172</f>
        <v>-0.28542827738682774</v>
      </c>
      <c r="I269" s="7">
        <f t="shared" ref="I269:I281" si="456">IF($E$266&gt;=$AE$174,0,G269*COS(RADIANS(H269)))</f>
        <v>0</v>
      </c>
      <c r="J269" s="7">
        <f t="shared" ref="J269:J281" si="457">IF($E$266&gt;=$AE$174,0,G269*SIN(RADIANS(H269)))</f>
        <v>0</v>
      </c>
      <c r="M269" s="39">
        <v>0.25</v>
      </c>
      <c r="N269" s="38">
        <v>90</v>
      </c>
      <c r="O269" s="38">
        <f>+DEGREES(ASIN(COS(RADIANS(P266))*COS(RADIANS(O266))*COS(RADIANS(N269))+SIN(RADIANS(P266))*SIN(RADIANS(O266))))</f>
        <v>-0.30921523535599088</v>
      </c>
      <c r="P269" s="38">
        <f>180-DEGREES(ACOS((((SIN(RADIANS(O269)))*SIN(RADIANS(P266)))-SIN(RADIANS(O266)))/((COS(RADIANS(O269)))*COS(RADIANS(P266)))))</f>
        <v>90.259465795815785</v>
      </c>
      <c r="R269">
        <f t="shared" ref="R269:R281" si="458">9-(O269/10)</f>
        <v>9.0309215235356</v>
      </c>
      <c r="S269">
        <f t="shared" ref="S269:S281" si="459">90-P269+$AH$172</f>
        <v>-0.25946579581578533</v>
      </c>
      <c r="T269" s="7">
        <f t="shared" ref="T269:T281" si="460">IF($P$266&gt;=$AE$174,0,R269*COS(RADIANS(S269)))</f>
        <v>0</v>
      </c>
      <c r="U269" s="7">
        <f t="shared" ref="U269:U281" si="461">IF($P$266&gt;=$AE$174,0,R269*SIN(RADIANS(S269)))</f>
        <v>0</v>
      </c>
      <c r="AB269" s="39">
        <v>0.54166666666667496</v>
      </c>
      <c r="AC269">
        <f t="shared" si="452"/>
        <v>1.5</v>
      </c>
      <c r="AD269">
        <f t="shared" si="453"/>
        <v>180</v>
      </c>
      <c r="AE269" s="7">
        <f t="shared" si="389"/>
        <v>-1.5713903200522463</v>
      </c>
      <c r="AF269">
        <f t="shared" si="390"/>
        <v>-1.5713903200522463</v>
      </c>
      <c r="AG269" s="7">
        <f t="shared" si="391"/>
        <v>1.83772268236293E-16</v>
      </c>
      <c r="AH269">
        <f t="shared" si="392"/>
        <v>-2.9692977066286792</v>
      </c>
    </row>
    <row r="270" spans="1:90" x14ac:dyDescent="0.25">
      <c r="B270" s="39">
        <v>0.29166666666666669</v>
      </c>
      <c r="C270">
        <v>75</v>
      </c>
      <c r="D270" s="38">
        <f>+DEGREES(ASIN(COS(RADIANS(E266))*COS(RADIANS(D266))*COS(RADIANS(C270))+SIN(RADIANS(E266))*SIN(RADIANS(D266))))</f>
        <v>10.254834686033501</v>
      </c>
      <c r="E270" s="38">
        <f>180-DEGREES(ACOS((((SIN(RADIANS(D270)))*SIN(RADIANS(E266)))-SIN(RADIANS(D266)))/((COS(RADIANS(D270)))*COS(RADIANS(E266)))))</f>
        <v>101.01357113388949</v>
      </c>
      <c r="G270">
        <f t="shared" si="454"/>
        <v>7.9745165313966497</v>
      </c>
      <c r="H270">
        <f t="shared" si="455"/>
        <v>-11.013571133889485</v>
      </c>
      <c r="I270" s="7">
        <f t="shared" si="456"/>
        <v>0</v>
      </c>
      <c r="J270" s="7">
        <f t="shared" si="457"/>
        <v>0</v>
      </c>
      <c r="M270" s="39">
        <v>0.29166666666666669</v>
      </c>
      <c r="N270">
        <v>75</v>
      </c>
      <c r="O270" s="38">
        <f>+DEGREES(ASIN(COS(RADIANS(P266))*COS(RADIANS(O266))*COS(RADIANS(N270))+SIN(RADIANS(P266))*SIN(RADIANS(O266))))</f>
        <v>9.2628981256937379</v>
      </c>
      <c r="P270" s="38">
        <f>180-DEGREES(ACOS((((SIN(RADIANS(O270)))*SIN(RADIANS(P266)))-SIN(RADIANS(O266)))/((COS(RADIANS(O270)))*COS(RADIANS(P266)))))</f>
        <v>101.85699709517048</v>
      </c>
      <c r="R270">
        <f t="shared" si="458"/>
        <v>8.0737101874306259</v>
      </c>
      <c r="S270">
        <f t="shared" si="459"/>
        <v>-11.856997095170485</v>
      </c>
      <c r="T270" s="7">
        <f t="shared" si="460"/>
        <v>0</v>
      </c>
      <c r="U270" s="7">
        <f t="shared" si="461"/>
        <v>0</v>
      </c>
      <c r="AA270">
        <v>15</v>
      </c>
      <c r="AB270" s="39">
        <v>0.55208333333334203</v>
      </c>
      <c r="AC270">
        <f t="shared" si="452"/>
        <v>1.875</v>
      </c>
      <c r="AD270">
        <f t="shared" si="453"/>
        <v>180</v>
      </c>
      <c r="AE270" s="7">
        <f t="shared" si="389"/>
        <v>-1.9632756679104457</v>
      </c>
      <c r="AF270">
        <f t="shared" si="390"/>
        <v>-1.9632756679104457</v>
      </c>
      <c r="AG270" s="7">
        <f t="shared" si="391"/>
        <v>2.2971533529536625E-16</v>
      </c>
      <c r="AH270">
        <f t="shared" si="392"/>
        <v>-2.9290771979326014</v>
      </c>
      <c r="AI270">
        <v>15</v>
      </c>
    </row>
    <row r="271" spans="1:90" x14ac:dyDescent="0.25">
      <c r="B271" s="39">
        <v>0.33333333333333298</v>
      </c>
      <c r="C271" s="38">
        <v>60</v>
      </c>
      <c r="D271" s="38">
        <f>+DEGREES(ASIN(COS(RADIANS(E266))*COS(RADIANS(D266))*COS(RADIANS(C271))+SIN(RADIANS(E266))*SIN(RADIANS(D266))))</f>
        <v>20.399449132331466</v>
      </c>
      <c r="E271" s="38">
        <f>180-DEGREES(ACOS((((SIN(RADIANS(D271)))*SIN(RADIANS(E266)))-SIN(RADIANS(D266)))/((COS(RADIANS(D271)))*COS(RADIANS(E266)))))</f>
        <v>112.48958757892173</v>
      </c>
      <c r="G271">
        <f t="shared" si="454"/>
        <v>6.9600550867668538</v>
      </c>
      <c r="H271">
        <f t="shared" si="455"/>
        <v>-22.489587578921729</v>
      </c>
      <c r="I271" s="7">
        <f t="shared" si="456"/>
        <v>0</v>
      </c>
      <c r="J271" s="7">
        <f t="shared" si="457"/>
        <v>0</v>
      </c>
      <c r="M271" s="39">
        <v>0.33333333333333298</v>
      </c>
      <c r="N271" s="38">
        <v>60</v>
      </c>
      <c r="O271" s="38">
        <f>+DEGREES(ASIN(COS(RADIANS(P266))*COS(RADIANS(O266))*COS(RADIANS(N271))+SIN(RADIANS(P266))*SIN(RADIANS(O266))))</f>
        <v>18.420531027081928</v>
      </c>
      <c r="P271" s="38">
        <f>180-DEGREES(ACOS((((SIN(RADIANS(O271)))*SIN(RADIANS(P266)))-SIN(RADIANS(O266)))/((COS(RADIANS(O271)))*COS(RADIANS(P266)))))</f>
        <v>114.10875935604233</v>
      </c>
      <c r="R271">
        <f t="shared" si="458"/>
        <v>7.157946897291807</v>
      </c>
      <c r="S271">
        <f t="shared" si="459"/>
        <v>-24.108759356042327</v>
      </c>
      <c r="T271" s="7">
        <f t="shared" si="460"/>
        <v>0</v>
      </c>
      <c r="U271" s="7">
        <f t="shared" si="461"/>
        <v>0</v>
      </c>
      <c r="AB271" s="39">
        <v>0.56250000000000899</v>
      </c>
      <c r="AC271">
        <f t="shared" si="452"/>
        <v>2.25</v>
      </c>
      <c r="AD271">
        <f t="shared" si="453"/>
        <v>180</v>
      </c>
      <c r="AE271" s="7">
        <f t="shared" si="389"/>
        <v>-2.3545037010682446</v>
      </c>
      <c r="AF271">
        <f t="shared" si="390"/>
        <v>-2.3545037010682446</v>
      </c>
      <c r="AG271" s="7">
        <f t="shared" si="391"/>
        <v>2.756584023544395E-16</v>
      </c>
      <c r="AH271">
        <f t="shared" si="392"/>
        <v>-2.8796764360807554</v>
      </c>
    </row>
    <row r="272" spans="1:90" x14ac:dyDescent="0.25">
      <c r="B272" s="39">
        <v>0.375</v>
      </c>
      <c r="C272">
        <v>45</v>
      </c>
      <c r="D272" s="38">
        <f>+DEGREES(ASIN(COS(RADIANS(E266))*COS(RADIANS(D266))*COS(RADIANS(C272))+SIN(RADIANS(E266))*SIN(RADIANS(D266))))</f>
        <v>29.670146708409685</v>
      </c>
      <c r="E272" s="38">
        <f>180-DEGREES(ACOS((((SIN(RADIANS(D272)))*SIN(RADIANS(E266)))-SIN(RADIANS(D266)))/((COS(RADIANS(D272)))*COS(RADIANS(E266)))))</f>
        <v>125.53260352908467</v>
      </c>
      <c r="G272">
        <f t="shared" si="454"/>
        <v>6.0329853291590316</v>
      </c>
      <c r="H272">
        <f t="shared" si="455"/>
        <v>-35.532603529084668</v>
      </c>
      <c r="I272" s="7">
        <f t="shared" si="456"/>
        <v>0</v>
      </c>
      <c r="J272" s="7">
        <f t="shared" si="457"/>
        <v>0</v>
      </c>
      <c r="M272" s="39">
        <v>0.375</v>
      </c>
      <c r="N272">
        <v>45</v>
      </c>
      <c r="O272" s="38">
        <f>+DEGREES(ASIN(COS(RADIANS(P266))*COS(RADIANS(O266))*COS(RADIANS(N272))+SIN(RADIANS(P266))*SIN(RADIANS(O266))))</f>
        <v>26.686686601386512</v>
      </c>
      <c r="P272" s="38">
        <f>180-DEGREES(ACOS((((SIN(RADIANS(O272)))*SIN(RADIANS(P266)))-SIN(RADIANS(O266)))/((COS(RADIANS(O272)))*COS(RADIANS(P266)))))</f>
        <v>127.68424894987101</v>
      </c>
      <c r="R272">
        <f t="shared" si="458"/>
        <v>6.3313313398613484</v>
      </c>
      <c r="S272">
        <f t="shared" si="459"/>
        <v>-37.684248949871005</v>
      </c>
      <c r="T272" s="7">
        <f t="shared" si="460"/>
        <v>0</v>
      </c>
      <c r="U272" s="7">
        <f t="shared" si="461"/>
        <v>0</v>
      </c>
      <c r="AA272">
        <v>16</v>
      </c>
      <c r="AB272" s="39">
        <v>0.57291666666667596</v>
      </c>
      <c r="AC272">
        <f t="shared" si="452"/>
        <v>2.625</v>
      </c>
      <c r="AD272">
        <f t="shared" si="453"/>
        <v>180</v>
      </c>
      <c r="AE272" s="7">
        <f t="shared" si="389"/>
        <v>-2.7449266891356405</v>
      </c>
      <c r="AF272">
        <f t="shared" si="390"/>
        <v>-2.7449266891356405</v>
      </c>
      <c r="AG272" s="7">
        <f t="shared" si="391"/>
        <v>3.2160146941351275E-16</v>
      </c>
      <c r="AH272">
        <f t="shared" si="392"/>
        <v>-2.8209462684055402</v>
      </c>
      <c r="AI272">
        <v>16</v>
      </c>
    </row>
    <row r="273" spans="1:35" x14ac:dyDescent="0.25">
      <c r="B273" s="39">
        <v>0.41666666666666702</v>
      </c>
      <c r="C273" s="38">
        <v>30</v>
      </c>
      <c r="D273" s="38">
        <f>+DEGREES(ASIN(COS(RADIANS(E266))*COS(RADIANS(D266))*COS(RADIANS(C273))+SIN(RADIANS(E266))*SIN(RADIANS(D266))))</f>
        <v>37.399986892217491</v>
      </c>
      <c r="E273" s="38">
        <f>180-DEGREES(ACOS((((SIN(RADIANS(D273)))*SIN(RADIANS(E266)))-SIN(RADIANS(D266)))/((COS(RADIANS(D273)))*COS(RADIANS(E266)))))</f>
        <v>140.99571368788412</v>
      </c>
      <c r="G273">
        <f t="shared" si="454"/>
        <v>5.2600013107782511</v>
      </c>
      <c r="H273">
        <f t="shared" si="455"/>
        <v>-50.99571368788412</v>
      </c>
      <c r="I273" s="7">
        <f t="shared" si="456"/>
        <v>0</v>
      </c>
      <c r="J273" s="7">
        <f t="shared" si="457"/>
        <v>0</v>
      </c>
      <c r="M273" s="39">
        <v>0.41666666666666702</v>
      </c>
      <c r="N273" s="38">
        <v>30</v>
      </c>
      <c r="O273" s="38">
        <f>+DEGREES(ASIN(COS(RADIANS(P266))*COS(RADIANS(O266))*COS(RADIANS(N273))+SIN(RADIANS(P266))*SIN(RADIANS(O266))))</f>
        <v>33.45348260796375</v>
      </c>
      <c r="P273" s="38">
        <f>180-DEGREES(ACOS((((SIN(RADIANS(O273)))*SIN(RADIANS(P266)))-SIN(RADIANS(O266)))/((COS(RADIANS(O273)))*COS(RADIANS(P266)))))</f>
        <v>143.18267033344449</v>
      </c>
      <c r="R273">
        <f t="shared" si="458"/>
        <v>5.6546517392036248</v>
      </c>
      <c r="S273">
        <f t="shared" si="459"/>
        <v>-53.182670333444491</v>
      </c>
      <c r="T273" s="7">
        <f t="shared" si="460"/>
        <v>0</v>
      </c>
      <c r="U273" s="7">
        <f t="shared" si="461"/>
        <v>0</v>
      </c>
      <c r="AB273" s="39">
        <v>0.58333333333334303</v>
      </c>
      <c r="AC273">
        <f t="shared" si="452"/>
        <v>3</v>
      </c>
      <c r="AD273">
        <f t="shared" si="453"/>
        <v>180</v>
      </c>
      <c r="AE273" s="7">
        <f t="shared" ref="AE273:AE289" si="462">+AF273</f>
        <v>-3.134387449473941</v>
      </c>
      <c r="AF273">
        <f t="shared" ref="AF273:AF289" si="463">+AI215</f>
        <v>-3.134387449473941</v>
      </c>
      <c r="AG273" s="7">
        <f t="shared" ref="AG273:AG289" si="464">+AC273*SIN(RADIANS(AD273))</f>
        <v>3.67544536472586E-16</v>
      </c>
      <c r="AH273">
        <f t="shared" ref="AH273:AH289" si="465">+AJ215</f>
        <v>-2.752706939095765</v>
      </c>
    </row>
    <row r="274" spans="1:35" x14ac:dyDescent="0.25">
      <c r="B274" s="39">
        <v>0.45833333333333298</v>
      </c>
      <c r="C274">
        <v>15</v>
      </c>
      <c r="D274" s="38">
        <f>+DEGREES(ASIN(COS(RADIANS(E266))*COS(RADIANS(D266))*COS(RADIANS(C274))+SIN(RADIANS(E266))*SIN(RADIANS(D266))))</f>
        <v>42.688657591036346</v>
      </c>
      <c r="E274" s="38">
        <f>180-DEGREES(ACOS((((SIN(RADIANS(D274)))*SIN(RADIANS(E266)))-SIN(RADIANS(D266)))/((COS(RADIANS(D274)))*COS(RADIANS(E266)))))</f>
        <v>159.38402496323141</v>
      </c>
      <c r="G274">
        <f t="shared" si="454"/>
        <v>4.731134240896365</v>
      </c>
      <c r="H274">
        <f t="shared" si="455"/>
        <v>-69.384024963231411</v>
      </c>
      <c r="I274" s="7">
        <f t="shared" si="456"/>
        <v>0</v>
      </c>
      <c r="J274" s="7">
        <f t="shared" si="457"/>
        <v>0</v>
      </c>
      <c r="M274" s="39">
        <v>0.45833333333333298</v>
      </c>
      <c r="N274">
        <v>15</v>
      </c>
      <c r="O274" s="38">
        <f>+DEGREES(ASIN(COS(RADIANS(P266))*COS(RADIANS(O266))*COS(RADIANS(N274))+SIN(RADIANS(P266))*SIN(RADIANS(O266))))</f>
        <v>37.986293508121015</v>
      </c>
      <c r="P274" s="38">
        <f>180-DEGREES(ACOS((((SIN(RADIANS(O274)))*SIN(RADIANS(P266)))-SIN(RADIANS(O266)))/((COS(RADIANS(O274)))*COS(RADIANS(P266)))))</f>
        <v>160.82973069452325</v>
      </c>
      <c r="R274">
        <f t="shared" si="458"/>
        <v>5.2013706491878988</v>
      </c>
      <c r="S274">
        <f t="shared" si="459"/>
        <v>-70.829730694523249</v>
      </c>
      <c r="T274" s="7">
        <f t="shared" si="460"/>
        <v>0</v>
      </c>
      <c r="U274" s="7">
        <f t="shared" si="461"/>
        <v>0</v>
      </c>
      <c r="AA274">
        <v>17</v>
      </c>
      <c r="AB274" s="39">
        <v>0.59375000000000999</v>
      </c>
      <c r="AC274">
        <f t="shared" si="452"/>
        <v>3.375</v>
      </c>
      <c r="AD274">
        <f t="shared" si="453"/>
        <v>180</v>
      </c>
      <c r="AE274" s="7">
        <f t="shared" si="462"/>
        <v>-3.5227172612348849</v>
      </c>
      <c r="AF274">
        <f t="shared" si="463"/>
        <v>-3.5227172612348849</v>
      </c>
      <c r="AG274" s="7">
        <f t="shared" si="464"/>
        <v>4.1348760353165925E-16</v>
      </c>
      <c r="AH274">
        <f t="shared" si="465"/>
        <v>-2.6747462407866047</v>
      </c>
      <c r="AI274">
        <v>17</v>
      </c>
    </row>
    <row r="275" spans="1:35" x14ac:dyDescent="0.25">
      <c r="B275" s="39">
        <v>0.5</v>
      </c>
      <c r="C275" s="38">
        <v>0</v>
      </c>
      <c r="D275" s="38">
        <f>+DEGREES(ASIN(COS(RADIANS(E266))*COS(RADIANS(D266))*COS(RADIANS(C275))+SIN(RADIANS(E266))*SIN(RADIANS(D266))))</f>
        <v>44.596346798145689</v>
      </c>
      <c r="E275" s="38">
        <f>+IF(E266&gt;=0,180,0)</f>
        <v>180</v>
      </c>
      <c r="G275">
        <f t="shared" si="454"/>
        <v>4.5403653201854315</v>
      </c>
      <c r="H275">
        <f t="shared" si="455"/>
        <v>-90</v>
      </c>
      <c r="I275" s="7">
        <f t="shared" si="456"/>
        <v>0</v>
      </c>
      <c r="J275" s="7">
        <f t="shared" si="457"/>
        <v>0</v>
      </c>
      <c r="M275" s="39">
        <v>0.5</v>
      </c>
      <c r="N275" s="38">
        <v>0</v>
      </c>
      <c r="O275" s="38">
        <f>+DEGREES(ASIN(COS(RADIANS(P266))*COS(RADIANS(O266))*COS(RADIANS(N275))+SIN(RADIANS(P266))*SIN(RADIANS(O266))))</f>
        <v>39.596346798145682</v>
      </c>
      <c r="P275" s="38">
        <f>+IF(P266&gt;=0,180,0)</f>
        <v>180</v>
      </c>
      <c r="R275">
        <f t="shared" si="458"/>
        <v>5.0403653201854315</v>
      </c>
      <c r="S275">
        <f t="shared" si="459"/>
        <v>-90</v>
      </c>
      <c r="T275" s="7">
        <f t="shared" si="460"/>
        <v>0</v>
      </c>
      <c r="U275" s="7">
        <f t="shared" si="461"/>
        <v>0</v>
      </c>
      <c r="AB275" s="39">
        <v>0.60416666666667795</v>
      </c>
      <c r="AC275">
        <f t="shared" si="452"/>
        <v>3.75</v>
      </c>
      <c r="AD275">
        <f t="shared" si="453"/>
        <v>180</v>
      </c>
      <c r="AE275" s="7">
        <f t="shared" si="462"/>
        <v>-3.9097335118301353</v>
      </c>
      <c r="AF275">
        <f t="shared" si="463"/>
        <v>-3.9097335118301353</v>
      </c>
      <c r="AG275" s="7">
        <f t="shared" si="464"/>
        <v>4.594306705907325E-16</v>
      </c>
      <c r="AH275">
        <f t="shared" si="465"/>
        <v>-2.5868172964578857</v>
      </c>
    </row>
    <row r="276" spans="1:35" x14ac:dyDescent="0.25">
      <c r="B276" s="39">
        <v>0.54166666666666696</v>
      </c>
      <c r="C276">
        <v>-15</v>
      </c>
      <c r="D276" s="38">
        <f>+DEGREES(ASIN(COS(RADIANS(E266))*COS(RADIANS(D266))*COS(RADIANS(C276))+SIN(RADIANS(E266))*SIN(RADIANS(D266))))</f>
        <v>42.688657591036346</v>
      </c>
      <c r="E276" s="38">
        <f>-(180-DEGREES(ACOS((((SIN(RADIANS(D276)))*SIN(RADIANS(E266)))-SIN(RADIANS(D266)))/((COS(RADIANS(D276)))*COS(RADIANS(E266))))))</f>
        <v>-159.38402496323141</v>
      </c>
      <c r="G276">
        <f t="shared" si="454"/>
        <v>4.731134240896365</v>
      </c>
      <c r="H276">
        <f t="shared" si="455"/>
        <v>249.38402496323141</v>
      </c>
      <c r="I276" s="7">
        <f t="shared" si="456"/>
        <v>0</v>
      </c>
      <c r="J276" s="7">
        <f t="shared" si="457"/>
        <v>0</v>
      </c>
      <c r="M276" s="39">
        <v>0.54166666666666696</v>
      </c>
      <c r="N276">
        <v>-15</v>
      </c>
      <c r="O276" s="38">
        <f>+DEGREES(ASIN(COS(RADIANS(P266))*COS(RADIANS(O266))*COS(RADIANS(N276))+SIN(RADIANS(P266))*SIN(RADIANS(O266))))</f>
        <v>37.986293508121015</v>
      </c>
      <c r="P276" s="38">
        <f>-(180-DEGREES(ACOS((((SIN(RADIANS(O276)))*SIN(RADIANS(P266)))-SIN(RADIANS(O266)))/((COS(RADIANS(O276)))*COS(RADIANS(P266))))))</f>
        <v>-160.82973069452325</v>
      </c>
      <c r="R276">
        <f t="shared" si="458"/>
        <v>5.2013706491878988</v>
      </c>
      <c r="S276">
        <f t="shared" si="459"/>
        <v>250.82973069452325</v>
      </c>
      <c r="T276" s="7">
        <f t="shared" si="460"/>
        <v>0</v>
      </c>
      <c r="U276" s="7">
        <f t="shared" si="461"/>
        <v>0</v>
      </c>
      <c r="AA276">
        <v>18</v>
      </c>
      <c r="AB276" s="39">
        <v>0.61458333333334503</v>
      </c>
      <c r="AC276">
        <f t="shared" si="452"/>
        <v>4.125</v>
      </c>
      <c r="AD276">
        <f t="shared" si="453"/>
        <v>180</v>
      </c>
      <c r="AE276" s="7">
        <f t="shared" si="462"/>
        <v>-4.2952370124222448</v>
      </c>
      <c r="AF276">
        <f t="shared" si="463"/>
        <v>-4.2952370124222448</v>
      </c>
      <c r="AG276" s="7">
        <f t="shared" si="464"/>
        <v>5.0537373764980575E-16</v>
      </c>
      <c r="AH276">
        <f t="shared" si="465"/>
        <v>-2.4886359313408777</v>
      </c>
      <c r="AI276">
        <v>18</v>
      </c>
    </row>
    <row r="277" spans="1:35" x14ac:dyDescent="0.25">
      <c r="B277" s="39">
        <v>0.58333333333333304</v>
      </c>
      <c r="C277" s="38">
        <v>-30</v>
      </c>
      <c r="D277" s="38">
        <f>+DEGREES(ASIN(COS(RADIANS(E266))*COS(RADIANS(D266))*COS(RADIANS(C277))+SIN(RADIANS(E266))*SIN(RADIANS(D266))))</f>
        <v>37.399986892217491</v>
      </c>
      <c r="E277" s="38">
        <f>-(180-DEGREES(ACOS((((SIN(RADIANS(D277)))*SIN(RADIANS(E266)))-SIN(RADIANS(D266)))/((COS(RADIANS(D277)))*COS(RADIANS(E266))))))</f>
        <v>-140.99571368788412</v>
      </c>
      <c r="G277">
        <f t="shared" si="454"/>
        <v>5.2600013107782511</v>
      </c>
      <c r="H277">
        <f t="shared" si="455"/>
        <v>230.99571368788412</v>
      </c>
      <c r="I277" s="7">
        <f t="shared" si="456"/>
        <v>0</v>
      </c>
      <c r="J277" s="7">
        <f t="shared" si="457"/>
        <v>0</v>
      </c>
      <c r="M277" s="39">
        <v>0.58333333333333304</v>
      </c>
      <c r="N277" s="38">
        <v>-30</v>
      </c>
      <c r="O277" s="38">
        <f>+DEGREES(ASIN(COS(RADIANS(P266))*COS(RADIANS(O266))*COS(RADIANS(N277))+SIN(RADIANS(P266))*SIN(RADIANS(O266))))</f>
        <v>33.45348260796375</v>
      </c>
      <c r="P277" s="38">
        <f>-(180-DEGREES(ACOS((((SIN(RADIANS(O277)))*SIN(RADIANS(P266)))-SIN(RADIANS(O266)))/((COS(RADIANS(O277)))*COS(RADIANS(P266))))))</f>
        <v>-143.18267033344449</v>
      </c>
      <c r="R277">
        <f t="shared" si="458"/>
        <v>5.6546517392036248</v>
      </c>
      <c r="S277">
        <f t="shared" si="459"/>
        <v>233.18267033344449</v>
      </c>
      <c r="T277" s="7">
        <f t="shared" si="460"/>
        <v>0</v>
      </c>
      <c r="U277" s="7">
        <f t="shared" si="461"/>
        <v>0</v>
      </c>
      <c r="AB277" s="39">
        <v>0.62500000000001199</v>
      </c>
      <c r="AC277">
        <f t="shared" si="452"/>
        <v>4.5</v>
      </c>
      <c r="AD277">
        <f t="shared" si="453"/>
        <v>180</v>
      </c>
      <c r="AE277" s="7">
        <f t="shared" si="462"/>
        <v>-4.6790089065141434</v>
      </c>
      <c r="AF277">
        <f t="shared" si="463"/>
        <v>-4.6790089065141434</v>
      </c>
      <c r="AG277" s="7">
        <f t="shared" si="464"/>
        <v>5.51316804708879E-16</v>
      </c>
      <c r="AH277">
        <f t="shared" si="465"/>
        <v>-2.3798775865817947</v>
      </c>
    </row>
    <row r="278" spans="1:35" x14ac:dyDescent="0.25">
      <c r="B278" s="39">
        <v>0.625</v>
      </c>
      <c r="C278">
        <v>-45</v>
      </c>
      <c r="D278" s="38">
        <f>+DEGREES(ASIN(COS(RADIANS(E266))*COS(RADIANS(D266))*COS(RADIANS(C278))+SIN(RADIANS(E266))*SIN(RADIANS(D266))))</f>
        <v>29.670146708409685</v>
      </c>
      <c r="E278" s="38">
        <f>-(180-DEGREES(ACOS((((SIN(RADIANS(D278)))*SIN(RADIANS(E266)))-SIN(RADIANS(D266)))/((COS(RADIANS(D278)))*COS(RADIANS(E266))))))</f>
        <v>-125.53260352908467</v>
      </c>
      <c r="G278">
        <f t="shared" si="454"/>
        <v>6.0329853291590316</v>
      </c>
      <c r="H278">
        <f t="shared" si="455"/>
        <v>215.53260352908467</v>
      </c>
      <c r="I278" s="7">
        <f t="shared" si="456"/>
        <v>0</v>
      </c>
      <c r="J278" s="7">
        <f t="shared" si="457"/>
        <v>0</v>
      </c>
      <c r="M278" s="39">
        <v>0.625</v>
      </c>
      <c r="N278">
        <v>-45</v>
      </c>
      <c r="O278" s="38">
        <f>+DEGREES(ASIN(COS(RADIANS(P266))*COS(RADIANS(O266))*COS(RADIANS(N278))+SIN(RADIANS(P266))*SIN(RADIANS(O266))))</f>
        <v>26.686686601386512</v>
      </c>
      <c r="P278" s="38">
        <f>-(180-DEGREES(ACOS((((SIN(RADIANS(O278)))*SIN(RADIANS(P266)))-SIN(RADIANS(O266)))/((COS(RADIANS(O278)))*COS(RADIANS(P266))))))</f>
        <v>-127.68424894987101</v>
      </c>
      <c r="R278">
        <f t="shared" si="458"/>
        <v>6.3313313398613484</v>
      </c>
      <c r="S278">
        <f t="shared" si="459"/>
        <v>217.68424894987101</v>
      </c>
      <c r="T278" s="7">
        <f t="shared" si="460"/>
        <v>0</v>
      </c>
      <c r="U278" s="7">
        <f t="shared" si="461"/>
        <v>0</v>
      </c>
      <c r="AA278">
        <v>19</v>
      </c>
      <c r="AB278" s="39">
        <v>0.63541666666667895</v>
      </c>
      <c r="AC278">
        <f t="shared" si="452"/>
        <v>4.875</v>
      </c>
      <c r="AD278">
        <f t="shared" si="453"/>
        <v>180</v>
      </c>
      <c r="AE278" s="7">
        <f t="shared" si="462"/>
        <v>-5.0608070798523244</v>
      </c>
      <c r="AF278">
        <f t="shared" si="463"/>
        <v>-5.0608070798523244</v>
      </c>
      <c r="AG278" s="7">
        <f t="shared" si="464"/>
        <v>5.9725987176795226E-16</v>
      </c>
      <c r="AH278">
        <f t="shared" si="465"/>
        <v>-2.2601737174317549</v>
      </c>
      <c r="AI278">
        <v>19</v>
      </c>
    </row>
    <row r="279" spans="1:35" x14ac:dyDescent="0.25">
      <c r="B279" s="39">
        <v>0.66666666666666696</v>
      </c>
      <c r="C279" s="38">
        <v>-60</v>
      </c>
      <c r="D279" s="38">
        <f>+DEGREES(ASIN(COS(RADIANS(E266))*COS(RADIANS(D266))*COS(RADIANS(C279))+SIN(RADIANS(E266))*SIN(RADIANS(D266))))</f>
        <v>20.399449132331466</v>
      </c>
      <c r="E279" s="38">
        <f>-(180-DEGREES(ACOS((((SIN(RADIANS(D279)))*SIN(RADIANS(E266)))-SIN(RADIANS(D266)))/((COS(RADIANS(D279)))*COS(RADIANS(E266))))))</f>
        <v>-112.48958757892173</v>
      </c>
      <c r="G279">
        <f t="shared" si="454"/>
        <v>6.9600550867668538</v>
      </c>
      <c r="H279">
        <f t="shared" si="455"/>
        <v>202.48958757892171</v>
      </c>
      <c r="I279" s="7">
        <f t="shared" si="456"/>
        <v>0</v>
      </c>
      <c r="J279" s="7">
        <f t="shared" si="457"/>
        <v>0</v>
      </c>
      <c r="M279" s="39">
        <v>0.66666666666666696</v>
      </c>
      <c r="N279" s="38">
        <v>-60</v>
      </c>
      <c r="O279" s="38">
        <f>+DEGREES(ASIN(COS(RADIANS(P266))*COS(RADIANS(O266))*COS(RADIANS(N279))+SIN(RADIANS(P266))*SIN(RADIANS(O266))))</f>
        <v>18.420531027081928</v>
      </c>
      <c r="P279" s="38">
        <f>-(180-DEGREES(ACOS((((SIN(RADIANS(O279)))*SIN(RADIANS(P266)))-SIN(RADIANS(O266)))/((COS(RADIANS(O279)))*COS(RADIANS(P266))))))</f>
        <v>-114.10875935604233</v>
      </c>
      <c r="R279">
        <f t="shared" si="458"/>
        <v>7.157946897291807</v>
      </c>
      <c r="S279">
        <f t="shared" si="459"/>
        <v>204.10875935604233</v>
      </c>
      <c r="T279" s="7">
        <f t="shared" si="460"/>
        <v>0</v>
      </c>
      <c r="U279" s="7">
        <f t="shared" si="461"/>
        <v>0</v>
      </c>
      <c r="AB279" s="39">
        <v>0.64583333333334603</v>
      </c>
      <c r="AC279">
        <f t="shared" si="452"/>
        <v>5.25</v>
      </c>
      <c r="AD279">
        <f t="shared" si="453"/>
        <v>180</v>
      </c>
      <c r="AE279" s="7">
        <f t="shared" si="462"/>
        <v>-5.4403619597776451</v>
      </c>
      <c r="AF279">
        <f t="shared" si="463"/>
        <v>-5.4403619597776451</v>
      </c>
      <c r="AG279" s="7">
        <f t="shared" si="464"/>
        <v>6.4320293882702551E-16</v>
      </c>
      <c r="AH279">
        <f t="shared" si="465"/>
        <v>-2.1291076085972582</v>
      </c>
    </row>
    <row r="280" spans="1:35" x14ac:dyDescent="0.25">
      <c r="B280" s="39">
        <v>0.70833333333333404</v>
      </c>
      <c r="C280">
        <v>-75</v>
      </c>
      <c r="D280" s="38">
        <f>+DEGREES(ASIN(COS(RADIANS(E266))*COS(RADIANS(D266))*COS(RADIANS(C280))+SIN(RADIANS(E266))*SIN(RADIANS(D266))))</f>
        <v>10.254834686033501</v>
      </c>
      <c r="E280" s="38">
        <f>-(180-DEGREES(ACOS((((SIN(RADIANS(D280)))*SIN(RADIANS(E266)))-SIN(RADIANS(D266)))/((COS(RADIANS(D280)))*COS(RADIANS(E266))))))</f>
        <v>-101.01357113388949</v>
      </c>
      <c r="G280">
        <f t="shared" si="454"/>
        <v>7.9745165313966497</v>
      </c>
      <c r="H280">
        <f t="shared" si="455"/>
        <v>191.01357113388949</v>
      </c>
      <c r="I280" s="7">
        <f t="shared" si="456"/>
        <v>0</v>
      </c>
      <c r="J280" s="7">
        <f t="shared" si="457"/>
        <v>0</v>
      </c>
      <c r="M280" s="39">
        <v>0.70833333333333404</v>
      </c>
      <c r="N280">
        <v>-75</v>
      </c>
      <c r="O280" s="38">
        <f>+DEGREES(ASIN(COS(RADIANS(P266))*COS(RADIANS(O266))*COS(RADIANS(N280))+SIN(RADIANS(P266))*SIN(RADIANS(O266))))</f>
        <v>9.2628981256937379</v>
      </c>
      <c r="P280" s="38">
        <f>-(180-DEGREES(ACOS((((SIN(RADIANS(O280)))*SIN(RADIANS(P266)))-SIN(RADIANS(O266)))/((COS(RADIANS(O280)))*COS(RADIANS(P266))))))</f>
        <v>-101.85699709517048</v>
      </c>
      <c r="R280">
        <f t="shared" si="458"/>
        <v>8.0737101874306259</v>
      </c>
      <c r="S280">
        <f t="shared" si="459"/>
        <v>191.85699709517047</v>
      </c>
      <c r="T280" s="7">
        <f t="shared" si="460"/>
        <v>0</v>
      </c>
      <c r="U280" s="7">
        <f t="shared" si="461"/>
        <v>0</v>
      </c>
      <c r="AA280">
        <v>20</v>
      </c>
      <c r="AB280" s="39">
        <v>0.65625000000001299</v>
      </c>
      <c r="AC280">
        <f t="shared" si="452"/>
        <v>5.625</v>
      </c>
      <c r="AD280">
        <f t="shared" si="453"/>
        <v>180</v>
      </c>
      <c r="AE280" s="7">
        <f t="shared" si="462"/>
        <v>-5.8173715667204986</v>
      </c>
      <c r="AF280">
        <f t="shared" si="463"/>
        <v>-5.8173715667204986</v>
      </c>
      <c r="AG280" s="7">
        <f t="shared" si="464"/>
        <v>6.8914600588609876E-16</v>
      </c>
      <c r="AH280">
        <f t="shared" si="465"/>
        <v>-1.9862095279884302</v>
      </c>
      <c r="AI280">
        <v>20</v>
      </c>
    </row>
    <row r="281" spans="1:35" x14ac:dyDescent="0.25">
      <c r="B281" s="39">
        <v>0.75</v>
      </c>
      <c r="C281" s="38">
        <v>-90</v>
      </c>
      <c r="D281" s="38">
        <f>+DEGREES(ASIN(COS(RADIANS(E266))*COS(RADIANS(D266))*COS(RADIANS(C281))+SIN(RADIANS(E266))*SIN(RADIANS(D266))))</f>
        <v>-0.28542473572046595</v>
      </c>
      <c r="E281" s="38">
        <f>-(180-DEGREES(ACOS((((SIN(RADIANS(D281)))*SIN(RADIANS(E266)))-SIN(RADIANS(D266)))/((COS(RADIANS(D281)))*COS(RADIANS(E266))))))</f>
        <v>-90.285428277386828</v>
      </c>
      <c r="G281">
        <f t="shared" si="454"/>
        <v>9.0285424735720472</v>
      </c>
      <c r="H281">
        <f t="shared" si="455"/>
        <v>180.28542827738681</v>
      </c>
      <c r="I281" s="7">
        <f t="shared" si="456"/>
        <v>0</v>
      </c>
      <c r="J281" s="7">
        <f t="shared" si="457"/>
        <v>0</v>
      </c>
      <c r="M281" s="39">
        <v>0.75</v>
      </c>
      <c r="N281" s="38">
        <v>-90</v>
      </c>
      <c r="O281" s="38">
        <f>+DEGREES(ASIN(COS(RADIANS(P266))*COS(RADIANS(O266))*COS(RADIANS(N281))+SIN(RADIANS(P266))*SIN(RADIANS(O266))))</f>
        <v>-0.30921523535599088</v>
      </c>
      <c r="P281" s="38">
        <f>-(180-DEGREES(ACOS((((SIN(RADIANS(O281)))*SIN(RADIANS(P266)))-SIN(RADIANS(O266)))/((COS(RADIANS(O281)))*COS(RADIANS(P266))))))</f>
        <v>-90.259465795815785</v>
      </c>
      <c r="R281">
        <f t="shared" si="458"/>
        <v>9.0309215235356</v>
      </c>
      <c r="S281">
        <f t="shared" si="459"/>
        <v>180.2594657958158</v>
      </c>
      <c r="T281" s="7">
        <f t="shared" si="460"/>
        <v>0</v>
      </c>
      <c r="U281" s="7">
        <f t="shared" si="461"/>
        <v>0</v>
      </c>
      <c r="AB281" s="39">
        <v>0.66666666666667995</v>
      </c>
      <c r="AC281">
        <f t="shared" si="452"/>
        <v>6</v>
      </c>
      <c r="AD281">
        <f t="shared" si="453"/>
        <v>180</v>
      </c>
      <c r="AE281" s="7">
        <f t="shared" si="462"/>
        <v>-6.1914956482620456</v>
      </c>
      <c r="AF281">
        <f t="shared" si="463"/>
        <v>-6.1914956482620456</v>
      </c>
      <c r="AG281" s="7">
        <f t="shared" si="464"/>
        <v>7.3508907294517201E-16</v>
      </c>
      <c r="AH281">
        <f t="shared" si="465"/>
        <v>-1.8309511273947605</v>
      </c>
    </row>
    <row r="282" spans="1:35" x14ac:dyDescent="0.25">
      <c r="AA282">
        <v>21</v>
      </c>
      <c r="AB282" s="39">
        <v>0.67708333333334703</v>
      </c>
      <c r="AC282">
        <f t="shared" si="452"/>
        <v>6.375</v>
      </c>
      <c r="AD282">
        <f t="shared" si="453"/>
        <v>180</v>
      </c>
      <c r="AE282" s="7">
        <f t="shared" si="462"/>
        <v>-6.5623486851340873</v>
      </c>
      <c r="AF282">
        <f t="shared" si="463"/>
        <v>-6.5623486851340873</v>
      </c>
      <c r="AG282" s="7">
        <f t="shared" si="464"/>
        <v>7.8103214000424526E-16</v>
      </c>
      <c r="AH282">
        <f t="shared" si="465"/>
        <v>-1.662738984654315</v>
      </c>
      <c r="AI282">
        <v>21</v>
      </c>
    </row>
    <row r="283" spans="1:35" x14ac:dyDescent="0.25">
      <c r="AB283" s="39">
        <v>0.68750000000001399</v>
      </c>
      <c r="AC283">
        <f t="shared" si="452"/>
        <v>6.75</v>
      </c>
      <c r="AD283">
        <f t="shared" si="453"/>
        <v>180</v>
      </c>
      <c r="AE283" s="7">
        <f t="shared" si="462"/>
        <v>-6.9294915061735685</v>
      </c>
      <c r="AF283">
        <f t="shared" si="463"/>
        <v>-6.9294915061735685</v>
      </c>
      <c r="AG283" s="7">
        <f t="shared" si="464"/>
        <v>8.2697520706331851E-16</v>
      </c>
      <c r="AH283">
        <f t="shared" si="465"/>
        <v>-1.4809071668985139</v>
      </c>
    </row>
    <row r="284" spans="1:35" x14ac:dyDescent="0.25">
      <c r="A284" s="41" t="s">
        <v>92</v>
      </c>
      <c r="B284" s="41">
        <v>21</v>
      </c>
      <c r="C284" s="315"/>
      <c r="D284" s="315"/>
      <c r="E284" s="316"/>
      <c r="L284" s="41" t="s">
        <v>92</v>
      </c>
      <c r="M284" s="41">
        <v>21</v>
      </c>
      <c r="N284" s="315"/>
      <c r="O284" s="315"/>
      <c r="P284" s="316"/>
      <c r="AA284">
        <v>22</v>
      </c>
      <c r="AB284" s="39">
        <v>0.69791666666668095</v>
      </c>
      <c r="AC284">
        <f t="shared" si="452"/>
        <v>7.125</v>
      </c>
      <c r="AD284">
        <f t="shared" si="453"/>
        <v>180</v>
      </c>
      <c r="AE284" s="7">
        <f t="shared" si="462"/>
        <v>-7.2924211822651248</v>
      </c>
      <c r="AF284">
        <f t="shared" si="463"/>
        <v>-7.2924211822651248</v>
      </c>
      <c r="AG284" s="7">
        <f t="shared" si="464"/>
        <v>8.7291827412239176E-16</v>
      </c>
      <c r="AH284">
        <f t="shared" si="465"/>
        <v>-1.2847086789948226</v>
      </c>
      <c r="AI284">
        <v>22</v>
      </c>
    </row>
    <row r="285" spans="1:35" x14ac:dyDescent="0.25">
      <c r="A285" s="41" t="s">
        <v>91</v>
      </c>
      <c r="B285" s="41">
        <v>3</v>
      </c>
      <c r="C285" s="315"/>
      <c r="D285" s="315"/>
      <c r="E285" s="316"/>
      <c r="L285" s="41" t="s">
        <v>91</v>
      </c>
      <c r="M285" s="41">
        <v>3</v>
      </c>
      <c r="N285" s="315"/>
      <c r="O285" s="315"/>
      <c r="P285" s="316"/>
      <c r="AB285" s="39">
        <v>0.70833333333334803</v>
      </c>
      <c r="AC285">
        <f t="shared" si="452"/>
        <v>7.5</v>
      </c>
      <c r="AD285">
        <f t="shared" si="453"/>
        <v>180</v>
      </c>
      <c r="AE285" s="7">
        <f t="shared" si="462"/>
        <v>-7.6505587833444721</v>
      </c>
      <c r="AF285">
        <f t="shared" si="463"/>
        <v>-7.6505587833444721</v>
      </c>
      <c r="AG285" s="7">
        <f t="shared" si="464"/>
        <v>9.1886134118146501E-16</v>
      </c>
      <c r="AH285">
        <f t="shared" si="465"/>
        <v>-1.0733056464279325</v>
      </c>
    </row>
    <row r="286" spans="1:35" x14ac:dyDescent="0.25">
      <c r="C286" s="32">
        <f>+IF(B285=$AI$63,B284,IF(B285=$AJ$63,$AI$64+B284,IF(B285=$AK$63,$AI$64+$AJ$64+B284,IF(B285=$AL$63,$AI$64+$AJ$64+$AK$64+B284,IF(B285=$AM$63,$AI$64+$AJ$64+$AK$64+$AL$64+B284,IF(B285=$AN$63,$AI$64+$AJ$64+$AK$64+$AL$64+$AM$64+B284,IF(B285=$AO$63,$AI$64+$AJ$64+$AK$64+$AL$64+$AM$64+$AN$64+B284,IF(B285=$AP$63,$AI$64+$AJ$64+$AK$64+$AL$64+$AM$64+$AN$64+$AO$64+B284,IF(B285=$AQ$63,$AI$64+$AJ$64+$AK$64+$AL$64+$AM$64+$AN$64+$AO$64+$AP$64+B284,IF(B285=$AR$63,$AI$64+$AJ$64+$AK$64+$AL$64+$AM$64+$AN$64+$AO$64+$AP$64+$AQ$64+B284,IF(B285=$AS$63,$AI$64+$AJ$64+$AK$64+$AL$64+$AM$64+$AN$64+$AO$64+$AP$64+$AQ$64+$AR$64+B284,IF(B285=$AT$63,$AI$64+$AJ$64+$AK$64+$AL$64+$AM$64+$AN$64+$AO$64+$AP$64+$AQ$64+$AR$64+$AS$64+B284,"error"))))))))))))</f>
        <v>80</v>
      </c>
      <c r="D286" s="38">
        <f>23.45*SIN(RADIANS(360*((284+C286)/365)))</f>
        <v>-0.40365320185431652</v>
      </c>
      <c r="E286" s="41">
        <v>55</v>
      </c>
      <c r="N286" s="32">
        <f>+IF(M285=$AI$63,M284,IF(M285=$AJ$63,$AI$64+M284,IF(M285=$AK$63,$AI$64+$AJ$64+M284,IF(M285=$AL$63,$AI$64+$AJ$64+$AK$64+M284,IF(M285=$AM$63,$AI$64+$AJ$64+$AK$64+$AL$64+M284,IF(M285=$AN$63,$AI$64+$AJ$64+$AK$64+$AL$64+$AM$64+M284,IF(M285=$AO$63,$AI$64+$AJ$64+$AK$64+$AL$64+$AM$64+$AN$64+M284,IF(M285=$AP$63,$AI$64+$AJ$64+$AK$64+$AL$64+$AM$64+$AN$64+$AO$64+M284,IF(M285=$AQ$63,$AI$64+$AJ$64+$AK$64+$AL$64+$AM$64+$AN$64+$AO$64+$AP$64+M284,IF(M285=$AR$63,$AI$64+$AJ$64+$AK$64+$AL$64+$AM$64+$AN$64+$AO$64+$AP$64+$AQ$64+M284,IF(M285=$AS$63,$AI$64+$AJ$64+$AK$64+$AL$64+$AM$64+$AN$64+$AO$64+$AP$64+$AQ$64+$AR$64+M284,IF(M285=$AT$63,$AI$64+$AJ$64+$AK$64+$AL$64+$AM$64+$AN$64+$AO$64+$AP$64+$AQ$64+$AR$64+$AS$64+M284,"error"))))))))))))</f>
        <v>80</v>
      </c>
      <c r="O286" s="38">
        <f>23.45*SIN(RADIANS(360*((284+N286)/365)))</f>
        <v>-0.40365320185431652</v>
      </c>
      <c r="P286" s="41">
        <v>60</v>
      </c>
      <c r="AA286">
        <v>23</v>
      </c>
      <c r="AB286" s="39">
        <v>0.71875000000001499</v>
      </c>
      <c r="AC286">
        <f t="shared" si="452"/>
        <v>7.875</v>
      </c>
      <c r="AD286">
        <f t="shared" si="453"/>
        <v>180</v>
      </c>
      <c r="AE286" s="7">
        <f t="shared" si="462"/>
        <v>-8.0032344718920641</v>
      </c>
      <c r="AF286">
        <f t="shared" si="463"/>
        <v>-8.0032344718920641</v>
      </c>
      <c r="AG286" s="7">
        <f t="shared" si="464"/>
        <v>9.6480440824053826E-16</v>
      </c>
      <c r="AH286">
        <f t="shared" si="465"/>
        <v>-0.84575806943707577</v>
      </c>
      <c r="AI286">
        <v>23</v>
      </c>
    </row>
    <row r="287" spans="1:35" x14ac:dyDescent="0.25">
      <c r="B287" s="317" t="s">
        <v>90</v>
      </c>
      <c r="C287" s="315"/>
      <c r="D287" s="315"/>
      <c r="E287" s="315"/>
      <c r="G287" s="319" t="s">
        <v>89</v>
      </c>
      <c r="H287" s="319"/>
      <c r="I287" s="319" t="s">
        <v>42</v>
      </c>
      <c r="J287" s="319" t="s">
        <v>43</v>
      </c>
      <c r="M287" s="317" t="s">
        <v>90</v>
      </c>
      <c r="N287" s="315"/>
      <c r="O287" s="315"/>
      <c r="P287" s="315"/>
      <c r="R287" s="319" t="s">
        <v>89</v>
      </c>
      <c r="S287" s="319"/>
      <c r="T287" s="319" t="s">
        <v>42</v>
      </c>
      <c r="U287" s="319" t="s">
        <v>43</v>
      </c>
      <c r="AB287" s="39">
        <v>0.72916666666668195</v>
      </c>
      <c r="AC287">
        <f t="shared" si="452"/>
        <v>8.25</v>
      </c>
      <c r="AD287">
        <f t="shared" si="453"/>
        <v>180</v>
      </c>
      <c r="AE287" s="7">
        <f t="shared" si="462"/>
        <v>-8.3496692635520056</v>
      </c>
      <c r="AF287">
        <f t="shared" si="463"/>
        <v>-8.3496692635520056</v>
      </c>
      <c r="AG287" s="7">
        <f t="shared" si="464"/>
        <v>1.0107474752996115E-15</v>
      </c>
      <c r="AH287">
        <f t="shared" si="465"/>
        <v>-0.60101097847750762</v>
      </c>
    </row>
    <row r="288" spans="1:35" x14ac:dyDescent="0.25">
      <c r="B288" s="318"/>
      <c r="C288" s="315"/>
      <c r="D288" s="315"/>
      <c r="E288" s="315"/>
      <c r="G288" s="319"/>
      <c r="H288" s="319"/>
      <c r="I288" s="319"/>
      <c r="J288" s="319"/>
      <c r="M288" s="318"/>
      <c r="N288" s="315"/>
      <c r="O288" s="315"/>
      <c r="P288" s="315"/>
      <c r="R288" s="319"/>
      <c r="S288" s="319"/>
      <c r="T288" s="319"/>
      <c r="U288" s="319"/>
      <c r="AA288">
        <v>24</v>
      </c>
      <c r="AB288" s="39">
        <v>0.73958333333334902</v>
      </c>
      <c r="AC288">
        <f t="shared" si="452"/>
        <v>8.625</v>
      </c>
      <c r="AD288">
        <f t="shared" si="453"/>
        <v>180</v>
      </c>
      <c r="AE288" s="7">
        <f t="shared" si="462"/>
        <v>-8.6889526008258624</v>
      </c>
      <c r="AF288">
        <f t="shared" si="463"/>
        <v>-8.6889526008258624</v>
      </c>
      <c r="AG288" s="7">
        <f t="shared" si="464"/>
        <v>1.0566905423586848E-15</v>
      </c>
      <c r="AH288">
        <f t="shared" si="465"/>
        <v>-0.33787982533866817</v>
      </c>
      <c r="AI288">
        <v>24</v>
      </c>
    </row>
    <row r="289" spans="1:38" x14ac:dyDescent="0.25">
      <c r="B289" s="39">
        <v>0.25</v>
      </c>
      <c r="C289" s="38">
        <v>90</v>
      </c>
      <c r="D289" s="38">
        <f>+DEGREES(ASIN(COS(RADIANS(E286))*COS(RADIANS(D286))*COS(RADIANS(C289))+SIN(RADIANS(E286))*SIN(RADIANS(D286))))</f>
        <v>-0.33065244560971324</v>
      </c>
      <c r="E289" s="38">
        <f>180-DEGREES(ACOS((((SIN(RADIANS(D289)))*SIN(RADIANS(E286)))-SIN(RADIANS(D286)))/((COS(RADIANS(D289)))*COS(RADIANS(E286)))))</f>
        <v>90.231528535338782</v>
      </c>
      <c r="G289">
        <f t="shared" ref="G289:G301" si="466">9-(D289/10)</f>
        <v>9.0330652445609712</v>
      </c>
      <c r="H289">
        <f t="shared" ref="H289:H301" si="467">90-E289+$AH$172</f>
        <v>-0.23152853533878215</v>
      </c>
      <c r="I289" s="7">
        <f t="shared" ref="I289:I301" si="468">IF($E$286&gt;=$AE$174,0,G289*COS(RADIANS(H289)))</f>
        <v>0</v>
      </c>
      <c r="J289" s="7">
        <f t="shared" ref="J289:J301" si="469">IF($E$286&gt;=$AE$174,0,G289*SIN(RADIANS(H289)))</f>
        <v>0</v>
      </c>
      <c r="M289" s="39">
        <v>0.25</v>
      </c>
      <c r="N289" s="38">
        <v>90</v>
      </c>
      <c r="O289" s="38">
        <f>+DEGREES(ASIN(COS(RADIANS(P286))*COS(RADIANS(O286))*COS(RADIANS(N289))+SIN(RADIANS(P286))*SIN(RADIANS(O286))))</f>
        <v>-0.3495732041793162</v>
      </c>
      <c r="P289" s="38">
        <f>180-DEGREES(ACOS((((SIN(RADIANS(O289)))*SIN(RADIANS(P286)))-SIN(RADIANS(O286)))/((COS(RADIANS(O289)))*COS(RADIANS(P286)))))</f>
        <v>90.201829105279003</v>
      </c>
      <c r="R289">
        <f t="shared" ref="R289:R301" si="470">9-(O289/10)</f>
        <v>9.0349573204179308</v>
      </c>
      <c r="S289">
        <f t="shared" ref="S289:S301" si="471">90-P289+$AH$172</f>
        <v>-0.20182910527900333</v>
      </c>
      <c r="T289" s="7">
        <f t="shared" ref="T289:T301" si="472">IF($P$286&gt;=$AE$174,0,R289*COS(RADIANS(S289)))</f>
        <v>0</v>
      </c>
      <c r="U289" s="7">
        <f t="shared" ref="U289:U301" si="473">IF($P$286&gt;=$AE$174,0,R289*SIN(RADIANS(S289)))</f>
        <v>0</v>
      </c>
      <c r="AB289" s="39">
        <v>0.75000000000001599</v>
      </c>
      <c r="AC289">
        <f t="shared" si="452"/>
        <v>9</v>
      </c>
      <c r="AD289">
        <f t="shared" si="453"/>
        <v>180</v>
      </c>
      <c r="AE289" s="7">
        <f t="shared" si="462"/>
        <v>-9.0200146465970548</v>
      </c>
      <c r="AF289">
        <f t="shared" si="463"/>
        <v>-9.0200146465970548</v>
      </c>
      <c r="AG289" s="7">
        <f t="shared" si="464"/>
        <v>1.102633609417758E-15</v>
      </c>
      <c r="AH289">
        <f t="shared" si="465"/>
        <v>-5.5033968254738962E-2</v>
      </c>
    </row>
    <row r="290" spans="1:38" x14ac:dyDescent="0.25">
      <c r="B290" s="39">
        <v>0.29166666666666669</v>
      </c>
      <c r="C290">
        <v>75</v>
      </c>
      <c r="D290" s="38">
        <f>+DEGREES(ASIN(COS(RADIANS(E286))*COS(RADIANS(D286))*COS(RADIANS(C290))+SIN(RADIANS(E286))*SIN(RADIANS(D286))))</f>
        <v>8.2028333744853068</v>
      </c>
      <c r="E290" s="38">
        <f>180-DEGREES(ACOS((((SIN(RADIANS(D290)))*SIN(RADIANS(E286)))-SIN(RADIANS(D286)))/((COS(RADIANS(D290)))*COS(RADIANS(E286)))))</f>
        <v>102.60808432687864</v>
      </c>
      <c r="G290">
        <f t="shared" si="466"/>
        <v>8.1797166625514688</v>
      </c>
      <c r="H290">
        <f t="shared" si="467"/>
        <v>-12.60808432687864</v>
      </c>
      <c r="I290" s="7">
        <f t="shared" si="468"/>
        <v>0</v>
      </c>
      <c r="J290" s="7">
        <f t="shared" si="469"/>
        <v>0</v>
      </c>
      <c r="M290" s="39">
        <v>0.29166666666666669</v>
      </c>
      <c r="N290">
        <v>75</v>
      </c>
      <c r="O290" s="38">
        <f>+DEGREES(ASIN(COS(RADIANS(P286))*COS(RADIANS(O286))*COS(RADIANS(N290))+SIN(RADIANS(P286))*SIN(RADIANS(O286))))</f>
        <v>7.0828905917026601</v>
      </c>
      <c r="P290" s="38">
        <f>180-DEGREES(ACOS((((SIN(RADIANS(O290)))*SIN(RADIANS(P286)))-SIN(RADIANS(O286)))/((COS(RADIANS(O290)))*COS(RADIANS(P286)))))</f>
        <v>103.26242674917356</v>
      </c>
      <c r="R290">
        <f t="shared" si="470"/>
        <v>8.2917109408297343</v>
      </c>
      <c r="S290">
        <f t="shared" si="471"/>
        <v>-13.262426749173557</v>
      </c>
      <c r="T290" s="7">
        <f t="shared" si="472"/>
        <v>0</v>
      </c>
      <c r="U290" s="7">
        <f t="shared" si="473"/>
        <v>0</v>
      </c>
    </row>
    <row r="291" spans="1:38" x14ac:dyDescent="0.25">
      <c r="B291" s="39">
        <v>0.33333333333333298</v>
      </c>
      <c r="C291" s="38">
        <v>60</v>
      </c>
      <c r="D291" s="38">
        <f>+DEGREES(ASIN(COS(RADIANS(E286))*COS(RADIANS(D286))*COS(RADIANS(C291))+SIN(RADIANS(E286))*SIN(RADIANS(D286))))</f>
        <v>16.320503415244993</v>
      </c>
      <c r="E291" s="38">
        <f>180-DEGREES(ACOS((((SIN(RADIANS(D291)))*SIN(RADIANS(E286)))-SIN(RADIANS(D286)))/((COS(RADIANS(D291)))*COS(RADIANS(E286)))))</f>
        <v>115.52931582669709</v>
      </c>
      <c r="G291">
        <f t="shared" si="466"/>
        <v>7.3679496584755011</v>
      </c>
      <c r="H291">
        <f t="shared" si="467"/>
        <v>-25.529315826697086</v>
      </c>
      <c r="I291" s="7">
        <f t="shared" si="468"/>
        <v>0</v>
      </c>
      <c r="J291" s="7">
        <f t="shared" si="469"/>
        <v>0</v>
      </c>
      <c r="M291" s="39">
        <v>0.33333333333333298</v>
      </c>
      <c r="N291" s="38">
        <v>60</v>
      </c>
      <c r="O291" s="38">
        <f>+DEGREES(ASIN(COS(RADIANS(P286))*COS(RADIANS(O286))*COS(RADIANS(N291))+SIN(RADIANS(P286))*SIN(RADIANS(O286))))</f>
        <v>14.116401075408692</v>
      </c>
      <c r="P291" s="38">
        <f>180-DEGREES(ACOS((((SIN(RADIANS(O291)))*SIN(RADIANS(P286)))-SIN(RADIANS(O286)))/((COS(RADIANS(O291)))*COS(RADIANS(P286)))))</f>
        <v>116.75119018205405</v>
      </c>
      <c r="R291">
        <f t="shared" si="470"/>
        <v>7.5883598924591311</v>
      </c>
      <c r="S291">
        <f t="shared" si="471"/>
        <v>-26.751190182054046</v>
      </c>
      <c r="T291" s="7">
        <f t="shared" si="472"/>
        <v>0</v>
      </c>
      <c r="U291" s="7">
        <f t="shared" si="473"/>
        <v>0</v>
      </c>
      <c r="AE291" s="7" t="s">
        <v>94</v>
      </c>
      <c r="AF291" s="7" t="s">
        <v>93</v>
      </c>
      <c r="AG291" s="7" t="s">
        <v>42</v>
      </c>
      <c r="AH291" s="7" t="s">
        <v>43</v>
      </c>
      <c r="AI291" s="7" t="s">
        <v>94</v>
      </c>
      <c r="AJ291" s="7" t="s">
        <v>93</v>
      </c>
      <c r="AK291" s="7" t="s">
        <v>42</v>
      </c>
      <c r="AL291" s="7" t="s">
        <v>43</v>
      </c>
    </row>
    <row r="292" spans="1:38" x14ac:dyDescent="0.25">
      <c r="B292" s="39">
        <v>0.375</v>
      </c>
      <c r="C292">
        <v>45</v>
      </c>
      <c r="D292" s="38">
        <f>+DEGREES(ASIN(COS(RADIANS(E286))*COS(RADIANS(D286))*COS(RADIANS(C292))+SIN(RADIANS(E286))*SIN(RADIANS(D286))))</f>
        <v>23.565599898332856</v>
      </c>
      <c r="E292" s="38">
        <f>180-DEGREES(ACOS((((SIN(RADIANS(D292)))*SIN(RADIANS(E286)))-SIN(RADIANS(D286)))/((COS(RADIANS(D292)))*COS(RADIANS(E286)))))</f>
        <v>129.51809063723479</v>
      </c>
      <c r="G292">
        <f t="shared" si="466"/>
        <v>6.6434400101667146</v>
      </c>
      <c r="H292">
        <f t="shared" si="467"/>
        <v>-39.518090637234792</v>
      </c>
      <c r="I292" s="7">
        <f t="shared" si="468"/>
        <v>0</v>
      </c>
      <c r="J292" s="7">
        <f t="shared" si="469"/>
        <v>0</v>
      </c>
      <c r="M292" s="39">
        <v>0.375</v>
      </c>
      <c r="N292">
        <v>45</v>
      </c>
      <c r="O292" s="38">
        <f>+DEGREES(ASIN(COS(RADIANS(P286))*COS(RADIANS(O286))*COS(RADIANS(N292))+SIN(RADIANS(P286))*SIN(RADIANS(O286))))</f>
        <v>20.331024660834704</v>
      </c>
      <c r="P292" s="38">
        <f>180-DEGREES(ACOS((((SIN(RADIANS(O292)))*SIN(RADIANS(P286)))-SIN(RADIANS(O286)))/((COS(RADIANS(O292)))*COS(RADIANS(P286)))))</f>
        <v>131.05609632361453</v>
      </c>
      <c r="R292">
        <f t="shared" si="470"/>
        <v>6.96689753391653</v>
      </c>
      <c r="S292">
        <f t="shared" si="471"/>
        <v>-41.056096323614526</v>
      </c>
      <c r="T292" s="7">
        <f t="shared" si="472"/>
        <v>0</v>
      </c>
      <c r="U292" s="7">
        <f t="shared" si="473"/>
        <v>0</v>
      </c>
      <c r="X292">
        <v>-9</v>
      </c>
      <c r="Y292">
        <f>+A2</f>
        <v>9</v>
      </c>
      <c r="Z292">
        <f>+B2</f>
        <v>0</v>
      </c>
      <c r="AA292">
        <f>+C2</f>
        <v>0</v>
      </c>
      <c r="AC292">
        <f t="shared" ref="AC292:AC323" si="474">+IF($AE$51&lt;0,IF(Z292&lt;$AI$53,Z292,$AI$53),IF(AA292&gt;$AI$53,AA292,$AI$53))</f>
        <v>0</v>
      </c>
      <c r="AE292">
        <v>9</v>
      </c>
      <c r="AF292">
        <v>0</v>
      </c>
      <c r="AG292" s="7">
        <f t="shared" ref="AG292:AG310" si="475">+AE292*COS(RADIANS(AF292))</f>
        <v>9</v>
      </c>
      <c r="AH292" s="7">
        <f t="shared" ref="AH292:AH310" si="476">+AE292*SIN(RADIANS(AF292))</f>
        <v>0</v>
      </c>
      <c r="AI292">
        <v>9</v>
      </c>
      <c r="AJ292">
        <v>180</v>
      </c>
      <c r="AK292" s="7">
        <f t="shared" ref="AK292:AK310" si="477">+AI292*COS(RADIANS(AJ292))</f>
        <v>-9</v>
      </c>
      <c r="AL292" s="7">
        <f t="shared" ref="AL292:AL310" si="478">+AI292*SIN(RADIANS(AJ292))</f>
        <v>1.102633609417758E-15</v>
      </c>
    </row>
    <row r="293" spans="1:38" x14ac:dyDescent="0.25">
      <c r="B293" s="39">
        <v>0.41666666666666702</v>
      </c>
      <c r="C293" s="38">
        <v>30</v>
      </c>
      <c r="D293" s="38">
        <f>+DEGREES(ASIN(COS(RADIANS(E286))*COS(RADIANS(D286))*COS(RADIANS(C293))+SIN(RADIANS(E286))*SIN(RADIANS(D286))))</f>
        <v>29.402942542788431</v>
      </c>
      <c r="E293" s="38">
        <f>180-DEGREES(ACOS((((SIN(RADIANS(D293)))*SIN(RADIANS(E286)))-SIN(RADIANS(D286)))/((COS(RADIANS(D293)))*COS(RADIANS(E286)))))</f>
        <v>144.97636487234047</v>
      </c>
      <c r="G293">
        <f t="shared" si="466"/>
        <v>6.0597057457211569</v>
      </c>
      <c r="H293">
        <f t="shared" si="467"/>
        <v>-54.976364872340469</v>
      </c>
      <c r="I293" s="7">
        <f t="shared" si="468"/>
        <v>0</v>
      </c>
      <c r="J293" s="7">
        <f t="shared" si="469"/>
        <v>0</v>
      </c>
      <c r="M293" s="39">
        <v>0.41666666666666702</v>
      </c>
      <c r="N293" s="38">
        <v>30</v>
      </c>
      <c r="O293" s="38">
        <f>+DEGREES(ASIN(COS(RADIANS(P286))*COS(RADIANS(O286))*COS(RADIANS(N293))+SIN(RADIANS(P286))*SIN(RADIANS(O286))))</f>
        <v>25.271036694432379</v>
      </c>
      <c r="P293" s="38">
        <f>180-DEGREES(ACOS((((SIN(RADIANS(O293)))*SIN(RADIANS(P286)))-SIN(RADIANS(O286)))/((COS(RADIANS(O293)))*COS(RADIANS(P286)))))</f>
        <v>146.43373276828299</v>
      </c>
      <c r="R293">
        <f t="shared" si="470"/>
        <v>6.4728963305567619</v>
      </c>
      <c r="S293">
        <f t="shared" si="471"/>
        <v>-56.433732768282994</v>
      </c>
      <c r="T293" s="7">
        <f t="shared" si="472"/>
        <v>0</v>
      </c>
      <c r="U293" s="7">
        <f t="shared" si="473"/>
        <v>0</v>
      </c>
      <c r="X293">
        <f t="shared" ref="X293:X324" si="479">IF(AC293=AC292,X292,X292+0.1)</f>
        <v>-8.9</v>
      </c>
      <c r="Y293">
        <f t="shared" ref="Y293:Y324" si="480">IF(AC293=AC292,Y292,Y292-0.1)</f>
        <v>8.9</v>
      </c>
      <c r="Z293">
        <f t="shared" ref="Z293:Z324" si="481">+B3</f>
        <v>1.3379088160259622</v>
      </c>
      <c r="AA293">
        <f t="shared" ref="AA293:AA324" si="482">+C3</f>
        <v>-1.3379088160259622</v>
      </c>
      <c r="AC293">
        <f t="shared" si="474"/>
        <v>-1.3379088160259622</v>
      </c>
      <c r="AE293">
        <v>9</v>
      </c>
      <c r="AF293">
        <v>5</v>
      </c>
      <c r="AG293" s="7">
        <f t="shared" si="475"/>
        <v>8.9657522828257097</v>
      </c>
      <c r="AH293" s="7">
        <f t="shared" si="476"/>
        <v>0.78440168472892347</v>
      </c>
      <c r="AI293">
        <v>9</v>
      </c>
      <c r="AJ293">
        <v>175</v>
      </c>
      <c r="AK293" s="7">
        <f t="shared" si="477"/>
        <v>-8.9657522828257097</v>
      </c>
      <c r="AL293" s="7">
        <f t="shared" si="478"/>
        <v>0.78440168472892369</v>
      </c>
    </row>
    <row r="294" spans="1:38" x14ac:dyDescent="0.25">
      <c r="B294" s="39">
        <v>0.45833333333333298</v>
      </c>
      <c r="C294">
        <v>15</v>
      </c>
      <c r="D294" s="38">
        <f>+DEGREES(ASIN(COS(RADIANS(E286))*COS(RADIANS(D286))*COS(RADIANS(C294))+SIN(RADIANS(E286))*SIN(RADIANS(D286))))</f>
        <v>33.246874034806808</v>
      </c>
      <c r="E294" s="38">
        <f>180-DEGREES(ACOS((((SIN(RADIANS(D294)))*SIN(RADIANS(E286)))-SIN(RADIANS(D286)))/((COS(RADIANS(D294)))*COS(RADIANS(E286)))))</f>
        <v>161.97285899302315</v>
      </c>
      <c r="G294">
        <f t="shared" si="466"/>
        <v>5.6753125965193192</v>
      </c>
      <c r="H294">
        <f t="shared" si="467"/>
        <v>-71.972858993023152</v>
      </c>
      <c r="I294" s="7">
        <f t="shared" si="468"/>
        <v>0</v>
      </c>
      <c r="J294" s="7">
        <f t="shared" si="469"/>
        <v>0</v>
      </c>
      <c r="M294" s="39">
        <v>0.45833333333333298</v>
      </c>
      <c r="N294">
        <v>15</v>
      </c>
      <c r="O294" s="38">
        <f>+DEGREES(ASIN(COS(RADIANS(P286))*COS(RADIANS(O286))*COS(RADIANS(N294))+SIN(RADIANS(P286))*SIN(RADIANS(O286))))</f>
        <v>28.479856336040129</v>
      </c>
      <c r="P294" s="38">
        <f>180-DEGREES(ACOS((((SIN(RADIANS(O294)))*SIN(RADIANS(P286)))-SIN(RADIANS(O286)))/((COS(RADIANS(O294)))*COS(RADIANS(P286)))))</f>
        <v>162.87574406738997</v>
      </c>
      <c r="R294">
        <f t="shared" si="470"/>
        <v>6.1520143663959868</v>
      </c>
      <c r="S294">
        <f t="shared" si="471"/>
        <v>-72.875744067389974</v>
      </c>
      <c r="T294" s="7">
        <f t="shared" si="472"/>
        <v>0</v>
      </c>
      <c r="U294" s="7">
        <f t="shared" si="473"/>
        <v>0</v>
      </c>
      <c r="X294">
        <f t="shared" si="479"/>
        <v>-8.8000000000000007</v>
      </c>
      <c r="Y294">
        <f t="shared" si="480"/>
        <v>8.8000000000000007</v>
      </c>
      <c r="Z294">
        <f t="shared" si="481"/>
        <v>1.8867962264113176</v>
      </c>
      <c r="AA294">
        <f t="shared" si="482"/>
        <v>-1.8867962264113176</v>
      </c>
      <c r="AC294">
        <f t="shared" si="474"/>
        <v>-1.8867962264113176</v>
      </c>
      <c r="AE294">
        <v>9</v>
      </c>
      <c r="AF294">
        <v>10</v>
      </c>
      <c r="AG294" s="7">
        <f t="shared" si="475"/>
        <v>8.8632697771098723</v>
      </c>
      <c r="AH294" s="7">
        <f t="shared" si="476"/>
        <v>1.562833599002373</v>
      </c>
      <c r="AI294">
        <v>9</v>
      </c>
      <c r="AJ294">
        <v>170</v>
      </c>
      <c r="AK294" s="7">
        <f t="shared" si="477"/>
        <v>-8.8632697771098723</v>
      </c>
      <c r="AL294" s="7">
        <f t="shared" si="478"/>
        <v>1.5628335990023725</v>
      </c>
    </row>
    <row r="295" spans="1:38" x14ac:dyDescent="0.25">
      <c r="B295" s="39">
        <v>0.5</v>
      </c>
      <c r="C295" s="38">
        <v>0</v>
      </c>
      <c r="D295" s="38">
        <f>+DEGREES(ASIN(COS(RADIANS(E286))*COS(RADIANS(D286))*COS(RADIANS(C295))+SIN(RADIANS(E286))*SIN(RADIANS(D286))))</f>
        <v>34.596346798145689</v>
      </c>
      <c r="E295" s="38">
        <f>+IF(E286&gt;=0,180,0)</f>
        <v>180</v>
      </c>
      <c r="G295">
        <f t="shared" si="466"/>
        <v>5.5403653201854315</v>
      </c>
      <c r="H295">
        <f t="shared" si="467"/>
        <v>-90</v>
      </c>
      <c r="I295" s="7">
        <f t="shared" si="468"/>
        <v>0</v>
      </c>
      <c r="J295" s="7">
        <f t="shared" si="469"/>
        <v>0</v>
      </c>
      <c r="M295" s="39">
        <v>0.5</v>
      </c>
      <c r="N295" s="38">
        <v>0</v>
      </c>
      <c r="O295" s="38">
        <f>+DEGREES(ASIN(COS(RADIANS(P286))*COS(RADIANS(O286))*COS(RADIANS(N295))+SIN(RADIANS(P286))*SIN(RADIANS(O286))))</f>
        <v>29.596346798145689</v>
      </c>
      <c r="P295" s="38">
        <f>+IF(P286&gt;=0,180,0)</f>
        <v>180</v>
      </c>
      <c r="R295">
        <f t="shared" si="470"/>
        <v>6.0403653201854315</v>
      </c>
      <c r="S295">
        <f t="shared" si="471"/>
        <v>-90</v>
      </c>
      <c r="T295" s="7">
        <f t="shared" si="472"/>
        <v>0</v>
      </c>
      <c r="U295" s="7">
        <f t="shared" si="473"/>
        <v>0</v>
      </c>
      <c r="X295">
        <f t="shared" si="479"/>
        <v>-8.7000000000000011</v>
      </c>
      <c r="Y295">
        <f t="shared" si="480"/>
        <v>8.7000000000000011</v>
      </c>
      <c r="Z295">
        <f t="shared" si="481"/>
        <v>2.304343724360586</v>
      </c>
      <c r="AA295">
        <f t="shared" si="482"/>
        <v>-2.304343724360586</v>
      </c>
      <c r="AC295">
        <f t="shared" si="474"/>
        <v>-2.304343724360586</v>
      </c>
      <c r="AE295">
        <v>9</v>
      </c>
      <c r="AF295">
        <v>15</v>
      </c>
      <c r="AG295" s="7">
        <f t="shared" si="475"/>
        <v>8.6933324366016151</v>
      </c>
      <c r="AH295" s="7">
        <f t="shared" si="476"/>
        <v>2.3293714059226867</v>
      </c>
      <c r="AI295">
        <v>9</v>
      </c>
      <c r="AJ295">
        <v>165</v>
      </c>
      <c r="AK295" s="7">
        <f t="shared" si="477"/>
        <v>-8.6933324366016134</v>
      </c>
      <c r="AL295" s="7">
        <f t="shared" si="478"/>
        <v>2.3293714059226893</v>
      </c>
    </row>
    <row r="296" spans="1:38" x14ac:dyDescent="0.25">
      <c r="B296" s="39">
        <v>0.54166666666666696</v>
      </c>
      <c r="C296">
        <v>-15</v>
      </c>
      <c r="D296" s="38">
        <f>+DEGREES(ASIN(COS(RADIANS(E286))*COS(RADIANS(D286))*COS(RADIANS(C296))+SIN(RADIANS(E286))*SIN(RADIANS(D286))))</f>
        <v>33.246874034806808</v>
      </c>
      <c r="E296" s="38">
        <f>-(180-DEGREES(ACOS((((SIN(RADIANS(D296)))*SIN(RADIANS(E286)))-SIN(RADIANS(D286)))/((COS(RADIANS(D296)))*COS(RADIANS(E286))))))</f>
        <v>-161.97285899302315</v>
      </c>
      <c r="G296">
        <f t="shared" si="466"/>
        <v>5.6753125965193192</v>
      </c>
      <c r="H296">
        <f t="shared" si="467"/>
        <v>251.97285899302315</v>
      </c>
      <c r="I296" s="7">
        <f t="shared" si="468"/>
        <v>0</v>
      </c>
      <c r="J296" s="7">
        <f t="shared" si="469"/>
        <v>0</v>
      </c>
      <c r="M296" s="39">
        <v>0.54166666666666696</v>
      </c>
      <c r="N296">
        <v>-15</v>
      </c>
      <c r="O296" s="38">
        <f>+DEGREES(ASIN(COS(RADIANS(P286))*COS(RADIANS(O286))*COS(RADIANS(N296))+SIN(RADIANS(P286))*SIN(RADIANS(O286))))</f>
        <v>28.479856336040129</v>
      </c>
      <c r="P296" s="38">
        <f>-(180-DEGREES(ACOS((((SIN(RADIANS(O296)))*SIN(RADIANS(P286)))-SIN(RADIANS(O286)))/((COS(RADIANS(O296)))*COS(RADIANS(P286))))))</f>
        <v>-162.87574406738997</v>
      </c>
      <c r="R296">
        <f t="shared" si="470"/>
        <v>6.1520143663959868</v>
      </c>
      <c r="S296">
        <f t="shared" si="471"/>
        <v>252.87574406738997</v>
      </c>
      <c r="T296" s="7">
        <f t="shared" si="472"/>
        <v>0</v>
      </c>
      <c r="U296" s="7">
        <f t="shared" si="473"/>
        <v>0</v>
      </c>
      <c r="X296">
        <f t="shared" si="479"/>
        <v>-8.6000000000000014</v>
      </c>
      <c r="Y296">
        <f t="shared" si="480"/>
        <v>8.6000000000000014</v>
      </c>
      <c r="Z296">
        <f t="shared" si="481"/>
        <v>2.6532998322843211</v>
      </c>
      <c r="AA296">
        <f t="shared" si="482"/>
        <v>-2.6532998322843211</v>
      </c>
      <c r="AC296">
        <f t="shared" si="474"/>
        <v>-2.6532998322843211</v>
      </c>
      <c r="AE296">
        <v>9</v>
      </c>
      <c r="AF296">
        <v>20</v>
      </c>
      <c r="AG296" s="7">
        <f t="shared" si="475"/>
        <v>8.4572335870731763</v>
      </c>
      <c r="AH296" s="7">
        <f t="shared" si="476"/>
        <v>3.0781812899310186</v>
      </c>
      <c r="AI296">
        <v>9</v>
      </c>
      <c r="AJ296">
        <v>160</v>
      </c>
      <c r="AK296" s="7">
        <f t="shared" si="477"/>
        <v>-8.4572335870731745</v>
      </c>
      <c r="AL296" s="7">
        <f t="shared" si="478"/>
        <v>3.0781812899310199</v>
      </c>
    </row>
    <row r="297" spans="1:38" x14ac:dyDescent="0.25">
      <c r="B297" s="39">
        <v>0.58333333333333304</v>
      </c>
      <c r="C297" s="38">
        <v>-30</v>
      </c>
      <c r="D297" s="38">
        <f>+DEGREES(ASIN(COS(RADIANS(E286))*COS(RADIANS(D286))*COS(RADIANS(C297))+SIN(RADIANS(E286))*SIN(RADIANS(D286))))</f>
        <v>29.402942542788431</v>
      </c>
      <c r="E297" s="38">
        <f>-(180-DEGREES(ACOS((((SIN(RADIANS(D297)))*SIN(RADIANS(E286)))-SIN(RADIANS(D286)))/((COS(RADIANS(D297)))*COS(RADIANS(E286))))))</f>
        <v>-144.97636487234047</v>
      </c>
      <c r="G297">
        <f t="shared" si="466"/>
        <v>6.0597057457211569</v>
      </c>
      <c r="H297">
        <f t="shared" si="467"/>
        <v>234.97636487234047</v>
      </c>
      <c r="I297" s="7">
        <f t="shared" si="468"/>
        <v>0</v>
      </c>
      <c r="J297" s="7">
        <f t="shared" si="469"/>
        <v>0</v>
      </c>
      <c r="M297" s="39">
        <v>0.58333333333333304</v>
      </c>
      <c r="N297" s="38">
        <v>-30</v>
      </c>
      <c r="O297" s="38">
        <f>+DEGREES(ASIN(COS(RADIANS(P286))*COS(RADIANS(O286))*COS(RADIANS(N297))+SIN(RADIANS(P286))*SIN(RADIANS(O286))))</f>
        <v>25.271036694432379</v>
      </c>
      <c r="P297" s="38">
        <f>-(180-DEGREES(ACOS((((SIN(RADIANS(O297)))*SIN(RADIANS(P286)))-SIN(RADIANS(O286)))/((COS(RADIANS(O297)))*COS(RADIANS(P286))))))</f>
        <v>-146.43373276828299</v>
      </c>
      <c r="R297">
        <f t="shared" si="470"/>
        <v>6.4728963305567619</v>
      </c>
      <c r="S297">
        <f t="shared" si="471"/>
        <v>236.43373276828299</v>
      </c>
      <c r="T297" s="7">
        <f t="shared" si="472"/>
        <v>0</v>
      </c>
      <c r="U297" s="7">
        <f t="shared" si="473"/>
        <v>0</v>
      </c>
      <c r="X297">
        <f t="shared" si="479"/>
        <v>-8.5000000000000018</v>
      </c>
      <c r="Y297">
        <f t="shared" si="480"/>
        <v>8.5000000000000018</v>
      </c>
      <c r="Z297">
        <f t="shared" si="481"/>
        <v>2.9580398915498081</v>
      </c>
      <c r="AA297">
        <f t="shared" si="482"/>
        <v>-2.9580398915498081</v>
      </c>
      <c r="AC297">
        <f t="shared" si="474"/>
        <v>-2.9580398915498081</v>
      </c>
      <c r="AE297">
        <v>9</v>
      </c>
      <c r="AF297">
        <v>25</v>
      </c>
      <c r="AG297" s="7">
        <f t="shared" si="475"/>
        <v>8.1567700833298495</v>
      </c>
      <c r="AH297" s="7">
        <f t="shared" si="476"/>
        <v>3.8035643556662948</v>
      </c>
      <c r="AI297">
        <v>9</v>
      </c>
      <c r="AJ297">
        <v>155</v>
      </c>
      <c r="AK297" s="7">
        <f t="shared" si="477"/>
        <v>-8.1567700833298495</v>
      </c>
      <c r="AL297" s="7">
        <f t="shared" si="478"/>
        <v>3.8035643556662952</v>
      </c>
    </row>
    <row r="298" spans="1:38" x14ac:dyDescent="0.25">
      <c r="B298" s="39">
        <v>0.625</v>
      </c>
      <c r="C298">
        <v>-45</v>
      </c>
      <c r="D298" s="38">
        <f>+DEGREES(ASIN(COS(RADIANS(E286))*COS(RADIANS(D286))*COS(RADIANS(C298))+SIN(RADIANS(E286))*SIN(RADIANS(D286))))</f>
        <v>23.565599898332856</v>
      </c>
      <c r="E298" s="38">
        <f>-(180-DEGREES(ACOS((((SIN(RADIANS(D298)))*SIN(RADIANS(E286)))-SIN(RADIANS(D286)))/((COS(RADIANS(D298)))*COS(RADIANS(E286))))))</f>
        <v>-129.51809063723479</v>
      </c>
      <c r="G298">
        <f t="shared" si="466"/>
        <v>6.6434400101667146</v>
      </c>
      <c r="H298">
        <f t="shared" si="467"/>
        <v>219.51809063723479</v>
      </c>
      <c r="I298" s="7">
        <f t="shared" si="468"/>
        <v>0</v>
      </c>
      <c r="J298" s="7">
        <f t="shared" si="469"/>
        <v>0</v>
      </c>
      <c r="M298" s="39">
        <v>0.625</v>
      </c>
      <c r="N298">
        <v>-45</v>
      </c>
      <c r="O298" s="38">
        <f>+DEGREES(ASIN(COS(RADIANS(P286))*COS(RADIANS(O286))*COS(RADIANS(N298))+SIN(RADIANS(P286))*SIN(RADIANS(O286))))</f>
        <v>20.331024660834704</v>
      </c>
      <c r="P298" s="38">
        <f>-(180-DEGREES(ACOS((((SIN(RADIANS(O298)))*SIN(RADIANS(P286)))-SIN(RADIANS(O286)))/((COS(RADIANS(O298)))*COS(RADIANS(P286))))))</f>
        <v>-131.05609632361453</v>
      </c>
      <c r="R298">
        <f t="shared" si="470"/>
        <v>6.96689753391653</v>
      </c>
      <c r="S298">
        <f t="shared" si="471"/>
        <v>221.05609632361453</v>
      </c>
      <c r="T298" s="7">
        <f t="shared" si="472"/>
        <v>0</v>
      </c>
      <c r="U298" s="7">
        <f t="shared" si="473"/>
        <v>0</v>
      </c>
      <c r="X298">
        <f t="shared" si="479"/>
        <v>-8.4000000000000021</v>
      </c>
      <c r="Y298">
        <f t="shared" si="480"/>
        <v>8.4000000000000021</v>
      </c>
      <c r="Z298">
        <f t="shared" si="481"/>
        <v>3.2310988842807022</v>
      </c>
      <c r="AA298">
        <f t="shared" si="482"/>
        <v>-3.2310988842807022</v>
      </c>
      <c r="AC298">
        <f t="shared" si="474"/>
        <v>-3.2310988842807022</v>
      </c>
      <c r="AE298">
        <v>9</v>
      </c>
      <c r="AF298">
        <v>30</v>
      </c>
      <c r="AG298" s="7">
        <f t="shared" si="475"/>
        <v>7.794228634059948</v>
      </c>
      <c r="AH298" s="7">
        <f t="shared" si="476"/>
        <v>4.4999999999999991</v>
      </c>
      <c r="AI298">
        <v>9</v>
      </c>
      <c r="AJ298">
        <v>150</v>
      </c>
      <c r="AK298" s="7">
        <f t="shared" si="477"/>
        <v>-7.794228634059948</v>
      </c>
      <c r="AL298" s="7">
        <f t="shared" si="478"/>
        <v>4.4999999999999991</v>
      </c>
    </row>
    <row r="299" spans="1:38" x14ac:dyDescent="0.25">
      <c r="B299" s="39">
        <v>0.66666666666666696</v>
      </c>
      <c r="C299" s="38">
        <v>-60</v>
      </c>
      <c r="D299" s="38">
        <f>+DEGREES(ASIN(COS(RADIANS(E286))*COS(RADIANS(D286))*COS(RADIANS(C299))+SIN(RADIANS(E286))*SIN(RADIANS(D286))))</f>
        <v>16.320503415244993</v>
      </c>
      <c r="E299" s="38">
        <f>-(180-DEGREES(ACOS((((SIN(RADIANS(D299)))*SIN(RADIANS(E286)))-SIN(RADIANS(D286)))/((COS(RADIANS(D299)))*COS(RADIANS(E286))))))</f>
        <v>-115.52931582669709</v>
      </c>
      <c r="G299">
        <f t="shared" si="466"/>
        <v>7.3679496584755011</v>
      </c>
      <c r="H299">
        <f t="shared" si="467"/>
        <v>205.52931582669709</v>
      </c>
      <c r="I299" s="7">
        <f t="shared" si="468"/>
        <v>0</v>
      </c>
      <c r="J299" s="7">
        <f t="shared" si="469"/>
        <v>0</v>
      </c>
      <c r="M299" s="39">
        <v>0.66666666666666696</v>
      </c>
      <c r="N299" s="38">
        <v>-60</v>
      </c>
      <c r="O299" s="38">
        <f>+DEGREES(ASIN(COS(RADIANS(P286))*COS(RADIANS(O286))*COS(RADIANS(N299))+SIN(RADIANS(P286))*SIN(RADIANS(O286))))</f>
        <v>14.116401075408692</v>
      </c>
      <c r="P299" s="38">
        <f>-(180-DEGREES(ACOS((((SIN(RADIANS(O299)))*SIN(RADIANS(P286)))-SIN(RADIANS(O286)))/((COS(RADIANS(O299)))*COS(RADIANS(P286))))))</f>
        <v>-116.75119018205405</v>
      </c>
      <c r="R299">
        <f t="shared" si="470"/>
        <v>7.5883598924591311</v>
      </c>
      <c r="S299">
        <f t="shared" si="471"/>
        <v>206.75119018205405</v>
      </c>
      <c r="T299" s="7">
        <f t="shared" si="472"/>
        <v>0</v>
      </c>
      <c r="U299" s="7">
        <f t="shared" si="473"/>
        <v>0</v>
      </c>
      <c r="X299">
        <f t="shared" si="479"/>
        <v>-8.3000000000000025</v>
      </c>
      <c r="Y299">
        <f t="shared" si="480"/>
        <v>8.3000000000000025</v>
      </c>
      <c r="Z299">
        <f t="shared" si="481"/>
        <v>3.479942528261061</v>
      </c>
      <c r="AA299">
        <f t="shared" si="482"/>
        <v>-3.479942528261061</v>
      </c>
      <c r="AC299">
        <f t="shared" si="474"/>
        <v>-3.479942528261061</v>
      </c>
      <c r="AE299">
        <v>9</v>
      </c>
      <c r="AF299">
        <v>35</v>
      </c>
      <c r="AG299" s="7">
        <f t="shared" si="475"/>
        <v>7.3723683986009263</v>
      </c>
      <c r="AH299" s="7">
        <f t="shared" si="476"/>
        <v>5.1621879271594144</v>
      </c>
      <c r="AI299">
        <v>9</v>
      </c>
      <c r="AJ299">
        <v>145</v>
      </c>
      <c r="AK299" s="7">
        <f t="shared" si="477"/>
        <v>-7.3723683986009272</v>
      </c>
      <c r="AL299" s="7">
        <f t="shared" si="478"/>
        <v>5.1621879271594135</v>
      </c>
    </row>
    <row r="300" spans="1:38" x14ac:dyDescent="0.25">
      <c r="B300" s="39">
        <v>0.70833333333333404</v>
      </c>
      <c r="C300">
        <v>-75</v>
      </c>
      <c r="D300" s="38">
        <f>+DEGREES(ASIN(COS(RADIANS(E286))*COS(RADIANS(D286))*COS(RADIANS(C300))+SIN(RADIANS(E286))*SIN(RADIANS(D286))))</f>
        <v>8.2028333744853068</v>
      </c>
      <c r="E300" s="38">
        <f>-(180-DEGREES(ACOS((((SIN(RADIANS(D300)))*SIN(RADIANS(E286)))-SIN(RADIANS(D286)))/((COS(RADIANS(D300)))*COS(RADIANS(E286))))))</f>
        <v>-102.60808432687864</v>
      </c>
      <c r="G300">
        <f t="shared" si="466"/>
        <v>8.1797166625514688</v>
      </c>
      <c r="H300">
        <f t="shared" si="467"/>
        <v>192.60808432687864</v>
      </c>
      <c r="I300" s="7">
        <f t="shared" si="468"/>
        <v>0</v>
      </c>
      <c r="J300" s="7">
        <f t="shared" si="469"/>
        <v>0</v>
      </c>
      <c r="M300" s="39">
        <v>0.70833333333333404</v>
      </c>
      <c r="N300">
        <v>-75</v>
      </c>
      <c r="O300" s="38">
        <f>+DEGREES(ASIN(COS(RADIANS(P286))*COS(RADIANS(O286))*COS(RADIANS(N300))+SIN(RADIANS(P286))*SIN(RADIANS(O286))))</f>
        <v>7.0828905917026601</v>
      </c>
      <c r="P300" s="38">
        <f>-(180-DEGREES(ACOS((((SIN(RADIANS(O300)))*SIN(RADIANS(P286)))-SIN(RADIANS(O286)))/((COS(RADIANS(O300)))*COS(RADIANS(P286))))))</f>
        <v>-103.26242674917356</v>
      </c>
      <c r="R300">
        <f t="shared" si="470"/>
        <v>8.2917109408297343</v>
      </c>
      <c r="S300">
        <f t="shared" si="471"/>
        <v>193.26242674917356</v>
      </c>
      <c r="T300" s="7">
        <f t="shared" si="472"/>
        <v>0</v>
      </c>
      <c r="U300" s="7">
        <f t="shared" si="473"/>
        <v>0</v>
      </c>
      <c r="X300">
        <f t="shared" si="479"/>
        <v>-8.2000000000000028</v>
      </c>
      <c r="Y300">
        <f t="shared" si="480"/>
        <v>8.2000000000000028</v>
      </c>
      <c r="Z300">
        <f t="shared" si="481"/>
        <v>3.7094473981982823</v>
      </c>
      <c r="AA300">
        <f t="shared" si="482"/>
        <v>-3.7094473981982823</v>
      </c>
      <c r="AC300">
        <f t="shared" si="474"/>
        <v>-3.7094473981982823</v>
      </c>
      <c r="AE300">
        <v>9</v>
      </c>
      <c r="AF300">
        <v>40</v>
      </c>
      <c r="AG300" s="7">
        <f t="shared" si="475"/>
        <v>6.894399988070802</v>
      </c>
      <c r="AH300" s="7">
        <f t="shared" si="476"/>
        <v>5.7850884871788537</v>
      </c>
      <c r="AI300">
        <v>9</v>
      </c>
      <c r="AJ300">
        <v>140</v>
      </c>
      <c r="AK300" s="7">
        <f t="shared" si="477"/>
        <v>-6.8943999880708011</v>
      </c>
      <c r="AL300" s="7">
        <f t="shared" si="478"/>
        <v>5.7850884871788555</v>
      </c>
    </row>
    <row r="301" spans="1:38" x14ac:dyDescent="0.25">
      <c r="B301" s="39">
        <v>0.75</v>
      </c>
      <c r="C301" s="38">
        <v>-90</v>
      </c>
      <c r="D301" s="38">
        <f>+DEGREES(ASIN(COS(RADIANS(E286))*COS(RADIANS(D286))*COS(RADIANS(C301))+SIN(RADIANS(E286))*SIN(RADIANS(D286))))</f>
        <v>-0.33065244560971324</v>
      </c>
      <c r="E301" s="38">
        <f>-(180-DEGREES(ACOS((((SIN(RADIANS(D301)))*SIN(RADIANS(E286)))-SIN(RADIANS(D286)))/((COS(RADIANS(D301)))*COS(RADIANS(E286))))))</f>
        <v>-90.231528535338782</v>
      </c>
      <c r="G301">
        <f t="shared" si="466"/>
        <v>9.0330652445609712</v>
      </c>
      <c r="H301">
        <f t="shared" si="467"/>
        <v>180.23152853533878</v>
      </c>
      <c r="I301" s="7">
        <f t="shared" si="468"/>
        <v>0</v>
      </c>
      <c r="J301" s="7">
        <f t="shared" si="469"/>
        <v>0</v>
      </c>
      <c r="M301" s="39">
        <v>0.75</v>
      </c>
      <c r="N301" s="38">
        <v>-90</v>
      </c>
      <c r="O301" s="38">
        <f>+DEGREES(ASIN(COS(RADIANS(P286))*COS(RADIANS(O286))*COS(RADIANS(N301))+SIN(RADIANS(P286))*SIN(RADIANS(O286))))</f>
        <v>-0.3495732041793162</v>
      </c>
      <c r="P301" s="38">
        <f>-(180-DEGREES(ACOS((((SIN(RADIANS(O301)))*SIN(RADIANS(P286)))-SIN(RADIANS(O286)))/((COS(RADIANS(O301)))*COS(RADIANS(P286))))))</f>
        <v>-90.201829105279003</v>
      </c>
      <c r="R301">
        <f t="shared" si="470"/>
        <v>9.0349573204179308</v>
      </c>
      <c r="S301">
        <f t="shared" si="471"/>
        <v>180.20182910527899</v>
      </c>
      <c r="T301" s="7">
        <f t="shared" si="472"/>
        <v>0</v>
      </c>
      <c r="U301" s="7">
        <f t="shared" si="473"/>
        <v>0</v>
      </c>
      <c r="X301">
        <f t="shared" si="479"/>
        <v>-8.1000000000000032</v>
      </c>
      <c r="Y301">
        <f t="shared" si="480"/>
        <v>8.1000000000000032</v>
      </c>
      <c r="Z301">
        <f t="shared" si="481"/>
        <v>3.9230090491866063</v>
      </c>
      <c r="AA301">
        <f t="shared" si="482"/>
        <v>-3.9230090491866063</v>
      </c>
      <c r="AC301">
        <f t="shared" si="474"/>
        <v>-3.9230090491866063</v>
      </c>
      <c r="AE301">
        <v>9</v>
      </c>
      <c r="AF301">
        <v>45</v>
      </c>
      <c r="AG301" s="7">
        <f t="shared" si="475"/>
        <v>6.3639610306789285</v>
      </c>
      <c r="AH301" s="7">
        <f t="shared" si="476"/>
        <v>6.3639610306789276</v>
      </c>
      <c r="AI301">
        <v>9</v>
      </c>
      <c r="AJ301">
        <v>135</v>
      </c>
      <c r="AK301" s="7">
        <f t="shared" si="477"/>
        <v>-6.3639610306789276</v>
      </c>
      <c r="AL301" s="7">
        <f t="shared" si="478"/>
        <v>6.3639610306789285</v>
      </c>
    </row>
    <row r="302" spans="1:38" x14ac:dyDescent="0.25">
      <c r="X302">
        <f t="shared" si="479"/>
        <v>-8.0000000000000036</v>
      </c>
      <c r="Y302">
        <f t="shared" si="480"/>
        <v>8.0000000000000036</v>
      </c>
      <c r="Z302">
        <f t="shared" si="481"/>
        <v>4.1231056256176606</v>
      </c>
      <c r="AA302">
        <f t="shared" si="482"/>
        <v>-4.1231056256176606</v>
      </c>
      <c r="AC302">
        <f t="shared" si="474"/>
        <v>-4.1231056256176606</v>
      </c>
      <c r="AE302">
        <v>9</v>
      </c>
      <c r="AF302">
        <v>50</v>
      </c>
      <c r="AG302" s="7">
        <f t="shared" si="475"/>
        <v>5.7850884871788546</v>
      </c>
      <c r="AH302" s="7">
        <f t="shared" si="476"/>
        <v>6.894399988070802</v>
      </c>
      <c r="AI302">
        <v>9</v>
      </c>
      <c r="AJ302">
        <v>130</v>
      </c>
      <c r="AK302" s="7">
        <f t="shared" si="477"/>
        <v>-5.7850884871788546</v>
      </c>
      <c r="AL302" s="7">
        <f t="shared" si="478"/>
        <v>6.894399988070802</v>
      </c>
    </row>
    <row r="303" spans="1:38" x14ac:dyDescent="0.25">
      <c r="X303">
        <f t="shared" si="479"/>
        <v>-7.9000000000000039</v>
      </c>
      <c r="Y303">
        <f t="shared" si="480"/>
        <v>7.9000000000000039</v>
      </c>
      <c r="Z303">
        <f t="shared" si="481"/>
        <v>4.3116122274620192</v>
      </c>
      <c r="AA303">
        <f t="shared" si="482"/>
        <v>-4.3116122274620192</v>
      </c>
      <c r="AC303">
        <f t="shared" si="474"/>
        <v>-4.3116122274620192</v>
      </c>
      <c r="AE303">
        <v>9</v>
      </c>
      <c r="AF303">
        <v>55</v>
      </c>
      <c r="AG303" s="7">
        <f t="shared" si="475"/>
        <v>5.1621879271594153</v>
      </c>
      <c r="AH303" s="7">
        <f t="shared" si="476"/>
        <v>7.3723683986009263</v>
      </c>
      <c r="AI303">
        <v>9</v>
      </c>
      <c r="AJ303">
        <v>125</v>
      </c>
      <c r="AK303" s="7">
        <f t="shared" si="477"/>
        <v>-5.1621879271594153</v>
      </c>
      <c r="AL303" s="7">
        <f t="shared" si="478"/>
        <v>7.3723683986009254</v>
      </c>
    </row>
    <row r="304" spans="1:38" x14ac:dyDescent="0.25">
      <c r="A304" s="41" t="s">
        <v>92</v>
      </c>
      <c r="B304" s="41">
        <v>21</v>
      </c>
      <c r="C304" s="315"/>
      <c r="D304" s="315"/>
      <c r="E304" s="316"/>
      <c r="L304" s="41" t="s">
        <v>92</v>
      </c>
      <c r="M304" s="41">
        <v>21</v>
      </c>
      <c r="N304" s="315"/>
      <c r="O304" s="315"/>
      <c r="P304" s="316"/>
      <c r="X304">
        <f t="shared" si="479"/>
        <v>-7.8000000000000043</v>
      </c>
      <c r="Y304">
        <f t="shared" si="480"/>
        <v>7.8000000000000043</v>
      </c>
      <c r="Z304">
        <f t="shared" si="481"/>
        <v>4.4899888641287298</v>
      </c>
      <c r="AA304">
        <f t="shared" si="482"/>
        <v>-4.4899888641287298</v>
      </c>
      <c r="AC304">
        <f t="shared" si="474"/>
        <v>-4.4899888641287298</v>
      </c>
      <c r="AE304">
        <v>9</v>
      </c>
      <c r="AF304">
        <v>60</v>
      </c>
      <c r="AG304" s="7">
        <f t="shared" si="475"/>
        <v>4.5000000000000009</v>
      </c>
      <c r="AH304" s="7">
        <f t="shared" si="476"/>
        <v>7.7942286340599471</v>
      </c>
      <c r="AI304">
        <v>9</v>
      </c>
      <c r="AJ304">
        <v>120</v>
      </c>
      <c r="AK304" s="7">
        <f t="shared" si="477"/>
        <v>-4.4999999999999982</v>
      </c>
      <c r="AL304" s="7">
        <f t="shared" si="478"/>
        <v>7.794228634059948</v>
      </c>
    </row>
    <row r="305" spans="1:38" x14ac:dyDescent="0.25">
      <c r="A305" s="41" t="s">
        <v>91</v>
      </c>
      <c r="B305" s="41">
        <v>3</v>
      </c>
      <c r="C305" s="315"/>
      <c r="D305" s="315"/>
      <c r="E305" s="316"/>
      <c r="L305" s="41" t="s">
        <v>91</v>
      </c>
      <c r="M305" s="41">
        <v>3</v>
      </c>
      <c r="N305" s="315"/>
      <c r="O305" s="315"/>
      <c r="P305" s="316"/>
      <c r="X305">
        <f t="shared" si="479"/>
        <v>-7.7000000000000046</v>
      </c>
      <c r="Y305">
        <f t="shared" si="480"/>
        <v>7.7000000000000046</v>
      </c>
      <c r="Z305">
        <f t="shared" si="481"/>
        <v>4.6593991028886972</v>
      </c>
      <c r="AA305">
        <f t="shared" si="482"/>
        <v>-4.6593991028886972</v>
      </c>
      <c r="AC305">
        <f t="shared" si="474"/>
        <v>-4.5000000000000009</v>
      </c>
      <c r="AE305">
        <v>9</v>
      </c>
      <c r="AF305">
        <v>65</v>
      </c>
      <c r="AG305" s="7">
        <f t="shared" si="475"/>
        <v>3.8035643556662948</v>
      </c>
      <c r="AH305" s="7">
        <f t="shared" si="476"/>
        <v>8.1567700833298495</v>
      </c>
      <c r="AI305">
        <v>9</v>
      </c>
      <c r="AJ305">
        <v>115</v>
      </c>
      <c r="AK305" s="7">
        <f t="shared" si="477"/>
        <v>-3.8035643556662939</v>
      </c>
      <c r="AL305" s="7">
        <f t="shared" si="478"/>
        <v>8.1567700833298495</v>
      </c>
    </row>
    <row r="306" spans="1:38" x14ac:dyDescent="0.25">
      <c r="C306" s="32">
        <f>+IF(B305=$AI$63,B304,IF(B305=$AJ$63,$AI$64+B304,IF(B305=$AK$63,$AI$64+$AJ$64+B304,IF(B305=$AL$63,$AI$64+$AJ$64+$AK$64+B304,IF(B305=$AM$63,$AI$64+$AJ$64+$AK$64+$AL$64+B304,IF(B305=$AN$63,$AI$64+$AJ$64+$AK$64+$AL$64+$AM$64+B304,IF(B305=$AO$63,$AI$64+$AJ$64+$AK$64+$AL$64+$AM$64+$AN$64+B304,IF(B305=$AP$63,$AI$64+$AJ$64+$AK$64+$AL$64+$AM$64+$AN$64+$AO$64+B304,IF(B305=$AQ$63,$AI$64+$AJ$64+$AK$64+$AL$64+$AM$64+$AN$64+$AO$64+$AP$64+B304,IF(B305=$AR$63,$AI$64+$AJ$64+$AK$64+$AL$64+$AM$64+$AN$64+$AO$64+$AP$64+$AQ$64+B304,IF(B305=$AS$63,$AI$64+$AJ$64+$AK$64+$AL$64+$AM$64+$AN$64+$AO$64+$AP$64+$AQ$64+$AR$64+B304,IF(B305=$AT$63,$AI$64+$AJ$64+$AK$64+$AL$64+$AM$64+$AN$64+$AO$64+$AP$64+$AQ$64+$AR$64+$AS$64+B304,"error"))))))))))))</f>
        <v>80</v>
      </c>
      <c r="D306" s="38">
        <f>23.45*SIN(RADIANS(360*((284+C306)/365)))</f>
        <v>-0.40365320185431652</v>
      </c>
      <c r="E306" s="41">
        <v>65</v>
      </c>
      <c r="N306" s="32">
        <f>+IF(M305=$AI$63,M304,IF(M305=$AJ$63,$AI$64+M304,IF(M305=$AK$63,$AI$64+$AJ$64+M304,IF(M305=$AL$63,$AI$64+$AJ$64+$AK$64+M304,IF(M305=$AM$63,$AI$64+$AJ$64+$AK$64+$AL$64+M304,IF(M305=$AN$63,$AI$64+$AJ$64+$AK$64+$AL$64+$AM$64+M304,IF(M305=$AO$63,$AI$64+$AJ$64+$AK$64+$AL$64+$AM$64+$AN$64+M304,IF(M305=$AP$63,$AI$64+$AJ$64+$AK$64+$AL$64+$AM$64+$AN$64+$AO$64+M304,IF(M305=$AQ$63,$AI$64+$AJ$64+$AK$64+$AL$64+$AM$64+$AN$64+$AO$64+$AP$64+M304,IF(M305=$AR$63,$AI$64+$AJ$64+$AK$64+$AL$64+$AM$64+$AN$64+$AO$64+$AP$64+$AQ$64+M304,IF(M305=$AS$63,$AI$64+$AJ$64+$AK$64+$AL$64+$AM$64+$AN$64+$AO$64+$AP$64+$AQ$64+$AR$64+M304,IF(M305=$AT$63,$AI$64+$AJ$64+$AK$64+$AL$64+$AM$64+$AN$64+$AO$64+$AP$64+$AQ$64+$AR$64+$AS$64+M304,"error"))))))))))))</f>
        <v>80</v>
      </c>
      <c r="O306" s="38">
        <f>23.45*SIN(RADIANS(360*((284+N306)/365)))</f>
        <v>-0.40365320185431652</v>
      </c>
      <c r="P306" s="41">
        <v>70</v>
      </c>
      <c r="X306">
        <f t="shared" si="479"/>
        <v>-7.7000000000000046</v>
      </c>
      <c r="Y306">
        <f t="shared" si="480"/>
        <v>7.7000000000000046</v>
      </c>
      <c r="Z306">
        <f t="shared" si="481"/>
        <v>4.8207883172775805</v>
      </c>
      <c r="AA306">
        <f t="shared" si="482"/>
        <v>-4.8207883172775805</v>
      </c>
      <c r="AC306">
        <f t="shared" si="474"/>
        <v>-4.5000000000000009</v>
      </c>
      <c r="AE306">
        <v>9</v>
      </c>
      <c r="AF306">
        <v>70</v>
      </c>
      <c r="AG306" s="7">
        <f t="shared" si="475"/>
        <v>3.0781812899310195</v>
      </c>
      <c r="AH306" s="7">
        <f t="shared" si="476"/>
        <v>8.4572335870731745</v>
      </c>
      <c r="AI306">
        <v>9</v>
      </c>
      <c r="AJ306">
        <v>110</v>
      </c>
      <c r="AK306" s="7">
        <f t="shared" si="477"/>
        <v>-3.0781812899310186</v>
      </c>
      <c r="AL306" s="7">
        <f t="shared" si="478"/>
        <v>8.4572335870731763</v>
      </c>
    </row>
    <row r="307" spans="1:38" x14ac:dyDescent="0.25">
      <c r="B307" s="317" t="s">
        <v>90</v>
      </c>
      <c r="C307" s="315"/>
      <c r="D307" s="315"/>
      <c r="E307" s="315"/>
      <c r="G307" s="319" t="s">
        <v>89</v>
      </c>
      <c r="H307" s="319"/>
      <c r="I307" s="319" t="s">
        <v>42</v>
      </c>
      <c r="J307" s="319" t="s">
        <v>43</v>
      </c>
      <c r="M307" s="317" t="s">
        <v>90</v>
      </c>
      <c r="N307" s="315"/>
      <c r="O307" s="315"/>
      <c r="P307" s="315"/>
      <c r="R307" s="319" t="s">
        <v>89</v>
      </c>
      <c r="S307" s="319"/>
      <c r="T307" s="319" t="s">
        <v>42</v>
      </c>
      <c r="U307" s="319" t="s">
        <v>43</v>
      </c>
      <c r="X307">
        <f t="shared" si="479"/>
        <v>-7.7000000000000046</v>
      </c>
      <c r="Y307">
        <f t="shared" si="480"/>
        <v>7.7000000000000046</v>
      </c>
      <c r="Z307">
        <f t="shared" si="481"/>
        <v>4.9749371855330997</v>
      </c>
      <c r="AA307">
        <f t="shared" si="482"/>
        <v>-4.9749371855330997</v>
      </c>
      <c r="AC307">
        <f t="shared" si="474"/>
        <v>-4.5000000000000009</v>
      </c>
      <c r="AE307">
        <v>9</v>
      </c>
      <c r="AF307">
        <v>75</v>
      </c>
      <c r="AG307" s="7">
        <f t="shared" si="475"/>
        <v>2.3293714059226867</v>
      </c>
      <c r="AH307" s="7">
        <f t="shared" si="476"/>
        <v>8.6933324366016151</v>
      </c>
      <c r="AI307">
        <v>9</v>
      </c>
      <c r="AJ307">
        <v>105</v>
      </c>
      <c r="AK307" s="7">
        <f t="shared" si="477"/>
        <v>-2.3293714059226875</v>
      </c>
      <c r="AL307" s="7">
        <f t="shared" si="478"/>
        <v>8.6933324366016151</v>
      </c>
    </row>
    <row r="308" spans="1:38" x14ac:dyDescent="0.25">
      <c r="B308" s="318"/>
      <c r="C308" s="315"/>
      <c r="D308" s="315"/>
      <c r="E308" s="315"/>
      <c r="G308" s="319"/>
      <c r="H308" s="319"/>
      <c r="I308" s="319"/>
      <c r="J308" s="319"/>
      <c r="M308" s="318"/>
      <c r="N308" s="315"/>
      <c r="O308" s="315"/>
      <c r="P308" s="315"/>
      <c r="R308" s="319"/>
      <c r="S308" s="319"/>
      <c r="T308" s="319"/>
      <c r="U308" s="319"/>
      <c r="X308">
        <f t="shared" si="479"/>
        <v>-7.7000000000000046</v>
      </c>
      <c r="Y308">
        <f t="shared" si="480"/>
        <v>7.7000000000000046</v>
      </c>
      <c r="Z308">
        <f t="shared" si="481"/>
        <v>5.1224993899462783</v>
      </c>
      <c r="AA308">
        <f t="shared" si="482"/>
        <v>-5.1224993899462783</v>
      </c>
      <c r="AC308">
        <f t="shared" si="474"/>
        <v>-4.5000000000000009</v>
      </c>
      <c r="AE308">
        <v>9</v>
      </c>
      <c r="AF308">
        <v>80</v>
      </c>
      <c r="AG308" s="7">
        <f t="shared" si="475"/>
        <v>1.5628335990023738</v>
      </c>
      <c r="AH308" s="7">
        <f t="shared" si="476"/>
        <v>8.8632697771098723</v>
      </c>
      <c r="AI308">
        <v>9</v>
      </c>
      <c r="AJ308">
        <v>100</v>
      </c>
      <c r="AK308" s="7">
        <f t="shared" si="477"/>
        <v>-1.5628335990023727</v>
      </c>
      <c r="AL308" s="7">
        <f t="shared" si="478"/>
        <v>8.8632697771098723</v>
      </c>
    </row>
    <row r="309" spans="1:38" x14ac:dyDescent="0.25">
      <c r="B309" s="39">
        <v>0.25</v>
      </c>
      <c r="C309" s="38">
        <v>90</v>
      </c>
      <c r="D309" s="38">
        <f>+DEGREES(ASIN(COS(RADIANS(E306))*COS(RADIANS(D306))*COS(RADIANS(C309))+SIN(RADIANS(E306))*SIN(RADIANS(D306))))</f>
        <v>-0.36583349958776845</v>
      </c>
      <c r="E309" s="38">
        <f>180-DEGREES(ACOS((((SIN(RADIANS(D309)))*SIN(RADIANS(E306)))-SIN(RADIANS(D306)))/((COS(RADIANS(D309)))*COS(RADIANS(E306)))))</f>
        <v>90.170593532787294</v>
      </c>
      <c r="G309">
        <f t="shared" ref="G309:G321" si="483">9-(D309/10)</f>
        <v>9.0365833499587769</v>
      </c>
      <c r="H309">
        <f t="shared" ref="H309:H321" si="484">90-E309+$AH$172</f>
        <v>-0.17059353278729361</v>
      </c>
      <c r="I309" s="7">
        <f t="shared" ref="I309:I321" si="485">IF($E$306&gt;=$AE$174,0,G309*COS(RADIANS(H309)))</f>
        <v>0</v>
      </c>
      <c r="J309" s="7">
        <f t="shared" ref="J309:J321" si="486">IF($E$306&gt;=$AE$174,0,G309*SIN(RADIANS(H309)))</f>
        <v>0</v>
      </c>
      <c r="M309" s="39">
        <v>0.25</v>
      </c>
      <c r="N309" s="38">
        <v>90</v>
      </c>
      <c r="O309" s="38">
        <f>+DEGREES(ASIN(COS(RADIANS(P306))*COS(RADIANS(O306))*COS(RADIANS(N309))+SIN(RADIANS(P306))*SIN(RADIANS(O306))))</f>
        <v>-0.3793095680889908</v>
      </c>
      <c r="P309" s="38">
        <f>180-DEGREES(ACOS((((SIN(RADIANS(O309)))*SIN(RADIANS(P306)))-SIN(RADIANS(O306)))/((COS(RADIANS(O309)))*COS(RADIANS(P306)))))</f>
        <v>90.138059542874117</v>
      </c>
      <c r="R309">
        <f t="shared" ref="R309:R321" si="487">9-(O309/10)</f>
        <v>9.0379309568088999</v>
      </c>
      <c r="S309">
        <f t="shared" ref="S309:S321" si="488">90-P309+$AH$172</f>
        <v>-0.13805954287411737</v>
      </c>
      <c r="T309" s="7">
        <f t="shared" ref="T309:T321" si="489">IF($P$306&gt;=$AE$174,0,R309*COS(RADIANS(S309)))</f>
        <v>0</v>
      </c>
      <c r="U309" s="7">
        <f t="shared" ref="U309:U321" si="490">IF($P$306&gt;=$AE$174,0,R309*SIN(RADIANS(S309)))</f>
        <v>0</v>
      </c>
      <c r="X309">
        <f t="shared" si="479"/>
        <v>-7.7000000000000046</v>
      </c>
      <c r="Y309">
        <f t="shared" si="480"/>
        <v>7.7000000000000046</v>
      </c>
      <c r="Z309">
        <f t="shared" si="481"/>
        <v>5.2640288753007427</v>
      </c>
      <c r="AA309">
        <f t="shared" si="482"/>
        <v>-5.2640288753007427</v>
      </c>
      <c r="AC309">
        <f t="shared" si="474"/>
        <v>-4.5000000000000009</v>
      </c>
      <c r="AE309">
        <v>9</v>
      </c>
      <c r="AF309">
        <v>85</v>
      </c>
      <c r="AG309" s="7">
        <f t="shared" si="475"/>
        <v>0.78440168472892324</v>
      </c>
      <c r="AH309" s="7">
        <f t="shared" si="476"/>
        <v>8.9657522828257097</v>
      </c>
      <c r="AI309">
        <v>9</v>
      </c>
      <c r="AJ309">
        <v>95</v>
      </c>
      <c r="AK309" s="7">
        <f t="shared" si="477"/>
        <v>-0.78440168472892413</v>
      </c>
      <c r="AL309" s="7">
        <f t="shared" si="478"/>
        <v>8.9657522828257097</v>
      </c>
    </row>
    <row r="310" spans="1:38" x14ac:dyDescent="0.25">
      <c r="B310" s="39">
        <v>0.29166666666666669</v>
      </c>
      <c r="C310">
        <v>75</v>
      </c>
      <c r="D310" s="38">
        <f>+DEGREES(ASIN(COS(RADIANS(E306))*COS(RADIANS(D306))*COS(RADIANS(C310))+SIN(RADIANS(E306))*SIN(RADIANS(D306))))</f>
        <v>5.9116037078203902</v>
      </c>
      <c r="E310" s="38">
        <f>180-DEGREES(ACOS((((SIN(RADIANS(D310)))*SIN(RADIANS(E306)))-SIN(RADIANS(D306)))/((COS(RADIANS(D310)))*COS(RADIANS(E306)))))</f>
        <v>103.81639011062393</v>
      </c>
      <c r="G310">
        <f t="shared" si="483"/>
        <v>8.4088396292179617</v>
      </c>
      <c r="H310">
        <f t="shared" si="484"/>
        <v>-13.816390110623928</v>
      </c>
      <c r="I310" s="7">
        <f t="shared" si="485"/>
        <v>0</v>
      </c>
      <c r="J310" s="7">
        <f t="shared" si="486"/>
        <v>0</v>
      </c>
      <c r="M310" s="39">
        <v>0.29166666666666669</v>
      </c>
      <c r="N310">
        <v>75</v>
      </c>
      <c r="O310" s="38">
        <f>+DEGREES(ASIN(COS(RADIANS(P306))*COS(RADIANS(O306))*COS(RADIANS(N310))+SIN(RADIANS(P306))*SIN(RADIANS(O306))))</f>
        <v>4.6977274021092281</v>
      </c>
      <c r="P310" s="38">
        <f>180-DEGREES(ACOS((((SIN(RADIANS(O310)))*SIN(RADIANS(P306)))-SIN(RADIANS(O306)))/((COS(RADIANS(O310)))*COS(RADIANS(P306)))))</f>
        <v>104.26705192605095</v>
      </c>
      <c r="R310">
        <f t="shared" si="487"/>
        <v>8.5302272597890774</v>
      </c>
      <c r="S310">
        <f t="shared" si="488"/>
        <v>-14.267051926050954</v>
      </c>
      <c r="T310" s="7">
        <f t="shared" si="489"/>
        <v>0</v>
      </c>
      <c r="U310" s="7">
        <f t="shared" si="490"/>
        <v>0</v>
      </c>
      <c r="X310">
        <f t="shared" si="479"/>
        <v>-7.7000000000000046</v>
      </c>
      <c r="Y310">
        <f t="shared" si="480"/>
        <v>7.7000000000000046</v>
      </c>
      <c r="Z310">
        <f t="shared" si="481"/>
        <v>5.3999999999999995</v>
      </c>
      <c r="AA310">
        <f t="shared" si="482"/>
        <v>-5.3999999999999995</v>
      </c>
      <c r="AC310">
        <f t="shared" si="474"/>
        <v>-4.5000000000000009</v>
      </c>
      <c r="AE310">
        <v>9</v>
      </c>
      <c r="AF310">
        <v>90</v>
      </c>
      <c r="AG310" s="7">
        <f t="shared" si="475"/>
        <v>5.51316804708879E-16</v>
      </c>
      <c r="AH310" s="7">
        <f t="shared" si="476"/>
        <v>9</v>
      </c>
      <c r="AI310">
        <v>9</v>
      </c>
      <c r="AJ310">
        <v>90</v>
      </c>
      <c r="AK310" s="7">
        <f t="shared" si="477"/>
        <v>5.51316804708879E-16</v>
      </c>
      <c r="AL310" s="7">
        <f t="shared" si="478"/>
        <v>9</v>
      </c>
    </row>
    <row r="311" spans="1:38" x14ac:dyDescent="0.25">
      <c r="B311" s="39">
        <v>0.33333333333333298</v>
      </c>
      <c r="C311" s="38">
        <v>60</v>
      </c>
      <c r="D311" s="38">
        <f>+DEGREES(ASIN(COS(RADIANS(E306))*COS(RADIANS(D306))*COS(RADIANS(C311))+SIN(RADIANS(E306))*SIN(RADIANS(D306))))</f>
        <v>11.824753402368048</v>
      </c>
      <c r="E311" s="38">
        <f>180-DEGREES(ACOS((((SIN(RADIANS(D311)))*SIN(RADIANS(E306)))-SIN(RADIANS(D306)))/((COS(RADIANS(D311)))*COS(RADIANS(E306)))))</f>
        <v>117.77555573647268</v>
      </c>
      <c r="G311">
        <f t="shared" si="483"/>
        <v>7.8175246597631958</v>
      </c>
      <c r="H311">
        <f t="shared" si="484"/>
        <v>-27.775555736472683</v>
      </c>
      <c r="I311" s="7">
        <f t="shared" si="485"/>
        <v>0</v>
      </c>
      <c r="J311" s="7">
        <f t="shared" si="486"/>
        <v>0</v>
      </c>
      <c r="M311" s="39">
        <v>0.33333333333333298</v>
      </c>
      <c r="N311" s="38">
        <v>60</v>
      </c>
      <c r="O311" s="38">
        <f>+DEGREES(ASIN(COS(RADIANS(P306))*COS(RADIANS(O306))*COS(RADIANS(N311))+SIN(RADIANS(P306))*SIN(RADIANS(O306))))</f>
        <v>9.4615489668857755</v>
      </c>
      <c r="P311" s="38">
        <f>180-DEGREES(ACOS((((SIN(RADIANS(O311)))*SIN(RADIANS(P306)))-SIN(RADIANS(O306)))/((COS(RADIANS(O311)))*COS(RADIANS(P306)))))</f>
        <v>118.60425981921006</v>
      </c>
      <c r="R311">
        <f t="shared" si="487"/>
        <v>8.0538451033114224</v>
      </c>
      <c r="S311">
        <f t="shared" si="488"/>
        <v>-28.604259819210057</v>
      </c>
      <c r="T311" s="7">
        <f t="shared" si="489"/>
        <v>0</v>
      </c>
      <c r="U311" s="7">
        <f t="shared" si="490"/>
        <v>0</v>
      </c>
      <c r="X311">
        <f t="shared" si="479"/>
        <v>-7.7000000000000046</v>
      </c>
      <c r="Y311">
        <f t="shared" si="480"/>
        <v>7.7000000000000046</v>
      </c>
      <c r="Z311">
        <f t="shared" si="481"/>
        <v>5.5308227236099334</v>
      </c>
      <c r="AA311">
        <f t="shared" si="482"/>
        <v>-5.5308227236099334</v>
      </c>
      <c r="AC311">
        <f t="shared" si="474"/>
        <v>-4.5000000000000009</v>
      </c>
    </row>
    <row r="312" spans="1:38" x14ac:dyDescent="0.25">
      <c r="B312" s="39">
        <v>0.375</v>
      </c>
      <c r="C312">
        <v>45</v>
      </c>
      <c r="D312" s="38">
        <f>+DEGREES(ASIN(COS(RADIANS(E306))*COS(RADIANS(D306))*COS(RADIANS(C312))+SIN(RADIANS(E306))*SIN(RADIANS(D306))))</f>
        <v>17.004323559235768</v>
      </c>
      <c r="E312" s="38">
        <f>180-DEGREES(ACOS((((SIN(RADIANS(D312)))*SIN(RADIANS(E306)))-SIN(RADIANS(D306)))/((COS(RADIANS(D312)))*COS(RADIANS(E306)))))</f>
        <v>132.31844102395206</v>
      </c>
      <c r="G312">
        <f t="shared" si="483"/>
        <v>7.299567644076423</v>
      </c>
      <c r="H312">
        <f t="shared" si="484"/>
        <v>-42.318441023952062</v>
      </c>
      <c r="I312" s="7">
        <f t="shared" si="485"/>
        <v>0</v>
      </c>
      <c r="J312" s="7">
        <f t="shared" si="486"/>
        <v>0</v>
      </c>
      <c r="M312" s="39">
        <v>0.375</v>
      </c>
      <c r="N312">
        <v>45</v>
      </c>
      <c r="O312" s="38">
        <f>+DEGREES(ASIN(COS(RADIANS(P306))*COS(RADIANS(O306))*COS(RADIANS(N312))+SIN(RADIANS(P306))*SIN(RADIANS(O306))))</f>
        <v>13.604509338364645</v>
      </c>
      <c r="P312" s="38">
        <f>180-DEGREES(ACOS((((SIN(RADIANS(O312)))*SIN(RADIANS(P306)))-SIN(RADIANS(O306)))/((COS(RADIANS(O312)))*COS(RADIANS(P306)))))</f>
        <v>133.32269035473772</v>
      </c>
      <c r="R312">
        <f t="shared" si="487"/>
        <v>7.6395490661635357</v>
      </c>
      <c r="S312">
        <f t="shared" si="488"/>
        <v>-43.322690354737716</v>
      </c>
      <c r="T312" s="7">
        <f t="shared" si="489"/>
        <v>0</v>
      </c>
      <c r="U312" s="7">
        <f t="shared" si="490"/>
        <v>0</v>
      </c>
      <c r="X312">
        <f t="shared" si="479"/>
        <v>-7.7000000000000046</v>
      </c>
      <c r="Y312">
        <f t="shared" si="480"/>
        <v>7.7000000000000046</v>
      </c>
      <c r="Z312">
        <f t="shared" si="481"/>
        <v>5.6568542494923806</v>
      </c>
      <c r="AA312">
        <f t="shared" si="482"/>
        <v>-5.6568542494923806</v>
      </c>
      <c r="AC312">
        <f t="shared" si="474"/>
        <v>-4.5000000000000009</v>
      </c>
    </row>
    <row r="313" spans="1:38" x14ac:dyDescent="0.25">
      <c r="B313" s="39">
        <v>0.41666666666666702</v>
      </c>
      <c r="C313" s="38">
        <v>30</v>
      </c>
      <c r="D313" s="38">
        <f>+DEGREES(ASIN(COS(RADIANS(E306))*COS(RADIANS(D306))*COS(RADIANS(C313))+SIN(RADIANS(E306))*SIN(RADIANS(D306))))</f>
        <v>21.075885200844958</v>
      </c>
      <c r="E313" s="38">
        <f>180-DEGREES(ACOS((((SIN(RADIANS(D313)))*SIN(RADIANS(E306)))-SIN(RADIANS(D306)))/((COS(RADIANS(D313)))*COS(RADIANS(E306)))))</f>
        <v>147.59964022587681</v>
      </c>
      <c r="G313">
        <f t="shared" si="483"/>
        <v>6.8924114799155038</v>
      </c>
      <c r="H313">
        <f t="shared" si="484"/>
        <v>-57.599640225876811</v>
      </c>
      <c r="I313" s="7">
        <f t="shared" si="485"/>
        <v>0</v>
      </c>
      <c r="J313" s="7">
        <f t="shared" si="486"/>
        <v>0</v>
      </c>
      <c r="M313" s="39">
        <v>0.41666666666666702</v>
      </c>
      <c r="N313" s="38">
        <v>30</v>
      </c>
      <c r="O313" s="38">
        <f>+DEGREES(ASIN(COS(RADIANS(P306))*COS(RADIANS(O306))*COS(RADIANS(N313))+SIN(RADIANS(P306))*SIN(RADIANS(O306))))</f>
        <v>16.832251996477833</v>
      </c>
      <c r="P313" s="38">
        <f>180-DEGREES(ACOS((((SIN(RADIANS(O313)))*SIN(RADIANS(P306)))-SIN(RADIANS(O306)))/((COS(RADIANS(O313)))*COS(RADIANS(P306)))))</f>
        <v>148.5088022488394</v>
      </c>
      <c r="R313">
        <f t="shared" si="487"/>
        <v>7.3167748003522171</v>
      </c>
      <c r="S313">
        <f t="shared" si="488"/>
        <v>-58.508802248839402</v>
      </c>
      <c r="T313" s="7">
        <f t="shared" si="489"/>
        <v>0</v>
      </c>
      <c r="U313" s="7">
        <f t="shared" si="490"/>
        <v>0</v>
      </c>
      <c r="X313">
        <f t="shared" si="479"/>
        <v>-7.7000000000000046</v>
      </c>
      <c r="Y313">
        <f t="shared" si="480"/>
        <v>7.7000000000000046</v>
      </c>
      <c r="Z313">
        <f t="shared" si="481"/>
        <v>5.7784080852774666</v>
      </c>
      <c r="AA313">
        <f t="shared" si="482"/>
        <v>-5.7784080852774666</v>
      </c>
      <c r="AC313">
        <f t="shared" si="474"/>
        <v>-4.5000000000000009</v>
      </c>
      <c r="AE313" s="7">
        <f t="shared" ref="AE313:AE331" si="491">+IF($AF$111="si",9,0)</f>
        <v>9</v>
      </c>
      <c r="AF313">
        <f t="shared" ref="AF313:AF331" si="492">IF($AE$51&lt;0,IF(AF292&lt;-$AE$51,AF292+$AE$48,-$AE$51+$AE$48),IF(-AF292&gt;-$AE$51,-AF292+$AE$48,-$AE$51+$AE$48))</f>
        <v>0</v>
      </c>
      <c r="AG313" s="7">
        <f t="shared" ref="AG313:AG331" si="493">+AE313*COS(RADIANS(AF313))</f>
        <v>9</v>
      </c>
      <c r="AH313" s="7">
        <f t="shared" ref="AH313:AH331" si="494">+AE313*SIN(RADIANS(AF313))</f>
        <v>0</v>
      </c>
      <c r="AI313" s="7">
        <f t="shared" ref="AI313:AI331" si="495">+IF($AF$111="si",9,0)</f>
        <v>9</v>
      </c>
      <c r="AJ313">
        <f t="shared" ref="AJ313:AJ331" si="496">IF($AE$51&lt;0,IF(AF292&lt;-$AE$51,AJ292+$AE$48,$AE$52+$AE$48),IF(-AF292&gt;-$AE$51,-AJ292+$AE$48,$AE$52+$AE$48))</f>
        <v>-180</v>
      </c>
      <c r="AK313" s="7">
        <f t="shared" ref="AK313:AK331" si="497">+AI313*COS(RADIANS(AJ313))</f>
        <v>-9</v>
      </c>
      <c r="AL313" s="7">
        <f t="shared" ref="AL313:AL331" si="498">+AI313*SIN(RADIANS(AJ313))</f>
        <v>-1.102633609417758E-15</v>
      </c>
    </row>
    <row r="314" spans="1:38" x14ac:dyDescent="0.25">
      <c r="B314" s="39">
        <v>0.45833333333333298</v>
      </c>
      <c r="C314">
        <v>15</v>
      </c>
      <c r="D314" s="38">
        <f>+DEGREES(ASIN(COS(RADIANS(E306))*COS(RADIANS(D306))*COS(RADIANS(C314))+SIN(RADIANS(E306))*SIN(RADIANS(D306))))</f>
        <v>23.692180533284578</v>
      </c>
      <c r="E314" s="38">
        <f>180-DEGREES(ACOS((((SIN(RADIANS(D314)))*SIN(RADIANS(E306)))-SIN(RADIANS(D306)))/((COS(RADIANS(D314)))*COS(RADIANS(E306)))))</f>
        <v>163.58254387307608</v>
      </c>
      <c r="G314">
        <f t="shared" si="483"/>
        <v>6.6307819466715419</v>
      </c>
      <c r="H314">
        <f t="shared" si="484"/>
        <v>-73.582543873076077</v>
      </c>
      <c r="I314" s="7">
        <f t="shared" si="485"/>
        <v>0</v>
      </c>
      <c r="J314" s="7">
        <f t="shared" si="486"/>
        <v>0</v>
      </c>
      <c r="M314" s="39">
        <v>0.45833333333333298</v>
      </c>
      <c r="N314">
        <v>15</v>
      </c>
      <c r="O314" s="38">
        <f>+DEGREES(ASIN(COS(RADIANS(P306))*COS(RADIANS(O306))*COS(RADIANS(N314))+SIN(RADIANS(P306))*SIN(RADIANS(O306))))</f>
        <v>18.889118792360932</v>
      </c>
      <c r="P314" s="38">
        <f>180-DEGREES(ACOS((((SIN(RADIANS(O314)))*SIN(RADIANS(P306)))-SIN(RADIANS(O306)))/((COS(RADIANS(O314)))*COS(RADIANS(P306)))))</f>
        <v>164.12474610310346</v>
      </c>
      <c r="R314">
        <f t="shared" si="487"/>
        <v>7.111088120763907</v>
      </c>
      <c r="S314">
        <f t="shared" si="488"/>
        <v>-74.124746103103462</v>
      </c>
      <c r="T314" s="7">
        <f t="shared" si="489"/>
        <v>0</v>
      </c>
      <c r="U314" s="7">
        <f t="shared" si="490"/>
        <v>0</v>
      </c>
      <c r="X314">
        <f t="shared" si="479"/>
        <v>-7.7000000000000046</v>
      </c>
      <c r="Y314">
        <f t="shared" si="480"/>
        <v>7.7000000000000046</v>
      </c>
      <c r="Z314">
        <f t="shared" si="481"/>
        <v>5.89576118919347</v>
      </c>
      <c r="AA314">
        <f t="shared" si="482"/>
        <v>-5.89576118919347</v>
      </c>
      <c r="AC314">
        <f t="shared" si="474"/>
        <v>-4.5000000000000009</v>
      </c>
      <c r="AE314" s="7">
        <f t="shared" si="491"/>
        <v>9</v>
      </c>
      <c r="AF314">
        <f t="shared" si="492"/>
        <v>-5</v>
      </c>
      <c r="AG314" s="7">
        <f t="shared" si="493"/>
        <v>8.9657522828257097</v>
      </c>
      <c r="AH314" s="7">
        <f t="shared" si="494"/>
        <v>-0.78440168472892347</v>
      </c>
      <c r="AI314" s="7">
        <f t="shared" si="495"/>
        <v>9</v>
      </c>
      <c r="AJ314">
        <f t="shared" si="496"/>
        <v>-175</v>
      </c>
      <c r="AK314" s="7">
        <f t="shared" si="497"/>
        <v>-8.9657522828257097</v>
      </c>
      <c r="AL314" s="7">
        <f t="shared" si="498"/>
        <v>-0.78440168472892369</v>
      </c>
    </row>
    <row r="315" spans="1:38" x14ac:dyDescent="0.25">
      <c r="B315" s="39">
        <v>0.5</v>
      </c>
      <c r="C315" s="38">
        <v>0</v>
      </c>
      <c r="D315" s="38">
        <f>+DEGREES(ASIN(COS(RADIANS(E306))*COS(RADIANS(D306))*COS(RADIANS(C315))+SIN(RADIANS(E306))*SIN(RADIANS(D306))))</f>
        <v>24.596346798145682</v>
      </c>
      <c r="E315" s="38">
        <f>+IF(E306&gt;=0,180,0)</f>
        <v>180</v>
      </c>
      <c r="G315">
        <f t="shared" si="483"/>
        <v>6.5403653201854315</v>
      </c>
      <c r="H315">
        <f t="shared" si="484"/>
        <v>-90</v>
      </c>
      <c r="I315" s="7">
        <f t="shared" si="485"/>
        <v>0</v>
      </c>
      <c r="J315" s="7">
        <f t="shared" si="486"/>
        <v>0</v>
      </c>
      <c r="M315" s="39">
        <v>0.5</v>
      </c>
      <c r="N315" s="38">
        <v>0</v>
      </c>
      <c r="O315" s="38">
        <f>+DEGREES(ASIN(COS(RADIANS(P306))*COS(RADIANS(O306))*COS(RADIANS(N315))+SIN(RADIANS(P306))*SIN(RADIANS(O306))))</f>
        <v>19.596346798145689</v>
      </c>
      <c r="P315" s="38">
        <f>+IF(P306&gt;=0,180,0)</f>
        <v>180</v>
      </c>
      <c r="R315">
        <f t="shared" si="487"/>
        <v>7.0403653201854315</v>
      </c>
      <c r="S315">
        <f t="shared" si="488"/>
        <v>-90</v>
      </c>
      <c r="T315" s="7">
        <f t="shared" si="489"/>
        <v>0</v>
      </c>
      <c r="U315" s="7">
        <f t="shared" si="490"/>
        <v>0</v>
      </c>
      <c r="X315">
        <f t="shared" si="479"/>
        <v>-7.7000000000000046</v>
      </c>
      <c r="Y315">
        <f t="shared" si="480"/>
        <v>7.7000000000000046</v>
      </c>
      <c r="Z315">
        <f t="shared" si="481"/>
        <v>6.009159675029446</v>
      </c>
      <c r="AA315">
        <f t="shared" si="482"/>
        <v>-6.009159675029446</v>
      </c>
      <c r="AC315">
        <f t="shared" si="474"/>
        <v>-4.5000000000000009</v>
      </c>
      <c r="AE315" s="7">
        <f t="shared" si="491"/>
        <v>9</v>
      </c>
      <c r="AF315">
        <f t="shared" si="492"/>
        <v>-10</v>
      </c>
      <c r="AG315" s="7">
        <f t="shared" si="493"/>
        <v>8.8632697771098723</v>
      </c>
      <c r="AH315" s="7">
        <f t="shared" si="494"/>
        <v>-1.562833599002373</v>
      </c>
      <c r="AI315" s="7">
        <f t="shared" si="495"/>
        <v>9</v>
      </c>
      <c r="AJ315">
        <f t="shared" si="496"/>
        <v>-170</v>
      </c>
      <c r="AK315" s="7">
        <f t="shared" si="497"/>
        <v>-8.8632697771098723</v>
      </c>
      <c r="AL315" s="7">
        <f t="shared" si="498"/>
        <v>-1.5628335990023725</v>
      </c>
    </row>
    <row r="316" spans="1:38" x14ac:dyDescent="0.25">
      <c r="B316" s="39">
        <v>0.54166666666666696</v>
      </c>
      <c r="C316">
        <v>-15</v>
      </c>
      <c r="D316" s="38">
        <f>+DEGREES(ASIN(COS(RADIANS(E306))*COS(RADIANS(D306))*COS(RADIANS(C316))+SIN(RADIANS(E306))*SIN(RADIANS(D306))))</f>
        <v>23.692180533284578</v>
      </c>
      <c r="E316" s="38">
        <f>-(180-DEGREES(ACOS((((SIN(RADIANS(D316)))*SIN(RADIANS(E306)))-SIN(RADIANS(D306)))/((COS(RADIANS(D316)))*COS(RADIANS(E306))))))</f>
        <v>-163.58254387307608</v>
      </c>
      <c r="G316">
        <f t="shared" si="483"/>
        <v>6.6307819466715419</v>
      </c>
      <c r="H316">
        <f t="shared" si="484"/>
        <v>253.58254387307608</v>
      </c>
      <c r="I316" s="7">
        <f t="shared" si="485"/>
        <v>0</v>
      </c>
      <c r="J316" s="7">
        <f t="shared" si="486"/>
        <v>0</v>
      </c>
      <c r="M316" s="39">
        <v>0.54166666666666696</v>
      </c>
      <c r="N316">
        <v>-15</v>
      </c>
      <c r="O316" s="38">
        <f>+DEGREES(ASIN(COS(RADIANS(P306))*COS(RADIANS(O306))*COS(RADIANS(N316))+SIN(RADIANS(P306))*SIN(RADIANS(O306))))</f>
        <v>18.889118792360932</v>
      </c>
      <c r="P316" s="38">
        <f>-(180-DEGREES(ACOS((((SIN(RADIANS(O316)))*SIN(RADIANS(P306)))-SIN(RADIANS(O306)))/((COS(RADIANS(O316)))*COS(RADIANS(P306))))))</f>
        <v>-164.12474610310346</v>
      </c>
      <c r="R316">
        <f t="shared" si="487"/>
        <v>7.111088120763907</v>
      </c>
      <c r="S316">
        <f t="shared" si="488"/>
        <v>254.12474610310346</v>
      </c>
      <c r="T316" s="7">
        <f t="shared" si="489"/>
        <v>0</v>
      </c>
      <c r="U316" s="7">
        <f t="shared" si="490"/>
        <v>0</v>
      </c>
      <c r="X316">
        <f t="shared" si="479"/>
        <v>-7.7000000000000046</v>
      </c>
      <c r="Y316">
        <f t="shared" si="480"/>
        <v>7.7000000000000046</v>
      </c>
      <c r="Z316">
        <f t="shared" si="481"/>
        <v>6.1188234163113426</v>
      </c>
      <c r="AA316">
        <f t="shared" si="482"/>
        <v>-6.1188234163113426</v>
      </c>
      <c r="AC316">
        <f t="shared" si="474"/>
        <v>-4.5000000000000009</v>
      </c>
      <c r="AE316" s="7">
        <f t="shared" si="491"/>
        <v>9</v>
      </c>
      <c r="AF316">
        <f t="shared" si="492"/>
        <v>-15</v>
      </c>
      <c r="AG316" s="7">
        <f t="shared" si="493"/>
        <v>8.6933324366016151</v>
      </c>
      <c r="AH316" s="7">
        <f t="shared" si="494"/>
        <v>-2.3293714059226867</v>
      </c>
      <c r="AI316" s="7">
        <f t="shared" si="495"/>
        <v>9</v>
      </c>
      <c r="AJ316">
        <f t="shared" si="496"/>
        <v>-165</v>
      </c>
      <c r="AK316" s="7">
        <f t="shared" si="497"/>
        <v>-8.6933324366016134</v>
      </c>
      <c r="AL316" s="7">
        <f t="shared" si="498"/>
        <v>-2.3293714059226893</v>
      </c>
    </row>
    <row r="317" spans="1:38" x14ac:dyDescent="0.25">
      <c r="B317" s="39">
        <v>0.58333333333333304</v>
      </c>
      <c r="C317" s="38">
        <v>-30</v>
      </c>
      <c r="D317" s="38">
        <f>+DEGREES(ASIN(COS(RADIANS(E306))*COS(RADIANS(D306))*COS(RADIANS(C317))+SIN(RADIANS(E306))*SIN(RADIANS(D306))))</f>
        <v>21.075885200844958</v>
      </c>
      <c r="E317" s="38">
        <f>-(180-DEGREES(ACOS((((SIN(RADIANS(D317)))*SIN(RADIANS(E306)))-SIN(RADIANS(D306)))/((COS(RADIANS(D317)))*COS(RADIANS(E306))))))</f>
        <v>-147.59964022587681</v>
      </c>
      <c r="G317">
        <f t="shared" si="483"/>
        <v>6.8924114799155038</v>
      </c>
      <c r="H317">
        <f t="shared" si="484"/>
        <v>237.59964022587681</v>
      </c>
      <c r="I317" s="7">
        <f t="shared" si="485"/>
        <v>0</v>
      </c>
      <c r="J317" s="7">
        <f t="shared" si="486"/>
        <v>0</v>
      </c>
      <c r="M317" s="39">
        <v>0.58333333333333304</v>
      </c>
      <c r="N317" s="38">
        <v>-30</v>
      </c>
      <c r="O317" s="38">
        <f>+DEGREES(ASIN(COS(RADIANS(P306))*COS(RADIANS(O306))*COS(RADIANS(N317))+SIN(RADIANS(P306))*SIN(RADIANS(O306))))</f>
        <v>16.832251996477833</v>
      </c>
      <c r="P317" s="38">
        <f>-(180-DEGREES(ACOS((((SIN(RADIANS(O317)))*SIN(RADIANS(P306)))-SIN(RADIANS(O306)))/((COS(RADIANS(O317)))*COS(RADIANS(P306))))))</f>
        <v>-148.5088022488394</v>
      </c>
      <c r="R317">
        <f t="shared" si="487"/>
        <v>7.3167748003522171</v>
      </c>
      <c r="S317">
        <f t="shared" si="488"/>
        <v>238.5088022488394</v>
      </c>
      <c r="T317" s="7">
        <f t="shared" si="489"/>
        <v>0</v>
      </c>
      <c r="U317" s="7">
        <f t="shared" si="490"/>
        <v>0</v>
      </c>
      <c r="X317">
        <f t="shared" si="479"/>
        <v>-7.7000000000000046</v>
      </c>
      <c r="Y317">
        <f t="shared" si="480"/>
        <v>7.7000000000000046</v>
      </c>
      <c r="Z317">
        <f t="shared" si="481"/>
        <v>6.2249497989943663</v>
      </c>
      <c r="AA317">
        <f t="shared" si="482"/>
        <v>-6.2249497989943663</v>
      </c>
      <c r="AC317">
        <f t="shared" si="474"/>
        <v>-4.5000000000000009</v>
      </c>
      <c r="AE317" s="7">
        <f t="shared" si="491"/>
        <v>9</v>
      </c>
      <c r="AF317">
        <f t="shared" si="492"/>
        <v>-20</v>
      </c>
      <c r="AG317" s="7">
        <f t="shared" si="493"/>
        <v>8.4572335870731763</v>
      </c>
      <c r="AH317" s="7">
        <f t="shared" si="494"/>
        <v>-3.0781812899310186</v>
      </c>
      <c r="AI317" s="7">
        <f t="shared" si="495"/>
        <v>9</v>
      </c>
      <c r="AJ317">
        <f t="shared" si="496"/>
        <v>-160</v>
      </c>
      <c r="AK317" s="7">
        <f t="shared" si="497"/>
        <v>-8.4572335870731745</v>
      </c>
      <c r="AL317" s="7">
        <f t="shared" si="498"/>
        <v>-3.0781812899310199</v>
      </c>
    </row>
    <row r="318" spans="1:38" x14ac:dyDescent="0.25">
      <c r="B318" s="39">
        <v>0.625</v>
      </c>
      <c r="C318">
        <v>-45</v>
      </c>
      <c r="D318" s="38">
        <f>+DEGREES(ASIN(COS(RADIANS(E306))*COS(RADIANS(D306))*COS(RADIANS(C318))+SIN(RADIANS(E306))*SIN(RADIANS(D306))))</f>
        <v>17.004323559235768</v>
      </c>
      <c r="E318" s="38">
        <f>-(180-DEGREES(ACOS((((SIN(RADIANS(D318)))*SIN(RADIANS(E306)))-SIN(RADIANS(D306)))/((COS(RADIANS(D318)))*COS(RADIANS(E306))))))</f>
        <v>-132.31844102395206</v>
      </c>
      <c r="G318">
        <f t="shared" si="483"/>
        <v>7.299567644076423</v>
      </c>
      <c r="H318">
        <f t="shared" si="484"/>
        <v>222.31844102395206</v>
      </c>
      <c r="I318" s="7">
        <f t="shared" si="485"/>
        <v>0</v>
      </c>
      <c r="J318" s="7">
        <f t="shared" si="486"/>
        <v>0</v>
      </c>
      <c r="M318" s="39">
        <v>0.625</v>
      </c>
      <c r="N318">
        <v>-45</v>
      </c>
      <c r="O318" s="38">
        <f>+DEGREES(ASIN(COS(RADIANS(P306))*COS(RADIANS(O306))*COS(RADIANS(N318))+SIN(RADIANS(P306))*SIN(RADIANS(O306))))</f>
        <v>13.604509338364645</v>
      </c>
      <c r="P318" s="38">
        <f>-(180-DEGREES(ACOS((((SIN(RADIANS(O318)))*SIN(RADIANS(P306)))-SIN(RADIANS(O306)))/((COS(RADIANS(O318)))*COS(RADIANS(P306))))))</f>
        <v>-133.32269035473772</v>
      </c>
      <c r="R318">
        <f t="shared" si="487"/>
        <v>7.6395490661635357</v>
      </c>
      <c r="S318">
        <f t="shared" si="488"/>
        <v>223.32269035473772</v>
      </c>
      <c r="T318" s="7">
        <f t="shared" si="489"/>
        <v>0</v>
      </c>
      <c r="U318" s="7">
        <f t="shared" si="490"/>
        <v>0</v>
      </c>
      <c r="X318">
        <f t="shared" si="479"/>
        <v>-7.7000000000000046</v>
      </c>
      <c r="Y318">
        <f t="shared" si="480"/>
        <v>7.7000000000000046</v>
      </c>
      <c r="Z318">
        <f t="shared" si="481"/>
        <v>6.327716807822549</v>
      </c>
      <c r="AA318">
        <f t="shared" si="482"/>
        <v>-6.327716807822549</v>
      </c>
      <c r="AC318">
        <f t="shared" si="474"/>
        <v>-4.5000000000000009</v>
      </c>
      <c r="AE318" s="7">
        <f t="shared" si="491"/>
        <v>9</v>
      </c>
      <c r="AF318">
        <f t="shared" si="492"/>
        <v>-25</v>
      </c>
      <c r="AG318" s="7">
        <f t="shared" si="493"/>
        <v>8.1567700833298495</v>
      </c>
      <c r="AH318" s="7">
        <f t="shared" si="494"/>
        <v>-3.8035643556662948</v>
      </c>
      <c r="AI318" s="7">
        <f t="shared" si="495"/>
        <v>9</v>
      </c>
      <c r="AJ318">
        <f t="shared" si="496"/>
        <v>-155</v>
      </c>
      <c r="AK318" s="7">
        <f t="shared" si="497"/>
        <v>-8.1567700833298495</v>
      </c>
      <c r="AL318" s="7">
        <f t="shared" si="498"/>
        <v>-3.8035643556662952</v>
      </c>
    </row>
    <row r="319" spans="1:38" x14ac:dyDescent="0.25">
      <c r="B319" s="39">
        <v>0.66666666666666696</v>
      </c>
      <c r="C319" s="38">
        <v>-60</v>
      </c>
      <c r="D319" s="38">
        <f>+DEGREES(ASIN(COS(RADIANS(E306))*COS(RADIANS(D306))*COS(RADIANS(C319))+SIN(RADIANS(E306))*SIN(RADIANS(D306))))</f>
        <v>11.824753402368048</v>
      </c>
      <c r="E319" s="38">
        <f>-(180-DEGREES(ACOS((((SIN(RADIANS(D319)))*SIN(RADIANS(E306)))-SIN(RADIANS(D306)))/((COS(RADIANS(D319)))*COS(RADIANS(E306))))))</f>
        <v>-117.77555573647268</v>
      </c>
      <c r="G319">
        <f t="shared" si="483"/>
        <v>7.8175246597631958</v>
      </c>
      <c r="H319">
        <f t="shared" si="484"/>
        <v>207.77555573647268</v>
      </c>
      <c r="I319" s="7">
        <f t="shared" si="485"/>
        <v>0</v>
      </c>
      <c r="J319" s="7">
        <f t="shared" si="486"/>
        <v>0</v>
      </c>
      <c r="M319" s="39">
        <v>0.66666666666666696</v>
      </c>
      <c r="N319" s="38">
        <v>-60</v>
      </c>
      <c r="O319" s="38">
        <f>+DEGREES(ASIN(COS(RADIANS(P306))*COS(RADIANS(O306))*COS(RADIANS(N319))+SIN(RADIANS(P306))*SIN(RADIANS(O306))))</f>
        <v>9.4615489668857755</v>
      </c>
      <c r="P319" s="38">
        <f>-(180-DEGREES(ACOS((((SIN(RADIANS(O319)))*SIN(RADIANS(P306)))-SIN(RADIANS(O306)))/((COS(RADIANS(O319)))*COS(RADIANS(P306))))))</f>
        <v>-118.60425981921006</v>
      </c>
      <c r="R319">
        <f t="shared" si="487"/>
        <v>8.0538451033114224</v>
      </c>
      <c r="S319">
        <f t="shared" si="488"/>
        <v>208.60425981921006</v>
      </c>
      <c r="T319" s="7">
        <f t="shared" si="489"/>
        <v>0</v>
      </c>
      <c r="U319" s="7">
        <f t="shared" si="490"/>
        <v>0</v>
      </c>
      <c r="X319">
        <f t="shared" si="479"/>
        <v>-7.7000000000000046</v>
      </c>
      <c r="Y319">
        <f t="shared" si="480"/>
        <v>7.7000000000000046</v>
      </c>
      <c r="Z319">
        <f t="shared" si="481"/>
        <v>6.4272855856885656</v>
      </c>
      <c r="AA319">
        <f t="shared" si="482"/>
        <v>-6.4272855856885656</v>
      </c>
      <c r="AC319">
        <f t="shared" si="474"/>
        <v>-4.5000000000000009</v>
      </c>
      <c r="AE319" s="7">
        <f t="shared" si="491"/>
        <v>9</v>
      </c>
      <c r="AF319">
        <f t="shared" si="492"/>
        <v>-30</v>
      </c>
      <c r="AG319" s="7">
        <f t="shared" si="493"/>
        <v>7.794228634059948</v>
      </c>
      <c r="AH319" s="7">
        <f t="shared" si="494"/>
        <v>-4.4999999999999991</v>
      </c>
      <c r="AI319" s="7">
        <f t="shared" si="495"/>
        <v>9</v>
      </c>
      <c r="AJ319">
        <f t="shared" si="496"/>
        <v>210</v>
      </c>
      <c r="AK319" s="7">
        <f t="shared" si="497"/>
        <v>-7.7942286340599471</v>
      </c>
      <c r="AL319" s="7">
        <f t="shared" si="498"/>
        <v>-4.5000000000000009</v>
      </c>
    </row>
    <row r="320" spans="1:38" x14ac:dyDescent="0.25">
      <c r="B320" s="39">
        <v>0.70833333333333404</v>
      </c>
      <c r="C320">
        <v>-75</v>
      </c>
      <c r="D320" s="38">
        <f>+DEGREES(ASIN(COS(RADIANS(E306))*COS(RADIANS(D306))*COS(RADIANS(C320))+SIN(RADIANS(E306))*SIN(RADIANS(D306))))</f>
        <v>5.9116037078203902</v>
      </c>
      <c r="E320" s="38">
        <f>-(180-DEGREES(ACOS((((SIN(RADIANS(D320)))*SIN(RADIANS(E306)))-SIN(RADIANS(D306)))/((COS(RADIANS(D320)))*COS(RADIANS(E306))))))</f>
        <v>-103.81639011062393</v>
      </c>
      <c r="G320">
        <f t="shared" si="483"/>
        <v>8.4088396292179617</v>
      </c>
      <c r="H320">
        <f t="shared" si="484"/>
        <v>193.81639011062393</v>
      </c>
      <c r="I320" s="7">
        <f t="shared" si="485"/>
        <v>0</v>
      </c>
      <c r="J320" s="7">
        <f t="shared" si="486"/>
        <v>0</v>
      </c>
      <c r="M320" s="39">
        <v>0.70833333333333404</v>
      </c>
      <c r="N320">
        <v>-75</v>
      </c>
      <c r="O320" s="38">
        <f>+DEGREES(ASIN(COS(RADIANS(P306))*COS(RADIANS(O306))*COS(RADIANS(N320))+SIN(RADIANS(P306))*SIN(RADIANS(O306))))</f>
        <v>4.6977274021092281</v>
      </c>
      <c r="P320" s="38">
        <f>-(180-DEGREES(ACOS((((SIN(RADIANS(O320)))*SIN(RADIANS(P306)))-SIN(RADIANS(O306)))/((COS(RADIANS(O320)))*COS(RADIANS(P306))))))</f>
        <v>-104.26705192605095</v>
      </c>
      <c r="R320">
        <f t="shared" si="487"/>
        <v>8.5302272597890774</v>
      </c>
      <c r="S320">
        <f t="shared" si="488"/>
        <v>194.26705192605095</v>
      </c>
      <c r="T320" s="7">
        <f t="shared" si="489"/>
        <v>0</v>
      </c>
      <c r="U320" s="7">
        <f t="shared" si="490"/>
        <v>0</v>
      </c>
      <c r="X320">
        <f t="shared" si="479"/>
        <v>-7.7000000000000046</v>
      </c>
      <c r="Y320">
        <f t="shared" si="480"/>
        <v>7.7000000000000046</v>
      </c>
      <c r="Z320">
        <f t="shared" si="481"/>
        <v>6.5238025721200357</v>
      </c>
      <c r="AA320">
        <f t="shared" si="482"/>
        <v>-6.5238025721200357</v>
      </c>
      <c r="AC320">
        <f t="shared" si="474"/>
        <v>-4.5000000000000009</v>
      </c>
      <c r="AE320" s="7">
        <f t="shared" si="491"/>
        <v>9</v>
      </c>
      <c r="AF320">
        <f t="shared" si="492"/>
        <v>-30</v>
      </c>
      <c r="AG320" s="7">
        <f t="shared" si="493"/>
        <v>7.794228634059948</v>
      </c>
      <c r="AH320" s="7">
        <f t="shared" si="494"/>
        <v>-4.4999999999999991</v>
      </c>
      <c r="AI320" s="7">
        <f t="shared" si="495"/>
        <v>9</v>
      </c>
      <c r="AJ320">
        <f t="shared" si="496"/>
        <v>210</v>
      </c>
      <c r="AK320" s="7">
        <f t="shared" si="497"/>
        <v>-7.7942286340599471</v>
      </c>
      <c r="AL320" s="7">
        <f t="shared" si="498"/>
        <v>-4.5000000000000009</v>
      </c>
    </row>
    <row r="321" spans="1:38" x14ac:dyDescent="0.25">
      <c r="B321" s="39">
        <v>0.75</v>
      </c>
      <c r="C321" s="38">
        <v>-90</v>
      </c>
      <c r="D321" s="38">
        <f>+DEGREES(ASIN(COS(RADIANS(E306))*COS(RADIANS(D306))*COS(RADIANS(C321))+SIN(RADIANS(E306))*SIN(RADIANS(D306))))</f>
        <v>-0.36583349958776845</v>
      </c>
      <c r="E321" s="38">
        <f>-(180-DEGREES(ACOS((((SIN(RADIANS(D321)))*SIN(RADIANS(E306)))-SIN(RADIANS(D306)))/((COS(RADIANS(D321)))*COS(RADIANS(E306))))))</f>
        <v>-90.170593532787294</v>
      </c>
      <c r="G321">
        <f t="shared" si="483"/>
        <v>9.0365833499587769</v>
      </c>
      <c r="H321">
        <f t="shared" si="484"/>
        <v>180.17059353278728</v>
      </c>
      <c r="I321" s="7">
        <f t="shared" si="485"/>
        <v>0</v>
      </c>
      <c r="J321" s="7">
        <f t="shared" si="486"/>
        <v>0</v>
      </c>
      <c r="M321" s="39">
        <v>0.75</v>
      </c>
      <c r="N321" s="38">
        <v>-90</v>
      </c>
      <c r="O321" s="38">
        <f>+DEGREES(ASIN(COS(RADIANS(P306))*COS(RADIANS(O306))*COS(RADIANS(N321))+SIN(RADIANS(P306))*SIN(RADIANS(O306))))</f>
        <v>-0.3793095680889908</v>
      </c>
      <c r="P321" s="38">
        <f>-(180-DEGREES(ACOS((((SIN(RADIANS(O321)))*SIN(RADIANS(P306)))-SIN(RADIANS(O306)))/((COS(RADIANS(O321)))*COS(RADIANS(P306))))))</f>
        <v>-90.138059542874117</v>
      </c>
      <c r="R321">
        <f t="shared" si="487"/>
        <v>9.0379309568088999</v>
      </c>
      <c r="S321">
        <f t="shared" si="488"/>
        <v>180.13805954287412</v>
      </c>
      <c r="T321" s="7">
        <f t="shared" si="489"/>
        <v>0</v>
      </c>
      <c r="U321" s="7">
        <f t="shared" si="490"/>
        <v>0</v>
      </c>
      <c r="X321">
        <f t="shared" si="479"/>
        <v>-7.7000000000000046</v>
      </c>
      <c r="Y321">
        <f t="shared" si="480"/>
        <v>7.7000000000000046</v>
      </c>
      <c r="Z321">
        <f t="shared" si="481"/>
        <v>6.6174013026262815</v>
      </c>
      <c r="AA321">
        <f t="shared" si="482"/>
        <v>-6.6174013026262815</v>
      </c>
      <c r="AC321">
        <f t="shared" si="474"/>
        <v>-4.5000000000000009</v>
      </c>
      <c r="AE321" s="7">
        <f t="shared" si="491"/>
        <v>9</v>
      </c>
      <c r="AF321">
        <f t="shared" si="492"/>
        <v>-30</v>
      </c>
      <c r="AG321" s="7">
        <f t="shared" si="493"/>
        <v>7.794228634059948</v>
      </c>
      <c r="AH321" s="7">
        <f t="shared" si="494"/>
        <v>-4.4999999999999991</v>
      </c>
      <c r="AI321" s="7">
        <f t="shared" si="495"/>
        <v>9</v>
      </c>
      <c r="AJ321">
        <f t="shared" si="496"/>
        <v>210</v>
      </c>
      <c r="AK321" s="7">
        <f t="shared" si="497"/>
        <v>-7.7942286340599471</v>
      </c>
      <c r="AL321" s="7">
        <f t="shared" si="498"/>
        <v>-4.5000000000000009</v>
      </c>
    </row>
    <row r="322" spans="1:38" x14ac:dyDescent="0.25">
      <c r="X322">
        <f t="shared" si="479"/>
        <v>-7.7000000000000046</v>
      </c>
      <c r="Y322">
        <f t="shared" si="480"/>
        <v>7.7000000000000046</v>
      </c>
      <c r="Z322">
        <f t="shared" si="481"/>
        <v>6.7082039324993694</v>
      </c>
      <c r="AA322">
        <f t="shared" si="482"/>
        <v>-6.7082039324993694</v>
      </c>
      <c r="AC322">
        <f t="shared" si="474"/>
        <v>-4.5000000000000009</v>
      </c>
      <c r="AE322" s="7">
        <f t="shared" si="491"/>
        <v>9</v>
      </c>
      <c r="AF322">
        <f t="shared" si="492"/>
        <v>-30</v>
      </c>
      <c r="AG322" s="7">
        <f t="shared" si="493"/>
        <v>7.794228634059948</v>
      </c>
      <c r="AH322" s="7">
        <f t="shared" si="494"/>
        <v>-4.4999999999999991</v>
      </c>
      <c r="AI322" s="7">
        <f t="shared" si="495"/>
        <v>9</v>
      </c>
      <c r="AJ322">
        <f t="shared" si="496"/>
        <v>210</v>
      </c>
      <c r="AK322" s="7">
        <f t="shared" si="497"/>
        <v>-7.7942286340599471</v>
      </c>
      <c r="AL322" s="7">
        <f t="shared" si="498"/>
        <v>-4.5000000000000009</v>
      </c>
    </row>
    <row r="323" spans="1:38" x14ac:dyDescent="0.25">
      <c r="X323">
        <f t="shared" si="479"/>
        <v>-7.7000000000000046</v>
      </c>
      <c r="Y323">
        <f t="shared" si="480"/>
        <v>7.7000000000000046</v>
      </c>
      <c r="Z323">
        <f t="shared" si="481"/>
        <v>6.7963225350184784</v>
      </c>
      <c r="AA323">
        <f t="shared" si="482"/>
        <v>-6.7963225350184784</v>
      </c>
      <c r="AC323">
        <f t="shared" si="474"/>
        <v>-4.5000000000000009</v>
      </c>
      <c r="AE323" s="7">
        <f t="shared" si="491"/>
        <v>9</v>
      </c>
      <c r="AF323">
        <f t="shared" si="492"/>
        <v>-30</v>
      </c>
      <c r="AG323" s="7">
        <f t="shared" si="493"/>
        <v>7.794228634059948</v>
      </c>
      <c r="AH323" s="7">
        <f t="shared" si="494"/>
        <v>-4.4999999999999991</v>
      </c>
      <c r="AI323" s="7">
        <f t="shared" si="495"/>
        <v>9</v>
      </c>
      <c r="AJ323">
        <f t="shared" si="496"/>
        <v>210</v>
      </c>
      <c r="AK323" s="7">
        <f t="shared" si="497"/>
        <v>-7.7942286340599471</v>
      </c>
      <c r="AL323" s="7">
        <f t="shared" si="498"/>
        <v>-4.5000000000000009</v>
      </c>
    </row>
    <row r="324" spans="1:38" x14ac:dyDescent="0.25">
      <c r="A324" s="41" t="s">
        <v>92</v>
      </c>
      <c r="B324" s="41">
        <v>21</v>
      </c>
      <c r="C324" s="315"/>
      <c r="D324" s="315"/>
      <c r="E324" s="316"/>
      <c r="L324" s="41" t="s">
        <v>92</v>
      </c>
      <c r="M324" s="41">
        <v>21</v>
      </c>
      <c r="N324" s="315"/>
      <c r="O324" s="315"/>
      <c r="P324" s="316"/>
      <c r="X324">
        <f t="shared" si="479"/>
        <v>-7.7000000000000046</v>
      </c>
      <c r="Y324">
        <f t="shared" si="480"/>
        <v>7.7000000000000046</v>
      </c>
      <c r="Z324">
        <f t="shared" si="481"/>
        <v>6.8818602136341012</v>
      </c>
      <c r="AA324">
        <f t="shared" si="482"/>
        <v>-6.8818602136341012</v>
      </c>
      <c r="AC324">
        <f t="shared" ref="AC324:AC355" si="499">+IF($AE$51&lt;0,IF(Z324&lt;$AI$53,Z324,$AI$53),IF(AA324&gt;$AI$53,AA324,$AI$53))</f>
        <v>-4.5000000000000009</v>
      </c>
      <c r="AE324" s="7">
        <f t="shared" si="491"/>
        <v>9</v>
      </c>
      <c r="AF324">
        <f t="shared" si="492"/>
        <v>-30</v>
      </c>
      <c r="AG324" s="7">
        <f t="shared" si="493"/>
        <v>7.794228634059948</v>
      </c>
      <c r="AH324" s="7">
        <f t="shared" si="494"/>
        <v>-4.4999999999999991</v>
      </c>
      <c r="AI324" s="7">
        <f t="shared" si="495"/>
        <v>9</v>
      </c>
      <c r="AJ324">
        <f t="shared" si="496"/>
        <v>210</v>
      </c>
      <c r="AK324" s="7">
        <f t="shared" si="497"/>
        <v>-7.7942286340599471</v>
      </c>
      <c r="AL324" s="7">
        <f t="shared" si="498"/>
        <v>-4.5000000000000009</v>
      </c>
    </row>
    <row r="325" spans="1:38" x14ac:dyDescent="0.25">
      <c r="A325" s="41" t="s">
        <v>91</v>
      </c>
      <c r="B325" s="41">
        <v>3</v>
      </c>
      <c r="C325" s="315"/>
      <c r="D325" s="315"/>
      <c r="E325" s="316"/>
      <c r="L325" s="41" t="s">
        <v>91</v>
      </c>
      <c r="M325" s="41">
        <v>3</v>
      </c>
      <c r="N325" s="315"/>
      <c r="O325" s="315"/>
      <c r="P325" s="316"/>
      <c r="X325">
        <f t="shared" ref="X325:X356" si="500">IF(AC325=AC324,X324,X324+0.1)</f>
        <v>-7.7000000000000046</v>
      </c>
      <c r="Y325">
        <f t="shared" ref="Y325:Y356" si="501">IF(AC325=AC324,Y324,Y324-0.1)</f>
        <v>7.7000000000000046</v>
      </c>
      <c r="Z325">
        <f t="shared" ref="Z325:Z356" si="502">+B35</f>
        <v>6.9649120597463394</v>
      </c>
      <c r="AA325">
        <f t="shared" ref="AA325:AA356" si="503">+C35</f>
        <v>-6.9649120597463394</v>
      </c>
      <c r="AC325">
        <f t="shared" si="499"/>
        <v>-4.5000000000000009</v>
      </c>
      <c r="AE325" s="7">
        <f t="shared" si="491"/>
        <v>9</v>
      </c>
      <c r="AF325">
        <f t="shared" si="492"/>
        <v>-30</v>
      </c>
      <c r="AG325" s="7">
        <f t="shared" si="493"/>
        <v>7.794228634059948</v>
      </c>
      <c r="AH325" s="7">
        <f t="shared" si="494"/>
        <v>-4.4999999999999991</v>
      </c>
      <c r="AI325" s="7">
        <f t="shared" si="495"/>
        <v>9</v>
      </c>
      <c r="AJ325">
        <f t="shared" si="496"/>
        <v>210</v>
      </c>
      <c r="AK325" s="7">
        <f t="shared" si="497"/>
        <v>-7.7942286340599471</v>
      </c>
      <c r="AL325" s="7">
        <f t="shared" si="498"/>
        <v>-4.5000000000000009</v>
      </c>
    </row>
    <row r="326" spans="1:38" x14ac:dyDescent="0.25">
      <c r="C326" s="32">
        <f>+IF(B325=$AI$63,B324,IF(B325=$AJ$63,$AI$64+B324,IF(B325=$AK$63,$AI$64+$AJ$64+B324,IF(B325=$AL$63,$AI$64+$AJ$64+$AK$64+B324,IF(B325=$AM$63,$AI$64+$AJ$64+$AK$64+$AL$64+B324,IF(B325=$AN$63,$AI$64+$AJ$64+$AK$64+$AL$64+$AM$64+B324,IF(B325=$AO$63,$AI$64+$AJ$64+$AK$64+$AL$64+$AM$64+$AN$64+B324,IF(B325=$AP$63,$AI$64+$AJ$64+$AK$64+$AL$64+$AM$64+$AN$64+$AO$64+B324,IF(B325=$AQ$63,$AI$64+$AJ$64+$AK$64+$AL$64+$AM$64+$AN$64+$AO$64+$AP$64+B324,IF(B325=$AR$63,$AI$64+$AJ$64+$AK$64+$AL$64+$AM$64+$AN$64+$AO$64+$AP$64+$AQ$64+B324,IF(B325=$AS$63,$AI$64+$AJ$64+$AK$64+$AL$64+$AM$64+$AN$64+$AO$64+$AP$64+$AQ$64+$AR$64+B324,IF(B325=$AT$63,$AI$64+$AJ$64+$AK$64+$AL$64+$AM$64+$AN$64+$AO$64+$AP$64+$AQ$64+$AR$64+$AS$64+B324,"error"))))))))))))</f>
        <v>80</v>
      </c>
      <c r="D326" s="38">
        <f>23.45*SIN(RADIANS(360*((284+C326)/365)))</f>
        <v>-0.40365320185431652</v>
      </c>
      <c r="E326" s="41">
        <v>75</v>
      </c>
      <c r="N326" s="32">
        <f>+IF(M325=$AI$63,M324,IF(M325=$AJ$63,$AI$64+M324,IF(M325=$AK$63,$AI$64+$AJ$64+M324,IF(M325=$AL$63,$AI$64+$AJ$64+$AK$64+M324,IF(M325=$AM$63,$AI$64+$AJ$64+$AK$64+$AL$64+M324,IF(M325=$AN$63,$AI$64+$AJ$64+$AK$64+$AL$64+$AM$64+M324,IF(M325=$AO$63,$AI$64+$AJ$64+$AK$64+$AL$64+$AM$64+$AN$64+M324,IF(M325=$AP$63,$AI$64+$AJ$64+$AK$64+$AL$64+$AM$64+$AN$64+$AO$64+M324,IF(M325=$AQ$63,$AI$64+$AJ$64+$AK$64+$AL$64+$AM$64+$AN$64+$AO$64+$AP$64+M324,IF(M325=$AR$63,$AI$64+$AJ$64+$AK$64+$AL$64+$AM$64+$AN$64+$AO$64+$AP$64+$AQ$64+M324,IF(M325=$AS$63,$AI$64+$AJ$64+$AK$64+$AL$64+$AM$64+$AN$64+$AO$64+$AP$64+$AQ$64+$AR$64+M324,IF(M325=$AT$63,$AI$64+$AJ$64+$AK$64+$AL$64+$AM$64+$AN$64+$AO$64+$AP$64+$AQ$64+$AR$64+$AS$64+M324,"error"))))))))))))</f>
        <v>80</v>
      </c>
      <c r="O326" s="38">
        <f>23.45*SIN(RADIANS(360*((284+N326)/365)))</f>
        <v>-0.40365320185431652</v>
      </c>
      <c r="P326" s="41">
        <v>80</v>
      </c>
      <c r="X326">
        <f t="shared" si="500"/>
        <v>-7.7000000000000046</v>
      </c>
      <c r="Y326">
        <f t="shared" si="501"/>
        <v>7.7000000000000046</v>
      </c>
      <c r="Z326">
        <f t="shared" si="502"/>
        <v>7.0455659815234153</v>
      </c>
      <c r="AA326">
        <f t="shared" si="503"/>
        <v>-7.0455659815234153</v>
      </c>
      <c r="AC326">
        <f t="shared" si="499"/>
        <v>-4.5000000000000009</v>
      </c>
      <c r="AE326" s="7">
        <f t="shared" si="491"/>
        <v>9</v>
      </c>
      <c r="AF326">
        <f t="shared" si="492"/>
        <v>-30</v>
      </c>
      <c r="AG326" s="7">
        <f t="shared" si="493"/>
        <v>7.794228634059948</v>
      </c>
      <c r="AH326" s="7">
        <f t="shared" si="494"/>
        <v>-4.4999999999999991</v>
      </c>
      <c r="AI326" s="7">
        <f t="shared" si="495"/>
        <v>9</v>
      </c>
      <c r="AJ326">
        <f t="shared" si="496"/>
        <v>210</v>
      </c>
      <c r="AK326" s="7">
        <f t="shared" si="497"/>
        <v>-7.7942286340599471</v>
      </c>
      <c r="AL326" s="7">
        <f t="shared" si="498"/>
        <v>-4.5000000000000009</v>
      </c>
    </row>
    <row r="327" spans="1:38" x14ac:dyDescent="0.25">
      <c r="B327" s="317" t="s">
        <v>90</v>
      </c>
      <c r="C327" s="315"/>
      <c r="D327" s="315"/>
      <c r="E327" s="315"/>
      <c r="G327" s="319" t="s">
        <v>89</v>
      </c>
      <c r="H327" s="319"/>
      <c r="I327" s="319" t="s">
        <v>42</v>
      </c>
      <c r="J327" s="319" t="s">
        <v>43</v>
      </c>
      <c r="M327" s="317" t="s">
        <v>90</v>
      </c>
      <c r="N327" s="315"/>
      <c r="O327" s="315"/>
      <c r="P327" s="315"/>
      <c r="R327" s="319" t="s">
        <v>89</v>
      </c>
      <c r="S327" s="319"/>
      <c r="T327" s="319" t="s">
        <v>42</v>
      </c>
      <c r="U327" s="319" t="s">
        <v>43</v>
      </c>
      <c r="X327">
        <f t="shared" si="500"/>
        <v>-7.7000000000000046</v>
      </c>
      <c r="Y327">
        <f t="shared" si="501"/>
        <v>7.7000000000000046</v>
      </c>
      <c r="Z327">
        <f t="shared" si="502"/>
        <v>7.1239034243875032</v>
      </c>
      <c r="AA327">
        <f t="shared" si="503"/>
        <v>-7.1239034243875032</v>
      </c>
      <c r="AC327">
        <f t="shared" si="499"/>
        <v>-4.5000000000000009</v>
      </c>
      <c r="AE327" s="7">
        <f t="shared" si="491"/>
        <v>9</v>
      </c>
      <c r="AF327">
        <f t="shared" si="492"/>
        <v>-30</v>
      </c>
      <c r="AG327" s="7">
        <f t="shared" si="493"/>
        <v>7.794228634059948</v>
      </c>
      <c r="AH327" s="7">
        <f t="shared" si="494"/>
        <v>-4.4999999999999991</v>
      </c>
      <c r="AI327" s="7">
        <f t="shared" si="495"/>
        <v>9</v>
      </c>
      <c r="AJ327">
        <f t="shared" si="496"/>
        <v>210</v>
      </c>
      <c r="AK327" s="7">
        <f t="shared" si="497"/>
        <v>-7.7942286340599471</v>
      </c>
      <c r="AL327" s="7">
        <f t="shared" si="498"/>
        <v>-4.5000000000000009</v>
      </c>
    </row>
    <row r="328" spans="1:38" x14ac:dyDescent="0.25">
      <c r="B328" s="318"/>
      <c r="C328" s="315"/>
      <c r="D328" s="315"/>
      <c r="E328" s="315"/>
      <c r="G328" s="319"/>
      <c r="H328" s="319"/>
      <c r="I328" s="319"/>
      <c r="J328" s="319"/>
      <c r="M328" s="318"/>
      <c r="N328" s="315"/>
      <c r="O328" s="315"/>
      <c r="P328" s="315"/>
      <c r="R328" s="319"/>
      <c r="S328" s="319"/>
      <c r="T328" s="319"/>
      <c r="U328" s="319"/>
      <c r="X328">
        <f t="shared" si="500"/>
        <v>-7.7000000000000046</v>
      </c>
      <c r="Y328">
        <f t="shared" si="501"/>
        <v>7.7000000000000046</v>
      </c>
      <c r="Z328">
        <f t="shared" si="502"/>
        <v>7.2</v>
      </c>
      <c r="AA328">
        <f t="shared" si="503"/>
        <v>-7.2</v>
      </c>
      <c r="AC328">
        <f t="shared" si="499"/>
        <v>-4.5000000000000009</v>
      </c>
      <c r="AE328" s="7">
        <f t="shared" si="491"/>
        <v>9</v>
      </c>
      <c r="AF328">
        <f t="shared" si="492"/>
        <v>-30</v>
      </c>
      <c r="AG328" s="7">
        <f t="shared" si="493"/>
        <v>7.794228634059948</v>
      </c>
      <c r="AH328" s="7">
        <f t="shared" si="494"/>
        <v>-4.4999999999999991</v>
      </c>
      <c r="AI328" s="7">
        <f t="shared" si="495"/>
        <v>9</v>
      </c>
      <c r="AJ328">
        <f t="shared" si="496"/>
        <v>210</v>
      </c>
      <c r="AK328" s="7">
        <f t="shared" si="497"/>
        <v>-7.7942286340599471</v>
      </c>
      <c r="AL328" s="7">
        <f t="shared" si="498"/>
        <v>-4.5000000000000009</v>
      </c>
    </row>
    <row r="329" spans="1:38" x14ac:dyDescent="0.25">
      <c r="B329" s="39">
        <v>0.25</v>
      </c>
      <c r="C329" s="38">
        <v>90</v>
      </c>
      <c r="D329" s="38">
        <f>+DEGREES(ASIN(COS(RADIANS(E326))*COS(RADIANS(D326))*COS(RADIANS(C329))+SIN(RADIANS(E326))*SIN(RADIANS(D326))))</f>
        <v>-0.38989883647608925</v>
      </c>
      <c r="E329" s="38">
        <f>180-DEGREES(ACOS((((SIN(RADIANS(D329)))*SIN(RADIANS(E326)))-SIN(RADIANS(D326)))/((COS(RADIANS(D329)))*COS(RADIANS(E326)))))</f>
        <v>90.104474748944043</v>
      </c>
      <c r="G329">
        <f t="shared" ref="G329:G341" si="504">9-(D329/10)</f>
        <v>9.0389898836476092</v>
      </c>
      <c r="H329">
        <f t="shared" ref="H329:H341" si="505">90-E329+$AH$172</f>
        <v>-0.10447474894404252</v>
      </c>
      <c r="I329" s="7">
        <f t="shared" ref="I329:I341" si="506">IF($E$326&gt;=$AE$174,0,G329*COS(RADIANS(H329)))</f>
        <v>0</v>
      </c>
      <c r="J329" s="7">
        <f t="shared" ref="J329:J341" si="507">IF($E$326&gt;=$AE$174,0,G329*SIN(RADIANS(H329)))</f>
        <v>0</v>
      </c>
      <c r="M329" s="39">
        <v>0.25</v>
      </c>
      <c r="N329" s="38">
        <v>90</v>
      </c>
      <c r="O329" s="38">
        <f>+DEGREES(ASIN(COS(RADIANS(P326))*COS(RADIANS(O326))*COS(RADIANS(N329))+SIN(RADIANS(P326))*SIN(RADIANS(O326))))</f>
        <v>-0.39752070355606267</v>
      </c>
      <c r="P329" s="38">
        <f>180-DEGREES(ACOS((((SIN(RADIANS(O329)))*SIN(RADIANS(P326)))-SIN(RADIANS(O326)))/((COS(RADIANS(O329)))*COS(RADIANS(P326)))))</f>
        <v>90.070094767620148</v>
      </c>
      <c r="R329">
        <f t="shared" ref="R329:R341" si="508">9-(O329/10)</f>
        <v>9.0397520703556058</v>
      </c>
      <c r="S329">
        <f t="shared" ref="S329:S341" si="509">90-P329+$AH$172</f>
        <v>-7.0094767620147991E-2</v>
      </c>
      <c r="T329" s="7">
        <f t="shared" ref="T329:T341" si="510">IF($P$326&gt;=$AE$174,0,R329*COS(RADIANS(S329)))</f>
        <v>0</v>
      </c>
      <c r="U329" s="7">
        <f t="shared" ref="U329:U341" si="511">IF($P$326&gt;=$AE$174,0,R329*SIN(RADIANS(S329)))</f>
        <v>0</v>
      </c>
      <c r="X329">
        <f t="shared" si="500"/>
        <v>-7.7000000000000046</v>
      </c>
      <c r="Y329">
        <f t="shared" si="501"/>
        <v>7.7000000000000046</v>
      </c>
      <c r="Z329">
        <f t="shared" si="502"/>
        <v>7.2739260375673327</v>
      </c>
      <c r="AA329">
        <f t="shared" si="503"/>
        <v>-7.2739260375673327</v>
      </c>
      <c r="AC329">
        <f t="shared" si="499"/>
        <v>-4.5000000000000009</v>
      </c>
      <c r="AE329" s="7">
        <f t="shared" si="491"/>
        <v>9</v>
      </c>
      <c r="AF329">
        <f t="shared" si="492"/>
        <v>-30</v>
      </c>
      <c r="AG329" s="7">
        <f t="shared" si="493"/>
        <v>7.794228634059948</v>
      </c>
      <c r="AH329" s="7">
        <f t="shared" si="494"/>
        <v>-4.4999999999999991</v>
      </c>
      <c r="AI329" s="7">
        <f t="shared" si="495"/>
        <v>9</v>
      </c>
      <c r="AJ329">
        <f t="shared" si="496"/>
        <v>210</v>
      </c>
      <c r="AK329" s="7">
        <f t="shared" si="497"/>
        <v>-7.7942286340599471</v>
      </c>
      <c r="AL329" s="7">
        <f t="shared" si="498"/>
        <v>-4.5000000000000009</v>
      </c>
    </row>
    <row r="330" spans="1:38" x14ac:dyDescent="0.25">
      <c r="B330" s="39">
        <v>0.29166666666666669</v>
      </c>
      <c r="C330">
        <v>75</v>
      </c>
      <c r="D330" s="38">
        <f>+DEGREES(ASIN(COS(RADIANS(E326))*COS(RADIANS(D326))*COS(RADIANS(C330))+SIN(RADIANS(E326))*SIN(RADIANS(D326))))</f>
        <v>3.4501831241284342</v>
      </c>
      <c r="E330" s="38">
        <f>180-DEGREES(ACOS((((SIN(RADIANS(D330)))*SIN(RADIANS(E326)))-SIN(RADIANS(D326)))/((COS(RADIANS(D330)))*COS(RADIANS(E326)))))</f>
        <v>104.6121420429491</v>
      </c>
      <c r="G330">
        <f t="shared" si="504"/>
        <v>8.6549816875871564</v>
      </c>
      <c r="H330">
        <f t="shared" si="505"/>
        <v>-14.612142042949102</v>
      </c>
      <c r="I330" s="7">
        <f t="shared" si="506"/>
        <v>0</v>
      </c>
      <c r="J330" s="7">
        <f t="shared" si="507"/>
        <v>0</v>
      </c>
      <c r="M330" s="39">
        <v>0.29166666666666669</v>
      </c>
      <c r="N330">
        <v>75</v>
      </c>
      <c r="O330" s="38">
        <f>+DEGREES(ASIN(COS(RADIANS(P326))*COS(RADIANS(O326))*COS(RADIANS(N330))+SIN(RADIANS(P326))*SIN(RADIANS(O326))))</f>
        <v>2.1780134099668169</v>
      </c>
      <c r="P330" s="38">
        <f>180-DEGREES(ACOS((((SIN(RADIANS(O330)))*SIN(RADIANS(P326)))-SIN(RADIANS(O326)))/((COS(RADIANS(O330)))*COS(RADIANS(P326)))))</f>
        <v>104.84998864842244</v>
      </c>
      <c r="R330">
        <f t="shared" si="508"/>
        <v>8.7821986590033188</v>
      </c>
      <c r="S330">
        <f t="shared" si="509"/>
        <v>-14.849988648422439</v>
      </c>
      <c r="T330" s="7">
        <f t="shared" si="510"/>
        <v>0</v>
      </c>
      <c r="U330" s="7">
        <f t="shared" si="511"/>
        <v>0</v>
      </c>
      <c r="X330">
        <f t="shared" si="500"/>
        <v>-7.7000000000000046</v>
      </c>
      <c r="Y330">
        <f t="shared" si="501"/>
        <v>7.7000000000000046</v>
      </c>
      <c r="Z330">
        <f t="shared" si="502"/>
        <v>7.3457470688827824</v>
      </c>
      <c r="AA330">
        <f t="shared" si="503"/>
        <v>-7.3457470688827824</v>
      </c>
      <c r="AC330">
        <f t="shared" si="499"/>
        <v>-4.5000000000000009</v>
      </c>
      <c r="AE330" s="7">
        <f t="shared" si="491"/>
        <v>9</v>
      </c>
      <c r="AF330">
        <f t="shared" si="492"/>
        <v>-30</v>
      </c>
      <c r="AG330" s="7">
        <f t="shared" si="493"/>
        <v>7.794228634059948</v>
      </c>
      <c r="AH330" s="7">
        <f t="shared" si="494"/>
        <v>-4.4999999999999991</v>
      </c>
      <c r="AI330" s="7">
        <f t="shared" si="495"/>
        <v>9</v>
      </c>
      <c r="AJ330">
        <f t="shared" si="496"/>
        <v>210</v>
      </c>
      <c r="AK330" s="7">
        <f t="shared" si="497"/>
        <v>-7.7942286340599471</v>
      </c>
      <c r="AL330" s="7">
        <f t="shared" si="498"/>
        <v>-4.5000000000000009</v>
      </c>
    </row>
    <row r="331" spans="1:38" x14ac:dyDescent="0.25">
      <c r="B331" s="39">
        <v>0.33333333333333298</v>
      </c>
      <c r="C331" s="38">
        <v>60</v>
      </c>
      <c r="D331" s="38">
        <f>+DEGREES(ASIN(COS(RADIANS(E326))*COS(RADIANS(D326))*COS(RADIANS(C331))+SIN(RADIANS(E326))*SIN(RADIANS(D326))))</f>
        <v>7.0422574939074547</v>
      </c>
      <c r="E331" s="38">
        <f>180-DEGREES(ACOS((((SIN(RADIANS(D331)))*SIN(RADIANS(E326)))-SIN(RADIANS(D326)))/((COS(RADIANS(D331)))*COS(RADIANS(E326)))))</f>
        <v>119.23936275375299</v>
      </c>
      <c r="G331">
        <f t="shared" si="504"/>
        <v>8.295774250609254</v>
      </c>
      <c r="H331">
        <f t="shared" si="505"/>
        <v>-29.239362753752985</v>
      </c>
      <c r="I331" s="7">
        <f t="shared" si="506"/>
        <v>0</v>
      </c>
      <c r="J331" s="7">
        <f t="shared" si="507"/>
        <v>0</v>
      </c>
      <c r="M331" s="39">
        <v>0.33333333333333298</v>
      </c>
      <c r="N331" s="38">
        <v>60</v>
      </c>
      <c r="O331" s="38">
        <f>+DEGREES(ASIN(COS(RADIANS(P326))*COS(RADIANS(O326))*COS(RADIANS(N331))+SIN(RADIANS(P326))*SIN(RADIANS(O326))))</f>
        <v>4.5818949074716482</v>
      </c>
      <c r="P331" s="38">
        <f>180-DEGREES(ACOS((((SIN(RADIANS(O331)))*SIN(RADIANS(P326)))-SIN(RADIANS(O326)))/((COS(RADIANS(O331)))*COS(RADIANS(P326)))))</f>
        <v>119.68277971597945</v>
      </c>
      <c r="R331">
        <f t="shared" si="508"/>
        <v>8.5418105092528354</v>
      </c>
      <c r="S331">
        <f t="shared" si="509"/>
        <v>-29.68277971597945</v>
      </c>
      <c r="T331" s="7">
        <f t="shared" si="510"/>
        <v>0</v>
      </c>
      <c r="U331" s="7">
        <f t="shared" si="511"/>
        <v>0</v>
      </c>
      <c r="X331">
        <f t="shared" si="500"/>
        <v>-7.7000000000000046</v>
      </c>
      <c r="Y331">
        <f t="shared" si="501"/>
        <v>7.7000000000000046</v>
      </c>
      <c r="Z331">
        <f t="shared" si="502"/>
        <v>7.4155242565849653</v>
      </c>
      <c r="AA331">
        <f t="shared" si="503"/>
        <v>-7.4155242565849653</v>
      </c>
      <c r="AC331">
        <f t="shared" si="499"/>
        <v>-4.5000000000000009</v>
      </c>
      <c r="AE331" s="7">
        <f t="shared" si="491"/>
        <v>9</v>
      </c>
      <c r="AF331">
        <f t="shared" si="492"/>
        <v>-30</v>
      </c>
      <c r="AG331" s="7">
        <f t="shared" si="493"/>
        <v>7.794228634059948</v>
      </c>
      <c r="AH331" s="7">
        <f t="shared" si="494"/>
        <v>-4.4999999999999991</v>
      </c>
      <c r="AI331" s="7">
        <f t="shared" si="495"/>
        <v>9</v>
      </c>
      <c r="AJ331">
        <f t="shared" si="496"/>
        <v>210</v>
      </c>
      <c r="AK331" s="7">
        <f t="shared" si="497"/>
        <v>-7.7942286340599471</v>
      </c>
      <c r="AL331" s="7">
        <f t="shared" si="498"/>
        <v>-4.5000000000000009</v>
      </c>
    </row>
    <row r="332" spans="1:38" x14ac:dyDescent="0.25">
      <c r="B332" s="39">
        <v>0.375</v>
      </c>
      <c r="C332">
        <v>45</v>
      </c>
      <c r="D332" s="38">
        <f>+DEGREES(ASIN(COS(RADIANS(E326))*COS(RADIANS(D326))*COS(RADIANS(C332))+SIN(RADIANS(E326))*SIN(RADIANS(D326))))</f>
        <v>10.148684177519183</v>
      </c>
      <c r="E332" s="38">
        <f>180-DEGREES(ACOS((((SIN(RADIANS(D332)))*SIN(RADIANS(E326)))-SIN(RADIANS(D326)))/((COS(RADIANS(D332)))*COS(RADIANS(E326)))))</f>
        <v>134.08336375564744</v>
      </c>
      <c r="G332">
        <f t="shared" si="504"/>
        <v>7.9851315822480817</v>
      </c>
      <c r="H332">
        <f t="shared" si="505"/>
        <v>-44.08336375564744</v>
      </c>
      <c r="I332" s="7">
        <f t="shared" si="506"/>
        <v>0</v>
      </c>
      <c r="J332" s="7">
        <f t="shared" si="507"/>
        <v>0</v>
      </c>
      <c r="M332" s="39">
        <v>0.375</v>
      </c>
      <c r="N332">
        <v>45</v>
      </c>
      <c r="O332" s="38">
        <f>+DEGREES(ASIN(COS(RADIANS(P326))*COS(RADIANS(O326))*COS(RADIANS(N332))+SIN(RADIANS(P326))*SIN(RADIANS(O326))))</f>
        <v>6.6524676910812941</v>
      </c>
      <c r="P332" s="38">
        <f>180-DEGREES(ACOS((((SIN(RADIANS(O332)))*SIN(RADIANS(P326)))-SIN(RADIANS(O326)))/((COS(RADIANS(O332)))*COS(RADIANS(P326)))))</f>
        <v>134.61173113596442</v>
      </c>
      <c r="R332">
        <f t="shared" si="508"/>
        <v>8.3347532308918701</v>
      </c>
      <c r="S332">
        <f t="shared" si="509"/>
        <v>-44.611731135964419</v>
      </c>
      <c r="T332" s="7">
        <f t="shared" si="510"/>
        <v>0</v>
      </c>
      <c r="U332" s="7">
        <f t="shared" si="511"/>
        <v>0</v>
      </c>
      <c r="X332">
        <f t="shared" si="500"/>
        <v>-7.7000000000000046</v>
      </c>
      <c r="Y332">
        <f t="shared" si="501"/>
        <v>7.7000000000000046</v>
      </c>
      <c r="Z332">
        <f t="shared" si="502"/>
        <v>7.4833147735478827</v>
      </c>
      <c r="AA332">
        <f t="shared" si="503"/>
        <v>-7.4833147735478827</v>
      </c>
      <c r="AC332">
        <f t="shared" si="499"/>
        <v>-4.5000000000000009</v>
      </c>
    </row>
    <row r="333" spans="1:38" x14ac:dyDescent="0.25">
      <c r="B333" s="39">
        <v>0.41666666666666702</v>
      </c>
      <c r="C333" s="38">
        <v>30</v>
      </c>
      <c r="D333" s="38">
        <f>+DEGREES(ASIN(COS(RADIANS(E326))*COS(RADIANS(D326))*COS(RADIANS(C333))+SIN(RADIANS(E326))*SIN(RADIANS(D326))))</f>
        <v>12.552455316688945</v>
      </c>
      <c r="E333" s="38">
        <f>180-DEGREES(ACOS((((SIN(RADIANS(D333)))*SIN(RADIANS(E326)))-SIN(RADIANS(D326)))/((COS(RADIANS(D333)))*COS(RADIANS(E326)))))</f>
        <v>149.18743469538276</v>
      </c>
      <c r="G333">
        <f t="shared" si="504"/>
        <v>7.7447544683311058</v>
      </c>
      <c r="H333">
        <f t="shared" si="505"/>
        <v>-59.187434695382763</v>
      </c>
      <c r="I333" s="7">
        <f t="shared" si="506"/>
        <v>0</v>
      </c>
      <c r="J333" s="7">
        <f t="shared" si="507"/>
        <v>0</v>
      </c>
      <c r="M333" s="39">
        <v>0.41666666666666702</v>
      </c>
      <c r="N333" s="38">
        <v>30</v>
      </c>
      <c r="O333" s="38">
        <f>+DEGREES(ASIN(COS(RADIANS(P326))*COS(RADIANS(O326))*COS(RADIANS(N333))+SIN(RADIANS(P326))*SIN(RADIANS(O326))))</f>
        <v>8.2470699342316749</v>
      </c>
      <c r="P333" s="38">
        <f>180-DEGREES(ACOS((((SIN(RADIANS(O333)))*SIN(RADIANS(P326)))-SIN(RADIANS(O326)))/((COS(RADIANS(O333)))*COS(RADIANS(P326)))))</f>
        <v>149.65456496125748</v>
      </c>
      <c r="R333">
        <f t="shared" si="508"/>
        <v>8.1752930065768332</v>
      </c>
      <c r="S333">
        <f t="shared" si="509"/>
        <v>-59.654564961257478</v>
      </c>
      <c r="T333" s="7">
        <f t="shared" si="510"/>
        <v>0</v>
      </c>
      <c r="U333" s="7">
        <f t="shared" si="511"/>
        <v>0</v>
      </c>
      <c r="X333">
        <f t="shared" si="500"/>
        <v>-7.7000000000000046</v>
      </c>
      <c r="Y333">
        <f t="shared" si="501"/>
        <v>7.7000000000000046</v>
      </c>
      <c r="Z333">
        <f t="shared" si="502"/>
        <v>7.5491721400429066</v>
      </c>
      <c r="AA333">
        <f t="shared" si="503"/>
        <v>-7.5491721400429066</v>
      </c>
      <c r="AC333">
        <f t="shared" si="499"/>
        <v>-4.5000000000000009</v>
      </c>
    </row>
    <row r="334" spans="1:38" x14ac:dyDescent="0.25">
      <c r="B334" s="39">
        <v>0.45833333333333298</v>
      </c>
      <c r="C334">
        <v>15</v>
      </c>
      <c r="D334" s="38">
        <f>+DEGREES(ASIN(COS(RADIANS(E326))*COS(RADIANS(D326))*COS(RADIANS(C334))+SIN(RADIANS(E326))*SIN(RADIANS(D326))))</f>
        <v>14.074824437842839</v>
      </c>
      <c r="E334" s="38">
        <f>180-DEGREES(ACOS((((SIN(RADIANS(D334)))*SIN(RADIANS(E326)))-SIN(RADIANS(D326)))/((COS(RADIANS(D334)))*COS(RADIANS(E326)))))</f>
        <v>164.52470067475116</v>
      </c>
      <c r="G334">
        <f t="shared" si="504"/>
        <v>7.5925175562157161</v>
      </c>
      <c r="H334">
        <f t="shared" si="505"/>
        <v>-74.524700674751159</v>
      </c>
      <c r="I334" s="7">
        <f t="shared" si="506"/>
        <v>0</v>
      </c>
      <c r="J334" s="7">
        <f t="shared" si="507"/>
        <v>0</v>
      </c>
      <c r="M334" s="39">
        <v>0.45833333333333298</v>
      </c>
      <c r="N334">
        <v>15</v>
      </c>
      <c r="O334" s="38">
        <f>+DEGREES(ASIN(COS(RADIANS(P326))*COS(RADIANS(O326))*COS(RADIANS(N334))+SIN(RADIANS(P326))*SIN(RADIANS(O326))))</f>
        <v>9.2527018000496479</v>
      </c>
      <c r="P334" s="38">
        <f>180-DEGREES(ACOS((((SIN(RADIANS(O334)))*SIN(RADIANS(P326)))-SIN(RADIANS(O326)))/((COS(RADIANS(O334)))*COS(RADIANS(P326)))))</f>
        <v>164.79790398339722</v>
      </c>
      <c r="R334">
        <f t="shared" si="508"/>
        <v>8.074729819995035</v>
      </c>
      <c r="S334">
        <f t="shared" si="509"/>
        <v>-74.797903983397219</v>
      </c>
      <c r="T334" s="7">
        <f t="shared" si="510"/>
        <v>0</v>
      </c>
      <c r="U334" s="7">
        <f t="shared" si="511"/>
        <v>0</v>
      </c>
      <c r="X334">
        <f t="shared" si="500"/>
        <v>-7.7000000000000046</v>
      </c>
      <c r="Y334">
        <f t="shared" si="501"/>
        <v>7.7000000000000046</v>
      </c>
      <c r="Z334">
        <f t="shared" si="502"/>
        <v>7.6131465242697125</v>
      </c>
      <c r="AA334">
        <f t="shared" si="503"/>
        <v>-7.6131465242697125</v>
      </c>
      <c r="AC334">
        <f t="shared" si="499"/>
        <v>-4.5000000000000009</v>
      </c>
    </row>
    <row r="335" spans="1:38" x14ac:dyDescent="0.25">
      <c r="B335" s="39">
        <v>0.5</v>
      </c>
      <c r="C335" s="38">
        <v>0</v>
      </c>
      <c r="D335" s="38">
        <f>+DEGREES(ASIN(COS(RADIANS(E326))*COS(RADIANS(D326))*COS(RADIANS(C335))+SIN(RADIANS(E326))*SIN(RADIANS(D326))))</f>
        <v>14.596346798145682</v>
      </c>
      <c r="E335" s="38">
        <f>+IF(E326&gt;=0,180,0)</f>
        <v>180</v>
      </c>
      <c r="G335">
        <f t="shared" si="504"/>
        <v>7.5403653201854315</v>
      </c>
      <c r="H335">
        <f t="shared" si="505"/>
        <v>-90</v>
      </c>
      <c r="I335" s="7">
        <f t="shared" si="506"/>
        <v>0</v>
      </c>
      <c r="J335" s="7">
        <f t="shared" si="507"/>
        <v>0</v>
      </c>
      <c r="M335" s="39">
        <v>0.5</v>
      </c>
      <c r="N335" s="38">
        <v>0</v>
      </c>
      <c r="O335" s="38">
        <f>+DEGREES(ASIN(COS(RADIANS(P326))*COS(RADIANS(O326))*COS(RADIANS(N335))+SIN(RADIANS(P326))*SIN(RADIANS(O326))))</f>
        <v>9.5963467981456887</v>
      </c>
      <c r="P335" s="38">
        <f>+IF(P326&gt;=0,180,0)</f>
        <v>180</v>
      </c>
      <c r="R335">
        <f t="shared" si="508"/>
        <v>8.0403653201854315</v>
      </c>
      <c r="S335">
        <f t="shared" si="509"/>
        <v>-90</v>
      </c>
      <c r="T335" s="7">
        <f t="shared" si="510"/>
        <v>0</v>
      </c>
      <c r="U335" s="7">
        <f t="shared" si="511"/>
        <v>0</v>
      </c>
      <c r="X335">
        <f t="shared" si="500"/>
        <v>-7.7000000000000046</v>
      </c>
      <c r="Y335">
        <f t="shared" si="501"/>
        <v>7.7000000000000046</v>
      </c>
      <c r="Z335">
        <f t="shared" si="502"/>
        <v>7.6752850109947053</v>
      </c>
      <c r="AA335">
        <f t="shared" si="503"/>
        <v>-7.6752850109947053</v>
      </c>
      <c r="AC335">
        <f t="shared" si="499"/>
        <v>-4.5000000000000009</v>
      </c>
    </row>
    <row r="336" spans="1:38" x14ac:dyDescent="0.25">
      <c r="B336" s="39">
        <v>0.54166666666666696</v>
      </c>
      <c r="C336">
        <v>-15</v>
      </c>
      <c r="D336" s="38">
        <f>+DEGREES(ASIN(COS(RADIANS(E326))*COS(RADIANS(D326))*COS(RADIANS(C336))+SIN(RADIANS(E326))*SIN(RADIANS(D326))))</f>
        <v>14.074824437842839</v>
      </c>
      <c r="E336" s="38">
        <f>-(180-DEGREES(ACOS((((SIN(RADIANS(D336)))*SIN(RADIANS(E326)))-SIN(RADIANS(D326)))/((COS(RADIANS(D336)))*COS(RADIANS(E326))))))</f>
        <v>-164.52470067475116</v>
      </c>
      <c r="G336">
        <f t="shared" si="504"/>
        <v>7.5925175562157161</v>
      </c>
      <c r="H336">
        <f t="shared" si="505"/>
        <v>254.52470067475116</v>
      </c>
      <c r="I336" s="7">
        <f t="shared" si="506"/>
        <v>0</v>
      </c>
      <c r="J336" s="7">
        <f t="shared" si="507"/>
        <v>0</v>
      </c>
      <c r="M336" s="39">
        <v>0.54166666666666696</v>
      </c>
      <c r="N336">
        <v>-15</v>
      </c>
      <c r="O336" s="38">
        <f>+DEGREES(ASIN(COS(RADIANS(P326))*COS(RADIANS(O326))*COS(RADIANS(N336))+SIN(RADIANS(P326))*SIN(RADIANS(O326))))</f>
        <v>9.2527018000496479</v>
      </c>
      <c r="P336" s="38">
        <f>-(180-DEGREES(ACOS((((SIN(RADIANS(O336)))*SIN(RADIANS(P326)))-SIN(RADIANS(O326)))/((COS(RADIANS(O336)))*COS(RADIANS(P326))))))</f>
        <v>-164.79790398339722</v>
      </c>
      <c r="R336">
        <f t="shared" si="508"/>
        <v>8.074729819995035</v>
      </c>
      <c r="S336">
        <f t="shared" si="509"/>
        <v>254.79790398339722</v>
      </c>
      <c r="T336" s="7">
        <f t="shared" si="510"/>
        <v>0</v>
      </c>
      <c r="U336" s="7">
        <f t="shared" si="511"/>
        <v>0</v>
      </c>
      <c r="X336">
        <f t="shared" si="500"/>
        <v>-7.7000000000000046</v>
      </c>
      <c r="Y336">
        <f t="shared" si="501"/>
        <v>7.7000000000000046</v>
      </c>
      <c r="Z336">
        <f t="shared" si="502"/>
        <v>7.7356318423254864</v>
      </c>
      <c r="AA336">
        <f t="shared" si="503"/>
        <v>-7.7356318423254864</v>
      </c>
      <c r="AC336">
        <f t="shared" si="499"/>
        <v>-4.5000000000000009</v>
      </c>
    </row>
    <row r="337" spans="1:29" x14ac:dyDescent="0.25">
      <c r="B337" s="39">
        <v>0.58333333333333304</v>
      </c>
      <c r="C337" s="38">
        <v>-30</v>
      </c>
      <c r="D337" s="38">
        <f>+DEGREES(ASIN(COS(RADIANS(E326))*COS(RADIANS(D326))*COS(RADIANS(C337))+SIN(RADIANS(E326))*SIN(RADIANS(D326))))</f>
        <v>12.552455316688945</v>
      </c>
      <c r="E337" s="38">
        <f>-(180-DEGREES(ACOS((((SIN(RADIANS(D337)))*SIN(RADIANS(E326)))-SIN(RADIANS(D326)))/((COS(RADIANS(D337)))*COS(RADIANS(E326))))))</f>
        <v>-149.18743469538276</v>
      </c>
      <c r="G337">
        <f t="shared" si="504"/>
        <v>7.7447544683311058</v>
      </c>
      <c r="H337">
        <f t="shared" si="505"/>
        <v>239.18743469538276</v>
      </c>
      <c r="I337" s="7">
        <f t="shared" si="506"/>
        <v>0</v>
      </c>
      <c r="J337" s="7">
        <f t="shared" si="507"/>
        <v>0</v>
      </c>
      <c r="M337" s="39">
        <v>0.58333333333333304</v>
      </c>
      <c r="N337" s="38">
        <v>-30</v>
      </c>
      <c r="O337" s="38">
        <f>+DEGREES(ASIN(COS(RADIANS(P326))*COS(RADIANS(O326))*COS(RADIANS(N337))+SIN(RADIANS(P326))*SIN(RADIANS(O326))))</f>
        <v>8.2470699342316749</v>
      </c>
      <c r="P337" s="38">
        <f>-(180-DEGREES(ACOS((((SIN(RADIANS(O337)))*SIN(RADIANS(P326)))-SIN(RADIANS(O326)))/((COS(RADIANS(O337)))*COS(RADIANS(P326))))))</f>
        <v>-149.65456496125748</v>
      </c>
      <c r="R337">
        <f t="shared" si="508"/>
        <v>8.1752930065768332</v>
      </c>
      <c r="S337">
        <f t="shared" si="509"/>
        <v>239.65456496125748</v>
      </c>
      <c r="T337" s="7">
        <f t="shared" si="510"/>
        <v>0</v>
      </c>
      <c r="U337" s="7">
        <f t="shared" si="511"/>
        <v>0</v>
      </c>
      <c r="X337">
        <f t="shared" si="500"/>
        <v>-7.7000000000000046</v>
      </c>
      <c r="Y337">
        <f t="shared" si="501"/>
        <v>7.7000000000000046</v>
      </c>
      <c r="Z337">
        <f t="shared" si="502"/>
        <v>7.794228634059948</v>
      </c>
      <c r="AA337">
        <f t="shared" si="503"/>
        <v>-7.794228634059948</v>
      </c>
      <c r="AC337">
        <f t="shared" si="499"/>
        <v>-4.5000000000000009</v>
      </c>
    </row>
    <row r="338" spans="1:29" x14ac:dyDescent="0.25">
      <c r="B338" s="39">
        <v>0.625</v>
      </c>
      <c r="C338">
        <v>-45</v>
      </c>
      <c r="D338" s="38">
        <f>+DEGREES(ASIN(COS(RADIANS(E326))*COS(RADIANS(D326))*COS(RADIANS(C338))+SIN(RADIANS(E326))*SIN(RADIANS(D326))))</f>
        <v>10.148684177519183</v>
      </c>
      <c r="E338" s="38">
        <f>-(180-DEGREES(ACOS((((SIN(RADIANS(D338)))*SIN(RADIANS(E326)))-SIN(RADIANS(D326)))/((COS(RADIANS(D338)))*COS(RADIANS(E326))))))</f>
        <v>-134.08336375564744</v>
      </c>
      <c r="G338">
        <f t="shared" si="504"/>
        <v>7.9851315822480817</v>
      </c>
      <c r="H338">
        <f t="shared" si="505"/>
        <v>224.08336375564744</v>
      </c>
      <c r="I338" s="7">
        <f t="shared" si="506"/>
        <v>0</v>
      </c>
      <c r="J338" s="7">
        <f t="shared" si="507"/>
        <v>0</v>
      </c>
      <c r="M338" s="39">
        <v>0.625</v>
      </c>
      <c r="N338">
        <v>-45</v>
      </c>
      <c r="O338" s="38">
        <f>+DEGREES(ASIN(COS(RADIANS(P326))*COS(RADIANS(O326))*COS(RADIANS(N338))+SIN(RADIANS(P326))*SIN(RADIANS(O326))))</f>
        <v>6.6524676910812941</v>
      </c>
      <c r="P338" s="38">
        <f>-(180-DEGREES(ACOS((((SIN(RADIANS(O338)))*SIN(RADIANS(P326)))-SIN(RADIANS(O326)))/((COS(RADIANS(O338)))*COS(RADIANS(P326))))))</f>
        <v>-134.61173113596442</v>
      </c>
      <c r="R338">
        <f t="shared" si="508"/>
        <v>8.3347532308918701</v>
      </c>
      <c r="S338">
        <f t="shared" si="509"/>
        <v>224.61173113596442</v>
      </c>
      <c r="T338" s="7">
        <f t="shared" si="510"/>
        <v>0</v>
      </c>
      <c r="U338" s="7">
        <f t="shared" si="511"/>
        <v>0</v>
      </c>
      <c r="X338">
        <f t="shared" si="500"/>
        <v>-7.7000000000000046</v>
      </c>
      <c r="Y338">
        <f t="shared" si="501"/>
        <v>7.7000000000000046</v>
      </c>
      <c r="Z338">
        <f t="shared" si="502"/>
        <v>7.8511145705562084</v>
      </c>
      <c r="AA338">
        <f t="shared" si="503"/>
        <v>-7.8511145705562084</v>
      </c>
      <c r="AC338">
        <f t="shared" si="499"/>
        <v>-4.5000000000000009</v>
      </c>
    </row>
    <row r="339" spans="1:29" x14ac:dyDescent="0.25">
      <c r="B339" s="39">
        <v>0.66666666666666696</v>
      </c>
      <c r="C339" s="38">
        <v>-60</v>
      </c>
      <c r="D339" s="38">
        <f>+DEGREES(ASIN(COS(RADIANS(E326))*COS(RADIANS(D326))*COS(RADIANS(C339))+SIN(RADIANS(E326))*SIN(RADIANS(D326))))</f>
        <v>7.0422574939074547</v>
      </c>
      <c r="E339" s="38">
        <f>-(180-DEGREES(ACOS((((SIN(RADIANS(D339)))*SIN(RADIANS(E326)))-SIN(RADIANS(D326)))/((COS(RADIANS(D339)))*COS(RADIANS(E326))))))</f>
        <v>-119.23936275375299</v>
      </c>
      <c r="G339">
        <f t="shared" si="504"/>
        <v>8.295774250609254</v>
      </c>
      <c r="H339">
        <f t="shared" si="505"/>
        <v>209.23936275375297</v>
      </c>
      <c r="I339" s="7">
        <f t="shared" si="506"/>
        <v>0</v>
      </c>
      <c r="J339" s="7">
        <f t="shared" si="507"/>
        <v>0</v>
      </c>
      <c r="M339" s="39">
        <v>0.66666666666666696</v>
      </c>
      <c r="N339" s="38">
        <v>-60</v>
      </c>
      <c r="O339" s="38">
        <f>+DEGREES(ASIN(COS(RADIANS(P326))*COS(RADIANS(O326))*COS(RADIANS(N339))+SIN(RADIANS(P326))*SIN(RADIANS(O326))))</f>
        <v>4.5818949074716482</v>
      </c>
      <c r="P339" s="38">
        <f>-(180-DEGREES(ACOS((((SIN(RADIANS(O339)))*SIN(RADIANS(P326)))-SIN(RADIANS(O326)))/((COS(RADIANS(O339)))*COS(RADIANS(P326))))))</f>
        <v>-119.68277971597945</v>
      </c>
      <c r="R339">
        <f t="shared" si="508"/>
        <v>8.5418105092528354</v>
      </c>
      <c r="S339">
        <f t="shared" si="509"/>
        <v>209.68277971597945</v>
      </c>
      <c r="T339" s="7">
        <f t="shared" si="510"/>
        <v>0</v>
      </c>
      <c r="U339" s="7">
        <f t="shared" si="511"/>
        <v>0</v>
      </c>
      <c r="X339">
        <f t="shared" si="500"/>
        <v>-7.7000000000000046</v>
      </c>
      <c r="Y339">
        <f t="shared" si="501"/>
        <v>7.7000000000000046</v>
      </c>
      <c r="Z339">
        <f t="shared" si="502"/>
        <v>7.9063265806567848</v>
      </c>
      <c r="AA339">
        <f t="shared" si="503"/>
        <v>-7.9063265806567848</v>
      </c>
      <c r="AC339">
        <f t="shared" si="499"/>
        <v>-4.5000000000000009</v>
      </c>
    </row>
    <row r="340" spans="1:29" x14ac:dyDescent="0.25">
      <c r="B340" s="39">
        <v>0.70833333333333404</v>
      </c>
      <c r="C340">
        <v>-75</v>
      </c>
      <c r="D340" s="38">
        <f>+DEGREES(ASIN(COS(RADIANS(E326))*COS(RADIANS(D326))*COS(RADIANS(C340))+SIN(RADIANS(E326))*SIN(RADIANS(D326))))</f>
        <v>3.4501831241284342</v>
      </c>
      <c r="E340" s="38">
        <f>-(180-DEGREES(ACOS((((SIN(RADIANS(D340)))*SIN(RADIANS(E326)))-SIN(RADIANS(D326)))/((COS(RADIANS(D340)))*COS(RADIANS(E326))))))</f>
        <v>-104.6121420429491</v>
      </c>
      <c r="G340">
        <f t="shared" si="504"/>
        <v>8.6549816875871564</v>
      </c>
      <c r="H340">
        <f t="shared" si="505"/>
        <v>194.6121420429491</v>
      </c>
      <c r="I340" s="7">
        <f t="shared" si="506"/>
        <v>0</v>
      </c>
      <c r="J340" s="7">
        <f t="shared" si="507"/>
        <v>0</v>
      </c>
      <c r="M340" s="39">
        <v>0.70833333333333404</v>
      </c>
      <c r="N340">
        <v>-75</v>
      </c>
      <c r="O340" s="38">
        <f>+DEGREES(ASIN(COS(RADIANS(P326))*COS(RADIANS(O326))*COS(RADIANS(N340))+SIN(RADIANS(P326))*SIN(RADIANS(O326))))</f>
        <v>2.1780134099668169</v>
      </c>
      <c r="P340" s="38">
        <f>-(180-DEGREES(ACOS((((SIN(RADIANS(O340)))*SIN(RADIANS(P326)))-SIN(RADIANS(O326)))/((COS(RADIANS(O340)))*COS(RADIANS(P326))))))</f>
        <v>-104.84998864842244</v>
      </c>
      <c r="R340">
        <f t="shared" si="508"/>
        <v>8.7821986590033188</v>
      </c>
      <c r="S340">
        <f t="shared" si="509"/>
        <v>194.84998864842242</v>
      </c>
      <c r="T340" s="7">
        <f t="shared" si="510"/>
        <v>0</v>
      </c>
      <c r="U340" s="7">
        <f t="shared" si="511"/>
        <v>0</v>
      </c>
      <c r="X340">
        <f t="shared" si="500"/>
        <v>-7.7000000000000046</v>
      </c>
      <c r="Y340">
        <f t="shared" si="501"/>
        <v>7.7000000000000046</v>
      </c>
      <c r="Z340">
        <f t="shared" si="502"/>
        <v>7.9598994968529597</v>
      </c>
      <c r="AA340">
        <f t="shared" si="503"/>
        <v>-7.9598994968529597</v>
      </c>
      <c r="AC340">
        <f t="shared" si="499"/>
        <v>-4.5000000000000009</v>
      </c>
    </row>
    <row r="341" spans="1:29" x14ac:dyDescent="0.25">
      <c r="B341" s="39">
        <v>0.75</v>
      </c>
      <c r="C341" s="38">
        <v>-90</v>
      </c>
      <c r="D341" s="38">
        <f>+DEGREES(ASIN(COS(RADIANS(E326))*COS(RADIANS(D326))*COS(RADIANS(C341))+SIN(RADIANS(E326))*SIN(RADIANS(D326))))</f>
        <v>-0.38989883647608925</v>
      </c>
      <c r="E341" s="38">
        <f>-(180-DEGREES(ACOS((((SIN(RADIANS(D341)))*SIN(RADIANS(E326)))-SIN(RADIANS(D326)))/((COS(RADIANS(D341)))*COS(RADIANS(E326))))))</f>
        <v>-90.104474748944043</v>
      </c>
      <c r="G341">
        <f t="shared" si="504"/>
        <v>9.0389898836476092</v>
      </c>
      <c r="H341">
        <f t="shared" si="505"/>
        <v>180.10447474894403</v>
      </c>
      <c r="I341" s="7">
        <f t="shared" si="506"/>
        <v>0</v>
      </c>
      <c r="J341" s="7">
        <f t="shared" si="507"/>
        <v>0</v>
      </c>
      <c r="M341" s="39">
        <v>0.75</v>
      </c>
      <c r="N341" s="38">
        <v>-90</v>
      </c>
      <c r="O341" s="38">
        <f>+DEGREES(ASIN(COS(RADIANS(P326))*COS(RADIANS(O326))*COS(RADIANS(N341))+SIN(RADIANS(P326))*SIN(RADIANS(O326))))</f>
        <v>-0.39752070355606267</v>
      </c>
      <c r="P341" s="38">
        <f>-(180-DEGREES(ACOS((((SIN(RADIANS(O341)))*SIN(RADIANS(P326)))-SIN(RADIANS(O326)))/((COS(RADIANS(O341)))*COS(RADIANS(P326))))))</f>
        <v>-90.070094767620148</v>
      </c>
      <c r="R341">
        <f t="shared" si="508"/>
        <v>9.0397520703556058</v>
      </c>
      <c r="S341">
        <f t="shared" si="509"/>
        <v>180.07009476762016</v>
      </c>
      <c r="T341" s="7">
        <f t="shared" si="510"/>
        <v>0</v>
      </c>
      <c r="U341" s="7">
        <f t="shared" si="511"/>
        <v>0</v>
      </c>
      <c r="X341">
        <f t="shared" si="500"/>
        <v>-7.7000000000000046</v>
      </c>
      <c r="Y341">
        <f t="shared" si="501"/>
        <v>7.7000000000000046</v>
      </c>
      <c r="Z341">
        <f t="shared" si="502"/>
        <v>8.0118661995817178</v>
      </c>
      <c r="AA341">
        <f t="shared" si="503"/>
        <v>-8.0118661995817178</v>
      </c>
      <c r="AC341">
        <f t="shared" si="499"/>
        <v>-4.5000000000000009</v>
      </c>
    </row>
    <row r="342" spans="1:29" x14ac:dyDescent="0.25">
      <c r="X342">
        <f t="shared" si="500"/>
        <v>-7.7000000000000046</v>
      </c>
      <c r="Y342">
        <f t="shared" si="501"/>
        <v>7.7000000000000046</v>
      </c>
      <c r="Z342">
        <f t="shared" si="502"/>
        <v>8.0622577482985491</v>
      </c>
      <c r="AA342">
        <f t="shared" si="503"/>
        <v>-8.0622577482985491</v>
      </c>
      <c r="AC342">
        <f t="shared" si="499"/>
        <v>-4.5000000000000009</v>
      </c>
    </row>
    <row r="343" spans="1:29" x14ac:dyDescent="0.25">
      <c r="X343">
        <f t="shared" si="500"/>
        <v>-7.7000000000000046</v>
      </c>
      <c r="Y343">
        <f t="shared" si="501"/>
        <v>7.7000000000000046</v>
      </c>
      <c r="Z343">
        <f t="shared" si="502"/>
        <v>8.1111035007574657</v>
      </c>
      <c r="AA343">
        <f t="shared" si="503"/>
        <v>-8.1111035007574657</v>
      </c>
      <c r="AC343">
        <f t="shared" si="499"/>
        <v>-4.5000000000000009</v>
      </c>
    </row>
    <row r="344" spans="1:29" x14ac:dyDescent="0.25">
      <c r="A344" s="41" t="s">
        <v>92</v>
      </c>
      <c r="B344" s="41">
        <v>21</v>
      </c>
      <c r="C344" s="315"/>
      <c r="D344" s="315"/>
      <c r="E344" s="316"/>
      <c r="L344" s="41" t="s">
        <v>92</v>
      </c>
      <c r="M344" s="41">
        <v>21</v>
      </c>
      <c r="N344" s="315"/>
      <c r="O344" s="315"/>
      <c r="P344" s="316"/>
      <c r="X344">
        <f t="shared" si="500"/>
        <v>-7.7000000000000046</v>
      </c>
      <c r="Y344">
        <f t="shared" si="501"/>
        <v>7.7000000000000046</v>
      </c>
      <c r="Z344">
        <f t="shared" si="502"/>
        <v>8.1584312217484563</v>
      </c>
      <c r="AA344">
        <f t="shared" si="503"/>
        <v>-8.1584312217484563</v>
      </c>
      <c r="AC344">
        <f t="shared" si="499"/>
        <v>-4.5000000000000009</v>
      </c>
    </row>
    <row r="345" spans="1:29" x14ac:dyDescent="0.25">
      <c r="A345" s="41" t="s">
        <v>91</v>
      </c>
      <c r="B345" s="41">
        <v>3</v>
      </c>
      <c r="C345" s="315"/>
      <c r="D345" s="315"/>
      <c r="E345" s="316"/>
      <c r="L345" s="41" t="s">
        <v>91</v>
      </c>
      <c r="M345" s="41">
        <v>3</v>
      </c>
      <c r="N345" s="315"/>
      <c r="O345" s="315"/>
      <c r="P345" s="316"/>
      <c r="X345">
        <f t="shared" si="500"/>
        <v>-7.7000000000000046</v>
      </c>
      <c r="Y345">
        <f t="shared" si="501"/>
        <v>7.7000000000000046</v>
      </c>
      <c r="Z345">
        <f t="shared" si="502"/>
        <v>8.2042671823874684</v>
      </c>
      <c r="AA345">
        <f t="shared" si="503"/>
        <v>-8.2042671823874684</v>
      </c>
      <c r="AC345">
        <f t="shared" si="499"/>
        <v>-4.5000000000000009</v>
      </c>
    </row>
    <row r="346" spans="1:29" x14ac:dyDescent="0.25">
      <c r="C346" s="32">
        <f>+IF(B345=$AI$63,B344,IF(B345=$AJ$63,$AI$64+B344,IF(B345=$AK$63,$AI$64+$AJ$64+B344,IF(B345=$AL$63,$AI$64+$AJ$64+$AK$64+B344,IF(B345=$AM$63,$AI$64+$AJ$64+$AK$64+$AL$64+B344,IF(B345=$AN$63,$AI$64+$AJ$64+$AK$64+$AL$64+$AM$64+B344,IF(B345=$AO$63,$AI$64+$AJ$64+$AK$64+$AL$64+$AM$64+$AN$64+B344,IF(B345=$AP$63,$AI$64+$AJ$64+$AK$64+$AL$64+$AM$64+$AN$64+$AO$64+B344,IF(B345=$AQ$63,$AI$64+$AJ$64+$AK$64+$AL$64+$AM$64+$AN$64+$AO$64+$AP$64+B344,IF(B345=$AR$63,$AI$64+$AJ$64+$AK$64+$AL$64+$AM$64+$AN$64+$AO$64+$AP$64+$AQ$64+B344,IF(B345=$AS$63,$AI$64+$AJ$64+$AK$64+$AL$64+$AM$64+$AN$64+$AO$64+$AP$64+$AQ$64+$AR$64+B344,IF(B345=$AT$63,$AI$64+$AJ$64+$AK$64+$AL$64+$AM$64+$AN$64+$AO$64+$AP$64+$AQ$64+$AR$64+$AS$64+B344,"error"))))))))))))</f>
        <v>80</v>
      </c>
      <c r="D346" s="38">
        <f>23.45*SIN(RADIANS(360*((284+C346)/365)))</f>
        <v>-0.40365320185431652</v>
      </c>
      <c r="E346" s="41">
        <v>85</v>
      </c>
      <c r="N346" s="32">
        <f>+IF(M345=$AI$63,M344,IF(M345=$AJ$63,$AI$64+M344,IF(M345=$AK$63,$AI$64+$AJ$64+M344,IF(M345=$AL$63,$AI$64+$AJ$64+$AK$64+M344,IF(M345=$AM$63,$AI$64+$AJ$64+$AK$64+$AL$64+M344,IF(M345=$AN$63,$AI$64+$AJ$64+$AK$64+$AL$64+$AM$64+M344,IF(M345=$AO$63,$AI$64+$AJ$64+$AK$64+$AL$64+$AM$64+$AN$64+M344,IF(M345=$AP$63,$AI$64+$AJ$64+$AK$64+$AL$64+$AM$64+$AN$64+$AO$64+M344,IF(M345=$AQ$63,$AI$64+$AJ$64+$AK$64+$AL$64+$AM$64+$AN$64+$AO$64+$AP$64+M344,IF(M345=$AR$63,$AI$64+$AJ$64+$AK$64+$AL$64+$AM$64+$AN$64+$AO$64+$AP$64+$AQ$64+M344,IF(M345=$AS$63,$AI$64+$AJ$64+$AK$64+$AL$64+$AM$64+$AN$64+$AO$64+$AP$64+$AQ$64+$AR$64+M344,IF(M345=$AT$63,$AI$64+$AJ$64+$AK$64+$AL$64+$AM$64+$AN$64+$AO$64+$AP$64+$AQ$64+$AR$64+$AS$64+M344,"error"))))))))))))</f>
        <v>80</v>
      </c>
      <c r="O346" s="38">
        <f>23.45*SIN(RADIANS(360*((284+N346)/365)))</f>
        <v>-0.40365320185431652</v>
      </c>
      <c r="P346" s="41">
        <v>90</v>
      </c>
      <c r="X346">
        <f t="shared" si="500"/>
        <v>-7.7000000000000046</v>
      </c>
      <c r="Y346">
        <f t="shared" si="501"/>
        <v>7.7000000000000046</v>
      </c>
      <c r="Z346">
        <f t="shared" si="502"/>
        <v>8.2486362509205122</v>
      </c>
      <c r="AA346">
        <f t="shared" si="503"/>
        <v>-8.2486362509205122</v>
      </c>
      <c r="AC346">
        <f t="shared" si="499"/>
        <v>-4.5000000000000009</v>
      </c>
    </row>
    <row r="347" spans="1:29" x14ac:dyDescent="0.25">
      <c r="B347" s="317" t="s">
        <v>90</v>
      </c>
      <c r="C347" s="315"/>
      <c r="D347" s="315"/>
      <c r="E347" s="315"/>
      <c r="G347" s="319" t="s">
        <v>89</v>
      </c>
      <c r="H347" s="319"/>
      <c r="I347" s="319" t="s">
        <v>42</v>
      </c>
      <c r="J347" s="319" t="s">
        <v>43</v>
      </c>
      <c r="M347" s="317" t="s">
        <v>90</v>
      </c>
      <c r="N347" s="315"/>
      <c r="O347" s="315"/>
      <c r="P347" s="315"/>
      <c r="R347" s="319" t="s">
        <v>89</v>
      </c>
      <c r="S347" s="319"/>
      <c r="T347" s="319" t="s">
        <v>42</v>
      </c>
      <c r="U347" s="319" t="s">
        <v>43</v>
      </c>
      <c r="X347">
        <f t="shared" si="500"/>
        <v>-7.7000000000000046</v>
      </c>
      <c r="Y347">
        <f t="shared" si="501"/>
        <v>7.7000000000000046</v>
      </c>
      <c r="Z347">
        <f t="shared" si="502"/>
        <v>8.2915619758885004</v>
      </c>
      <c r="AA347">
        <f t="shared" si="503"/>
        <v>-8.2915619758885004</v>
      </c>
      <c r="AC347">
        <f t="shared" si="499"/>
        <v>-4.5000000000000009</v>
      </c>
    </row>
    <row r="348" spans="1:29" x14ac:dyDescent="0.25">
      <c r="B348" s="318"/>
      <c r="C348" s="315"/>
      <c r="D348" s="315"/>
      <c r="E348" s="315"/>
      <c r="G348" s="319"/>
      <c r="H348" s="319"/>
      <c r="I348" s="319"/>
      <c r="J348" s="319"/>
      <c r="M348" s="318"/>
      <c r="N348" s="315"/>
      <c r="O348" s="315"/>
      <c r="P348" s="315"/>
      <c r="R348" s="319"/>
      <c r="S348" s="319"/>
      <c r="T348" s="319"/>
      <c r="U348" s="319"/>
      <c r="X348">
        <f t="shared" si="500"/>
        <v>-7.7000000000000046</v>
      </c>
      <c r="Y348">
        <f t="shared" si="501"/>
        <v>7.7000000000000046</v>
      </c>
      <c r="Z348">
        <f t="shared" si="502"/>
        <v>8.3330666623998635</v>
      </c>
      <c r="AA348">
        <f t="shared" si="503"/>
        <v>-8.3330666623998635</v>
      </c>
      <c r="AC348">
        <f t="shared" si="499"/>
        <v>-4.5000000000000009</v>
      </c>
    </row>
    <row r="349" spans="1:29" x14ac:dyDescent="0.25">
      <c r="B349" s="39">
        <v>0.25</v>
      </c>
      <c r="C349" s="38">
        <v>90</v>
      </c>
      <c r="D349" s="38">
        <f>+DEGREES(ASIN(COS(RADIANS(E346))*COS(RADIANS(D346))*COS(RADIANS(C349))+SIN(RADIANS(E346))*SIN(RADIANS(D346))))</f>
        <v>-0.40211715428687494</v>
      </c>
      <c r="E349" s="38">
        <f>180-DEGREES(ACOS((((SIN(RADIANS(D349)))*SIN(RADIANS(E346)))-SIN(RADIANS(D346)))/((COS(RADIANS(D349)))*COS(RADIANS(E346)))))</f>
        <v>90.035181272252657</v>
      </c>
      <c r="G349">
        <f t="shared" ref="G349:G361" si="512">9-(D349/10)</f>
        <v>9.0402117154286881</v>
      </c>
      <c r="H349">
        <f t="shared" ref="H349:H361" si="513">90-E349+$AH$172</f>
        <v>-3.5181272252657436E-2</v>
      </c>
      <c r="I349" s="7">
        <f t="shared" ref="I349:I361" si="514">IF($E$346&gt;=$AE$174,0,G349*COS(RADIANS(H349)))</f>
        <v>0</v>
      </c>
      <c r="J349" s="7">
        <f t="shared" ref="J349:J361" si="515">IF($E$346&gt;=$AE$174,0,G349*SIN(RADIANS(H349)))</f>
        <v>0</v>
      </c>
      <c r="M349" s="39">
        <v>0.25</v>
      </c>
      <c r="N349" s="38">
        <v>90</v>
      </c>
      <c r="O349" s="38">
        <f>+DEGREES(ASIN(COS(RADIANS(P346))*COS(RADIANS(O346))*COS(RADIANS(N349))+SIN(RADIANS(P346))*SIN(RADIANS(O346))))</f>
        <v>-0.40365320185431658</v>
      </c>
      <c r="P349" s="38">
        <f>180-DEGREES(ACOS((((SIN(RADIANS(O349)))*SIN(RADIANS(P346)))-SIN(RADIANS(O346)))/((COS(RADIANS(O349)))*COS(RADIANS(P346)))))</f>
        <v>89.188685079818654</v>
      </c>
      <c r="R349">
        <f t="shared" ref="R349:R361" si="516">9-(O349/10)</f>
        <v>9.0403653201854315</v>
      </c>
      <c r="S349">
        <f t="shared" ref="S349:S361" si="517">90-P349+$AH$172</f>
        <v>0.81131492018134566</v>
      </c>
      <c r="T349" s="7">
        <f t="shared" ref="T349:T361" si="518">+R349*COS(RADIANS(S349))</f>
        <v>9.0394589984632496</v>
      </c>
      <c r="U349" s="7">
        <f t="shared" ref="U349:U361" si="519">+R349*SIN(RADIANS(S349))</f>
        <v>0.12800834938866149</v>
      </c>
      <c r="X349">
        <f t="shared" si="500"/>
        <v>-7.7000000000000046</v>
      </c>
      <c r="Y349">
        <f t="shared" si="501"/>
        <v>7.7000000000000046</v>
      </c>
      <c r="Z349">
        <f t="shared" si="502"/>
        <v>8.3731714421717172</v>
      </c>
      <c r="AA349">
        <f t="shared" si="503"/>
        <v>-8.3731714421717172</v>
      </c>
      <c r="AC349">
        <f t="shared" si="499"/>
        <v>-4.5000000000000009</v>
      </c>
    </row>
    <row r="350" spans="1:29" x14ac:dyDescent="0.25">
      <c r="B350" s="39">
        <v>0.29166666666666669</v>
      </c>
      <c r="C350">
        <v>75</v>
      </c>
      <c r="D350" s="38">
        <f>+DEGREES(ASIN(COS(RADIANS(E346))*COS(RADIANS(D346))*COS(RADIANS(C350))+SIN(RADIANS(E346))*SIN(RADIANS(D346))))</f>
        <v>0.89034323905128876</v>
      </c>
      <c r="E350" s="38">
        <f>180-DEGREES(ACOS((((SIN(RADIANS(D350)))*SIN(RADIANS(E346)))-SIN(RADIANS(D346)))/((COS(RADIANS(D350)))*COS(RADIANS(E346)))))</f>
        <v>104.97947359962487</v>
      </c>
      <c r="G350">
        <f t="shared" si="512"/>
        <v>8.9109656760948717</v>
      </c>
      <c r="H350">
        <f t="shared" si="513"/>
        <v>-14.979473599624868</v>
      </c>
      <c r="I350" s="7">
        <f t="shared" si="514"/>
        <v>0</v>
      </c>
      <c r="J350" s="7">
        <f t="shared" si="515"/>
        <v>0</v>
      </c>
      <c r="M350" s="39">
        <v>0.29166666666666669</v>
      </c>
      <c r="N350">
        <v>75</v>
      </c>
      <c r="O350" s="38">
        <f>+DEGREES(ASIN(COS(RADIANS(P346))*COS(RADIANS(O346))*COS(RADIANS(N350))+SIN(RADIANS(P346))*SIN(RADIANS(O346))))</f>
        <v>-0.40365320185431569</v>
      </c>
      <c r="P350" s="38">
        <f>180-DEGREES(ACOS((((SIN(RADIANS(O350)))*SIN(RADIANS(P346)))-SIN(RADIANS(O346)))/((COS(RADIANS(O350)))*COS(RADIANS(P346)))))</f>
        <v>103.92868139600179</v>
      </c>
      <c r="R350">
        <f t="shared" si="516"/>
        <v>9.0403653201854315</v>
      </c>
      <c r="S350">
        <f t="shared" si="517"/>
        <v>-13.928681396001792</v>
      </c>
      <c r="T350" s="7">
        <f t="shared" si="518"/>
        <v>8.7745433716572361</v>
      </c>
      <c r="U350" s="7">
        <f t="shared" si="519"/>
        <v>-2.176141939607223</v>
      </c>
      <c r="X350">
        <f t="shared" si="500"/>
        <v>-7.7000000000000046</v>
      </c>
      <c r="Y350">
        <f t="shared" si="501"/>
        <v>7.7000000000000046</v>
      </c>
      <c r="Z350">
        <f t="shared" si="502"/>
        <v>8.4118963379252349</v>
      </c>
      <c r="AA350">
        <f t="shared" si="503"/>
        <v>-8.4118963379252349</v>
      </c>
      <c r="AC350">
        <f t="shared" si="499"/>
        <v>-4.5000000000000009</v>
      </c>
    </row>
    <row r="351" spans="1:29" x14ac:dyDescent="0.25">
      <c r="B351" s="39">
        <v>0.33333333333333298</v>
      </c>
      <c r="C351" s="38">
        <v>60</v>
      </c>
      <c r="D351" s="38">
        <f>+DEGREES(ASIN(COS(RADIANS(E346))*COS(RADIANS(D346))*COS(RADIANS(C351))+SIN(RADIANS(E346))*SIN(RADIANS(D346))))</f>
        <v>2.095119169309497</v>
      </c>
      <c r="E351" s="38">
        <f>180-DEGREES(ACOS((((SIN(RADIANS(D351)))*SIN(RADIANS(E346)))-SIN(RADIANS(D346)))/((COS(RADIANS(D351)))*COS(RADIANS(E346)))))</f>
        <v>119.93601790114869</v>
      </c>
      <c r="G351">
        <f t="shared" si="512"/>
        <v>8.7904880830690502</v>
      </c>
      <c r="H351">
        <f t="shared" si="513"/>
        <v>-29.936017901148688</v>
      </c>
      <c r="I351" s="7">
        <f t="shared" si="514"/>
        <v>0</v>
      </c>
      <c r="J351" s="7">
        <f t="shared" si="515"/>
        <v>0</v>
      </c>
      <c r="M351" s="39">
        <v>0.33333333333333298</v>
      </c>
      <c r="N351" s="38">
        <v>60</v>
      </c>
      <c r="O351" s="38">
        <f>+DEGREES(ASIN(COS(RADIANS(P346))*COS(RADIANS(O346))*COS(RADIANS(N351))+SIN(RADIANS(P346))*SIN(RADIANS(O346))))</f>
        <v>-0.40365320185431486</v>
      </c>
      <c r="P351" s="38">
        <f>180-DEGREES(ACOS((((SIN(RADIANS(O351)))*SIN(RADIANS(P346)))-SIN(RADIANS(O346)))/((COS(RADIANS(O351)))*COS(RADIANS(P346)))))</f>
        <v>117.85711724825478</v>
      </c>
      <c r="R351">
        <f t="shared" si="516"/>
        <v>9.0403653201854315</v>
      </c>
      <c r="S351">
        <f t="shared" si="517"/>
        <v>-27.857117248254781</v>
      </c>
      <c r="T351" s="7">
        <f t="shared" si="518"/>
        <v>7.992728030561687</v>
      </c>
      <c r="U351" s="7">
        <f t="shared" si="519"/>
        <v>-4.2242755298257864</v>
      </c>
      <c r="X351">
        <f t="shared" si="500"/>
        <v>-7.7000000000000046</v>
      </c>
      <c r="Y351">
        <f t="shared" si="501"/>
        <v>7.7000000000000046</v>
      </c>
      <c r="Z351">
        <f t="shared" si="502"/>
        <v>8.4492603226554692</v>
      </c>
      <c r="AA351">
        <f t="shared" si="503"/>
        <v>-8.4492603226554692</v>
      </c>
      <c r="AC351">
        <f t="shared" si="499"/>
        <v>-4.5000000000000009</v>
      </c>
    </row>
    <row r="352" spans="1:29" x14ac:dyDescent="0.25">
      <c r="B352" s="39">
        <v>0.375</v>
      </c>
      <c r="C352">
        <v>45</v>
      </c>
      <c r="D352" s="38">
        <f>+DEGREES(ASIN(COS(RADIANS(E346))*COS(RADIANS(D346))*COS(RADIANS(C352))+SIN(RADIANS(E346))*SIN(RADIANS(D346))))</f>
        <v>3.1304038781027361</v>
      </c>
      <c r="E352" s="38">
        <f>180-DEGREES(ACOS((((SIN(RADIANS(D352)))*SIN(RADIANS(E346)))-SIN(RADIANS(D346)))/((COS(RADIANS(D352)))*COS(RADIANS(E346)))))</f>
        <v>134.91573937647593</v>
      </c>
      <c r="G352">
        <f t="shared" si="512"/>
        <v>8.6869596121897263</v>
      </c>
      <c r="H352">
        <f t="shared" si="513"/>
        <v>-44.915739376475926</v>
      </c>
      <c r="I352" s="7">
        <f t="shared" si="514"/>
        <v>0</v>
      </c>
      <c r="J352" s="7">
        <f t="shared" si="515"/>
        <v>0</v>
      </c>
      <c r="M352" s="39">
        <v>0.375</v>
      </c>
      <c r="N352">
        <v>45</v>
      </c>
      <c r="O352" s="38">
        <f>+DEGREES(ASIN(COS(RADIANS(P346))*COS(RADIANS(O346))*COS(RADIANS(N352))+SIN(RADIANS(P346))*SIN(RADIANS(O346))))</f>
        <v>-0.40365320185431408</v>
      </c>
      <c r="P352" s="38">
        <f>180-DEGREES(ACOS((((SIN(RADIANS(O352)))*SIN(RADIANS(P346)))-SIN(RADIANS(O346)))/((COS(RADIANS(O352)))*COS(RADIANS(P346)))))</f>
        <v>133.93346201565646</v>
      </c>
      <c r="R352">
        <f t="shared" si="516"/>
        <v>9.0403653201854315</v>
      </c>
      <c r="S352">
        <f t="shared" si="517"/>
        <v>-43.93346201565646</v>
      </c>
      <c r="T352" s="7">
        <f t="shared" si="518"/>
        <v>6.5103831648525796</v>
      </c>
      <c r="U352" s="7">
        <f t="shared" si="519"/>
        <v>-6.272409120044351</v>
      </c>
      <c r="X352">
        <f t="shared" si="500"/>
        <v>-7.7000000000000046</v>
      </c>
      <c r="Y352">
        <f t="shared" si="501"/>
        <v>7.7000000000000046</v>
      </c>
      <c r="Z352">
        <f t="shared" si="502"/>
        <v>8.4852813742385695</v>
      </c>
      <c r="AA352">
        <f t="shared" si="503"/>
        <v>-8.4852813742385695</v>
      </c>
      <c r="AC352">
        <f t="shared" si="499"/>
        <v>-4.5000000000000009</v>
      </c>
    </row>
    <row r="353" spans="2:29" x14ac:dyDescent="0.25">
      <c r="B353" s="39">
        <v>0.41666666666666702</v>
      </c>
      <c r="C353" s="38">
        <v>30</v>
      </c>
      <c r="D353" s="38">
        <f>+DEGREES(ASIN(COS(RADIANS(E346))*COS(RADIANS(D346))*COS(RADIANS(C353))+SIN(RADIANS(E346))*SIN(RADIANS(D346))))</f>
        <v>3.9254822674522174</v>
      </c>
      <c r="E353" s="38">
        <f>180-DEGREES(ACOS((((SIN(RADIANS(D353)))*SIN(RADIANS(E346)))-SIN(RADIANS(D346)))/((COS(RADIANS(D353)))*COS(RADIANS(E346)))))</f>
        <v>149.92300310108433</v>
      </c>
      <c r="G353">
        <f t="shared" si="512"/>
        <v>8.6074517732547786</v>
      </c>
      <c r="H353">
        <f t="shared" si="513"/>
        <v>-59.923003101084333</v>
      </c>
      <c r="I353" s="7">
        <f t="shared" si="514"/>
        <v>0</v>
      </c>
      <c r="J353" s="7">
        <f t="shared" si="515"/>
        <v>0</v>
      </c>
      <c r="M353" s="39">
        <v>0.41666666666666702</v>
      </c>
      <c r="N353" s="38">
        <v>30</v>
      </c>
      <c r="O353" s="38">
        <f>+DEGREES(ASIN(COS(RADIANS(P346))*COS(RADIANS(O346))*COS(RADIANS(N353))+SIN(RADIANS(P346))*SIN(RADIANS(O346))))</f>
        <v>-0.40365320185431353</v>
      </c>
      <c r="P353" s="38">
        <f>180-DEGREES(ACOS((((SIN(RADIANS(O353)))*SIN(RADIANS(P346)))-SIN(RADIANS(O346)))/((COS(RADIANS(O353)))*COS(RADIANS(P346)))))</f>
        <v>148.16586575520893</v>
      </c>
      <c r="R353">
        <f t="shared" si="516"/>
        <v>9.0403653201854315</v>
      </c>
      <c r="S353">
        <f t="shared" si="517"/>
        <v>-58.165865755208927</v>
      </c>
      <c r="T353" s="7">
        <f t="shared" si="518"/>
        <v>4.7684494413654006</v>
      </c>
      <c r="U353" s="7">
        <f t="shared" si="519"/>
        <v>-7.6805009633196093</v>
      </c>
      <c r="X353">
        <f t="shared" si="500"/>
        <v>-7.7000000000000046</v>
      </c>
      <c r="Y353">
        <f t="shared" si="501"/>
        <v>7.7000000000000046</v>
      </c>
      <c r="Z353">
        <f t="shared" si="502"/>
        <v>8.519976525789259</v>
      </c>
      <c r="AA353">
        <f t="shared" si="503"/>
        <v>-8.519976525789259</v>
      </c>
      <c r="AC353">
        <f t="shared" si="499"/>
        <v>-4.5000000000000009</v>
      </c>
    </row>
    <row r="354" spans="2:29" x14ac:dyDescent="0.25">
      <c r="B354" s="39">
        <v>0.45833333333333298</v>
      </c>
      <c r="C354">
        <v>15</v>
      </c>
      <c r="D354" s="38">
        <f>+DEGREES(ASIN(COS(RADIANS(E346))*COS(RADIANS(D346))*COS(RADIANS(C354))+SIN(RADIANS(E346))*SIN(RADIANS(D346))))</f>
        <v>4.4256675253812849</v>
      </c>
      <c r="E354" s="38">
        <f>180-DEGREES(ACOS((((SIN(RADIANS(D354)))*SIN(RADIANS(E346)))-SIN(RADIANS(D346)))/((COS(RADIANS(D354)))*COS(RADIANS(E346)))))</f>
        <v>164.95446399611654</v>
      </c>
      <c r="G354">
        <f t="shared" si="512"/>
        <v>8.5574332474618711</v>
      </c>
      <c r="H354">
        <f t="shared" si="513"/>
        <v>-74.954463996116544</v>
      </c>
      <c r="I354" s="7">
        <f t="shared" si="514"/>
        <v>0</v>
      </c>
      <c r="J354" s="7">
        <f t="shared" si="515"/>
        <v>0</v>
      </c>
      <c r="M354" s="39">
        <v>0.45833333333333298</v>
      </c>
      <c r="N354">
        <v>15</v>
      </c>
      <c r="O354" s="38">
        <f>+DEGREES(ASIN(COS(RADIANS(P346))*COS(RADIANS(O346))*COS(RADIANS(N354))+SIN(RADIANS(P346))*SIN(RADIANS(O346))))</f>
        <v>-0.40365320185431319</v>
      </c>
      <c r="P354" s="38">
        <f>180-DEGREES(ACOS((((SIN(RADIANS(O354)))*SIN(RADIANS(P346)))-SIN(RADIANS(O346)))/((COS(RADIANS(O354)))*COS(RADIANS(P346)))))</f>
        <v>161.56737258921899</v>
      </c>
      <c r="R354">
        <f t="shared" si="516"/>
        <v>9.0403653201854315</v>
      </c>
      <c r="S354">
        <f t="shared" si="517"/>
        <v>-71.567372589218991</v>
      </c>
      <c r="T354" s="7">
        <f t="shared" si="518"/>
        <v>2.8584670411979398</v>
      </c>
      <c r="U354" s="7">
        <f t="shared" si="519"/>
        <v>-8.5765594090402324</v>
      </c>
      <c r="X354">
        <f t="shared" si="500"/>
        <v>-7.7000000000000046</v>
      </c>
      <c r="Y354">
        <f t="shared" si="501"/>
        <v>7.7000000000000046</v>
      </c>
      <c r="Z354">
        <f t="shared" si="502"/>
        <v>8.5533619121372393</v>
      </c>
      <c r="AA354">
        <f t="shared" si="503"/>
        <v>-8.5533619121372393</v>
      </c>
      <c r="AC354">
        <f t="shared" si="499"/>
        <v>-4.5000000000000009</v>
      </c>
    </row>
    <row r="355" spans="2:29" x14ac:dyDescent="0.25">
      <c r="B355" s="39">
        <v>0.5</v>
      </c>
      <c r="C355" s="38">
        <v>0</v>
      </c>
      <c r="D355" s="38">
        <f>+DEGREES(ASIN(COS(RADIANS(E346))*COS(RADIANS(D346))*COS(RADIANS(C355))+SIN(RADIANS(E346))*SIN(RADIANS(D346))))</f>
        <v>4.5963467981456816</v>
      </c>
      <c r="E355" s="38">
        <f>+IF(E346&gt;=0,180,0)</f>
        <v>180</v>
      </c>
      <c r="G355">
        <f t="shared" si="512"/>
        <v>8.5403653201854315</v>
      </c>
      <c r="H355">
        <f t="shared" si="513"/>
        <v>-90</v>
      </c>
      <c r="I355" s="7">
        <f t="shared" si="514"/>
        <v>0</v>
      </c>
      <c r="J355" s="7">
        <f t="shared" si="515"/>
        <v>0</v>
      </c>
      <c r="M355" s="39">
        <v>0.5</v>
      </c>
      <c r="N355" s="38">
        <v>0</v>
      </c>
      <c r="O355" s="38">
        <f>+DEGREES(ASIN(COS(RADIANS(P346))*COS(RADIANS(O346))*COS(RADIANS(N355))+SIN(RADIANS(P346))*SIN(RADIANS(O346))))</f>
        <v>-0.40365320185431303</v>
      </c>
      <c r="P355" s="38">
        <f>+IF(P346&gt;=0,180,0)</f>
        <v>180</v>
      </c>
      <c r="R355">
        <f t="shared" si="516"/>
        <v>9.0403653201854315</v>
      </c>
      <c r="S355">
        <f t="shared" si="517"/>
        <v>-90</v>
      </c>
      <c r="T355" s="7">
        <f t="shared" si="518"/>
        <v>5.5378948019173271E-16</v>
      </c>
      <c r="U355" s="7">
        <f t="shared" si="519"/>
        <v>-9.0403653201854315</v>
      </c>
      <c r="X355">
        <f t="shared" si="500"/>
        <v>-7.7000000000000046</v>
      </c>
      <c r="Y355">
        <f t="shared" si="501"/>
        <v>7.7000000000000046</v>
      </c>
      <c r="Z355">
        <f t="shared" si="502"/>
        <v>8.5854528127525107</v>
      </c>
      <c r="AA355">
        <f t="shared" si="503"/>
        <v>-8.5854528127525107</v>
      </c>
      <c r="AC355">
        <f t="shared" si="499"/>
        <v>-4.5000000000000009</v>
      </c>
    </row>
    <row r="356" spans="2:29" x14ac:dyDescent="0.25">
      <c r="B356" s="39">
        <v>0.54166666666666696</v>
      </c>
      <c r="C356">
        <v>-15</v>
      </c>
      <c r="D356" s="38">
        <f>+DEGREES(ASIN(COS(RADIANS(E346))*COS(RADIANS(D346))*COS(RADIANS(C356))+SIN(RADIANS(E346))*SIN(RADIANS(D346))))</f>
        <v>4.4256675253812849</v>
      </c>
      <c r="E356" s="38">
        <f>-(180-DEGREES(ACOS((((SIN(RADIANS(D356)))*SIN(RADIANS(E346)))-SIN(RADIANS(D346)))/((COS(RADIANS(D356)))*COS(RADIANS(E346))))))</f>
        <v>-164.95446399611654</v>
      </c>
      <c r="G356">
        <f t="shared" si="512"/>
        <v>8.5574332474618711</v>
      </c>
      <c r="H356">
        <f t="shared" si="513"/>
        <v>254.95446399611654</v>
      </c>
      <c r="I356" s="7">
        <f t="shared" si="514"/>
        <v>0</v>
      </c>
      <c r="J356" s="7">
        <f t="shared" si="515"/>
        <v>0</v>
      </c>
      <c r="M356" s="39">
        <v>0.54166666666666696</v>
      </c>
      <c r="N356">
        <v>-15</v>
      </c>
      <c r="O356" s="38">
        <f>+DEGREES(ASIN(COS(RADIANS(P346))*COS(RADIANS(O346))*COS(RADIANS(N356))+SIN(RADIANS(P346))*SIN(RADIANS(O346))))</f>
        <v>-0.40365320185431319</v>
      </c>
      <c r="P356" s="38">
        <f>-(180-DEGREES(ACOS((((SIN(RADIANS(O356)))*SIN(RADIANS(P346)))-SIN(RADIANS(O346)))/((COS(RADIANS(O356)))*COS(RADIANS(P346))))))</f>
        <v>-161.56737258921899</v>
      </c>
      <c r="R356">
        <f t="shared" si="516"/>
        <v>9.0403653201854315</v>
      </c>
      <c r="S356">
        <f t="shared" si="517"/>
        <v>251.56737258921899</v>
      </c>
      <c r="T356" s="7">
        <f t="shared" si="518"/>
        <v>-2.8584670411979411</v>
      </c>
      <c r="U356" s="7">
        <f t="shared" si="519"/>
        <v>-8.5765594090402324</v>
      </c>
      <c r="X356">
        <f t="shared" si="500"/>
        <v>-7.7000000000000046</v>
      </c>
      <c r="Y356">
        <f t="shared" si="501"/>
        <v>7.7000000000000046</v>
      </c>
      <c r="Z356">
        <f t="shared" si="502"/>
        <v>8.616263691415206</v>
      </c>
      <c r="AA356">
        <f t="shared" si="503"/>
        <v>-8.616263691415206</v>
      </c>
      <c r="AC356">
        <f t="shared" ref="AC356:AC382" si="520">+IF($AE$51&lt;0,IF(Z356&lt;$AI$53,Z356,$AI$53),IF(AA356&gt;$AI$53,AA356,$AI$53))</f>
        <v>-4.5000000000000009</v>
      </c>
    </row>
    <row r="357" spans="2:29" x14ac:dyDescent="0.25">
      <c r="B357" s="39">
        <v>0.58333333333333304</v>
      </c>
      <c r="C357" s="38">
        <v>-30</v>
      </c>
      <c r="D357" s="38">
        <f>+DEGREES(ASIN(COS(RADIANS(E346))*COS(RADIANS(D346))*COS(RADIANS(C357))+SIN(RADIANS(E346))*SIN(RADIANS(D346))))</f>
        <v>3.9254822674522174</v>
      </c>
      <c r="E357" s="38">
        <f>-(180-DEGREES(ACOS((((SIN(RADIANS(D357)))*SIN(RADIANS(E346)))-SIN(RADIANS(D346)))/((COS(RADIANS(D357)))*COS(RADIANS(E346))))))</f>
        <v>-149.92300310108433</v>
      </c>
      <c r="G357">
        <f t="shared" si="512"/>
        <v>8.6074517732547786</v>
      </c>
      <c r="H357">
        <f t="shared" si="513"/>
        <v>239.92300310108433</v>
      </c>
      <c r="I357" s="7">
        <f t="shared" si="514"/>
        <v>0</v>
      </c>
      <c r="J357" s="7">
        <f t="shared" si="515"/>
        <v>0</v>
      </c>
      <c r="M357" s="39">
        <v>0.58333333333333304</v>
      </c>
      <c r="N357" s="38">
        <v>-30</v>
      </c>
      <c r="O357" s="38">
        <f>+DEGREES(ASIN(COS(RADIANS(P346))*COS(RADIANS(O346))*COS(RADIANS(N357))+SIN(RADIANS(P346))*SIN(RADIANS(O346))))</f>
        <v>-0.40365320185431353</v>
      </c>
      <c r="P357" s="38">
        <f>-(180-DEGREES(ACOS((((SIN(RADIANS(O357)))*SIN(RADIANS(P346)))-SIN(RADIANS(O346)))/((COS(RADIANS(O357)))*COS(RADIANS(P346))))))</f>
        <v>-148.16586575520893</v>
      </c>
      <c r="R357">
        <f t="shared" si="516"/>
        <v>9.0403653201854315</v>
      </c>
      <c r="S357">
        <f t="shared" si="517"/>
        <v>238.16586575520893</v>
      </c>
      <c r="T357" s="7">
        <f t="shared" si="518"/>
        <v>-4.7684494413654015</v>
      </c>
      <c r="U357" s="7">
        <f t="shared" si="519"/>
        <v>-7.6805009633196084</v>
      </c>
      <c r="X357">
        <f t="shared" ref="X357:X382" si="521">IF(AC357=AC356,X356,X356+0.1)</f>
        <v>-7.7000000000000046</v>
      </c>
      <c r="Y357">
        <f t="shared" ref="Y357:Y382" si="522">IF(AC357=AC356,Y356,Y356-0.1)</f>
        <v>7.7000000000000046</v>
      </c>
      <c r="Z357">
        <f t="shared" ref="Z357:Z388" si="523">+B67</f>
        <v>8.6458082328952912</v>
      </c>
      <c r="AA357">
        <f t="shared" ref="AA357:AA388" si="524">+C67</f>
        <v>-8.6458082328952912</v>
      </c>
      <c r="AC357">
        <f t="shared" si="520"/>
        <v>-4.5000000000000009</v>
      </c>
    </row>
    <row r="358" spans="2:29" x14ac:dyDescent="0.25">
      <c r="B358" s="39">
        <v>0.625</v>
      </c>
      <c r="C358">
        <v>-45</v>
      </c>
      <c r="D358" s="38">
        <f>+DEGREES(ASIN(COS(RADIANS(E346))*COS(RADIANS(D346))*COS(RADIANS(C358))+SIN(RADIANS(E346))*SIN(RADIANS(D346))))</f>
        <v>3.1304038781027361</v>
      </c>
      <c r="E358" s="38">
        <f>-(180-DEGREES(ACOS((((SIN(RADIANS(D358)))*SIN(RADIANS(E346)))-SIN(RADIANS(D346)))/((COS(RADIANS(D358)))*COS(RADIANS(E346))))))</f>
        <v>-134.91573937647593</v>
      </c>
      <c r="G358">
        <f t="shared" si="512"/>
        <v>8.6869596121897263</v>
      </c>
      <c r="H358">
        <f t="shared" si="513"/>
        <v>224.91573937647593</v>
      </c>
      <c r="I358" s="7">
        <f t="shared" si="514"/>
        <v>0</v>
      </c>
      <c r="J358" s="7">
        <f t="shared" si="515"/>
        <v>0</v>
      </c>
      <c r="M358" s="39">
        <v>0.625</v>
      </c>
      <c r="N358">
        <v>-45</v>
      </c>
      <c r="O358" s="38">
        <f>+DEGREES(ASIN(COS(RADIANS(P346))*COS(RADIANS(O346))*COS(RADIANS(N358))+SIN(RADIANS(P346))*SIN(RADIANS(O346))))</f>
        <v>-0.40365320185431408</v>
      </c>
      <c r="P358" s="38">
        <f>-(180-DEGREES(ACOS((((SIN(RADIANS(O358)))*SIN(RADIANS(P346)))-SIN(RADIANS(O346)))/((COS(RADIANS(O358)))*COS(RADIANS(P346))))))</f>
        <v>-133.93346201565646</v>
      </c>
      <c r="R358">
        <f t="shared" si="516"/>
        <v>9.0403653201854315</v>
      </c>
      <c r="S358">
        <f t="shared" si="517"/>
        <v>223.93346201565646</v>
      </c>
      <c r="T358" s="7">
        <f t="shared" si="518"/>
        <v>-6.5103831648525805</v>
      </c>
      <c r="U358" s="7">
        <f t="shared" si="519"/>
        <v>-6.2724091200443493</v>
      </c>
      <c r="X358">
        <f t="shared" si="521"/>
        <v>-7.7000000000000046</v>
      </c>
      <c r="Y358">
        <f t="shared" si="522"/>
        <v>7.7000000000000046</v>
      </c>
      <c r="Z358">
        <f t="shared" si="523"/>
        <v>8.6740993768805765</v>
      </c>
      <c r="AA358">
        <f t="shared" si="524"/>
        <v>-8.6740993768805765</v>
      </c>
      <c r="AC358">
        <f t="shared" si="520"/>
        <v>-4.5000000000000009</v>
      </c>
    </row>
    <row r="359" spans="2:29" x14ac:dyDescent="0.25">
      <c r="B359" s="39">
        <v>0.66666666666666696</v>
      </c>
      <c r="C359" s="38">
        <v>-60</v>
      </c>
      <c r="D359" s="38">
        <f>+DEGREES(ASIN(COS(RADIANS(E346))*COS(RADIANS(D346))*COS(RADIANS(C359))+SIN(RADIANS(E346))*SIN(RADIANS(D346))))</f>
        <v>2.095119169309497</v>
      </c>
      <c r="E359" s="38">
        <f>-(180-DEGREES(ACOS((((SIN(RADIANS(D359)))*SIN(RADIANS(E346)))-SIN(RADIANS(D346)))/((COS(RADIANS(D359)))*COS(RADIANS(E346))))))</f>
        <v>-119.93601790114869</v>
      </c>
      <c r="G359">
        <f t="shared" si="512"/>
        <v>8.7904880830690502</v>
      </c>
      <c r="H359">
        <f t="shared" si="513"/>
        <v>209.93601790114869</v>
      </c>
      <c r="I359" s="7">
        <f t="shared" si="514"/>
        <v>0</v>
      </c>
      <c r="J359" s="7">
        <f t="shared" si="515"/>
        <v>0</v>
      </c>
      <c r="M359" s="39">
        <v>0.66666666666666696</v>
      </c>
      <c r="N359" s="38">
        <v>-60</v>
      </c>
      <c r="O359" s="38">
        <f>+DEGREES(ASIN(COS(RADIANS(P346))*COS(RADIANS(O346))*COS(RADIANS(N359))+SIN(RADIANS(P346))*SIN(RADIANS(O346))))</f>
        <v>-0.40365320185431486</v>
      </c>
      <c r="P359" s="38">
        <f>-(180-DEGREES(ACOS((((SIN(RADIANS(O359)))*SIN(RADIANS(P346)))-SIN(RADIANS(O346)))/((COS(RADIANS(O359)))*COS(RADIANS(P346))))))</f>
        <v>-117.85711724825478</v>
      </c>
      <c r="R359">
        <f t="shared" si="516"/>
        <v>9.0403653201854315</v>
      </c>
      <c r="S359">
        <f t="shared" si="517"/>
        <v>207.85711724825478</v>
      </c>
      <c r="T359" s="7">
        <f t="shared" si="518"/>
        <v>-7.9927280305616879</v>
      </c>
      <c r="U359" s="7">
        <f t="shared" si="519"/>
        <v>-4.2242755298257864</v>
      </c>
      <c r="X359">
        <f t="shared" si="521"/>
        <v>-7.7000000000000046</v>
      </c>
      <c r="Y359">
        <f t="shared" si="522"/>
        <v>7.7000000000000046</v>
      </c>
      <c r="Z359">
        <f t="shared" si="523"/>
        <v>8.7011493493675882</v>
      </c>
      <c r="AA359">
        <f t="shared" si="524"/>
        <v>-8.7011493493675882</v>
      </c>
      <c r="AC359">
        <f t="shared" si="520"/>
        <v>-4.5000000000000009</v>
      </c>
    </row>
    <row r="360" spans="2:29" x14ac:dyDescent="0.25">
      <c r="B360" s="39">
        <v>0.70833333333333404</v>
      </c>
      <c r="C360">
        <v>-75</v>
      </c>
      <c r="D360" s="38">
        <f>+DEGREES(ASIN(COS(RADIANS(E346))*COS(RADIANS(D346))*COS(RADIANS(C360))+SIN(RADIANS(E346))*SIN(RADIANS(D346))))</f>
        <v>0.89034323905128876</v>
      </c>
      <c r="E360" s="38">
        <f>-(180-DEGREES(ACOS((((SIN(RADIANS(D360)))*SIN(RADIANS(E346)))-SIN(RADIANS(D346)))/((COS(RADIANS(D360)))*COS(RADIANS(E346))))))</f>
        <v>-104.97947359962487</v>
      </c>
      <c r="G360">
        <f t="shared" si="512"/>
        <v>8.9109656760948717</v>
      </c>
      <c r="H360">
        <f t="shared" si="513"/>
        <v>194.97947359962487</v>
      </c>
      <c r="I360" s="7">
        <f t="shared" si="514"/>
        <v>0</v>
      </c>
      <c r="J360" s="7">
        <f t="shared" si="515"/>
        <v>0</v>
      </c>
      <c r="M360" s="39">
        <v>0.70833333333333404</v>
      </c>
      <c r="N360">
        <v>-75</v>
      </c>
      <c r="O360" s="38">
        <f>+DEGREES(ASIN(COS(RADIANS(P346))*COS(RADIANS(O346))*COS(RADIANS(N360))+SIN(RADIANS(P346))*SIN(RADIANS(O346))))</f>
        <v>-0.40365320185431569</v>
      </c>
      <c r="P360" s="38">
        <f>-(180-DEGREES(ACOS((((SIN(RADIANS(O360)))*SIN(RADIANS(P346)))-SIN(RADIANS(O346)))/((COS(RADIANS(O360)))*COS(RADIANS(P346))))))</f>
        <v>-103.92868139600179</v>
      </c>
      <c r="R360">
        <f t="shared" si="516"/>
        <v>9.0403653201854315</v>
      </c>
      <c r="S360">
        <f t="shared" si="517"/>
        <v>193.92868139600179</v>
      </c>
      <c r="T360" s="7">
        <f t="shared" si="518"/>
        <v>-8.7745433716572361</v>
      </c>
      <c r="U360" s="7">
        <f t="shared" si="519"/>
        <v>-2.1761419396072239</v>
      </c>
      <c r="X360">
        <f t="shared" si="521"/>
        <v>-7.7000000000000046</v>
      </c>
      <c r="Y360">
        <f t="shared" si="522"/>
        <v>7.7000000000000046</v>
      </c>
      <c r="Z360">
        <f t="shared" si="523"/>
        <v>8.7269696917085717</v>
      </c>
      <c r="AA360">
        <f t="shared" si="524"/>
        <v>-8.7269696917085717</v>
      </c>
      <c r="AC360">
        <f t="shared" si="520"/>
        <v>-4.5000000000000009</v>
      </c>
    </row>
    <row r="361" spans="2:29" x14ac:dyDescent="0.25">
      <c r="B361" s="39">
        <v>0.75</v>
      </c>
      <c r="C361" s="38">
        <v>-90</v>
      </c>
      <c r="D361" s="38">
        <f>+DEGREES(ASIN(COS(RADIANS(E346))*COS(RADIANS(D346))*COS(RADIANS(C361))+SIN(RADIANS(E346))*SIN(RADIANS(D346))))</f>
        <v>-0.40211715428687494</v>
      </c>
      <c r="E361" s="38">
        <f>-(180-DEGREES(ACOS((((SIN(RADIANS(D361)))*SIN(RADIANS(E346)))-SIN(RADIANS(D346)))/((COS(RADIANS(D361)))*COS(RADIANS(E346))))))</f>
        <v>-90.035181272252657</v>
      </c>
      <c r="G361">
        <f t="shared" si="512"/>
        <v>9.0402117154286881</v>
      </c>
      <c r="H361">
        <f t="shared" si="513"/>
        <v>180.03518127225266</v>
      </c>
      <c r="I361" s="7">
        <f t="shared" si="514"/>
        <v>0</v>
      </c>
      <c r="J361" s="7">
        <f t="shared" si="515"/>
        <v>0</v>
      </c>
      <c r="M361" s="39">
        <v>0.75</v>
      </c>
      <c r="N361" s="38">
        <v>-90</v>
      </c>
      <c r="O361" s="38">
        <f>+DEGREES(ASIN(COS(RADIANS(P346))*COS(RADIANS(O346))*COS(RADIANS(N361))+SIN(RADIANS(P346))*SIN(RADIANS(O346))))</f>
        <v>-0.40365320185431658</v>
      </c>
      <c r="P361" s="38">
        <f>-(180-DEGREES(ACOS((((SIN(RADIANS(O361)))*SIN(RADIANS(P346)))-SIN(RADIANS(O346)))/((COS(RADIANS(O361)))*COS(RADIANS(P346))))))</f>
        <v>-89.188685079818654</v>
      </c>
      <c r="R361">
        <f t="shared" si="516"/>
        <v>9.0403653201854315</v>
      </c>
      <c r="S361">
        <f t="shared" si="517"/>
        <v>179.18868507981864</v>
      </c>
      <c r="T361" s="7">
        <f t="shared" si="518"/>
        <v>-9.0394589984632496</v>
      </c>
      <c r="U361" s="7">
        <f t="shared" si="519"/>
        <v>0.12800834938866223</v>
      </c>
      <c r="X361">
        <f t="shared" si="521"/>
        <v>-7.7000000000000046</v>
      </c>
      <c r="Y361">
        <f t="shared" si="522"/>
        <v>7.7000000000000046</v>
      </c>
      <c r="Z361">
        <f t="shared" si="523"/>
        <v>8.7515712874888933</v>
      </c>
      <c r="AA361">
        <f t="shared" si="524"/>
        <v>-8.7515712874888933</v>
      </c>
      <c r="AC361">
        <f t="shared" si="520"/>
        <v>-4.5000000000000009</v>
      </c>
    </row>
    <row r="362" spans="2:29" x14ac:dyDescent="0.25">
      <c r="X362">
        <f t="shared" si="521"/>
        <v>-7.7000000000000046</v>
      </c>
      <c r="Y362">
        <f t="shared" si="522"/>
        <v>7.7000000000000046</v>
      </c>
      <c r="Z362">
        <f t="shared" si="523"/>
        <v>8.7749643873921226</v>
      </c>
      <c r="AA362">
        <f t="shared" si="524"/>
        <v>-8.7749643873921226</v>
      </c>
      <c r="AC362">
        <f t="shared" si="520"/>
        <v>-4.5000000000000009</v>
      </c>
    </row>
    <row r="363" spans="2:29" x14ac:dyDescent="0.25">
      <c r="X363">
        <f t="shared" si="521"/>
        <v>-7.7000000000000046</v>
      </c>
      <c r="Y363">
        <f t="shared" si="522"/>
        <v>7.7000000000000046</v>
      </c>
      <c r="Z363">
        <f t="shared" si="523"/>
        <v>8.7971586321948294</v>
      </c>
      <c r="AA363">
        <f t="shared" si="524"/>
        <v>-8.7971586321948294</v>
      </c>
      <c r="AC363">
        <f t="shared" si="520"/>
        <v>-4.5000000000000009</v>
      </c>
    </row>
    <row r="364" spans="2:29" x14ac:dyDescent="0.25">
      <c r="X364">
        <f t="shared" si="521"/>
        <v>-7.7000000000000046</v>
      </c>
      <c r="Y364">
        <f t="shared" si="522"/>
        <v>7.7000000000000046</v>
      </c>
      <c r="Z364">
        <f t="shared" si="523"/>
        <v>8.8181630740194414</v>
      </c>
      <c r="AA364">
        <f t="shared" si="524"/>
        <v>-8.8181630740194414</v>
      </c>
      <c r="AC364">
        <f t="shared" si="520"/>
        <v>-4.5000000000000009</v>
      </c>
    </row>
    <row r="365" spans="2:29" x14ac:dyDescent="0.25">
      <c r="X365">
        <f t="shared" si="521"/>
        <v>-7.7000000000000046</v>
      </c>
      <c r="Y365">
        <f t="shared" si="522"/>
        <v>7.7000000000000046</v>
      </c>
      <c r="Z365">
        <f t="shared" si="523"/>
        <v>8.8379861959611592</v>
      </c>
      <c r="AA365">
        <f t="shared" si="524"/>
        <v>-8.8379861959611592</v>
      </c>
      <c r="AC365">
        <f t="shared" si="520"/>
        <v>-4.5000000000000009</v>
      </c>
    </row>
    <row r="366" spans="2:29" x14ac:dyDescent="0.25">
      <c r="X366">
        <f t="shared" si="521"/>
        <v>-7.7000000000000046</v>
      </c>
      <c r="Y366">
        <f t="shared" si="522"/>
        <v>7.7000000000000046</v>
      </c>
      <c r="Z366">
        <f t="shared" si="523"/>
        <v>8.8566359301938107</v>
      </c>
      <c r="AA366">
        <f t="shared" si="524"/>
        <v>-8.8566359301938107</v>
      </c>
      <c r="AC366">
        <f t="shared" si="520"/>
        <v>-4.5000000000000009</v>
      </c>
    </row>
    <row r="367" spans="2:29" x14ac:dyDescent="0.25">
      <c r="X367">
        <f t="shared" si="521"/>
        <v>-7.7000000000000046</v>
      </c>
      <c r="Y367">
        <f t="shared" si="522"/>
        <v>7.7000000000000046</v>
      </c>
      <c r="Z367">
        <f t="shared" si="523"/>
        <v>8.8741196746494246</v>
      </c>
      <c r="AA367">
        <f t="shared" si="524"/>
        <v>-8.8741196746494246</v>
      </c>
      <c r="AC367">
        <f t="shared" si="520"/>
        <v>-4.5000000000000009</v>
      </c>
    </row>
    <row r="368" spans="2:29" x14ac:dyDescent="0.25">
      <c r="X368">
        <f t="shared" si="521"/>
        <v>-7.7000000000000046</v>
      </c>
      <c r="Y368">
        <f t="shared" si="522"/>
        <v>7.7000000000000046</v>
      </c>
      <c r="Z368">
        <f t="shared" si="523"/>
        <v>8.8904443083571483</v>
      </c>
      <c r="AA368">
        <f t="shared" si="524"/>
        <v>-8.8904443083571483</v>
      </c>
      <c r="AC368">
        <f t="shared" si="520"/>
        <v>-4.5000000000000009</v>
      </c>
    </row>
    <row r="369" spans="24:29" x14ac:dyDescent="0.25">
      <c r="X369">
        <f t="shared" si="521"/>
        <v>-7.7000000000000046</v>
      </c>
      <c r="Y369">
        <f t="shared" si="522"/>
        <v>7.7000000000000046</v>
      </c>
      <c r="Z369">
        <f t="shared" si="523"/>
        <v>8.9056162055188519</v>
      </c>
      <c r="AA369">
        <f t="shared" si="524"/>
        <v>-8.9056162055188519</v>
      </c>
      <c r="AC369">
        <f t="shared" si="520"/>
        <v>-4.5000000000000009</v>
      </c>
    </row>
    <row r="370" spans="24:29" x14ac:dyDescent="0.25">
      <c r="X370">
        <f t="shared" si="521"/>
        <v>-7.7000000000000046</v>
      </c>
      <c r="Y370">
        <f t="shared" si="522"/>
        <v>7.7000000000000046</v>
      </c>
      <c r="Z370">
        <f t="shared" si="523"/>
        <v>8.9196412483911036</v>
      </c>
      <c r="AA370">
        <f t="shared" si="524"/>
        <v>-8.9196412483911036</v>
      </c>
      <c r="AC370">
        <f t="shared" si="520"/>
        <v>-4.5000000000000009</v>
      </c>
    </row>
    <row r="371" spans="24:29" x14ac:dyDescent="0.25">
      <c r="X371">
        <f t="shared" si="521"/>
        <v>-7.7000000000000046</v>
      </c>
      <c r="Y371">
        <f t="shared" si="522"/>
        <v>7.7000000000000046</v>
      </c>
      <c r="Z371">
        <f t="shared" si="523"/>
        <v>8.9325248390362741</v>
      </c>
      <c r="AA371">
        <f t="shared" si="524"/>
        <v>-8.9325248390362741</v>
      </c>
      <c r="AC371">
        <f t="shared" si="520"/>
        <v>-4.5000000000000009</v>
      </c>
    </row>
    <row r="372" spans="24:29" x14ac:dyDescent="0.25">
      <c r="X372">
        <f t="shared" si="521"/>
        <v>-7.7000000000000046</v>
      </c>
      <c r="Y372">
        <f t="shared" si="522"/>
        <v>7.7000000000000046</v>
      </c>
      <c r="Z372">
        <f t="shared" si="523"/>
        <v>8.9442719099991592</v>
      </c>
      <c r="AA372">
        <f t="shared" si="524"/>
        <v>-8.9442719099991592</v>
      </c>
      <c r="AC372">
        <f t="shared" si="520"/>
        <v>-4.5000000000000009</v>
      </c>
    </row>
    <row r="373" spans="24:29" x14ac:dyDescent="0.25">
      <c r="X373">
        <f t="shared" si="521"/>
        <v>-7.7000000000000046</v>
      </c>
      <c r="Y373">
        <f t="shared" si="522"/>
        <v>7.7000000000000046</v>
      </c>
      <c r="Z373">
        <f t="shared" si="523"/>
        <v>8.95488693395958</v>
      </c>
      <c r="AA373">
        <f t="shared" si="524"/>
        <v>-8.95488693395958</v>
      </c>
      <c r="AC373">
        <f t="shared" si="520"/>
        <v>-4.5000000000000009</v>
      </c>
    </row>
    <row r="374" spans="24:29" x14ac:dyDescent="0.25">
      <c r="X374">
        <f t="shared" si="521"/>
        <v>-7.7000000000000046</v>
      </c>
      <c r="Y374">
        <f t="shared" si="522"/>
        <v>7.7000000000000046</v>
      </c>
      <c r="Z374">
        <f t="shared" si="523"/>
        <v>8.964373932405989</v>
      </c>
      <c r="AA374">
        <f t="shared" si="524"/>
        <v>-8.964373932405989</v>
      </c>
      <c r="AC374">
        <f t="shared" si="520"/>
        <v>-4.5000000000000009</v>
      </c>
    </row>
    <row r="375" spans="24:29" x14ac:dyDescent="0.25">
      <c r="X375">
        <f t="shared" si="521"/>
        <v>-7.7000000000000046</v>
      </c>
      <c r="Y375">
        <f t="shared" si="522"/>
        <v>7.7000000000000046</v>
      </c>
      <c r="Z375">
        <f t="shared" si="523"/>
        <v>8.9727364833700545</v>
      </c>
      <c r="AA375">
        <f t="shared" si="524"/>
        <v>-8.9727364833700545</v>
      </c>
      <c r="AC375">
        <f t="shared" si="520"/>
        <v>-4.5000000000000009</v>
      </c>
    </row>
    <row r="376" spans="24:29" x14ac:dyDescent="0.25">
      <c r="X376">
        <f t="shared" si="521"/>
        <v>-7.7000000000000046</v>
      </c>
      <c r="Y376">
        <f t="shared" si="522"/>
        <v>7.7000000000000046</v>
      </c>
      <c r="Z376">
        <f t="shared" si="523"/>
        <v>8.9799777282574595</v>
      </c>
      <c r="AA376">
        <f t="shared" si="524"/>
        <v>-8.9799777282574595</v>
      </c>
      <c r="AC376">
        <f t="shared" si="520"/>
        <v>-4.5000000000000009</v>
      </c>
    </row>
    <row r="377" spans="24:29" x14ac:dyDescent="0.25">
      <c r="X377">
        <f t="shared" si="521"/>
        <v>-7.7000000000000046</v>
      </c>
      <c r="Y377">
        <f t="shared" si="522"/>
        <v>7.7000000000000046</v>
      </c>
      <c r="Z377">
        <f t="shared" si="523"/>
        <v>8.9861003778057142</v>
      </c>
      <c r="AA377">
        <f t="shared" si="524"/>
        <v>-8.9861003778057142</v>
      </c>
      <c r="AC377">
        <f t="shared" si="520"/>
        <v>-4.5000000000000009</v>
      </c>
    </row>
    <row r="378" spans="24:29" x14ac:dyDescent="0.25">
      <c r="X378">
        <f t="shared" si="521"/>
        <v>-7.7000000000000046</v>
      </c>
      <c r="Y378">
        <f t="shared" si="522"/>
        <v>7.7000000000000046</v>
      </c>
      <c r="Z378">
        <f t="shared" si="523"/>
        <v>8.9911067171956098</v>
      </c>
      <c r="AA378">
        <f t="shared" si="524"/>
        <v>-8.9911067171956098</v>
      </c>
      <c r="AC378">
        <f t="shared" si="520"/>
        <v>-4.5000000000000009</v>
      </c>
    </row>
    <row r="379" spans="24:29" x14ac:dyDescent="0.25">
      <c r="X379">
        <f t="shared" si="521"/>
        <v>-7.7000000000000046</v>
      </c>
      <c r="Y379">
        <f t="shared" si="522"/>
        <v>7.7000000000000046</v>
      </c>
      <c r="Z379">
        <f t="shared" si="523"/>
        <v>8.9949986103389694</v>
      </c>
      <c r="AA379">
        <f t="shared" si="524"/>
        <v>-8.9949986103389694</v>
      </c>
      <c r="AC379">
        <f t="shared" si="520"/>
        <v>-4.5000000000000009</v>
      </c>
    </row>
    <row r="380" spans="24:29" x14ac:dyDescent="0.25">
      <c r="X380">
        <f t="shared" si="521"/>
        <v>-7.7000000000000046</v>
      </c>
      <c r="Y380">
        <f t="shared" si="522"/>
        <v>7.7000000000000046</v>
      </c>
      <c r="Z380">
        <f t="shared" si="523"/>
        <v>8.9977775033615934</v>
      </c>
      <c r="AA380">
        <f t="shared" si="524"/>
        <v>-8.9977775033615934</v>
      </c>
      <c r="AC380">
        <f t="shared" si="520"/>
        <v>-4.5000000000000009</v>
      </c>
    </row>
    <row r="381" spans="24:29" x14ac:dyDescent="0.25">
      <c r="X381">
        <f t="shared" si="521"/>
        <v>-7.7000000000000046</v>
      </c>
      <c r="Y381">
        <f t="shared" si="522"/>
        <v>7.7000000000000046</v>
      </c>
      <c r="Z381">
        <f t="shared" si="523"/>
        <v>8.9994444272966092</v>
      </c>
      <c r="AA381">
        <f t="shared" si="524"/>
        <v>-8.9994444272966092</v>
      </c>
      <c r="AC381">
        <f t="shared" si="520"/>
        <v>-4.5000000000000009</v>
      </c>
    </row>
    <row r="382" spans="24:29" x14ac:dyDescent="0.25">
      <c r="X382">
        <f t="shared" si="521"/>
        <v>-7.7000000000000046</v>
      </c>
      <c r="Y382">
        <f t="shared" si="522"/>
        <v>7.7000000000000046</v>
      </c>
      <c r="Z382">
        <f t="shared" si="523"/>
        <v>9</v>
      </c>
      <c r="AA382">
        <f t="shared" si="524"/>
        <v>-9</v>
      </c>
      <c r="AC382">
        <f t="shared" si="520"/>
        <v>-4.5000000000000009</v>
      </c>
    </row>
    <row r="383" spans="24:29" x14ac:dyDescent="0.25">
      <c r="Y383">
        <f t="shared" ref="Y383:Y414" si="525">+A93</f>
        <v>-0.1</v>
      </c>
      <c r="Z383">
        <f t="shared" si="523"/>
        <v>8.9994444272966092</v>
      </c>
      <c r="AA383">
        <f t="shared" si="524"/>
        <v>-8.9994444272966092</v>
      </c>
    </row>
    <row r="384" spans="24:29" x14ac:dyDescent="0.25">
      <c r="Y384">
        <f t="shared" si="525"/>
        <v>-0.2</v>
      </c>
      <c r="Z384">
        <f t="shared" si="523"/>
        <v>8.9977775033615934</v>
      </c>
      <c r="AA384">
        <f t="shared" si="524"/>
        <v>-8.9977775033615934</v>
      </c>
    </row>
    <row r="385" spans="25:27" x14ac:dyDescent="0.25">
      <c r="Y385">
        <f t="shared" si="525"/>
        <v>-0.3</v>
      </c>
      <c r="Z385">
        <f t="shared" si="523"/>
        <v>8.9949986103389694</v>
      </c>
      <c r="AA385">
        <f t="shared" si="524"/>
        <v>-8.9949986103389694</v>
      </c>
    </row>
    <row r="386" spans="25:27" x14ac:dyDescent="0.25">
      <c r="Y386">
        <f t="shared" si="525"/>
        <v>-0.4</v>
      </c>
      <c r="Z386">
        <f t="shared" si="523"/>
        <v>8.9911067171956098</v>
      </c>
      <c r="AA386">
        <f t="shared" si="524"/>
        <v>-8.9911067171956098</v>
      </c>
    </row>
    <row r="387" spans="25:27" x14ac:dyDescent="0.25">
      <c r="Y387">
        <f t="shared" si="525"/>
        <v>-0.5</v>
      </c>
      <c r="Z387">
        <f t="shared" si="523"/>
        <v>8.9861003778057142</v>
      </c>
      <c r="AA387">
        <f t="shared" si="524"/>
        <v>-8.9861003778057142</v>
      </c>
    </row>
    <row r="388" spans="25:27" x14ac:dyDescent="0.25">
      <c r="Y388">
        <f t="shared" si="525"/>
        <v>-0.6</v>
      </c>
      <c r="Z388">
        <f t="shared" si="523"/>
        <v>8.9799777282574595</v>
      </c>
      <c r="AA388">
        <f t="shared" si="524"/>
        <v>-8.9799777282574595</v>
      </c>
    </row>
    <row r="389" spans="25:27" x14ac:dyDescent="0.25">
      <c r="Y389">
        <f t="shared" si="525"/>
        <v>-0.7</v>
      </c>
      <c r="Z389">
        <f t="shared" ref="Z389:Z420" si="526">+B99</f>
        <v>8.9727364833700545</v>
      </c>
      <c r="AA389">
        <f t="shared" ref="AA389:AA420" si="527">+C99</f>
        <v>-8.9727364833700545</v>
      </c>
    </row>
    <row r="390" spans="25:27" x14ac:dyDescent="0.25">
      <c r="Y390">
        <f t="shared" si="525"/>
        <v>-0.8</v>
      </c>
      <c r="Z390">
        <f t="shared" si="526"/>
        <v>8.964373932405989</v>
      </c>
      <c r="AA390">
        <f t="shared" si="527"/>
        <v>-8.964373932405989</v>
      </c>
    </row>
    <row r="391" spans="25:27" x14ac:dyDescent="0.25">
      <c r="Y391">
        <f t="shared" si="525"/>
        <v>-0.9</v>
      </c>
      <c r="Z391">
        <f t="shared" si="526"/>
        <v>8.95488693395958</v>
      </c>
      <c r="AA391">
        <f t="shared" si="527"/>
        <v>-8.95488693395958</v>
      </c>
    </row>
    <row r="392" spans="25:27" x14ac:dyDescent="0.25">
      <c r="Y392">
        <f t="shared" si="525"/>
        <v>-1</v>
      </c>
      <c r="Z392">
        <f t="shared" si="526"/>
        <v>8.9442719099991592</v>
      </c>
      <c r="AA392">
        <f t="shared" si="527"/>
        <v>-8.9442719099991592</v>
      </c>
    </row>
    <row r="393" spans="25:27" x14ac:dyDescent="0.25">
      <c r="Y393">
        <f t="shared" si="525"/>
        <v>-1.1000000000000001</v>
      </c>
      <c r="Z393">
        <f t="shared" si="526"/>
        <v>8.9325248390362741</v>
      </c>
      <c r="AA393">
        <f t="shared" si="527"/>
        <v>-8.9325248390362741</v>
      </c>
    </row>
    <row r="394" spans="25:27" x14ac:dyDescent="0.25">
      <c r="Y394">
        <f t="shared" si="525"/>
        <v>-1.2</v>
      </c>
      <c r="Z394">
        <f t="shared" si="526"/>
        <v>8.9196412483911036</v>
      </c>
      <c r="AA394">
        <f t="shared" si="527"/>
        <v>-8.9196412483911036</v>
      </c>
    </row>
    <row r="395" spans="25:27" x14ac:dyDescent="0.25">
      <c r="Y395">
        <f t="shared" si="525"/>
        <v>-1.3</v>
      </c>
      <c r="Z395">
        <f t="shared" si="526"/>
        <v>8.9056162055188519</v>
      </c>
      <c r="AA395">
        <f t="shared" si="527"/>
        <v>-8.9056162055188519</v>
      </c>
    </row>
    <row r="396" spans="25:27" x14ac:dyDescent="0.25">
      <c r="Y396">
        <f t="shared" si="525"/>
        <v>-1.4</v>
      </c>
      <c r="Z396">
        <f t="shared" si="526"/>
        <v>8.8904443083571483</v>
      </c>
      <c r="AA396">
        <f t="shared" si="527"/>
        <v>-8.8904443083571483</v>
      </c>
    </row>
    <row r="397" spans="25:27" x14ac:dyDescent="0.25">
      <c r="Y397">
        <f t="shared" si="525"/>
        <v>-1.5</v>
      </c>
      <c r="Z397">
        <f t="shared" si="526"/>
        <v>8.8741196746494246</v>
      </c>
      <c r="AA397">
        <f t="shared" si="527"/>
        <v>-8.8741196746494246</v>
      </c>
    </row>
    <row r="398" spans="25:27" x14ac:dyDescent="0.25">
      <c r="Y398">
        <f t="shared" si="525"/>
        <v>-1.6</v>
      </c>
      <c r="Z398">
        <f t="shared" si="526"/>
        <v>8.8566359301938107</v>
      </c>
      <c r="AA398">
        <f t="shared" si="527"/>
        <v>-8.8566359301938107</v>
      </c>
    </row>
    <row r="399" spans="25:27" x14ac:dyDescent="0.25">
      <c r="Y399">
        <f t="shared" si="525"/>
        <v>-1.7</v>
      </c>
      <c r="Z399">
        <f t="shared" si="526"/>
        <v>8.8379861959611592</v>
      </c>
      <c r="AA399">
        <f t="shared" si="527"/>
        <v>-8.8379861959611592</v>
      </c>
    </row>
    <row r="400" spans="25:27" x14ac:dyDescent="0.25">
      <c r="Y400">
        <f t="shared" si="525"/>
        <v>-1.8</v>
      </c>
      <c r="Z400">
        <f t="shared" si="526"/>
        <v>8.8181630740194414</v>
      </c>
      <c r="AA400">
        <f t="shared" si="527"/>
        <v>-8.8181630740194414</v>
      </c>
    </row>
    <row r="401" spans="25:27" x14ac:dyDescent="0.25">
      <c r="Y401">
        <f t="shared" si="525"/>
        <v>-1.9</v>
      </c>
      <c r="Z401">
        <f t="shared" si="526"/>
        <v>8.7971586321948294</v>
      </c>
      <c r="AA401">
        <f t="shared" si="527"/>
        <v>-8.7971586321948294</v>
      </c>
    </row>
    <row r="402" spans="25:27" x14ac:dyDescent="0.25">
      <c r="Y402">
        <f t="shared" si="525"/>
        <v>-2</v>
      </c>
      <c r="Z402">
        <f t="shared" si="526"/>
        <v>8.7749643873921226</v>
      </c>
      <c r="AA402">
        <f t="shared" si="527"/>
        <v>-8.7749643873921226</v>
      </c>
    </row>
    <row r="403" spans="25:27" x14ac:dyDescent="0.25">
      <c r="Y403">
        <f t="shared" si="525"/>
        <v>-2.1</v>
      </c>
      <c r="Z403">
        <f t="shared" si="526"/>
        <v>8.7515712874888933</v>
      </c>
      <c r="AA403">
        <f t="shared" si="527"/>
        <v>-8.7515712874888933</v>
      </c>
    </row>
    <row r="404" spans="25:27" x14ac:dyDescent="0.25">
      <c r="Y404">
        <f t="shared" si="525"/>
        <v>-2.2000000000000002</v>
      </c>
      <c r="Z404">
        <f t="shared" si="526"/>
        <v>8.7269696917085717</v>
      </c>
      <c r="AA404">
        <f t="shared" si="527"/>
        <v>-8.7269696917085717</v>
      </c>
    </row>
    <row r="405" spans="25:27" x14ac:dyDescent="0.25">
      <c r="Y405">
        <f t="shared" si="525"/>
        <v>-2.2999999999999998</v>
      </c>
      <c r="Z405">
        <f t="shared" si="526"/>
        <v>8.7011493493675882</v>
      </c>
      <c r="AA405">
        <f t="shared" si="527"/>
        <v>-8.7011493493675882</v>
      </c>
    </row>
    <row r="406" spans="25:27" x14ac:dyDescent="0.25">
      <c r="Y406">
        <f t="shared" si="525"/>
        <v>-2.4</v>
      </c>
      <c r="Z406">
        <f t="shared" si="526"/>
        <v>8.6740993768805765</v>
      </c>
      <c r="AA406">
        <f t="shared" si="527"/>
        <v>-8.6740993768805765</v>
      </c>
    </row>
    <row r="407" spans="25:27" x14ac:dyDescent="0.25">
      <c r="Y407">
        <f t="shared" si="525"/>
        <v>-2.5</v>
      </c>
      <c r="Z407">
        <f t="shared" si="526"/>
        <v>8.6458082328952912</v>
      </c>
      <c r="AA407">
        <f t="shared" si="527"/>
        <v>-8.6458082328952912</v>
      </c>
    </row>
    <row r="408" spans="25:27" x14ac:dyDescent="0.25">
      <c r="Y408">
        <f t="shared" si="525"/>
        <v>-2.6</v>
      </c>
      <c r="Z408">
        <f t="shared" si="526"/>
        <v>8.616263691415206</v>
      </c>
      <c r="AA408">
        <f t="shared" si="527"/>
        <v>-8.616263691415206</v>
      </c>
    </row>
    <row r="409" spans="25:27" x14ac:dyDescent="0.25">
      <c r="Y409">
        <f t="shared" si="525"/>
        <v>-2.7</v>
      </c>
      <c r="Z409">
        <f t="shared" si="526"/>
        <v>8.5854528127525107</v>
      </c>
      <c r="AA409">
        <f t="shared" si="527"/>
        <v>-8.5854528127525107</v>
      </c>
    </row>
    <row r="410" spans="25:27" x14ac:dyDescent="0.25">
      <c r="Y410">
        <f t="shared" si="525"/>
        <v>-2.8</v>
      </c>
      <c r="Z410">
        <f t="shared" si="526"/>
        <v>8.5533619121372393</v>
      </c>
      <c r="AA410">
        <f t="shared" si="527"/>
        <v>-8.5533619121372393</v>
      </c>
    </row>
    <row r="411" spans="25:27" x14ac:dyDescent="0.25">
      <c r="Y411">
        <f t="shared" si="525"/>
        <v>-2.9</v>
      </c>
      <c r="Z411">
        <f t="shared" si="526"/>
        <v>8.519976525789259</v>
      </c>
      <c r="AA411">
        <f t="shared" si="527"/>
        <v>-8.519976525789259</v>
      </c>
    </row>
    <row r="412" spans="25:27" x14ac:dyDescent="0.25">
      <c r="Y412">
        <f t="shared" si="525"/>
        <v>-3</v>
      </c>
      <c r="Z412">
        <f t="shared" si="526"/>
        <v>8.4852813742385695</v>
      </c>
      <c r="AA412">
        <f t="shared" si="527"/>
        <v>-8.4852813742385695</v>
      </c>
    </row>
    <row r="413" spans="25:27" x14ac:dyDescent="0.25">
      <c r="Y413">
        <f t="shared" si="525"/>
        <v>-3.1</v>
      </c>
      <c r="Z413">
        <f t="shared" si="526"/>
        <v>8.4492603226554692</v>
      </c>
      <c r="AA413">
        <f t="shared" si="527"/>
        <v>-8.4492603226554692</v>
      </c>
    </row>
    <row r="414" spans="25:27" x14ac:dyDescent="0.25">
      <c r="Y414">
        <f t="shared" si="525"/>
        <v>-3.2</v>
      </c>
      <c r="Z414">
        <f t="shared" si="526"/>
        <v>8.4118963379252349</v>
      </c>
      <c r="AA414">
        <f t="shared" si="527"/>
        <v>-8.4118963379252349</v>
      </c>
    </row>
    <row r="415" spans="25:27" x14ac:dyDescent="0.25">
      <c r="Y415">
        <f t="shared" ref="Y415:Y446" si="528">+A125</f>
        <v>-3.3</v>
      </c>
      <c r="Z415">
        <f t="shared" si="526"/>
        <v>8.3731714421717172</v>
      </c>
      <c r="AA415">
        <f t="shared" si="527"/>
        <v>-8.3731714421717172</v>
      </c>
    </row>
    <row r="416" spans="25:27" x14ac:dyDescent="0.25">
      <c r="Y416">
        <f t="shared" si="528"/>
        <v>-3.4</v>
      </c>
      <c r="Z416">
        <f t="shared" si="526"/>
        <v>8.3330666623998635</v>
      </c>
      <c r="AA416">
        <f t="shared" si="527"/>
        <v>-8.3330666623998635</v>
      </c>
    </row>
    <row r="417" spans="25:27" x14ac:dyDescent="0.25">
      <c r="Y417">
        <f t="shared" si="528"/>
        <v>-3.5</v>
      </c>
      <c r="Z417">
        <f t="shared" si="526"/>
        <v>8.2915619758885004</v>
      </c>
      <c r="AA417">
        <f t="shared" si="527"/>
        <v>-8.2915619758885004</v>
      </c>
    </row>
    <row r="418" spans="25:27" x14ac:dyDescent="0.25">
      <c r="Y418">
        <f t="shared" si="528"/>
        <v>-3.6</v>
      </c>
      <c r="Z418">
        <f t="shared" si="526"/>
        <v>8.2486362509205122</v>
      </c>
      <c r="AA418">
        <f t="shared" si="527"/>
        <v>-8.2486362509205122</v>
      </c>
    </row>
    <row r="419" spans="25:27" x14ac:dyDescent="0.25">
      <c r="Y419">
        <f t="shared" si="528"/>
        <v>-3.7</v>
      </c>
      <c r="Z419">
        <f t="shared" si="526"/>
        <v>8.2042671823874684</v>
      </c>
      <c r="AA419">
        <f t="shared" si="527"/>
        <v>-8.2042671823874684</v>
      </c>
    </row>
    <row r="420" spans="25:27" x14ac:dyDescent="0.25">
      <c r="Y420">
        <f t="shared" si="528"/>
        <v>-3.8</v>
      </c>
      <c r="Z420">
        <f t="shared" si="526"/>
        <v>8.1584312217484563</v>
      </c>
      <c r="AA420">
        <f t="shared" si="527"/>
        <v>-8.1584312217484563</v>
      </c>
    </row>
    <row r="421" spans="25:27" x14ac:dyDescent="0.25">
      <c r="Y421">
        <f t="shared" si="528"/>
        <v>-3.9</v>
      </c>
      <c r="Z421">
        <f t="shared" ref="Z421:Z452" si="529">+B131</f>
        <v>8.1111035007574657</v>
      </c>
      <c r="AA421">
        <f t="shared" ref="AA421:AA452" si="530">+C131</f>
        <v>-8.1111035007574657</v>
      </c>
    </row>
    <row r="422" spans="25:27" x14ac:dyDescent="0.25">
      <c r="Y422">
        <f t="shared" si="528"/>
        <v>-4</v>
      </c>
      <c r="Z422">
        <f t="shared" si="529"/>
        <v>8.0622577482985491</v>
      </c>
      <c r="AA422">
        <f t="shared" si="530"/>
        <v>-8.0622577482985491</v>
      </c>
    </row>
    <row r="423" spans="25:27" x14ac:dyDescent="0.25">
      <c r="Y423">
        <f t="shared" si="528"/>
        <v>-4.0999999999999996</v>
      </c>
      <c r="Z423">
        <f t="shared" si="529"/>
        <v>8.0118661995817178</v>
      </c>
      <c r="AA423">
        <f t="shared" si="530"/>
        <v>-8.0118661995817178</v>
      </c>
    </row>
    <row r="424" spans="25:27" x14ac:dyDescent="0.25">
      <c r="Y424">
        <f t="shared" si="528"/>
        <v>-4.2</v>
      </c>
      <c r="Z424">
        <f t="shared" si="529"/>
        <v>7.9598994968529597</v>
      </c>
      <c r="AA424">
        <f t="shared" si="530"/>
        <v>-7.9598994968529597</v>
      </c>
    </row>
    <row r="425" spans="25:27" x14ac:dyDescent="0.25">
      <c r="Y425">
        <f t="shared" si="528"/>
        <v>-4.3</v>
      </c>
      <c r="Z425">
        <f t="shared" si="529"/>
        <v>7.9063265806567848</v>
      </c>
      <c r="AA425">
        <f t="shared" si="530"/>
        <v>-7.9063265806567848</v>
      </c>
    </row>
    <row r="426" spans="25:27" x14ac:dyDescent="0.25">
      <c r="Y426">
        <f t="shared" si="528"/>
        <v>-4.4000000000000004</v>
      </c>
      <c r="Z426">
        <f t="shared" si="529"/>
        <v>7.8511145705562084</v>
      </c>
      <c r="AA426">
        <f t="shared" si="530"/>
        <v>-7.8511145705562084</v>
      </c>
    </row>
    <row r="427" spans="25:27" x14ac:dyDescent="0.25">
      <c r="Y427">
        <f t="shared" si="528"/>
        <v>-4.5</v>
      </c>
      <c r="Z427">
        <f t="shared" si="529"/>
        <v>7.794228634059948</v>
      </c>
      <c r="AA427">
        <f t="shared" si="530"/>
        <v>-7.794228634059948</v>
      </c>
    </row>
    <row r="428" spans="25:27" x14ac:dyDescent="0.25">
      <c r="Y428">
        <f t="shared" si="528"/>
        <v>-4.5999999999999996</v>
      </c>
      <c r="Z428">
        <f t="shared" si="529"/>
        <v>7.7356318423254864</v>
      </c>
      <c r="AA428">
        <f t="shared" si="530"/>
        <v>-7.7356318423254864</v>
      </c>
    </row>
    <row r="429" spans="25:27" x14ac:dyDescent="0.25">
      <c r="Y429">
        <f t="shared" si="528"/>
        <v>-4.7</v>
      </c>
      <c r="Z429">
        <f t="shared" si="529"/>
        <v>7.6752850109947053</v>
      </c>
      <c r="AA429">
        <f t="shared" si="530"/>
        <v>-7.6752850109947053</v>
      </c>
    </row>
    <row r="430" spans="25:27" x14ac:dyDescent="0.25">
      <c r="Y430">
        <f t="shared" si="528"/>
        <v>-4.8</v>
      </c>
      <c r="Z430">
        <f t="shared" si="529"/>
        <v>7.6131465242697125</v>
      </c>
      <c r="AA430">
        <f t="shared" si="530"/>
        <v>-7.6131465242697125</v>
      </c>
    </row>
    <row r="431" spans="25:27" x14ac:dyDescent="0.25">
      <c r="Y431">
        <f t="shared" si="528"/>
        <v>-4.9000000000000004</v>
      </c>
      <c r="Z431">
        <f t="shared" si="529"/>
        <v>7.5491721400429066</v>
      </c>
      <c r="AA431">
        <f t="shared" si="530"/>
        <v>-7.5491721400429066</v>
      </c>
    </row>
    <row r="432" spans="25:27" x14ac:dyDescent="0.25">
      <c r="Y432">
        <f t="shared" si="528"/>
        <v>-5</v>
      </c>
      <c r="Z432">
        <f t="shared" si="529"/>
        <v>7.4833147735478827</v>
      </c>
      <c r="AA432">
        <f t="shared" si="530"/>
        <v>-7.4833147735478827</v>
      </c>
    </row>
    <row r="433" spans="25:27" x14ac:dyDescent="0.25">
      <c r="Y433">
        <f t="shared" si="528"/>
        <v>-5.0999999999999996</v>
      </c>
      <c r="Z433">
        <f t="shared" si="529"/>
        <v>7.4155242565849653</v>
      </c>
      <c r="AA433">
        <f t="shared" si="530"/>
        <v>-7.4155242565849653</v>
      </c>
    </row>
    <row r="434" spans="25:27" x14ac:dyDescent="0.25">
      <c r="Y434">
        <f t="shared" si="528"/>
        <v>-5.2</v>
      </c>
      <c r="Z434">
        <f t="shared" si="529"/>
        <v>7.3457470688827824</v>
      </c>
      <c r="AA434">
        <f t="shared" si="530"/>
        <v>-7.3457470688827824</v>
      </c>
    </row>
    <row r="435" spans="25:27" x14ac:dyDescent="0.25">
      <c r="Y435">
        <f t="shared" si="528"/>
        <v>-5.3</v>
      </c>
      <c r="Z435">
        <f t="shared" si="529"/>
        <v>7.2739260375673327</v>
      </c>
      <c r="AA435">
        <f t="shared" si="530"/>
        <v>-7.2739260375673327</v>
      </c>
    </row>
    <row r="436" spans="25:27" x14ac:dyDescent="0.25">
      <c r="Y436">
        <f t="shared" si="528"/>
        <v>-5.4</v>
      </c>
      <c r="Z436">
        <f t="shared" si="529"/>
        <v>7.2</v>
      </c>
      <c r="AA436">
        <f t="shared" si="530"/>
        <v>-7.2</v>
      </c>
    </row>
    <row r="437" spans="25:27" x14ac:dyDescent="0.25">
      <c r="Y437">
        <f t="shared" si="528"/>
        <v>-5.5</v>
      </c>
      <c r="Z437">
        <f t="shared" si="529"/>
        <v>7.1239034243875032</v>
      </c>
      <c r="AA437">
        <f t="shared" si="530"/>
        <v>-7.1239034243875032</v>
      </c>
    </row>
    <row r="438" spans="25:27" x14ac:dyDescent="0.25">
      <c r="Y438">
        <f t="shared" si="528"/>
        <v>-5.6</v>
      </c>
      <c r="Z438">
        <f t="shared" si="529"/>
        <v>7.0455659815234153</v>
      </c>
      <c r="AA438">
        <f t="shared" si="530"/>
        <v>-7.0455659815234153</v>
      </c>
    </row>
    <row r="439" spans="25:27" x14ac:dyDescent="0.25">
      <c r="Y439">
        <f t="shared" si="528"/>
        <v>-5.7</v>
      </c>
      <c r="Z439">
        <f t="shared" si="529"/>
        <v>6.9649120597463394</v>
      </c>
      <c r="AA439">
        <f t="shared" si="530"/>
        <v>-6.9649120597463394</v>
      </c>
    </row>
    <row r="440" spans="25:27" x14ac:dyDescent="0.25">
      <c r="Y440">
        <f t="shared" si="528"/>
        <v>-5.8</v>
      </c>
      <c r="Z440">
        <f t="shared" si="529"/>
        <v>6.8818602136341012</v>
      </c>
      <c r="AA440">
        <f t="shared" si="530"/>
        <v>-6.8818602136341012</v>
      </c>
    </row>
    <row r="441" spans="25:27" x14ac:dyDescent="0.25">
      <c r="Y441">
        <f t="shared" si="528"/>
        <v>-5.9</v>
      </c>
      <c r="Z441">
        <f t="shared" si="529"/>
        <v>6.7963225350184784</v>
      </c>
      <c r="AA441">
        <f t="shared" si="530"/>
        <v>-6.7963225350184784</v>
      </c>
    </row>
    <row r="442" spans="25:27" x14ac:dyDescent="0.25">
      <c r="Y442">
        <f t="shared" si="528"/>
        <v>-6</v>
      </c>
      <c r="Z442">
        <f t="shared" si="529"/>
        <v>6.7082039324993694</v>
      </c>
      <c r="AA442">
        <f t="shared" si="530"/>
        <v>-6.7082039324993694</v>
      </c>
    </row>
    <row r="443" spans="25:27" x14ac:dyDescent="0.25">
      <c r="Y443">
        <f t="shared" si="528"/>
        <v>-6.1</v>
      </c>
      <c r="Z443">
        <f t="shared" si="529"/>
        <v>6.6174013026262815</v>
      </c>
      <c r="AA443">
        <f t="shared" si="530"/>
        <v>-6.6174013026262815</v>
      </c>
    </row>
    <row r="444" spans="25:27" x14ac:dyDescent="0.25">
      <c r="Y444">
        <f t="shared" si="528"/>
        <v>-6.2</v>
      </c>
      <c r="Z444">
        <f t="shared" si="529"/>
        <v>6.5238025721200357</v>
      </c>
      <c r="AA444">
        <f t="shared" si="530"/>
        <v>-6.5238025721200357</v>
      </c>
    </row>
    <row r="445" spans="25:27" x14ac:dyDescent="0.25">
      <c r="Y445">
        <f t="shared" si="528"/>
        <v>-6.3</v>
      </c>
      <c r="Z445">
        <f t="shared" si="529"/>
        <v>6.4272855856885656</v>
      </c>
      <c r="AA445">
        <f t="shared" si="530"/>
        <v>-6.4272855856885656</v>
      </c>
    </row>
    <row r="446" spans="25:27" x14ac:dyDescent="0.25">
      <c r="Y446">
        <f t="shared" si="528"/>
        <v>-6.4</v>
      </c>
      <c r="Z446">
        <f t="shared" si="529"/>
        <v>6.327716807822549</v>
      </c>
      <c r="AA446">
        <f t="shared" si="530"/>
        <v>-6.327716807822549</v>
      </c>
    </row>
    <row r="447" spans="25:27" x14ac:dyDescent="0.25">
      <c r="Y447">
        <f t="shared" ref="Y447:Y472" si="531">+A157</f>
        <v>-6.5</v>
      </c>
      <c r="Z447">
        <f t="shared" si="529"/>
        <v>6.2249497989943663</v>
      </c>
      <c r="AA447">
        <f t="shared" si="530"/>
        <v>-6.2249497989943663</v>
      </c>
    </row>
    <row r="448" spans="25:27" x14ac:dyDescent="0.25">
      <c r="Y448">
        <f t="shared" si="531"/>
        <v>-6.6</v>
      </c>
      <c r="Z448">
        <f t="shared" si="529"/>
        <v>6.1188234163113426</v>
      </c>
      <c r="AA448">
        <f t="shared" si="530"/>
        <v>-6.1188234163113426</v>
      </c>
    </row>
    <row r="449" spans="25:27" x14ac:dyDescent="0.25">
      <c r="Y449">
        <f t="shared" si="531"/>
        <v>-6.7</v>
      </c>
      <c r="Z449">
        <f t="shared" si="529"/>
        <v>6.009159675029446</v>
      </c>
      <c r="AA449">
        <f t="shared" si="530"/>
        <v>-6.009159675029446</v>
      </c>
    </row>
    <row r="450" spans="25:27" x14ac:dyDescent="0.25">
      <c r="Y450">
        <f t="shared" si="531"/>
        <v>-6.8</v>
      </c>
      <c r="Z450">
        <f t="shared" si="529"/>
        <v>5.89576118919347</v>
      </c>
      <c r="AA450">
        <f t="shared" si="530"/>
        <v>-5.89576118919347</v>
      </c>
    </row>
    <row r="451" spans="25:27" x14ac:dyDescent="0.25">
      <c r="Y451">
        <f t="shared" si="531"/>
        <v>-6.9</v>
      </c>
      <c r="Z451">
        <f t="shared" si="529"/>
        <v>5.7784080852774666</v>
      </c>
      <c r="AA451">
        <f t="shared" si="530"/>
        <v>-5.7784080852774666</v>
      </c>
    </row>
    <row r="452" spans="25:27" x14ac:dyDescent="0.25">
      <c r="Y452">
        <f t="shared" si="531"/>
        <v>-7</v>
      </c>
      <c r="Z452">
        <f t="shared" si="529"/>
        <v>5.6568542494923806</v>
      </c>
      <c r="AA452">
        <f t="shared" si="530"/>
        <v>-5.6568542494923806</v>
      </c>
    </row>
    <row r="453" spans="25:27" x14ac:dyDescent="0.25">
      <c r="Y453">
        <f t="shared" si="531"/>
        <v>-7.1</v>
      </c>
      <c r="Z453">
        <f t="shared" ref="Z453:Z472" si="532">+B163</f>
        <v>5.5308227236099334</v>
      </c>
      <c r="AA453">
        <f t="shared" ref="AA453:AA472" si="533">+C163</f>
        <v>-5.5308227236099334</v>
      </c>
    </row>
    <row r="454" spans="25:27" x14ac:dyDescent="0.25">
      <c r="Y454">
        <f t="shared" si="531"/>
        <v>-7.2</v>
      </c>
      <c r="Z454">
        <f t="shared" si="532"/>
        <v>5.3999999999999995</v>
      </c>
      <c r="AA454">
        <f t="shared" si="533"/>
        <v>-5.3999999999999995</v>
      </c>
    </row>
    <row r="455" spans="25:27" x14ac:dyDescent="0.25">
      <c r="Y455">
        <f t="shared" si="531"/>
        <v>-7.3</v>
      </c>
      <c r="Z455">
        <f t="shared" si="532"/>
        <v>5.2640288753007427</v>
      </c>
      <c r="AA455">
        <f t="shared" si="533"/>
        <v>-5.2640288753007427</v>
      </c>
    </row>
    <row r="456" spans="25:27" x14ac:dyDescent="0.25">
      <c r="Y456">
        <f t="shared" si="531"/>
        <v>-7.4</v>
      </c>
      <c r="Z456">
        <f t="shared" si="532"/>
        <v>5.1224993899462783</v>
      </c>
      <c r="AA456">
        <f t="shared" si="533"/>
        <v>-5.1224993899462783</v>
      </c>
    </row>
    <row r="457" spans="25:27" x14ac:dyDescent="0.25">
      <c r="Y457">
        <f t="shared" si="531"/>
        <v>-7.5</v>
      </c>
      <c r="Z457">
        <f t="shared" si="532"/>
        <v>4.9749371855330997</v>
      </c>
      <c r="AA457">
        <f t="shared" si="533"/>
        <v>-4.9749371855330997</v>
      </c>
    </row>
    <row r="458" spans="25:27" x14ac:dyDescent="0.25">
      <c r="Y458">
        <f t="shared" si="531"/>
        <v>-7.6</v>
      </c>
      <c r="Z458">
        <f t="shared" si="532"/>
        <v>4.8207883172775805</v>
      </c>
      <c r="AA458">
        <f t="shared" si="533"/>
        <v>-4.8207883172775805</v>
      </c>
    </row>
    <row r="459" spans="25:27" x14ac:dyDescent="0.25">
      <c r="Y459">
        <f t="shared" si="531"/>
        <v>-7.7</v>
      </c>
      <c r="Z459">
        <f t="shared" si="532"/>
        <v>4.6593991028886972</v>
      </c>
      <c r="AA459">
        <f t="shared" si="533"/>
        <v>-4.6593991028886972</v>
      </c>
    </row>
    <row r="460" spans="25:27" x14ac:dyDescent="0.25">
      <c r="Y460">
        <f t="shared" si="531"/>
        <v>-7.8</v>
      </c>
      <c r="Z460">
        <f t="shared" si="532"/>
        <v>4.4899888641287298</v>
      </c>
      <c r="AA460">
        <f t="shared" si="533"/>
        <v>-4.4899888641287298</v>
      </c>
    </row>
    <row r="461" spans="25:27" x14ac:dyDescent="0.25">
      <c r="Y461">
        <f t="shared" si="531"/>
        <v>-7.9</v>
      </c>
      <c r="Z461">
        <f t="shared" si="532"/>
        <v>4.3116122274620192</v>
      </c>
      <c r="AA461">
        <f t="shared" si="533"/>
        <v>-4.3116122274620192</v>
      </c>
    </row>
    <row r="462" spans="25:27" x14ac:dyDescent="0.25">
      <c r="Y462">
        <f t="shared" si="531"/>
        <v>-8</v>
      </c>
      <c r="Z462">
        <f t="shared" si="532"/>
        <v>4.1231056256176606</v>
      </c>
      <c r="AA462">
        <f t="shared" si="533"/>
        <v>-4.1231056256176606</v>
      </c>
    </row>
    <row r="463" spans="25:27" x14ac:dyDescent="0.25">
      <c r="Y463">
        <f t="shared" si="531"/>
        <v>-8.1</v>
      </c>
      <c r="Z463">
        <f t="shared" si="532"/>
        <v>3.9230090491866063</v>
      </c>
      <c r="AA463">
        <f t="shared" si="533"/>
        <v>-3.9230090491866063</v>
      </c>
    </row>
    <row r="464" spans="25:27" x14ac:dyDescent="0.25">
      <c r="Y464">
        <f t="shared" si="531"/>
        <v>-8.1999999999999993</v>
      </c>
      <c r="Z464">
        <f t="shared" si="532"/>
        <v>3.7094473981982823</v>
      </c>
      <c r="AA464">
        <f t="shared" si="533"/>
        <v>-3.7094473981982823</v>
      </c>
    </row>
    <row r="465" spans="1:41" x14ac:dyDescent="0.25">
      <c r="Y465">
        <f t="shared" si="531"/>
        <v>-8.3000000000000007</v>
      </c>
      <c r="Z465">
        <f t="shared" si="532"/>
        <v>3.479942528261061</v>
      </c>
      <c r="AA465">
        <f t="shared" si="533"/>
        <v>-3.479942528261061</v>
      </c>
    </row>
    <row r="466" spans="1:41" x14ac:dyDescent="0.25">
      <c r="Y466">
        <f t="shared" si="531"/>
        <v>-8.4</v>
      </c>
      <c r="Z466">
        <f t="shared" si="532"/>
        <v>3.2310988842807022</v>
      </c>
      <c r="AA466">
        <f t="shared" si="533"/>
        <v>-3.2310988842807022</v>
      </c>
    </row>
    <row r="467" spans="1:41" x14ac:dyDescent="0.25">
      <c r="Y467">
        <f t="shared" si="531"/>
        <v>-8.5</v>
      </c>
      <c r="Z467">
        <f t="shared" si="532"/>
        <v>2.9580398915498081</v>
      </c>
      <c r="AA467">
        <f t="shared" si="533"/>
        <v>-2.9580398915498081</v>
      </c>
    </row>
    <row r="468" spans="1:41" x14ac:dyDescent="0.25">
      <c r="Y468">
        <f t="shared" si="531"/>
        <v>-8.6</v>
      </c>
      <c r="Z468">
        <f t="shared" si="532"/>
        <v>2.6532998322843211</v>
      </c>
      <c r="AA468">
        <f t="shared" si="533"/>
        <v>-2.6532998322843211</v>
      </c>
    </row>
    <row r="469" spans="1:41" x14ac:dyDescent="0.25">
      <c r="Y469">
        <f t="shared" si="531"/>
        <v>-8.6999999999999993</v>
      </c>
      <c r="Z469">
        <f t="shared" si="532"/>
        <v>2.304343724360586</v>
      </c>
      <c r="AA469">
        <f t="shared" si="533"/>
        <v>-2.304343724360586</v>
      </c>
    </row>
    <row r="470" spans="1:41" x14ac:dyDescent="0.25">
      <c r="Y470">
        <f t="shared" si="531"/>
        <v>-8.8000000000000007</v>
      </c>
      <c r="Z470">
        <f t="shared" si="532"/>
        <v>1.8867962264113176</v>
      </c>
      <c r="AA470">
        <f t="shared" si="533"/>
        <v>-1.8867962264113176</v>
      </c>
    </row>
    <row r="471" spans="1:41" x14ac:dyDescent="0.25">
      <c r="Y471">
        <f t="shared" si="531"/>
        <v>-8.9</v>
      </c>
      <c r="Z471">
        <f t="shared" si="532"/>
        <v>1.3379088160259622</v>
      </c>
      <c r="AA471">
        <f t="shared" si="533"/>
        <v>-1.3379088160259622</v>
      </c>
    </row>
    <row r="472" spans="1:41" x14ac:dyDescent="0.25">
      <c r="Y472">
        <f t="shared" si="531"/>
        <v>-9</v>
      </c>
      <c r="Z472">
        <f t="shared" si="532"/>
        <v>0</v>
      </c>
      <c r="AA472">
        <f t="shared" si="533"/>
        <v>0</v>
      </c>
    </row>
    <row r="475" spans="1:41" x14ac:dyDescent="0.25">
      <c r="A475" s="129" t="s">
        <v>92</v>
      </c>
      <c r="B475" s="129">
        <v>21</v>
      </c>
      <c r="C475" s="315"/>
      <c r="D475" s="315"/>
      <c r="E475" s="328"/>
      <c r="G475" s="129" t="s">
        <v>92</v>
      </c>
      <c r="H475" s="129">
        <v>21</v>
      </c>
      <c r="I475" s="315"/>
      <c r="J475" s="315"/>
      <c r="K475" s="316"/>
      <c r="M475" s="129" t="s">
        <v>92</v>
      </c>
      <c r="N475" s="129">
        <v>21</v>
      </c>
      <c r="O475" s="315"/>
      <c r="P475" s="315"/>
      <c r="Q475" s="316"/>
      <c r="S475" s="129" t="s">
        <v>92</v>
      </c>
      <c r="T475" s="129">
        <v>21</v>
      </c>
      <c r="U475" s="315"/>
      <c r="V475" s="315"/>
      <c r="W475" s="316"/>
      <c r="Y475" s="129" t="s">
        <v>92</v>
      </c>
      <c r="Z475" s="129">
        <v>21</v>
      </c>
      <c r="AA475" s="315"/>
      <c r="AB475" s="315"/>
      <c r="AC475" s="316"/>
      <c r="AE475" s="129" t="s">
        <v>92</v>
      </c>
      <c r="AF475" s="129">
        <v>21</v>
      </c>
      <c r="AG475" s="315"/>
      <c r="AH475" s="315"/>
      <c r="AI475" s="316"/>
      <c r="AK475" s="129" t="s">
        <v>92</v>
      </c>
      <c r="AL475" s="129">
        <v>21</v>
      </c>
      <c r="AM475" s="315"/>
      <c r="AN475" s="315"/>
      <c r="AO475" s="316"/>
    </row>
    <row r="476" spans="1:41" x14ac:dyDescent="0.25">
      <c r="A476" s="129" t="s">
        <v>91</v>
      </c>
      <c r="B476" s="129">
        <v>1</v>
      </c>
      <c r="C476" s="315"/>
      <c r="D476" s="315"/>
      <c r="E476" s="328"/>
      <c r="G476" s="129" t="s">
        <v>91</v>
      </c>
      <c r="H476" s="129">
        <v>2</v>
      </c>
      <c r="I476" s="315"/>
      <c r="J476" s="315"/>
      <c r="K476" s="316"/>
      <c r="M476" s="129" t="s">
        <v>91</v>
      </c>
      <c r="N476" s="129">
        <v>3</v>
      </c>
      <c r="O476" s="315"/>
      <c r="P476" s="315"/>
      <c r="Q476" s="316"/>
      <c r="S476" s="129" t="s">
        <v>91</v>
      </c>
      <c r="T476" s="129">
        <v>4</v>
      </c>
      <c r="U476" s="315"/>
      <c r="V476" s="315"/>
      <c r="W476" s="316"/>
      <c r="Y476" s="129" t="s">
        <v>91</v>
      </c>
      <c r="Z476" s="129">
        <v>5</v>
      </c>
      <c r="AA476" s="315"/>
      <c r="AB476" s="315"/>
      <c r="AC476" s="316"/>
      <c r="AE476" s="129" t="s">
        <v>91</v>
      </c>
      <c r="AF476" s="129">
        <v>6</v>
      </c>
      <c r="AG476" s="315"/>
      <c r="AH476" s="315"/>
      <c r="AI476" s="316"/>
      <c r="AK476" s="129" t="s">
        <v>91</v>
      </c>
      <c r="AL476" s="129">
        <v>12</v>
      </c>
      <c r="AM476" s="315"/>
      <c r="AN476" s="315"/>
      <c r="AO476" s="316"/>
    </row>
    <row r="477" spans="1:41" x14ac:dyDescent="0.25">
      <c r="C477" s="128">
        <f>+IF(B476=$AI$63,B475,IF(B476=$AJ$63,$AI$64+B475,IF(B476=$AK$63,$AI$64+$AJ$64+B475,IF(B476=$AL$63,$AI$64+$AJ$64+$AK$64+B475,IF(B476=$AM$63,$AI$64+$AJ$64+$AK$64+$AL$64+B475,IF(B476=$AN$63,$AI$64+$AJ$64+$AK$64+$AL$64+$AM$64+B475,IF(B476=$AO$63,$AI$64+$AJ$64+$AK$64+$AL$64+$AM$64+$AN$64+B475,IF(B476=$AP$63,$AI$64+$AJ$64+$AK$64+$AL$64+$AM$64+$AN$64+$AO$64+B475,IF(B476=$AQ$63,$AI$64+$AJ$64+$AK$64+$AL$64+$AM$64+$AN$64+$AO$64+$AP$64+B475,IF(B476=$AR$63,$AI$64+$AJ$64+$AK$64+$AL$64+$AM$64+$AN$64+$AO$64+$AP$64+$AQ$64+B475,IF(B476=$AS$63,$AI$64+$AJ$64+$AK$64+$AL$64+$AM$64+$AN$64+$AO$64+$AP$64+$AQ$64+$AR$64+B475,IF(B476=$AT$63,$AI$64+$AJ$64+$AK$64+$AL$64+$AM$64+$AN$64+$AO$64+$AP$64+$AQ$64+$AR$64+$AS$64+B475,"error"))))))))))))</f>
        <v>21</v>
      </c>
      <c r="D477" s="38">
        <f>23.45*SIN(RADIANS(360*((284+C477)/365)))</f>
        <v>-20.13801482156758</v>
      </c>
      <c r="E477" s="129">
        <f>+IF(ABS('Control Solar 1er Sem'!$H$4)&gt;89.9,89.9,IF(ABS('Control Solar 1er Sem'!$H$4)&lt;-89.9,-89.9,ABS('Control Solar 1er Sem'!$H$4)))</f>
        <v>29.08</v>
      </c>
      <c r="I477" s="128">
        <f>+IF(H476=$AI$63,H475,IF(H476=$AJ$63,$AI$64+H475,IF(H476=$AK$63,$AI$64+$AJ$64+H475,IF(H476=$AL$63,$AI$64+$AJ$64+$AK$64+H475,IF(H476=$AM$63,$AI$64+$AJ$64+$AK$64+$AL$64+H475,IF(H476=$AN$63,$AI$64+$AJ$64+$AK$64+$AL$64+$AM$64+H475,IF(H476=$AO$63,$AI$64+$AJ$64+$AK$64+$AL$64+$AM$64+$AN$64+H475,IF(H476=$AP$63,$AI$64+$AJ$64+$AK$64+$AL$64+$AM$64+$AN$64+$AO$64+H475,IF(H476=$AQ$63,$AI$64+$AJ$64+$AK$64+$AL$64+$AM$64+$AN$64+$AO$64+$AP$64+H475,IF(H476=$AR$63,$AI$64+$AJ$64+$AK$64+$AL$64+$AM$64+$AN$64+$AO$64+$AP$64+$AQ$64+H475,IF(H476=$AS$63,$AI$64+$AJ$64+$AK$64+$AL$64+$AM$64+$AN$64+$AO$64+$AP$64+$AQ$64+$AR$64+H475,IF(H476=$AT$63,$AI$64+$AJ$64+$AK$64+$AL$64+$AM$64+$AN$64+$AO$64+$AP$64+$AQ$64+$AR$64+$AS$64+H475,"error"))))))))))))</f>
        <v>52</v>
      </c>
      <c r="J477" s="38">
        <f>23.45*SIN(RADIANS(360*((284+I477)/365)))</f>
        <v>-11.226308550715235</v>
      </c>
      <c r="K477" s="155">
        <f>+IF(ABS('Control Solar 1er Sem'!$H$4)&gt;89.9,89.9,IF(ABS('Control Solar 1er Sem'!$H$4)&lt;-89.9,-89.9,ABS('Control Solar 1er Sem'!$H$4)))</f>
        <v>29.08</v>
      </c>
      <c r="O477" s="128">
        <f>+IF(N476=$AI$63,N475,IF(N476=$AJ$63,$AI$64+N475,IF(N476=$AK$63,$AI$64+$AJ$64+N475,IF(N476=$AL$63,$AI$64+$AJ$64+$AK$64+N475,IF(N476=$AM$63,$AI$64+$AJ$64+$AK$64+$AL$64+N475,IF(N476=$AN$63,$AI$64+$AJ$64+$AK$64+$AL$64+$AM$64+N475,IF(N476=$AO$63,$AI$64+$AJ$64+$AK$64+$AL$64+$AM$64+$AN$64+N475,IF(N476=$AP$63,$AI$64+$AJ$64+$AK$64+$AL$64+$AM$64+$AN$64+$AO$64+N475,IF(N476=$AQ$63,$AI$64+$AJ$64+$AK$64+$AL$64+$AM$64+$AN$64+$AO$64+$AP$64+N475,IF(N476=$AR$63,$AI$64+$AJ$64+$AK$64+$AL$64+$AM$64+$AN$64+$AO$64+$AP$64+$AQ$64+N475,IF(N476=$AS$63,$AI$64+$AJ$64+$AK$64+$AL$64+$AM$64+$AN$64+$AO$64+$AP$64+$AQ$64+$AR$64+N475,IF(N476=$AT$63,$AI$64+$AJ$64+$AK$64+$AL$64+$AM$64+$AN$64+$AO$64+$AP$64+$AQ$64+$AR$64+$AS$64+N475,"error"))))))))))))</f>
        <v>80</v>
      </c>
      <c r="P477" s="38">
        <f>23.45*SIN(RADIANS(360*((284+O477)/365)))</f>
        <v>-0.40365320185431652</v>
      </c>
      <c r="Q477" s="155">
        <f>+IF(ABS('Control Solar 1er Sem'!$H$4)&gt;89.9,89.9,IF(ABS('Control Solar 1er Sem'!$H$4)&lt;-89.9,-89.9,ABS('Control Solar 1er Sem'!$H$4)))</f>
        <v>29.08</v>
      </c>
      <c r="U477" s="128">
        <f>+IF(T476=$AI$63,T475,IF(T476=$AJ$63,$AI$64+T475,IF(T476=$AK$63,$AI$64+$AJ$64+T475,IF(T476=$AL$63,$AI$64+$AJ$64+$AK$64+T475,IF(T476=$AM$63,$AI$64+$AJ$64+$AK$64+$AL$64+T475,IF(T476=$AN$63,$AI$64+$AJ$64+$AK$64+$AL$64+$AM$64+T475,IF(T476=$AO$63,$AI$64+$AJ$64+$AK$64+$AL$64+$AM$64+$AN$64+T475,IF(T476=$AP$63,$AI$64+$AJ$64+$AK$64+$AL$64+$AM$64+$AN$64+$AO$64+T475,IF(T476=$AQ$63,$AI$64+$AJ$64+$AK$64+$AL$64+$AM$64+$AN$64+$AO$64+$AP$64+T475,IF(T476=$AR$63,$AI$64+$AJ$64+$AK$64+$AL$64+$AM$64+$AN$64+$AO$64+$AP$64+$AQ$64+T475,IF(T476=$AS$63,$AI$64+$AJ$64+$AK$64+$AL$64+$AM$64+$AN$64+$AO$64+$AP$64+$AQ$64+$AR$64+T475,IF(T476=$AT$63,$AI$64+$AJ$64+$AK$64+$AL$64+$AM$64+$AN$64+$AO$64+$AP$64+$AQ$64+$AR$64+$AS$64+T475,"error"))))))))))))</f>
        <v>111</v>
      </c>
      <c r="V477" s="38">
        <f>23.45*SIN(RADIANS(360*((284+U477)/365)))</f>
        <v>11.57903665125146</v>
      </c>
      <c r="W477" s="155">
        <f>+IF(ABS('Control Solar 1er Sem'!$H$4)&gt;89.9,89.9,IF(ABS('Control Solar 1er Sem'!$H$4)&lt;-89.9,-89.9,ABS('Control Solar 1er Sem'!$H$4)))</f>
        <v>29.08</v>
      </c>
      <c r="AA477" s="128">
        <f>+IF(Z476=$AI$63,Z475,IF(Z476=$AJ$63,$AI$64+Z475,IF(Z476=$AK$63,$AI$64+$AJ$64+Z475,IF(Z476=$AL$63,$AI$64+$AJ$64+$AK$64+Z475,IF(Z476=$AM$63,$AI$64+$AJ$64+$AK$64+$AL$64+Z475,IF(Z476=$AN$63,$AI$64+$AJ$64+$AK$64+$AL$64+$AM$64+Z475,IF(Z476=$AO$63,$AI$64+$AJ$64+$AK$64+$AL$64+$AM$64+$AN$64+Z475,IF(Z476=$AP$63,$AI$64+$AJ$64+$AK$64+$AL$64+$AM$64+$AN$64+$AO$64+Z475,IF(Z476=$AQ$63,$AI$64+$AJ$64+$AK$64+$AL$64+$AM$64+$AN$64+$AO$64+$AP$64+Z475,IF(Z476=$AR$63,$AI$64+$AJ$64+$AK$64+$AL$64+$AM$64+$AN$64+$AO$64+$AP$64+$AQ$64+Z475,IF(Z476=$AS$63,$AI$64+$AJ$64+$AK$64+$AL$64+$AM$64+$AN$64+$AO$64+$AP$64+$AQ$64+$AR$64+Z475,IF(Z476=$AT$63,$AI$64+$AJ$64+$AK$64+$AL$64+$AM$64+$AN$64+$AO$64+$AP$64+$AQ$64+$AR$64+$AS$64+Z475,"error"))))))))))))</f>
        <v>141</v>
      </c>
      <c r="AB477" s="38">
        <f>23.45*SIN(RADIANS(360*((284+AA477)/365)))</f>
        <v>20.138014821567584</v>
      </c>
      <c r="AC477" s="155">
        <f>+IF(ABS('Control Solar 1er Sem'!$H$4)&gt;89.9,89.9,IF(ABS('Control Solar 1er Sem'!$H$4)&lt;-89.9,-89.9,ABS('Control Solar 1er Sem'!$H$4)))</f>
        <v>29.08</v>
      </c>
      <c r="AG477" s="128">
        <f>+IF(AF476=$AI$63,AF475,IF(AF476=$AJ$63,$AI$64+AF475,IF(AF476=$AK$63,$AI$64+$AJ$64+AF475,IF(AF476=$AL$63,$AI$64+$AJ$64+$AK$64+AF475,IF(AF476=$AM$63,$AI$64+$AJ$64+$AK$64+$AL$64+AF475,IF(AF476=$AN$63,$AI$64+$AJ$64+$AK$64+$AL$64+$AM$64+AF475,IF(AF476=$AO$63,$AI$64+$AJ$64+$AK$64+$AL$64+$AM$64+$AN$64+AF475,IF(AF476=$AP$63,$AI$64+$AJ$64+$AK$64+$AL$64+$AM$64+$AN$64+$AO$64+AF475,IF(AF476=$AQ$63,$AI$64+$AJ$64+$AK$64+$AL$64+$AM$64+$AN$64+$AO$64+$AP$64+AF475,IF(AF476=$AR$63,$AI$64+$AJ$64+$AK$64+$AL$64+$AM$64+$AN$64+$AO$64+$AP$64+$AQ$64+AF475,IF(AF476=$AS$63,$AI$64+$AJ$64+$AK$64+$AL$64+$AM$64+$AN$64+$AO$64+$AP$64+$AQ$64+$AR$64+AF475,IF(AF476=$AT$63,$AI$64+$AJ$64+$AK$64+$AL$64+$AM$64+$AN$64+$AO$64+$AP$64+$AQ$64+$AR$64+$AS$64+AF475,"error"))))))))))))</f>
        <v>172</v>
      </c>
      <c r="AH477" s="38">
        <f>23.45*SIN(RADIANS(360*((284+AG477)/365)))</f>
        <v>23.449782846813658</v>
      </c>
      <c r="AI477" s="155">
        <f>+IF(ABS('Control Solar 1er Sem'!$H$4)&gt;89.9,89.9,IF(ABS('Control Solar 1er Sem'!$H$4)&lt;-89.9,-89.9,ABS('Control Solar 1er Sem'!$H$4)))</f>
        <v>29.08</v>
      </c>
      <c r="AM477" s="128">
        <f>+IF(AL476=$AI$63,AL475,IF(AL476=$AJ$63,$AI$64+AL475,IF(AL476=$AK$63,$AI$64+$AJ$64+AL475,IF(AL476=$AL$63,$AI$64+$AJ$64+$AK$64+AL475,IF(AL476=$AM$63,$AI$64+$AJ$64+$AK$64+$AL$64+AL475,IF(AL476=$AN$63,$AI$64+$AJ$64+$AK$64+$AL$64+$AM$64+AL475,IF(AL476=$AO$63,$AI$64+$AJ$64+$AK$64+$AL$64+$AM$64+$AN$64+AL475,IF(AL476=$AP$63,$AI$64+$AJ$64+$AK$64+$AL$64+$AM$64+$AN$64+$AO$64+AL475,IF(AL476=$AQ$63,$AI$64+$AJ$64+$AK$64+$AL$64+$AM$64+$AN$64+$AO$64+$AP$64+AL475,IF(AL476=$AR$63,$AI$64+$AJ$64+$AK$64+$AL$64+$AM$64+$AN$64+$AO$64+$AP$64+$AQ$64+AL475,IF(AL476=$AS$63,$AI$64+$AJ$64+$AK$64+$AL$64+$AM$64+$AN$64+$AO$64+$AP$64+$AQ$64+$AR$64+AL475,IF(AL476=$AT$63,$AI$64+$AJ$64+$AK$64+$AL$64+$AM$64+$AN$64+$AO$64+$AP$64+$AQ$64+$AR$64+$AS$64+AL475,"error"))))))))))))</f>
        <v>355</v>
      </c>
      <c r="AN477" s="38">
        <f>23.45*SIN(RADIANS(360*((284+AM477)/365)))</f>
        <v>-23.449782846813658</v>
      </c>
      <c r="AO477" s="155">
        <f>+IF(ABS('Control Solar 1er Sem'!$H$4)&gt;89.9,89.9,IF(ABS('Control Solar 1er Sem'!$H$4)&lt;-89.9,-89.9,ABS('Control Solar 1er Sem'!$H$4)))</f>
        <v>29.08</v>
      </c>
    </row>
    <row r="478" spans="1:41" x14ac:dyDescent="0.25">
      <c r="B478" s="317" t="s">
        <v>90</v>
      </c>
      <c r="C478" s="315"/>
      <c r="D478" s="315"/>
      <c r="E478" s="315"/>
      <c r="H478" s="317" t="s">
        <v>90</v>
      </c>
      <c r="I478" s="315"/>
      <c r="J478" s="315"/>
      <c r="K478" s="315"/>
      <c r="N478" s="317" t="s">
        <v>90</v>
      </c>
      <c r="O478" s="315"/>
      <c r="P478" s="315"/>
      <c r="Q478" s="315"/>
      <c r="T478" s="317" t="s">
        <v>90</v>
      </c>
      <c r="U478" s="315"/>
      <c r="V478" s="315"/>
      <c r="W478" s="315"/>
      <c r="X478" s="319"/>
      <c r="Z478" s="317" t="s">
        <v>90</v>
      </c>
      <c r="AA478" s="315"/>
      <c r="AB478" s="315"/>
      <c r="AC478" s="315"/>
      <c r="AF478" s="317" t="s">
        <v>90</v>
      </c>
      <c r="AG478" s="315"/>
      <c r="AH478" s="315"/>
      <c r="AI478" s="315"/>
      <c r="AJ478" s="319"/>
      <c r="AL478" s="317" t="s">
        <v>90</v>
      </c>
      <c r="AM478" s="315"/>
      <c r="AN478" s="315"/>
      <c r="AO478" s="315"/>
    </row>
    <row r="479" spans="1:41" x14ac:dyDescent="0.25">
      <c r="B479" s="318"/>
      <c r="C479" s="315"/>
      <c r="D479" s="315"/>
      <c r="E479" s="315"/>
      <c r="H479" s="318"/>
      <c r="I479" s="315"/>
      <c r="J479" s="315"/>
      <c r="K479" s="315"/>
      <c r="N479" s="318"/>
      <c r="O479" s="315"/>
      <c r="P479" s="315"/>
      <c r="Q479" s="315"/>
      <c r="T479" s="318"/>
      <c r="U479" s="315"/>
      <c r="V479" s="315"/>
      <c r="W479" s="315"/>
      <c r="X479" s="319"/>
      <c r="Z479" s="318"/>
      <c r="AA479" s="315"/>
      <c r="AB479" s="315"/>
      <c r="AC479" s="315"/>
      <c r="AF479" s="318"/>
      <c r="AG479" s="315"/>
      <c r="AH479" s="315"/>
      <c r="AI479" s="315"/>
      <c r="AJ479" s="319"/>
      <c r="AL479" s="318"/>
      <c r="AM479" s="315"/>
      <c r="AN479" s="315"/>
      <c r="AO479" s="315"/>
    </row>
    <row r="480" spans="1:41" x14ac:dyDescent="0.25">
      <c r="B480" s="39">
        <v>4.1666666666666664E-2</v>
      </c>
      <c r="C480" s="38">
        <v>165</v>
      </c>
      <c r="D480" s="38">
        <f t="shared" ref="D480:D511" si="534">IF((DEGREES(ASIN(COS(RADIANS($E$477))*COS(RADIANS($D$477))*COS(RADIANS(C480))+SIN(RADIANS($E$477))*SIN(RADIANS($D$477)))))&lt;0,0,DEGREES(ASIN(COS(RADIANS($E$477))*COS(RADIANS($D$477))*COS(RADIANS(C480))+SIN(RADIANS($E$477))*SIN(RADIANS($D$477)))))</f>
        <v>0</v>
      </c>
      <c r="E480" s="38">
        <f t="shared" ref="E480:E523" si="535">180-DEGREES(ACOS((((SIN(RADIANS(D480)))*SIN(RADIANS($E$477)))-SIN(RADIANS($D$477)))/((COS(RADIANS(D480)))*COS(RADIANS($E$477)))))</f>
        <v>113.20002416704182</v>
      </c>
      <c r="H480" s="39">
        <v>4.1666666666666664E-2</v>
      </c>
      <c r="I480" s="38">
        <v>165</v>
      </c>
      <c r="J480" s="38">
        <f t="shared" ref="J480:J511" si="536">IF((DEGREES(ASIN(COS(RADIANS($K$477))*COS(RADIANS($J$477))*COS(RADIANS(I480))+SIN(RADIANS($K$477))*SIN(RADIANS($J$477)))))&lt;0,0,DEGREES(ASIN(COS(RADIANS($K$477))*COS(RADIANS($J$477))*COS(RADIANS(I480))+SIN(RADIANS($K$477))*SIN(RADIANS($J$477)))))</f>
        <v>0</v>
      </c>
      <c r="K480" s="38">
        <f t="shared" ref="K480:K523" si="537">180-DEGREES(ACOS((((SIN(RADIANS(J480)))*SIN(RADIANS($K$477)))-SIN(RADIANS($J$477)))/((COS(RADIANS(J480)))*COS(RADIANS($K$477)))))</f>
        <v>102.87155961240364</v>
      </c>
      <c r="N480" s="39">
        <v>4.1666666666666664E-2</v>
      </c>
      <c r="O480" s="38">
        <v>165</v>
      </c>
      <c r="P480" s="38">
        <f t="shared" ref="P480:P511" si="538">IF((DEGREES(ASIN(COS(RADIANS($Q$477))*COS(RADIANS($P$477))*COS(RADIANS(O480))+SIN(RADIANS($Q$477))*SIN(RADIANS($P$477)))))&lt;0,0,DEGREES(ASIN(COS(RADIANS($Q$477))*COS(RADIANS($P$477))*COS(RADIANS(O480))+SIN(RADIANS($Q$477))*SIN(RADIANS($P$477)))))</f>
        <v>0</v>
      </c>
      <c r="Q480" s="38">
        <f t="shared" ref="Q480:Q523" si="539">180-DEGREES(ACOS((((SIN(RADIANS(P480)))*SIN(RADIANS($Q$477)))-SIN(RADIANS($P$477)))/((COS(RADIANS(P480)))*COS(RADIANS($Q$477)))))</f>
        <v>90.461877636759965</v>
      </c>
      <c r="T480" s="39">
        <v>4.1666666666666664E-2</v>
      </c>
      <c r="U480" s="38">
        <v>165</v>
      </c>
      <c r="V480" s="38">
        <f t="shared" ref="V480:V511" si="540">IF((DEGREES(ASIN(COS(RADIANS($W$477))*COS(RADIANS($V$477))*COS(RADIANS(U480))+SIN(RADIANS($W$477))*SIN(RADIANS($V$477)))))&lt;0,0,DEGREES(ASIN(COS(RADIANS($W$477))*COS(RADIANS($V$477))*COS(RADIANS(U480))+SIN(RADIANS($W$477))*SIN(RADIANS($V$477)))))</f>
        <v>0</v>
      </c>
      <c r="W480" s="38">
        <f t="shared" ref="W480:W523" si="541">180-DEGREES(ACOS((((SIN(RADIANS(V480)))*SIN(RADIANS($W$477)))-SIN(RADIANS($V$477)))/((COS(RADIANS(V480)))*COS(RADIANS($W$477)))))</f>
        <v>76.722271240110956</v>
      </c>
      <c r="Z480" s="39">
        <v>4.1666666666666664E-2</v>
      </c>
      <c r="AA480" s="38">
        <v>165</v>
      </c>
      <c r="AB480" s="38">
        <f t="shared" ref="AB480:AB511" si="542">IF((DEGREES(ASIN(COS(RADIANS($AC$477))*COS(RADIANS($AB$477))*COS(RADIANS(AA480))+SIN(RADIANS($AC$477))*SIN(RADIANS($AB$477)))))&lt;0,0,DEGREES(ASIN(COS(RADIANS($AC$477))*COS(RADIANS($AB$477))*COS(RADIANS(AA480))+SIN(RADIANS($AC$477))*SIN(RADIANS($AB$477)))))</f>
        <v>0</v>
      </c>
      <c r="AC480" s="38">
        <f t="shared" ref="AC480:AC523" si="543">180-DEGREES(ACOS((((SIN(RADIANS(AB480)))*SIN(RADIANS($AC$477)))-SIN(RADIANS($AB$477)))/((COS(RADIANS(AB480)))*COS(RADIANS($AC$477)))))</f>
        <v>66.799975832958168</v>
      </c>
      <c r="AF480" s="39">
        <v>4.1666666666666664E-2</v>
      </c>
      <c r="AG480" s="38">
        <v>165</v>
      </c>
      <c r="AH480" s="38">
        <f t="shared" ref="AH480:AH511" si="544">IF((DEGREES(ASIN(COS(RADIANS($AI$477))*COS(RADIANS($AH$477))*COS(RADIANS(AG480))+SIN(RADIANS($AI$477))*SIN(RADIANS($AH$477)))))&lt;0,0,DEGREES(ASIN(COS(RADIANS($AI$477))*COS(RADIANS($AH$477))*COS(RADIANS(AG480))+SIN(RADIANS($AI$477))*SIN(RADIANS($AH$477)))))</f>
        <v>0</v>
      </c>
      <c r="AI480" s="38">
        <f t="shared" ref="AI480:AI523" si="545">180-DEGREES(ACOS((((SIN(RADIANS(AH480)))*SIN(RADIANS($AI$477)))-SIN(RADIANS($AH$477)))/((COS(RADIANS(AH480)))*COS(RADIANS($AI$477)))))</f>
        <v>62.9128608915928</v>
      </c>
      <c r="AL480" s="39">
        <v>4.1666666666666664E-2</v>
      </c>
      <c r="AM480" s="38">
        <v>165</v>
      </c>
      <c r="AN480" s="38">
        <f t="shared" ref="AN480:AN511" si="546">IF((DEGREES(ASIN(COS(RADIANS($AO$477))*COS(RADIANS($AN$477))*COS(RADIANS(AM480))+SIN(RADIANS($AO$477))*SIN(RADIANS($AN$477)))))&lt;0,0,DEGREES(ASIN(COS(RADIANS($AO$477))*COS(RADIANS($AN$477))*COS(RADIANS(AM480))+SIN(RADIANS($AO$477))*SIN(RADIANS($AN$477)))))</f>
        <v>0</v>
      </c>
      <c r="AO480" s="38">
        <f t="shared" ref="AO480:AO523" si="547">180-DEGREES(ACOS((((SIN(RADIANS(AN480)))*SIN(RADIANS($AO$477)))-SIN(RADIANS($AN$477)))/((COS(RADIANS(AN480)))*COS(RADIANS($AO$477)))))</f>
        <v>117.0871391084072</v>
      </c>
    </row>
    <row r="481" spans="1:41" x14ac:dyDescent="0.25">
      <c r="B481" s="39">
        <v>5.2083333333333336E-2</v>
      </c>
      <c r="C481" s="38">
        <f t="shared" ref="C481:C524" si="548">+C480-3.75</f>
        <v>161.25</v>
      </c>
      <c r="D481" s="38">
        <f t="shared" si="534"/>
        <v>0</v>
      </c>
      <c r="E481" s="38">
        <f t="shared" si="535"/>
        <v>113.20002416704182</v>
      </c>
      <c r="H481" s="39">
        <v>5.2083333333333336E-2</v>
      </c>
      <c r="I481" s="38">
        <f t="shared" ref="I481:I524" si="549">+I480-3.75</f>
        <v>161.25</v>
      </c>
      <c r="J481" s="38">
        <f t="shared" si="536"/>
        <v>0</v>
      </c>
      <c r="K481" s="38">
        <f t="shared" si="537"/>
        <v>102.87155961240364</v>
      </c>
      <c r="N481" s="39">
        <v>5.2083333333333336E-2</v>
      </c>
      <c r="O481" s="38">
        <f t="shared" ref="O481:O524" si="550">+O480-3.75</f>
        <v>161.25</v>
      </c>
      <c r="P481" s="38">
        <f t="shared" si="538"/>
        <v>0</v>
      </c>
      <c r="Q481" s="38">
        <f t="shared" si="539"/>
        <v>90.461877636759965</v>
      </c>
      <c r="T481" s="39">
        <v>5.2083333333333336E-2</v>
      </c>
      <c r="U481" s="38">
        <f t="shared" ref="U481:U524" si="551">+U480-3.75</f>
        <v>161.25</v>
      </c>
      <c r="V481" s="38">
        <f t="shared" si="540"/>
        <v>0</v>
      </c>
      <c r="W481" s="38">
        <f t="shared" si="541"/>
        <v>76.722271240110956</v>
      </c>
      <c r="Z481" s="39">
        <v>5.2083333333333336E-2</v>
      </c>
      <c r="AA481" s="38">
        <f t="shared" ref="AA481:AA524" si="552">+AA480-3.75</f>
        <v>161.25</v>
      </c>
      <c r="AB481" s="38">
        <f t="shared" si="542"/>
        <v>0</v>
      </c>
      <c r="AC481" s="38">
        <f t="shared" si="543"/>
        <v>66.799975832958168</v>
      </c>
      <c r="AF481" s="39">
        <v>5.2083333333333336E-2</v>
      </c>
      <c r="AG481" s="38">
        <f t="shared" ref="AG481:AG524" si="553">+AG480-3.75</f>
        <v>161.25</v>
      </c>
      <c r="AH481" s="38">
        <f t="shared" si="544"/>
        <v>0</v>
      </c>
      <c r="AI481" s="38">
        <f t="shared" si="545"/>
        <v>62.9128608915928</v>
      </c>
      <c r="AL481" s="39">
        <v>5.2083333333333336E-2</v>
      </c>
      <c r="AM481" s="38">
        <f t="shared" ref="AM481:AM524" si="554">+AM480-3.75</f>
        <v>161.25</v>
      </c>
      <c r="AN481" s="38">
        <f t="shared" si="546"/>
        <v>0</v>
      </c>
      <c r="AO481" s="38">
        <f t="shared" si="547"/>
        <v>117.0871391084072</v>
      </c>
    </row>
    <row r="482" spans="1:41" x14ac:dyDescent="0.25">
      <c r="B482" s="39">
        <v>6.25E-2</v>
      </c>
      <c r="C482" s="38">
        <f t="shared" si="548"/>
        <v>157.5</v>
      </c>
      <c r="D482" s="38">
        <f t="shared" si="534"/>
        <v>0</v>
      </c>
      <c r="E482" s="38">
        <f t="shared" si="535"/>
        <v>113.20002416704182</v>
      </c>
      <c r="H482" s="39">
        <v>6.25E-2</v>
      </c>
      <c r="I482" s="38">
        <f t="shared" si="549"/>
        <v>157.5</v>
      </c>
      <c r="J482" s="38">
        <f t="shared" si="536"/>
        <v>0</v>
      </c>
      <c r="K482" s="38">
        <f t="shared" si="537"/>
        <v>102.87155961240364</v>
      </c>
      <c r="N482" s="39">
        <v>6.25E-2</v>
      </c>
      <c r="O482" s="38">
        <f t="shared" si="550"/>
        <v>157.5</v>
      </c>
      <c r="P482" s="38">
        <f t="shared" si="538"/>
        <v>0</v>
      </c>
      <c r="Q482" s="38">
        <f t="shared" si="539"/>
        <v>90.461877636759965</v>
      </c>
      <c r="T482" s="39">
        <v>6.25E-2</v>
      </c>
      <c r="U482" s="38">
        <f t="shared" si="551"/>
        <v>157.5</v>
      </c>
      <c r="V482" s="38">
        <f t="shared" si="540"/>
        <v>0</v>
      </c>
      <c r="W482" s="38">
        <f t="shared" si="541"/>
        <v>76.722271240110956</v>
      </c>
      <c r="Z482" s="39">
        <v>6.25E-2</v>
      </c>
      <c r="AA482" s="38">
        <f t="shared" si="552"/>
        <v>157.5</v>
      </c>
      <c r="AB482" s="38">
        <f t="shared" si="542"/>
        <v>0</v>
      </c>
      <c r="AC482" s="38">
        <f t="shared" si="543"/>
        <v>66.799975832958168</v>
      </c>
      <c r="AF482" s="39">
        <v>6.25E-2</v>
      </c>
      <c r="AG482" s="38">
        <f t="shared" si="553"/>
        <v>157.5</v>
      </c>
      <c r="AH482" s="38">
        <f t="shared" si="544"/>
        <v>0</v>
      </c>
      <c r="AI482" s="38">
        <f t="shared" si="545"/>
        <v>62.9128608915928</v>
      </c>
      <c r="AL482" s="39">
        <v>6.25E-2</v>
      </c>
      <c r="AM482" s="38">
        <f t="shared" si="554"/>
        <v>157.5</v>
      </c>
      <c r="AN482" s="38">
        <f t="shared" si="546"/>
        <v>0</v>
      </c>
      <c r="AO482" s="38">
        <f t="shared" si="547"/>
        <v>117.0871391084072</v>
      </c>
    </row>
    <row r="483" spans="1:41" x14ac:dyDescent="0.25">
      <c r="B483" s="39">
        <v>7.2916666666666699E-2</v>
      </c>
      <c r="C483" s="38">
        <f t="shared" si="548"/>
        <v>153.75</v>
      </c>
      <c r="D483" s="38">
        <f t="shared" si="534"/>
        <v>0</v>
      </c>
      <c r="E483" s="38">
        <f t="shared" si="535"/>
        <v>113.20002416704182</v>
      </c>
      <c r="H483" s="39">
        <v>7.2916666666666699E-2</v>
      </c>
      <c r="I483" s="38">
        <f t="shared" si="549"/>
        <v>153.75</v>
      </c>
      <c r="J483" s="38">
        <f t="shared" si="536"/>
        <v>0</v>
      </c>
      <c r="K483" s="38">
        <f t="shared" si="537"/>
        <v>102.87155961240364</v>
      </c>
      <c r="N483" s="39">
        <v>7.2916666666666699E-2</v>
      </c>
      <c r="O483" s="38">
        <f t="shared" si="550"/>
        <v>153.75</v>
      </c>
      <c r="P483" s="38">
        <f t="shared" si="538"/>
        <v>0</v>
      </c>
      <c r="Q483" s="38">
        <f t="shared" si="539"/>
        <v>90.461877636759965</v>
      </c>
      <c r="T483" s="39">
        <v>7.2916666666666699E-2</v>
      </c>
      <c r="U483" s="38">
        <f t="shared" si="551"/>
        <v>153.75</v>
      </c>
      <c r="V483" s="38">
        <f t="shared" si="540"/>
        <v>0</v>
      </c>
      <c r="W483" s="38">
        <f t="shared" si="541"/>
        <v>76.722271240110956</v>
      </c>
      <c r="Z483" s="39">
        <v>7.2916666666666699E-2</v>
      </c>
      <c r="AA483" s="38">
        <f t="shared" si="552"/>
        <v>153.75</v>
      </c>
      <c r="AB483" s="38">
        <f t="shared" si="542"/>
        <v>0</v>
      </c>
      <c r="AC483" s="38">
        <f t="shared" si="543"/>
        <v>66.799975832958168</v>
      </c>
      <c r="AF483" s="39">
        <v>7.2916666666666699E-2</v>
      </c>
      <c r="AG483" s="38">
        <f t="shared" si="553"/>
        <v>153.75</v>
      </c>
      <c r="AH483" s="38">
        <f t="shared" si="544"/>
        <v>0</v>
      </c>
      <c r="AI483" s="38">
        <f t="shared" si="545"/>
        <v>62.9128608915928</v>
      </c>
      <c r="AL483" s="39">
        <v>7.2916666666666699E-2</v>
      </c>
      <c r="AM483" s="38">
        <f t="shared" si="554"/>
        <v>153.75</v>
      </c>
      <c r="AN483" s="38">
        <f t="shared" si="546"/>
        <v>0</v>
      </c>
      <c r="AO483" s="38">
        <f t="shared" si="547"/>
        <v>117.0871391084072</v>
      </c>
    </row>
    <row r="484" spans="1:41" x14ac:dyDescent="0.25">
      <c r="A484" s="50"/>
      <c r="B484" s="39">
        <v>8.3333333333333301E-2</v>
      </c>
      <c r="C484" s="38">
        <f t="shared" si="548"/>
        <v>150</v>
      </c>
      <c r="D484" s="38">
        <f t="shared" si="534"/>
        <v>0</v>
      </c>
      <c r="E484" s="38">
        <f t="shared" si="535"/>
        <v>113.20002416704182</v>
      </c>
      <c r="H484" s="39">
        <v>8.3333333333333301E-2</v>
      </c>
      <c r="I484" s="38">
        <f t="shared" si="549"/>
        <v>150</v>
      </c>
      <c r="J484" s="38">
        <f t="shared" si="536"/>
        <v>0</v>
      </c>
      <c r="K484" s="38">
        <f t="shared" si="537"/>
        <v>102.87155961240364</v>
      </c>
      <c r="N484" s="39">
        <v>8.3333333333333301E-2</v>
      </c>
      <c r="O484" s="38">
        <f t="shared" si="550"/>
        <v>150</v>
      </c>
      <c r="P484" s="38">
        <f t="shared" si="538"/>
        <v>0</v>
      </c>
      <c r="Q484" s="38">
        <f t="shared" si="539"/>
        <v>90.461877636759965</v>
      </c>
      <c r="T484" s="39">
        <v>8.3333333333333301E-2</v>
      </c>
      <c r="U484" s="38">
        <f t="shared" si="551"/>
        <v>150</v>
      </c>
      <c r="V484" s="38">
        <f t="shared" si="540"/>
        <v>0</v>
      </c>
      <c r="W484" s="38">
        <f t="shared" si="541"/>
        <v>76.722271240110956</v>
      </c>
      <c r="Z484" s="39">
        <v>8.3333333333333301E-2</v>
      </c>
      <c r="AA484" s="38">
        <f t="shared" si="552"/>
        <v>150</v>
      </c>
      <c r="AB484" s="38">
        <f t="shared" si="542"/>
        <v>0</v>
      </c>
      <c r="AC484" s="38">
        <f t="shared" si="543"/>
        <v>66.799975832958168</v>
      </c>
      <c r="AF484" s="39">
        <v>8.3333333333333301E-2</v>
      </c>
      <c r="AG484" s="38">
        <f t="shared" si="553"/>
        <v>150</v>
      </c>
      <c r="AH484" s="38">
        <f t="shared" si="544"/>
        <v>0</v>
      </c>
      <c r="AI484" s="38">
        <f t="shared" si="545"/>
        <v>62.9128608915928</v>
      </c>
      <c r="AL484" s="39">
        <v>8.3333333333333301E-2</v>
      </c>
      <c r="AM484" s="38">
        <f t="shared" si="554"/>
        <v>150</v>
      </c>
      <c r="AN484" s="38">
        <f t="shared" si="546"/>
        <v>0</v>
      </c>
      <c r="AO484" s="38">
        <f t="shared" si="547"/>
        <v>117.0871391084072</v>
      </c>
    </row>
    <row r="485" spans="1:41" x14ac:dyDescent="0.25">
      <c r="A485" s="50"/>
      <c r="B485" s="39">
        <v>9.3750000000000097E-2</v>
      </c>
      <c r="C485" s="38">
        <f t="shared" si="548"/>
        <v>146.25</v>
      </c>
      <c r="D485" s="38">
        <f t="shared" si="534"/>
        <v>0</v>
      </c>
      <c r="E485" s="38">
        <f t="shared" si="535"/>
        <v>113.20002416704182</v>
      </c>
      <c r="H485" s="39">
        <v>9.3750000000000097E-2</v>
      </c>
      <c r="I485" s="38">
        <f t="shared" si="549"/>
        <v>146.25</v>
      </c>
      <c r="J485" s="38">
        <f t="shared" si="536"/>
        <v>0</v>
      </c>
      <c r="K485" s="38">
        <f t="shared" si="537"/>
        <v>102.87155961240364</v>
      </c>
      <c r="N485" s="39">
        <v>9.3750000000000097E-2</v>
      </c>
      <c r="O485" s="38">
        <f t="shared" si="550"/>
        <v>146.25</v>
      </c>
      <c r="P485" s="38">
        <f t="shared" si="538"/>
        <v>0</v>
      </c>
      <c r="Q485" s="38">
        <f t="shared" si="539"/>
        <v>90.461877636759965</v>
      </c>
      <c r="T485" s="39">
        <v>9.3750000000000097E-2</v>
      </c>
      <c r="U485" s="38">
        <f t="shared" si="551"/>
        <v>146.25</v>
      </c>
      <c r="V485" s="38">
        <f t="shared" si="540"/>
        <v>0</v>
      </c>
      <c r="W485" s="38">
        <f t="shared" si="541"/>
        <v>76.722271240110956</v>
      </c>
      <c r="Z485" s="39">
        <v>9.3750000000000097E-2</v>
      </c>
      <c r="AA485" s="38">
        <f t="shared" si="552"/>
        <v>146.25</v>
      </c>
      <c r="AB485" s="38">
        <f t="shared" si="542"/>
        <v>0</v>
      </c>
      <c r="AC485" s="38">
        <f t="shared" si="543"/>
        <v>66.799975832958168</v>
      </c>
      <c r="AF485" s="39">
        <v>9.3750000000000097E-2</v>
      </c>
      <c r="AG485" s="38">
        <f t="shared" si="553"/>
        <v>146.25</v>
      </c>
      <c r="AH485" s="38">
        <f t="shared" si="544"/>
        <v>0</v>
      </c>
      <c r="AI485" s="38">
        <f t="shared" si="545"/>
        <v>62.9128608915928</v>
      </c>
      <c r="AL485" s="39">
        <v>9.3750000000000097E-2</v>
      </c>
      <c r="AM485" s="38">
        <f t="shared" si="554"/>
        <v>146.25</v>
      </c>
      <c r="AN485" s="38">
        <f t="shared" si="546"/>
        <v>0</v>
      </c>
      <c r="AO485" s="38">
        <f t="shared" si="547"/>
        <v>117.0871391084072</v>
      </c>
    </row>
    <row r="486" spans="1:41" x14ac:dyDescent="0.25">
      <c r="A486" s="50"/>
      <c r="B486" s="39">
        <v>0.104166666666667</v>
      </c>
      <c r="C486" s="38">
        <f t="shared" si="548"/>
        <v>142.5</v>
      </c>
      <c r="D486" s="38">
        <f t="shared" si="534"/>
        <v>0</v>
      </c>
      <c r="E486" s="38">
        <f t="shared" si="535"/>
        <v>113.20002416704182</v>
      </c>
      <c r="H486" s="39">
        <v>0.104166666666667</v>
      </c>
      <c r="I486" s="38">
        <f t="shared" si="549"/>
        <v>142.5</v>
      </c>
      <c r="J486" s="38">
        <f t="shared" si="536"/>
        <v>0</v>
      </c>
      <c r="K486" s="38">
        <f t="shared" si="537"/>
        <v>102.87155961240364</v>
      </c>
      <c r="N486" s="39">
        <v>0.104166666666667</v>
      </c>
      <c r="O486" s="38">
        <f t="shared" si="550"/>
        <v>142.5</v>
      </c>
      <c r="P486" s="38">
        <f t="shared" si="538"/>
        <v>0</v>
      </c>
      <c r="Q486" s="38">
        <f t="shared" si="539"/>
        <v>90.461877636759965</v>
      </c>
      <c r="T486" s="39">
        <v>0.104166666666667</v>
      </c>
      <c r="U486" s="38">
        <f t="shared" si="551"/>
        <v>142.5</v>
      </c>
      <c r="V486" s="38">
        <f t="shared" si="540"/>
        <v>0</v>
      </c>
      <c r="W486" s="38">
        <f t="shared" si="541"/>
        <v>76.722271240110956</v>
      </c>
      <c r="Z486" s="39">
        <v>0.104166666666667</v>
      </c>
      <c r="AA486" s="38">
        <f t="shared" si="552"/>
        <v>142.5</v>
      </c>
      <c r="AB486" s="38">
        <f t="shared" si="542"/>
        <v>0</v>
      </c>
      <c r="AC486" s="38">
        <f t="shared" si="543"/>
        <v>66.799975832958168</v>
      </c>
      <c r="AF486" s="39">
        <v>0.104166666666667</v>
      </c>
      <c r="AG486" s="38">
        <f t="shared" si="553"/>
        <v>142.5</v>
      </c>
      <c r="AH486" s="38">
        <f t="shared" si="544"/>
        <v>0</v>
      </c>
      <c r="AI486" s="38">
        <f t="shared" si="545"/>
        <v>62.9128608915928</v>
      </c>
      <c r="AL486" s="39">
        <v>0.104166666666667</v>
      </c>
      <c r="AM486" s="38">
        <f t="shared" si="554"/>
        <v>142.5</v>
      </c>
      <c r="AN486" s="38">
        <f t="shared" si="546"/>
        <v>0</v>
      </c>
      <c r="AO486" s="38">
        <f t="shared" si="547"/>
        <v>117.0871391084072</v>
      </c>
    </row>
    <row r="487" spans="1:41" x14ac:dyDescent="0.25">
      <c r="A487" s="50"/>
      <c r="B487" s="39">
        <v>0.11458333333333399</v>
      </c>
      <c r="C487" s="38">
        <f t="shared" si="548"/>
        <v>138.75</v>
      </c>
      <c r="D487" s="38">
        <f t="shared" si="534"/>
        <v>0</v>
      </c>
      <c r="E487" s="38">
        <f t="shared" si="535"/>
        <v>113.20002416704182</v>
      </c>
      <c r="H487" s="39">
        <v>0.11458333333333399</v>
      </c>
      <c r="I487" s="38">
        <f t="shared" si="549"/>
        <v>138.75</v>
      </c>
      <c r="J487" s="38">
        <f t="shared" si="536"/>
        <v>0</v>
      </c>
      <c r="K487" s="38">
        <f t="shared" si="537"/>
        <v>102.87155961240364</v>
      </c>
      <c r="N487" s="39">
        <v>0.11458333333333399</v>
      </c>
      <c r="O487" s="38">
        <f t="shared" si="550"/>
        <v>138.75</v>
      </c>
      <c r="P487" s="38">
        <f t="shared" si="538"/>
        <v>0</v>
      </c>
      <c r="Q487" s="38">
        <f t="shared" si="539"/>
        <v>90.461877636759965</v>
      </c>
      <c r="T487" s="39">
        <v>0.11458333333333399</v>
      </c>
      <c r="U487" s="38">
        <f t="shared" si="551"/>
        <v>138.75</v>
      </c>
      <c r="V487" s="38">
        <f t="shared" si="540"/>
        <v>0</v>
      </c>
      <c r="W487" s="38">
        <f t="shared" si="541"/>
        <v>76.722271240110956</v>
      </c>
      <c r="Z487" s="39">
        <v>0.11458333333333399</v>
      </c>
      <c r="AA487" s="38">
        <f t="shared" si="552"/>
        <v>138.75</v>
      </c>
      <c r="AB487" s="38">
        <f t="shared" si="542"/>
        <v>0</v>
      </c>
      <c r="AC487" s="38">
        <f t="shared" si="543"/>
        <v>66.799975832958168</v>
      </c>
      <c r="AF487" s="39">
        <v>0.11458333333333399</v>
      </c>
      <c r="AG487" s="38">
        <f t="shared" si="553"/>
        <v>138.75</v>
      </c>
      <c r="AH487" s="38">
        <f t="shared" si="544"/>
        <v>0</v>
      </c>
      <c r="AI487" s="38">
        <f t="shared" si="545"/>
        <v>62.9128608915928</v>
      </c>
      <c r="AL487" s="39">
        <v>0.11458333333333399</v>
      </c>
      <c r="AM487" s="38">
        <f t="shared" si="554"/>
        <v>138.75</v>
      </c>
      <c r="AN487" s="38">
        <f t="shared" si="546"/>
        <v>0</v>
      </c>
      <c r="AO487" s="38">
        <f t="shared" si="547"/>
        <v>117.0871391084072</v>
      </c>
    </row>
    <row r="488" spans="1:41" x14ac:dyDescent="0.25">
      <c r="B488" s="39">
        <v>0.125</v>
      </c>
      <c r="C488" s="38">
        <f t="shared" si="548"/>
        <v>135</v>
      </c>
      <c r="D488" s="38">
        <f t="shared" si="534"/>
        <v>0</v>
      </c>
      <c r="E488" s="38">
        <f t="shared" si="535"/>
        <v>113.20002416704182</v>
      </c>
      <c r="H488" s="39">
        <v>0.125</v>
      </c>
      <c r="I488" s="38">
        <f t="shared" si="549"/>
        <v>135</v>
      </c>
      <c r="J488" s="38">
        <f t="shared" si="536"/>
        <v>0</v>
      </c>
      <c r="K488" s="38">
        <f t="shared" si="537"/>
        <v>102.87155961240364</v>
      </c>
      <c r="N488" s="39">
        <v>0.125</v>
      </c>
      <c r="O488" s="38">
        <f t="shared" si="550"/>
        <v>135</v>
      </c>
      <c r="P488" s="38">
        <f t="shared" si="538"/>
        <v>0</v>
      </c>
      <c r="Q488" s="38">
        <f t="shared" si="539"/>
        <v>90.461877636759965</v>
      </c>
      <c r="T488" s="39">
        <v>0.125</v>
      </c>
      <c r="U488" s="38">
        <f t="shared" si="551"/>
        <v>135</v>
      </c>
      <c r="V488" s="38">
        <f t="shared" si="540"/>
        <v>0</v>
      </c>
      <c r="W488" s="38">
        <f t="shared" si="541"/>
        <v>76.722271240110956</v>
      </c>
      <c r="Z488" s="39">
        <v>0.125</v>
      </c>
      <c r="AA488" s="38">
        <f t="shared" si="552"/>
        <v>135</v>
      </c>
      <c r="AB488" s="38">
        <f t="shared" si="542"/>
        <v>0</v>
      </c>
      <c r="AC488" s="38">
        <f t="shared" si="543"/>
        <v>66.799975832958168</v>
      </c>
      <c r="AF488" s="39">
        <v>0.125</v>
      </c>
      <c r="AG488" s="38">
        <f t="shared" si="553"/>
        <v>135</v>
      </c>
      <c r="AH488" s="38">
        <f t="shared" si="544"/>
        <v>0</v>
      </c>
      <c r="AI488" s="38">
        <f t="shared" si="545"/>
        <v>62.9128608915928</v>
      </c>
      <c r="AL488" s="39">
        <v>0.125</v>
      </c>
      <c r="AM488" s="38">
        <f t="shared" si="554"/>
        <v>135</v>
      </c>
      <c r="AN488" s="38">
        <f t="shared" si="546"/>
        <v>0</v>
      </c>
      <c r="AO488" s="38">
        <f t="shared" si="547"/>
        <v>117.0871391084072</v>
      </c>
    </row>
    <row r="489" spans="1:41" x14ac:dyDescent="0.25">
      <c r="B489" s="39">
        <v>0.13541666666666799</v>
      </c>
      <c r="C489" s="38">
        <f t="shared" si="548"/>
        <v>131.25</v>
      </c>
      <c r="D489" s="38">
        <f t="shared" si="534"/>
        <v>0</v>
      </c>
      <c r="E489" s="38">
        <f t="shared" si="535"/>
        <v>113.20002416704182</v>
      </c>
      <c r="H489" s="39">
        <v>0.13541666666666799</v>
      </c>
      <c r="I489" s="38">
        <f t="shared" si="549"/>
        <v>131.25</v>
      </c>
      <c r="J489" s="38">
        <f t="shared" si="536"/>
        <v>0</v>
      </c>
      <c r="K489" s="38">
        <f t="shared" si="537"/>
        <v>102.87155961240364</v>
      </c>
      <c r="N489" s="39">
        <v>0.13541666666666799</v>
      </c>
      <c r="O489" s="38">
        <f t="shared" si="550"/>
        <v>131.25</v>
      </c>
      <c r="P489" s="38">
        <f t="shared" si="538"/>
        <v>0</v>
      </c>
      <c r="Q489" s="38">
        <f t="shared" si="539"/>
        <v>90.461877636759965</v>
      </c>
      <c r="T489" s="39">
        <v>0.13541666666666799</v>
      </c>
      <c r="U489" s="38">
        <f t="shared" si="551"/>
        <v>131.25</v>
      </c>
      <c r="V489" s="38">
        <f t="shared" si="540"/>
        <v>0</v>
      </c>
      <c r="W489" s="38">
        <f t="shared" si="541"/>
        <v>76.722271240110956</v>
      </c>
      <c r="Z489" s="39">
        <v>0.13541666666666799</v>
      </c>
      <c r="AA489" s="38">
        <f t="shared" si="552"/>
        <v>131.25</v>
      </c>
      <c r="AB489" s="38">
        <f t="shared" si="542"/>
        <v>0</v>
      </c>
      <c r="AC489" s="38">
        <f t="shared" si="543"/>
        <v>66.799975832958168</v>
      </c>
      <c r="AF489" s="39">
        <v>0.13541666666666799</v>
      </c>
      <c r="AG489" s="38">
        <f t="shared" si="553"/>
        <v>131.25</v>
      </c>
      <c r="AH489" s="38">
        <f t="shared" si="544"/>
        <v>0</v>
      </c>
      <c r="AI489" s="38">
        <f t="shared" si="545"/>
        <v>62.9128608915928</v>
      </c>
      <c r="AL489" s="39">
        <v>0.13541666666666799</v>
      </c>
      <c r="AM489" s="38">
        <f t="shared" si="554"/>
        <v>131.25</v>
      </c>
      <c r="AN489" s="38">
        <f t="shared" si="546"/>
        <v>0</v>
      </c>
      <c r="AO489" s="38">
        <f t="shared" si="547"/>
        <v>117.0871391084072</v>
      </c>
    </row>
    <row r="490" spans="1:41" x14ac:dyDescent="0.25">
      <c r="B490" s="39">
        <v>0.14583333333333501</v>
      </c>
      <c r="C490" s="38">
        <f t="shared" si="548"/>
        <v>127.5</v>
      </c>
      <c r="D490" s="38">
        <f t="shared" si="534"/>
        <v>0</v>
      </c>
      <c r="E490" s="38">
        <f t="shared" si="535"/>
        <v>113.20002416704182</v>
      </c>
      <c r="H490" s="39">
        <v>0.14583333333333501</v>
      </c>
      <c r="I490" s="38">
        <f t="shared" si="549"/>
        <v>127.5</v>
      </c>
      <c r="J490" s="38">
        <f t="shared" si="536"/>
        <v>0</v>
      </c>
      <c r="K490" s="38">
        <f t="shared" si="537"/>
        <v>102.87155961240364</v>
      </c>
      <c r="N490" s="39">
        <v>0.14583333333333501</v>
      </c>
      <c r="O490" s="38">
        <f t="shared" si="550"/>
        <v>127.5</v>
      </c>
      <c r="P490" s="38">
        <f t="shared" si="538"/>
        <v>0</v>
      </c>
      <c r="Q490" s="38">
        <f t="shared" si="539"/>
        <v>90.461877636759965</v>
      </c>
      <c r="T490" s="39">
        <v>0.14583333333333501</v>
      </c>
      <c r="U490" s="38">
        <f t="shared" si="551"/>
        <v>127.5</v>
      </c>
      <c r="V490" s="38">
        <f t="shared" si="540"/>
        <v>0</v>
      </c>
      <c r="W490" s="38">
        <f t="shared" si="541"/>
        <v>76.722271240110956</v>
      </c>
      <c r="Z490" s="39">
        <v>0.14583333333333501</v>
      </c>
      <c r="AA490" s="38">
        <f t="shared" si="552"/>
        <v>127.5</v>
      </c>
      <c r="AB490" s="38">
        <f t="shared" si="542"/>
        <v>0</v>
      </c>
      <c r="AC490" s="38">
        <f t="shared" si="543"/>
        <v>66.799975832958168</v>
      </c>
      <c r="AF490" s="39">
        <v>0.14583333333333501</v>
      </c>
      <c r="AG490" s="38">
        <f t="shared" si="553"/>
        <v>127.5</v>
      </c>
      <c r="AH490" s="38">
        <f t="shared" si="544"/>
        <v>0</v>
      </c>
      <c r="AI490" s="38">
        <f t="shared" si="545"/>
        <v>62.9128608915928</v>
      </c>
      <c r="AL490" s="39">
        <v>0.14583333333333501</v>
      </c>
      <c r="AM490" s="38">
        <f t="shared" si="554"/>
        <v>127.5</v>
      </c>
      <c r="AN490" s="38">
        <f t="shared" si="546"/>
        <v>0</v>
      </c>
      <c r="AO490" s="38">
        <f t="shared" si="547"/>
        <v>117.0871391084072</v>
      </c>
    </row>
    <row r="491" spans="1:41" x14ac:dyDescent="0.25">
      <c r="B491" s="39">
        <v>0.156250000000002</v>
      </c>
      <c r="C491" s="38">
        <f t="shared" si="548"/>
        <v>123.75</v>
      </c>
      <c r="D491" s="38">
        <f t="shared" si="534"/>
        <v>0</v>
      </c>
      <c r="E491" s="38">
        <f t="shared" si="535"/>
        <v>113.20002416704182</v>
      </c>
      <c r="H491" s="39">
        <v>0.156250000000002</v>
      </c>
      <c r="I491" s="38">
        <f t="shared" si="549"/>
        <v>123.75</v>
      </c>
      <c r="J491" s="38">
        <f t="shared" si="536"/>
        <v>0</v>
      </c>
      <c r="K491" s="38">
        <f t="shared" si="537"/>
        <v>102.87155961240364</v>
      </c>
      <c r="N491" s="39">
        <v>0.156250000000002</v>
      </c>
      <c r="O491" s="38">
        <f t="shared" si="550"/>
        <v>123.75</v>
      </c>
      <c r="P491" s="38">
        <f t="shared" si="538"/>
        <v>0</v>
      </c>
      <c r="Q491" s="38">
        <f t="shared" si="539"/>
        <v>90.461877636759965</v>
      </c>
      <c r="T491" s="39">
        <v>0.156250000000002</v>
      </c>
      <c r="U491" s="38">
        <f t="shared" si="551"/>
        <v>123.75</v>
      </c>
      <c r="V491" s="38">
        <f t="shared" si="540"/>
        <v>0</v>
      </c>
      <c r="W491" s="38">
        <f t="shared" si="541"/>
        <v>76.722271240110956</v>
      </c>
      <c r="Z491" s="39">
        <v>0.156250000000002</v>
      </c>
      <c r="AA491" s="38">
        <f t="shared" si="552"/>
        <v>123.75</v>
      </c>
      <c r="AB491" s="38">
        <f t="shared" si="542"/>
        <v>0</v>
      </c>
      <c r="AC491" s="38">
        <f t="shared" si="543"/>
        <v>66.799975832958168</v>
      </c>
      <c r="AF491" s="39">
        <v>0.156250000000002</v>
      </c>
      <c r="AG491" s="38">
        <f t="shared" si="553"/>
        <v>123.75</v>
      </c>
      <c r="AH491" s="38">
        <f t="shared" si="544"/>
        <v>0</v>
      </c>
      <c r="AI491" s="38">
        <f t="shared" si="545"/>
        <v>62.9128608915928</v>
      </c>
      <c r="AL491" s="39">
        <v>0.156250000000002</v>
      </c>
      <c r="AM491" s="38">
        <f t="shared" si="554"/>
        <v>123.75</v>
      </c>
      <c r="AN491" s="38">
        <f t="shared" si="546"/>
        <v>0</v>
      </c>
      <c r="AO491" s="38">
        <f t="shared" si="547"/>
        <v>117.0871391084072</v>
      </c>
    </row>
    <row r="492" spans="1:41" x14ac:dyDescent="0.25">
      <c r="B492" s="39">
        <v>0.16666666666666899</v>
      </c>
      <c r="C492" s="38">
        <f t="shared" si="548"/>
        <v>120</v>
      </c>
      <c r="D492" s="38">
        <f t="shared" si="534"/>
        <v>0</v>
      </c>
      <c r="E492" s="38">
        <f t="shared" si="535"/>
        <v>113.20002416704182</v>
      </c>
      <c r="H492" s="39">
        <v>0.16666666666666899</v>
      </c>
      <c r="I492" s="38">
        <f t="shared" si="549"/>
        <v>120</v>
      </c>
      <c r="J492" s="38">
        <f t="shared" si="536"/>
        <v>0</v>
      </c>
      <c r="K492" s="38">
        <f t="shared" si="537"/>
        <v>102.87155961240364</v>
      </c>
      <c r="N492" s="39">
        <v>0.16666666666666899</v>
      </c>
      <c r="O492" s="38">
        <f t="shared" si="550"/>
        <v>120</v>
      </c>
      <c r="P492" s="38">
        <f t="shared" si="538"/>
        <v>0</v>
      </c>
      <c r="Q492" s="38">
        <f t="shared" si="539"/>
        <v>90.461877636759965</v>
      </c>
      <c r="T492" s="39">
        <v>0.16666666666666899</v>
      </c>
      <c r="U492" s="38">
        <f t="shared" si="551"/>
        <v>120</v>
      </c>
      <c r="V492" s="38">
        <f t="shared" si="540"/>
        <v>0</v>
      </c>
      <c r="W492" s="38">
        <f t="shared" si="541"/>
        <v>76.722271240110956</v>
      </c>
      <c r="Z492" s="39">
        <v>0.16666666666666899</v>
      </c>
      <c r="AA492" s="38">
        <f t="shared" si="552"/>
        <v>120</v>
      </c>
      <c r="AB492" s="38">
        <f t="shared" si="542"/>
        <v>0</v>
      </c>
      <c r="AC492" s="38">
        <f t="shared" si="543"/>
        <v>66.799975832958168</v>
      </c>
      <c r="AF492" s="39">
        <v>0.16666666666666899</v>
      </c>
      <c r="AG492" s="38">
        <f t="shared" si="553"/>
        <v>120</v>
      </c>
      <c r="AH492" s="38">
        <f t="shared" si="544"/>
        <v>0</v>
      </c>
      <c r="AI492" s="38">
        <f t="shared" si="545"/>
        <v>62.9128608915928</v>
      </c>
      <c r="AL492" s="39">
        <v>0.16666666666666899</v>
      </c>
      <c r="AM492" s="38">
        <f t="shared" si="554"/>
        <v>120</v>
      </c>
      <c r="AN492" s="38">
        <f t="shared" si="546"/>
        <v>0</v>
      </c>
      <c r="AO492" s="38">
        <f t="shared" si="547"/>
        <v>117.0871391084072</v>
      </c>
    </row>
    <row r="493" spans="1:41" x14ac:dyDescent="0.25">
      <c r="B493" s="39">
        <v>0.17708333333333601</v>
      </c>
      <c r="C493" s="38">
        <f t="shared" si="548"/>
        <v>116.25</v>
      </c>
      <c r="D493" s="38">
        <f t="shared" si="534"/>
        <v>0</v>
      </c>
      <c r="E493" s="38">
        <f t="shared" si="535"/>
        <v>113.20002416704182</v>
      </c>
      <c r="H493" s="39">
        <v>0.17708333333333601</v>
      </c>
      <c r="I493" s="38">
        <f t="shared" si="549"/>
        <v>116.25</v>
      </c>
      <c r="J493" s="38">
        <f t="shared" si="536"/>
        <v>0</v>
      </c>
      <c r="K493" s="38">
        <f t="shared" si="537"/>
        <v>102.87155961240364</v>
      </c>
      <c r="N493" s="39">
        <v>0.17708333333333601</v>
      </c>
      <c r="O493" s="38">
        <f t="shared" si="550"/>
        <v>116.25</v>
      </c>
      <c r="P493" s="38">
        <f t="shared" si="538"/>
        <v>0</v>
      </c>
      <c r="Q493" s="38">
        <f t="shared" si="539"/>
        <v>90.461877636759965</v>
      </c>
      <c r="T493" s="39">
        <v>0.17708333333333601</v>
      </c>
      <c r="U493" s="38">
        <f t="shared" si="551"/>
        <v>116.25</v>
      </c>
      <c r="V493" s="38">
        <f t="shared" si="540"/>
        <v>0</v>
      </c>
      <c r="W493" s="38">
        <f t="shared" si="541"/>
        <v>76.722271240110956</v>
      </c>
      <c r="Z493" s="39">
        <v>0.17708333333333601</v>
      </c>
      <c r="AA493" s="38">
        <f t="shared" si="552"/>
        <v>116.25</v>
      </c>
      <c r="AB493" s="38">
        <f t="shared" si="542"/>
        <v>0</v>
      </c>
      <c r="AC493" s="38">
        <f t="shared" si="543"/>
        <v>66.799975832958168</v>
      </c>
      <c r="AF493" s="39">
        <v>0.17708333333333601</v>
      </c>
      <c r="AG493" s="38">
        <f t="shared" si="553"/>
        <v>116.25</v>
      </c>
      <c r="AH493" s="38">
        <f t="shared" si="544"/>
        <v>0</v>
      </c>
      <c r="AI493" s="38">
        <f t="shared" si="545"/>
        <v>62.9128608915928</v>
      </c>
      <c r="AL493" s="39">
        <v>0.17708333333333601</v>
      </c>
      <c r="AM493" s="38">
        <f t="shared" si="554"/>
        <v>116.25</v>
      </c>
      <c r="AN493" s="38">
        <f t="shared" si="546"/>
        <v>0</v>
      </c>
      <c r="AO493" s="38">
        <f t="shared" si="547"/>
        <v>117.0871391084072</v>
      </c>
    </row>
    <row r="494" spans="1:41" x14ac:dyDescent="0.25">
      <c r="B494" s="39">
        <v>0.187500000000003</v>
      </c>
      <c r="C494" s="38">
        <f t="shared" si="548"/>
        <v>112.5</v>
      </c>
      <c r="D494" s="38">
        <f t="shared" si="534"/>
        <v>0</v>
      </c>
      <c r="E494" s="38">
        <f t="shared" si="535"/>
        <v>113.20002416704182</v>
      </c>
      <c r="H494" s="39">
        <v>0.187500000000003</v>
      </c>
      <c r="I494" s="38">
        <f t="shared" si="549"/>
        <v>112.5</v>
      </c>
      <c r="J494" s="38">
        <f t="shared" si="536"/>
        <v>0</v>
      </c>
      <c r="K494" s="38">
        <f t="shared" si="537"/>
        <v>102.87155961240364</v>
      </c>
      <c r="N494" s="39">
        <v>0.187500000000003</v>
      </c>
      <c r="O494" s="38">
        <f t="shared" si="550"/>
        <v>112.5</v>
      </c>
      <c r="P494" s="38">
        <f t="shared" si="538"/>
        <v>0</v>
      </c>
      <c r="Q494" s="38">
        <f t="shared" si="539"/>
        <v>90.461877636759965</v>
      </c>
      <c r="T494" s="39">
        <v>0.187500000000003</v>
      </c>
      <c r="U494" s="38">
        <f t="shared" si="551"/>
        <v>112.5</v>
      </c>
      <c r="V494" s="38">
        <f t="shared" si="540"/>
        <v>0</v>
      </c>
      <c r="W494" s="38">
        <f t="shared" si="541"/>
        <v>76.722271240110956</v>
      </c>
      <c r="Z494" s="39">
        <v>0.187500000000003</v>
      </c>
      <c r="AA494" s="38">
        <f t="shared" si="552"/>
        <v>112.5</v>
      </c>
      <c r="AB494" s="38">
        <f t="shared" si="542"/>
        <v>0</v>
      </c>
      <c r="AC494" s="38">
        <f t="shared" si="543"/>
        <v>66.799975832958168</v>
      </c>
      <c r="AF494" s="39">
        <v>0.187500000000003</v>
      </c>
      <c r="AG494" s="38">
        <f t="shared" si="553"/>
        <v>112.5</v>
      </c>
      <c r="AH494" s="38">
        <f t="shared" si="544"/>
        <v>0</v>
      </c>
      <c r="AI494" s="38">
        <f t="shared" si="545"/>
        <v>62.9128608915928</v>
      </c>
      <c r="AL494" s="39">
        <v>0.187500000000003</v>
      </c>
      <c r="AM494" s="38">
        <f t="shared" si="554"/>
        <v>112.5</v>
      </c>
      <c r="AN494" s="38">
        <f t="shared" si="546"/>
        <v>0</v>
      </c>
      <c r="AO494" s="38">
        <f t="shared" si="547"/>
        <v>117.0871391084072</v>
      </c>
    </row>
    <row r="495" spans="1:41" x14ac:dyDescent="0.25">
      <c r="B495" s="39">
        <v>0.19791666666666999</v>
      </c>
      <c r="C495" s="38">
        <f t="shared" si="548"/>
        <v>108.75</v>
      </c>
      <c r="D495" s="38">
        <f t="shared" si="534"/>
        <v>0</v>
      </c>
      <c r="E495" s="38">
        <f t="shared" si="535"/>
        <v>113.20002416704182</v>
      </c>
      <c r="H495" s="39">
        <v>0.19791666666666999</v>
      </c>
      <c r="I495" s="38">
        <f t="shared" si="549"/>
        <v>108.75</v>
      </c>
      <c r="J495" s="38">
        <f t="shared" si="536"/>
        <v>0</v>
      </c>
      <c r="K495" s="38">
        <f t="shared" si="537"/>
        <v>102.87155961240364</v>
      </c>
      <c r="N495" s="39">
        <v>0.19791666666666999</v>
      </c>
      <c r="O495" s="38">
        <f t="shared" si="550"/>
        <v>108.75</v>
      </c>
      <c r="P495" s="38">
        <f t="shared" si="538"/>
        <v>0</v>
      </c>
      <c r="Q495" s="38">
        <f t="shared" si="539"/>
        <v>90.461877636759965</v>
      </c>
      <c r="T495" s="39">
        <v>0.19791666666666999</v>
      </c>
      <c r="U495" s="38">
        <f t="shared" si="551"/>
        <v>108.75</v>
      </c>
      <c r="V495" s="38">
        <f t="shared" si="540"/>
        <v>0</v>
      </c>
      <c r="W495" s="38">
        <f t="shared" si="541"/>
        <v>76.722271240110956</v>
      </c>
      <c r="Z495" s="39">
        <v>0.19791666666666999</v>
      </c>
      <c r="AA495" s="38">
        <f t="shared" si="552"/>
        <v>108.75</v>
      </c>
      <c r="AB495" s="38">
        <f t="shared" si="542"/>
        <v>0</v>
      </c>
      <c r="AC495" s="38">
        <f t="shared" si="543"/>
        <v>66.799975832958168</v>
      </c>
      <c r="AF495" s="39">
        <v>0.19791666666666999</v>
      </c>
      <c r="AG495" s="38">
        <f t="shared" si="553"/>
        <v>108.75</v>
      </c>
      <c r="AH495" s="38">
        <f t="shared" si="544"/>
        <v>0</v>
      </c>
      <c r="AI495" s="38">
        <f t="shared" si="545"/>
        <v>62.9128608915928</v>
      </c>
      <c r="AL495" s="39">
        <v>0.19791666666666999</v>
      </c>
      <c r="AM495" s="38">
        <f t="shared" si="554"/>
        <v>108.75</v>
      </c>
      <c r="AN495" s="38">
        <f t="shared" si="546"/>
        <v>0</v>
      </c>
      <c r="AO495" s="38">
        <f t="shared" si="547"/>
        <v>117.0871391084072</v>
      </c>
    </row>
    <row r="496" spans="1:41" x14ac:dyDescent="0.25">
      <c r="B496" s="39">
        <v>0.20833333333333701</v>
      </c>
      <c r="C496" s="38">
        <f t="shared" si="548"/>
        <v>105</v>
      </c>
      <c r="D496" s="38">
        <f t="shared" si="534"/>
        <v>0</v>
      </c>
      <c r="E496" s="38">
        <f t="shared" si="535"/>
        <v>113.20002416704182</v>
      </c>
      <c r="H496" s="39">
        <v>0.20833333333333701</v>
      </c>
      <c r="I496" s="38">
        <f t="shared" si="549"/>
        <v>105</v>
      </c>
      <c r="J496" s="38">
        <f t="shared" si="536"/>
        <v>0</v>
      </c>
      <c r="K496" s="38">
        <f t="shared" si="537"/>
        <v>102.87155961240364</v>
      </c>
      <c r="N496" s="39">
        <v>0.20833333333333701</v>
      </c>
      <c r="O496" s="38">
        <f t="shared" si="550"/>
        <v>105</v>
      </c>
      <c r="P496" s="38">
        <f t="shared" si="538"/>
        <v>0</v>
      </c>
      <c r="Q496" s="38">
        <f t="shared" si="539"/>
        <v>90.461877636759965</v>
      </c>
      <c r="T496" s="39">
        <v>0.20833333333333701</v>
      </c>
      <c r="U496" s="38">
        <f t="shared" si="551"/>
        <v>105</v>
      </c>
      <c r="V496" s="38">
        <f t="shared" si="540"/>
        <v>0</v>
      </c>
      <c r="W496" s="38">
        <f t="shared" si="541"/>
        <v>76.722271240110956</v>
      </c>
      <c r="Z496" s="39">
        <v>0.20833333333333701</v>
      </c>
      <c r="AA496" s="38">
        <f t="shared" si="552"/>
        <v>105</v>
      </c>
      <c r="AB496" s="38">
        <f t="shared" si="542"/>
        <v>0</v>
      </c>
      <c r="AC496" s="38">
        <f t="shared" si="543"/>
        <v>66.799975832958168</v>
      </c>
      <c r="AF496" s="39">
        <v>0.20833333333333701</v>
      </c>
      <c r="AG496" s="38">
        <f t="shared" si="553"/>
        <v>105</v>
      </c>
      <c r="AH496" s="38">
        <f t="shared" si="544"/>
        <v>0</v>
      </c>
      <c r="AI496" s="38">
        <f t="shared" si="545"/>
        <v>62.9128608915928</v>
      </c>
      <c r="AL496" s="39">
        <v>0.20833333333333701</v>
      </c>
      <c r="AM496" s="38">
        <f t="shared" si="554"/>
        <v>105</v>
      </c>
      <c r="AN496" s="38">
        <f t="shared" si="546"/>
        <v>0</v>
      </c>
      <c r="AO496" s="38">
        <f t="shared" si="547"/>
        <v>117.0871391084072</v>
      </c>
    </row>
    <row r="497" spans="2:41" x14ac:dyDescent="0.25">
      <c r="B497" s="39">
        <v>0.218750000000004</v>
      </c>
      <c r="C497" s="38">
        <f t="shared" si="548"/>
        <v>101.25</v>
      </c>
      <c r="D497" s="38">
        <f t="shared" si="534"/>
        <v>0</v>
      </c>
      <c r="E497" s="38">
        <f t="shared" si="535"/>
        <v>113.20002416704182</v>
      </c>
      <c r="H497" s="39">
        <v>0.218750000000004</v>
      </c>
      <c r="I497" s="38">
        <f t="shared" si="549"/>
        <v>101.25</v>
      </c>
      <c r="J497" s="38">
        <f t="shared" si="536"/>
        <v>0</v>
      </c>
      <c r="K497" s="38">
        <f t="shared" si="537"/>
        <v>102.87155961240364</v>
      </c>
      <c r="N497" s="39">
        <v>0.218750000000004</v>
      </c>
      <c r="O497" s="38">
        <f t="shared" si="550"/>
        <v>101.25</v>
      </c>
      <c r="P497" s="38">
        <f t="shared" si="538"/>
        <v>0</v>
      </c>
      <c r="Q497" s="38">
        <f t="shared" si="539"/>
        <v>90.461877636759965</v>
      </c>
      <c r="T497" s="39">
        <v>0.218750000000004</v>
      </c>
      <c r="U497" s="38">
        <f t="shared" si="551"/>
        <v>101.25</v>
      </c>
      <c r="V497" s="38">
        <f t="shared" si="540"/>
        <v>0</v>
      </c>
      <c r="W497" s="38">
        <f t="shared" si="541"/>
        <v>76.722271240110956</v>
      </c>
      <c r="Z497" s="39">
        <v>0.218750000000004</v>
      </c>
      <c r="AA497" s="38">
        <f t="shared" si="552"/>
        <v>101.25</v>
      </c>
      <c r="AB497" s="38">
        <f t="shared" si="542"/>
        <v>0.41582312405284111</v>
      </c>
      <c r="AC497" s="38">
        <f t="shared" si="543"/>
        <v>67.050698860428241</v>
      </c>
      <c r="AF497" s="39">
        <v>0.218750000000004</v>
      </c>
      <c r="AG497" s="38">
        <f t="shared" si="553"/>
        <v>101.25</v>
      </c>
      <c r="AH497" s="38">
        <f t="shared" si="544"/>
        <v>2.1202753980372413</v>
      </c>
      <c r="AI497" s="38">
        <f t="shared" si="545"/>
        <v>64.210417713039391</v>
      </c>
      <c r="AL497" s="39">
        <v>0.218750000000004</v>
      </c>
      <c r="AM497" s="38">
        <f t="shared" si="554"/>
        <v>101.25</v>
      </c>
      <c r="AN497" s="38">
        <f t="shared" si="546"/>
        <v>0</v>
      </c>
      <c r="AO497" s="38">
        <f t="shared" si="547"/>
        <v>117.0871391084072</v>
      </c>
    </row>
    <row r="498" spans="2:41" x14ac:dyDescent="0.25">
      <c r="B498" s="39">
        <v>0.22916666666667099</v>
      </c>
      <c r="C498" s="38">
        <f t="shared" si="548"/>
        <v>97.5</v>
      </c>
      <c r="D498" s="38">
        <f t="shared" si="534"/>
        <v>0</v>
      </c>
      <c r="E498" s="38">
        <f t="shared" si="535"/>
        <v>113.20002416704182</v>
      </c>
      <c r="H498" s="39">
        <v>0.22916666666667099</v>
      </c>
      <c r="I498" s="38">
        <f t="shared" si="549"/>
        <v>97.5</v>
      </c>
      <c r="J498" s="38">
        <f t="shared" si="536"/>
        <v>0</v>
      </c>
      <c r="K498" s="38">
        <f t="shared" si="537"/>
        <v>102.87155961240364</v>
      </c>
      <c r="N498" s="39">
        <v>0.22916666666667099</v>
      </c>
      <c r="O498" s="38">
        <f t="shared" si="550"/>
        <v>97.5</v>
      </c>
      <c r="P498" s="38">
        <f t="shared" si="538"/>
        <v>0</v>
      </c>
      <c r="Q498" s="38">
        <f t="shared" si="539"/>
        <v>90.461877636759965</v>
      </c>
      <c r="T498" s="39">
        <v>0.22916666666667099</v>
      </c>
      <c r="U498" s="38">
        <f t="shared" si="551"/>
        <v>97.5</v>
      </c>
      <c r="V498" s="38">
        <f t="shared" si="540"/>
        <v>0</v>
      </c>
      <c r="W498" s="38">
        <f t="shared" si="541"/>
        <v>76.722271240110956</v>
      </c>
      <c r="Z498" s="39">
        <v>0.22916666666667099</v>
      </c>
      <c r="AA498" s="38">
        <f t="shared" si="552"/>
        <v>97.5</v>
      </c>
      <c r="AB498" s="38">
        <f t="shared" si="542"/>
        <v>3.4531993193021604</v>
      </c>
      <c r="AC498" s="38">
        <f t="shared" si="543"/>
        <v>68.832228276969246</v>
      </c>
      <c r="AF498" s="39">
        <v>0.22916666666667099</v>
      </c>
      <c r="AG498" s="38">
        <f t="shared" si="553"/>
        <v>97.5</v>
      </c>
      <c r="AH498" s="38">
        <f t="shared" si="544"/>
        <v>5.0924146750739654</v>
      </c>
      <c r="AI498" s="38">
        <f t="shared" si="545"/>
        <v>65.946471612619035</v>
      </c>
      <c r="AL498" s="39">
        <v>0.22916666666667099</v>
      </c>
      <c r="AM498" s="38">
        <f t="shared" si="554"/>
        <v>97.5</v>
      </c>
      <c r="AN498" s="38">
        <f t="shared" si="546"/>
        <v>0</v>
      </c>
      <c r="AO498" s="38">
        <f t="shared" si="547"/>
        <v>117.0871391084072</v>
      </c>
    </row>
    <row r="499" spans="2:41" x14ac:dyDescent="0.25">
      <c r="B499" s="39">
        <v>0.23958333333333801</v>
      </c>
      <c r="C499" s="38">
        <f t="shared" si="548"/>
        <v>93.75</v>
      </c>
      <c r="D499" s="38">
        <f t="shared" si="534"/>
        <v>0</v>
      </c>
      <c r="E499" s="38">
        <f t="shared" si="535"/>
        <v>113.20002416704182</v>
      </c>
      <c r="H499" s="39">
        <v>0.23958333333333801</v>
      </c>
      <c r="I499" s="38">
        <f t="shared" si="549"/>
        <v>93.75</v>
      </c>
      <c r="J499" s="38">
        <f t="shared" si="536"/>
        <v>0</v>
      </c>
      <c r="K499" s="38">
        <f t="shared" si="537"/>
        <v>102.87155961240364</v>
      </c>
      <c r="N499" s="39">
        <v>0.23958333333333801</v>
      </c>
      <c r="O499" s="38">
        <f t="shared" si="550"/>
        <v>93.75</v>
      </c>
      <c r="P499" s="38">
        <f t="shared" si="538"/>
        <v>0</v>
      </c>
      <c r="Q499" s="38">
        <f t="shared" si="539"/>
        <v>90.461877636759965</v>
      </c>
      <c r="T499" s="39">
        <v>0.23958333333333801</v>
      </c>
      <c r="U499" s="38">
        <f t="shared" si="551"/>
        <v>93.75</v>
      </c>
      <c r="V499" s="38">
        <f t="shared" si="540"/>
        <v>2.3819260858744795</v>
      </c>
      <c r="W499" s="38">
        <f t="shared" si="541"/>
        <v>78.068811777938819</v>
      </c>
      <c r="Z499" s="39">
        <v>0.23958333333333801</v>
      </c>
      <c r="AA499" s="38">
        <f t="shared" si="552"/>
        <v>93.75</v>
      </c>
      <c r="AB499" s="38">
        <f t="shared" si="542"/>
        <v>6.5267818130880562</v>
      </c>
      <c r="AC499" s="38">
        <f t="shared" si="543"/>
        <v>70.556013713958109</v>
      </c>
      <c r="AF499" s="39">
        <v>0.23958333333333801</v>
      </c>
      <c r="AG499" s="38">
        <f t="shared" si="553"/>
        <v>93.75</v>
      </c>
      <c r="AH499" s="38">
        <f t="shared" si="544"/>
        <v>8.1043070057537481</v>
      </c>
      <c r="AI499" s="38">
        <f t="shared" si="545"/>
        <v>67.620103183634782</v>
      </c>
      <c r="AL499" s="39">
        <v>0.23958333333333801</v>
      </c>
      <c r="AM499" s="38">
        <f t="shared" si="554"/>
        <v>93.75</v>
      </c>
      <c r="AN499" s="38">
        <f t="shared" si="546"/>
        <v>0</v>
      </c>
      <c r="AO499" s="38">
        <f t="shared" si="547"/>
        <v>117.0871391084072</v>
      </c>
    </row>
    <row r="500" spans="2:41" x14ac:dyDescent="0.25">
      <c r="B500" s="39">
        <v>0.250000000000005</v>
      </c>
      <c r="C500" s="38">
        <f t="shared" si="548"/>
        <v>90</v>
      </c>
      <c r="D500" s="38">
        <f t="shared" si="534"/>
        <v>0</v>
      </c>
      <c r="E500" s="38">
        <f t="shared" si="535"/>
        <v>113.20002416704182</v>
      </c>
      <c r="H500" s="39">
        <v>0.250000000000005</v>
      </c>
      <c r="I500" s="38">
        <f t="shared" si="549"/>
        <v>90</v>
      </c>
      <c r="J500" s="38">
        <f t="shared" si="536"/>
        <v>0</v>
      </c>
      <c r="K500" s="38">
        <f t="shared" si="537"/>
        <v>102.87155961240364</v>
      </c>
      <c r="N500" s="39">
        <v>0.250000000000005</v>
      </c>
      <c r="O500" s="38">
        <f t="shared" si="550"/>
        <v>90</v>
      </c>
      <c r="P500" s="38">
        <f t="shared" si="538"/>
        <v>0</v>
      </c>
      <c r="Q500" s="38">
        <f t="shared" si="539"/>
        <v>90.461877636759965</v>
      </c>
      <c r="T500" s="39">
        <v>0.250000000000005</v>
      </c>
      <c r="U500" s="38">
        <f t="shared" si="551"/>
        <v>90</v>
      </c>
      <c r="V500" s="38">
        <f t="shared" si="540"/>
        <v>5.5984380572590657</v>
      </c>
      <c r="W500" s="38">
        <f t="shared" si="541"/>
        <v>79.848129908924179</v>
      </c>
      <c r="Z500" s="39">
        <v>0.250000000000005</v>
      </c>
      <c r="AA500" s="38">
        <f t="shared" si="552"/>
        <v>90</v>
      </c>
      <c r="AB500" s="38">
        <f t="shared" si="542"/>
        <v>9.6327224739751323</v>
      </c>
      <c r="AC500" s="38">
        <f t="shared" si="543"/>
        <v>72.230644833243772</v>
      </c>
      <c r="AF500" s="39">
        <v>0.250000000000005</v>
      </c>
      <c r="AG500" s="38">
        <f t="shared" si="553"/>
        <v>90</v>
      </c>
      <c r="AH500" s="38">
        <f t="shared" si="544"/>
        <v>11.152054967319165</v>
      </c>
      <c r="AI500" s="38">
        <f t="shared" si="545"/>
        <v>69.238766580276192</v>
      </c>
      <c r="AL500" s="39">
        <v>0.250000000000005</v>
      </c>
      <c r="AM500" s="38">
        <f t="shared" si="554"/>
        <v>90</v>
      </c>
      <c r="AN500" s="38">
        <f t="shared" si="546"/>
        <v>0</v>
      </c>
      <c r="AO500" s="38">
        <f t="shared" si="547"/>
        <v>117.0871391084072</v>
      </c>
    </row>
    <row r="501" spans="2:41" x14ac:dyDescent="0.25">
      <c r="B501" s="39">
        <v>0.26041666666667201</v>
      </c>
      <c r="C501" s="38">
        <f t="shared" si="548"/>
        <v>86.25</v>
      </c>
      <c r="D501" s="38">
        <f t="shared" si="534"/>
        <v>0</v>
      </c>
      <c r="E501" s="38">
        <f t="shared" si="535"/>
        <v>113.20002416704182</v>
      </c>
      <c r="H501" s="39">
        <v>0.26041666666667201</v>
      </c>
      <c r="I501" s="38">
        <f t="shared" si="549"/>
        <v>86.25</v>
      </c>
      <c r="J501" s="38">
        <f t="shared" si="536"/>
        <v>0</v>
      </c>
      <c r="K501" s="38">
        <f t="shared" si="537"/>
        <v>102.87155961240364</v>
      </c>
      <c r="N501" s="39">
        <v>0.26041666666667201</v>
      </c>
      <c r="O501" s="38">
        <f t="shared" si="550"/>
        <v>86.25</v>
      </c>
      <c r="P501" s="38">
        <f t="shared" si="538"/>
        <v>3.0801589943880465</v>
      </c>
      <c r="Q501" s="38">
        <f t="shared" si="539"/>
        <v>92.177703747886682</v>
      </c>
      <c r="T501" s="39">
        <v>0.26041666666667201</v>
      </c>
      <c r="U501" s="38">
        <f t="shared" si="551"/>
        <v>86.25</v>
      </c>
      <c r="V501" s="38">
        <f t="shared" si="540"/>
        <v>8.8327720649039811</v>
      </c>
      <c r="W501" s="38">
        <f t="shared" si="541"/>
        <v>81.604359638744171</v>
      </c>
      <c r="Z501" s="39">
        <v>0.26041666666667201</v>
      </c>
      <c r="AA501" s="38">
        <f t="shared" si="552"/>
        <v>86.25</v>
      </c>
      <c r="AB501" s="38">
        <f t="shared" si="542"/>
        <v>12.767542268306205</v>
      </c>
      <c r="AC501" s="38">
        <f t="shared" si="543"/>
        <v>73.86449935748972</v>
      </c>
      <c r="AF501" s="39">
        <v>0.26041666666667201</v>
      </c>
      <c r="AG501" s="38">
        <f t="shared" si="553"/>
        <v>86.25</v>
      </c>
      <c r="AH501" s="38">
        <f t="shared" si="544"/>
        <v>14.232141959296721</v>
      </c>
      <c r="AI501" s="38">
        <f t="shared" si="545"/>
        <v>70.809669788281539</v>
      </c>
      <c r="AL501" s="39">
        <v>0.26041666666667201</v>
      </c>
      <c r="AM501" s="38">
        <f t="shared" si="554"/>
        <v>86.25</v>
      </c>
      <c r="AN501" s="38">
        <f t="shared" si="546"/>
        <v>0</v>
      </c>
      <c r="AO501" s="38">
        <f t="shared" si="547"/>
        <v>117.0871391084072</v>
      </c>
    </row>
    <row r="502" spans="2:41" x14ac:dyDescent="0.25">
      <c r="B502" s="39">
        <v>0.27083333333333898</v>
      </c>
      <c r="C502" s="38">
        <f t="shared" si="548"/>
        <v>82.5</v>
      </c>
      <c r="D502" s="38">
        <f t="shared" si="534"/>
        <v>0</v>
      </c>
      <c r="E502" s="38">
        <f t="shared" si="535"/>
        <v>113.20002416704182</v>
      </c>
      <c r="H502" s="39">
        <v>0.27083333333333898</v>
      </c>
      <c r="I502" s="38">
        <f t="shared" si="549"/>
        <v>82.5</v>
      </c>
      <c r="J502" s="38">
        <f t="shared" si="536"/>
        <v>0.98937183353629221</v>
      </c>
      <c r="K502" s="38">
        <f t="shared" si="537"/>
        <v>103.43862592918113</v>
      </c>
      <c r="N502" s="39">
        <v>0.27083333333333898</v>
      </c>
      <c r="O502" s="38">
        <f t="shared" si="550"/>
        <v>82.5</v>
      </c>
      <c r="P502" s="38">
        <f t="shared" si="538"/>
        <v>6.3525207289529328</v>
      </c>
      <c r="Q502" s="38">
        <f t="shared" si="539"/>
        <v>94.015423762263168</v>
      </c>
      <c r="T502" s="39">
        <v>0.27083333333333898</v>
      </c>
      <c r="U502" s="38">
        <f t="shared" si="551"/>
        <v>82.5</v>
      </c>
      <c r="V502" s="38">
        <f t="shared" si="540"/>
        <v>12.081718454027536</v>
      </c>
      <c r="W502" s="38">
        <f t="shared" si="541"/>
        <v>83.348251671937078</v>
      </c>
      <c r="Z502" s="39">
        <v>0.27083333333333898</v>
      </c>
      <c r="AA502" s="38">
        <f t="shared" si="552"/>
        <v>82.5</v>
      </c>
      <c r="AB502" s="38">
        <f t="shared" si="542"/>
        <v>15.92807595627923</v>
      </c>
      <c r="AC502" s="38">
        <f t="shared" si="543"/>
        <v>75.465867731715434</v>
      </c>
      <c r="AF502" s="39">
        <v>0.27083333333333898</v>
      </c>
      <c r="AG502" s="38">
        <f t="shared" si="553"/>
        <v>82.5</v>
      </c>
      <c r="AH502" s="38">
        <f t="shared" si="544"/>
        <v>17.341384212199728</v>
      </c>
      <c r="AI502" s="38">
        <f t="shared" si="545"/>
        <v>72.339857941509536</v>
      </c>
      <c r="AL502" s="39">
        <v>0.27083333333333898</v>
      </c>
      <c r="AM502" s="38">
        <f t="shared" si="554"/>
        <v>82.5</v>
      </c>
      <c r="AN502" s="38">
        <f t="shared" si="546"/>
        <v>0</v>
      </c>
      <c r="AO502" s="38">
        <f t="shared" si="547"/>
        <v>117.0871391084072</v>
      </c>
    </row>
    <row r="503" spans="2:41" x14ac:dyDescent="0.25">
      <c r="B503" s="39">
        <v>0.281250000000006</v>
      </c>
      <c r="C503" s="38">
        <f t="shared" si="548"/>
        <v>78.75</v>
      </c>
      <c r="D503" s="38">
        <f t="shared" si="534"/>
        <v>0</v>
      </c>
      <c r="E503" s="38">
        <f t="shared" si="535"/>
        <v>113.20002416704182</v>
      </c>
      <c r="H503" s="39">
        <v>0.281250000000006</v>
      </c>
      <c r="I503" s="38">
        <f t="shared" si="549"/>
        <v>78.75</v>
      </c>
      <c r="J503" s="38">
        <f t="shared" si="536"/>
        <v>4.1640595977191843</v>
      </c>
      <c r="K503" s="38">
        <f t="shared" si="537"/>
        <v>105.2983449201511</v>
      </c>
      <c r="N503" s="39">
        <v>0.281250000000006</v>
      </c>
      <c r="O503" s="38">
        <f t="shared" si="550"/>
        <v>78.75</v>
      </c>
      <c r="P503" s="38">
        <f t="shared" si="538"/>
        <v>9.6174648178221567</v>
      </c>
      <c r="Q503" s="38">
        <f t="shared" si="539"/>
        <v>95.878185506882062</v>
      </c>
      <c r="T503" s="39">
        <v>0.281250000000006</v>
      </c>
      <c r="U503" s="38">
        <f t="shared" si="551"/>
        <v>78.75</v>
      </c>
      <c r="V503" s="38">
        <f t="shared" si="540"/>
        <v>15.342208335246907</v>
      </c>
      <c r="W503" s="38">
        <f t="shared" si="541"/>
        <v>85.090806444416572</v>
      </c>
      <c r="Z503" s="39">
        <v>0.281250000000006</v>
      </c>
      <c r="AA503" s="38">
        <f t="shared" si="552"/>
        <v>78.75</v>
      </c>
      <c r="AB503" s="38">
        <f t="shared" si="542"/>
        <v>19.111421070752318</v>
      </c>
      <c r="AC503" s="38">
        <f t="shared" si="543"/>
        <v>77.043098833678428</v>
      </c>
      <c r="AF503" s="39">
        <v>0.281250000000006</v>
      </c>
      <c r="AG503" s="38">
        <f t="shared" si="553"/>
        <v>78.75</v>
      </c>
      <c r="AH503" s="38">
        <f t="shared" si="544"/>
        <v>20.476887020474013</v>
      </c>
      <c r="AI503" s="38">
        <f t="shared" si="545"/>
        <v>73.83631338575087</v>
      </c>
      <c r="AL503" s="39">
        <v>0.281250000000006</v>
      </c>
      <c r="AM503" s="38">
        <f t="shared" si="554"/>
        <v>78.75</v>
      </c>
      <c r="AN503" s="38">
        <f t="shared" si="546"/>
        <v>0</v>
      </c>
      <c r="AO503" s="38">
        <f t="shared" si="547"/>
        <v>117.0871391084072</v>
      </c>
    </row>
    <row r="504" spans="2:41" x14ac:dyDescent="0.25">
      <c r="B504" s="39">
        <v>0.29166666666667301</v>
      </c>
      <c r="C504" s="38">
        <f t="shared" si="548"/>
        <v>75</v>
      </c>
      <c r="D504" s="38">
        <f t="shared" si="534"/>
        <v>2.5810689008028067</v>
      </c>
      <c r="E504" s="38">
        <f t="shared" si="535"/>
        <v>114.79748300641437</v>
      </c>
      <c r="H504" s="39">
        <v>0.29166666666667301</v>
      </c>
      <c r="I504" s="38">
        <f t="shared" si="549"/>
        <v>75</v>
      </c>
      <c r="J504" s="38">
        <f t="shared" si="536"/>
        <v>7.3102534726872559</v>
      </c>
      <c r="K504" s="38">
        <f t="shared" si="537"/>
        <v>107.2136474400794</v>
      </c>
      <c r="N504" s="39">
        <v>0.29166666666667301</v>
      </c>
      <c r="O504" s="38">
        <f t="shared" si="550"/>
        <v>75</v>
      </c>
      <c r="P504" s="38">
        <f t="shared" si="538"/>
        <v>12.871375773155972</v>
      </c>
      <c r="Q504" s="38">
        <f t="shared" si="539"/>
        <v>97.778783184534774</v>
      </c>
      <c r="T504" s="39">
        <v>0.29166666666667301</v>
      </c>
      <c r="U504" s="38">
        <f t="shared" si="551"/>
        <v>75</v>
      </c>
      <c r="V504" s="38">
        <f t="shared" si="540"/>
        <v>18.611242908560452</v>
      </c>
      <c r="W504" s="38">
        <f t="shared" si="541"/>
        <v>86.84353717995613</v>
      </c>
      <c r="Z504" s="39">
        <v>0.29166666666667301</v>
      </c>
      <c r="AA504" s="38">
        <f t="shared" si="552"/>
        <v>75</v>
      </c>
      <c r="AB504" s="38">
        <f t="shared" si="542"/>
        <v>22.314889941656379</v>
      </c>
      <c r="AC504" s="38">
        <f t="shared" si="543"/>
        <v>78.604772740992317</v>
      </c>
      <c r="AF504" s="39">
        <v>0.29166666666667301</v>
      </c>
      <c r="AG504" s="38">
        <f t="shared" si="553"/>
        <v>75</v>
      </c>
      <c r="AH504" s="38">
        <f t="shared" si="544"/>
        <v>23.63600454935963</v>
      </c>
      <c r="AI504" s="38">
        <f t="shared" si="545"/>
        <v>75.306075969479892</v>
      </c>
      <c r="AL504" s="39">
        <v>0.29166666666667301</v>
      </c>
      <c r="AM504" s="38">
        <f t="shared" si="554"/>
        <v>75</v>
      </c>
      <c r="AN504" s="38">
        <f t="shared" si="546"/>
        <v>0.80777986614324049</v>
      </c>
      <c r="AO504" s="38">
        <f t="shared" si="547"/>
        <v>117.59582673339338</v>
      </c>
    </row>
    <row r="505" spans="2:41" x14ac:dyDescent="0.25">
      <c r="B505" s="39">
        <v>0.30208333333333998</v>
      </c>
      <c r="C505" s="38">
        <f t="shared" si="548"/>
        <v>71.25</v>
      </c>
      <c r="D505" s="38">
        <f t="shared" si="534"/>
        <v>5.5327022996689257</v>
      </c>
      <c r="E505" s="38">
        <f t="shared" si="535"/>
        <v>116.72163449529984</v>
      </c>
      <c r="H505" s="39">
        <v>0.30208333333333998</v>
      </c>
      <c r="I505" s="38">
        <f t="shared" si="549"/>
        <v>71.25</v>
      </c>
      <c r="J505" s="38">
        <f t="shared" si="536"/>
        <v>10.423443686473018</v>
      </c>
      <c r="K505" s="38">
        <f t="shared" si="537"/>
        <v>109.19652456290238</v>
      </c>
      <c r="N505" s="39">
        <v>0.30208333333333998</v>
      </c>
      <c r="O505" s="38">
        <f t="shared" si="550"/>
        <v>71.25</v>
      </c>
      <c r="P505" s="38">
        <f t="shared" si="538"/>
        <v>16.110359402145132</v>
      </c>
      <c r="Q505" s="38">
        <f t="shared" si="539"/>
        <v>99.73084347677073</v>
      </c>
      <c r="T505" s="39">
        <v>0.30208333333333998</v>
      </c>
      <c r="U505" s="38">
        <f t="shared" si="551"/>
        <v>71.25</v>
      </c>
      <c r="V505" s="38">
        <f t="shared" si="540"/>
        <v>21.885819567640766</v>
      </c>
      <c r="W505" s="38">
        <f t="shared" si="541"/>
        <v>88.618776263545783</v>
      </c>
      <c r="Z505" s="39">
        <v>0.30208333333333998</v>
      </c>
      <c r="AA505" s="38">
        <f t="shared" si="552"/>
        <v>71.25</v>
      </c>
      <c r="AB505" s="38">
        <f t="shared" si="542"/>
        <v>25.535963310594134</v>
      </c>
      <c r="AC505" s="38">
        <f t="shared" si="543"/>
        <v>80.159909994655976</v>
      </c>
      <c r="AF505" s="39">
        <v>0.30208333333333998</v>
      </c>
      <c r="AG505" s="38">
        <f t="shared" si="553"/>
        <v>71.25</v>
      </c>
      <c r="AH505" s="38">
        <f t="shared" si="544"/>
        <v>26.816302428045219</v>
      </c>
      <c r="AI505" s="38">
        <f t="shared" si="545"/>
        <v>76.756389670247245</v>
      </c>
      <c r="AL505" s="39">
        <v>0.30208333333333998</v>
      </c>
      <c r="AM505" s="38">
        <f t="shared" si="554"/>
        <v>71.25</v>
      </c>
      <c r="AN505" s="38">
        <f t="shared" si="546"/>
        <v>3.6869288877023965</v>
      </c>
      <c r="AO505" s="38">
        <f t="shared" si="547"/>
        <v>119.4803958572588</v>
      </c>
    </row>
    <row r="506" spans="2:41" x14ac:dyDescent="0.25">
      <c r="B506" s="39">
        <v>0.31250000000000699</v>
      </c>
      <c r="C506" s="38">
        <f t="shared" si="548"/>
        <v>67.5</v>
      </c>
      <c r="D506" s="38">
        <f t="shared" si="534"/>
        <v>8.4337323868056835</v>
      </c>
      <c r="E506" s="38">
        <f t="shared" si="535"/>
        <v>118.73155278948622</v>
      </c>
      <c r="H506" s="39">
        <v>0.31250000000000699</v>
      </c>
      <c r="I506" s="38">
        <f t="shared" si="549"/>
        <v>67.5</v>
      </c>
      <c r="J506" s="38">
        <f t="shared" si="536"/>
        <v>13.498571428058041</v>
      </c>
      <c r="K506" s="38">
        <f t="shared" si="537"/>
        <v>111.2597434825621</v>
      </c>
      <c r="N506" s="39">
        <v>0.31250000000000699</v>
      </c>
      <c r="O506" s="38">
        <f t="shared" si="550"/>
        <v>67.5</v>
      </c>
      <c r="P506" s="38">
        <f t="shared" si="538"/>
        <v>19.330132692653422</v>
      </c>
      <c r="Q506" s="38">
        <f t="shared" si="539"/>
        <v>101.74914593417589</v>
      </c>
      <c r="T506" s="39">
        <v>0.31250000000000699</v>
      </c>
      <c r="U506" s="38">
        <f t="shared" si="551"/>
        <v>67.5</v>
      </c>
      <c r="V506" s="38">
        <f t="shared" si="540"/>
        <v>25.162850773484312</v>
      </c>
      <c r="W506" s="38">
        <f t="shared" si="541"/>
        <v>90.43004238513339</v>
      </c>
      <c r="Z506" s="39">
        <v>0.31250000000000699</v>
      </c>
      <c r="AA506" s="38">
        <f t="shared" si="552"/>
        <v>67.5</v>
      </c>
      <c r="AB506" s="38">
        <f t="shared" si="542"/>
        <v>28.772243768360124</v>
      </c>
      <c r="AC506" s="38">
        <f t="shared" si="543"/>
        <v>81.718231438519879</v>
      </c>
      <c r="AF506" s="39">
        <v>0.31250000000000699</v>
      </c>
      <c r="AG506" s="38">
        <f t="shared" si="553"/>
        <v>67.5</v>
      </c>
      <c r="AH506" s="38">
        <f t="shared" si="544"/>
        <v>30.015522183197557</v>
      </c>
      <c r="AI506" s="38">
        <f t="shared" si="545"/>
        <v>78.194885172264662</v>
      </c>
      <c r="AL506" s="39">
        <v>0.31250000000000699</v>
      </c>
      <c r="AM506" s="38">
        <f t="shared" si="554"/>
        <v>67.5</v>
      </c>
      <c r="AN506" s="38">
        <f t="shared" si="546"/>
        <v>6.511795406946673</v>
      </c>
      <c r="AO506" s="38">
        <f t="shared" si="547"/>
        <v>121.45182292614267</v>
      </c>
    </row>
    <row r="507" spans="2:41" x14ac:dyDescent="0.25">
      <c r="B507" s="39">
        <v>0.32291666666667401</v>
      </c>
      <c r="C507" s="38">
        <f t="shared" si="548"/>
        <v>63.75</v>
      </c>
      <c r="D507" s="38">
        <f t="shared" si="534"/>
        <v>11.278163581719056</v>
      </c>
      <c r="E507" s="38">
        <f t="shared" si="535"/>
        <v>120.83756358632267</v>
      </c>
      <c r="H507" s="39">
        <v>0.32291666666667401</v>
      </c>
      <c r="I507" s="38">
        <f t="shared" si="549"/>
        <v>63.75</v>
      </c>
      <c r="J507" s="38">
        <f t="shared" si="536"/>
        <v>16.529915409788753</v>
      </c>
      <c r="K507" s="38">
        <f t="shared" si="537"/>
        <v>113.41702555590207</v>
      </c>
      <c r="N507" s="39">
        <v>0.32291666666667401</v>
      </c>
      <c r="O507" s="38">
        <f t="shared" si="550"/>
        <v>63.75</v>
      </c>
      <c r="P507" s="38">
        <f t="shared" si="538"/>
        <v>22.525895242190451</v>
      </c>
      <c r="Q507" s="38">
        <f t="shared" si="539"/>
        <v>103.84998044163052</v>
      </c>
      <c r="T507" s="39">
        <v>0.32291666666667401</v>
      </c>
      <c r="U507" s="38">
        <f t="shared" si="551"/>
        <v>63.75</v>
      </c>
      <c r="V507" s="38">
        <f t="shared" si="540"/>
        <v>28.439070612188356</v>
      </c>
      <c r="W507" s="38">
        <f t="shared" si="541"/>
        <v>92.292492004032212</v>
      </c>
      <c r="Z507" s="39">
        <v>0.32291666666667401</v>
      </c>
      <c r="AA507" s="38">
        <f t="shared" si="552"/>
        <v>63.75</v>
      </c>
      <c r="AB507" s="38">
        <f t="shared" si="542"/>
        <v>32.021406767963803</v>
      </c>
      <c r="AC507" s="38">
        <f t="shared" si="543"/>
        <v>83.290489355515945</v>
      </c>
      <c r="AF507" s="39">
        <v>0.32291666666667401</v>
      </c>
      <c r="AG507" s="38">
        <f t="shared" si="553"/>
        <v>63.75</v>
      </c>
      <c r="AH507" s="38">
        <f t="shared" si="544"/>
        <v>33.231546345941183</v>
      </c>
      <c r="AI507" s="38">
        <f t="shared" si="545"/>
        <v>79.6298130154468</v>
      </c>
      <c r="AL507" s="39">
        <v>0.32291666666667401</v>
      </c>
      <c r="AM507" s="38">
        <f t="shared" si="554"/>
        <v>63.75</v>
      </c>
      <c r="AN507" s="38">
        <f t="shared" si="546"/>
        <v>9.2763817745006225</v>
      </c>
      <c r="AO507" s="38">
        <f t="shared" si="547"/>
        <v>123.51905028147097</v>
      </c>
    </row>
    <row r="508" spans="2:41" x14ac:dyDescent="0.25">
      <c r="B508" s="39">
        <v>0.33333333333334098</v>
      </c>
      <c r="C508" s="38">
        <f t="shared" si="548"/>
        <v>60</v>
      </c>
      <c r="D508" s="38">
        <f t="shared" si="534"/>
        <v>14.059262104382505</v>
      </c>
      <c r="E508" s="38">
        <f t="shared" si="535"/>
        <v>123.05053955246156</v>
      </c>
      <c r="H508" s="39">
        <v>0.33333333333334098</v>
      </c>
      <c r="I508" s="38">
        <f t="shared" si="549"/>
        <v>60</v>
      </c>
      <c r="J508" s="38">
        <f t="shared" si="536"/>
        <v>19.510962189955375</v>
      </c>
      <c r="K508" s="38">
        <f t="shared" si="537"/>
        <v>115.68321173167392</v>
      </c>
      <c r="N508" s="39">
        <v>0.33333333333334098</v>
      </c>
      <c r="O508" s="38">
        <f t="shared" si="550"/>
        <v>60</v>
      </c>
      <c r="P508" s="38">
        <f t="shared" si="538"/>
        <v>25.692175676161611</v>
      </c>
      <c r="Q508" s="38">
        <f t="shared" si="539"/>
        <v>106.05155080847399</v>
      </c>
      <c r="T508" s="39">
        <v>0.33333333333334098</v>
      </c>
      <c r="U508" s="38">
        <f t="shared" si="551"/>
        <v>60</v>
      </c>
      <c r="V508" s="38">
        <f t="shared" si="540"/>
        <v>31.710922299799869</v>
      </c>
      <c r="W508" s="38">
        <f t="shared" si="541"/>
        <v>94.223487161165693</v>
      </c>
      <c r="Z508" s="39">
        <v>0.33333333333334098</v>
      </c>
      <c r="AA508" s="38">
        <f t="shared" si="552"/>
        <v>60</v>
      </c>
      <c r="AB508" s="38">
        <f t="shared" si="542"/>
        <v>35.281146205343326</v>
      </c>
      <c r="AC508" s="38">
        <f t="shared" si="543"/>
        <v>84.888900516560128</v>
      </c>
      <c r="AF508" s="39">
        <v>0.33333333333334098</v>
      </c>
      <c r="AG508" s="38">
        <f t="shared" si="553"/>
        <v>60</v>
      </c>
      <c r="AH508" s="38">
        <f t="shared" si="544"/>
        <v>36.462362723804389</v>
      </c>
      <c r="AI508" s="38">
        <f t="shared" si="545"/>
        <v>81.070349439875727</v>
      </c>
      <c r="AL508" s="39">
        <v>0.33333333333334098</v>
      </c>
      <c r="AM508" s="38">
        <f t="shared" si="554"/>
        <v>60</v>
      </c>
      <c r="AN508" s="38">
        <f t="shared" si="546"/>
        <v>11.973998043852726</v>
      </c>
      <c r="AO508" s="38">
        <f t="shared" si="547"/>
        <v>125.69140900534735</v>
      </c>
    </row>
    <row r="509" spans="2:41" x14ac:dyDescent="0.25">
      <c r="B509" s="39">
        <v>0.34375000000000799</v>
      </c>
      <c r="C509" s="38">
        <f t="shared" si="548"/>
        <v>56.25</v>
      </c>
      <c r="D509" s="38">
        <f t="shared" si="534"/>
        <v>16.769463305979212</v>
      </c>
      <c r="E509" s="38">
        <f t="shared" si="535"/>
        <v>125.38187795681219</v>
      </c>
      <c r="H509" s="39">
        <v>0.34375000000000799</v>
      </c>
      <c r="I509" s="38">
        <f t="shared" si="549"/>
        <v>56.25</v>
      </c>
      <c r="J509" s="38">
        <f t="shared" si="536"/>
        <v>22.434258111019091</v>
      </c>
      <c r="K509" s="38">
        <f t="shared" si="537"/>
        <v>118.07440513137465</v>
      </c>
      <c r="N509" s="39">
        <v>0.34375000000000799</v>
      </c>
      <c r="O509" s="38">
        <f t="shared" si="550"/>
        <v>56.25</v>
      </c>
      <c r="P509" s="38">
        <f t="shared" si="538"/>
        <v>28.822645126011576</v>
      </c>
      <c r="Q509" s="38">
        <f t="shared" si="539"/>
        <v>108.37443170049823</v>
      </c>
      <c r="T509" s="39">
        <v>0.34375000000000799</v>
      </c>
      <c r="U509" s="38">
        <f t="shared" si="551"/>
        <v>56.25</v>
      </c>
      <c r="V509" s="38">
        <f t="shared" si="540"/>
        <v>34.974417388320632</v>
      </c>
      <c r="W509" s="38">
        <f t="shared" si="541"/>
        <v>96.24332352940452</v>
      </c>
      <c r="Z509" s="39">
        <v>0.34375000000000799</v>
      </c>
      <c r="AA509" s="38">
        <f t="shared" si="552"/>
        <v>56.25</v>
      </c>
      <c r="AB509" s="38">
        <f t="shared" si="542"/>
        <v>38.549110338439199</v>
      </c>
      <c r="AC509" s="38">
        <f t="shared" si="543"/>
        <v>86.527726957166905</v>
      </c>
      <c r="AF509" s="39">
        <v>0.34375000000000799</v>
      </c>
      <c r="AG509" s="38">
        <f t="shared" si="553"/>
        <v>56.25</v>
      </c>
      <c r="AH509" s="38">
        <f t="shared" si="544"/>
        <v>39.706025776532329</v>
      </c>
      <c r="AI509" s="38">
        <f t="shared" si="545"/>
        <v>82.527008733511849</v>
      </c>
      <c r="AL509" s="39">
        <v>0.34375000000000799</v>
      </c>
      <c r="AM509" s="38">
        <f t="shared" si="554"/>
        <v>56.25</v>
      </c>
      <c r="AN509" s="38">
        <f t="shared" si="546"/>
        <v>14.597189463724497</v>
      </c>
      <c r="AO509" s="38">
        <f t="shared" si="547"/>
        <v>127.97855876579692</v>
      </c>
    </row>
    <row r="510" spans="2:41" x14ac:dyDescent="0.25">
      <c r="B510" s="39">
        <v>0.35416666666667501</v>
      </c>
      <c r="C510" s="38">
        <f t="shared" si="548"/>
        <v>52.5</v>
      </c>
      <c r="D510" s="38">
        <f t="shared" si="534"/>
        <v>19.400276233661796</v>
      </c>
      <c r="E510" s="38">
        <f t="shared" si="535"/>
        <v>127.84342261220388</v>
      </c>
      <c r="H510" s="39">
        <v>0.35416666666667501</v>
      </c>
      <c r="I510" s="38">
        <f t="shared" si="549"/>
        <v>52.5</v>
      </c>
      <c r="J510" s="38">
        <f t="shared" si="536"/>
        <v>25.291241540631635</v>
      </c>
      <c r="K510" s="38">
        <f t="shared" si="537"/>
        <v>120.60807300109047</v>
      </c>
      <c r="N510" s="39">
        <v>0.35416666666667501</v>
      </c>
      <c r="O510" s="38">
        <f t="shared" si="550"/>
        <v>52.5</v>
      </c>
      <c r="P510" s="38">
        <f t="shared" si="538"/>
        <v>31.909888209924574</v>
      </c>
      <c r="Q510" s="38">
        <f t="shared" si="539"/>
        <v>110.84208166695709</v>
      </c>
      <c r="T510" s="39">
        <v>0.35416666666667501</v>
      </c>
      <c r="U510" s="38">
        <f t="shared" si="551"/>
        <v>52.5</v>
      </c>
      <c r="V510" s="38">
        <f t="shared" si="540"/>
        <v>38.224953628425979</v>
      </c>
      <c r="W510" s="38">
        <f t="shared" si="541"/>
        <v>98.376179162707373</v>
      </c>
      <c r="Z510" s="39">
        <v>0.35416666666667501</v>
      </c>
      <c r="AA510" s="38">
        <f t="shared" si="552"/>
        <v>52.5</v>
      </c>
      <c r="AB510" s="38">
        <f t="shared" si="542"/>
        <v>41.822821825662864</v>
      </c>
      <c r="AC510" s="38">
        <f t="shared" si="543"/>
        <v>88.224074258995941</v>
      </c>
      <c r="AF510" s="39">
        <v>0.35416666666667501</v>
      </c>
      <c r="AG510" s="38">
        <f t="shared" si="553"/>
        <v>52.5</v>
      </c>
      <c r="AH510" s="38">
        <f t="shared" si="544"/>
        <v>42.96061211769922</v>
      </c>
      <c r="AI510" s="38">
        <f t="shared" si="545"/>
        <v>84.012214678363549</v>
      </c>
      <c r="AL510" s="39">
        <v>0.35416666666667501</v>
      </c>
      <c r="AM510" s="38">
        <f t="shared" si="554"/>
        <v>52.5</v>
      </c>
      <c r="AN510" s="38">
        <f t="shared" si="546"/>
        <v>17.137665556052134</v>
      </c>
      <c r="AO510" s="38">
        <f t="shared" si="547"/>
        <v>130.3903755505236</v>
      </c>
    </row>
    <row r="511" spans="2:41" x14ac:dyDescent="0.25">
      <c r="B511" s="39">
        <v>0.36458333333334197</v>
      </c>
      <c r="C511" s="38">
        <f t="shared" si="548"/>
        <v>48.75</v>
      </c>
      <c r="D511" s="38">
        <f t="shared" si="534"/>
        <v>21.942189912903377</v>
      </c>
      <c r="E511" s="38">
        <f t="shared" si="535"/>
        <v>130.44731074461853</v>
      </c>
      <c r="H511" s="39">
        <v>0.36458333333334197</v>
      </c>
      <c r="I511" s="38">
        <f t="shared" si="549"/>
        <v>48.75</v>
      </c>
      <c r="J511" s="38">
        <f t="shared" si="536"/>
        <v>28.072055721927772</v>
      </c>
      <c r="K511" s="38">
        <f t="shared" si="537"/>
        <v>123.30307977599769</v>
      </c>
      <c r="N511" s="39">
        <v>0.36458333333334197</v>
      </c>
      <c r="O511" s="38">
        <f t="shared" si="550"/>
        <v>48.75</v>
      </c>
      <c r="P511" s="38">
        <f t="shared" si="538"/>
        <v>34.945120246913362</v>
      </c>
      <c r="Q511" s="38">
        <f t="shared" si="539"/>
        <v>113.48140560843196</v>
      </c>
      <c r="T511" s="39">
        <v>0.36458333333334197</v>
      </c>
      <c r="U511" s="38">
        <f t="shared" si="551"/>
        <v>48.75</v>
      </c>
      <c r="V511" s="38">
        <f t="shared" si="540"/>
        <v>41.45707268537295</v>
      </c>
      <c r="W511" s="38">
        <f t="shared" si="541"/>
        <v>100.65136727844748</v>
      </c>
      <c r="Z511" s="39">
        <v>0.36458333333334197</v>
      </c>
      <c r="AA511" s="38">
        <f t="shared" si="552"/>
        <v>48.75</v>
      </c>
      <c r="AB511" s="38">
        <f t="shared" si="542"/>
        <v>45.099572366631499</v>
      </c>
      <c r="AC511" s="38">
        <f t="shared" si="543"/>
        <v>89.999015835276197</v>
      </c>
      <c r="AF511" s="39">
        <v>0.36458333333334197</v>
      </c>
      <c r="AG511" s="38">
        <f t="shared" si="553"/>
        <v>48.75</v>
      </c>
      <c r="AH511" s="38">
        <f t="shared" si="544"/>
        <v>46.224165608624986</v>
      </c>
      <c r="AI511" s="38">
        <f t="shared" si="545"/>
        <v>85.541114838437892</v>
      </c>
      <c r="AL511" s="39">
        <v>0.36458333333334197</v>
      </c>
      <c r="AM511" s="38">
        <f t="shared" si="554"/>
        <v>48.75</v>
      </c>
      <c r="AN511" s="38">
        <f t="shared" si="546"/>
        <v>19.586235619270049</v>
      </c>
      <c r="AO511" s="38">
        <f t="shared" si="547"/>
        <v>132.93677234267744</v>
      </c>
    </row>
    <row r="512" spans="2:41" x14ac:dyDescent="0.25">
      <c r="B512" s="39">
        <v>0.37500000000000899</v>
      </c>
      <c r="C512" s="38">
        <f t="shared" si="548"/>
        <v>45</v>
      </c>
      <c r="D512" s="38">
        <f t="shared" ref="D512:D543" si="555">IF((DEGREES(ASIN(COS(RADIANS($E$477))*COS(RADIANS($D$477))*COS(RADIANS(C512))+SIN(RADIANS($E$477))*SIN(RADIANS($D$477)))))&lt;0,0,DEGREES(ASIN(COS(RADIANS($E$477))*COS(RADIANS($D$477))*COS(RADIANS(C512))+SIN(RADIANS($E$477))*SIN(RADIANS($D$477)))))</f>
        <v>24.384588412739522</v>
      </c>
      <c r="E512" s="38">
        <f t="shared" si="535"/>
        <v>133.20572092919525</v>
      </c>
      <c r="H512" s="39">
        <v>0.37500000000000899</v>
      </c>
      <c r="I512" s="38">
        <f t="shared" si="549"/>
        <v>45</v>
      </c>
      <c r="J512" s="38">
        <f t="shared" ref="J512:J543" si="556">IF((DEGREES(ASIN(COS(RADIANS($K$477))*COS(RADIANS($J$477))*COS(RADIANS(I512))+SIN(RADIANS($K$477))*SIN(RADIANS($J$477)))))&lt;0,0,DEGREES(ASIN(COS(RADIANS($K$477))*COS(RADIANS($J$477))*COS(RADIANS(I512))+SIN(RADIANS($K$477))*SIN(RADIANS($J$477)))))</f>
        <v>30.765345417017471</v>
      </c>
      <c r="K512" s="38">
        <f t="shared" si="537"/>
        <v>126.17960888604199</v>
      </c>
      <c r="N512" s="39">
        <v>0.37500000000000899</v>
      </c>
      <c r="O512" s="38">
        <f t="shared" si="550"/>
        <v>45</v>
      </c>
      <c r="P512" s="38">
        <f t="shared" ref="P512:P543" si="557">IF((DEGREES(ASIN(COS(RADIANS($Q$477))*COS(RADIANS($P$477))*COS(RADIANS(O512))+SIN(RADIANS($Q$477))*SIN(RADIANS($P$477)))))&lt;0,0,DEGREES(ASIN(COS(RADIANS($Q$477))*COS(RADIANS($P$477))*COS(RADIANS(O512))+SIN(RADIANS($Q$477))*SIN(RADIANS($P$477)))))</f>
        <v>37.917838062207871</v>
      </c>
      <c r="Q512" s="38">
        <f t="shared" si="539"/>
        <v>116.32334178613942</v>
      </c>
      <c r="T512" s="39">
        <v>0.37500000000000899</v>
      </c>
      <c r="U512" s="38">
        <f t="shared" si="551"/>
        <v>45</v>
      </c>
      <c r="V512" s="38">
        <f t="shared" ref="V512:V543" si="558">IF((DEGREES(ASIN(COS(RADIANS($W$477))*COS(RADIANS($V$477))*COS(RADIANS(U512))+SIN(RADIANS($W$477))*SIN(RADIANS($V$477)))))&lt;0,0,DEGREES(ASIN(COS(RADIANS($W$477))*COS(RADIANS($V$477))*COS(RADIANS(U512))+SIN(RADIANS($W$477))*SIN(RADIANS($V$477)))))</f>
        <v>44.664130151519252</v>
      </c>
      <c r="W512" s="38">
        <f t="shared" si="541"/>
        <v>103.10500710121094</v>
      </c>
      <c r="Z512" s="39">
        <v>0.37500000000000899</v>
      </c>
      <c r="AA512" s="38">
        <f t="shared" si="552"/>
        <v>45</v>
      </c>
      <c r="AB512" s="38">
        <f t="shared" ref="AB512:AB543" si="559">IF((DEGREES(ASIN(COS(RADIANS($AC$477))*COS(RADIANS($AB$477))*COS(RADIANS(AA512))+SIN(RADIANS($AC$477))*SIN(RADIANS($AB$477)))))&lt;0,0,DEGREES(ASIN(COS(RADIANS($AC$477))*COS(RADIANS($AB$477))*COS(RADIANS(AA512))+SIN(RADIANS($AC$477))*SIN(RADIANS($AB$477)))))</f>
        <v>48.376276838475924</v>
      </c>
      <c r="AC512" s="38">
        <f t="shared" si="543"/>
        <v>91.879215872253667</v>
      </c>
      <c r="AF512" s="39">
        <v>0.37500000000000899</v>
      </c>
      <c r="AG512" s="38">
        <f t="shared" si="553"/>
        <v>45</v>
      </c>
      <c r="AH512" s="38">
        <f t="shared" ref="AH512:AH543" si="560">IF((DEGREES(ASIN(COS(RADIANS($AI$477))*COS(RADIANS($AH$477))*COS(RADIANS(AG512))+SIN(RADIANS($AI$477))*SIN(RADIANS($AH$477)))))&lt;0,0,DEGREES(ASIN(COS(RADIANS($AI$477))*COS(RADIANS($AH$477))*COS(RADIANS(AG512))+SIN(RADIANS($AI$477))*SIN(RADIANS($AH$477)))))</f>
        <v>49.494624805188728</v>
      </c>
      <c r="AI512" s="38">
        <f t="shared" si="545"/>
        <v>87.132774729162193</v>
      </c>
      <c r="AL512" s="39">
        <v>0.37500000000000899</v>
      </c>
      <c r="AM512" s="38">
        <f t="shared" si="554"/>
        <v>45</v>
      </c>
      <c r="AN512" s="38">
        <f t="shared" ref="AN512:AN543" si="561">IF((DEGREES(ASIN(COS(RADIANS($AO$477))*COS(RADIANS($AN$477))*COS(RADIANS(AM512))+SIN(RADIANS($AO$477))*SIN(RADIANS($AN$477)))))&lt;0,0,DEGREES(ASIN(COS(RADIANS($AO$477))*COS(RADIANS($AN$477))*COS(RADIANS(AM512))+SIN(RADIANS($AO$477))*SIN(RADIANS($AN$477)))))</f>
        <v>21.932757611792816</v>
      </c>
      <c r="AO512" s="38">
        <f t="shared" si="547"/>
        <v>135.62743572218571</v>
      </c>
    </row>
    <row r="513" spans="2:41" x14ac:dyDescent="0.25">
      <c r="B513" s="39">
        <v>0.38541666666667601</v>
      </c>
      <c r="C513" s="38">
        <f t="shared" si="548"/>
        <v>41.25</v>
      </c>
      <c r="D513" s="38">
        <f t="shared" si="555"/>
        <v>26.715685126409543</v>
      </c>
      <c r="E513" s="38">
        <f t="shared" si="535"/>
        <v>136.13049473461055</v>
      </c>
      <c r="H513" s="39">
        <v>0.38541666666667601</v>
      </c>
      <c r="I513" s="38">
        <f t="shared" si="549"/>
        <v>41.25</v>
      </c>
      <c r="J513" s="38">
        <f t="shared" si="556"/>
        <v>33.358045300933625</v>
      </c>
      <c r="K513" s="38">
        <f t="shared" si="537"/>
        <v>129.25891291072787</v>
      </c>
      <c r="N513" s="39">
        <v>0.38541666666667601</v>
      </c>
      <c r="O513" s="38">
        <f t="shared" si="550"/>
        <v>41.25</v>
      </c>
      <c r="P513" s="38">
        <f t="shared" si="557"/>
        <v>40.815391627671936</v>
      </c>
      <c r="Q513" s="38">
        <f t="shared" si="539"/>
        <v>119.40341509345691</v>
      </c>
      <c r="T513" s="39">
        <v>0.38541666666667601</v>
      </c>
      <c r="U513" s="38">
        <f t="shared" si="551"/>
        <v>41.25</v>
      </c>
      <c r="V513" s="38">
        <f t="shared" si="558"/>
        <v>47.83783699317511</v>
      </c>
      <c r="W513" s="38">
        <f t="shared" si="541"/>
        <v>105.78226550468355</v>
      </c>
      <c r="Z513" s="39">
        <v>0.38541666666667601</v>
      </c>
      <c r="AA513" s="38">
        <f t="shared" si="552"/>
        <v>41.25</v>
      </c>
      <c r="AB513" s="38">
        <f t="shared" si="559"/>
        <v>51.649262093243195</v>
      </c>
      <c r="AC513" s="38">
        <f t="shared" si="543"/>
        <v>93.899332656890536</v>
      </c>
      <c r="AF513" s="39">
        <v>0.38541666666667601</v>
      </c>
      <c r="AG513" s="38">
        <f t="shared" si="553"/>
        <v>41.25</v>
      </c>
      <c r="AH513" s="38">
        <f t="shared" si="560"/>
        <v>52.769720664377957</v>
      </c>
      <c r="AI513" s="38">
        <f t="shared" si="545"/>
        <v>88.81198326588455</v>
      </c>
      <c r="AL513" s="39">
        <v>0.38541666666667601</v>
      </c>
      <c r="AM513" s="38">
        <f t="shared" si="554"/>
        <v>41.25</v>
      </c>
      <c r="AN513" s="38">
        <f t="shared" si="561"/>
        <v>24.166109926844587</v>
      </c>
      <c r="AO513" s="38">
        <f t="shared" si="547"/>
        <v>138.47146075448535</v>
      </c>
    </row>
    <row r="514" spans="2:41" x14ac:dyDescent="0.25">
      <c r="B514" s="39">
        <v>0.39583333333334297</v>
      </c>
      <c r="C514" s="38">
        <f t="shared" si="548"/>
        <v>37.5</v>
      </c>
      <c r="D514" s="38">
        <f t="shared" si="555"/>
        <v>28.922490816842991</v>
      </c>
      <c r="E514" s="38">
        <f t="shared" si="535"/>
        <v>139.23260387733126</v>
      </c>
      <c r="H514" s="39">
        <v>0.39583333333334297</v>
      </c>
      <c r="I514" s="38">
        <f t="shared" si="549"/>
        <v>37.5</v>
      </c>
      <c r="J514" s="38">
        <f t="shared" si="556"/>
        <v>35.835175511130984</v>
      </c>
      <c r="K514" s="38">
        <f t="shared" si="537"/>
        <v>132.56281068287498</v>
      </c>
      <c r="N514" s="39">
        <v>0.39583333333334297</v>
      </c>
      <c r="O514" s="38">
        <f t="shared" si="550"/>
        <v>37.5</v>
      </c>
      <c r="P514" s="38">
        <f t="shared" si="557"/>
        <v>43.622466760373143</v>
      </c>
      <c r="Q514" s="38">
        <f t="shared" si="539"/>
        <v>122.7621402386509</v>
      </c>
      <c r="T514" s="39">
        <v>0.39583333333334297</v>
      </c>
      <c r="U514" s="38">
        <f t="shared" si="551"/>
        <v>37.5</v>
      </c>
      <c r="V514" s="38">
        <f t="shared" si="558"/>
        <v>50.967611476198663</v>
      </c>
      <c r="W514" s="38">
        <f t="shared" si="541"/>
        <v>108.74036417415215</v>
      </c>
      <c r="Z514" s="39">
        <v>0.39583333333334297</v>
      </c>
      <c r="AA514" s="38">
        <f t="shared" si="552"/>
        <v>37.5</v>
      </c>
      <c r="AB514" s="38">
        <f t="shared" si="559"/>
        <v>54.913948124932922</v>
      </c>
      <c r="AC514" s="38">
        <f t="shared" si="543"/>
        <v>96.105674545759157</v>
      </c>
      <c r="AF514" s="39">
        <v>0.39583333333334297</v>
      </c>
      <c r="AG514" s="38">
        <f t="shared" si="553"/>
        <v>37.5</v>
      </c>
      <c r="AH514" s="38">
        <f t="shared" si="560"/>
        <v>56.046823385268709</v>
      </c>
      <c r="AI514" s="38">
        <f t="shared" si="545"/>
        <v>90.61207438362122</v>
      </c>
      <c r="AL514" s="39">
        <v>0.39583333333334297</v>
      </c>
      <c r="AM514" s="38">
        <f t="shared" si="554"/>
        <v>37.5</v>
      </c>
      <c r="AN514" s="38">
        <f t="shared" si="561"/>
        <v>26.274198419946664</v>
      </c>
      <c r="AO514" s="38">
        <f t="shared" si="547"/>
        <v>141.47686865889102</v>
      </c>
    </row>
    <row r="515" spans="2:41" x14ac:dyDescent="0.25">
      <c r="B515" s="39">
        <v>0.40625000000000999</v>
      </c>
      <c r="C515" s="38">
        <f t="shared" si="548"/>
        <v>33.75</v>
      </c>
      <c r="D515" s="38">
        <f t="shared" si="555"/>
        <v>30.990834556452949</v>
      </c>
      <c r="E515" s="38">
        <f t="shared" si="535"/>
        <v>142.52143909470107</v>
      </c>
      <c r="H515" s="39">
        <v>0.40625000000000999</v>
      </c>
      <c r="I515" s="38">
        <f t="shared" si="549"/>
        <v>33.75</v>
      </c>
      <c r="J515" s="38">
        <f t="shared" si="556"/>
        <v>38.179670651416338</v>
      </c>
      <c r="K515" s="38">
        <f t="shared" si="537"/>
        <v>136.11282940374056</v>
      </c>
      <c r="N515" s="39">
        <v>0.40625000000000999</v>
      </c>
      <c r="O515" s="38">
        <f t="shared" si="550"/>
        <v>33.75</v>
      </c>
      <c r="P515" s="38">
        <f t="shared" si="557"/>
        <v>46.320478579735997</v>
      </c>
      <c r="Q515" s="38">
        <f t="shared" si="539"/>
        <v>126.44506276310834</v>
      </c>
      <c r="T515" s="39">
        <v>0.40625000000000999</v>
      </c>
      <c r="U515" s="38">
        <f t="shared" si="551"/>
        <v>33.75</v>
      </c>
      <c r="V515" s="38">
        <f t="shared" si="558"/>
        <v>54.039650904780103</v>
      </c>
      <c r="W515" s="38">
        <f t="shared" si="541"/>
        <v>112.05257298961578</v>
      </c>
      <c r="Z515" s="39">
        <v>0.40625000000000999</v>
      </c>
      <c r="AA515" s="38">
        <f t="shared" si="552"/>
        <v>33.75</v>
      </c>
      <c r="AB515" s="38">
        <f t="shared" si="559"/>
        <v>58.164346888803252</v>
      </c>
      <c r="AC515" s="38">
        <f t="shared" si="543"/>
        <v>98.561922812309618</v>
      </c>
      <c r="AF515" s="39">
        <v>0.40625000000000999</v>
      </c>
      <c r="AG515" s="38">
        <f t="shared" si="553"/>
        <v>33.75</v>
      </c>
      <c r="AH515" s="38">
        <f t="shared" si="560"/>
        <v>59.322699706541478</v>
      </c>
      <c r="AI515" s="38">
        <f t="shared" si="545"/>
        <v>92.579502568460512</v>
      </c>
      <c r="AL515" s="39">
        <v>0.40625000000000999</v>
      </c>
      <c r="AM515" s="38">
        <f t="shared" si="554"/>
        <v>33.75</v>
      </c>
      <c r="AN515" s="38">
        <f t="shared" si="561"/>
        <v>28.244013838389392</v>
      </c>
      <c r="AO515" s="38">
        <f t="shared" si="547"/>
        <v>144.64999837856956</v>
      </c>
    </row>
    <row r="516" spans="2:41" x14ac:dyDescent="0.25">
      <c r="B516" s="39">
        <v>0.41666666666667701</v>
      </c>
      <c r="C516" s="38">
        <f t="shared" si="548"/>
        <v>30</v>
      </c>
      <c r="D516" s="38">
        <f t="shared" si="555"/>
        <v>32.905461024397972</v>
      </c>
      <c r="E516" s="38">
        <f t="shared" si="535"/>
        <v>146.00391008327136</v>
      </c>
      <c r="H516" s="39">
        <v>0.41666666666667701</v>
      </c>
      <c r="I516" s="38">
        <f t="shared" si="549"/>
        <v>30</v>
      </c>
      <c r="J516" s="38">
        <f t="shared" si="556"/>
        <v>40.372283263057838</v>
      </c>
      <c r="K516" s="38">
        <f t="shared" si="537"/>
        <v>139.92887778576829</v>
      </c>
      <c r="N516" s="39">
        <v>0.41666666666667701</v>
      </c>
      <c r="O516" s="38">
        <f t="shared" si="550"/>
        <v>30</v>
      </c>
      <c r="P516" s="38">
        <f t="shared" si="557"/>
        <v>48.886897226423812</v>
      </c>
      <c r="Q516" s="38">
        <f t="shared" si="539"/>
        <v>130.50207880604776</v>
      </c>
      <c r="T516" s="39">
        <v>0.41666666666667701</v>
      </c>
      <c r="U516" s="38">
        <f t="shared" si="551"/>
        <v>30</v>
      </c>
      <c r="V516" s="38">
        <f t="shared" si="558"/>
        <v>57.035590824811003</v>
      </c>
      <c r="W516" s="38">
        <f t="shared" si="541"/>
        <v>115.81336219038403</v>
      </c>
      <c r="Z516" s="39">
        <v>0.41666666666667701</v>
      </c>
      <c r="AA516" s="38">
        <f t="shared" si="552"/>
        <v>30</v>
      </c>
      <c r="AB516" s="38">
        <f t="shared" si="559"/>
        <v>61.392241505320605</v>
      </c>
      <c r="AC516" s="38">
        <f t="shared" si="543"/>
        <v>101.35836541579947</v>
      </c>
      <c r="AF516" s="39">
        <v>0.41666666666667701</v>
      </c>
      <c r="AG516" s="38">
        <f t="shared" si="553"/>
        <v>30</v>
      </c>
      <c r="AH516" s="38">
        <f t="shared" si="560"/>
        <v>62.593106094089499</v>
      </c>
      <c r="AI516" s="38">
        <f t="shared" si="545"/>
        <v>94.781580028246267</v>
      </c>
      <c r="AL516" s="39">
        <v>0.41666666666667701</v>
      </c>
      <c r="AM516" s="38">
        <f t="shared" si="554"/>
        <v>30</v>
      </c>
      <c r="AN516" s="38">
        <f t="shared" si="561"/>
        <v>30.061756873161897</v>
      </c>
      <c r="AO516" s="38">
        <f t="shared" si="547"/>
        <v>147.99477629228704</v>
      </c>
    </row>
    <row r="517" spans="2:41" x14ac:dyDescent="0.25">
      <c r="B517" s="39">
        <v>0.42708333333334397</v>
      </c>
      <c r="C517" s="38">
        <f t="shared" si="548"/>
        <v>26.25</v>
      </c>
      <c r="D517" s="38">
        <f t="shared" si="555"/>
        <v>34.650230397850954</v>
      </c>
      <c r="E517" s="38">
        <f t="shared" si="535"/>
        <v>149.68337155354564</v>
      </c>
      <c r="H517" s="39">
        <v>0.42708333333334397</v>
      </c>
      <c r="I517" s="38">
        <f t="shared" si="549"/>
        <v>26.25</v>
      </c>
      <c r="J517" s="38">
        <f t="shared" si="556"/>
        <v>42.391620499718478</v>
      </c>
      <c r="K517" s="38">
        <f t="shared" si="537"/>
        <v>144.0273475811118</v>
      </c>
      <c r="N517" s="39">
        <v>0.42708333333334397</v>
      </c>
      <c r="O517" s="38">
        <f t="shared" si="550"/>
        <v>26.25</v>
      </c>
      <c r="P517" s="38">
        <f t="shared" si="557"/>
        <v>51.294570362538316</v>
      </c>
      <c r="Q517" s="38">
        <f t="shared" si="539"/>
        <v>134.98547249466944</v>
      </c>
      <c r="T517" s="39">
        <v>0.42708333333334397</v>
      </c>
      <c r="U517" s="38">
        <f t="shared" si="551"/>
        <v>26.25</v>
      </c>
      <c r="V517" s="38">
        <f t="shared" si="558"/>
        <v>59.930568118002149</v>
      </c>
      <c r="W517" s="38">
        <f t="shared" si="541"/>
        <v>120.14460887116333</v>
      </c>
      <c r="Z517" s="39">
        <v>0.42708333333334397</v>
      </c>
      <c r="AA517" s="38">
        <f t="shared" si="552"/>
        <v>26.25</v>
      </c>
      <c r="AB517" s="38">
        <f t="shared" si="559"/>
        <v>64.585782985082858</v>
      </c>
      <c r="AC517" s="38">
        <f t="shared" si="543"/>
        <v>104.62726841663668</v>
      </c>
      <c r="AF517" s="39">
        <v>0.42708333333334397</v>
      </c>
      <c r="AG517" s="38">
        <f t="shared" si="553"/>
        <v>26.25</v>
      </c>
      <c r="AH517" s="38">
        <f t="shared" si="560"/>
        <v>65.852065383625572</v>
      </c>
      <c r="AI517" s="38">
        <f t="shared" si="545"/>
        <v>97.320207125180872</v>
      </c>
      <c r="AL517" s="39">
        <v>0.42708333333334397</v>
      </c>
      <c r="AM517" s="38">
        <f t="shared" si="554"/>
        <v>26.25</v>
      </c>
      <c r="AN517" s="38">
        <f t="shared" si="561"/>
        <v>31.713048394548739</v>
      </c>
      <c r="AO517" s="38">
        <f t="shared" si="547"/>
        <v>151.51188958435233</v>
      </c>
    </row>
    <row r="518" spans="2:41" x14ac:dyDescent="0.25">
      <c r="B518" s="39">
        <v>0.43750000000001099</v>
      </c>
      <c r="C518" s="38">
        <f t="shared" si="548"/>
        <v>22.5</v>
      </c>
      <c r="D518" s="38">
        <f t="shared" si="555"/>
        <v>36.208446274887592</v>
      </c>
      <c r="E518" s="38">
        <f t="shared" si="535"/>
        <v>153.55843146920597</v>
      </c>
      <c r="H518" s="39">
        <v>0.43750000000001099</v>
      </c>
      <c r="I518" s="38">
        <f t="shared" si="549"/>
        <v>22.5</v>
      </c>
      <c r="J518" s="38">
        <f t="shared" si="556"/>
        <v>44.214390206386447</v>
      </c>
      <c r="K518" s="38">
        <f t="shared" si="537"/>
        <v>148.41859837283576</v>
      </c>
      <c r="N518" s="39">
        <v>0.43750000000001099</v>
      </c>
      <c r="O518" s="38">
        <f t="shared" si="550"/>
        <v>22.5</v>
      </c>
      <c r="P518" s="38">
        <f t="shared" si="557"/>
        <v>53.511182146893155</v>
      </c>
      <c r="Q518" s="38">
        <f t="shared" si="539"/>
        <v>139.94588643023204</v>
      </c>
      <c r="T518" s="39">
        <v>0.43750000000001099</v>
      </c>
      <c r="U518" s="38">
        <f t="shared" si="551"/>
        <v>22.5</v>
      </c>
      <c r="V518" s="38">
        <f t="shared" si="558"/>
        <v>62.690464615065913</v>
      </c>
      <c r="W518" s="38">
        <f t="shared" si="541"/>
        <v>125.20187087249079</v>
      </c>
      <c r="Z518" s="39">
        <v>0.43750000000001099</v>
      </c>
      <c r="AA518" s="38">
        <f t="shared" si="552"/>
        <v>22.5</v>
      </c>
      <c r="AB518" s="38">
        <f t="shared" si="559"/>
        <v>67.726979199740114</v>
      </c>
      <c r="AC518" s="38">
        <f t="shared" si="543"/>
        <v>108.56923628320526</v>
      </c>
      <c r="AF518" s="39">
        <v>0.43750000000001099</v>
      </c>
      <c r="AG518" s="38">
        <f t="shared" si="553"/>
        <v>22.5</v>
      </c>
      <c r="AH518" s="38">
        <f t="shared" si="560"/>
        <v>69.090493335033685</v>
      </c>
      <c r="AI518" s="38">
        <f t="shared" si="545"/>
        <v>100.35764369223884</v>
      </c>
      <c r="AL518" s="39">
        <v>0.43750000000001099</v>
      </c>
      <c r="AM518" s="38">
        <f t="shared" si="554"/>
        <v>22.5</v>
      </c>
      <c r="AN518" s="38">
        <f t="shared" si="561"/>
        <v>33.183239710423024</v>
      </c>
      <c r="AO518" s="38">
        <f t="shared" si="547"/>
        <v>155.19791851925839</v>
      </c>
    </row>
    <row r="519" spans="2:41" x14ac:dyDescent="0.25">
      <c r="B519" s="39">
        <v>0.44791666666667801</v>
      </c>
      <c r="C519" s="38">
        <f t="shared" si="548"/>
        <v>18.75</v>
      </c>
      <c r="D519" s="38">
        <f t="shared" si="555"/>
        <v>37.563330162247965</v>
      </c>
      <c r="E519" s="38">
        <f t="shared" si="535"/>
        <v>157.62175289757303</v>
      </c>
      <c r="H519" s="39">
        <v>0.44791666666667801</v>
      </c>
      <c r="I519" s="38">
        <f t="shared" si="549"/>
        <v>18.75</v>
      </c>
      <c r="J519" s="38">
        <f t="shared" si="556"/>
        <v>45.81594254196353</v>
      </c>
      <c r="K519" s="38">
        <f t="shared" si="537"/>
        <v>153.10391096537683</v>
      </c>
      <c r="N519" s="39">
        <v>0.44791666666667801</v>
      </c>
      <c r="O519" s="38">
        <f t="shared" si="550"/>
        <v>18.75</v>
      </c>
      <c r="P519" s="38">
        <f t="shared" si="557"/>
        <v>55.499102628871825</v>
      </c>
      <c r="Q519" s="38">
        <f t="shared" si="539"/>
        <v>145.4253210888285</v>
      </c>
      <c r="T519" s="39">
        <v>0.44791666666667801</v>
      </c>
      <c r="U519" s="38">
        <f t="shared" si="551"/>
        <v>18.75</v>
      </c>
      <c r="V519" s="38">
        <f t="shared" si="558"/>
        <v>65.268156818681931</v>
      </c>
      <c r="W519" s="38">
        <f t="shared" si="541"/>
        <v>131.17743758952719</v>
      </c>
      <c r="Z519" s="39">
        <v>0.44791666666667801</v>
      </c>
      <c r="AA519" s="38">
        <f t="shared" si="552"/>
        <v>18.75</v>
      </c>
      <c r="AB519" s="38">
        <f t="shared" si="559"/>
        <v>70.786984460633946</v>
      </c>
      <c r="AC519" s="38">
        <f t="shared" si="543"/>
        <v>113.49939024616108</v>
      </c>
      <c r="AF519" s="39">
        <v>0.44791666666667801</v>
      </c>
      <c r="AG519" s="38">
        <f t="shared" si="553"/>
        <v>18.75</v>
      </c>
      <c r="AH519" s="38">
        <f t="shared" si="560"/>
        <v>72.293384766068968</v>
      </c>
      <c r="AI519" s="38">
        <f t="shared" si="545"/>
        <v>104.1681266407447</v>
      </c>
      <c r="AL519" s="39">
        <v>0.44791666666667801</v>
      </c>
      <c r="AM519" s="38">
        <f t="shared" si="554"/>
        <v>18.75</v>
      </c>
      <c r="AN519" s="38">
        <f t="shared" si="561"/>
        <v>34.457830487924248</v>
      </c>
      <c r="AO519" s="38">
        <f t="shared" si="547"/>
        <v>159.04451847156804</v>
      </c>
    </row>
    <row r="520" spans="2:41" x14ac:dyDescent="0.25">
      <c r="B520" s="39">
        <v>0.45833333333334503</v>
      </c>
      <c r="C520" s="38">
        <f t="shared" si="548"/>
        <v>15</v>
      </c>
      <c r="D520" s="38">
        <f t="shared" si="555"/>
        <v>38.698645677170404</v>
      </c>
      <c r="E520" s="38">
        <f t="shared" si="535"/>
        <v>161.85902247462414</v>
      </c>
      <c r="H520" s="39">
        <v>0.45833333333334503</v>
      </c>
      <c r="I520" s="38">
        <f t="shared" si="549"/>
        <v>15</v>
      </c>
      <c r="J520" s="38">
        <f t="shared" si="556"/>
        <v>47.171183666421868</v>
      </c>
      <c r="K520" s="38">
        <f t="shared" si="537"/>
        <v>158.07221451643386</v>
      </c>
      <c r="N520" s="39">
        <v>0.45833333333334503</v>
      </c>
      <c r="O520" s="38">
        <f t="shared" si="550"/>
        <v>15</v>
      </c>
      <c r="P520" s="38">
        <f t="shared" si="557"/>
        <v>57.216020869058788</v>
      </c>
      <c r="Q520" s="38">
        <f t="shared" si="539"/>
        <v>151.44653063273847</v>
      </c>
      <c r="T520" s="39">
        <v>0.45833333333334503</v>
      </c>
      <c r="U520" s="38">
        <f t="shared" si="551"/>
        <v>15</v>
      </c>
      <c r="V520" s="38">
        <f t="shared" si="558"/>
        <v>67.598954830624706</v>
      </c>
      <c r="W520" s="38">
        <f t="shared" si="541"/>
        <v>138.29175263373307</v>
      </c>
      <c r="Z520" s="39">
        <v>0.45833333333334503</v>
      </c>
      <c r="AA520" s="38">
        <f t="shared" si="552"/>
        <v>15</v>
      </c>
      <c r="AB520" s="38">
        <f t="shared" si="559"/>
        <v>73.716868534260627</v>
      </c>
      <c r="AC520" s="38">
        <f t="shared" si="543"/>
        <v>119.92772911026881</v>
      </c>
      <c r="AF520" s="39">
        <v>0.45833333333334503</v>
      </c>
      <c r="AG520" s="38">
        <f t="shared" si="553"/>
        <v>15</v>
      </c>
      <c r="AH520" s="38">
        <f t="shared" si="560"/>
        <v>75.433504705998018</v>
      </c>
      <c r="AI520" s="38">
        <f t="shared" si="545"/>
        <v>109.24906860936896</v>
      </c>
      <c r="AL520" s="39">
        <v>0.45833333333334503</v>
      </c>
      <c r="AM520" s="38">
        <f t="shared" si="554"/>
        <v>15</v>
      </c>
      <c r="AN520" s="38">
        <f t="shared" si="561"/>
        <v>35.522989333110019</v>
      </c>
      <c r="AO520" s="38">
        <f t="shared" si="547"/>
        <v>163.03777709301244</v>
      </c>
    </row>
    <row r="521" spans="2:41" x14ac:dyDescent="0.25">
      <c r="B521" s="39">
        <v>0.46875000000001199</v>
      </c>
      <c r="C521" s="38">
        <f t="shared" si="548"/>
        <v>11.25</v>
      </c>
      <c r="D521" s="38">
        <f t="shared" si="555"/>
        <v>39.59945085560684</v>
      </c>
      <c r="E521" s="38">
        <f t="shared" si="535"/>
        <v>166.24830839048562</v>
      </c>
      <c r="H521" s="39">
        <v>0.46875000000001199</v>
      </c>
      <c r="I521" s="38">
        <f t="shared" si="549"/>
        <v>11.25</v>
      </c>
      <c r="J521" s="38">
        <f t="shared" si="556"/>
        <v>48.25589415893748</v>
      </c>
      <c r="K521" s="38">
        <f t="shared" si="537"/>
        <v>163.29717964264177</v>
      </c>
      <c r="N521" s="39">
        <v>0.46875000000001199</v>
      </c>
      <c r="O521" s="38">
        <f t="shared" si="550"/>
        <v>11.25</v>
      </c>
      <c r="P521" s="38">
        <f t="shared" si="557"/>
        <v>58.616853977994438</v>
      </c>
      <c r="Q521" s="38">
        <f t="shared" si="539"/>
        <v>157.99929972761512</v>
      </c>
      <c r="T521" s="39">
        <v>0.46875000000001199</v>
      </c>
      <c r="U521" s="38">
        <f t="shared" si="551"/>
        <v>11.25</v>
      </c>
      <c r="V521" s="38">
        <f t="shared" si="558"/>
        <v>69.596565752550561</v>
      </c>
      <c r="W521" s="38">
        <f t="shared" si="541"/>
        <v>146.75599465400742</v>
      </c>
      <c r="Z521" s="39">
        <v>0.46875000000001199</v>
      </c>
      <c r="AA521" s="38">
        <f t="shared" si="552"/>
        <v>11.25</v>
      </c>
      <c r="AB521" s="38">
        <f t="shared" si="559"/>
        <v>76.429094176248185</v>
      </c>
      <c r="AC521" s="38">
        <f t="shared" si="543"/>
        <v>128.68561539914822</v>
      </c>
      <c r="AF521" s="39">
        <v>0.46875000000001199</v>
      </c>
      <c r="AG521" s="38">
        <f t="shared" si="553"/>
        <v>11.25</v>
      </c>
      <c r="AH521" s="38">
        <f t="shared" si="560"/>
        <v>78.455669637047322</v>
      </c>
      <c r="AI521" s="38">
        <f t="shared" si="545"/>
        <v>116.57818835866789</v>
      </c>
      <c r="AL521" s="39">
        <v>0.46875000000001199</v>
      </c>
      <c r="AM521" s="38">
        <f t="shared" si="554"/>
        <v>11.25</v>
      </c>
      <c r="AN521" s="38">
        <f t="shared" si="561"/>
        <v>36.366154188325488</v>
      </c>
      <c r="AO521" s="38">
        <f t="shared" si="547"/>
        <v>167.15789370895516</v>
      </c>
    </row>
    <row r="522" spans="2:41" x14ac:dyDescent="0.25">
      <c r="B522" s="39">
        <v>0.47916666666667901</v>
      </c>
      <c r="C522" s="38">
        <f t="shared" si="548"/>
        <v>7.5</v>
      </c>
      <c r="D522" s="38">
        <f t="shared" si="555"/>
        <v>40.252925148188915</v>
      </c>
      <c r="E522" s="38">
        <f t="shared" si="535"/>
        <v>170.76004269642502</v>
      </c>
      <c r="H522" s="39">
        <v>0.47916666666667901</v>
      </c>
      <c r="I522" s="38">
        <f t="shared" si="549"/>
        <v>7.5</v>
      </c>
      <c r="J522" s="38">
        <f t="shared" si="556"/>
        <v>49.048397047237927</v>
      </c>
      <c r="K522" s="38">
        <f t="shared" si="537"/>
        <v>168.7355306847478</v>
      </c>
      <c r="N522" s="39">
        <v>0.47916666666667901</v>
      </c>
      <c r="O522" s="38">
        <f t="shared" si="550"/>
        <v>7.5</v>
      </c>
      <c r="P522" s="38">
        <f t="shared" si="557"/>
        <v>59.657337876891468</v>
      </c>
      <c r="Q522" s="38">
        <f t="shared" si="539"/>
        <v>165.0263893989974</v>
      </c>
      <c r="T522" s="39">
        <v>0.47916666666667901</v>
      </c>
      <c r="U522" s="38">
        <f t="shared" si="551"/>
        <v>7.5</v>
      </c>
      <c r="V522" s="38">
        <f t="shared" si="558"/>
        <v>71.153492145808059</v>
      </c>
      <c r="W522" s="38">
        <f t="shared" si="541"/>
        <v>156.6816185628833</v>
      </c>
      <c r="Z522" s="39">
        <v>0.47916666666667901</v>
      </c>
      <c r="AA522" s="38">
        <f t="shared" si="552"/>
        <v>7.5</v>
      </c>
      <c r="AB522" s="38">
        <f t="shared" si="559"/>
        <v>78.76214670694506</v>
      </c>
      <c r="AC522" s="38">
        <f t="shared" si="543"/>
        <v>141.03663144895643</v>
      </c>
      <c r="AF522" s="39">
        <v>0.47916666666667901</v>
      </c>
      <c r="AG522" s="38">
        <f t="shared" si="553"/>
        <v>7.5</v>
      </c>
      <c r="AH522" s="38">
        <f t="shared" si="560"/>
        <v>81.233104553844399</v>
      </c>
      <c r="AI522" s="38">
        <f t="shared" si="545"/>
        <v>128.21842313636409</v>
      </c>
      <c r="AL522" s="39">
        <v>0.47916666666667901</v>
      </c>
      <c r="AM522" s="38">
        <f t="shared" si="554"/>
        <v>7.5</v>
      </c>
      <c r="AN522" s="38">
        <f t="shared" si="561"/>
        <v>36.976668988232902</v>
      </c>
      <c r="AO522" s="38">
        <f t="shared" si="547"/>
        <v>171.37932242748633</v>
      </c>
    </row>
    <row r="523" spans="2:41" x14ac:dyDescent="0.25">
      <c r="B523" s="39">
        <v>0.48958333333334603</v>
      </c>
      <c r="C523" s="38">
        <f t="shared" si="548"/>
        <v>3.75</v>
      </c>
      <c r="D523" s="38">
        <f t="shared" si="555"/>
        <v>40.649185615358824</v>
      </c>
      <c r="E523" s="38">
        <f t="shared" si="535"/>
        <v>175.35781034426219</v>
      </c>
      <c r="H523" s="39">
        <v>0.48958333333334603</v>
      </c>
      <c r="I523" s="38">
        <f t="shared" si="549"/>
        <v>3.75</v>
      </c>
      <c r="J523" s="38">
        <f t="shared" si="556"/>
        <v>49.531397023007216</v>
      </c>
      <c r="K523" s="38">
        <f t="shared" si="537"/>
        <v>174.32749519391402</v>
      </c>
      <c r="N523" s="39">
        <v>0.48958333333334603</v>
      </c>
      <c r="O523" s="38">
        <f t="shared" si="550"/>
        <v>3.75</v>
      </c>
      <c r="P523" s="38">
        <f t="shared" si="557"/>
        <v>60.299249131306105</v>
      </c>
      <c r="Q523" s="38">
        <f t="shared" si="539"/>
        <v>172.4148830898562</v>
      </c>
      <c r="T523" s="39">
        <v>0.48958333333334603</v>
      </c>
      <c r="U523" s="38">
        <f t="shared" si="551"/>
        <v>3.75</v>
      </c>
      <c r="V523" s="38">
        <f t="shared" si="558"/>
        <v>72.153091524052229</v>
      </c>
      <c r="W523" s="38">
        <f t="shared" si="541"/>
        <v>167.93263486331608</v>
      </c>
      <c r="Z523" s="39">
        <v>0.48958333333334603</v>
      </c>
      <c r="AA523" s="38">
        <f t="shared" si="552"/>
        <v>3.75</v>
      </c>
      <c r="AB523" s="38">
        <f t="shared" si="559"/>
        <v>80.432145839576975</v>
      </c>
      <c r="AC523" s="38">
        <f t="shared" si="543"/>
        <v>158.31961546125007</v>
      </c>
      <c r="AF523" s="39">
        <v>0.48958333333334603</v>
      </c>
      <c r="AG523" s="38">
        <f t="shared" si="553"/>
        <v>3.75</v>
      </c>
      <c r="AH523" s="38">
        <f t="shared" si="560"/>
        <v>83.443209461256842</v>
      </c>
      <c r="AI523" s="38">
        <f t="shared" si="545"/>
        <v>148.30065305276554</v>
      </c>
      <c r="AL523" s="39">
        <v>0.48958333333334603</v>
      </c>
      <c r="AM523" s="38">
        <f t="shared" si="554"/>
        <v>3.75</v>
      </c>
      <c r="AN523" s="38">
        <f t="shared" si="561"/>
        <v>37.346394091249465</v>
      </c>
      <c r="AO523" s="38">
        <f t="shared" si="547"/>
        <v>175.67147571657253</v>
      </c>
    </row>
    <row r="524" spans="2:41" x14ac:dyDescent="0.25">
      <c r="B524" s="39">
        <v>0.50000000000001299</v>
      </c>
      <c r="C524" s="38">
        <f t="shared" si="548"/>
        <v>0</v>
      </c>
      <c r="D524" s="38">
        <f t="shared" si="555"/>
        <v>40.781985178432421</v>
      </c>
      <c r="E524" s="38">
        <f>IF(E522&gt;E523,0,IF(E523&lt;90,90,180))</f>
        <v>180</v>
      </c>
      <c r="H524" s="39">
        <v>0.50000000000001299</v>
      </c>
      <c r="I524" s="38">
        <f t="shared" si="549"/>
        <v>0</v>
      </c>
      <c r="J524" s="38">
        <f t="shared" si="556"/>
        <v>49.693691449284771</v>
      </c>
      <c r="K524" s="38">
        <f>IF(K522&gt;K523,0,IF(K523&lt;90,90,180))</f>
        <v>180</v>
      </c>
      <c r="N524" s="39">
        <v>0.50000000000001299</v>
      </c>
      <c r="O524" s="38">
        <f t="shared" si="550"/>
        <v>0</v>
      </c>
      <c r="P524" s="38">
        <f t="shared" si="557"/>
        <v>60.51634679814569</v>
      </c>
      <c r="Q524" s="38">
        <f>IF(Q522&gt;Q523,0,IF(Q523&lt;90,90,180))</f>
        <v>180</v>
      </c>
      <c r="T524" s="39">
        <v>0.50000000000001299</v>
      </c>
      <c r="U524" s="38">
        <f t="shared" si="551"/>
        <v>0</v>
      </c>
      <c r="V524" s="38">
        <f t="shared" si="558"/>
        <v>72.499036651251458</v>
      </c>
      <c r="W524" s="38">
        <f>IF(W522&gt;W523,0,IF(W523&lt;90,90,180))</f>
        <v>180</v>
      </c>
      <c r="Z524" s="39">
        <v>0.50000000000001299</v>
      </c>
      <c r="AA524" s="38">
        <f t="shared" si="552"/>
        <v>0</v>
      </c>
      <c r="AB524" s="38">
        <f t="shared" si="559"/>
        <v>81.058014821567568</v>
      </c>
      <c r="AC524" s="38">
        <f>IF(AC522&gt;AC523,0,IF(AC523&lt;90,90,180))</f>
        <v>180</v>
      </c>
      <c r="AF524" s="39">
        <v>0.50000000000001299</v>
      </c>
      <c r="AG524" s="38">
        <f t="shared" si="553"/>
        <v>0</v>
      </c>
      <c r="AH524" s="38">
        <f t="shared" si="560"/>
        <v>84.369782846813621</v>
      </c>
      <c r="AI524" s="38">
        <f>IF(AI522&gt;AI523,0,IF(AI523&lt;90,90,180))</f>
        <v>180</v>
      </c>
      <c r="AL524" s="39">
        <v>0.50000000000001299</v>
      </c>
      <c r="AM524" s="38">
        <f t="shared" si="554"/>
        <v>0</v>
      </c>
      <c r="AN524" s="38">
        <f t="shared" si="561"/>
        <v>37.47021715318634</v>
      </c>
      <c r="AO524" s="38">
        <f>IF(AO522&gt;AO523,0,IF(AO523&lt;90,90,180))</f>
        <v>180</v>
      </c>
    </row>
    <row r="525" spans="2:41" x14ac:dyDescent="0.25">
      <c r="B525" s="39">
        <v>0.5</v>
      </c>
      <c r="C525" s="38">
        <v>0</v>
      </c>
      <c r="D525" s="38">
        <f t="shared" si="555"/>
        <v>40.781985178432421</v>
      </c>
      <c r="E525" s="38">
        <f>+IF(E524=0,360,IF(E524=90,270,180))</f>
        <v>180</v>
      </c>
      <c r="H525" s="39">
        <v>0.5</v>
      </c>
      <c r="I525" s="38">
        <v>0</v>
      </c>
      <c r="J525" s="38">
        <f t="shared" si="556"/>
        <v>49.693691449284771</v>
      </c>
      <c r="K525" s="38">
        <f>+IF(K524=0,360,IF(K524=90,270,180))</f>
        <v>180</v>
      </c>
      <c r="N525" s="39">
        <v>0.5</v>
      </c>
      <c r="O525" s="38">
        <v>0</v>
      </c>
      <c r="P525" s="38">
        <f t="shared" si="557"/>
        <v>60.51634679814569</v>
      </c>
      <c r="Q525" s="38">
        <f>+IF(Q524=0,360,IF(Q524=90,270,180))</f>
        <v>180</v>
      </c>
      <c r="T525" s="39">
        <v>0.5</v>
      </c>
      <c r="U525" s="38">
        <v>0</v>
      </c>
      <c r="V525" s="38">
        <f t="shared" si="558"/>
        <v>72.499036651251458</v>
      </c>
      <c r="W525" s="38">
        <f>+IF(W524=0,360,IF(W524=90,270,180))</f>
        <v>180</v>
      </c>
      <c r="Z525" s="39">
        <v>0.5</v>
      </c>
      <c r="AA525" s="38">
        <v>0</v>
      </c>
      <c r="AB525" s="38">
        <f t="shared" si="559"/>
        <v>81.058014821567568</v>
      </c>
      <c r="AC525" s="38">
        <f>+IF(AC524=0,360,IF(AC524=90,270,180))</f>
        <v>180</v>
      </c>
      <c r="AF525" s="39">
        <v>0.5</v>
      </c>
      <c r="AG525" s="38">
        <v>0</v>
      </c>
      <c r="AH525" s="38">
        <f t="shared" si="560"/>
        <v>84.369782846813621</v>
      </c>
      <c r="AI525" s="38">
        <f>+IF(AI524=0,360,IF(AI524=90,270,180))</f>
        <v>180</v>
      </c>
      <c r="AL525" s="39">
        <v>0.5</v>
      </c>
      <c r="AM525" s="38">
        <v>0</v>
      </c>
      <c r="AN525" s="38">
        <f t="shared" si="561"/>
        <v>37.47021715318634</v>
      </c>
      <c r="AO525" s="38">
        <f>+IF(AO524=0,360,IF(AO524=90,270,180))</f>
        <v>180</v>
      </c>
    </row>
    <row r="526" spans="2:41" x14ac:dyDescent="0.25">
      <c r="B526" s="39">
        <v>0.51041666666666663</v>
      </c>
      <c r="C526" s="38">
        <f t="shared" ref="C526:C569" si="562">+C525-3.75</f>
        <v>-3.75</v>
      </c>
      <c r="D526" s="38">
        <f t="shared" si="555"/>
        <v>40.649185615358824</v>
      </c>
      <c r="E526" s="38">
        <f t="shared" ref="E526:E569" si="563">360-(180-DEGREES(ACOS((((SIN(RADIANS(D526)))*SIN(RADIANS($E$477)))-SIN(RADIANS($D$477)))/((COS(RADIANS(D526)))*COS(RADIANS($E$477))))))</f>
        <v>184.64218965573781</v>
      </c>
      <c r="H526" s="39">
        <v>0.51041666666666663</v>
      </c>
      <c r="I526" s="38">
        <f t="shared" ref="I526:I569" si="564">+I525-3.75</f>
        <v>-3.75</v>
      </c>
      <c r="J526" s="38">
        <f t="shared" si="556"/>
        <v>49.531397023007216</v>
      </c>
      <c r="K526" s="38">
        <f t="shared" ref="K526:K569" si="565">360-(180-DEGREES(ACOS((((SIN(RADIANS(J526)))*SIN(RADIANS($K$477)))-SIN(RADIANS($J$477)))/((COS(RADIANS(J526)))*COS(RADIANS($K$477))))))</f>
        <v>185.67250480608598</v>
      </c>
      <c r="N526" s="39">
        <v>0.51041666666666663</v>
      </c>
      <c r="O526" s="38">
        <f t="shared" ref="O526:O569" si="566">+O525-3.75</f>
        <v>-3.75</v>
      </c>
      <c r="P526" s="38">
        <f t="shared" si="557"/>
        <v>60.299249131306105</v>
      </c>
      <c r="Q526" s="38">
        <f t="shared" ref="Q526:Q569" si="567">360-(180-DEGREES(ACOS((((SIN(RADIANS(P526)))*SIN(RADIANS($Q$477)))-SIN(RADIANS($P$477)))/((COS(RADIANS(P526)))*COS(RADIANS($Q$477))))))</f>
        <v>187.5851169101438</v>
      </c>
      <c r="T526" s="39">
        <v>0.51041666666666663</v>
      </c>
      <c r="U526" s="38">
        <f t="shared" ref="U526:U569" si="568">+U525-3.75</f>
        <v>-3.75</v>
      </c>
      <c r="V526" s="38">
        <f t="shared" si="558"/>
        <v>72.153091524052229</v>
      </c>
      <c r="W526" s="38">
        <f t="shared" ref="W526:W569" si="569">360-(180-DEGREES(ACOS((((SIN(RADIANS(V526)))*SIN(RADIANS($W$477)))-SIN(RADIANS($V$477)))/((COS(RADIANS(V526)))*COS(RADIANS($W$477))))))</f>
        <v>192.06736513668392</v>
      </c>
      <c r="Z526" s="39">
        <v>0.51041666666666663</v>
      </c>
      <c r="AA526" s="38">
        <f t="shared" ref="AA526:AA569" si="570">+AA525-3.75</f>
        <v>-3.75</v>
      </c>
      <c r="AB526" s="38">
        <f t="shared" si="559"/>
        <v>80.432145839576975</v>
      </c>
      <c r="AC526" s="38">
        <f t="shared" ref="AC526:AC569" si="571">360-(180-DEGREES(ACOS((((SIN(RADIANS(AB526)))*SIN(RADIANS($AC$477)))-SIN(RADIANS($AB$477)))/((COS(RADIANS(AB526)))*COS(RADIANS($AC$477))))))</f>
        <v>201.68038453874993</v>
      </c>
      <c r="AF526" s="39">
        <v>0.51041666666666663</v>
      </c>
      <c r="AG526" s="38">
        <f t="shared" ref="AG526:AG569" si="572">+AG525-3.75</f>
        <v>-3.75</v>
      </c>
      <c r="AH526" s="38">
        <f t="shared" si="560"/>
        <v>83.443209461256842</v>
      </c>
      <c r="AI526" s="38">
        <f t="shared" ref="AI526:AI569" si="573">360-(180-DEGREES(ACOS((((SIN(RADIANS(AH526)))*SIN(RADIANS($AI$477)))-SIN(RADIANS($AH$477)))/((COS(RADIANS(AH526)))*COS(RADIANS($AI$477))))))</f>
        <v>211.69934694723446</v>
      </c>
      <c r="AL526" s="39">
        <v>0.51041666666666663</v>
      </c>
      <c r="AM526" s="38">
        <f t="shared" ref="AM526:AM569" si="574">+AM525-3.75</f>
        <v>-3.75</v>
      </c>
      <c r="AN526" s="38">
        <f t="shared" si="561"/>
        <v>37.346394091249465</v>
      </c>
      <c r="AO526" s="38">
        <f t="shared" ref="AO526:AO569" si="575">360-(180-DEGREES(ACOS((((SIN(RADIANS(AN526)))*SIN(RADIANS($AO$477)))-SIN(RADIANS($AN$477)))/((COS(RADIANS(AN526)))*COS(RADIANS($AO$477))))))</f>
        <v>184.32852428342747</v>
      </c>
    </row>
    <row r="527" spans="2:41" x14ac:dyDescent="0.25">
      <c r="B527" s="39">
        <v>0.52083333333333304</v>
      </c>
      <c r="C527" s="38">
        <f t="shared" si="562"/>
        <v>-7.5</v>
      </c>
      <c r="D527" s="38">
        <f t="shared" si="555"/>
        <v>40.252925148188915</v>
      </c>
      <c r="E527" s="38">
        <f t="shared" si="563"/>
        <v>189.23995730357498</v>
      </c>
      <c r="H527" s="39">
        <v>0.52083333333333304</v>
      </c>
      <c r="I527" s="38">
        <f t="shared" si="564"/>
        <v>-7.5</v>
      </c>
      <c r="J527" s="38">
        <f t="shared" si="556"/>
        <v>49.048397047237927</v>
      </c>
      <c r="K527" s="38">
        <f t="shared" si="565"/>
        <v>191.2644693152522</v>
      </c>
      <c r="N527" s="39">
        <v>0.52083333333333304</v>
      </c>
      <c r="O527" s="38">
        <f t="shared" si="566"/>
        <v>-7.5</v>
      </c>
      <c r="P527" s="38">
        <f t="shared" si="557"/>
        <v>59.657337876891468</v>
      </c>
      <c r="Q527" s="38">
        <f t="shared" si="567"/>
        <v>194.9736106010026</v>
      </c>
      <c r="T527" s="39">
        <v>0.52083333333333304</v>
      </c>
      <c r="U527" s="38">
        <f t="shared" si="568"/>
        <v>-7.5</v>
      </c>
      <c r="V527" s="38">
        <f t="shared" si="558"/>
        <v>71.153492145808059</v>
      </c>
      <c r="W527" s="38">
        <f t="shared" si="569"/>
        <v>203.3183814371167</v>
      </c>
      <c r="Z527" s="39">
        <v>0.52083333333333304</v>
      </c>
      <c r="AA527" s="38">
        <f t="shared" si="570"/>
        <v>-7.5</v>
      </c>
      <c r="AB527" s="38">
        <f t="shared" si="559"/>
        <v>78.76214670694506</v>
      </c>
      <c r="AC527" s="38">
        <f t="shared" si="571"/>
        <v>218.96336855104357</v>
      </c>
      <c r="AF527" s="39">
        <v>0.52083333333333304</v>
      </c>
      <c r="AG527" s="38">
        <f t="shared" si="572"/>
        <v>-7.5</v>
      </c>
      <c r="AH527" s="38">
        <f t="shared" si="560"/>
        <v>81.233104553844399</v>
      </c>
      <c r="AI527" s="38">
        <f t="shared" si="573"/>
        <v>231.78157686363591</v>
      </c>
      <c r="AL527" s="39">
        <v>0.52083333333333304</v>
      </c>
      <c r="AM527" s="38">
        <f t="shared" si="574"/>
        <v>-7.5</v>
      </c>
      <c r="AN527" s="38">
        <f t="shared" si="561"/>
        <v>36.976668988232902</v>
      </c>
      <c r="AO527" s="38">
        <f t="shared" si="575"/>
        <v>188.62067757251367</v>
      </c>
    </row>
    <row r="528" spans="2:41" x14ac:dyDescent="0.25">
      <c r="B528" s="39">
        <v>0.53125</v>
      </c>
      <c r="C528" s="38">
        <f t="shared" si="562"/>
        <v>-11.25</v>
      </c>
      <c r="D528" s="38">
        <f t="shared" si="555"/>
        <v>39.59945085560684</v>
      </c>
      <c r="E528" s="38">
        <f t="shared" si="563"/>
        <v>193.75169160951438</v>
      </c>
      <c r="H528" s="39">
        <v>0.53125</v>
      </c>
      <c r="I528" s="38">
        <f t="shared" si="564"/>
        <v>-11.25</v>
      </c>
      <c r="J528" s="38">
        <f t="shared" si="556"/>
        <v>48.25589415893748</v>
      </c>
      <c r="K528" s="38">
        <f t="shared" si="565"/>
        <v>196.70282035735823</v>
      </c>
      <c r="N528" s="39">
        <v>0.53125</v>
      </c>
      <c r="O528" s="38">
        <f t="shared" si="566"/>
        <v>-11.25</v>
      </c>
      <c r="P528" s="38">
        <f t="shared" si="557"/>
        <v>58.616853977994438</v>
      </c>
      <c r="Q528" s="38">
        <f t="shared" si="567"/>
        <v>202.00070027238488</v>
      </c>
      <c r="T528" s="39">
        <v>0.53125</v>
      </c>
      <c r="U528" s="38">
        <f t="shared" si="568"/>
        <v>-11.25</v>
      </c>
      <c r="V528" s="38">
        <f t="shared" si="558"/>
        <v>69.596565752550561</v>
      </c>
      <c r="W528" s="38">
        <f t="shared" si="569"/>
        <v>213.24400534599258</v>
      </c>
      <c r="Z528" s="39">
        <v>0.53125</v>
      </c>
      <c r="AA528" s="38">
        <f t="shared" si="570"/>
        <v>-11.25</v>
      </c>
      <c r="AB528" s="38">
        <f t="shared" si="559"/>
        <v>76.429094176248185</v>
      </c>
      <c r="AC528" s="38">
        <f t="shared" si="571"/>
        <v>231.31438460085178</v>
      </c>
      <c r="AF528" s="39">
        <v>0.53125</v>
      </c>
      <c r="AG528" s="38">
        <f t="shared" si="572"/>
        <v>-11.25</v>
      </c>
      <c r="AH528" s="38">
        <f t="shared" si="560"/>
        <v>78.455669637047322</v>
      </c>
      <c r="AI528" s="38">
        <f t="shared" si="573"/>
        <v>243.42181164133211</v>
      </c>
      <c r="AL528" s="39">
        <v>0.53125</v>
      </c>
      <c r="AM528" s="38">
        <f t="shared" si="574"/>
        <v>-11.25</v>
      </c>
      <c r="AN528" s="38">
        <f t="shared" si="561"/>
        <v>36.366154188325488</v>
      </c>
      <c r="AO528" s="38">
        <f t="shared" si="575"/>
        <v>192.84210629104484</v>
      </c>
    </row>
    <row r="529" spans="2:41" x14ac:dyDescent="0.25">
      <c r="B529" s="39">
        <v>0.54166666666666696</v>
      </c>
      <c r="C529" s="38">
        <f t="shared" si="562"/>
        <v>-15</v>
      </c>
      <c r="D529" s="38">
        <f t="shared" si="555"/>
        <v>38.698645677170404</v>
      </c>
      <c r="E529" s="38">
        <f t="shared" si="563"/>
        <v>198.14097752537586</v>
      </c>
      <c r="H529" s="39">
        <v>0.54166666666666696</v>
      </c>
      <c r="I529" s="38">
        <f t="shared" si="564"/>
        <v>-15</v>
      </c>
      <c r="J529" s="38">
        <f t="shared" si="556"/>
        <v>47.171183666421868</v>
      </c>
      <c r="K529" s="38">
        <f t="shared" si="565"/>
        <v>201.92778548356614</v>
      </c>
      <c r="N529" s="39">
        <v>0.54166666666666696</v>
      </c>
      <c r="O529" s="38">
        <f t="shared" si="566"/>
        <v>-15</v>
      </c>
      <c r="P529" s="38">
        <f t="shared" si="557"/>
        <v>57.216020869058788</v>
      </c>
      <c r="Q529" s="38">
        <f t="shared" si="567"/>
        <v>208.55346936726153</v>
      </c>
      <c r="T529" s="39">
        <v>0.54166666666666696</v>
      </c>
      <c r="U529" s="38">
        <f t="shared" si="568"/>
        <v>-15</v>
      </c>
      <c r="V529" s="38">
        <f t="shared" si="558"/>
        <v>67.598954830624706</v>
      </c>
      <c r="W529" s="38">
        <f t="shared" si="569"/>
        <v>221.70824736626693</v>
      </c>
      <c r="Z529" s="39">
        <v>0.54166666666666696</v>
      </c>
      <c r="AA529" s="38">
        <f t="shared" si="570"/>
        <v>-15</v>
      </c>
      <c r="AB529" s="38">
        <f t="shared" si="559"/>
        <v>73.716868534260627</v>
      </c>
      <c r="AC529" s="38">
        <f t="shared" si="571"/>
        <v>240.07227088973119</v>
      </c>
      <c r="AF529" s="39">
        <v>0.54166666666666696</v>
      </c>
      <c r="AG529" s="38">
        <f t="shared" si="572"/>
        <v>-15</v>
      </c>
      <c r="AH529" s="38">
        <f t="shared" si="560"/>
        <v>75.433504705998018</v>
      </c>
      <c r="AI529" s="38">
        <f t="shared" si="573"/>
        <v>250.75093139063102</v>
      </c>
      <c r="AL529" s="39">
        <v>0.54166666666666696</v>
      </c>
      <c r="AM529" s="38">
        <f t="shared" si="574"/>
        <v>-15</v>
      </c>
      <c r="AN529" s="38">
        <f t="shared" si="561"/>
        <v>35.522989333110019</v>
      </c>
      <c r="AO529" s="38">
        <f t="shared" si="575"/>
        <v>196.96222290698756</v>
      </c>
    </row>
    <row r="530" spans="2:41" x14ac:dyDescent="0.25">
      <c r="B530" s="39">
        <v>0.55208333333333304</v>
      </c>
      <c r="C530" s="38">
        <f t="shared" si="562"/>
        <v>-18.75</v>
      </c>
      <c r="D530" s="38">
        <f t="shared" si="555"/>
        <v>37.563330162247965</v>
      </c>
      <c r="E530" s="38">
        <f t="shared" si="563"/>
        <v>202.37824710242697</v>
      </c>
      <c r="H530" s="39">
        <v>0.55208333333333304</v>
      </c>
      <c r="I530" s="38">
        <f t="shared" si="564"/>
        <v>-18.75</v>
      </c>
      <c r="J530" s="38">
        <f t="shared" si="556"/>
        <v>45.81594254196353</v>
      </c>
      <c r="K530" s="38">
        <f t="shared" si="565"/>
        <v>206.89608903462317</v>
      </c>
      <c r="N530" s="39">
        <v>0.55208333333333304</v>
      </c>
      <c r="O530" s="38">
        <f t="shared" si="566"/>
        <v>-18.75</v>
      </c>
      <c r="P530" s="38">
        <f t="shared" si="557"/>
        <v>55.499102628871825</v>
      </c>
      <c r="Q530" s="38">
        <f t="shared" si="567"/>
        <v>214.5746789111715</v>
      </c>
      <c r="T530" s="39">
        <v>0.55208333333333304</v>
      </c>
      <c r="U530" s="38">
        <f t="shared" si="568"/>
        <v>-18.75</v>
      </c>
      <c r="V530" s="38">
        <f t="shared" si="558"/>
        <v>65.268156818681931</v>
      </c>
      <c r="W530" s="38">
        <f t="shared" si="569"/>
        <v>228.82256241047281</v>
      </c>
      <c r="Z530" s="39">
        <v>0.55208333333333304</v>
      </c>
      <c r="AA530" s="38">
        <f t="shared" si="570"/>
        <v>-18.75</v>
      </c>
      <c r="AB530" s="38">
        <f t="shared" si="559"/>
        <v>70.786984460633946</v>
      </c>
      <c r="AC530" s="38">
        <f t="shared" si="571"/>
        <v>246.50060975383892</v>
      </c>
      <c r="AF530" s="39">
        <v>0.55208333333333304</v>
      </c>
      <c r="AG530" s="38">
        <f t="shared" si="572"/>
        <v>-18.75</v>
      </c>
      <c r="AH530" s="38">
        <f t="shared" si="560"/>
        <v>72.293384766068968</v>
      </c>
      <c r="AI530" s="38">
        <f t="shared" si="573"/>
        <v>255.8318733592553</v>
      </c>
      <c r="AL530" s="39">
        <v>0.55208333333333304</v>
      </c>
      <c r="AM530" s="38">
        <f t="shared" si="574"/>
        <v>-18.75</v>
      </c>
      <c r="AN530" s="38">
        <f t="shared" si="561"/>
        <v>34.457830487924248</v>
      </c>
      <c r="AO530" s="38">
        <f t="shared" si="575"/>
        <v>200.95548152843196</v>
      </c>
    </row>
    <row r="531" spans="2:41" x14ac:dyDescent="0.25">
      <c r="B531" s="39">
        <v>0.5625</v>
      </c>
      <c r="C531" s="38">
        <f t="shared" si="562"/>
        <v>-22.5</v>
      </c>
      <c r="D531" s="38">
        <f t="shared" si="555"/>
        <v>36.208446274887592</v>
      </c>
      <c r="E531" s="38">
        <f t="shared" si="563"/>
        <v>206.44156853079403</v>
      </c>
      <c r="H531" s="39">
        <v>0.5625</v>
      </c>
      <c r="I531" s="38">
        <f t="shared" si="564"/>
        <v>-22.5</v>
      </c>
      <c r="J531" s="38">
        <f t="shared" si="556"/>
        <v>44.214390206386447</v>
      </c>
      <c r="K531" s="38">
        <f t="shared" si="565"/>
        <v>211.58140162716424</v>
      </c>
      <c r="N531" s="39">
        <v>0.5625</v>
      </c>
      <c r="O531" s="38">
        <f t="shared" si="566"/>
        <v>-22.5</v>
      </c>
      <c r="P531" s="38">
        <f t="shared" si="557"/>
        <v>53.511182146893155</v>
      </c>
      <c r="Q531" s="38">
        <f t="shared" si="567"/>
        <v>220.05411356976796</v>
      </c>
      <c r="T531" s="39">
        <v>0.5625</v>
      </c>
      <c r="U531" s="38">
        <f t="shared" si="568"/>
        <v>-22.5</v>
      </c>
      <c r="V531" s="38">
        <f t="shared" si="558"/>
        <v>62.690464615065913</v>
      </c>
      <c r="W531" s="38">
        <f t="shared" si="569"/>
        <v>234.79812912750921</v>
      </c>
      <c r="Z531" s="39">
        <v>0.5625</v>
      </c>
      <c r="AA531" s="38">
        <f t="shared" si="570"/>
        <v>-22.5</v>
      </c>
      <c r="AB531" s="38">
        <f t="shared" si="559"/>
        <v>67.726979199740114</v>
      </c>
      <c r="AC531" s="38">
        <f t="shared" si="571"/>
        <v>251.43076371679473</v>
      </c>
      <c r="AF531" s="39">
        <v>0.5625</v>
      </c>
      <c r="AG531" s="38">
        <f t="shared" si="572"/>
        <v>-22.5</v>
      </c>
      <c r="AH531" s="38">
        <f t="shared" si="560"/>
        <v>69.090493335033685</v>
      </c>
      <c r="AI531" s="38">
        <f t="shared" si="573"/>
        <v>259.64235630776113</v>
      </c>
      <c r="AL531" s="39">
        <v>0.5625</v>
      </c>
      <c r="AM531" s="38">
        <f t="shared" si="574"/>
        <v>-22.5</v>
      </c>
      <c r="AN531" s="38">
        <f t="shared" si="561"/>
        <v>33.183239710423024</v>
      </c>
      <c r="AO531" s="38">
        <f t="shared" si="575"/>
        <v>204.80208148074161</v>
      </c>
    </row>
    <row r="532" spans="2:41" x14ac:dyDescent="0.25">
      <c r="B532" s="39">
        <v>0.57291666666666596</v>
      </c>
      <c r="C532" s="38">
        <f t="shared" si="562"/>
        <v>-26.25</v>
      </c>
      <c r="D532" s="38">
        <f t="shared" si="555"/>
        <v>34.650230397850954</v>
      </c>
      <c r="E532" s="38">
        <f t="shared" si="563"/>
        <v>210.31662844645436</v>
      </c>
      <c r="H532" s="39">
        <v>0.57291666666666596</v>
      </c>
      <c r="I532" s="38">
        <f t="shared" si="564"/>
        <v>-26.25</v>
      </c>
      <c r="J532" s="38">
        <f t="shared" si="556"/>
        <v>42.391620499718478</v>
      </c>
      <c r="K532" s="38">
        <f t="shared" si="565"/>
        <v>215.9726524188882</v>
      </c>
      <c r="N532" s="39">
        <v>0.57291666666666596</v>
      </c>
      <c r="O532" s="38">
        <f t="shared" si="566"/>
        <v>-26.25</v>
      </c>
      <c r="P532" s="38">
        <f t="shared" si="557"/>
        <v>51.294570362538316</v>
      </c>
      <c r="Q532" s="38">
        <f t="shared" si="567"/>
        <v>225.01452750533056</v>
      </c>
      <c r="T532" s="39">
        <v>0.57291666666666596</v>
      </c>
      <c r="U532" s="38">
        <f t="shared" si="568"/>
        <v>-26.25</v>
      </c>
      <c r="V532" s="38">
        <f t="shared" si="558"/>
        <v>59.930568118002149</v>
      </c>
      <c r="W532" s="38">
        <f t="shared" si="569"/>
        <v>239.85539112883669</v>
      </c>
      <c r="Z532" s="39">
        <v>0.57291666666666596</v>
      </c>
      <c r="AA532" s="38">
        <f t="shared" si="570"/>
        <v>-26.25</v>
      </c>
      <c r="AB532" s="38">
        <f t="shared" si="559"/>
        <v>64.585782985082858</v>
      </c>
      <c r="AC532" s="38">
        <f t="shared" si="571"/>
        <v>255.3727315833633</v>
      </c>
      <c r="AF532" s="39">
        <v>0.57291666666666596</v>
      </c>
      <c r="AG532" s="38">
        <f t="shared" si="572"/>
        <v>-26.25</v>
      </c>
      <c r="AH532" s="38">
        <f t="shared" si="560"/>
        <v>65.852065383625572</v>
      </c>
      <c r="AI532" s="38">
        <f t="shared" si="573"/>
        <v>262.6797928748191</v>
      </c>
      <c r="AL532" s="39">
        <v>0.57291666666666596</v>
      </c>
      <c r="AM532" s="38">
        <f t="shared" si="574"/>
        <v>-26.25</v>
      </c>
      <c r="AN532" s="38">
        <f t="shared" si="561"/>
        <v>31.713048394548739</v>
      </c>
      <c r="AO532" s="38">
        <f t="shared" si="575"/>
        <v>208.48811041564767</v>
      </c>
    </row>
    <row r="533" spans="2:41" x14ac:dyDescent="0.25">
      <c r="B533" s="39">
        <v>0.58333333333333304</v>
      </c>
      <c r="C533" s="38">
        <f t="shared" si="562"/>
        <v>-30</v>
      </c>
      <c r="D533" s="38">
        <f t="shared" si="555"/>
        <v>32.905461024397972</v>
      </c>
      <c r="E533" s="38">
        <f t="shared" si="563"/>
        <v>213.99608991672864</v>
      </c>
      <c r="H533" s="39">
        <v>0.58333333333333304</v>
      </c>
      <c r="I533" s="38">
        <f t="shared" si="564"/>
        <v>-30</v>
      </c>
      <c r="J533" s="38">
        <f t="shared" si="556"/>
        <v>40.372283263057838</v>
      </c>
      <c r="K533" s="38">
        <f t="shared" si="565"/>
        <v>220.07112221423171</v>
      </c>
      <c r="N533" s="39">
        <v>0.58333333333333304</v>
      </c>
      <c r="O533" s="38">
        <f t="shared" si="566"/>
        <v>-30</v>
      </c>
      <c r="P533" s="38">
        <f t="shared" si="557"/>
        <v>48.886897226423812</v>
      </c>
      <c r="Q533" s="38">
        <f t="shared" si="567"/>
        <v>229.49792119395224</v>
      </c>
      <c r="T533" s="39">
        <v>0.58333333333333304</v>
      </c>
      <c r="U533" s="38">
        <f t="shared" si="568"/>
        <v>-30</v>
      </c>
      <c r="V533" s="38">
        <f t="shared" si="558"/>
        <v>57.035590824811003</v>
      </c>
      <c r="W533" s="38">
        <f t="shared" si="569"/>
        <v>244.18663780961597</v>
      </c>
      <c r="Z533" s="39">
        <v>0.58333333333333304</v>
      </c>
      <c r="AA533" s="38">
        <f t="shared" si="570"/>
        <v>-30</v>
      </c>
      <c r="AB533" s="38">
        <f t="shared" si="559"/>
        <v>61.392241505320605</v>
      </c>
      <c r="AC533" s="38">
        <f t="shared" si="571"/>
        <v>258.64163458420052</v>
      </c>
      <c r="AF533" s="39">
        <v>0.58333333333333304</v>
      </c>
      <c r="AG533" s="38">
        <f t="shared" si="572"/>
        <v>-30</v>
      </c>
      <c r="AH533" s="38">
        <f t="shared" si="560"/>
        <v>62.593106094089499</v>
      </c>
      <c r="AI533" s="38">
        <f t="shared" si="573"/>
        <v>265.21841997175375</v>
      </c>
      <c r="AL533" s="39">
        <v>0.58333333333333304</v>
      </c>
      <c r="AM533" s="38">
        <f t="shared" si="574"/>
        <v>-30</v>
      </c>
      <c r="AN533" s="38">
        <f t="shared" si="561"/>
        <v>30.061756873161897</v>
      </c>
      <c r="AO533" s="38">
        <f t="shared" si="575"/>
        <v>212.00522370771296</v>
      </c>
    </row>
    <row r="534" spans="2:41" x14ac:dyDescent="0.25">
      <c r="B534" s="39">
        <v>0.59375</v>
      </c>
      <c r="C534" s="38">
        <f t="shared" si="562"/>
        <v>-33.75</v>
      </c>
      <c r="D534" s="38">
        <f t="shared" si="555"/>
        <v>30.990834556452949</v>
      </c>
      <c r="E534" s="38">
        <f t="shared" si="563"/>
        <v>217.47856090529893</v>
      </c>
      <c r="H534" s="39">
        <v>0.59375</v>
      </c>
      <c r="I534" s="38">
        <f t="shared" si="564"/>
        <v>-33.75</v>
      </c>
      <c r="J534" s="38">
        <f t="shared" si="556"/>
        <v>38.179670651416338</v>
      </c>
      <c r="K534" s="38">
        <f t="shared" si="565"/>
        <v>223.88717059625944</v>
      </c>
      <c r="N534" s="39">
        <v>0.59375</v>
      </c>
      <c r="O534" s="38">
        <f t="shared" si="566"/>
        <v>-33.75</v>
      </c>
      <c r="P534" s="38">
        <f t="shared" si="557"/>
        <v>46.320478579735997</v>
      </c>
      <c r="Q534" s="38">
        <f t="shared" si="567"/>
        <v>233.55493723689165</v>
      </c>
      <c r="T534" s="39">
        <v>0.59375</v>
      </c>
      <c r="U534" s="38">
        <f t="shared" si="568"/>
        <v>-33.75</v>
      </c>
      <c r="V534" s="38">
        <f t="shared" si="558"/>
        <v>54.039650904780103</v>
      </c>
      <c r="W534" s="38">
        <f t="shared" si="569"/>
        <v>247.94742701038422</v>
      </c>
      <c r="Z534" s="39">
        <v>0.59375</v>
      </c>
      <c r="AA534" s="38">
        <f t="shared" si="570"/>
        <v>-33.75</v>
      </c>
      <c r="AB534" s="38">
        <f t="shared" si="559"/>
        <v>58.164346888803252</v>
      </c>
      <c r="AC534" s="38">
        <f t="shared" si="571"/>
        <v>261.4380771876904</v>
      </c>
      <c r="AF534" s="39">
        <v>0.59375</v>
      </c>
      <c r="AG534" s="38">
        <f t="shared" si="572"/>
        <v>-33.75</v>
      </c>
      <c r="AH534" s="38">
        <f t="shared" si="560"/>
        <v>59.322699706541478</v>
      </c>
      <c r="AI534" s="38">
        <f t="shared" si="573"/>
        <v>267.4204974315395</v>
      </c>
      <c r="AL534" s="39">
        <v>0.59375</v>
      </c>
      <c r="AM534" s="38">
        <f t="shared" si="574"/>
        <v>-33.75</v>
      </c>
      <c r="AN534" s="38">
        <f t="shared" si="561"/>
        <v>28.244013838389392</v>
      </c>
      <c r="AO534" s="38">
        <f t="shared" si="575"/>
        <v>215.35000162143044</v>
      </c>
    </row>
    <row r="535" spans="2:41" x14ac:dyDescent="0.25">
      <c r="B535" s="39">
        <v>0.60416666666666596</v>
      </c>
      <c r="C535" s="38">
        <f t="shared" si="562"/>
        <v>-37.5</v>
      </c>
      <c r="D535" s="38">
        <f t="shared" si="555"/>
        <v>28.922490816842991</v>
      </c>
      <c r="E535" s="38">
        <f t="shared" si="563"/>
        <v>220.76739612266874</v>
      </c>
      <c r="H535" s="39">
        <v>0.60416666666666596</v>
      </c>
      <c r="I535" s="38">
        <f t="shared" si="564"/>
        <v>-37.5</v>
      </c>
      <c r="J535" s="38">
        <f t="shared" si="556"/>
        <v>35.835175511130984</v>
      </c>
      <c r="K535" s="38">
        <f t="shared" si="565"/>
        <v>227.43718931712502</v>
      </c>
      <c r="N535" s="39">
        <v>0.60416666666666596</v>
      </c>
      <c r="O535" s="38">
        <f t="shared" si="566"/>
        <v>-37.5</v>
      </c>
      <c r="P535" s="38">
        <f t="shared" si="557"/>
        <v>43.622466760373143</v>
      </c>
      <c r="Q535" s="38">
        <f t="shared" si="567"/>
        <v>237.23785976134911</v>
      </c>
      <c r="T535" s="39">
        <v>0.60416666666666596</v>
      </c>
      <c r="U535" s="38">
        <f t="shared" si="568"/>
        <v>-37.5</v>
      </c>
      <c r="V535" s="38">
        <f t="shared" si="558"/>
        <v>50.967611476198663</v>
      </c>
      <c r="W535" s="38">
        <f t="shared" si="569"/>
        <v>251.25963582584785</v>
      </c>
      <c r="Z535" s="39">
        <v>0.60416666666666596</v>
      </c>
      <c r="AA535" s="38">
        <f t="shared" si="570"/>
        <v>-37.5</v>
      </c>
      <c r="AB535" s="38">
        <f t="shared" si="559"/>
        <v>54.913948124932922</v>
      </c>
      <c r="AC535" s="38">
        <f t="shared" si="571"/>
        <v>263.89432545424086</v>
      </c>
      <c r="AF535" s="39">
        <v>0.60416666666666596</v>
      </c>
      <c r="AG535" s="38">
        <f t="shared" si="572"/>
        <v>-37.5</v>
      </c>
      <c r="AH535" s="38">
        <f t="shared" si="560"/>
        <v>56.046823385268709</v>
      </c>
      <c r="AI535" s="38">
        <f t="shared" si="573"/>
        <v>269.38792561637877</v>
      </c>
      <c r="AL535" s="39">
        <v>0.60416666666666596</v>
      </c>
      <c r="AM535" s="38">
        <f t="shared" si="574"/>
        <v>-37.5</v>
      </c>
      <c r="AN535" s="38">
        <f t="shared" si="561"/>
        <v>26.274198419946664</v>
      </c>
      <c r="AO535" s="38">
        <f t="shared" si="575"/>
        <v>218.52313134110898</v>
      </c>
    </row>
    <row r="536" spans="2:41" x14ac:dyDescent="0.25">
      <c r="B536" s="39">
        <v>0.61458333333333304</v>
      </c>
      <c r="C536" s="38">
        <f t="shared" si="562"/>
        <v>-41.25</v>
      </c>
      <c r="D536" s="38">
        <f t="shared" si="555"/>
        <v>26.715685126409543</v>
      </c>
      <c r="E536" s="38">
        <f t="shared" si="563"/>
        <v>223.86950526538945</v>
      </c>
      <c r="H536" s="39">
        <v>0.61458333333333304</v>
      </c>
      <c r="I536" s="38">
        <f t="shared" si="564"/>
        <v>-41.25</v>
      </c>
      <c r="J536" s="38">
        <f t="shared" si="556"/>
        <v>33.358045300933625</v>
      </c>
      <c r="K536" s="38">
        <f t="shared" si="565"/>
        <v>230.74108708927213</v>
      </c>
      <c r="N536" s="39">
        <v>0.61458333333333304</v>
      </c>
      <c r="O536" s="38">
        <f t="shared" si="566"/>
        <v>-41.25</v>
      </c>
      <c r="P536" s="38">
        <f t="shared" si="557"/>
        <v>40.815391627671936</v>
      </c>
      <c r="Q536" s="38">
        <f t="shared" si="567"/>
        <v>240.59658490654309</v>
      </c>
      <c r="T536" s="39">
        <v>0.61458333333333304</v>
      </c>
      <c r="U536" s="38">
        <f t="shared" si="568"/>
        <v>-41.25</v>
      </c>
      <c r="V536" s="38">
        <f t="shared" si="558"/>
        <v>47.83783699317511</v>
      </c>
      <c r="W536" s="38">
        <f t="shared" si="569"/>
        <v>254.21773449531645</v>
      </c>
      <c r="Z536" s="39">
        <v>0.61458333333333304</v>
      </c>
      <c r="AA536" s="38">
        <f t="shared" si="570"/>
        <v>-41.25</v>
      </c>
      <c r="AB536" s="38">
        <f t="shared" si="559"/>
        <v>51.649262093243195</v>
      </c>
      <c r="AC536" s="38">
        <f t="shared" si="571"/>
        <v>266.10066734310948</v>
      </c>
      <c r="AF536" s="39">
        <v>0.61458333333333304</v>
      </c>
      <c r="AG536" s="38">
        <f t="shared" si="572"/>
        <v>-41.25</v>
      </c>
      <c r="AH536" s="38">
        <f t="shared" si="560"/>
        <v>52.769720664377957</v>
      </c>
      <c r="AI536" s="38">
        <f t="shared" si="573"/>
        <v>271.18801673411542</v>
      </c>
      <c r="AL536" s="39">
        <v>0.61458333333333304</v>
      </c>
      <c r="AM536" s="38">
        <f t="shared" si="574"/>
        <v>-41.25</v>
      </c>
      <c r="AN536" s="38">
        <f t="shared" si="561"/>
        <v>24.166109926844587</v>
      </c>
      <c r="AO536" s="38">
        <f t="shared" si="575"/>
        <v>221.52853924551465</v>
      </c>
    </row>
    <row r="537" spans="2:41" x14ac:dyDescent="0.25">
      <c r="B537" s="39">
        <v>0.625</v>
      </c>
      <c r="C537" s="38">
        <f t="shared" si="562"/>
        <v>-45</v>
      </c>
      <c r="D537" s="38">
        <f t="shared" si="555"/>
        <v>24.384588412739522</v>
      </c>
      <c r="E537" s="38">
        <f t="shared" si="563"/>
        <v>226.79427907080475</v>
      </c>
      <c r="H537" s="39">
        <v>0.625</v>
      </c>
      <c r="I537" s="38">
        <f t="shared" si="564"/>
        <v>-45</v>
      </c>
      <c r="J537" s="38">
        <f t="shared" si="556"/>
        <v>30.765345417017471</v>
      </c>
      <c r="K537" s="38">
        <f t="shared" si="565"/>
        <v>233.82039111395801</v>
      </c>
      <c r="N537" s="39">
        <v>0.625</v>
      </c>
      <c r="O537" s="38">
        <f t="shared" si="566"/>
        <v>-45</v>
      </c>
      <c r="P537" s="38">
        <f t="shared" si="557"/>
        <v>37.917838062207871</v>
      </c>
      <c r="Q537" s="38">
        <f t="shared" si="567"/>
        <v>243.67665821386058</v>
      </c>
      <c r="T537" s="39">
        <v>0.625</v>
      </c>
      <c r="U537" s="38">
        <f t="shared" si="568"/>
        <v>-45</v>
      </c>
      <c r="V537" s="38">
        <f t="shared" si="558"/>
        <v>44.664130151519252</v>
      </c>
      <c r="W537" s="38">
        <f t="shared" si="569"/>
        <v>256.89499289878904</v>
      </c>
      <c r="Z537" s="39">
        <v>0.625</v>
      </c>
      <c r="AA537" s="38">
        <f t="shared" si="570"/>
        <v>-45</v>
      </c>
      <c r="AB537" s="38">
        <f t="shared" si="559"/>
        <v>48.376276838475924</v>
      </c>
      <c r="AC537" s="38">
        <f t="shared" si="571"/>
        <v>268.12078412774633</v>
      </c>
      <c r="AF537" s="39">
        <v>0.625</v>
      </c>
      <c r="AG537" s="38">
        <f t="shared" si="572"/>
        <v>-45</v>
      </c>
      <c r="AH537" s="38">
        <f t="shared" si="560"/>
        <v>49.494624805188728</v>
      </c>
      <c r="AI537" s="38">
        <f t="shared" si="573"/>
        <v>272.86722527083782</v>
      </c>
      <c r="AL537" s="39">
        <v>0.625</v>
      </c>
      <c r="AM537" s="38">
        <f t="shared" si="574"/>
        <v>-45</v>
      </c>
      <c r="AN537" s="38">
        <f t="shared" si="561"/>
        <v>21.932757611792816</v>
      </c>
      <c r="AO537" s="38">
        <f t="shared" si="575"/>
        <v>224.37256427781429</v>
      </c>
    </row>
    <row r="538" spans="2:41" x14ac:dyDescent="0.25">
      <c r="B538" s="39">
        <v>0.63541666666666596</v>
      </c>
      <c r="C538" s="38">
        <f t="shared" si="562"/>
        <v>-48.75</v>
      </c>
      <c r="D538" s="38">
        <f t="shared" si="555"/>
        <v>21.942189912903377</v>
      </c>
      <c r="E538" s="38">
        <f t="shared" si="563"/>
        <v>229.55268925538147</v>
      </c>
      <c r="H538" s="39">
        <v>0.63541666666666596</v>
      </c>
      <c r="I538" s="38">
        <f t="shared" si="564"/>
        <v>-48.75</v>
      </c>
      <c r="J538" s="38">
        <f t="shared" si="556"/>
        <v>28.072055721927772</v>
      </c>
      <c r="K538" s="38">
        <f t="shared" si="565"/>
        <v>236.69692022400233</v>
      </c>
      <c r="N538" s="39">
        <v>0.63541666666666596</v>
      </c>
      <c r="O538" s="38">
        <f t="shared" si="566"/>
        <v>-48.75</v>
      </c>
      <c r="P538" s="38">
        <f t="shared" si="557"/>
        <v>34.945120246913362</v>
      </c>
      <c r="Q538" s="38">
        <f t="shared" si="567"/>
        <v>246.51859439156806</v>
      </c>
      <c r="T538" s="39">
        <v>0.63541666666666596</v>
      </c>
      <c r="U538" s="38">
        <f t="shared" si="568"/>
        <v>-48.75</v>
      </c>
      <c r="V538" s="38">
        <f t="shared" si="558"/>
        <v>41.45707268537295</v>
      </c>
      <c r="W538" s="38">
        <f t="shared" si="569"/>
        <v>259.34863272155252</v>
      </c>
      <c r="Z538" s="39">
        <v>0.63541666666666596</v>
      </c>
      <c r="AA538" s="38">
        <f t="shared" si="570"/>
        <v>-48.75</v>
      </c>
      <c r="AB538" s="38">
        <f t="shared" si="559"/>
        <v>45.099572366631499</v>
      </c>
      <c r="AC538" s="38">
        <f t="shared" si="571"/>
        <v>270.00098416472383</v>
      </c>
      <c r="AF538" s="39">
        <v>0.63541666666666596</v>
      </c>
      <c r="AG538" s="38">
        <f t="shared" si="572"/>
        <v>-48.75</v>
      </c>
      <c r="AH538" s="38">
        <f t="shared" si="560"/>
        <v>46.224165608624986</v>
      </c>
      <c r="AI538" s="38">
        <f t="shared" si="573"/>
        <v>274.45888516156208</v>
      </c>
      <c r="AL538" s="39">
        <v>0.63541666666666596</v>
      </c>
      <c r="AM538" s="38">
        <f t="shared" si="574"/>
        <v>-48.75</v>
      </c>
      <c r="AN538" s="38">
        <f t="shared" si="561"/>
        <v>19.586235619270049</v>
      </c>
      <c r="AO538" s="38">
        <f t="shared" si="575"/>
        <v>227.06322765732256</v>
      </c>
    </row>
    <row r="539" spans="2:41" x14ac:dyDescent="0.25">
      <c r="B539" s="39">
        <v>0.64583333333333304</v>
      </c>
      <c r="C539" s="38">
        <f t="shared" si="562"/>
        <v>-52.5</v>
      </c>
      <c r="D539" s="38">
        <f t="shared" si="555"/>
        <v>19.400276233661796</v>
      </c>
      <c r="E539" s="38">
        <f t="shared" si="563"/>
        <v>232.15657738779612</v>
      </c>
      <c r="H539" s="39">
        <v>0.64583333333333304</v>
      </c>
      <c r="I539" s="38">
        <f t="shared" si="564"/>
        <v>-52.5</v>
      </c>
      <c r="J539" s="38">
        <f t="shared" si="556"/>
        <v>25.291241540631635</v>
      </c>
      <c r="K539" s="38">
        <f t="shared" si="565"/>
        <v>239.39192699890953</v>
      </c>
      <c r="N539" s="39">
        <v>0.64583333333333304</v>
      </c>
      <c r="O539" s="38">
        <f t="shared" si="566"/>
        <v>-52.5</v>
      </c>
      <c r="P539" s="38">
        <f t="shared" si="557"/>
        <v>31.909888209924574</v>
      </c>
      <c r="Q539" s="38">
        <f t="shared" si="567"/>
        <v>249.15791833304291</v>
      </c>
      <c r="T539" s="39">
        <v>0.64583333333333304</v>
      </c>
      <c r="U539" s="38">
        <f t="shared" si="568"/>
        <v>-52.5</v>
      </c>
      <c r="V539" s="38">
        <f t="shared" si="558"/>
        <v>38.224953628425979</v>
      </c>
      <c r="W539" s="38">
        <f t="shared" si="569"/>
        <v>261.62382083729261</v>
      </c>
      <c r="Z539" s="39">
        <v>0.64583333333333304</v>
      </c>
      <c r="AA539" s="38">
        <f t="shared" si="570"/>
        <v>-52.5</v>
      </c>
      <c r="AB539" s="38">
        <f t="shared" si="559"/>
        <v>41.822821825662864</v>
      </c>
      <c r="AC539" s="38">
        <f t="shared" si="571"/>
        <v>271.77592574100407</v>
      </c>
      <c r="AF539" s="39">
        <v>0.64583333333333304</v>
      </c>
      <c r="AG539" s="38">
        <f t="shared" si="572"/>
        <v>-52.5</v>
      </c>
      <c r="AH539" s="38">
        <f t="shared" si="560"/>
        <v>42.96061211769922</v>
      </c>
      <c r="AI539" s="38">
        <f t="shared" si="573"/>
        <v>275.98778532163647</v>
      </c>
      <c r="AL539" s="39">
        <v>0.64583333333333304</v>
      </c>
      <c r="AM539" s="38">
        <f t="shared" si="574"/>
        <v>-52.5</v>
      </c>
      <c r="AN539" s="38">
        <f t="shared" si="561"/>
        <v>17.137665556052134</v>
      </c>
      <c r="AO539" s="38">
        <f t="shared" si="575"/>
        <v>229.6096244494764</v>
      </c>
    </row>
    <row r="540" spans="2:41" x14ac:dyDescent="0.25">
      <c r="B540" s="39">
        <v>0.656249999999999</v>
      </c>
      <c r="C540" s="38">
        <f t="shared" si="562"/>
        <v>-56.25</v>
      </c>
      <c r="D540" s="38">
        <f t="shared" si="555"/>
        <v>16.769463305979212</v>
      </c>
      <c r="E540" s="38">
        <f t="shared" si="563"/>
        <v>234.61812204318781</v>
      </c>
      <c r="H540" s="39">
        <v>0.656249999999999</v>
      </c>
      <c r="I540" s="38">
        <f t="shared" si="564"/>
        <v>-56.25</v>
      </c>
      <c r="J540" s="38">
        <f t="shared" si="556"/>
        <v>22.434258111019091</v>
      </c>
      <c r="K540" s="38">
        <f t="shared" si="565"/>
        <v>241.92559486862535</v>
      </c>
      <c r="N540" s="39">
        <v>0.656249999999999</v>
      </c>
      <c r="O540" s="38">
        <f t="shared" si="566"/>
        <v>-56.25</v>
      </c>
      <c r="P540" s="38">
        <f t="shared" si="557"/>
        <v>28.822645126011576</v>
      </c>
      <c r="Q540" s="38">
        <f t="shared" si="567"/>
        <v>251.62556829950177</v>
      </c>
      <c r="T540" s="39">
        <v>0.656249999999999</v>
      </c>
      <c r="U540" s="38">
        <f t="shared" si="568"/>
        <v>-56.25</v>
      </c>
      <c r="V540" s="38">
        <f t="shared" si="558"/>
        <v>34.974417388320632</v>
      </c>
      <c r="W540" s="38">
        <f t="shared" si="569"/>
        <v>263.75667647059549</v>
      </c>
      <c r="Z540" s="39">
        <v>0.656249999999999</v>
      </c>
      <c r="AA540" s="38">
        <f t="shared" si="570"/>
        <v>-56.25</v>
      </c>
      <c r="AB540" s="38">
        <f t="shared" si="559"/>
        <v>38.549110338439199</v>
      </c>
      <c r="AC540" s="38">
        <f t="shared" si="571"/>
        <v>273.47227304283308</v>
      </c>
      <c r="AF540" s="39">
        <v>0.656249999999999</v>
      </c>
      <c r="AG540" s="38">
        <f t="shared" si="572"/>
        <v>-56.25</v>
      </c>
      <c r="AH540" s="38">
        <f t="shared" si="560"/>
        <v>39.706025776532329</v>
      </c>
      <c r="AI540" s="38">
        <f t="shared" si="573"/>
        <v>277.47299126648818</v>
      </c>
      <c r="AL540" s="39">
        <v>0.656249999999999</v>
      </c>
      <c r="AM540" s="38">
        <f t="shared" si="574"/>
        <v>-56.25</v>
      </c>
      <c r="AN540" s="38">
        <f t="shared" si="561"/>
        <v>14.597189463724497</v>
      </c>
      <c r="AO540" s="38">
        <f t="shared" si="575"/>
        <v>232.02144123420308</v>
      </c>
    </row>
    <row r="541" spans="2:41" x14ac:dyDescent="0.25">
      <c r="B541" s="39">
        <v>0.66666666666666596</v>
      </c>
      <c r="C541" s="38">
        <f t="shared" si="562"/>
        <v>-60</v>
      </c>
      <c r="D541" s="38">
        <f t="shared" si="555"/>
        <v>14.059262104382505</v>
      </c>
      <c r="E541" s="38">
        <f t="shared" si="563"/>
        <v>236.94946044753846</v>
      </c>
      <c r="H541" s="39">
        <v>0.66666666666666596</v>
      </c>
      <c r="I541" s="38">
        <f t="shared" si="564"/>
        <v>-60</v>
      </c>
      <c r="J541" s="38">
        <f t="shared" si="556"/>
        <v>19.510962189955375</v>
      </c>
      <c r="K541" s="38">
        <f t="shared" si="565"/>
        <v>244.31678826832609</v>
      </c>
      <c r="N541" s="39">
        <v>0.66666666666666596</v>
      </c>
      <c r="O541" s="38">
        <f t="shared" si="566"/>
        <v>-60</v>
      </c>
      <c r="P541" s="38">
        <f t="shared" si="557"/>
        <v>25.692175676161611</v>
      </c>
      <c r="Q541" s="38">
        <f t="shared" si="567"/>
        <v>253.94844919152601</v>
      </c>
      <c r="T541" s="39">
        <v>0.66666666666666596</v>
      </c>
      <c r="U541" s="38">
        <f t="shared" si="568"/>
        <v>-60</v>
      </c>
      <c r="V541" s="38">
        <f t="shared" si="558"/>
        <v>31.710922299799869</v>
      </c>
      <c r="W541" s="38">
        <f t="shared" si="569"/>
        <v>265.77651283883432</v>
      </c>
      <c r="Z541" s="39">
        <v>0.66666666666666596</v>
      </c>
      <c r="AA541" s="38">
        <f t="shared" si="570"/>
        <v>-60</v>
      </c>
      <c r="AB541" s="38">
        <f t="shared" si="559"/>
        <v>35.281146205343326</v>
      </c>
      <c r="AC541" s="38">
        <f t="shared" si="571"/>
        <v>275.11109948343989</v>
      </c>
      <c r="AF541" s="39">
        <v>0.66666666666666596</v>
      </c>
      <c r="AG541" s="38">
        <f t="shared" si="572"/>
        <v>-60</v>
      </c>
      <c r="AH541" s="38">
        <f t="shared" si="560"/>
        <v>36.462362723804389</v>
      </c>
      <c r="AI541" s="38">
        <f t="shared" si="573"/>
        <v>278.92965056012429</v>
      </c>
      <c r="AL541" s="39">
        <v>0.66666666666666596</v>
      </c>
      <c r="AM541" s="38">
        <f t="shared" si="574"/>
        <v>-60</v>
      </c>
      <c r="AN541" s="38">
        <f t="shared" si="561"/>
        <v>11.973998043852726</v>
      </c>
      <c r="AO541" s="38">
        <f t="shared" si="575"/>
        <v>234.30859099465266</v>
      </c>
    </row>
    <row r="542" spans="2:41" x14ac:dyDescent="0.25">
      <c r="B542" s="39">
        <v>0.67708333333333304</v>
      </c>
      <c r="C542" s="38">
        <f t="shared" si="562"/>
        <v>-63.75</v>
      </c>
      <c r="D542" s="38">
        <f t="shared" si="555"/>
        <v>11.278163581719056</v>
      </c>
      <c r="E542" s="38">
        <f t="shared" si="563"/>
        <v>239.16243641367731</v>
      </c>
      <c r="H542" s="39">
        <v>0.67708333333333304</v>
      </c>
      <c r="I542" s="38">
        <f t="shared" si="564"/>
        <v>-63.75</v>
      </c>
      <c r="J542" s="38">
        <f t="shared" si="556"/>
        <v>16.529915409788753</v>
      </c>
      <c r="K542" s="38">
        <f t="shared" si="565"/>
        <v>246.58297444409794</v>
      </c>
      <c r="N542" s="39">
        <v>0.67708333333333304</v>
      </c>
      <c r="O542" s="38">
        <f t="shared" si="566"/>
        <v>-63.75</v>
      </c>
      <c r="P542" s="38">
        <f t="shared" si="557"/>
        <v>22.525895242190451</v>
      </c>
      <c r="Q542" s="38">
        <f t="shared" si="567"/>
        <v>256.15001955836948</v>
      </c>
      <c r="T542" s="39">
        <v>0.67708333333333304</v>
      </c>
      <c r="U542" s="38">
        <f t="shared" si="568"/>
        <v>-63.75</v>
      </c>
      <c r="V542" s="38">
        <f t="shared" si="558"/>
        <v>28.439070612188356</v>
      </c>
      <c r="W542" s="38">
        <f t="shared" si="569"/>
        <v>267.70750799596777</v>
      </c>
      <c r="Z542" s="39">
        <v>0.67708333333333304</v>
      </c>
      <c r="AA542" s="38">
        <f t="shared" si="570"/>
        <v>-63.75</v>
      </c>
      <c r="AB542" s="38">
        <f t="shared" si="559"/>
        <v>32.021406767963803</v>
      </c>
      <c r="AC542" s="38">
        <f t="shared" si="571"/>
        <v>276.70951064448406</v>
      </c>
      <c r="AF542" s="39">
        <v>0.67708333333333304</v>
      </c>
      <c r="AG542" s="38">
        <f t="shared" si="572"/>
        <v>-63.75</v>
      </c>
      <c r="AH542" s="38">
        <f t="shared" si="560"/>
        <v>33.231546345941183</v>
      </c>
      <c r="AI542" s="38">
        <f t="shared" si="573"/>
        <v>280.37018698455319</v>
      </c>
      <c r="AL542" s="39">
        <v>0.67708333333333304</v>
      </c>
      <c r="AM542" s="38">
        <f t="shared" si="574"/>
        <v>-63.75</v>
      </c>
      <c r="AN542" s="38">
        <f t="shared" si="561"/>
        <v>9.2763817745006225</v>
      </c>
      <c r="AO542" s="38">
        <f t="shared" si="575"/>
        <v>236.48094971852902</v>
      </c>
    </row>
    <row r="543" spans="2:41" x14ac:dyDescent="0.25">
      <c r="B543" s="39">
        <v>0.687499999999999</v>
      </c>
      <c r="C543" s="38">
        <f t="shared" si="562"/>
        <v>-67.5</v>
      </c>
      <c r="D543" s="38">
        <f t="shared" si="555"/>
        <v>8.4337323868056835</v>
      </c>
      <c r="E543" s="38">
        <f t="shared" si="563"/>
        <v>241.26844721051378</v>
      </c>
      <c r="H543" s="39">
        <v>0.687499999999999</v>
      </c>
      <c r="I543" s="38">
        <f t="shared" si="564"/>
        <v>-67.5</v>
      </c>
      <c r="J543" s="38">
        <f t="shared" si="556"/>
        <v>13.498571428058041</v>
      </c>
      <c r="K543" s="38">
        <f t="shared" si="565"/>
        <v>248.7402565174379</v>
      </c>
      <c r="N543" s="39">
        <v>0.687499999999999</v>
      </c>
      <c r="O543" s="38">
        <f t="shared" si="566"/>
        <v>-67.5</v>
      </c>
      <c r="P543" s="38">
        <f t="shared" si="557"/>
        <v>19.330132692653422</v>
      </c>
      <c r="Q543" s="38">
        <f t="shared" si="567"/>
        <v>258.25085406582411</v>
      </c>
      <c r="T543" s="39">
        <v>0.687499999999999</v>
      </c>
      <c r="U543" s="38">
        <f t="shared" si="568"/>
        <v>-67.5</v>
      </c>
      <c r="V543" s="38">
        <f t="shared" si="558"/>
        <v>25.162850773484312</v>
      </c>
      <c r="W543" s="38">
        <f t="shared" si="569"/>
        <v>269.56995761486661</v>
      </c>
      <c r="Z543" s="39">
        <v>0.687499999999999</v>
      </c>
      <c r="AA543" s="38">
        <f t="shared" si="570"/>
        <v>-67.5</v>
      </c>
      <c r="AB543" s="38">
        <f t="shared" si="559"/>
        <v>28.772243768360124</v>
      </c>
      <c r="AC543" s="38">
        <f t="shared" si="571"/>
        <v>278.28176856148013</v>
      </c>
      <c r="AF543" s="39">
        <v>0.687499999999999</v>
      </c>
      <c r="AG543" s="38">
        <f t="shared" si="572"/>
        <v>-67.5</v>
      </c>
      <c r="AH543" s="38">
        <f t="shared" si="560"/>
        <v>30.015522183197557</v>
      </c>
      <c r="AI543" s="38">
        <f t="shared" si="573"/>
        <v>281.80511482773534</v>
      </c>
      <c r="AL543" s="39">
        <v>0.687499999999999</v>
      </c>
      <c r="AM543" s="38">
        <f t="shared" si="574"/>
        <v>-67.5</v>
      </c>
      <c r="AN543" s="38">
        <f t="shared" si="561"/>
        <v>6.511795406946673</v>
      </c>
      <c r="AO543" s="38">
        <f t="shared" si="575"/>
        <v>238.54817707385735</v>
      </c>
    </row>
    <row r="544" spans="2:41" x14ac:dyDescent="0.25">
      <c r="B544" s="39">
        <v>0.69791666666666596</v>
      </c>
      <c r="C544" s="38">
        <f t="shared" si="562"/>
        <v>-71.25</v>
      </c>
      <c r="D544" s="38">
        <f t="shared" ref="D544:D569" si="576">IF((DEGREES(ASIN(COS(RADIANS($E$477))*COS(RADIANS($D$477))*COS(RADIANS(C544))+SIN(RADIANS($E$477))*SIN(RADIANS($D$477)))))&lt;0,0,DEGREES(ASIN(COS(RADIANS($E$477))*COS(RADIANS($D$477))*COS(RADIANS(C544))+SIN(RADIANS($E$477))*SIN(RADIANS($D$477)))))</f>
        <v>5.5327022996689257</v>
      </c>
      <c r="E544" s="38">
        <f t="shared" si="563"/>
        <v>243.27836550470016</v>
      </c>
      <c r="H544" s="39">
        <v>0.69791666666666596</v>
      </c>
      <c r="I544" s="38">
        <f t="shared" si="564"/>
        <v>-71.25</v>
      </c>
      <c r="J544" s="38">
        <f t="shared" ref="J544:J569" si="577">IF((DEGREES(ASIN(COS(RADIANS($K$477))*COS(RADIANS($J$477))*COS(RADIANS(I544))+SIN(RADIANS($K$477))*SIN(RADIANS($J$477)))))&lt;0,0,DEGREES(ASIN(COS(RADIANS($K$477))*COS(RADIANS($J$477))*COS(RADIANS(I544))+SIN(RADIANS($K$477))*SIN(RADIANS($J$477)))))</f>
        <v>10.423443686473018</v>
      </c>
      <c r="K544" s="38">
        <f t="shared" si="565"/>
        <v>250.80347543709763</v>
      </c>
      <c r="N544" s="39">
        <v>0.69791666666666596</v>
      </c>
      <c r="O544" s="38">
        <f t="shared" si="566"/>
        <v>-71.25</v>
      </c>
      <c r="P544" s="38">
        <f t="shared" ref="P544:P569" si="578">IF((DEGREES(ASIN(COS(RADIANS($Q$477))*COS(RADIANS($P$477))*COS(RADIANS(O544))+SIN(RADIANS($Q$477))*SIN(RADIANS($P$477)))))&lt;0,0,DEGREES(ASIN(COS(RADIANS($Q$477))*COS(RADIANS($P$477))*COS(RADIANS(O544))+SIN(RADIANS($Q$477))*SIN(RADIANS($P$477)))))</f>
        <v>16.110359402145132</v>
      </c>
      <c r="Q544" s="38">
        <f t="shared" si="567"/>
        <v>260.2691565232293</v>
      </c>
      <c r="T544" s="39">
        <v>0.69791666666666596</v>
      </c>
      <c r="U544" s="38">
        <f t="shared" si="568"/>
        <v>-71.25</v>
      </c>
      <c r="V544" s="38">
        <f t="shared" ref="V544:V569" si="579">IF((DEGREES(ASIN(COS(RADIANS($W$477))*COS(RADIANS($V$477))*COS(RADIANS(U544))+SIN(RADIANS($W$477))*SIN(RADIANS($V$477)))))&lt;0,0,DEGREES(ASIN(COS(RADIANS($W$477))*COS(RADIANS($V$477))*COS(RADIANS(U544))+SIN(RADIANS($W$477))*SIN(RADIANS($V$477)))))</f>
        <v>21.885819567640766</v>
      </c>
      <c r="W544" s="38">
        <f t="shared" si="569"/>
        <v>271.38122373645422</v>
      </c>
      <c r="Z544" s="39">
        <v>0.69791666666666596</v>
      </c>
      <c r="AA544" s="38">
        <f t="shared" si="570"/>
        <v>-71.25</v>
      </c>
      <c r="AB544" s="38">
        <f t="shared" ref="AB544:AB569" si="580">IF((DEGREES(ASIN(COS(RADIANS($AC$477))*COS(RADIANS($AB$477))*COS(RADIANS(AA544))+SIN(RADIANS($AC$477))*SIN(RADIANS($AB$477)))))&lt;0,0,DEGREES(ASIN(COS(RADIANS($AC$477))*COS(RADIANS($AB$477))*COS(RADIANS(AA544))+SIN(RADIANS($AC$477))*SIN(RADIANS($AB$477)))))</f>
        <v>25.535963310594134</v>
      </c>
      <c r="AC544" s="38">
        <f t="shared" si="571"/>
        <v>279.840090005344</v>
      </c>
      <c r="AF544" s="39">
        <v>0.69791666666666596</v>
      </c>
      <c r="AG544" s="38">
        <f t="shared" si="572"/>
        <v>-71.25</v>
      </c>
      <c r="AH544" s="38">
        <f t="shared" ref="AH544:AH569" si="581">IF((DEGREES(ASIN(COS(RADIANS($AI$477))*COS(RADIANS($AH$477))*COS(RADIANS(AG544))+SIN(RADIANS($AI$477))*SIN(RADIANS($AH$477)))))&lt;0,0,DEGREES(ASIN(COS(RADIANS($AI$477))*COS(RADIANS($AH$477))*COS(RADIANS(AG544))+SIN(RADIANS($AI$477))*SIN(RADIANS($AH$477)))))</f>
        <v>26.816302428045219</v>
      </c>
      <c r="AI544" s="38">
        <f t="shared" si="573"/>
        <v>283.24361032975276</v>
      </c>
      <c r="AL544" s="39">
        <v>0.69791666666666596</v>
      </c>
      <c r="AM544" s="38">
        <f t="shared" si="574"/>
        <v>-71.25</v>
      </c>
      <c r="AN544" s="38">
        <f t="shared" ref="AN544:AN569" si="582">IF((DEGREES(ASIN(COS(RADIANS($AO$477))*COS(RADIANS($AN$477))*COS(RADIANS(AM544))+SIN(RADIANS($AO$477))*SIN(RADIANS($AN$477)))))&lt;0,0,DEGREES(ASIN(COS(RADIANS($AO$477))*COS(RADIANS($AN$477))*COS(RADIANS(AM544))+SIN(RADIANS($AO$477))*SIN(RADIANS($AN$477)))))</f>
        <v>3.6869288877023965</v>
      </c>
      <c r="AO544" s="38">
        <f t="shared" si="575"/>
        <v>240.5196041427412</v>
      </c>
    </row>
    <row r="545" spans="2:41" x14ac:dyDescent="0.25">
      <c r="B545" s="39">
        <v>0.70833333333333304</v>
      </c>
      <c r="C545" s="38">
        <f t="shared" si="562"/>
        <v>-75</v>
      </c>
      <c r="D545" s="38">
        <f t="shared" si="576"/>
        <v>2.5810689008028067</v>
      </c>
      <c r="E545" s="38">
        <f t="shared" si="563"/>
        <v>245.20251699358562</v>
      </c>
      <c r="H545" s="39">
        <v>0.70833333333333304</v>
      </c>
      <c r="I545" s="38">
        <f t="shared" si="564"/>
        <v>-75</v>
      </c>
      <c r="J545" s="38">
        <f t="shared" si="577"/>
        <v>7.3102534726872559</v>
      </c>
      <c r="K545" s="38">
        <f t="shared" si="565"/>
        <v>252.7863525599206</v>
      </c>
      <c r="N545" s="39">
        <v>0.70833333333333304</v>
      </c>
      <c r="O545" s="38">
        <f t="shared" si="566"/>
        <v>-75</v>
      </c>
      <c r="P545" s="38">
        <f t="shared" si="578"/>
        <v>12.871375773155972</v>
      </c>
      <c r="Q545" s="38">
        <f t="shared" si="567"/>
        <v>262.22121681546525</v>
      </c>
      <c r="T545" s="39">
        <v>0.70833333333333304</v>
      </c>
      <c r="U545" s="38">
        <f t="shared" si="568"/>
        <v>-75</v>
      </c>
      <c r="V545" s="38">
        <f t="shared" si="579"/>
        <v>18.611242908560452</v>
      </c>
      <c r="W545" s="38">
        <f t="shared" si="569"/>
        <v>273.15646282004388</v>
      </c>
      <c r="Z545" s="39">
        <v>0.70833333333333304</v>
      </c>
      <c r="AA545" s="38">
        <f t="shared" si="570"/>
        <v>-75</v>
      </c>
      <c r="AB545" s="38">
        <f t="shared" si="580"/>
        <v>22.314889941656379</v>
      </c>
      <c r="AC545" s="38">
        <f t="shared" si="571"/>
        <v>281.3952272590077</v>
      </c>
      <c r="AF545" s="39">
        <v>0.70833333333333304</v>
      </c>
      <c r="AG545" s="38">
        <f t="shared" si="572"/>
        <v>-75</v>
      </c>
      <c r="AH545" s="38">
        <f t="shared" si="581"/>
        <v>23.63600454935963</v>
      </c>
      <c r="AI545" s="38">
        <f t="shared" si="573"/>
        <v>284.69392403052012</v>
      </c>
      <c r="AL545" s="39">
        <v>0.70833333333333304</v>
      </c>
      <c r="AM545" s="38">
        <f t="shared" si="574"/>
        <v>-75</v>
      </c>
      <c r="AN545" s="38">
        <f t="shared" si="582"/>
        <v>0.80777986614324049</v>
      </c>
      <c r="AO545" s="38">
        <f t="shared" si="575"/>
        <v>242.40417326660662</v>
      </c>
    </row>
    <row r="546" spans="2:41" x14ac:dyDescent="0.25">
      <c r="B546" s="39">
        <v>0.718749999999999</v>
      </c>
      <c r="C546" s="38">
        <f t="shared" si="562"/>
        <v>-78.75</v>
      </c>
      <c r="D546" s="38">
        <f t="shared" si="576"/>
        <v>0</v>
      </c>
      <c r="E546" s="38">
        <f t="shared" si="563"/>
        <v>246.79997583295818</v>
      </c>
      <c r="H546" s="39">
        <v>0.718749999999999</v>
      </c>
      <c r="I546" s="38">
        <f t="shared" si="564"/>
        <v>-78.75</v>
      </c>
      <c r="J546" s="38">
        <f t="shared" si="577"/>
        <v>4.1640595977191843</v>
      </c>
      <c r="K546" s="38">
        <f t="shared" si="565"/>
        <v>254.7016550798489</v>
      </c>
      <c r="N546" s="39">
        <v>0.718749999999999</v>
      </c>
      <c r="O546" s="38">
        <f t="shared" si="566"/>
        <v>-78.75</v>
      </c>
      <c r="P546" s="38">
        <f t="shared" si="578"/>
        <v>9.6174648178221567</v>
      </c>
      <c r="Q546" s="38">
        <f t="shared" si="567"/>
        <v>264.12181449311794</v>
      </c>
      <c r="T546" s="39">
        <v>0.718749999999999</v>
      </c>
      <c r="U546" s="38">
        <f t="shared" si="568"/>
        <v>-78.75</v>
      </c>
      <c r="V546" s="38">
        <f t="shared" si="579"/>
        <v>15.342208335246907</v>
      </c>
      <c r="W546" s="38">
        <f t="shared" si="569"/>
        <v>274.90919355558344</v>
      </c>
      <c r="Z546" s="39">
        <v>0.718749999999999</v>
      </c>
      <c r="AA546" s="38">
        <f t="shared" si="570"/>
        <v>-78.75</v>
      </c>
      <c r="AB546" s="38">
        <f t="shared" si="580"/>
        <v>19.111421070752318</v>
      </c>
      <c r="AC546" s="38">
        <f t="shared" si="571"/>
        <v>282.95690116632159</v>
      </c>
      <c r="AF546" s="39">
        <v>0.718749999999999</v>
      </c>
      <c r="AG546" s="38">
        <f t="shared" si="572"/>
        <v>-78.75</v>
      </c>
      <c r="AH546" s="38">
        <f t="shared" si="581"/>
        <v>20.476887020474013</v>
      </c>
      <c r="AI546" s="38">
        <f t="shared" si="573"/>
        <v>286.16368661424912</v>
      </c>
      <c r="AL546" s="39">
        <v>0.718749999999999</v>
      </c>
      <c r="AM546" s="38">
        <f t="shared" si="574"/>
        <v>-78.75</v>
      </c>
      <c r="AN546" s="38">
        <f t="shared" si="582"/>
        <v>0</v>
      </c>
      <c r="AO546" s="38">
        <f t="shared" si="575"/>
        <v>242.9128608915928</v>
      </c>
    </row>
    <row r="547" spans="2:41" x14ac:dyDescent="0.25">
      <c r="B547" s="39">
        <v>0.72916666666666596</v>
      </c>
      <c r="C547" s="38">
        <f t="shared" si="562"/>
        <v>-82.5</v>
      </c>
      <c r="D547" s="38">
        <f t="shared" si="576"/>
        <v>0</v>
      </c>
      <c r="E547" s="38">
        <f t="shared" si="563"/>
        <v>246.79997583295818</v>
      </c>
      <c r="H547" s="39">
        <v>0.72916666666666596</v>
      </c>
      <c r="I547" s="38">
        <f t="shared" si="564"/>
        <v>-82.5</v>
      </c>
      <c r="J547" s="38">
        <f t="shared" si="577"/>
        <v>0.98937183353629221</v>
      </c>
      <c r="K547" s="38">
        <f t="shared" si="565"/>
        <v>256.56137407081889</v>
      </c>
      <c r="N547" s="39">
        <v>0.72916666666666596</v>
      </c>
      <c r="O547" s="38">
        <f t="shared" si="566"/>
        <v>-82.5</v>
      </c>
      <c r="P547" s="38">
        <f t="shared" si="578"/>
        <v>6.3525207289529328</v>
      </c>
      <c r="Q547" s="38">
        <f t="shared" si="567"/>
        <v>265.98457623773686</v>
      </c>
      <c r="T547" s="39">
        <v>0.72916666666666596</v>
      </c>
      <c r="U547" s="38">
        <f t="shared" si="568"/>
        <v>-82.5</v>
      </c>
      <c r="V547" s="38">
        <f t="shared" si="579"/>
        <v>12.081718454027536</v>
      </c>
      <c r="W547" s="38">
        <f t="shared" si="569"/>
        <v>276.65174832806292</v>
      </c>
      <c r="Z547" s="39">
        <v>0.72916666666666596</v>
      </c>
      <c r="AA547" s="38">
        <f t="shared" si="570"/>
        <v>-82.5</v>
      </c>
      <c r="AB547" s="38">
        <f t="shared" si="580"/>
        <v>15.92807595627923</v>
      </c>
      <c r="AC547" s="38">
        <f t="shared" si="571"/>
        <v>284.53413226828457</v>
      </c>
      <c r="AF547" s="39">
        <v>0.72916666666666596</v>
      </c>
      <c r="AG547" s="38">
        <f t="shared" si="572"/>
        <v>-82.5</v>
      </c>
      <c r="AH547" s="38">
        <f t="shared" si="581"/>
        <v>17.341384212199728</v>
      </c>
      <c r="AI547" s="38">
        <f t="shared" si="573"/>
        <v>287.66014205849046</v>
      </c>
      <c r="AL547" s="39">
        <v>0.72916666666666596</v>
      </c>
      <c r="AM547" s="38">
        <f t="shared" si="574"/>
        <v>-82.5</v>
      </c>
      <c r="AN547" s="38">
        <f t="shared" si="582"/>
        <v>0</v>
      </c>
      <c r="AO547" s="38">
        <f t="shared" si="575"/>
        <v>242.9128608915928</v>
      </c>
    </row>
    <row r="548" spans="2:41" x14ac:dyDescent="0.25">
      <c r="B548" s="39">
        <v>0.73958333333333204</v>
      </c>
      <c r="C548" s="38">
        <f t="shared" si="562"/>
        <v>-86.25</v>
      </c>
      <c r="D548" s="38">
        <f t="shared" si="576"/>
        <v>0</v>
      </c>
      <c r="E548" s="38">
        <f t="shared" si="563"/>
        <v>246.79997583295818</v>
      </c>
      <c r="H548" s="39">
        <v>0.73958333333333204</v>
      </c>
      <c r="I548" s="38">
        <f t="shared" si="564"/>
        <v>-86.25</v>
      </c>
      <c r="J548" s="38">
        <f t="shared" si="577"/>
        <v>0</v>
      </c>
      <c r="K548" s="38">
        <f t="shared" si="565"/>
        <v>257.12844038759636</v>
      </c>
      <c r="N548" s="39">
        <v>0.73958333333333204</v>
      </c>
      <c r="O548" s="38">
        <f t="shared" si="566"/>
        <v>-86.25</v>
      </c>
      <c r="P548" s="38">
        <f t="shared" si="578"/>
        <v>3.0801589943880465</v>
      </c>
      <c r="Q548" s="38">
        <f t="shared" si="567"/>
        <v>267.82229625211335</v>
      </c>
      <c r="T548" s="39">
        <v>0.73958333333333204</v>
      </c>
      <c r="U548" s="38">
        <f t="shared" si="568"/>
        <v>-86.25</v>
      </c>
      <c r="V548" s="38">
        <f t="shared" si="579"/>
        <v>8.8327720649039811</v>
      </c>
      <c r="W548" s="38">
        <f t="shared" si="569"/>
        <v>278.3956403612558</v>
      </c>
      <c r="Z548" s="39">
        <v>0.73958333333333204</v>
      </c>
      <c r="AA548" s="38">
        <f t="shared" si="570"/>
        <v>-86.25</v>
      </c>
      <c r="AB548" s="38">
        <f t="shared" si="580"/>
        <v>12.767542268306205</v>
      </c>
      <c r="AC548" s="38">
        <f t="shared" si="571"/>
        <v>286.13550064251029</v>
      </c>
      <c r="AF548" s="39">
        <v>0.73958333333333204</v>
      </c>
      <c r="AG548" s="38">
        <f t="shared" si="572"/>
        <v>-86.25</v>
      </c>
      <c r="AH548" s="38">
        <f t="shared" si="581"/>
        <v>14.232141959296721</v>
      </c>
      <c r="AI548" s="38">
        <f t="shared" si="573"/>
        <v>289.19033021171845</v>
      </c>
      <c r="AL548" s="39">
        <v>0.73958333333333204</v>
      </c>
      <c r="AM548" s="38">
        <f t="shared" si="574"/>
        <v>-86.25</v>
      </c>
      <c r="AN548" s="38">
        <f t="shared" si="582"/>
        <v>0</v>
      </c>
      <c r="AO548" s="38">
        <f t="shared" si="575"/>
        <v>242.9128608915928</v>
      </c>
    </row>
    <row r="549" spans="2:41" x14ac:dyDescent="0.25">
      <c r="B549" s="39">
        <v>0.749999999999999</v>
      </c>
      <c r="C549" s="38">
        <f t="shared" si="562"/>
        <v>-90</v>
      </c>
      <c r="D549" s="38">
        <f t="shared" si="576"/>
        <v>0</v>
      </c>
      <c r="E549" s="38">
        <f t="shared" si="563"/>
        <v>246.79997583295818</v>
      </c>
      <c r="H549" s="39">
        <v>0.749999999999999</v>
      </c>
      <c r="I549" s="38">
        <f t="shared" si="564"/>
        <v>-90</v>
      </c>
      <c r="J549" s="38">
        <f t="shared" si="577"/>
        <v>0</v>
      </c>
      <c r="K549" s="38">
        <f t="shared" si="565"/>
        <v>257.12844038759636</v>
      </c>
      <c r="N549" s="39">
        <v>0.749999999999999</v>
      </c>
      <c r="O549" s="38">
        <f t="shared" si="566"/>
        <v>-90</v>
      </c>
      <c r="P549" s="38">
        <f t="shared" si="578"/>
        <v>0</v>
      </c>
      <c r="Q549" s="38">
        <f t="shared" si="567"/>
        <v>269.53812236324006</v>
      </c>
      <c r="T549" s="39">
        <v>0.749999999999999</v>
      </c>
      <c r="U549" s="38">
        <f t="shared" si="568"/>
        <v>-90</v>
      </c>
      <c r="V549" s="38">
        <f t="shared" si="579"/>
        <v>5.5984380572590657</v>
      </c>
      <c r="W549" s="38">
        <f t="shared" si="569"/>
        <v>280.15187009107581</v>
      </c>
      <c r="Z549" s="39">
        <v>0.749999999999999</v>
      </c>
      <c r="AA549" s="38">
        <f t="shared" si="570"/>
        <v>-90</v>
      </c>
      <c r="AB549" s="38">
        <f t="shared" si="580"/>
        <v>9.6327224739751323</v>
      </c>
      <c r="AC549" s="38">
        <f t="shared" si="571"/>
        <v>287.76935516675621</v>
      </c>
      <c r="AF549" s="39">
        <v>0.749999999999999</v>
      </c>
      <c r="AG549" s="38">
        <f t="shared" si="572"/>
        <v>-90</v>
      </c>
      <c r="AH549" s="38">
        <f t="shared" si="581"/>
        <v>11.152054967319165</v>
      </c>
      <c r="AI549" s="38">
        <f t="shared" si="573"/>
        <v>290.76123341972379</v>
      </c>
      <c r="AL549" s="39">
        <v>0.749999999999999</v>
      </c>
      <c r="AM549" s="38">
        <f t="shared" si="574"/>
        <v>-90</v>
      </c>
      <c r="AN549" s="38">
        <f t="shared" si="582"/>
        <v>0</v>
      </c>
      <c r="AO549" s="38">
        <f t="shared" si="575"/>
        <v>242.9128608915928</v>
      </c>
    </row>
    <row r="550" spans="2:41" x14ac:dyDescent="0.25">
      <c r="B550" s="39">
        <v>0.76041666666666596</v>
      </c>
      <c r="C550" s="38">
        <f t="shared" si="562"/>
        <v>-93.75</v>
      </c>
      <c r="D550" s="38">
        <f t="shared" si="576"/>
        <v>0</v>
      </c>
      <c r="E550" s="38">
        <f t="shared" si="563"/>
        <v>246.79997583295818</v>
      </c>
      <c r="H550" s="39">
        <v>0.76041666666666596</v>
      </c>
      <c r="I550" s="38">
        <f t="shared" si="564"/>
        <v>-93.75</v>
      </c>
      <c r="J550" s="38">
        <f t="shared" si="577"/>
        <v>0</v>
      </c>
      <c r="K550" s="38">
        <f t="shared" si="565"/>
        <v>257.12844038759636</v>
      </c>
      <c r="N550" s="39">
        <v>0.76041666666666596</v>
      </c>
      <c r="O550" s="38">
        <f t="shared" si="566"/>
        <v>-93.75</v>
      </c>
      <c r="P550" s="38">
        <f t="shared" si="578"/>
        <v>0</v>
      </c>
      <c r="Q550" s="38">
        <f t="shared" si="567"/>
        <v>269.53812236324006</v>
      </c>
      <c r="T550" s="39">
        <v>0.76041666666666596</v>
      </c>
      <c r="U550" s="38">
        <f t="shared" si="568"/>
        <v>-93.75</v>
      </c>
      <c r="V550" s="38">
        <f t="shared" si="579"/>
        <v>2.3819260858744795</v>
      </c>
      <c r="W550" s="38">
        <f t="shared" si="569"/>
        <v>281.93118822206117</v>
      </c>
      <c r="Z550" s="39">
        <v>0.76041666666666596</v>
      </c>
      <c r="AA550" s="38">
        <f t="shared" si="570"/>
        <v>-93.75</v>
      </c>
      <c r="AB550" s="38">
        <f t="shared" si="580"/>
        <v>6.5267818130880562</v>
      </c>
      <c r="AC550" s="38">
        <f t="shared" si="571"/>
        <v>289.44398628604188</v>
      </c>
      <c r="AF550" s="39">
        <v>0.76041666666666596</v>
      </c>
      <c r="AG550" s="38">
        <f t="shared" si="572"/>
        <v>-93.75</v>
      </c>
      <c r="AH550" s="38">
        <f t="shared" si="581"/>
        <v>8.1043070057537481</v>
      </c>
      <c r="AI550" s="38">
        <f t="shared" si="573"/>
        <v>292.3798968163652</v>
      </c>
      <c r="AL550" s="39">
        <v>0.76041666666666596</v>
      </c>
      <c r="AM550" s="38">
        <f t="shared" si="574"/>
        <v>-93.75</v>
      </c>
      <c r="AN550" s="38">
        <f t="shared" si="582"/>
        <v>0</v>
      </c>
      <c r="AO550" s="38">
        <f t="shared" si="575"/>
        <v>242.9128608915928</v>
      </c>
    </row>
    <row r="551" spans="2:41" x14ac:dyDescent="0.25">
      <c r="B551" s="39">
        <v>0.77083333333333204</v>
      </c>
      <c r="C551" s="38">
        <f t="shared" si="562"/>
        <v>-97.5</v>
      </c>
      <c r="D551" s="38">
        <f t="shared" si="576"/>
        <v>0</v>
      </c>
      <c r="E551" s="38">
        <f t="shared" si="563"/>
        <v>246.79997583295818</v>
      </c>
      <c r="H551" s="39">
        <v>0.77083333333333204</v>
      </c>
      <c r="I551" s="38">
        <f t="shared" si="564"/>
        <v>-97.5</v>
      </c>
      <c r="J551" s="38">
        <f t="shared" si="577"/>
        <v>0</v>
      </c>
      <c r="K551" s="38">
        <f t="shared" si="565"/>
        <v>257.12844038759636</v>
      </c>
      <c r="N551" s="39">
        <v>0.77083333333333204</v>
      </c>
      <c r="O551" s="38">
        <f t="shared" si="566"/>
        <v>-97.5</v>
      </c>
      <c r="P551" s="38">
        <f t="shared" si="578"/>
        <v>0</v>
      </c>
      <c r="Q551" s="38">
        <f t="shared" si="567"/>
        <v>269.53812236324006</v>
      </c>
      <c r="T551" s="39">
        <v>0.77083333333333204</v>
      </c>
      <c r="U551" s="38">
        <f t="shared" si="568"/>
        <v>-97.5</v>
      </c>
      <c r="V551" s="38">
        <f t="shared" si="579"/>
        <v>0</v>
      </c>
      <c r="W551" s="38">
        <f t="shared" si="569"/>
        <v>283.27772875988904</v>
      </c>
      <c r="Z551" s="39">
        <v>0.77083333333333204</v>
      </c>
      <c r="AA551" s="38">
        <f t="shared" si="570"/>
        <v>-97.5</v>
      </c>
      <c r="AB551" s="38">
        <f t="shared" si="580"/>
        <v>3.4531993193021604</v>
      </c>
      <c r="AC551" s="38">
        <f t="shared" si="571"/>
        <v>291.16777172303074</v>
      </c>
      <c r="AF551" s="39">
        <v>0.77083333333333204</v>
      </c>
      <c r="AG551" s="38">
        <f t="shared" si="572"/>
        <v>-97.5</v>
      </c>
      <c r="AH551" s="38">
        <f t="shared" si="581"/>
        <v>5.0924146750739654</v>
      </c>
      <c r="AI551" s="38">
        <f t="shared" si="573"/>
        <v>294.05352838738099</v>
      </c>
      <c r="AL551" s="39">
        <v>0.77083333333333204</v>
      </c>
      <c r="AM551" s="38">
        <f t="shared" si="574"/>
        <v>-97.5</v>
      </c>
      <c r="AN551" s="38">
        <f t="shared" si="582"/>
        <v>0</v>
      </c>
      <c r="AO551" s="38">
        <f t="shared" si="575"/>
        <v>242.9128608915928</v>
      </c>
    </row>
    <row r="552" spans="2:41" x14ac:dyDescent="0.25">
      <c r="B552" s="39">
        <v>0.781249999999999</v>
      </c>
      <c r="C552" s="38">
        <f t="shared" si="562"/>
        <v>-101.25</v>
      </c>
      <c r="D552" s="38">
        <f t="shared" si="576"/>
        <v>0</v>
      </c>
      <c r="E552" s="38">
        <f t="shared" si="563"/>
        <v>246.79997583295818</v>
      </c>
      <c r="H552" s="39">
        <v>0.781249999999999</v>
      </c>
      <c r="I552" s="38">
        <f t="shared" si="564"/>
        <v>-101.25</v>
      </c>
      <c r="J552" s="38">
        <f t="shared" si="577"/>
        <v>0</v>
      </c>
      <c r="K552" s="38">
        <f t="shared" si="565"/>
        <v>257.12844038759636</v>
      </c>
      <c r="N552" s="39">
        <v>0.781249999999999</v>
      </c>
      <c r="O552" s="38">
        <f t="shared" si="566"/>
        <v>-101.25</v>
      </c>
      <c r="P552" s="38">
        <f t="shared" si="578"/>
        <v>0</v>
      </c>
      <c r="Q552" s="38">
        <f t="shared" si="567"/>
        <v>269.53812236324006</v>
      </c>
      <c r="T552" s="39">
        <v>0.781249999999999</v>
      </c>
      <c r="U552" s="38">
        <f t="shared" si="568"/>
        <v>-101.25</v>
      </c>
      <c r="V552" s="38">
        <f t="shared" si="579"/>
        <v>0</v>
      </c>
      <c r="W552" s="38">
        <f t="shared" si="569"/>
        <v>283.27772875988904</v>
      </c>
      <c r="Z552" s="39">
        <v>0.781249999999999</v>
      </c>
      <c r="AA552" s="38">
        <f t="shared" si="570"/>
        <v>-101.25</v>
      </c>
      <c r="AB552" s="38">
        <f t="shared" si="580"/>
        <v>0.41582312405284111</v>
      </c>
      <c r="AC552" s="38">
        <f t="shared" si="571"/>
        <v>292.94930113957173</v>
      </c>
      <c r="AF552" s="39">
        <v>0.781249999999999</v>
      </c>
      <c r="AG552" s="38">
        <f t="shared" si="572"/>
        <v>-101.25</v>
      </c>
      <c r="AH552" s="38">
        <f t="shared" si="581"/>
        <v>2.1202753980372413</v>
      </c>
      <c r="AI552" s="38">
        <f t="shared" si="573"/>
        <v>295.78958228696058</v>
      </c>
      <c r="AL552" s="39">
        <v>0.781249999999999</v>
      </c>
      <c r="AM552" s="38">
        <f t="shared" si="574"/>
        <v>-101.25</v>
      </c>
      <c r="AN552" s="38">
        <f t="shared" si="582"/>
        <v>0</v>
      </c>
      <c r="AO552" s="38">
        <f t="shared" si="575"/>
        <v>242.9128608915928</v>
      </c>
    </row>
    <row r="553" spans="2:41" x14ac:dyDescent="0.25">
      <c r="B553" s="39">
        <v>0.79166666666666596</v>
      </c>
      <c r="C553" s="38">
        <f t="shared" si="562"/>
        <v>-105</v>
      </c>
      <c r="D553" s="38">
        <f t="shared" si="576"/>
        <v>0</v>
      </c>
      <c r="E553" s="38">
        <f t="shared" si="563"/>
        <v>246.79997583295818</v>
      </c>
      <c r="H553" s="39">
        <v>0.79166666666666596</v>
      </c>
      <c r="I553" s="38">
        <f t="shared" si="564"/>
        <v>-105</v>
      </c>
      <c r="J553" s="38">
        <f t="shared" si="577"/>
        <v>0</v>
      </c>
      <c r="K553" s="38">
        <f t="shared" si="565"/>
        <v>257.12844038759636</v>
      </c>
      <c r="N553" s="39">
        <v>0.79166666666666596</v>
      </c>
      <c r="O553" s="38">
        <f t="shared" si="566"/>
        <v>-105</v>
      </c>
      <c r="P553" s="38">
        <f t="shared" si="578"/>
        <v>0</v>
      </c>
      <c r="Q553" s="38">
        <f t="shared" si="567"/>
        <v>269.53812236324006</v>
      </c>
      <c r="T553" s="39">
        <v>0.79166666666666596</v>
      </c>
      <c r="U553" s="38">
        <f t="shared" si="568"/>
        <v>-105</v>
      </c>
      <c r="V553" s="38">
        <f t="shared" si="579"/>
        <v>0</v>
      </c>
      <c r="W553" s="38">
        <f t="shared" si="569"/>
        <v>283.27772875988904</v>
      </c>
      <c r="Z553" s="39">
        <v>0.79166666666666596</v>
      </c>
      <c r="AA553" s="38">
        <f t="shared" si="570"/>
        <v>-105</v>
      </c>
      <c r="AB553" s="38">
        <f t="shared" si="580"/>
        <v>0</v>
      </c>
      <c r="AC553" s="38">
        <f t="shared" si="571"/>
        <v>293.20002416704182</v>
      </c>
      <c r="AF553" s="39">
        <v>0.79166666666666596</v>
      </c>
      <c r="AG553" s="38">
        <f t="shared" si="572"/>
        <v>-105</v>
      </c>
      <c r="AH553" s="38">
        <f t="shared" si="581"/>
        <v>0</v>
      </c>
      <c r="AI553" s="38">
        <f t="shared" si="573"/>
        <v>297.0871391084072</v>
      </c>
      <c r="AL553" s="39">
        <v>0.79166666666666596</v>
      </c>
      <c r="AM553" s="38">
        <f t="shared" si="574"/>
        <v>-105</v>
      </c>
      <c r="AN553" s="38">
        <f t="shared" si="582"/>
        <v>0</v>
      </c>
      <c r="AO553" s="38">
        <f t="shared" si="575"/>
        <v>242.9128608915928</v>
      </c>
    </row>
    <row r="554" spans="2:41" x14ac:dyDescent="0.25">
      <c r="B554" s="39">
        <v>0.80208333333333204</v>
      </c>
      <c r="C554" s="38">
        <f t="shared" si="562"/>
        <v>-108.75</v>
      </c>
      <c r="D554" s="38">
        <f t="shared" si="576"/>
        <v>0</v>
      </c>
      <c r="E554" s="38">
        <f t="shared" si="563"/>
        <v>246.79997583295818</v>
      </c>
      <c r="H554" s="39">
        <v>0.80208333333333204</v>
      </c>
      <c r="I554" s="38">
        <f t="shared" si="564"/>
        <v>-108.75</v>
      </c>
      <c r="J554" s="38">
        <f t="shared" si="577"/>
        <v>0</v>
      </c>
      <c r="K554" s="38">
        <f t="shared" si="565"/>
        <v>257.12844038759636</v>
      </c>
      <c r="N554" s="39">
        <v>0.80208333333333204</v>
      </c>
      <c r="O554" s="38">
        <f t="shared" si="566"/>
        <v>-108.75</v>
      </c>
      <c r="P554" s="38">
        <f t="shared" si="578"/>
        <v>0</v>
      </c>
      <c r="Q554" s="38">
        <f t="shared" si="567"/>
        <v>269.53812236324006</v>
      </c>
      <c r="T554" s="39">
        <v>0.80208333333333204</v>
      </c>
      <c r="U554" s="38">
        <f t="shared" si="568"/>
        <v>-108.75</v>
      </c>
      <c r="V554" s="38">
        <f t="shared" si="579"/>
        <v>0</v>
      </c>
      <c r="W554" s="38">
        <f t="shared" si="569"/>
        <v>283.27772875988904</v>
      </c>
      <c r="Z554" s="39">
        <v>0.80208333333333204</v>
      </c>
      <c r="AA554" s="38">
        <f t="shared" si="570"/>
        <v>-108.75</v>
      </c>
      <c r="AB554" s="38">
        <f t="shared" si="580"/>
        <v>0</v>
      </c>
      <c r="AC554" s="38">
        <f t="shared" si="571"/>
        <v>293.20002416704182</v>
      </c>
      <c r="AF554" s="39">
        <v>0.80208333333333204</v>
      </c>
      <c r="AG554" s="38">
        <f t="shared" si="572"/>
        <v>-108.75</v>
      </c>
      <c r="AH554" s="38">
        <f t="shared" si="581"/>
        <v>0</v>
      </c>
      <c r="AI554" s="38">
        <f t="shared" si="573"/>
        <v>297.0871391084072</v>
      </c>
      <c r="AL554" s="39">
        <v>0.80208333333333204</v>
      </c>
      <c r="AM554" s="38">
        <f t="shared" si="574"/>
        <v>-108.75</v>
      </c>
      <c r="AN554" s="38">
        <f t="shared" si="582"/>
        <v>0</v>
      </c>
      <c r="AO554" s="38">
        <f t="shared" si="575"/>
        <v>242.9128608915928</v>
      </c>
    </row>
    <row r="555" spans="2:41" x14ac:dyDescent="0.25">
      <c r="B555" s="39">
        <v>0.812499999999999</v>
      </c>
      <c r="C555" s="38">
        <f t="shared" si="562"/>
        <v>-112.5</v>
      </c>
      <c r="D555" s="38">
        <f t="shared" si="576"/>
        <v>0</v>
      </c>
      <c r="E555" s="38">
        <f t="shared" si="563"/>
        <v>246.79997583295818</v>
      </c>
      <c r="H555" s="39">
        <v>0.812499999999999</v>
      </c>
      <c r="I555" s="38">
        <f t="shared" si="564"/>
        <v>-112.5</v>
      </c>
      <c r="J555" s="38">
        <f t="shared" si="577"/>
        <v>0</v>
      </c>
      <c r="K555" s="38">
        <f t="shared" si="565"/>
        <v>257.12844038759636</v>
      </c>
      <c r="N555" s="39">
        <v>0.812499999999999</v>
      </c>
      <c r="O555" s="38">
        <f t="shared" si="566"/>
        <v>-112.5</v>
      </c>
      <c r="P555" s="38">
        <f t="shared" si="578"/>
        <v>0</v>
      </c>
      <c r="Q555" s="38">
        <f t="shared" si="567"/>
        <v>269.53812236324006</v>
      </c>
      <c r="T555" s="39">
        <v>0.812499999999999</v>
      </c>
      <c r="U555" s="38">
        <f t="shared" si="568"/>
        <v>-112.5</v>
      </c>
      <c r="V555" s="38">
        <f t="shared" si="579"/>
        <v>0</v>
      </c>
      <c r="W555" s="38">
        <f t="shared" si="569"/>
        <v>283.27772875988904</v>
      </c>
      <c r="Z555" s="39">
        <v>0.812499999999999</v>
      </c>
      <c r="AA555" s="38">
        <f t="shared" si="570"/>
        <v>-112.5</v>
      </c>
      <c r="AB555" s="38">
        <f t="shared" si="580"/>
        <v>0</v>
      </c>
      <c r="AC555" s="38">
        <f t="shared" si="571"/>
        <v>293.20002416704182</v>
      </c>
      <c r="AF555" s="39">
        <v>0.812499999999999</v>
      </c>
      <c r="AG555" s="38">
        <f t="shared" si="572"/>
        <v>-112.5</v>
      </c>
      <c r="AH555" s="38">
        <f t="shared" si="581"/>
        <v>0</v>
      </c>
      <c r="AI555" s="38">
        <f t="shared" si="573"/>
        <v>297.0871391084072</v>
      </c>
      <c r="AL555" s="39">
        <v>0.812499999999999</v>
      </c>
      <c r="AM555" s="38">
        <f t="shared" si="574"/>
        <v>-112.5</v>
      </c>
      <c r="AN555" s="38">
        <f t="shared" si="582"/>
        <v>0</v>
      </c>
      <c r="AO555" s="38">
        <f t="shared" si="575"/>
        <v>242.9128608915928</v>
      </c>
    </row>
    <row r="556" spans="2:41" x14ac:dyDescent="0.25">
      <c r="B556" s="39">
        <v>0.82291666666666596</v>
      </c>
      <c r="C556" s="38">
        <f t="shared" si="562"/>
        <v>-116.25</v>
      </c>
      <c r="D556" s="38">
        <f t="shared" si="576"/>
        <v>0</v>
      </c>
      <c r="E556" s="38">
        <f t="shared" si="563"/>
        <v>246.79997583295818</v>
      </c>
      <c r="H556" s="39">
        <v>0.82291666666666596</v>
      </c>
      <c r="I556" s="38">
        <f t="shared" si="564"/>
        <v>-116.25</v>
      </c>
      <c r="J556" s="38">
        <f t="shared" si="577"/>
        <v>0</v>
      </c>
      <c r="K556" s="38">
        <f t="shared" si="565"/>
        <v>257.12844038759636</v>
      </c>
      <c r="N556" s="39">
        <v>0.82291666666666596</v>
      </c>
      <c r="O556" s="38">
        <f t="shared" si="566"/>
        <v>-116.25</v>
      </c>
      <c r="P556" s="38">
        <f t="shared" si="578"/>
        <v>0</v>
      </c>
      <c r="Q556" s="38">
        <f t="shared" si="567"/>
        <v>269.53812236324006</v>
      </c>
      <c r="T556" s="39">
        <v>0.82291666666666596</v>
      </c>
      <c r="U556" s="38">
        <f t="shared" si="568"/>
        <v>-116.25</v>
      </c>
      <c r="V556" s="38">
        <f t="shared" si="579"/>
        <v>0</v>
      </c>
      <c r="W556" s="38">
        <f t="shared" si="569"/>
        <v>283.27772875988904</v>
      </c>
      <c r="Z556" s="39">
        <v>0.82291666666666596</v>
      </c>
      <c r="AA556" s="38">
        <f t="shared" si="570"/>
        <v>-116.25</v>
      </c>
      <c r="AB556" s="38">
        <f t="shared" si="580"/>
        <v>0</v>
      </c>
      <c r="AC556" s="38">
        <f t="shared" si="571"/>
        <v>293.20002416704182</v>
      </c>
      <c r="AF556" s="39">
        <v>0.82291666666666596</v>
      </c>
      <c r="AG556" s="38">
        <f t="shared" si="572"/>
        <v>-116.25</v>
      </c>
      <c r="AH556" s="38">
        <f t="shared" si="581"/>
        <v>0</v>
      </c>
      <c r="AI556" s="38">
        <f t="shared" si="573"/>
        <v>297.0871391084072</v>
      </c>
      <c r="AL556" s="39">
        <v>0.82291666666666596</v>
      </c>
      <c r="AM556" s="38">
        <f t="shared" si="574"/>
        <v>-116.25</v>
      </c>
      <c r="AN556" s="38">
        <f t="shared" si="582"/>
        <v>0</v>
      </c>
      <c r="AO556" s="38">
        <f t="shared" si="575"/>
        <v>242.9128608915928</v>
      </c>
    </row>
    <row r="557" spans="2:41" x14ac:dyDescent="0.25">
      <c r="B557" s="39">
        <v>0.83333333333333204</v>
      </c>
      <c r="C557" s="38">
        <f t="shared" si="562"/>
        <v>-120</v>
      </c>
      <c r="D557" s="38">
        <f t="shared" si="576"/>
        <v>0</v>
      </c>
      <c r="E557" s="38">
        <f t="shared" si="563"/>
        <v>246.79997583295818</v>
      </c>
      <c r="H557" s="39">
        <v>0.83333333333333204</v>
      </c>
      <c r="I557" s="38">
        <f t="shared" si="564"/>
        <v>-120</v>
      </c>
      <c r="J557" s="38">
        <f t="shared" si="577"/>
        <v>0</v>
      </c>
      <c r="K557" s="38">
        <f t="shared" si="565"/>
        <v>257.12844038759636</v>
      </c>
      <c r="N557" s="39">
        <v>0.83333333333333204</v>
      </c>
      <c r="O557" s="38">
        <f t="shared" si="566"/>
        <v>-120</v>
      </c>
      <c r="P557" s="38">
        <f t="shared" si="578"/>
        <v>0</v>
      </c>
      <c r="Q557" s="38">
        <f t="shared" si="567"/>
        <v>269.53812236324006</v>
      </c>
      <c r="T557" s="39">
        <v>0.83333333333333204</v>
      </c>
      <c r="U557" s="38">
        <f t="shared" si="568"/>
        <v>-120</v>
      </c>
      <c r="V557" s="38">
        <f t="shared" si="579"/>
        <v>0</v>
      </c>
      <c r="W557" s="38">
        <f t="shared" si="569"/>
        <v>283.27772875988904</v>
      </c>
      <c r="Z557" s="39">
        <v>0.83333333333333204</v>
      </c>
      <c r="AA557" s="38">
        <f t="shared" si="570"/>
        <v>-120</v>
      </c>
      <c r="AB557" s="38">
        <f t="shared" si="580"/>
        <v>0</v>
      </c>
      <c r="AC557" s="38">
        <f t="shared" si="571"/>
        <v>293.20002416704182</v>
      </c>
      <c r="AF557" s="39">
        <v>0.83333333333333204</v>
      </c>
      <c r="AG557" s="38">
        <f t="shared" si="572"/>
        <v>-120</v>
      </c>
      <c r="AH557" s="38">
        <f t="shared" si="581"/>
        <v>0</v>
      </c>
      <c r="AI557" s="38">
        <f t="shared" si="573"/>
        <v>297.0871391084072</v>
      </c>
      <c r="AL557" s="39">
        <v>0.83333333333333204</v>
      </c>
      <c r="AM557" s="38">
        <f t="shared" si="574"/>
        <v>-120</v>
      </c>
      <c r="AN557" s="38">
        <f t="shared" si="582"/>
        <v>0</v>
      </c>
      <c r="AO557" s="38">
        <f t="shared" si="575"/>
        <v>242.9128608915928</v>
      </c>
    </row>
    <row r="558" spans="2:41" x14ac:dyDescent="0.25">
      <c r="B558" s="39">
        <v>0.843749999999999</v>
      </c>
      <c r="C558" s="38">
        <f t="shared" si="562"/>
        <v>-123.75</v>
      </c>
      <c r="D558" s="38">
        <f t="shared" si="576"/>
        <v>0</v>
      </c>
      <c r="E558" s="38">
        <f t="shared" si="563"/>
        <v>246.79997583295818</v>
      </c>
      <c r="H558" s="39">
        <v>0.843749999999999</v>
      </c>
      <c r="I558" s="38">
        <f t="shared" si="564"/>
        <v>-123.75</v>
      </c>
      <c r="J558" s="38">
        <f t="shared" si="577"/>
        <v>0</v>
      </c>
      <c r="K558" s="38">
        <f t="shared" si="565"/>
        <v>257.12844038759636</v>
      </c>
      <c r="N558" s="39">
        <v>0.843749999999999</v>
      </c>
      <c r="O558" s="38">
        <f t="shared" si="566"/>
        <v>-123.75</v>
      </c>
      <c r="P558" s="38">
        <f t="shared" si="578"/>
        <v>0</v>
      </c>
      <c r="Q558" s="38">
        <f t="shared" si="567"/>
        <v>269.53812236324006</v>
      </c>
      <c r="T558" s="39">
        <v>0.843749999999999</v>
      </c>
      <c r="U558" s="38">
        <f t="shared" si="568"/>
        <v>-123.75</v>
      </c>
      <c r="V558" s="38">
        <f t="shared" si="579"/>
        <v>0</v>
      </c>
      <c r="W558" s="38">
        <f t="shared" si="569"/>
        <v>283.27772875988904</v>
      </c>
      <c r="Z558" s="39">
        <v>0.843749999999999</v>
      </c>
      <c r="AA558" s="38">
        <f t="shared" si="570"/>
        <v>-123.75</v>
      </c>
      <c r="AB558" s="38">
        <f t="shared" si="580"/>
        <v>0</v>
      </c>
      <c r="AC558" s="38">
        <f t="shared" si="571"/>
        <v>293.20002416704182</v>
      </c>
      <c r="AF558" s="39">
        <v>0.843749999999999</v>
      </c>
      <c r="AG558" s="38">
        <f t="shared" si="572"/>
        <v>-123.75</v>
      </c>
      <c r="AH558" s="38">
        <f t="shared" si="581"/>
        <v>0</v>
      </c>
      <c r="AI558" s="38">
        <f t="shared" si="573"/>
        <v>297.0871391084072</v>
      </c>
      <c r="AL558" s="39">
        <v>0.843749999999999</v>
      </c>
      <c r="AM558" s="38">
        <f t="shared" si="574"/>
        <v>-123.75</v>
      </c>
      <c r="AN558" s="38">
        <f t="shared" si="582"/>
        <v>0</v>
      </c>
      <c r="AO558" s="38">
        <f t="shared" si="575"/>
        <v>242.9128608915928</v>
      </c>
    </row>
    <row r="559" spans="2:41" x14ac:dyDescent="0.25">
      <c r="B559" s="39">
        <v>0.85416666666666496</v>
      </c>
      <c r="C559" s="38">
        <f t="shared" si="562"/>
        <v>-127.5</v>
      </c>
      <c r="D559" s="38">
        <f t="shared" si="576"/>
        <v>0</v>
      </c>
      <c r="E559" s="38">
        <f t="shared" si="563"/>
        <v>246.79997583295818</v>
      </c>
      <c r="H559" s="39">
        <v>0.85416666666666496</v>
      </c>
      <c r="I559" s="38">
        <f t="shared" si="564"/>
        <v>-127.5</v>
      </c>
      <c r="J559" s="38">
        <f t="shared" si="577"/>
        <v>0</v>
      </c>
      <c r="K559" s="38">
        <f t="shared" si="565"/>
        <v>257.12844038759636</v>
      </c>
      <c r="N559" s="39">
        <v>0.85416666666666496</v>
      </c>
      <c r="O559" s="38">
        <f t="shared" si="566"/>
        <v>-127.5</v>
      </c>
      <c r="P559" s="38">
        <f t="shared" si="578"/>
        <v>0</v>
      </c>
      <c r="Q559" s="38">
        <f t="shared" si="567"/>
        <v>269.53812236324006</v>
      </c>
      <c r="T559" s="39">
        <v>0.85416666666666496</v>
      </c>
      <c r="U559" s="38">
        <f t="shared" si="568"/>
        <v>-127.5</v>
      </c>
      <c r="V559" s="38">
        <f t="shared" si="579"/>
        <v>0</v>
      </c>
      <c r="W559" s="38">
        <f t="shared" si="569"/>
        <v>283.27772875988904</v>
      </c>
      <c r="Z559" s="39">
        <v>0.85416666666666496</v>
      </c>
      <c r="AA559" s="38">
        <f t="shared" si="570"/>
        <v>-127.5</v>
      </c>
      <c r="AB559" s="38">
        <f t="shared" si="580"/>
        <v>0</v>
      </c>
      <c r="AC559" s="38">
        <f t="shared" si="571"/>
        <v>293.20002416704182</v>
      </c>
      <c r="AF559" s="39">
        <v>0.85416666666666496</v>
      </c>
      <c r="AG559" s="38">
        <f t="shared" si="572"/>
        <v>-127.5</v>
      </c>
      <c r="AH559" s="38">
        <f t="shared" si="581"/>
        <v>0</v>
      </c>
      <c r="AI559" s="38">
        <f t="shared" si="573"/>
        <v>297.0871391084072</v>
      </c>
      <c r="AL559" s="39">
        <v>0.85416666666666496</v>
      </c>
      <c r="AM559" s="38">
        <f t="shared" si="574"/>
        <v>-127.5</v>
      </c>
      <c r="AN559" s="38">
        <f t="shared" si="582"/>
        <v>0</v>
      </c>
      <c r="AO559" s="38">
        <f t="shared" si="575"/>
        <v>242.9128608915928</v>
      </c>
    </row>
    <row r="560" spans="2:41" x14ac:dyDescent="0.25">
      <c r="B560" s="39">
        <v>0.86458333333333204</v>
      </c>
      <c r="C560" s="38">
        <f t="shared" si="562"/>
        <v>-131.25</v>
      </c>
      <c r="D560" s="38">
        <f t="shared" si="576"/>
        <v>0</v>
      </c>
      <c r="E560" s="38">
        <f t="shared" si="563"/>
        <v>246.79997583295818</v>
      </c>
      <c r="H560" s="39">
        <v>0.86458333333333204</v>
      </c>
      <c r="I560" s="38">
        <f t="shared" si="564"/>
        <v>-131.25</v>
      </c>
      <c r="J560" s="38">
        <f t="shared" si="577"/>
        <v>0</v>
      </c>
      <c r="K560" s="38">
        <f t="shared" si="565"/>
        <v>257.12844038759636</v>
      </c>
      <c r="N560" s="39">
        <v>0.86458333333333204</v>
      </c>
      <c r="O560" s="38">
        <f t="shared" si="566"/>
        <v>-131.25</v>
      </c>
      <c r="P560" s="38">
        <f t="shared" si="578"/>
        <v>0</v>
      </c>
      <c r="Q560" s="38">
        <f t="shared" si="567"/>
        <v>269.53812236324006</v>
      </c>
      <c r="T560" s="39">
        <v>0.86458333333333204</v>
      </c>
      <c r="U560" s="38">
        <f t="shared" si="568"/>
        <v>-131.25</v>
      </c>
      <c r="V560" s="38">
        <f t="shared" si="579"/>
        <v>0</v>
      </c>
      <c r="W560" s="38">
        <f t="shared" si="569"/>
        <v>283.27772875988904</v>
      </c>
      <c r="Z560" s="39">
        <v>0.86458333333333204</v>
      </c>
      <c r="AA560" s="38">
        <f t="shared" si="570"/>
        <v>-131.25</v>
      </c>
      <c r="AB560" s="38">
        <f t="shared" si="580"/>
        <v>0</v>
      </c>
      <c r="AC560" s="38">
        <f t="shared" si="571"/>
        <v>293.20002416704182</v>
      </c>
      <c r="AF560" s="39">
        <v>0.86458333333333204</v>
      </c>
      <c r="AG560" s="38">
        <f t="shared" si="572"/>
        <v>-131.25</v>
      </c>
      <c r="AH560" s="38">
        <f t="shared" si="581"/>
        <v>0</v>
      </c>
      <c r="AI560" s="38">
        <f t="shared" si="573"/>
        <v>297.0871391084072</v>
      </c>
      <c r="AL560" s="39">
        <v>0.86458333333333204</v>
      </c>
      <c r="AM560" s="38">
        <f t="shared" si="574"/>
        <v>-131.25</v>
      </c>
      <c r="AN560" s="38">
        <f t="shared" si="582"/>
        <v>0</v>
      </c>
      <c r="AO560" s="38">
        <f t="shared" si="575"/>
        <v>242.9128608915928</v>
      </c>
    </row>
    <row r="561" spans="2:41" x14ac:dyDescent="0.25">
      <c r="B561" s="39">
        <v>0.874999999999999</v>
      </c>
      <c r="C561" s="38">
        <f t="shared" si="562"/>
        <v>-135</v>
      </c>
      <c r="D561" s="38">
        <f t="shared" si="576"/>
        <v>0</v>
      </c>
      <c r="E561" s="38">
        <f t="shared" si="563"/>
        <v>246.79997583295818</v>
      </c>
      <c r="H561" s="39">
        <v>0.874999999999999</v>
      </c>
      <c r="I561" s="38">
        <f t="shared" si="564"/>
        <v>-135</v>
      </c>
      <c r="J561" s="38">
        <f t="shared" si="577"/>
        <v>0</v>
      </c>
      <c r="K561" s="38">
        <f t="shared" si="565"/>
        <v>257.12844038759636</v>
      </c>
      <c r="N561" s="39">
        <v>0.874999999999999</v>
      </c>
      <c r="O561" s="38">
        <f t="shared" si="566"/>
        <v>-135</v>
      </c>
      <c r="P561" s="38">
        <f t="shared" si="578"/>
        <v>0</v>
      </c>
      <c r="Q561" s="38">
        <f t="shared" si="567"/>
        <v>269.53812236324006</v>
      </c>
      <c r="T561" s="39">
        <v>0.874999999999999</v>
      </c>
      <c r="U561" s="38">
        <f t="shared" si="568"/>
        <v>-135</v>
      </c>
      <c r="V561" s="38">
        <f t="shared" si="579"/>
        <v>0</v>
      </c>
      <c r="W561" s="38">
        <f t="shared" si="569"/>
        <v>283.27772875988904</v>
      </c>
      <c r="Z561" s="39">
        <v>0.874999999999999</v>
      </c>
      <c r="AA561" s="38">
        <f t="shared" si="570"/>
        <v>-135</v>
      </c>
      <c r="AB561" s="38">
        <f t="shared" si="580"/>
        <v>0</v>
      </c>
      <c r="AC561" s="38">
        <f t="shared" si="571"/>
        <v>293.20002416704182</v>
      </c>
      <c r="AF561" s="39">
        <v>0.874999999999999</v>
      </c>
      <c r="AG561" s="38">
        <f t="shared" si="572"/>
        <v>-135</v>
      </c>
      <c r="AH561" s="38">
        <f t="shared" si="581"/>
        <v>0</v>
      </c>
      <c r="AI561" s="38">
        <f t="shared" si="573"/>
        <v>297.0871391084072</v>
      </c>
      <c r="AL561" s="39">
        <v>0.874999999999999</v>
      </c>
      <c r="AM561" s="38">
        <f t="shared" si="574"/>
        <v>-135</v>
      </c>
      <c r="AN561" s="38">
        <f t="shared" si="582"/>
        <v>0</v>
      </c>
      <c r="AO561" s="38">
        <f t="shared" si="575"/>
        <v>242.9128608915928</v>
      </c>
    </row>
    <row r="562" spans="2:41" x14ac:dyDescent="0.25">
      <c r="B562" s="39">
        <v>0.88541666666666496</v>
      </c>
      <c r="C562" s="38">
        <f t="shared" si="562"/>
        <v>-138.75</v>
      </c>
      <c r="D562" s="38">
        <f t="shared" si="576"/>
        <v>0</v>
      </c>
      <c r="E562" s="38">
        <f t="shared" si="563"/>
        <v>246.79997583295818</v>
      </c>
      <c r="H562" s="39">
        <v>0.88541666666666496</v>
      </c>
      <c r="I562" s="38">
        <f t="shared" si="564"/>
        <v>-138.75</v>
      </c>
      <c r="J562" s="38">
        <f t="shared" si="577"/>
        <v>0</v>
      </c>
      <c r="K562" s="38">
        <f t="shared" si="565"/>
        <v>257.12844038759636</v>
      </c>
      <c r="N562" s="39">
        <v>0.88541666666666496</v>
      </c>
      <c r="O562" s="38">
        <f t="shared" si="566"/>
        <v>-138.75</v>
      </c>
      <c r="P562" s="38">
        <f t="shared" si="578"/>
        <v>0</v>
      </c>
      <c r="Q562" s="38">
        <f t="shared" si="567"/>
        <v>269.53812236324006</v>
      </c>
      <c r="T562" s="39">
        <v>0.88541666666666496</v>
      </c>
      <c r="U562" s="38">
        <f t="shared" si="568"/>
        <v>-138.75</v>
      </c>
      <c r="V562" s="38">
        <f t="shared" si="579"/>
        <v>0</v>
      </c>
      <c r="W562" s="38">
        <f t="shared" si="569"/>
        <v>283.27772875988904</v>
      </c>
      <c r="Z562" s="39">
        <v>0.88541666666666496</v>
      </c>
      <c r="AA562" s="38">
        <f t="shared" si="570"/>
        <v>-138.75</v>
      </c>
      <c r="AB562" s="38">
        <f t="shared" si="580"/>
        <v>0</v>
      </c>
      <c r="AC562" s="38">
        <f t="shared" si="571"/>
        <v>293.20002416704182</v>
      </c>
      <c r="AF562" s="39">
        <v>0.88541666666666496</v>
      </c>
      <c r="AG562" s="38">
        <f t="shared" si="572"/>
        <v>-138.75</v>
      </c>
      <c r="AH562" s="38">
        <f t="shared" si="581"/>
        <v>0</v>
      </c>
      <c r="AI562" s="38">
        <f t="shared" si="573"/>
        <v>297.0871391084072</v>
      </c>
      <c r="AL562" s="39">
        <v>0.88541666666666496</v>
      </c>
      <c r="AM562" s="38">
        <f t="shared" si="574"/>
        <v>-138.75</v>
      </c>
      <c r="AN562" s="38">
        <f t="shared" si="582"/>
        <v>0</v>
      </c>
      <c r="AO562" s="38">
        <f t="shared" si="575"/>
        <v>242.9128608915928</v>
      </c>
    </row>
    <row r="563" spans="2:41" x14ac:dyDescent="0.25">
      <c r="B563" s="39">
        <v>0.89583333333333204</v>
      </c>
      <c r="C563" s="38">
        <f t="shared" si="562"/>
        <v>-142.5</v>
      </c>
      <c r="D563" s="38">
        <f t="shared" si="576"/>
        <v>0</v>
      </c>
      <c r="E563" s="38">
        <f t="shared" si="563"/>
        <v>246.79997583295818</v>
      </c>
      <c r="H563" s="39">
        <v>0.89583333333333204</v>
      </c>
      <c r="I563" s="38">
        <f t="shared" si="564"/>
        <v>-142.5</v>
      </c>
      <c r="J563" s="38">
        <f t="shared" si="577"/>
        <v>0</v>
      </c>
      <c r="K563" s="38">
        <f t="shared" si="565"/>
        <v>257.12844038759636</v>
      </c>
      <c r="N563" s="39">
        <v>0.89583333333333204</v>
      </c>
      <c r="O563" s="38">
        <f t="shared" si="566"/>
        <v>-142.5</v>
      </c>
      <c r="P563" s="38">
        <f t="shared" si="578"/>
        <v>0</v>
      </c>
      <c r="Q563" s="38">
        <f t="shared" si="567"/>
        <v>269.53812236324006</v>
      </c>
      <c r="T563" s="39">
        <v>0.89583333333333204</v>
      </c>
      <c r="U563" s="38">
        <f t="shared" si="568"/>
        <v>-142.5</v>
      </c>
      <c r="V563" s="38">
        <f t="shared" si="579"/>
        <v>0</v>
      </c>
      <c r="W563" s="38">
        <f t="shared" si="569"/>
        <v>283.27772875988904</v>
      </c>
      <c r="Z563" s="39">
        <v>0.89583333333333204</v>
      </c>
      <c r="AA563" s="38">
        <f t="shared" si="570"/>
        <v>-142.5</v>
      </c>
      <c r="AB563" s="38">
        <f t="shared" si="580"/>
        <v>0</v>
      </c>
      <c r="AC563" s="38">
        <f t="shared" si="571"/>
        <v>293.20002416704182</v>
      </c>
      <c r="AF563" s="39">
        <v>0.89583333333333204</v>
      </c>
      <c r="AG563" s="38">
        <f t="shared" si="572"/>
        <v>-142.5</v>
      </c>
      <c r="AH563" s="38">
        <f t="shared" si="581"/>
        <v>0</v>
      </c>
      <c r="AI563" s="38">
        <f t="shared" si="573"/>
        <v>297.0871391084072</v>
      </c>
      <c r="AL563" s="39">
        <v>0.89583333333333204</v>
      </c>
      <c r="AM563" s="38">
        <f t="shared" si="574"/>
        <v>-142.5</v>
      </c>
      <c r="AN563" s="38">
        <f t="shared" si="582"/>
        <v>0</v>
      </c>
      <c r="AO563" s="38">
        <f t="shared" si="575"/>
        <v>242.9128608915928</v>
      </c>
    </row>
    <row r="564" spans="2:41" x14ac:dyDescent="0.25">
      <c r="B564" s="39">
        <v>0.906249999999999</v>
      </c>
      <c r="C564" s="38">
        <f t="shared" si="562"/>
        <v>-146.25</v>
      </c>
      <c r="D564" s="38">
        <f t="shared" si="576"/>
        <v>0</v>
      </c>
      <c r="E564" s="38">
        <f t="shared" si="563"/>
        <v>246.79997583295818</v>
      </c>
      <c r="H564" s="39">
        <v>0.906249999999999</v>
      </c>
      <c r="I564" s="38">
        <f t="shared" si="564"/>
        <v>-146.25</v>
      </c>
      <c r="J564" s="38">
        <f t="shared" si="577"/>
        <v>0</v>
      </c>
      <c r="K564" s="38">
        <f t="shared" si="565"/>
        <v>257.12844038759636</v>
      </c>
      <c r="N564" s="39">
        <v>0.906249999999999</v>
      </c>
      <c r="O564" s="38">
        <f t="shared" si="566"/>
        <v>-146.25</v>
      </c>
      <c r="P564" s="38">
        <f t="shared" si="578"/>
        <v>0</v>
      </c>
      <c r="Q564" s="38">
        <f t="shared" si="567"/>
        <v>269.53812236324006</v>
      </c>
      <c r="T564" s="39">
        <v>0.906249999999999</v>
      </c>
      <c r="U564" s="38">
        <f t="shared" si="568"/>
        <v>-146.25</v>
      </c>
      <c r="V564" s="38">
        <f t="shared" si="579"/>
        <v>0</v>
      </c>
      <c r="W564" s="38">
        <f t="shared" si="569"/>
        <v>283.27772875988904</v>
      </c>
      <c r="Z564" s="39">
        <v>0.906249999999999</v>
      </c>
      <c r="AA564" s="38">
        <f t="shared" si="570"/>
        <v>-146.25</v>
      </c>
      <c r="AB564" s="38">
        <f t="shared" si="580"/>
        <v>0</v>
      </c>
      <c r="AC564" s="38">
        <f t="shared" si="571"/>
        <v>293.20002416704182</v>
      </c>
      <c r="AF564" s="39">
        <v>0.906249999999999</v>
      </c>
      <c r="AG564" s="38">
        <f t="shared" si="572"/>
        <v>-146.25</v>
      </c>
      <c r="AH564" s="38">
        <f t="shared" si="581"/>
        <v>0</v>
      </c>
      <c r="AI564" s="38">
        <f t="shared" si="573"/>
        <v>297.0871391084072</v>
      </c>
      <c r="AL564" s="39">
        <v>0.906249999999999</v>
      </c>
      <c r="AM564" s="38">
        <f t="shared" si="574"/>
        <v>-146.25</v>
      </c>
      <c r="AN564" s="38">
        <f t="shared" si="582"/>
        <v>0</v>
      </c>
      <c r="AO564" s="38">
        <f t="shared" si="575"/>
        <v>242.9128608915928</v>
      </c>
    </row>
    <row r="565" spans="2:41" x14ac:dyDescent="0.25">
      <c r="B565" s="39">
        <v>0.91666666666666496</v>
      </c>
      <c r="C565" s="38">
        <f t="shared" si="562"/>
        <v>-150</v>
      </c>
      <c r="D565" s="38">
        <f t="shared" si="576"/>
        <v>0</v>
      </c>
      <c r="E565" s="38">
        <f t="shared" si="563"/>
        <v>246.79997583295818</v>
      </c>
      <c r="H565" s="39">
        <v>0.91666666666666496</v>
      </c>
      <c r="I565" s="38">
        <f t="shared" si="564"/>
        <v>-150</v>
      </c>
      <c r="J565" s="38">
        <f t="shared" si="577"/>
        <v>0</v>
      </c>
      <c r="K565" s="38">
        <f t="shared" si="565"/>
        <v>257.12844038759636</v>
      </c>
      <c r="N565" s="39">
        <v>0.91666666666666496</v>
      </c>
      <c r="O565" s="38">
        <f t="shared" si="566"/>
        <v>-150</v>
      </c>
      <c r="P565" s="38">
        <f t="shared" si="578"/>
        <v>0</v>
      </c>
      <c r="Q565" s="38">
        <f t="shared" si="567"/>
        <v>269.53812236324006</v>
      </c>
      <c r="T565" s="39">
        <v>0.91666666666666496</v>
      </c>
      <c r="U565" s="38">
        <f t="shared" si="568"/>
        <v>-150</v>
      </c>
      <c r="V565" s="38">
        <f t="shared" si="579"/>
        <v>0</v>
      </c>
      <c r="W565" s="38">
        <f t="shared" si="569"/>
        <v>283.27772875988904</v>
      </c>
      <c r="Z565" s="39">
        <v>0.91666666666666496</v>
      </c>
      <c r="AA565" s="38">
        <f t="shared" si="570"/>
        <v>-150</v>
      </c>
      <c r="AB565" s="38">
        <f t="shared" si="580"/>
        <v>0</v>
      </c>
      <c r="AC565" s="38">
        <f t="shared" si="571"/>
        <v>293.20002416704182</v>
      </c>
      <c r="AF565" s="39">
        <v>0.91666666666666496</v>
      </c>
      <c r="AG565" s="38">
        <f t="shared" si="572"/>
        <v>-150</v>
      </c>
      <c r="AH565" s="38">
        <f t="shared" si="581"/>
        <v>0</v>
      </c>
      <c r="AI565" s="38">
        <f t="shared" si="573"/>
        <v>297.0871391084072</v>
      </c>
      <c r="AL565" s="39">
        <v>0.91666666666666496</v>
      </c>
      <c r="AM565" s="38">
        <f t="shared" si="574"/>
        <v>-150</v>
      </c>
      <c r="AN565" s="38">
        <f t="shared" si="582"/>
        <v>0</v>
      </c>
      <c r="AO565" s="38">
        <f t="shared" si="575"/>
        <v>242.9128608915928</v>
      </c>
    </row>
    <row r="566" spans="2:41" x14ac:dyDescent="0.25">
      <c r="B566" s="39">
        <v>0.92708333333333204</v>
      </c>
      <c r="C566" s="38">
        <f t="shared" si="562"/>
        <v>-153.75</v>
      </c>
      <c r="D566" s="38">
        <f t="shared" si="576"/>
        <v>0</v>
      </c>
      <c r="E566" s="38">
        <f t="shared" si="563"/>
        <v>246.79997583295818</v>
      </c>
      <c r="H566" s="39">
        <v>0.92708333333333204</v>
      </c>
      <c r="I566" s="38">
        <f t="shared" si="564"/>
        <v>-153.75</v>
      </c>
      <c r="J566" s="38">
        <f t="shared" si="577"/>
        <v>0</v>
      </c>
      <c r="K566" s="38">
        <f t="shared" si="565"/>
        <v>257.12844038759636</v>
      </c>
      <c r="N566" s="39">
        <v>0.92708333333333204</v>
      </c>
      <c r="O566" s="38">
        <f t="shared" si="566"/>
        <v>-153.75</v>
      </c>
      <c r="P566" s="38">
        <f t="shared" si="578"/>
        <v>0</v>
      </c>
      <c r="Q566" s="38">
        <f t="shared" si="567"/>
        <v>269.53812236324006</v>
      </c>
      <c r="T566" s="39">
        <v>0.92708333333333204</v>
      </c>
      <c r="U566" s="38">
        <f t="shared" si="568"/>
        <v>-153.75</v>
      </c>
      <c r="V566" s="38">
        <f t="shared" si="579"/>
        <v>0</v>
      </c>
      <c r="W566" s="38">
        <f t="shared" si="569"/>
        <v>283.27772875988904</v>
      </c>
      <c r="Z566" s="39">
        <v>0.92708333333333204</v>
      </c>
      <c r="AA566" s="38">
        <f t="shared" si="570"/>
        <v>-153.75</v>
      </c>
      <c r="AB566" s="38">
        <f t="shared" si="580"/>
        <v>0</v>
      </c>
      <c r="AC566" s="38">
        <f t="shared" si="571"/>
        <v>293.20002416704182</v>
      </c>
      <c r="AF566" s="39">
        <v>0.92708333333333204</v>
      </c>
      <c r="AG566" s="38">
        <f t="shared" si="572"/>
        <v>-153.75</v>
      </c>
      <c r="AH566" s="38">
        <f t="shared" si="581"/>
        <v>0</v>
      </c>
      <c r="AI566" s="38">
        <f t="shared" si="573"/>
        <v>297.0871391084072</v>
      </c>
      <c r="AL566" s="39">
        <v>0.92708333333333204</v>
      </c>
      <c r="AM566" s="38">
        <f t="shared" si="574"/>
        <v>-153.75</v>
      </c>
      <c r="AN566" s="38">
        <f t="shared" si="582"/>
        <v>0</v>
      </c>
      <c r="AO566" s="38">
        <f t="shared" si="575"/>
        <v>242.9128608915928</v>
      </c>
    </row>
    <row r="567" spans="2:41" x14ac:dyDescent="0.25">
      <c r="B567" s="39">
        <v>0.937499999999998</v>
      </c>
      <c r="C567" s="38">
        <f t="shared" si="562"/>
        <v>-157.5</v>
      </c>
      <c r="D567" s="38">
        <f t="shared" si="576"/>
        <v>0</v>
      </c>
      <c r="E567" s="38">
        <f t="shared" si="563"/>
        <v>246.79997583295818</v>
      </c>
      <c r="H567" s="39">
        <v>0.937499999999998</v>
      </c>
      <c r="I567" s="38">
        <f t="shared" si="564"/>
        <v>-157.5</v>
      </c>
      <c r="J567" s="38">
        <f t="shared" si="577"/>
        <v>0</v>
      </c>
      <c r="K567" s="38">
        <f t="shared" si="565"/>
        <v>257.12844038759636</v>
      </c>
      <c r="N567" s="39">
        <v>0.937499999999998</v>
      </c>
      <c r="O567" s="38">
        <f t="shared" si="566"/>
        <v>-157.5</v>
      </c>
      <c r="P567" s="38">
        <f t="shared" si="578"/>
        <v>0</v>
      </c>
      <c r="Q567" s="38">
        <f t="shared" si="567"/>
        <v>269.53812236324006</v>
      </c>
      <c r="T567" s="39">
        <v>0.937499999999998</v>
      </c>
      <c r="U567" s="38">
        <f t="shared" si="568"/>
        <v>-157.5</v>
      </c>
      <c r="V567" s="38">
        <f t="shared" si="579"/>
        <v>0</v>
      </c>
      <c r="W567" s="38">
        <f t="shared" si="569"/>
        <v>283.27772875988904</v>
      </c>
      <c r="Z567" s="39">
        <v>0.937499999999998</v>
      </c>
      <c r="AA567" s="38">
        <f t="shared" si="570"/>
        <v>-157.5</v>
      </c>
      <c r="AB567" s="38">
        <f t="shared" si="580"/>
        <v>0</v>
      </c>
      <c r="AC567" s="38">
        <f t="shared" si="571"/>
        <v>293.20002416704182</v>
      </c>
      <c r="AF567" s="39">
        <v>0.937499999999998</v>
      </c>
      <c r="AG567" s="38">
        <f t="shared" si="572"/>
        <v>-157.5</v>
      </c>
      <c r="AH567" s="38">
        <f t="shared" si="581"/>
        <v>0</v>
      </c>
      <c r="AI567" s="38">
        <f t="shared" si="573"/>
        <v>297.0871391084072</v>
      </c>
      <c r="AL567" s="39">
        <v>0.937499999999998</v>
      </c>
      <c r="AM567" s="38">
        <f t="shared" si="574"/>
        <v>-157.5</v>
      </c>
      <c r="AN567" s="38">
        <f t="shared" si="582"/>
        <v>0</v>
      </c>
      <c r="AO567" s="38">
        <f t="shared" si="575"/>
        <v>242.9128608915928</v>
      </c>
    </row>
    <row r="568" spans="2:41" x14ac:dyDescent="0.25">
      <c r="B568" s="39">
        <v>0.94791666666666496</v>
      </c>
      <c r="C568" s="38">
        <f t="shared" si="562"/>
        <v>-161.25</v>
      </c>
      <c r="D568" s="38">
        <f t="shared" si="576"/>
        <v>0</v>
      </c>
      <c r="E568" s="38">
        <f t="shared" si="563"/>
        <v>246.79997583295818</v>
      </c>
      <c r="H568" s="39">
        <v>0.94791666666666496</v>
      </c>
      <c r="I568" s="38">
        <f t="shared" si="564"/>
        <v>-161.25</v>
      </c>
      <c r="J568" s="38">
        <f t="shared" si="577"/>
        <v>0</v>
      </c>
      <c r="K568" s="38">
        <f t="shared" si="565"/>
        <v>257.12844038759636</v>
      </c>
      <c r="N568" s="39">
        <v>0.94791666666666496</v>
      </c>
      <c r="O568" s="38">
        <f t="shared" si="566"/>
        <v>-161.25</v>
      </c>
      <c r="P568" s="38">
        <f t="shared" si="578"/>
        <v>0</v>
      </c>
      <c r="Q568" s="38">
        <f t="shared" si="567"/>
        <v>269.53812236324006</v>
      </c>
      <c r="T568" s="39">
        <v>0.94791666666666496</v>
      </c>
      <c r="U568" s="38">
        <f t="shared" si="568"/>
        <v>-161.25</v>
      </c>
      <c r="V568" s="38">
        <f t="shared" si="579"/>
        <v>0</v>
      </c>
      <c r="W568" s="38">
        <f t="shared" si="569"/>
        <v>283.27772875988904</v>
      </c>
      <c r="Z568" s="39">
        <v>0.94791666666666496</v>
      </c>
      <c r="AA568" s="38">
        <f t="shared" si="570"/>
        <v>-161.25</v>
      </c>
      <c r="AB568" s="38">
        <f t="shared" si="580"/>
        <v>0</v>
      </c>
      <c r="AC568" s="38">
        <f t="shared" si="571"/>
        <v>293.20002416704182</v>
      </c>
      <c r="AF568" s="39">
        <v>0.94791666666666496</v>
      </c>
      <c r="AG568" s="38">
        <f t="shared" si="572"/>
        <v>-161.25</v>
      </c>
      <c r="AH568" s="38">
        <f t="shared" si="581"/>
        <v>0</v>
      </c>
      <c r="AI568" s="38">
        <f t="shared" si="573"/>
        <v>297.0871391084072</v>
      </c>
      <c r="AL568" s="39">
        <v>0.94791666666666496</v>
      </c>
      <c r="AM568" s="38">
        <f t="shared" si="574"/>
        <v>-161.25</v>
      </c>
      <c r="AN568" s="38">
        <f t="shared" si="582"/>
        <v>0</v>
      </c>
      <c r="AO568" s="38">
        <f t="shared" si="575"/>
        <v>242.9128608915928</v>
      </c>
    </row>
    <row r="569" spans="2:41" x14ac:dyDescent="0.25">
      <c r="B569" s="39">
        <v>0.95833333333333204</v>
      </c>
      <c r="C569" s="38">
        <f t="shared" si="562"/>
        <v>-165</v>
      </c>
      <c r="D569" s="38">
        <f t="shared" si="576"/>
        <v>0</v>
      </c>
      <c r="E569" s="38">
        <f t="shared" si="563"/>
        <v>246.79997583295818</v>
      </c>
      <c r="H569" s="39">
        <v>0.95833333333333204</v>
      </c>
      <c r="I569" s="38">
        <f t="shared" si="564"/>
        <v>-165</v>
      </c>
      <c r="J569" s="38">
        <f t="shared" si="577"/>
        <v>0</v>
      </c>
      <c r="K569" s="38">
        <f t="shared" si="565"/>
        <v>257.12844038759636</v>
      </c>
      <c r="N569" s="39">
        <v>0.95833333333333204</v>
      </c>
      <c r="O569" s="38">
        <f t="shared" si="566"/>
        <v>-165</v>
      </c>
      <c r="P569" s="38">
        <f t="shared" si="578"/>
        <v>0</v>
      </c>
      <c r="Q569" s="38">
        <f t="shared" si="567"/>
        <v>269.53812236324006</v>
      </c>
      <c r="T569" s="39">
        <v>0.95833333333333204</v>
      </c>
      <c r="U569" s="38">
        <f t="shared" si="568"/>
        <v>-165</v>
      </c>
      <c r="V569" s="38">
        <f t="shared" si="579"/>
        <v>0</v>
      </c>
      <c r="W569" s="38">
        <f t="shared" si="569"/>
        <v>283.27772875988904</v>
      </c>
      <c r="Z569" s="39">
        <v>0.95833333333333204</v>
      </c>
      <c r="AA569" s="38">
        <f t="shared" si="570"/>
        <v>-165</v>
      </c>
      <c r="AB569" s="38">
        <f t="shared" si="580"/>
        <v>0</v>
      </c>
      <c r="AC569" s="38">
        <f t="shared" si="571"/>
        <v>293.20002416704182</v>
      </c>
      <c r="AF569" s="39">
        <v>0.95833333333333204</v>
      </c>
      <c r="AG569" s="38">
        <f t="shared" si="572"/>
        <v>-165</v>
      </c>
      <c r="AH569" s="38">
        <f t="shared" si="581"/>
        <v>0</v>
      </c>
      <c r="AI569" s="38">
        <f t="shared" si="573"/>
        <v>297.0871391084072</v>
      </c>
      <c r="AL569" s="39">
        <v>0.95833333333333204</v>
      </c>
      <c r="AM569" s="38">
        <f t="shared" si="574"/>
        <v>-165</v>
      </c>
      <c r="AN569" s="38">
        <f t="shared" si="582"/>
        <v>0</v>
      </c>
      <c r="AO569" s="38">
        <f t="shared" si="575"/>
        <v>242.9128608915928</v>
      </c>
    </row>
  </sheetData>
  <sheetProtection password="E6CB" sheet="1" objects="1" scenarios="1"/>
  <mergeCells count="644">
    <mergeCell ref="U478:U479"/>
    <mergeCell ref="AL478:AL479"/>
    <mergeCell ref="AM478:AM479"/>
    <mergeCell ref="AN478:AN479"/>
    <mergeCell ref="AO478:AO479"/>
    <mergeCell ref="AC478:AC479"/>
    <mergeCell ref="AF478:AF479"/>
    <mergeCell ref="AG478:AG479"/>
    <mergeCell ref="AH478:AH479"/>
    <mergeCell ref="AI478:AI479"/>
    <mergeCell ref="AJ478:AJ479"/>
    <mergeCell ref="AM475:AM476"/>
    <mergeCell ref="AN475:AN476"/>
    <mergeCell ref="AO475:AO476"/>
    <mergeCell ref="I475:I476"/>
    <mergeCell ref="J475:J476"/>
    <mergeCell ref="K475:K476"/>
    <mergeCell ref="O475:O476"/>
    <mergeCell ref="P475:P476"/>
    <mergeCell ref="Q475:Q476"/>
    <mergeCell ref="U475:U476"/>
    <mergeCell ref="V475:V476"/>
    <mergeCell ref="W475:W476"/>
    <mergeCell ref="AA475:AA476"/>
    <mergeCell ref="AB475:AB476"/>
    <mergeCell ref="AC475:AC476"/>
    <mergeCell ref="AG475:AG476"/>
    <mergeCell ref="D478:D479"/>
    <mergeCell ref="E478:E479"/>
    <mergeCell ref="C475:C476"/>
    <mergeCell ref="D475:D476"/>
    <mergeCell ref="E475:E476"/>
    <mergeCell ref="B478:B479"/>
    <mergeCell ref="C478:C479"/>
    <mergeCell ref="AH475:AH476"/>
    <mergeCell ref="AI475:AI476"/>
    <mergeCell ref="H478:H479"/>
    <mergeCell ref="I478:I479"/>
    <mergeCell ref="J478:J479"/>
    <mergeCell ref="K478:K479"/>
    <mergeCell ref="N478:N479"/>
    <mergeCell ref="V478:V479"/>
    <mergeCell ref="W478:W479"/>
    <mergeCell ref="Z478:Z479"/>
    <mergeCell ref="AA478:AA479"/>
    <mergeCell ref="AB478:AB479"/>
    <mergeCell ref="O478:O479"/>
    <mergeCell ref="P478:P479"/>
    <mergeCell ref="Q478:Q479"/>
    <mergeCell ref="X478:X479"/>
    <mergeCell ref="T478:T479"/>
    <mergeCell ref="AG46:AG47"/>
    <mergeCell ref="AK46:AK47"/>
    <mergeCell ref="T327:T328"/>
    <mergeCell ref="U327:U328"/>
    <mergeCell ref="C344:C345"/>
    <mergeCell ref="D344:D345"/>
    <mergeCell ref="E344:E345"/>
    <mergeCell ref="U347:U348"/>
    <mergeCell ref="R307:R308"/>
    <mergeCell ref="S307:S308"/>
    <mergeCell ref="T307:T308"/>
    <mergeCell ref="U307:U308"/>
    <mergeCell ref="C324:C325"/>
    <mergeCell ref="D324:D325"/>
    <mergeCell ref="E324:E325"/>
    <mergeCell ref="O324:O325"/>
    <mergeCell ref="P324:P325"/>
    <mergeCell ref="I327:I328"/>
    <mergeCell ref="R347:R348"/>
    <mergeCell ref="S347:S348"/>
    <mergeCell ref="I347:I348"/>
    <mergeCell ref="J347:J348"/>
    <mergeCell ref="N344:N345"/>
    <mergeCell ref="O344:O345"/>
    <mergeCell ref="T347:T348"/>
    <mergeCell ref="O327:O328"/>
    <mergeCell ref="P327:P328"/>
    <mergeCell ref="R327:R328"/>
    <mergeCell ref="S327:S328"/>
    <mergeCell ref="B347:B348"/>
    <mergeCell ref="C347:C348"/>
    <mergeCell ref="D347:D348"/>
    <mergeCell ref="E347:E348"/>
    <mergeCell ref="G347:G348"/>
    <mergeCell ref="H347:H348"/>
    <mergeCell ref="P344:P345"/>
    <mergeCell ref="M347:M348"/>
    <mergeCell ref="N347:N348"/>
    <mergeCell ref="O347:O348"/>
    <mergeCell ref="P347:P348"/>
    <mergeCell ref="B327:B328"/>
    <mergeCell ref="C327:C328"/>
    <mergeCell ref="D327:D328"/>
    <mergeCell ref="E327:E328"/>
    <mergeCell ref="G327:G328"/>
    <mergeCell ref="H327:H328"/>
    <mergeCell ref="M307:M308"/>
    <mergeCell ref="N307:N308"/>
    <mergeCell ref="O307:O308"/>
    <mergeCell ref="J327:J328"/>
    <mergeCell ref="N324:N325"/>
    <mergeCell ref="M327:M328"/>
    <mergeCell ref="N327:N328"/>
    <mergeCell ref="P307:P308"/>
    <mergeCell ref="C304:C305"/>
    <mergeCell ref="D304:D305"/>
    <mergeCell ref="E304:E305"/>
    <mergeCell ref="I307:I308"/>
    <mergeCell ref="J307:J308"/>
    <mergeCell ref="H307:H308"/>
    <mergeCell ref="N284:N285"/>
    <mergeCell ref="O284:O285"/>
    <mergeCell ref="P284:P285"/>
    <mergeCell ref="M287:M288"/>
    <mergeCell ref="N287:N288"/>
    <mergeCell ref="N304:N305"/>
    <mergeCell ref="O304:O305"/>
    <mergeCell ref="P304:P305"/>
    <mergeCell ref="C284:C285"/>
    <mergeCell ref="D284:D285"/>
    <mergeCell ref="E284:E285"/>
    <mergeCell ref="O287:O288"/>
    <mergeCell ref="P287:P288"/>
    <mergeCell ref="H287:H288"/>
    <mergeCell ref="I287:I288"/>
    <mergeCell ref="J287:J288"/>
    <mergeCell ref="B287:B288"/>
    <mergeCell ref="C287:C288"/>
    <mergeCell ref="D287:D288"/>
    <mergeCell ref="E287:E288"/>
    <mergeCell ref="B307:B308"/>
    <mergeCell ref="C307:C308"/>
    <mergeCell ref="D307:D308"/>
    <mergeCell ref="E307:E308"/>
    <mergeCell ref="G307:G308"/>
    <mergeCell ref="G287:G288"/>
    <mergeCell ref="U287:U288"/>
    <mergeCell ref="R247:R248"/>
    <mergeCell ref="S247:S248"/>
    <mergeCell ref="T247:T248"/>
    <mergeCell ref="U247:U248"/>
    <mergeCell ref="R267:R268"/>
    <mergeCell ref="S267:S268"/>
    <mergeCell ref="T267:T268"/>
    <mergeCell ref="U267:U268"/>
    <mergeCell ref="R287:R288"/>
    <mergeCell ref="S287:S288"/>
    <mergeCell ref="T287:T288"/>
    <mergeCell ref="C264:C265"/>
    <mergeCell ref="D264:D265"/>
    <mergeCell ref="E264:E265"/>
    <mergeCell ref="B267:B268"/>
    <mergeCell ref="C267:C268"/>
    <mergeCell ref="D267:D268"/>
    <mergeCell ref="E267:E268"/>
    <mergeCell ref="I267:I268"/>
    <mergeCell ref="J267:J268"/>
    <mergeCell ref="G267:G268"/>
    <mergeCell ref="H267:H268"/>
    <mergeCell ref="N264:N265"/>
    <mergeCell ref="O264:O265"/>
    <mergeCell ref="P264:P265"/>
    <mergeCell ref="M267:M268"/>
    <mergeCell ref="N267:N268"/>
    <mergeCell ref="O267:O268"/>
    <mergeCell ref="P267:P268"/>
    <mergeCell ref="I247:I248"/>
    <mergeCell ref="J247:J248"/>
    <mergeCell ref="M247:M248"/>
    <mergeCell ref="N247:N248"/>
    <mergeCell ref="O247:O248"/>
    <mergeCell ref="P247:P248"/>
    <mergeCell ref="B247:B248"/>
    <mergeCell ref="C247:C248"/>
    <mergeCell ref="D247:D248"/>
    <mergeCell ref="E247:E248"/>
    <mergeCell ref="G247:G248"/>
    <mergeCell ref="H247:H248"/>
    <mergeCell ref="R227:R228"/>
    <mergeCell ref="S227:S228"/>
    <mergeCell ref="T227:T228"/>
    <mergeCell ref="B227:B228"/>
    <mergeCell ref="U227:U228"/>
    <mergeCell ref="C244:C245"/>
    <mergeCell ref="D244:D245"/>
    <mergeCell ref="E244:E245"/>
    <mergeCell ref="I227:I228"/>
    <mergeCell ref="J227:J228"/>
    <mergeCell ref="N244:N245"/>
    <mergeCell ref="O244:O245"/>
    <mergeCell ref="P244:P245"/>
    <mergeCell ref="M227:M228"/>
    <mergeCell ref="N227:N228"/>
    <mergeCell ref="O227:O228"/>
    <mergeCell ref="P227:P228"/>
    <mergeCell ref="C227:C228"/>
    <mergeCell ref="D227:D228"/>
    <mergeCell ref="E227:E228"/>
    <mergeCell ref="G227:G228"/>
    <mergeCell ref="H227:H228"/>
    <mergeCell ref="R207:R208"/>
    <mergeCell ref="S207:S208"/>
    <mergeCell ref="AN201:AN204"/>
    <mergeCell ref="AN206:AN209"/>
    <mergeCell ref="T207:T208"/>
    <mergeCell ref="U207:U208"/>
    <mergeCell ref="C224:C225"/>
    <mergeCell ref="D224:D225"/>
    <mergeCell ref="E224:E225"/>
    <mergeCell ref="I207:I208"/>
    <mergeCell ref="J207:J208"/>
    <mergeCell ref="N224:N225"/>
    <mergeCell ref="O224:O225"/>
    <mergeCell ref="P224:P225"/>
    <mergeCell ref="P207:P208"/>
    <mergeCell ref="M207:M208"/>
    <mergeCell ref="N207:N208"/>
    <mergeCell ref="O207:O208"/>
    <mergeCell ref="B207:B208"/>
    <mergeCell ref="C207:C208"/>
    <mergeCell ref="D207:D208"/>
    <mergeCell ref="E207:E208"/>
    <mergeCell ref="G207:G208"/>
    <mergeCell ref="H207:H208"/>
    <mergeCell ref="S187:S188"/>
    <mergeCell ref="T187:T188"/>
    <mergeCell ref="U187:U188"/>
    <mergeCell ref="C204:C205"/>
    <mergeCell ref="D204:D205"/>
    <mergeCell ref="E204:E205"/>
    <mergeCell ref="M187:M188"/>
    <mergeCell ref="N187:N188"/>
    <mergeCell ref="O187:O188"/>
    <mergeCell ref="P187:P188"/>
    <mergeCell ref="R187:R188"/>
    <mergeCell ref="G187:G188"/>
    <mergeCell ref="H187:H188"/>
    <mergeCell ref="I187:I188"/>
    <mergeCell ref="J187:J188"/>
    <mergeCell ref="N204:N205"/>
    <mergeCell ref="O204:O205"/>
    <mergeCell ref="P204:P205"/>
    <mergeCell ref="AZ240:AZ241"/>
    <mergeCell ref="CI179:CJ179"/>
    <mergeCell ref="BM146:BN146"/>
    <mergeCell ref="CC146:CD146"/>
    <mergeCell ref="AS146:AT146"/>
    <mergeCell ref="AU146:AV146"/>
    <mergeCell ref="AW146:AX146"/>
    <mergeCell ref="BS146:BT146"/>
    <mergeCell ref="B187:B188"/>
    <mergeCell ref="C187:C188"/>
    <mergeCell ref="D187:D188"/>
    <mergeCell ref="E187:E188"/>
    <mergeCell ref="P184:P185"/>
    <mergeCell ref="N184:N185"/>
    <mergeCell ref="O184:O185"/>
    <mergeCell ref="C184:C185"/>
    <mergeCell ref="D184:D185"/>
    <mergeCell ref="E184:E185"/>
    <mergeCell ref="BY179:BZ179"/>
    <mergeCell ref="CA179:CB179"/>
    <mergeCell ref="CE146:CF146"/>
    <mergeCell ref="BO146:BP146"/>
    <mergeCell ref="BQ146:BR146"/>
    <mergeCell ref="CG146:CH146"/>
    <mergeCell ref="CD240:CD241"/>
    <mergeCell ref="BK240:BK241"/>
    <mergeCell ref="CG179:CH179"/>
    <mergeCell ref="BK146:BL146"/>
    <mergeCell ref="AC239:AC240"/>
    <mergeCell ref="AD239:AD240"/>
    <mergeCell ref="AE239:AE240"/>
    <mergeCell ref="AF239:AF240"/>
    <mergeCell ref="AH239:AH240"/>
    <mergeCell ref="AG239:AG240"/>
    <mergeCell ref="CC179:CD179"/>
    <mergeCell ref="BU179:BV179"/>
    <mergeCell ref="BW179:BX179"/>
    <mergeCell ref="BG179:BH179"/>
    <mergeCell ref="BI179:BJ179"/>
    <mergeCell ref="BK179:BL179"/>
    <mergeCell ref="BM179:BN179"/>
    <mergeCell ref="BO179:BP179"/>
    <mergeCell ref="BQ179:BR179"/>
    <mergeCell ref="BS179:BT179"/>
    <mergeCell ref="BD212:BD213"/>
    <mergeCell ref="BF212:BF213"/>
    <mergeCell ref="AW240:AW241"/>
    <mergeCell ref="AX240:AX241"/>
    <mergeCell ref="BW146:BX146"/>
    <mergeCell ref="BY146:BZ146"/>
    <mergeCell ref="CA146:CB146"/>
    <mergeCell ref="BI146:BJ146"/>
    <mergeCell ref="CX118:CX119"/>
    <mergeCell ref="CY118:CY119"/>
    <mergeCell ref="BA239:BB239"/>
    <mergeCell ref="BC239:BD239"/>
    <mergeCell ref="BU239:BV239"/>
    <mergeCell ref="BW239:BX239"/>
    <mergeCell ref="BY239:BZ239"/>
    <mergeCell ref="BE239:BF239"/>
    <mergeCell ref="BG239:BH239"/>
    <mergeCell ref="BI239:BJ239"/>
    <mergeCell ref="BK239:BL239"/>
    <mergeCell ref="BM239:BN239"/>
    <mergeCell ref="CE179:CF179"/>
    <mergeCell ref="CB118:CB119"/>
    <mergeCell ref="BE118:BE119"/>
    <mergeCell ref="BA118:BA119"/>
    <mergeCell ref="BB118:BB119"/>
    <mergeCell ref="BR118:BR119"/>
    <mergeCell ref="BS118:BS119"/>
    <mergeCell ref="BV118:BV119"/>
    <mergeCell ref="BH118:BH119"/>
    <mergeCell ref="BK118:BK119"/>
    <mergeCell ref="BL118:BL119"/>
    <mergeCell ref="BM118:BM119"/>
    <mergeCell ref="BN118:BN119"/>
    <mergeCell ref="AY239:AZ239"/>
    <mergeCell ref="BU146:BV146"/>
    <mergeCell ref="AZ118:AZ119"/>
    <mergeCell ref="BC118:BC119"/>
    <mergeCell ref="BF118:BF119"/>
    <mergeCell ref="BG118:BG119"/>
    <mergeCell ref="BP118:BP119"/>
    <mergeCell ref="BQ118:BQ119"/>
    <mergeCell ref="AY146:AZ146"/>
    <mergeCell ref="BA146:BB146"/>
    <mergeCell ref="BC146:BD146"/>
    <mergeCell ref="BE146:BF146"/>
    <mergeCell ref="BG146:BH146"/>
    <mergeCell ref="BG212:BG213"/>
    <mergeCell ref="BI212:BI213"/>
    <mergeCell ref="BJ212:BJ213"/>
    <mergeCell ref="BC179:BD179"/>
    <mergeCell ref="BE179:BF179"/>
    <mergeCell ref="AZ211:BA211"/>
    <mergeCell ref="CW118:CW119"/>
    <mergeCell ref="CZ118:CZ119"/>
    <mergeCell ref="DC118:DC119"/>
    <mergeCell ref="CI146:CJ146"/>
    <mergeCell ref="CJ115:CJ116"/>
    <mergeCell ref="CT118:CT119"/>
    <mergeCell ref="CU118:CU119"/>
    <mergeCell ref="CJ118:CJ119"/>
    <mergeCell ref="CL118:CL119"/>
    <mergeCell ref="CM118:CM119"/>
    <mergeCell ref="CN118:CN119"/>
    <mergeCell ref="CO118:CO119"/>
    <mergeCell ref="CR118:CR119"/>
    <mergeCell ref="CS118:CS119"/>
    <mergeCell ref="CT115:CT116"/>
    <mergeCell ref="CU115:CU116"/>
    <mergeCell ref="CS115:CS116"/>
    <mergeCell ref="CI118:CI119"/>
    <mergeCell ref="DK118:DK119"/>
    <mergeCell ref="DE118:DE119"/>
    <mergeCell ref="DF118:DF119"/>
    <mergeCell ref="DH118:DH119"/>
    <mergeCell ref="DI118:DI119"/>
    <mergeCell ref="DJ118:DJ119"/>
    <mergeCell ref="DD118:DD119"/>
    <mergeCell ref="DF115:DF116"/>
    <mergeCell ref="DD115:DD116"/>
    <mergeCell ref="DE115:DE116"/>
    <mergeCell ref="BL115:BL116"/>
    <mergeCell ref="BM115:BM116"/>
    <mergeCell ref="BN115:BN116"/>
    <mergeCell ref="BW115:BW116"/>
    <mergeCell ref="BX115:BX116"/>
    <mergeCell ref="BY115:BY116"/>
    <mergeCell ref="CH115:CH116"/>
    <mergeCell ref="CI115:CI116"/>
    <mergeCell ref="BW118:BW119"/>
    <mergeCell ref="BX118:BX119"/>
    <mergeCell ref="BY118:BY119"/>
    <mergeCell ref="CA118:CA119"/>
    <mergeCell ref="CC118:CC119"/>
    <mergeCell ref="CD118:CD119"/>
    <mergeCell ref="CG118:CG119"/>
    <mergeCell ref="CH118:CH119"/>
    <mergeCell ref="V84:V85"/>
    <mergeCell ref="Z84:Z85"/>
    <mergeCell ref="AR83:AR84"/>
    <mergeCell ref="AP83:AP84"/>
    <mergeCell ref="AQ83:AQ84"/>
    <mergeCell ref="AR86:AR87"/>
    <mergeCell ref="AT86:AT87"/>
    <mergeCell ref="AP86:AP87"/>
    <mergeCell ref="AQ86:AQ87"/>
    <mergeCell ref="AO86:AO87"/>
    <mergeCell ref="BA83:BA84"/>
    <mergeCell ref="BB83:BB84"/>
    <mergeCell ref="BC83:BC84"/>
    <mergeCell ref="AZ86:AZ87"/>
    <mergeCell ref="BA86:BA87"/>
    <mergeCell ref="BB86:BB87"/>
    <mergeCell ref="BC86:BC87"/>
    <mergeCell ref="BE86:BE87"/>
    <mergeCell ref="DD83:DD84"/>
    <mergeCell ref="BX86:BX87"/>
    <mergeCell ref="BY86:BY87"/>
    <mergeCell ref="BW86:BW87"/>
    <mergeCell ref="CI83:CI84"/>
    <mergeCell ref="CJ83:CJ84"/>
    <mergeCell ref="CI86:CI87"/>
    <mergeCell ref="CJ86:CJ87"/>
    <mergeCell ref="CY86:CY87"/>
    <mergeCell ref="CT83:CT84"/>
    <mergeCell ref="CU83:CU84"/>
    <mergeCell ref="CT86:CT87"/>
    <mergeCell ref="CU86:CU87"/>
    <mergeCell ref="CS83:CS84"/>
    <mergeCell ref="CW86:CW87"/>
    <mergeCell ref="CX86:CX87"/>
    <mergeCell ref="DE83:DE84"/>
    <mergeCell ref="DF83:DF84"/>
    <mergeCell ref="CZ86:CZ87"/>
    <mergeCell ref="BL83:BL84"/>
    <mergeCell ref="BW83:BW84"/>
    <mergeCell ref="BM83:BM84"/>
    <mergeCell ref="BN83:BN84"/>
    <mergeCell ref="BL86:BL87"/>
    <mergeCell ref="BM86:BM87"/>
    <mergeCell ref="CL86:CL87"/>
    <mergeCell ref="CM86:CM87"/>
    <mergeCell ref="CN86:CN87"/>
    <mergeCell ref="CO86:CO87"/>
    <mergeCell ref="CR86:CR87"/>
    <mergeCell ref="CS86:CS87"/>
    <mergeCell ref="CG86:CG87"/>
    <mergeCell ref="CH86:CH87"/>
    <mergeCell ref="CH83:CH84"/>
    <mergeCell ref="CB86:CB87"/>
    <mergeCell ref="CC86:CC87"/>
    <mergeCell ref="CD86:CD87"/>
    <mergeCell ref="BX83:BX84"/>
    <mergeCell ref="BY83:BY84"/>
    <mergeCell ref="BV86:BV87"/>
    <mergeCell ref="AU86:AU87"/>
    <mergeCell ref="CA86:CA87"/>
    <mergeCell ref="BP86:BP87"/>
    <mergeCell ref="BQ86:BQ87"/>
    <mergeCell ref="BK86:BK87"/>
    <mergeCell ref="BN86:BN87"/>
    <mergeCell ref="DK86:DK87"/>
    <mergeCell ref="DC86:DC87"/>
    <mergeCell ref="DD86:DD87"/>
    <mergeCell ref="DE86:DE87"/>
    <mergeCell ref="DF86:DF87"/>
    <mergeCell ref="DH86:DH87"/>
    <mergeCell ref="DI86:DI87"/>
    <mergeCell ref="DJ86:DJ87"/>
    <mergeCell ref="AV86:AV87"/>
    <mergeCell ref="AW86:AW87"/>
    <mergeCell ref="BF86:BF87"/>
    <mergeCell ref="BR86:BR87"/>
    <mergeCell ref="BS86:BS87"/>
    <mergeCell ref="BG86:BG87"/>
    <mergeCell ref="BH86:BH87"/>
    <mergeCell ref="BF211:BG211"/>
    <mergeCell ref="BI211:BJ211"/>
    <mergeCell ref="AT212:AT213"/>
    <mergeCell ref="AU212:AU213"/>
    <mergeCell ref="AW212:AW213"/>
    <mergeCell ref="AX212:AX213"/>
    <mergeCell ref="AZ212:AZ213"/>
    <mergeCell ref="BA212:BA213"/>
    <mergeCell ref="BC212:BC213"/>
    <mergeCell ref="AY179:AZ179"/>
    <mergeCell ref="BA179:BB179"/>
    <mergeCell ref="AQ212:AQ213"/>
    <mergeCell ref="AO146:AP146"/>
    <mergeCell ref="AQ146:AR146"/>
    <mergeCell ref="AP115:AP116"/>
    <mergeCell ref="AQ115:AQ116"/>
    <mergeCell ref="AR115:AR116"/>
    <mergeCell ref="BC211:BD211"/>
    <mergeCell ref="AO118:AO119"/>
    <mergeCell ref="AP118:AP119"/>
    <mergeCell ref="AQ118:AQ119"/>
    <mergeCell ref="AR118:AR119"/>
    <mergeCell ref="BC115:BC116"/>
    <mergeCell ref="AT118:AT119"/>
    <mergeCell ref="AU118:AU119"/>
    <mergeCell ref="AV118:AV119"/>
    <mergeCell ref="AW118:AW119"/>
    <mergeCell ref="BA115:BA116"/>
    <mergeCell ref="BB115:BB116"/>
    <mergeCell ref="AQ239:AR239"/>
    <mergeCell ref="AS239:AT239"/>
    <mergeCell ref="AU239:AV239"/>
    <mergeCell ref="AW239:AX239"/>
    <mergeCell ref="AS240:AS241"/>
    <mergeCell ref="AT240:AT241"/>
    <mergeCell ref="AU240:AU241"/>
    <mergeCell ref="AV240:AV241"/>
    <mergeCell ref="AI175:AI176"/>
    <mergeCell ref="AJ175:AJ176"/>
    <mergeCell ref="AN181:AN184"/>
    <mergeCell ref="AN186:AN189"/>
    <mergeCell ref="AN191:AN194"/>
    <mergeCell ref="AN196:AN199"/>
    <mergeCell ref="AP212:AP213"/>
    <mergeCell ref="AQ211:AR211"/>
    <mergeCell ref="AT211:AU211"/>
    <mergeCell ref="AW211:AX211"/>
    <mergeCell ref="AO179:AP179"/>
    <mergeCell ref="AQ179:AR179"/>
    <mergeCell ref="AS179:AT179"/>
    <mergeCell ref="AU179:AV179"/>
    <mergeCell ref="AW179:AX179"/>
    <mergeCell ref="AR212:AR213"/>
    <mergeCell ref="BS250:BT250"/>
    <mergeCell ref="BU250:BV250"/>
    <mergeCell ref="AQ250:AR250"/>
    <mergeCell ref="AS250:AT250"/>
    <mergeCell ref="AU250:AV250"/>
    <mergeCell ref="AW250:AX250"/>
    <mergeCell ref="AY250:AZ250"/>
    <mergeCell ref="BA250:BB250"/>
    <mergeCell ref="BE240:BE241"/>
    <mergeCell ref="BF240:BF241"/>
    <mergeCell ref="BG240:BG241"/>
    <mergeCell ref="BH240:BH241"/>
    <mergeCell ref="BI240:BI241"/>
    <mergeCell ref="BJ240:BJ241"/>
    <mergeCell ref="BL240:BL241"/>
    <mergeCell ref="BM240:BM241"/>
    <mergeCell ref="BN240:BN241"/>
    <mergeCell ref="AQ240:AQ241"/>
    <mergeCell ref="AR240:AR241"/>
    <mergeCell ref="BA240:BA241"/>
    <mergeCell ref="BB240:BB241"/>
    <mergeCell ref="BC240:BC241"/>
    <mergeCell ref="BD240:BD241"/>
    <mergeCell ref="AY240:AY241"/>
    <mergeCell ref="CI239:CJ239"/>
    <mergeCell ref="BO240:BO241"/>
    <mergeCell ref="BP240:BP241"/>
    <mergeCell ref="BQ240:BQ241"/>
    <mergeCell ref="BR240:BR241"/>
    <mergeCell ref="BS240:BS241"/>
    <mergeCell ref="BT240:BT241"/>
    <mergeCell ref="BU240:BU241"/>
    <mergeCell ref="BV240:BV241"/>
    <mergeCell ref="BW240:BW241"/>
    <mergeCell ref="CI240:CI241"/>
    <mergeCell ref="CJ240:CJ241"/>
    <mergeCell ref="BO239:BP239"/>
    <mergeCell ref="CE240:CE241"/>
    <mergeCell ref="CF240:CF241"/>
    <mergeCell ref="CG240:CG241"/>
    <mergeCell ref="BX240:BX241"/>
    <mergeCell ref="BY240:BY241"/>
    <mergeCell ref="BZ240:BZ241"/>
    <mergeCell ref="CA240:CA241"/>
    <mergeCell ref="CB240:CB241"/>
    <mergeCell ref="CC240:CC241"/>
    <mergeCell ref="BQ239:BR239"/>
    <mergeCell ref="BS239:BT239"/>
    <mergeCell ref="CK239:CL239"/>
    <mergeCell ref="CK240:CK241"/>
    <mergeCell ref="CL240:CL241"/>
    <mergeCell ref="CA239:CB239"/>
    <mergeCell ref="CC239:CD239"/>
    <mergeCell ref="CE239:CF239"/>
    <mergeCell ref="CG239:CH239"/>
    <mergeCell ref="BC251:BC252"/>
    <mergeCell ref="BD251:BD252"/>
    <mergeCell ref="BE251:BE252"/>
    <mergeCell ref="BF251:BF252"/>
    <mergeCell ref="BG251:BG252"/>
    <mergeCell ref="CH240:CH241"/>
    <mergeCell ref="BC250:BD250"/>
    <mergeCell ref="BE250:BF250"/>
    <mergeCell ref="BG250:BH250"/>
    <mergeCell ref="BI250:BJ250"/>
    <mergeCell ref="CK250:CL250"/>
    <mergeCell ref="BS251:BS252"/>
    <mergeCell ref="BT251:BT252"/>
    <mergeCell ref="BU251:BU252"/>
    <mergeCell ref="BK250:BL250"/>
    <mergeCell ref="BM250:BN250"/>
    <mergeCell ref="BO250:BP250"/>
    <mergeCell ref="AX251:AX252"/>
    <mergeCell ref="AY251:AY252"/>
    <mergeCell ref="AZ251:AZ252"/>
    <mergeCell ref="BA251:BA252"/>
    <mergeCell ref="BB251:BB252"/>
    <mergeCell ref="CE250:CF250"/>
    <mergeCell ref="CG250:CH250"/>
    <mergeCell ref="CI250:CJ250"/>
    <mergeCell ref="BY250:BZ250"/>
    <mergeCell ref="CA250:CB250"/>
    <mergeCell ref="CC250:CD250"/>
    <mergeCell ref="BW250:BX250"/>
    <mergeCell ref="BV251:BV252"/>
    <mergeCell ref="BW251:BW252"/>
    <mergeCell ref="BX251:BX252"/>
    <mergeCell ref="BY251:BY252"/>
    <mergeCell ref="CD251:CD252"/>
    <mergeCell ref="CE251:CE252"/>
    <mergeCell ref="CF251:CF252"/>
    <mergeCell ref="CG251:CG252"/>
    <mergeCell ref="CH251:CH252"/>
    <mergeCell ref="BQ251:BQ252"/>
    <mergeCell ref="BR251:BR252"/>
    <mergeCell ref="BQ250:BR250"/>
    <mergeCell ref="CI251:CI252"/>
    <mergeCell ref="CJ251:CJ252"/>
    <mergeCell ref="CK251:CK252"/>
    <mergeCell ref="CL251:CL252"/>
    <mergeCell ref="BZ251:BZ252"/>
    <mergeCell ref="CA251:CA252"/>
    <mergeCell ref="CB251:CB252"/>
    <mergeCell ref="CC251:CC252"/>
    <mergeCell ref="AQ251:AQ252"/>
    <mergeCell ref="AR251:AR252"/>
    <mergeCell ref="AS251:AS252"/>
    <mergeCell ref="AT251:AT252"/>
    <mergeCell ref="AU251:AU252"/>
    <mergeCell ref="AV251:AV252"/>
    <mergeCell ref="BN251:BN252"/>
    <mergeCell ref="BO251:BO252"/>
    <mergeCell ref="BP251:BP252"/>
    <mergeCell ref="BH251:BH252"/>
    <mergeCell ref="BI251:BI252"/>
    <mergeCell ref="BJ251:BJ252"/>
    <mergeCell ref="BK251:BK252"/>
    <mergeCell ref="BL251:BL252"/>
    <mergeCell ref="BM251:BM252"/>
    <mergeCell ref="AW251:AW252"/>
    <mergeCell ref="AC172:AC173"/>
    <mergeCell ref="AD172:AD173"/>
    <mergeCell ref="AE172:AE173"/>
    <mergeCell ref="AB175:AB176"/>
    <mergeCell ref="AC175:AC176"/>
    <mergeCell ref="AD175:AD176"/>
    <mergeCell ref="AE175:AE176"/>
    <mergeCell ref="AG175:AG176"/>
    <mergeCell ref="AH175:AH176"/>
  </mergeCells>
  <pageMargins left="0.62992125984251968" right="0.23622047244094491" top="0.35433070866141736" bottom="0.35433070866141736" header="0.11811023622047245" footer="0.11811023622047245"/>
  <pageSetup orientation="landscape" horizontalDpi="0" verticalDpi="0"/>
  <drawing r:id="rId1"/>
  <legacyDrawing r:id="rId2"/>
  <oleObjects>
    <mc:AlternateContent xmlns:mc="http://schemas.openxmlformats.org/markup-compatibility/2006">
      <mc:Choice Requires="x14">
        <oleObject progId="Equation.DSMT4" shapeId="1025" r:id="rId3">
          <objectPr defaultSize="0" autoPict="0" r:id="rId4">
            <anchor moveWithCells="1">
              <from>
                <xdr:col>21</xdr:col>
                <xdr:colOff>304800</xdr:colOff>
                <xdr:row>83</xdr:row>
                <xdr:rowOff>76200</xdr:rowOff>
              </from>
              <to>
                <xdr:col>21</xdr:col>
                <xdr:colOff>714375</xdr:colOff>
                <xdr:row>84</xdr:row>
                <xdr:rowOff>161925</xdr:rowOff>
              </to>
            </anchor>
          </objectPr>
        </oleObject>
      </mc:Choice>
      <mc:Fallback>
        <oleObject progId="Equation.DSMT4" shapeId="1025" r:id="rId3"/>
      </mc:Fallback>
    </mc:AlternateContent>
    <mc:AlternateContent xmlns:mc="http://schemas.openxmlformats.org/markup-compatibility/2006">
      <mc:Choice Requires="x14">
        <oleObject progId="Equation.DSMT4" shapeId="1026" r:id="rId5">
          <objectPr defaultSize="0" autoPict="0" r:id="rId4">
            <anchor moveWithCells="1">
              <from>
                <xdr:col>25</xdr:col>
                <xdr:colOff>304800</xdr:colOff>
                <xdr:row>83</xdr:row>
                <xdr:rowOff>76200</xdr:rowOff>
              </from>
              <to>
                <xdr:col>25</xdr:col>
                <xdr:colOff>714375</xdr:colOff>
                <xdr:row>84</xdr:row>
                <xdr:rowOff>161925</xdr:rowOff>
              </to>
            </anchor>
          </objectPr>
        </oleObject>
      </mc:Choice>
      <mc:Fallback>
        <oleObject progId="Equation.DSMT4" shapeId="1026" r:id="rId5"/>
      </mc:Fallback>
    </mc:AlternateContent>
    <mc:AlternateContent xmlns:mc="http://schemas.openxmlformats.org/markup-compatibility/2006">
      <mc:Choice Requires="x14">
        <oleObject progId="Equation.DSMT4" shapeId="1027" r:id="rId6">
          <objectPr defaultSize="0" autoPict="0" r:id="rId7">
            <anchor moveWithCells="1">
              <from>
                <xdr:col>41</xdr:col>
                <xdr:colOff>200025</xdr:colOff>
                <xdr:row>73</xdr:row>
                <xdr:rowOff>114300</xdr:rowOff>
              </from>
              <to>
                <xdr:col>43</xdr:col>
                <xdr:colOff>647700</xdr:colOff>
                <xdr:row>80</xdr:row>
                <xdr:rowOff>123825</xdr:rowOff>
              </to>
            </anchor>
          </objectPr>
        </oleObject>
      </mc:Choice>
      <mc:Fallback>
        <oleObject progId="Equation.DSMT4" shapeId="1027" r:id="rId6"/>
      </mc:Fallback>
    </mc:AlternateContent>
    <mc:AlternateContent xmlns:mc="http://schemas.openxmlformats.org/markup-compatibility/2006">
      <mc:Choice Requires="x14">
        <oleObject progId="Equation.DSMT4" shapeId="1028" r:id="rId8">
          <objectPr defaultSize="0" autoPict="0" r:id="rId9">
            <anchor moveWithCells="1">
              <from>
                <xdr:col>44</xdr:col>
                <xdr:colOff>304800</xdr:colOff>
                <xdr:row>73</xdr:row>
                <xdr:rowOff>47625</xdr:rowOff>
              </from>
              <to>
                <xdr:col>46</xdr:col>
                <xdr:colOff>676275</xdr:colOff>
                <xdr:row>75</xdr:row>
                <xdr:rowOff>114300</xdr:rowOff>
              </to>
            </anchor>
          </objectPr>
        </oleObject>
      </mc:Choice>
      <mc:Fallback>
        <oleObject progId="Equation.DSMT4" shapeId="1028" r:id="rId8"/>
      </mc:Fallback>
    </mc:AlternateContent>
    <mc:AlternateContent xmlns:mc="http://schemas.openxmlformats.org/markup-compatibility/2006">
      <mc:Choice Requires="x14">
        <oleObject progId="Equation.DSMT4" shapeId="1029" r:id="rId10">
          <objectPr defaultSize="0" autoPict="0" r:id="rId11">
            <anchor moveWithCells="1">
              <from>
                <xdr:col>44</xdr:col>
                <xdr:colOff>219075</xdr:colOff>
                <xdr:row>76</xdr:row>
                <xdr:rowOff>76200</xdr:rowOff>
              </from>
              <to>
                <xdr:col>48</xdr:col>
                <xdr:colOff>123825</xdr:colOff>
                <xdr:row>77</xdr:row>
                <xdr:rowOff>161925</xdr:rowOff>
              </to>
            </anchor>
          </objectPr>
        </oleObject>
      </mc:Choice>
      <mc:Fallback>
        <oleObject progId="Equation.DSMT4" shapeId="1029" r:id="rId10"/>
      </mc:Fallback>
    </mc:AlternateContent>
    <mc:AlternateContent xmlns:mc="http://schemas.openxmlformats.org/markup-compatibility/2006">
      <mc:Choice Requires="x14">
        <oleObject progId="Equation.DSMT4" shapeId="1030" r:id="rId12">
          <objectPr defaultSize="0" autoPict="0" r:id="rId13">
            <anchor moveWithCells="1">
              <from>
                <xdr:col>44</xdr:col>
                <xdr:colOff>219075</xdr:colOff>
                <xdr:row>78</xdr:row>
                <xdr:rowOff>161925</xdr:rowOff>
              </from>
              <to>
                <xdr:col>47</xdr:col>
                <xdr:colOff>0</xdr:colOff>
                <xdr:row>81</xdr:row>
                <xdr:rowOff>38100</xdr:rowOff>
              </to>
            </anchor>
          </objectPr>
        </oleObject>
      </mc:Choice>
      <mc:Fallback>
        <oleObject progId="Equation.DSMT4" shapeId="1030" r:id="rId12"/>
      </mc:Fallback>
    </mc:AlternateContent>
    <mc:AlternateContent xmlns:mc="http://schemas.openxmlformats.org/markup-compatibility/2006">
      <mc:Choice Requires="x14">
        <oleObject progId="Equation.DSMT4" shapeId="1031" r:id="rId14">
          <objectPr defaultSize="0" autoPict="0" r:id="rId15">
            <anchor moveWithCells="1">
              <from>
                <xdr:col>41</xdr:col>
                <xdr:colOff>428625</xdr:colOff>
                <xdr:row>82</xdr:row>
                <xdr:rowOff>152400</xdr:rowOff>
              </from>
              <to>
                <xdr:col>41</xdr:col>
                <xdr:colOff>609600</xdr:colOff>
                <xdr:row>83</xdr:row>
                <xdr:rowOff>114300</xdr:rowOff>
              </to>
            </anchor>
          </objectPr>
        </oleObject>
      </mc:Choice>
      <mc:Fallback>
        <oleObject progId="Equation.DSMT4" shapeId="1031" r:id="rId14"/>
      </mc:Fallback>
    </mc:AlternateContent>
    <mc:AlternateContent xmlns:mc="http://schemas.openxmlformats.org/markup-compatibility/2006">
      <mc:Choice Requires="x14">
        <oleObject progId="Equation.DSMT4" shapeId="1032" r:id="rId16">
          <objectPr defaultSize="0" autoPict="0" r:id="rId17">
            <anchor moveWithCells="1">
              <from>
                <xdr:col>42</xdr:col>
                <xdr:colOff>257175</xdr:colOff>
                <xdr:row>82</xdr:row>
                <xdr:rowOff>85725</xdr:rowOff>
              </from>
              <to>
                <xdr:col>42</xdr:col>
                <xdr:colOff>676275</xdr:colOff>
                <xdr:row>84</xdr:row>
                <xdr:rowOff>0</xdr:rowOff>
              </to>
            </anchor>
          </objectPr>
        </oleObject>
      </mc:Choice>
      <mc:Fallback>
        <oleObject progId="Equation.DSMT4" shapeId="1032" r:id="rId16"/>
      </mc:Fallback>
    </mc:AlternateContent>
    <mc:AlternateContent xmlns:mc="http://schemas.openxmlformats.org/markup-compatibility/2006">
      <mc:Choice Requires="x14">
        <oleObject progId="Equation.DSMT4" shapeId="1033" r:id="rId18">
          <objectPr defaultSize="0" autoPict="0" r:id="rId19">
            <anchor moveWithCells="1">
              <from>
                <xdr:col>41</xdr:col>
                <xdr:colOff>295275</xdr:colOff>
                <xdr:row>85</xdr:row>
                <xdr:rowOff>104775</xdr:rowOff>
              </from>
              <to>
                <xdr:col>41</xdr:col>
                <xdr:colOff>714375</xdr:colOff>
                <xdr:row>87</xdr:row>
                <xdr:rowOff>0</xdr:rowOff>
              </to>
            </anchor>
          </objectPr>
        </oleObject>
      </mc:Choice>
      <mc:Fallback>
        <oleObject progId="Equation.DSMT4" shapeId="1033" r:id="rId18"/>
      </mc:Fallback>
    </mc:AlternateContent>
    <mc:AlternateContent xmlns:mc="http://schemas.openxmlformats.org/markup-compatibility/2006">
      <mc:Choice Requires="x14">
        <oleObject progId="Equation.DSMT4" shapeId="1034" r:id="rId20">
          <objectPr defaultSize="0" autoPict="0" r:id="rId21">
            <anchor moveWithCells="1">
              <from>
                <xdr:col>42</xdr:col>
                <xdr:colOff>295275</xdr:colOff>
                <xdr:row>85</xdr:row>
                <xdr:rowOff>104775</xdr:rowOff>
              </from>
              <to>
                <xdr:col>42</xdr:col>
                <xdr:colOff>714375</xdr:colOff>
                <xdr:row>87</xdr:row>
                <xdr:rowOff>0</xdr:rowOff>
              </to>
            </anchor>
          </objectPr>
        </oleObject>
      </mc:Choice>
      <mc:Fallback>
        <oleObject progId="Equation.DSMT4" shapeId="1034" r:id="rId20"/>
      </mc:Fallback>
    </mc:AlternateContent>
    <mc:AlternateContent xmlns:mc="http://schemas.openxmlformats.org/markup-compatibility/2006">
      <mc:Choice Requires="x14">
        <oleObject progId="Equation.DSMT4" shapeId="1035" r:id="rId22">
          <objectPr defaultSize="0" autoPict="0" r:id="rId23">
            <anchor moveWithCells="1">
              <from>
                <xdr:col>43</xdr:col>
                <xdr:colOff>314325</xdr:colOff>
                <xdr:row>82</xdr:row>
                <xdr:rowOff>85725</xdr:rowOff>
              </from>
              <to>
                <xdr:col>43</xdr:col>
                <xdr:colOff>733425</xdr:colOff>
                <xdr:row>84</xdr:row>
                <xdr:rowOff>0</xdr:rowOff>
              </to>
            </anchor>
          </objectPr>
        </oleObject>
      </mc:Choice>
      <mc:Fallback>
        <oleObject progId="Equation.DSMT4" shapeId="1035" r:id="rId22"/>
      </mc:Fallback>
    </mc:AlternateContent>
    <mc:AlternateContent xmlns:mc="http://schemas.openxmlformats.org/markup-compatibility/2006">
      <mc:Choice Requires="x14">
        <oleObject progId="Equation.DSMT4" shapeId="1036" r:id="rId24">
          <objectPr defaultSize="0" autoPict="0" r:id="rId25">
            <anchor moveWithCells="1">
              <from>
                <xdr:col>43</xdr:col>
                <xdr:colOff>304800</xdr:colOff>
                <xdr:row>85</xdr:row>
                <xdr:rowOff>85725</xdr:rowOff>
              </from>
              <to>
                <xdr:col>43</xdr:col>
                <xdr:colOff>714375</xdr:colOff>
                <xdr:row>87</xdr:row>
                <xdr:rowOff>0</xdr:rowOff>
              </to>
            </anchor>
          </objectPr>
        </oleObject>
      </mc:Choice>
      <mc:Fallback>
        <oleObject progId="Equation.DSMT4" shapeId="1036" r:id="rId24"/>
      </mc:Fallback>
    </mc:AlternateContent>
    <mc:AlternateContent xmlns:mc="http://schemas.openxmlformats.org/markup-compatibility/2006">
      <mc:Choice Requires="x14">
        <oleObject progId="Equation.DSMT4" shapeId="1037" r:id="rId26">
          <objectPr defaultSize="0" autoPict="0" r:id="rId27">
            <anchor moveWithCells="1">
              <from>
                <xdr:col>46</xdr:col>
                <xdr:colOff>304800</xdr:colOff>
                <xdr:row>85</xdr:row>
                <xdr:rowOff>76200</xdr:rowOff>
              </from>
              <to>
                <xdr:col>46</xdr:col>
                <xdr:colOff>714375</xdr:colOff>
                <xdr:row>86</xdr:row>
                <xdr:rowOff>161925</xdr:rowOff>
              </to>
            </anchor>
          </objectPr>
        </oleObject>
      </mc:Choice>
      <mc:Fallback>
        <oleObject progId="Equation.DSMT4" shapeId="1037" r:id="rId26"/>
      </mc:Fallback>
    </mc:AlternateContent>
    <mc:AlternateContent xmlns:mc="http://schemas.openxmlformats.org/markup-compatibility/2006">
      <mc:Choice Requires="x14">
        <oleObject progId="Equation.DSMT4" shapeId="1038" r:id="rId28">
          <objectPr defaultSize="0" autoPict="0" r:id="rId15">
            <anchor moveWithCells="1">
              <from>
                <xdr:col>52</xdr:col>
                <xdr:colOff>428625</xdr:colOff>
                <xdr:row>82</xdr:row>
                <xdr:rowOff>152400</xdr:rowOff>
              </from>
              <to>
                <xdr:col>52</xdr:col>
                <xdr:colOff>609600</xdr:colOff>
                <xdr:row>83</xdr:row>
                <xdr:rowOff>114300</xdr:rowOff>
              </to>
            </anchor>
          </objectPr>
        </oleObject>
      </mc:Choice>
      <mc:Fallback>
        <oleObject progId="Equation.DSMT4" shapeId="1038" r:id="rId28"/>
      </mc:Fallback>
    </mc:AlternateContent>
    <mc:AlternateContent xmlns:mc="http://schemas.openxmlformats.org/markup-compatibility/2006">
      <mc:Choice Requires="x14">
        <oleObject progId="Equation.DSMT4" shapeId="1039" r:id="rId29">
          <objectPr defaultSize="0" autoPict="0" r:id="rId17">
            <anchor moveWithCells="1">
              <from>
                <xdr:col>53</xdr:col>
                <xdr:colOff>257175</xdr:colOff>
                <xdr:row>82</xdr:row>
                <xdr:rowOff>85725</xdr:rowOff>
              </from>
              <to>
                <xdr:col>53</xdr:col>
                <xdr:colOff>676275</xdr:colOff>
                <xdr:row>84</xdr:row>
                <xdr:rowOff>0</xdr:rowOff>
              </to>
            </anchor>
          </objectPr>
        </oleObject>
      </mc:Choice>
      <mc:Fallback>
        <oleObject progId="Equation.DSMT4" shapeId="1039" r:id="rId29"/>
      </mc:Fallback>
    </mc:AlternateContent>
    <mc:AlternateContent xmlns:mc="http://schemas.openxmlformats.org/markup-compatibility/2006">
      <mc:Choice Requires="x14">
        <oleObject progId="Equation.DSMT4" shapeId="1040" r:id="rId30">
          <objectPr defaultSize="0" autoPict="0" r:id="rId19">
            <anchor moveWithCells="1">
              <from>
                <xdr:col>52</xdr:col>
                <xdr:colOff>295275</xdr:colOff>
                <xdr:row>85</xdr:row>
                <xdr:rowOff>104775</xdr:rowOff>
              </from>
              <to>
                <xdr:col>52</xdr:col>
                <xdr:colOff>714375</xdr:colOff>
                <xdr:row>87</xdr:row>
                <xdr:rowOff>0</xdr:rowOff>
              </to>
            </anchor>
          </objectPr>
        </oleObject>
      </mc:Choice>
      <mc:Fallback>
        <oleObject progId="Equation.DSMT4" shapeId="1040" r:id="rId30"/>
      </mc:Fallback>
    </mc:AlternateContent>
    <mc:AlternateContent xmlns:mc="http://schemas.openxmlformats.org/markup-compatibility/2006">
      <mc:Choice Requires="x14">
        <oleObject progId="Equation.DSMT4" shapeId="1041" r:id="rId31">
          <objectPr defaultSize="0" autoPict="0" r:id="rId21">
            <anchor moveWithCells="1">
              <from>
                <xdr:col>53</xdr:col>
                <xdr:colOff>295275</xdr:colOff>
                <xdr:row>85</xdr:row>
                <xdr:rowOff>104775</xdr:rowOff>
              </from>
              <to>
                <xdr:col>53</xdr:col>
                <xdr:colOff>714375</xdr:colOff>
                <xdr:row>87</xdr:row>
                <xdr:rowOff>0</xdr:rowOff>
              </to>
            </anchor>
          </objectPr>
        </oleObject>
      </mc:Choice>
      <mc:Fallback>
        <oleObject progId="Equation.DSMT4" shapeId="1041" r:id="rId31"/>
      </mc:Fallback>
    </mc:AlternateContent>
    <mc:AlternateContent xmlns:mc="http://schemas.openxmlformats.org/markup-compatibility/2006">
      <mc:Choice Requires="x14">
        <oleObject progId="Equation.DSMT4" shapeId="1042" r:id="rId32">
          <objectPr defaultSize="0" autoPict="0" r:id="rId23">
            <anchor moveWithCells="1">
              <from>
                <xdr:col>54</xdr:col>
                <xdr:colOff>333375</xdr:colOff>
                <xdr:row>82</xdr:row>
                <xdr:rowOff>85725</xdr:rowOff>
              </from>
              <to>
                <xdr:col>54</xdr:col>
                <xdr:colOff>733425</xdr:colOff>
                <xdr:row>84</xdr:row>
                <xdr:rowOff>0</xdr:rowOff>
              </to>
            </anchor>
          </objectPr>
        </oleObject>
      </mc:Choice>
      <mc:Fallback>
        <oleObject progId="Equation.DSMT4" shapeId="1042" r:id="rId32"/>
      </mc:Fallback>
    </mc:AlternateContent>
    <mc:AlternateContent xmlns:mc="http://schemas.openxmlformats.org/markup-compatibility/2006">
      <mc:Choice Requires="x14">
        <oleObject progId="Equation.DSMT4" shapeId="1043" r:id="rId33">
          <objectPr defaultSize="0" autoPict="0" r:id="rId25">
            <anchor moveWithCells="1">
              <from>
                <xdr:col>54</xdr:col>
                <xdr:colOff>304800</xdr:colOff>
                <xdr:row>85</xdr:row>
                <xdr:rowOff>85725</xdr:rowOff>
              </from>
              <to>
                <xdr:col>54</xdr:col>
                <xdr:colOff>714375</xdr:colOff>
                <xdr:row>87</xdr:row>
                <xdr:rowOff>0</xdr:rowOff>
              </to>
            </anchor>
          </objectPr>
        </oleObject>
      </mc:Choice>
      <mc:Fallback>
        <oleObject progId="Equation.DSMT4" shapeId="1043" r:id="rId33"/>
      </mc:Fallback>
    </mc:AlternateContent>
    <mc:AlternateContent xmlns:mc="http://schemas.openxmlformats.org/markup-compatibility/2006">
      <mc:Choice Requires="x14">
        <oleObject progId="Equation.DSMT4" shapeId="1044" r:id="rId34">
          <objectPr defaultSize="0" autoPict="0" r:id="rId27">
            <anchor moveWithCells="1">
              <from>
                <xdr:col>57</xdr:col>
                <xdr:colOff>304800</xdr:colOff>
                <xdr:row>85</xdr:row>
                <xdr:rowOff>76200</xdr:rowOff>
              </from>
              <to>
                <xdr:col>57</xdr:col>
                <xdr:colOff>714375</xdr:colOff>
                <xdr:row>86</xdr:row>
                <xdr:rowOff>161925</xdr:rowOff>
              </to>
            </anchor>
          </objectPr>
        </oleObject>
      </mc:Choice>
      <mc:Fallback>
        <oleObject progId="Equation.DSMT4" shapeId="1044" r:id="rId34"/>
      </mc:Fallback>
    </mc:AlternateContent>
    <mc:AlternateContent xmlns:mc="http://schemas.openxmlformats.org/markup-compatibility/2006">
      <mc:Choice Requires="x14">
        <oleObject progId="Equation.DSMT4" shapeId="1045" r:id="rId35">
          <objectPr defaultSize="0" autoPict="0" r:id="rId15">
            <anchor moveWithCells="1">
              <from>
                <xdr:col>63</xdr:col>
                <xdr:colOff>428625</xdr:colOff>
                <xdr:row>82</xdr:row>
                <xdr:rowOff>152400</xdr:rowOff>
              </from>
              <to>
                <xdr:col>63</xdr:col>
                <xdr:colOff>609600</xdr:colOff>
                <xdr:row>83</xdr:row>
                <xdr:rowOff>114300</xdr:rowOff>
              </to>
            </anchor>
          </objectPr>
        </oleObject>
      </mc:Choice>
      <mc:Fallback>
        <oleObject progId="Equation.DSMT4" shapeId="1045" r:id="rId35"/>
      </mc:Fallback>
    </mc:AlternateContent>
    <mc:AlternateContent xmlns:mc="http://schemas.openxmlformats.org/markup-compatibility/2006">
      <mc:Choice Requires="x14">
        <oleObject progId="Equation.DSMT4" shapeId="1046" r:id="rId36">
          <objectPr defaultSize="0" autoPict="0" r:id="rId17">
            <anchor moveWithCells="1">
              <from>
                <xdr:col>64</xdr:col>
                <xdr:colOff>257175</xdr:colOff>
                <xdr:row>82</xdr:row>
                <xdr:rowOff>85725</xdr:rowOff>
              </from>
              <to>
                <xdr:col>64</xdr:col>
                <xdr:colOff>676275</xdr:colOff>
                <xdr:row>84</xdr:row>
                <xdr:rowOff>0</xdr:rowOff>
              </to>
            </anchor>
          </objectPr>
        </oleObject>
      </mc:Choice>
      <mc:Fallback>
        <oleObject progId="Equation.DSMT4" shapeId="1046" r:id="rId36"/>
      </mc:Fallback>
    </mc:AlternateContent>
    <mc:AlternateContent xmlns:mc="http://schemas.openxmlformats.org/markup-compatibility/2006">
      <mc:Choice Requires="x14">
        <oleObject progId="Equation.DSMT4" shapeId="1047" r:id="rId37">
          <objectPr defaultSize="0" autoPict="0" r:id="rId19">
            <anchor moveWithCells="1">
              <from>
                <xdr:col>63</xdr:col>
                <xdr:colOff>295275</xdr:colOff>
                <xdr:row>85</xdr:row>
                <xdr:rowOff>104775</xdr:rowOff>
              </from>
              <to>
                <xdr:col>63</xdr:col>
                <xdr:colOff>714375</xdr:colOff>
                <xdr:row>87</xdr:row>
                <xdr:rowOff>0</xdr:rowOff>
              </to>
            </anchor>
          </objectPr>
        </oleObject>
      </mc:Choice>
      <mc:Fallback>
        <oleObject progId="Equation.DSMT4" shapeId="1047" r:id="rId37"/>
      </mc:Fallback>
    </mc:AlternateContent>
    <mc:AlternateContent xmlns:mc="http://schemas.openxmlformats.org/markup-compatibility/2006">
      <mc:Choice Requires="x14">
        <oleObject progId="Equation.DSMT4" shapeId="1048" r:id="rId38">
          <objectPr defaultSize="0" autoPict="0" r:id="rId21">
            <anchor moveWithCells="1">
              <from>
                <xdr:col>64</xdr:col>
                <xdr:colOff>295275</xdr:colOff>
                <xdr:row>85</xdr:row>
                <xdr:rowOff>104775</xdr:rowOff>
              </from>
              <to>
                <xdr:col>64</xdr:col>
                <xdr:colOff>714375</xdr:colOff>
                <xdr:row>87</xdr:row>
                <xdr:rowOff>0</xdr:rowOff>
              </to>
            </anchor>
          </objectPr>
        </oleObject>
      </mc:Choice>
      <mc:Fallback>
        <oleObject progId="Equation.DSMT4" shapeId="1048" r:id="rId38"/>
      </mc:Fallback>
    </mc:AlternateContent>
    <mc:AlternateContent xmlns:mc="http://schemas.openxmlformats.org/markup-compatibility/2006">
      <mc:Choice Requires="x14">
        <oleObject progId="Equation.DSMT4" shapeId="1049" r:id="rId39">
          <objectPr defaultSize="0" autoPict="0" r:id="rId23">
            <anchor moveWithCells="1">
              <from>
                <xdr:col>65</xdr:col>
                <xdr:colOff>314325</xdr:colOff>
                <xdr:row>82</xdr:row>
                <xdr:rowOff>85725</xdr:rowOff>
              </from>
              <to>
                <xdr:col>65</xdr:col>
                <xdr:colOff>733425</xdr:colOff>
                <xdr:row>84</xdr:row>
                <xdr:rowOff>0</xdr:rowOff>
              </to>
            </anchor>
          </objectPr>
        </oleObject>
      </mc:Choice>
      <mc:Fallback>
        <oleObject progId="Equation.DSMT4" shapeId="1049" r:id="rId39"/>
      </mc:Fallback>
    </mc:AlternateContent>
    <mc:AlternateContent xmlns:mc="http://schemas.openxmlformats.org/markup-compatibility/2006">
      <mc:Choice Requires="x14">
        <oleObject progId="Equation.DSMT4" shapeId="1050" r:id="rId40">
          <objectPr defaultSize="0" autoPict="0" r:id="rId25">
            <anchor moveWithCells="1">
              <from>
                <xdr:col>65</xdr:col>
                <xdr:colOff>304800</xdr:colOff>
                <xdr:row>85</xdr:row>
                <xdr:rowOff>85725</xdr:rowOff>
              </from>
              <to>
                <xdr:col>65</xdr:col>
                <xdr:colOff>714375</xdr:colOff>
                <xdr:row>87</xdr:row>
                <xdr:rowOff>0</xdr:rowOff>
              </to>
            </anchor>
          </objectPr>
        </oleObject>
      </mc:Choice>
      <mc:Fallback>
        <oleObject progId="Equation.DSMT4" shapeId="1050" r:id="rId40"/>
      </mc:Fallback>
    </mc:AlternateContent>
    <mc:AlternateContent xmlns:mc="http://schemas.openxmlformats.org/markup-compatibility/2006">
      <mc:Choice Requires="x14">
        <oleObject progId="Equation.DSMT4" shapeId="1051" r:id="rId41">
          <objectPr defaultSize="0" autoPict="0" r:id="rId27">
            <anchor moveWithCells="1">
              <from>
                <xdr:col>68</xdr:col>
                <xdr:colOff>304800</xdr:colOff>
                <xdr:row>85</xdr:row>
                <xdr:rowOff>76200</xdr:rowOff>
              </from>
              <to>
                <xdr:col>68</xdr:col>
                <xdr:colOff>714375</xdr:colOff>
                <xdr:row>86</xdr:row>
                <xdr:rowOff>161925</xdr:rowOff>
              </to>
            </anchor>
          </objectPr>
        </oleObject>
      </mc:Choice>
      <mc:Fallback>
        <oleObject progId="Equation.DSMT4" shapeId="1051" r:id="rId41"/>
      </mc:Fallback>
    </mc:AlternateContent>
    <mc:AlternateContent xmlns:mc="http://schemas.openxmlformats.org/markup-compatibility/2006">
      <mc:Choice Requires="x14">
        <oleObject progId="Equation.DSMT4" shapeId="1052" r:id="rId42">
          <objectPr defaultSize="0" autoPict="0" r:id="rId15">
            <anchor moveWithCells="1">
              <from>
                <xdr:col>74</xdr:col>
                <xdr:colOff>428625</xdr:colOff>
                <xdr:row>82</xdr:row>
                <xdr:rowOff>152400</xdr:rowOff>
              </from>
              <to>
                <xdr:col>74</xdr:col>
                <xdr:colOff>609600</xdr:colOff>
                <xdr:row>83</xdr:row>
                <xdr:rowOff>114300</xdr:rowOff>
              </to>
            </anchor>
          </objectPr>
        </oleObject>
      </mc:Choice>
      <mc:Fallback>
        <oleObject progId="Equation.DSMT4" shapeId="1052" r:id="rId42"/>
      </mc:Fallback>
    </mc:AlternateContent>
    <mc:AlternateContent xmlns:mc="http://schemas.openxmlformats.org/markup-compatibility/2006">
      <mc:Choice Requires="x14">
        <oleObject progId="Equation.DSMT4" shapeId="1053" r:id="rId43">
          <objectPr defaultSize="0" autoPict="0" r:id="rId17">
            <anchor moveWithCells="1">
              <from>
                <xdr:col>75</xdr:col>
                <xdr:colOff>257175</xdr:colOff>
                <xdr:row>82</xdr:row>
                <xdr:rowOff>85725</xdr:rowOff>
              </from>
              <to>
                <xdr:col>75</xdr:col>
                <xdr:colOff>676275</xdr:colOff>
                <xdr:row>84</xdr:row>
                <xdr:rowOff>0</xdr:rowOff>
              </to>
            </anchor>
          </objectPr>
        </oleObject>
      </mc:Choice>
      <mc:Fallback>
        <oleObject progId="Equation.DSMT4" shapeId="1053" r:id="rId43"/>
      </mc:Fallback>
    </mc:AlternateContent>
    <mc:AlternateContent xmlns:mc="http://schemas.openxmlformats.org/markup-compatibility/2006">
      <mc:Choice Requires="x14">
        <oleObject progId="Equation.DSMT4" shapeId="1054" r:id="rId44">
          <objectPr defaultSize="0" autoPict="0" r:id="rId19">
            <anchor moveWithCells="1">
              <from>
                <xdr:col>74</xdr:col>
                <xdr:colOff>295275</xdr:colOff>
                <xdr:row>85</xdr:row>
                <xdr:rowOff>104775</xdr:rowOff>
              </from>
              <to>
                <xdr:col>74</xdr:col>
                <xdr:colOff>714375</xdr:colOff>
                <xdr:row>87</xdr:row>
                <xdr:rowOff>0</xdr:rowOff>
              </to>
            </anchor>
          </objectPr>
        </oleObject>
      </mc:Choice>
      <mc:Fallback>
        <oleObject progId="Equation.DSMT4" shapeId="1054" r:id="rId44"/>
      </mc:Fallback>
    </mc:AlternateContent>
    <mc:AlternateContent xmlns:mc="http://schemas.openxmlformats.org/markup-compatibility/2006">
      <mc:Choice Requires="x14">
        <oleObject progId="Equation.DSMT4" shapeId="1055" r:id="rId45">
          <objectPr defaultSize="0" autoPict="0" r:id="rId21">
            <anchor moveWithCells="1">
              <from>
                <xdr:col>75</xdr:col>
                <xdr:colOff>295275</xdr:colOff>
                <xdr:row>85</xdr:row>
                <xdr:rowOff>104775</xdr:rowOff>
              </from>
              <to>
                <xdr:col>75</xdr:col>
                <xdr:colOff>714375</xdr:colOff>
                <xdr:row>87</xdr:row>
                <xdr:rowOff>0</xdr:rowOff>
              </to>
            </anchor>
          </objectPr>
        </oleObject>
      </mc:Choice>
      <mc:Fallback>
        <oleObject progId="Equation.DSMT4" shapeId="1055" r:id="rId45"/>
      </mc:Fallback>
    </mc:AlternateContent>
    <mc:AlternateContent xmlns:mc="http://schemas.openxmlformats.org/markup-compatibility/2006">
      <mc:Choice Requires="x14">
        <oleObject progId="Equation.DSMT4" shapeId="1056" r:id="rId46">
          <objectPr defaultSize="0" autoPict="0" r:id="rId23">
            <anchor moveWithCells="1">
              <from>
                <xdr:col>76</xdr:col>
                <xdr:colOff>314325</xdr:colOff>
                <xdr:row>82</xdr:row>
                <xdr:rowOff>85725</xdr:rowOff>
              </from>
              <to>
                <xdr:col>76</xdr:col>
                <xdr:colOff>733425</xdr:colOff>
                <xdr:row>84</xdr:row>
                <xdr:rowOff>0</xdr:rowOff>
              </to>
            </anchor>
          </objectPr>
        </oleObject>
      </mc:Choice>
      <mc:Fallback>
        <oleObject progId="Equation.DSMT4" shapeId="1056" r:id="rId46"/>
      </mc:Fallback>
    </mc:AlternateContent>
    <mc:AlternateContent xmlns:mc="http://schemas.openxmlformats.org/markup-compatibility/2006">
      <mc:Choice Requires="x14">
        <oleObject progId="Equation.DSMT4" shapeId="1057" r:id="rId47">
          <objectPr defaultSize="0" autoPict="0" r:id="rId25">
            <anchor moveWithCells="1">
              <from>
                <xdr:col>76</xdr:col>
                <xdr:colOff>304800</xdr:colOff>
                <xdr:row>85</xdr:row>
                <xdr:rowOff>85725</xdr:rowOff>
              </from>
              <to>
                <xdr:col>76</xdr:col>
                <xdr:colOff>714375</xdr:colOff>
                <xdr:row>87</xdr:row>
                <xdr:rowOff>0</xdr:rowOff>
              </to>
            </anchor>
          </objectPr>
        </oleObject>
      </mc:Choice>
      <mc:Fallback>
        <oleObject progId="Equation.DSMT4" shapeId="1057" r:id="rId47"/>
      </mc:Fallback>
    </mc:AlternateContent>
    <mc:AlternateContent xmlns:mc="http://schemas.openxmlformats.org/markup-compatibility/2006">
      <mc:Choice Requires="x14">
        <oleObject progId="Equation.DSMT4" shapeId="1058" r:id="rId48">
          <objectPr defaultSize="0" autoPict="0" r:id="rId27">
            <anchor moveWithCells="1">
              <from>
                <xdr:col>79</xdr:col>
                <xdr:colOff>304800</xdr:colOff>
                <xdr:row>85</xdr:row>
                <xdr:rowOff>76200</xdr:rowOff>
              </from>
              <to>
                <xdr:col>79</xdr:col>
                <xdr:colOff>714375</xdr:colOff>
                <xdr:row>86</xdr:row>
                <xdr:rowOff>161925</xdr:rowOff>
              </to>
            </anchor>
          </objectPr>
        </oleObject>
      </mc:Choice>
      <mc:Fallback>
        <oleObject progId="Equation.DSMT4" shapeId="1058" r:id="rId48"/>
      </mc:Fallback>
    </mc:AlternateContent>
    <mc:AlternateContent xmlns:mc="http://schemas.openxmlformats.org/markup-compatibility/2006">
      <mc:Choice Requires="x14">
        <oleObject progId="Equation.DSMT4" shapeId="1059" r:id="rId49">
          <objectPr defaultSize="0" autoPict="0" r:id="rId15">
            <anchor moveWithCells="1">
              <from>
                <xdr:col>85</xdr:col>
                <xdr:colOff>428625</xdr:colOff>
                <xdr:row>82</xdr:row>
                <xdr:rowOff>152400</xdr:rowOff>
              </from>
              <to>
                <xdr:col>85</xdr:col>
                <xdr:colOff>609600</xdr:colOff>
                <xdr:row>83</xdr:row>
                <xdr:rowOff>114300</xdr:rowOff>
              </to>
            </anchor>
          </objectPr>
        </oleObject>
      </mc:Choice>
      <mc:Fallback>
        <oleObject progId="Equation.DSMT4" shapeId="1059" r:id="rId49"/>
      </mc:Fallback>
    </mc:AlternateContent>
    <mc:AlternateContent xmlns:mc="http://schemas.openxmlformats.org/markup-compatibility/2006">
      <mc:Choice Requires="x14">
        <oleObject progId="Equation.DSMT4" shapeId="1060" r:id="rId50">
          <objectPr defaultSize="0" autoPict="0" r:id="rId17">
            <anchor moveWithCells="1">
              <from>
                <xdr:col>86</xdr:col>
                <xdr:colOff>257175</xdr:colOff>
                <xdr:row>82</xdr:row>
                <xdr:rowOff>85725</xdr:rowOff>
              </from>
              <to>
                <xdr:col>86</xdr:col>
                <xdr:colOff>676275</xdr:colOff>
                <xdr:row>84</xdr:row>
                <xdr:rowOff>0</xdr:rowOff>
              </to>
            </anchor>
          </objectPr>
        </oleObject>
      </mc:Choice>
      <mc:Fallback>
        <oleObject progId="Equation.DSMT4" shapeId="1060" r:id="rId50"/>
      </mc:Fallback>
    </mc:AlternateContent>
    <mc:AlternateContent xmlns:mc="http://schemas.openxmlformats.org/markup-compatibility/2006">
      <mc:Choice Requires="x14">
        <oleObject progId="Equation.DSMT4" shapeId="1061" r:id="rId51">
          <objectPr defaultSize="0" autoPict="0" r:id="rId19">
            <anchor moveWithCells="1">
              <from>
                <xdr:col>85</xdr:col>
                <xdr:colOff>295275</xdr:colOff>
                <xdr:row>85</xdr:row>
                <xdr:rowOff>104775</xdr:rowOff>
              </from>
              <to>
                <xdr:col>85</xdr:col>
                <xdr:colOff>714375</xdr:colOff>
                <xdr:row>87</xdr:row>
                <xdr:rowOff>0</xdr:rowOff>
              </to>
            </anchor>
          </objectPr>
        </oleObject>
      </mc:Choice>
      <mc:Fallback>
        <oleObject progId="Equation.DSMT4" shapeId="1061" r:id="rId51"/>
      </mc:Fallback>
    </mc:AlternateContent>
    <mc:AlternateContent xmlns:mc="http://schemas.openxmlformats.org/markup-compatibility/2006">
      <mc:Choice Requires="x14">
        <oleObject progId="Equation.DSMT4" shapeId="1062" r:id="rId52">
          <objectPr defaultSize="0" autoPict="0" r:id="rId21">
            <anchor moveWithCells="1">
              <from>
                <xdr:col>86</xdr:col>
                <xdr:colOff>295275</xdr:colOff>
                <xdr:row>85</xdr:row>
                <xdr:rowOff>104775</xdr:rowOff>
              </from>
              <to>
                <xdr:col>86</xdr:col>
                <xdr:colOff>714375</xdr:colOff>
                <xdr:row>87</xdr:row>
                <xdr:rowOff>0</xdr:rowOff>
              </to>
            </anchor>
          </objectPr>
        </oleObject>
      </mc:Choice>
      <mc:Fallback>
        <oleObject progId="Equation.DSMT4" shapeId="1062" r:id="rId52"/>
      </mc:Fallback>
    </mc:AlternateContent>
    <mc:AlternateContent xmlns:mc="http://schemas.openxmlformats.org/markup-compatibility/2006">
      <mc:Choice Requires="x14">
        <oleObject progId="Equation.DSMT4" shapeId="1063" r:id="rId53">
          <objectPr defaultSize="0" autoPict="0" r:id="rId23">
            <anchor moveWithCells="1">
              <from>
                <xdr:col>87</xdr:col>
                <xdr:colOff>314325</xdr:colOff>
                <xdr:row>82</xdr:row>
                <xdr:rowOff>85725</xdr:rowOff>
              </from>
              <to>
                <xdr:col>87</xdr:col>
                <xdr:colOff>733425</xdr:colOff>
                <xdr:row>84</xdr:row>
                <xdr:rowOff>0</xdr:rowOff>
              </to>
            </anchor>
          </objectPr>
        </oleObject>
      </mc:Choice>
      <mc:Fallback>
        <oleObject progId="Equation.DSMT4" shapeId="1063" r:id="rId53"/>
      </mc:Fallback>
    </mc:AlternateContent>
    <mc:AlternateContent xmlns:mc="http://schemas.openxmlformats.org/markup-compatibility/2006">
      <mc:Choice Requires="x14">
        <oleObject progId="Equation.DSMT4" shapeId="1064" r:id="rId54">
          <objectPr defaultSize="0" autoPict="0" r:id="rId25">
            <anchor moveWithCells="1">
              <from>
                <xdr:col>87</xdr:col>
                <xdr:colOff>304800</xdr:colOff>
                <xdr:row>85</xdr:row>
                <xdr:rowOff>85725</xdr:rowOff>
              </from>
              <to>
                <xdr:col>87</xdr:col>
                <xdr:colOff>714375</xdr:colOff>
                <xdr:row>87</xdr:row>
                <xdr:rowOff>0</xdr:rowOff>
              </to>
            </anchor>
          </objectPr>
        </oleObject>
      </mc:Choice>
      <mc:Fallback>
        <oleObject progId="Equation.DSMT4" shapeId="1064" r:id="rId54"/>
      </mc:Fallback>
    </mc:AlternateContent>
    <mc:AlternateContent xmlns:mc="http://schemas.openxmlformats.org/markup-compatibility/2006">
      <mc:Choice Requires="x14">
        <oleObject progId="Equation.DSMT4" shapeId="1065" r:id="rId55">
          <objectPr defaultSize="0" autoPict="0" r:id="rId27">
            <anchor moveWithCells="1">
              <from>
                <xdr:col>90</xdr:col>
                <xdr:colOff>304800</xdr:colOff>
                <xdr:row>85</xdr:row>
                <xdr:rowOff>76200</xdr:rowOff>
              </from>
              <to>
                <xdr:col>90</xdr:col>
                <xdr:colOff>714375</xdr:colOff>
                <xdr:row>86</xdr:row>
                <xdr:rowOff>161925</xdr:rowOff>
              </to>
            </anchor>
          </objectPr>
        </oleObject>
      </mc:Choice>
      <mc:Fallback>
        <oleObject progId="Equation.DSMT4" shapeId="1065" r:id="rId55"/>
      </mc:Fallback>
    </mc:AlternateContent>
    <mc:AlternateContent xmlns:mc="http://schemas.openxmlformats.org/markup-compatibility/2006">
      <mc:Choice Requires="x14">
        <oleObject progId="Equation.DSMT4" shapeId="1066" r:id="rId56">
          <objectPr defaultSize="0" autoPict="0" r:id="rId15">
            <anchor moveWithCells="1">
              <from>
                <xdr:col>96</xdr:col>
                <xdr:colOff>428625</xdr:colOff>
                <xdr:row>82</xdr:row>
                <xdr:rowOff>152400</xdr:rowOff>
              </from>
              <to>
                <xdr:col>96</xdr:col>
                <xdr:colOff>609600</xdr:colOff>
                <xdr:row>83</xdr:row>
                <xdr:rowOff>114300</xdr:rowOff>
              </to>
            </anchor>
          </objectPr>
        </oleObject>
      </mc:Choice>
      <mc:Fallback>
        <oleObject progId="Equation.DSMT4" shapeId="1066" r:id="rId56"/>
      </mc:Fallback>
    </mc:AlternateContent>
    <mc:AlternateContent xmlns:mc="http://schemas.openxmlformats.org/markup-compatibility/2006">
      <mc:Choice Requires="x14">
        <oleObject progId="Equation.DSMT4" shapeId="1067" r:id="rId57">
          <objectPr defaultSize="0" autoPict="0" r:id="rId17">
            <anchor moveWithCells="1">
              <from>
                <xdr:col>97</xdr:col>
                <xdr:colOff>257175</xdr:colOff>
                <xdr:row>82</xdr:row>
                <xdr:rowOff>85725</xdr:rowOff>
              </from>
              <to>
                <xdr:col>97</xdr:col>
                <xdr:colOff>676275</xdr:colOff>
                <xdr:row>84</xdr:row>
                <xdr:rowOff>0</xdr:rowOff>
              </to>
            </anchor>
          </objectPr>
        </oleObject>
      </mc:Choice>
      <mc:Fallback>
        <oleObject progId="Equation.DSMT4" shapeId="1067" r:id="rId57"/>
      </mc:Fallback>
    </mc:AlternateContent>
    <mc:AlternateContent xmlns:mc="http://schemas.openxmlformats.org/markup-compatibility/2006">
      <mc:Choice Requires="x14">
        <oleObject progId="Equation.DSMT4" shapeId="1068" r:id="rId58">
          <objectPr defaultSize="0" autoPict="0" r:id="rId19">
            <anchor moveWithCells="1">
              <from>
                <xdr:col>96</xdr:col>
                <xdr:colOff>295275</xdr:colOff>
                <xdr:row>85</xdr:row>
                <xdr:rowOff>104775</xdr:rowOff>
              </from>
              <to>
                <xdr:col>96</xdr:col>
                <xdr:colOff>714375</xdr:colOff>
                <xdr:row>87</xdr:row>
                <xdr:rowOff>0</xdr:rowOff>
              </to>
            </anchor>
          </objectPr>
        </oleObject>
      </mc:Choice>
      <mc:Fallback>
        <oleObject progId="Equation.DSMT4" shapeId="1068" r:id="rId58"/>
      </mc:Fallback>
    </mc:AlternateContent>
    <mc:AlternateContent xmlns:mc="http://schemas.openxmlformats.org/markup-compatibility/2006">
      <mc:Choice Requires="x14">
        <oleObject progId="Equation.DSMT4" shapeId="1069" r:id="rId59">
          <objectPr defaultSize="0" autoPict="0" r:id="rId21">
            <anchor moveWithCells="1">
              <from>
                <xdr:col>97</xdr:col>
                <xdr:colOff>295275</xdr:colOff>
                <xdr:row>85</xdr:row>
                <xdr:rowOff>104775</xdr:rowOff>
              </from>
              <to>
                <xdr:col>97</xdr:col>
                <xdr:colOff>714375</xdr:colOff>
                <xdr:row>87</xdr:row>
                <xdr:rowOff>0</xdr:rowOff>
              </to>
            </anchor>
          </objectPr>
        </oleObject>
      </mc:Choice>
      <mc:Fallback>
        <oleObject progId="Equation.DSMT4" shapeId="1069" r:id="rId59"/>
      </mc:Fallback>
    </mc:AlternateContent>
    <mc:AlternateContent xmlns:mc="http://schemas.openxmlformats.org/markup-compatibility/2006">
      <mc:Choice Requires="x14">
        <oleObject progId="Equation.DSMT4" shapeId="1070" r:id="rId60">
          <objectPr defaultSize="0" autoPict="0" r:id="rId23">
            <anchor moveWithCells="1">
              <from>
                <xdr:col>98</xdr:col>
                <xdr:colOff>314325</xdr:colOff>
                <xdr:row>82</xdr:row>
                <xdr:rowOff>85725</xdr:rowOff>
              </from>
              <to>
                <xdr:col>98</xdr:col>
                <xdr:colOff>733425</xdr:colOff>
                <xdr:row>84</xdr:row>
                <xdr:rowOff>0</xdr:rowOff>
              </to>
            </anchor>
          </objectPr>
        </oleObject>
      </mc:Choice>
      <mc:Fallback>
        <oleObject progId="Equation.DSMT4" shapeId="1070" r:id="rId60"/>
      </mc:Fallback>
    </mc:AlternateContent>
    <mc:AlternateContent xmlns:mc="http://schemas.openxmlformats.org/markup-compatibility/2006">
      <mc:Choice Requires="x14">
        <oleObject progId="Equation.DSMT4" shapeId="1071" r:id="rId61">
          <objectPr defaultSize="0" autoPict="0" r:id="rId25">
            <anchor moveWithCells="1">
              <from>
                <xdr:col>98</xdr:col>
                <xdr:colOff>304800</xdr:colOff>
                <xdr:row>85</xdr:row>
                <xdr:rowOff>85725</xdr:rowOff>
              </from>
              <to>
                <xdr:col>98</xdr:col>
                <xdr:colOff>714375</xdr:colOff>
                <xdr:row>87</xdr:row>
                <xdr:rowOff>0</xdr:rowOff>
              </to>
            </anchor>
          </objectPr>
        </oleObject>
      </mc:Choice>
      <mc:Fallback>
        <oleObject progId="Equation.DSMT4" shapeId="1071" r:id="rId61"/>
      </mc:Fallback>
    </mc:AlternateContent>
    <mc:AlternateContent xmlns:mc="http://schemas.openxmlformats.org/markup-compatibility/2006">
      <mc:Choice Requires="x14">
        <oleObject progId="Equation.DSMT4" shapeId="1072" r:id="rId62">
          <objectPr defaultSize="0" autoPict="0" r:id="rId27">
            <anchor moveWithCells="1">
              <from>
                <xdr:col>101</xdr:col>
                <xdr:colOff>304800</xdr:colOff>
                <xdr:row>85</xdr:row>
                <xdr:rowOff>76200</xdr:rowOff>
              </from>
              <to>
                <xdr:col>101</xdr:col>
                <xdr:colOff>714375</xdr:colOff>
                <xdr:row>86</xdr:row>
                <xdr:rowOff>161925</xdr:rowOff>
              </to>
            </anchor>
          </objectPr>
        </oleObject>
      </mc:Choice>
      <mc:Fallback>
        <oleObject progId="Equation.DSMT4" shapeId="1072" r:id="rId62"/>
      </mc:Fallback>
    </mc:AlternateContent>
    <mc:AlternateContent xmlns:mc="http://schemas.openxmlformats.org/markup-compatibility/2006">
      <mc:Choice Requires="x14">
        <oleObject progId="Equation.DSMT4" shapeId="1073" r:id="rId63">
          <objectPr defaultSize="0" autoPict="0" r:id="rId15">
            <anchor moveWithCells="1">
              <from>
                <xdr:col>107</xdr:col>
                <xdr:colOff>428625</xdr:colOff>
                <xdr:row>82</xdr:row>
                <xdr:rowOff>152400</xdr:rowOff>
              </from>
              <to>
                <xdr:col>107</xdr:col>
                <xdr:colOff>609600</xdr:colOff>
                <xdr:row>83</xdr:row>
                <xdr:rowOff>114300</xdr:rowOff>
              </to>
            </anchor>
          </objectPr>
        </oleObject>
      </mc:Choice>
      <mc:Fallback>
        <oleObject progId="Equation.DSMT4" shapeId="1073" r:id="rId63"/>
      </mc:Fallback>
    </mc:AlternateContent>
    <mc:AlternateContent xmlns:mc="http://schemas.openxmlformats.org/markup-compatibility/2006">
      <mc:Choice Requires="x14">
        <oleObject progId="Equation.DSMT4" shapeId="1074" r:id="rId64">
          <objectPr defaultSize="0" autoPict="0" r:id="rId17">
            <anchor moveWithCells="1">
              <from>
                <xdr:col>108</xdr:col>
                <xdr:colOff>257175</xdr:colOff>
                <xdr:row>82</xdr:row>
                <xdr:rowOff>85725</xdr:rowOff>
              </from>
              <to>
                <xdr:col>108</xdr:col>
                <xdr:colOff>647700</xdr:colOff>
                <xdr:row>84</xdr:row>
                <xdr:rowOff>0</xdr:rowOff>
              </to>
            </anchor>
          </objectPr>
        </oleObject>
      </mc:Choice>
      <mc:Fallback>
        <oleObject progId="Equation.DSMT4" shapeId="1074" r:id="rId64"/>
      </mc:Fallback>
    </mc:AlternateContent>
    <mc:AlternateContent xmlns:mc="http://schemas.openxmlformats.org/markup-compatibility/2006">
      <mc:Choice Requires="x14">
        <oleObject progId="Equation.DSMT4" shapeId="1075" r:id="rId65">
          <objectPr defaultSize="0" autoPict="0" r:id="rId19">
            <anchor moveWithCells="1">
              <from>
                <xdr:col>107</xdr:col>
                <xdr:colOff>295275</xdr:colOff>
                <xdr:row>85</xdr:row>
                <xdr:rowOff>104775</xdr:rowOff>
              </from>
              <to>
                <xdr:col>107</xdr:col>
                <xdr:colOff>714375</xdr:colOff>
                <xdr:row>87</xdr:row>
                <xdr:rowOff>0</xdr:rowOff>
              </to>
            </anchor>
          </objectPr>
        </oleObject>
      </mc:Choice>
      <mc:Fallback>
        <oleObject progId="Equation.DSMT4" shapeId="1075" r:id="rId65"/>
      </mc:Fallback>
    </mc:AlternateContent>
    <mc:AlternateContent xmlns:mc="http://schemas.openxmlformats.org/markup-compatibility/2006">
      <mc:Choice Requires="x14">
        <oleObject progId="Equation.DSMT4" shapeId="1076" r:id="rId66">
          <objectPr defaultSize="0" autoPict="0" r:id="rId21">
            <anchor moveWithCells="1">
              <from>
                <xdr:col>108</xdr:col>
                <xdr:colOff>295275</xdr:colOff>
                <xdr:row>85</xdr:row>
                <xdr:rowOff>104775</xdr:rowOff>
              </from>
              <to>
                <xdr:col>108</xdr:col>
                <xdr:colOff>714375</xdr:colOff>
                <xdr:row>87</xdr:row>
                <xdr:rowOff>0</xdr:rowOff>
              </to>
            </anchor>
          </objectPr>
        </oleObject>
      </mc:Choice>
      <mc:Fallback>
        <oleObject progId="Equation.DSMT4" shapeId="1076" r:id="rId66"/>
      </mc:Fallback>
    </mc:AlternateContent>
    <mc:AlternateContent xmlns:mc="http://schemas.openxmlformats.org/markup-compatibility/2006">
      <mc:Choice Requires="x14">
        <oleObject progId="Equation.DSMT4" shapeId="1077" r:id="rId67">
          <objectPr defaultSize="0" autoPict="0" r:id="rId23">
            <anchor moveWithCells="1">
              <from>
                <xdr:col>109</xdr:col>
                <xdr:colOff>314325</xdr:colOff>
                <xdr:row>82</xdr:row>
                <xdr:rowOff>85725</xdr:rowOff>
              </from>
              <to>
                <xdr:col>109</xdr:col>
                <xdr:colOff>733425</xdr:colOff>
                <xdr:row>84</xdr:row>
                <xdr:rowOff>0</xdr:rowOff>
              </to>
            </anchor>
          </objectPr>
        </oleObject>
      </mc:Choice>
      <mc:Fallback>
        <oleObject progId="Equation.DSMT4" shapeId="1077" r:id="rId67"/>
      </mc:Fallback>
    </mc:AlternateContent>
    <mc:AlternateContent xmlns:mc="http://schemas.openxmlformats.org/markup-compatibility/2006">
      <mc:Choice Requires="x14">
        <oleObject progId="Equation.DSMT4" shapeId="1078" r:id="rId68">
          <objectPr defaultSize="0" autoPict="0" r:id="rId25">
            <anchor moveWithCells="1">
              <from>
                <xdr:col>109</xdr:col>
                <xdr:colOff>304800</xdr:colOff>
                <xdr:row>85</xdr:row>
                <xdr:rowOff>85725</xdr:rowOff>
              </from>
              <to>
                <xdr:col>109</xdr:col>
                <xdr:colOff>714375</xdr:colOff>
                <xdr:row>87</xdr:row>
                <xdr:rowOff>0</xdr:rowOff>
              </to>
            </anchor>
          </objectPr>
        </oleObject>
      </mc:Choice>
      <mc:Fallback>
        <oleObject progId="Equation.DSMT4" shapeId="1078" r:id="rId68"/>
      </mc:Fallback>
    </mc:AlternateContent>
    <mc:AlternateContent xmlns:mc="http://schemas.openxmlformats.org/markup-compatibility/2006">
      <mc:Choice Requires="x14">
        <oleObject progId="Equation.DSMT4" shapeId="1079" r:id="rId69">
          <objectPr defaultSize="0" autoPict="0" r:id="rId27">
            <anchor moveWithCells="1">
              <from>
                <xdr:col>112</xdr:col>
                <xdr:colOff>304800</xdr:colOff>
                <xdr:row>85</xdr:row>
                <xdr:rowOff>76200</xdr:rowOff>
              </from>
              <to>
                <xdr:col>112</xdr:col>
                <xdr:colOff>714375</xdr:colOff>
                <xdr:row>86</xdr:row>
                <xdr:rowOff>161925</xdr:rowOff>
              </to>
            </anchor>
          </objectPr>
        </oleObject>
      </mc:Choice>
      <mc:Fallback>
        <oleObject progId="Equation.DSMT4" shapeId="1079" r:id="rId69"/>
      </mc:Fallback>
    </mc:AlternateContent>
    <mc:AlternateContent xmlns:mc="http://schemas.openxmlformats.org/markup-compatibility/2006">
      <mc:Choice Requires="x14">
        <oleObject progId="Equation.DSMT4" shapeId="1080" r:id="rId70">
          <objectPr defaultSize="0" autoPict="0" r:id="rId15">
            <anchor moveWithCells="1">
              <from>
                <xdr:col>41</xdr:col>
                <xdr:colOff>428625</xdr:colOff>
                <xdr:row>114</xdr:row>
                <xdr:rowOff>152400</xdr:rowOff>
              </from>
              <to>
                <xdr:col>41</xdr:col>
                <xdr:colOff>609600</xdr:colOff>
                <xdr:row>115</xdr:row>
                <xdr:rowOff>114300</xdr:rowOff>
              </to>
            </anchor>
          </objectPr>
        </oleObject>
      </mc:Choice>
      <mc:Fallback>
        <oleObject progId="Equation.DSMT4" shapeId="1080" r:id="rId70"/>
      </mc:Fallback>
    </mc:AlternateContent>
    <mc:AlternateContent xmlns:mc="http://schemas.openxmlformats.org/markup-compatibility/2006">
      <mc:Choice Requires="x14">
        <oleObject progId="Equation.DSMT4" shapeId="1081" r:id="rId71">
          <objectPr defaultSize="0" autoPict="0" r:id="rId17">
            <anchor moveWithCells="1">
              <from>
                <xdr:col>42</xdr:col>
                <xdr:colOff>257175</xdr:colOff>
                <xdr:row>114</xdr:row>
                <xdr:rowOff>85725</xdr:rowOff>
              </from>
              <to>
                <xdr:col>42</xdr:col>
                <xdr:colOff>647700</xdr:colOff>
                <xdr:row>116</xdr:row>
                <xdr:rowOff>0</xdr:rowOff>
              </to>
            </anchor>
          </objectPr>
        </oleObject>
      </mc:Choice>
      <mc:Fallback>
        <oleObject progId="Equation.DSMT4" shapeId="1081" r:id="rId71"/>
      </mc:Fallback>
    </mc:AlternateContent>
    <mc:AlternateContent xmlns:mc="http://schemas.openxmlformats.org/markup-compatibility/2006">
      <mc:Choice Requires="x14">
        <oleObject progId="Equation.DSMT4" shapeId="1082" r:id="rId72">
          <objectPr defaultSize="0" autoPict="0" r:id="rId19">
            <anchor moveWithCells="1">
              <from>
                <xdr:col>41</xdr:col>
                <xdr:colOff>295275</xdr:colOff>
                <xdr:row>117</xdr:row>
                <xdr:rowOff>104775</xdr:rowOff>
              </from>
              <to>
                <xdr:col>41</xdr:col>
                <xdr:colOff>714375</xdr:colOff>
                <xdr:row>119</xdr:row>
                <xdr:rowOff>0</xdr:rowOff>
              </to>
            </anchor>
          </objectPr>
        </oleObject>
      </mc:Choice>
      <mc:Fallback>
        <oleObject progId="Equation.DSMT4" shapeId="1082" r:id="rId72"/>
      </mc:Fallback>
    </mc:AlternateContent>
    <mc:AlternateContent xmlns:mc="http://schemas.openxmlformats.org/markup-compatibility/2006">
      <mc:Choice Requires="x14">
        <oleObject progId="Equation.DSMT4" shapeId="1083" r:id="rId73">
          <objectPr defaultSize="0" autoPict="0" r:id="rId21">
            <anchor moveWithCells="1">
              <from>
                <xdr:col>42</xdr:col>
                <xdr:colOff>295275</xdr:colOff>
                <xdr:row>117</xdr:row>
                <xdr:rowOff>104775</xdr:rowOff>
              </from>
              <to>
                <xdr:col>42</xdr:col>
                <xdr:colOff>714375</xdr:colOff>
                <xdr:row>119</xdr:row>
                <xdr:rowOff>0</xdr:rowOff>
              </to>
            </anchor>
          </objectPr>
        </oleObject>
      </mc:Choice>
      <mc:Fallback>
        <oleObject progId="Equation.DSMT4" shapeId="1083" r:id="rId73"/>
      </mc:Fallback>
    </mc:AlternateContent>
    <mc:AlternateContent xmlns:mc="http://schemas.openxmlformats.org/markup-compatibility/2006">
      <mc:Choice Requires="x14">
        <oleObject progId="Equation.DSMT4" shapeId="1084" r:id="rId74">
          <objectPr defaultSize="0" autoPict="0" r:id="rId23">
            <anchor moveWithCells="1">
              <from>
                <xdr:col>43</xdr:col>
                <xdr:colOff>314325</xdr:colOff>
                <xdr:row>114</xdr:row>
                <xdr:rowOff>85725</xdr:rowOff>
              </from>
              <to>
                <xdr:col>43</xdr:col>
                <xdr:colOff>733425</xdr:colOff>
                <xdr:row>116</xdr:row>
                <xdr:rowOff>0</xdr:rowOff>
              </to>
            </anchor>
          </objectPr>
        </oleObject>
      </mc:Choice>
      <mc:Fallback>
        <oleObject progId="Equation.DSMT4" shapeId="1084" r:id="rId74"/>
      </mc:Fallback>
    </mc:AlternateContent>
    <mc:AlternateContent xmlns:mc="http://schemas.openxmlformats.org/markup-compatibility/2006">
      <mc:Choice Requires="x14">
        <oleObject progId="Equation.DSMT4" shapeId="1085" r:id="rId75">
          <objectPr defaultSize="0" autoPict="0" r:id="rId25">
            <anchor moveWithCells="1">
              <from>
                <xdr:col>43</xdr:col>
                <xdr:colOff>304800</xdr:colOff>
                <xdr:row>117</xdr:row>
                <xdr:rowOff>85725</xdr:rowOff>
              </from>
              <to>
                <xdr:col>43</xdr:col>
                <xdr:colOff>714375</xdr:colOff>
                <xdr:row>119</xdr:row>
                <xdr:rowOff>0</xdr:rowOff>
              </to>
            </anchor>
          </objectPr>
        </oleObject>
      </mc:Choice>
      <mc:Fallback>
        <oleObject progId="Equation.DSMT4" shapeId="1085" r:id="rId75"/>
      </mc:Fallback>
    </mc:AlternateContent>
    <mc:AlternateContent xmlns:mc="http://schemas.openxmlformats.org/markup-compatibility/2006">
      <mc:Choice Requires="x14">
        <oleObject progId="Equation.DSMT4" shapeId="1086" r:id="rId76">
          <objectPr defaultSize="0" autoPict="0" r:id="rId27">
            <anchor moveWithCells="1">
              <from>
                <xdr:col>46</xdr:col>
                <xdr:colOff>304800</xdr:colOff>
                <xdr:row>117</xdr:row>
                <xdr:rowOff>76200</xdr:rowOff>
              </from>
              <to>
                <xdr:col>46</xdr:col>
                <xdr:colOff>714375</xdr:colOff>
                <xdr:row>118</xdr:row>
                <xdr:rowOff>161925</xdr:rowOff>
              </to>
            </anchor>
          </objectPr>
        </oleObject>
      </mc:Choice>
      <mc:Fallback>
        <oleObject progId="Equation.DSMT4" shapeId="1086" r:id="rId76"/>
      </mc:Fallback>
    </mc:AlternateContent>
    <mc:AlternateContent xmlns:mc="http://schemas.openxmlformats.org/markup-compatibility/2006">
      <mc:Choice Requires="x14">
        <oleObject progId="Equation.DSMT4" shapeId="1087" r:id="rId77">
          <objectPr defaultSize="0" autoPict="0" r:id="rId15">
            <anchor moveWithCells="1">
              <from>
                <xdr:col>52</xdr:col>
                <xdr:colOff>428625</xdr:colOff>
                <xdr:row>114</xdr:row>
                <xdr:rowOff>152400</xdr:rowOff>
              </from>
              <to>
                <xdr:col>52</xdr:col>
                <xdr:colOff>609600</xdr:colOff>
                <xdr:row>115</xdr:row>
                <xdr:rowOff>114300</xdr:rowOff>
              </to>
            </anchor>
          </objectPr>
        </oleObject>
      </mc:Choice>
      <mc:Fallback>
        <oleObject progId="Equation.DSMT4" shapeId="1087" r:id="rId77"/>
      </mc:Fallback>
    </mc:AlternateContent>
    <mc:AlternateContent xmlns:mc="http://schemas.openxmlformats.org/markup-compatibility/2006">
      <mc:Choice Requires="x14">
        <oleObject progId="Equation.DSMT4" shapeId="1088" r:id="rId78">
          <objectPr defaultSize="0" autoPict="0" r:id="rId17">
            <anchor moveWithCells="1">
              <from>
                <xdr:col>53</xdr:col>
                <xdr:colOff>257175</xdr:colOff>
                <xdr:row>114</xdr:row>
                <xdr:rowOff>85725</xdr:rowOff>
              </from>
              <to>
                <xdr:col>53</xdr:col>
                <xdr:colOff>647700</xdr:colOff>
                <xdr:row>116</xdr:row>
                <xdr:rowOff>0</xdr:rowOff>
              </to>
            </anchor>
          </objectPr>
        </oleObject>
      </mc:Choice>
      <mc:Fallback>
        <oleObject progId="Equation.DSMT4" shapeId="1088" r:id="rId78"/>
      </mc:Fallback>
    </mc:AlternateContent>
    <mc:AlternateContent xmlns:mc="http://schemas.openxmlformats.org/markup-compatibility/2006">
      <mc:Choice Requires="x14">
        <oleObject progId="Equation.DSMT4" shapeId="1089" r:id="rId79">
          <objectPr defaultSize="0" autoPict="0" r:id="rId19">
            <anchor moveWithCells="1">
              <from>
                <xdr:col>52</xdr:col>
                <xdr:colOff>295275</xdr:colOff>
                <xdr:row>117</xdr:row>
                <xdr:rowOff>104775</xdr:rowOff>
              </from>
              <to>
                <xdr:col>52</xdr:col>
                <xdr:colOff>714375</xdr:colOff>
                <xdr:row>119</xdr:row>
                <xdr:rowOff>0</xdr:rowOff>
              </to>
            </anchor>
          </objectPr>
        </oleObject>
      </mc:Choice>
      <mc:Fallback>
        <oleObject progId="Equation.DSMT4" shapeId="1089" r:id="rId79"/>
      </mc:Fallback>
    </mc:AlternateContent>
    <mc:AlternateContent xmlns:mc="http://schemas.openxmlformats.org/markup-compatibility/2006">
      <mc:Choice Requires="x14">
        <oleObject progId="Equation.DSMT4" shapeId="1090" r:id="rId80">
          <objectPr defaultSize="0" autoPict="0" r:id="rId21">
            <anchor moveWithCells="1">
              <from>
                <xdr:col>53</xdr:col>
                <xdr:colOff>295275</xdr:colOff>
                <xdr:row>117</xdr:row>
                <xdr:rowOff>104775</xdr:rowOff>
              </from>
              <to>
                <xdr:col>53</xdr:col>
                <xdr:colOff>714375</xdr:colOff>
                <xdr:row>119</xdr:row>
                <xdr:rowOff>0</xdr:rowOff>
              </to>
            </anchor>
          </objectPr>
        </oleObject>
      </mc:Choice>
      <mc:Fallback>
        <oleObject progId="Equation.DSMT4" shapeId="1090" r:id="rId80"/>
      </mc:Fallback>
    </mc:AlternateContent>
    <mc:AlternateContent xmlns:mc="http://schemas.openxmlformats.org/markup-compatibility/2006">
      <mc:Choice Requires="x14">
        <oleObject progId="Equation.DSMT4" shapeId="1091" r:id="rId81">
          <objectPr defaultSize="0" autoPict="0" r:id="rId23">
            <anchor moveWithCells="1">
              <from>
                <xdr:col>54</xdr:col>
                <xdr:colOff>314325</xdr:colOff>
                <xdr:row>114</xdr:row>
                <xdr:rowOff>85725</xdr:rowOff>
              </from>
              <to>
                <xdr:col>54</xdr:col>
                <xdr:colOff>733425</xdr:colOff>
                <xdr:row>116</xdr:row>
                <xdr:rowOff>0</xdr:rowOff>
              </to>
            </anchor>
          </objectPr>
        </oleObject>
      </mc:Choice>
      <mc:Fallback>
        <oleObject progId="Equation.DSMT4" shapeId="1091" r:id="rId81"/>
      </mc:Fallback>
    </mc:AlternateContent>
    <mc:AlternateContent xmlns:mc="http://schemas.openxmlformats.org/markup-compatibility/2006">
      <mc:Choice Requires="x14">
        <oleObject progId="Equation.DSMT4" shapeId="1092" r:id="rId82">
          <objectPr defaultSize="0" autoPict="0" r:id="rId25">
            <anchor moveWithCells="1">
              <from>
                <xdr:col>54</xdr:col>
                <xdr:colOff>304800</xdr:colOff>
                <xdr:row>117</xdr:row>
                <xdr:rowOff>85725</xdr:rowOff>
              </from>
              <to>
                <xdr:col>54</xdr:col>
                <xdr:colOff>714375</xdr:colOff>
                <xdr:row>119</xdr:row>
                <xdr:rowOff>0</xdr:rowOff>
              </to>
            </anchor>
          </objectPr>
        </oleObject>
      </mc:Choice>
      <mc:Fallback>
        <oleObject progId="Equation.DSMT4" shapeId="1092" r:id="rId82"/>
      </mc:Fallback>
    </mc:AlternateContent>
    <mc:AlternateContent xmlns:mc="http://schemas.openxmlformats.org/markup-compatibility/2006">
      <mc:Choice Requires="x14">
        <oleObject progId="Equation.DSMT4" shapeId="1093" r:id="rId83">
          <objectPr defaultSize="0" autoPict="0" r:id="rId27">
            <anchor moveWithCells="1">
              <from>
                <xdr:col>57</xdr:col>
                <xdr:colOff>304800</xdr:colOff>
                <xdr:row>117</xdr:row>
                <xdr:rowOff>76200</xdr:rowOff>
              </from>
              <to>
                <xdr:col>57</xdr:col>
                <xdr:colOff>714375</xdr:colOff>
                <xdr:row>118</xdr:row>
                <xdr:rowOff>161925</xdr:rowOff>
              </to>
            </anchor>
          </objectPr>
        </oleObject>
      </mc:Choice>
      <mc:Fallback>
        <oleObject progId="Equation.DSMT4" shapeId="1093" r:id="rId83"/>
      </mc:Fallback>
    </mc:AlternateContent>
    <mc:AlternateContent xmlns:mc="http://schemas.openxmlformats.org/markup-compatibility/2006">
      <mc:Choice Requires="x14">
        <oleObject progId="Equation.DSMT4" shapeId="1094" r:id="rId84">
          <objectPr defaultSize="0" autoPict="0" r:id="rId15">
            <anchor moveWithCells="1">
              <from>
                <xdr:col>63</xdr:col>
                <xdr:colOff>428625</xdr:colOff>
                <xdr:row>114</xdr:row>
                <xdr:rowOff>152400</xdr:rowOff>
              </from>
              <to>
                <xdr:col>63</xdr:col>
                <xdr:colOff>609600</xdr:colOff>
                <xdr:row>115</xdr:row>
                <xdr:rowOff>114300</xdr:rowOff>
              </to>
            </anchor>
          </objectPr>
        </oleObject>
      </mc:Choice>
      <mc:Fallback>
        <oleObject progId="Equation.DSMT4" shapeId="1094" r:id="rId84"/>
      </mc:Fallback>
    </mc:AlternateContent>
    <mc:AlternateContent xmlns:mc="http://schemas.openxmlformats.org/markup-compatibility/2006">
      <mc:Choice Requires="x14">
        <oleObject progId="Equation.DSMT4" shapeId="1095" r:id="rId85">
          <objectPr defaultSize="0" autoPict="0" r:id="rId17">
            <anchor moveWithCells="1">
              <from>
                <xdr:col>64</xdr:col>
                <xdr:colOff>257175</xdr:colOff>
                <xdr:row>114</xdr:row>
                <xdr:rowOff>85725</xdr:rowOff>
              </from>
              <to>
                <xdr:col>64</xdr:col>
                <xdr:colOff>647700</xdr:colOff>
                <xdr:row>116</xdr:row>
                <xdr:rowOff>0</xdr:rowOff>
              </to>
            </anchor>
          </objectPr>
        </oleObject>
      </mc:Choice>
      <mc:Fallback>
        <oleObject progId="Equation.DSMT4" shapeId="1095" r:id="rId85"/>
      </mc:Fallback>
    </mc:AlternateContent>
    <mc:AlternateContent xmlns:mc="http://schemas.openxmlformats.org/markup-compatibility/2006">
      <mc:Choice Requires="x14">
        <oleObject progId="Equation.DSMT4" shapeId="1096" r:id="rId86">
          <objectPr defaultSize="0" autoPict="0" r:id="rId19">
            <anchor moveWithCells="1">
              <from>
                <xdr:col>63</xdr:col>
                <xdr:colOff>295275</xdr:colOff>
                <xdr:row>117</xdr:row>
                <xdr:rowOff>104775</xdr:rowOff>
              </from>
              <to>
                <xdr:col>63</xdr:col>
                <xdr:colOff>714375</xdr:colOff>
                <xdr:row>119</xdr:row>
                <xdr:rowOff>0</xdr:rowOff>
              </to>
            </anchor>
          </objectPr>
        </oleObject>
      </mc:Choice>
      <mc:Fallback>
        <oleObject progId="Equation.DSMT4" shapeId="1096" r:id="rId86"/>
      </mc:Fallback>
    </mc:AlternateContent>
    <mc:AlternateContent xmlns:mc="http://schemas.openxmlformats.org/markup-compatibility/2006">
      <mc:Choice Requires="x14">
        <oleObject progId="Equation.DSMT4" shapeId="1097" r:id="rId87">
          <objectPr defaultSize="0" autoPict="0" r:id="rId21">
            <anchor moveWithCells="1">
              <from>
                <xdr:col>64</xdr:col>
                <xdr:colOff>295275</xdr:colOff>
                <xdr:row>117</xdr:row>
                <xdr:rowOff>104775</xdr:rowOff>
              </from>
              <to>
                <xdr:col>64</xdr:col>
                <xdr:colOff>714375</xdr:colOff>
                <xdr:row>119</xdr:row>
                <xdr:rowOff>0</xdr:rowOff>
              </to>
            </anchor>
          </objectPr>
        </oleObject>
      </mc:Choice>
      <mc:Fallback>
        <oleObject progId="Equation.DSMT4" shapeId="1097" r:id="rId87"/>
      </mc:Fallback>
    </mc:AlternateContent>
    <mc:AlternateContent xmlns:mc="http://schemas.openxmlformats.org/markup-compatibility/2006">
      <mc:Choice Requires="x14">
        <oleObject progId="Equation.DSMT4" shapeId="1098" r:id="rId88">
          <objectPr defaultSize="0" autoPict="0" r:id="rId23">
            <anchor moveWithCells="1">
              <from>
                <xdr:col>65</xdr:col>
                <xdr:colOff>314325</xdr:colOff>
                <xdr:row>114</xdr:row>
                <xdr:rowOff>85725</xdr:rowOff>
              </from>
              <to>
                <xdr:col>65</xdr:col>
                <xdr:colOff>733425</xdr:colOff>
                <xdr:row>116</xdr:row>
                <xdr:rowOff>0</xdr:rowOff>
              </to>
            </anchor>
          </objectPr>
        </oleObject>
      </mc:Choice>
      <mc:Fallback>
        <oleObject progId="Equation.DSMT4" shapeId="1098" r:id="rId88"/>
      </mc:Fallback>
    </mc:AlternateContent>
    <mc:AlternateContent xmlns:mc="http://schemas.openxmlformats.org/markup-compatibility/2006">
      <mc:Choice Requires="x14">
        <oleObject progId="Equation.DSMT4" shapeId="1099" r:id="rId89">
          <objectPr defaultSize="0" autoPict="0" r:id="rId25">
            <anchor moveWithCells="1">
              <from>
                <xdr:col>65</xdr:col>
                <xdr:colOff>304800</xdr:colOff>
                <xdr:row>117</xdr:row>
                <xdr:rowOff>85725</xdr:rowOff>
              </from>
              <to>
                <xdr:col>65</xdr:col>
                <xdr:colOff>714375</xdr:colOff>
                <xdr:row>119</xdr:row>
                <xdr:rowOff>0</xdr:rowOff>
              </to>
            </anchor>
          </objectPr>
        </oleObject>
      </mc:Choice>
      <mc:Fallback>
        <oleObject progId="Equation.DSMT4" shapeId="1099" r:id="rId89"/>
      </mc:Fallback>
    </mc:AlternateContent>
    <mc:AlternateContent xmlns:mc="http://schemas.openxmlformats.org/markup-compatibility/2006">
      <mc:Choice Requires="x14">
        <oleObject progId="Equation.DSMT4" shapeId="1100" r:id="rId90">
          <objectPr defaultSize="0" autoPict="0" r:id="rId27">
            <anchor moveWithCells="1">
              <from>
                <xdr:col>68</xdr:col>
                <xdr:colOff>304800</xdr:colOff>
                <xdr:row>117</xdr:row>
                <xdr:rowOff>76200</xdr:rowOff>
              </from>
              <to>
                <xdr:col>68</xdr:col>
                <xdr:colOff>714375</xdr:colOff>
                <xdr:row>118</xdr:row>
                <xdr:rowOff>161925</xdr:rowOff>
              </to>
            </anchor>
          </objectPr>
        </oleObject>
      </mc:Choice>
      <mc:Fallback>
        <oleObject progId="Equation.DSMT4" shapeId="1100" r:id="rId90"/>
      </mc:Fallback>
    </mc:AlternateContent>
    <mc:AlternateContent xmlns:mc="http://schemas.openxmlformats.org/markup-compatibility/2006">
      <mc:Choice Requires="x14">
        <oleObject progId="Equation.DSMT4" shapeId="1101" r:id="rId91">
          <objectPr defaultSize="0" autoPict="0" r:id="rId15">
            <anchor moveWithCells="1">
              <from>
                <xdr:col>74</xdr:col>
                <xdr:colOff>428625</xdr:colOff>
                <xdr:row>114</xdr:row>
                <xdr:rowOff>152400</xdr:rowOff>
              </from>
              <to>
                <xdr:col>74</xdr:col>
                <xdr:colOff>609600</xdr:colOff>
                <xdr:row>115</xdr:row>
                <xdr:rowOff>114300</xdr:rowOff>
              </to>
            </anchor>
          </objectPr>
        </oleObject>
      </mc:Choice>
      <mc:Fallback>
        <oleObject progId="Equation.DSMT4" shapeId="1101" r:id="rId91"/>
      </mc:Fallback>
    </mc:AlternateContent>
    <mc:AlternateContent xmlns:mc="http://schemas.openxmlformats.org/markup-compatibility/2006">
      <mc:Choice Requires="x14">
        <oleObject progId="Equation.DSMT4" shapeId="1102" r:id="rId92">
          <objectPr defaultSize="0" autoPict="0" r:id="rId17">
            <anchor moveWithCells="1">
              <from>
                <xdr:col>75</xdr:col>
                <xdr:colOff>257175</xdr:colOff>
                <xdr:row>114</xdr:row>
                <xdr:rowOff>85725</xdr:rowOff>
              </from>
              <to>
                <xdr:col>75</xdr:col>
                <xdr:colOff>647700</xdr:colOff>
                <xdr:row>116</xdr:row>
                <xdr:rowOff>0</xdr:rowOff>
              </to>
            </anchor>
          </objectPr>
        </oleObject>
      </mc:Choice>
      <mc:Fallback>
        <oleObject progId="Equation.DSMT4" shapeId="1102" r:id="rId92"/>
      </mc:Fallback>
    </mc:AlternateContent>
    <mc:AlternateContent xmlns:mc="http://schemas.openxmlformats.org/markup-compatibility/2006">
      <mc:Choice Requires="x14">
        <oleObject progId="Equation.DSMT4" shapeId="1103" r:id="rId93">
          <objectPr defaultSize="0" autoPict="0" r:id="rId19">
            <anchor moveWithCells="1">
              <from>
                <xdr:col>74</xdr:col>
                <xdr:colOff>295275</xdr:colOff>
                <xdr:row>117</xdr:row>
                <xdr:rowOff>104775</xdr:rowOff>
              </from>
              <to>
                <xdr:col>74</xdr:col>
                <xdr:colOff>714375</xdr:colOff>
                <xdr:row>119</xdr:row>
                <xdr:rowOff>0</xdr:rowOff>
              </to>
            </anchor>
          </objectPr>
        </oleObject>
      </mc:Choice>
      <mc:Fallback>
        <oleObject progId="Equation.DSMT4" shapeId="1103" r:id="rId93"/>
      </mc:Fallback>
    </mc:AlternateContent>
    <mc:AlternateContent xmlns:mc="http://schemas.openxmlformats.org/markup-compatibility/2006">
      <mc:Choice Requires="x14">
        <oleObject progId="Equation.DSMT4" shapeId="1104" r:id="rId94">
          <objectPr defaultSize="0" autoPict="0" r:id="rId21">
            <anchor moveWithCells="1">
              <from>
                <xdr:col>75</xdr:col>
                <xdr:colOff>295275</xdr:colOff>
                <xdr:row>117</xdr:row>
                <xdr:rowOff>104775</xdr:rowOff>
              </from>
              <to>
                <xdr:col>75</xdr:col>
                <xdr:colOff>714375</xdr:colOff>
                <xdr:row>119</xdr:row>
                <xdr:rowOff>0</xdr:rowOff>
              </to>
            </anchor>
          </objectPr>
        </oleObject>
      </mc:Choice>
      <mc:Fallback>
        <oleObject progId="Equation.DSMT4" shapeId="1104" r:id="rId94"/>
      </mc:Fallback>
    </mc:AlternateContent>
    <mc:AlternateContent xmlns:mc="http://schemas.openxmlformats.org/markup-compatibility/2006">
      <mc:Choice Requires="x14">
        <oleObject progId="Equation.DSMT4" shapeId="1105" r:id="rId95">
          <objectPr defaultSize="0" autoPict="0" r:id="rId23">
            <anchor moveWithCells="1">
              <from>
                <xdr:col>76</xdr:col>
                <xdr:colOff>314325</xdr:colOff>
                <xdr:row>114</xdr:row>
                <xdr:rowOff>85725</xdr:rowOff>
              </from>
              <to>
                <xdr:col>76</xdr:col>
                <xdr:colOff>733425</xdr:colOff>
                <xdr:row>116</xdr:row>
                <xdr:rowOff>0</xdr:rowOff>
              </to>
            </anchor>
          </objectPr>
        </oleObject>
      </mc:Choice>
      <mc:Fallback>
        <oleObject progId="Equation.DSMT4" shapeId="1105" r:id="rId95"/>
      </mc:Fallback>
    </mc:AlternateContent>
    <mc:AlternateContent xmlns:mc="http://schemas.openxmlformats.org/markup-compatibility/2006">
      <mc:Choice Requires="x14">
        <oleObject progId="Equation.DSMT4" shapeId="1106" r:id="rId96">
          <objectPr defaultSize="0" autoPict="0" r:id="rId25">
            <anchor moveWithCells="1">
              <from>
                <xdr:col>76</xdr:col>
                <xdr:colOff>304800</xdr:colOff>
                <xdr:row>117</xdr:row>
                <xdr:rowOff>85725</xdr:rowOff>
              </from>
              <to>
                <xdr:col>76</xdr:col>
                <xdr:colOff>714375</xdr:colOff>
                <xdr:row>119</xdr:row>
                <xdr:rowOff>0</xdr:rowOff>
              </to>
            </anchor>
          </objectPr>
        </oleObject>
      </mc:Choice>
      <mc:Fallback>
        <oleObject progId="Equation.DSMT4" shapeId="1106" r:id="rId96"/>
      </mc:Fallback>
    </mc:AlternateContent>
    <mc:AlternateContent xmlns:mc="http://schemas.openxmlformats.org/markup-compatibility/2006">
      <mc:Choice Requires="x14">
        <oleObject progId="Equation.DSMT4" shapeId="1107" r:id="rId97">
          <objectPr defaultSize="0" autoPict="0" r:id="rId27">
            <anchor moveWithCells="1">
              <from>
                <xdr:col>79</xdr:col>
                <xdr:colOff>304800</xdr:colOff>
                <xdr:row>117</xdr:row>
                <xdr:rowOff>76200</xdr:rowOff>
              </from>
              <to>
                <xdr:col>79</xdr:col>
                <xdr:colOff>714375</xdr:colOff>
                <xdr:row>118</xdr:row>
                <xdr:rowOff>161925</xdr:rowOff>
              </to>
            </anchor>
          </objectPr>
        </oleObject>
      </mc:Choice>
      <mc:Fallback>
        <oleObject progId="Equation.DSMT4" shapeId="1107" r:id="rId97"/>
      </mc:Fallback>
    </mc:AlternateContent>
    <mc:AlternateContent xmlns:mc="http://schemas.openxmlformats.org/markup-compatibility/2006">
      <mc:Choice Requires="x14">
        <oleObject progId="Equation.DSMT4" shapeId="1108" r:id="rId98">
          <objectPr defaultSize="0" autoPict="0" r:id="rId15">
            <anchor moveWithCells="1">
              <from>
                <xdr:col>85</xdr:col>
                <xdr:colOff>428625</xdr:colOff>
                <xdr:row>114</xdr:row>
                <xdr:rowOff>152400</xdr:rowOff>
              </from>
              <to>
                <xdr:col>85</xdr:col>
                <xdr:colOff>609600</xdr:colOff>
                <xdr:row>115</xdr:row>
                <xdr:rowOff>114300</xdr:rowOff>
              </to>
            </anchor>
          </objectPr>
        </oleObject>
      </mc:Choice>
      <mc:Fallback>
        <oleObject progId="Equation.DSMT4" shapeId="1108" r:id="rId98"/>
      </mc:Fallback>
    </mc:AlternateContent>
    <mc:AlternateContent xmlns:mc="http://schemas.openxmlformats.org/markup-compatibility/2006">
      <mc:Choice Requires="x14">
        <oleObject progId="Equation.DSMT4" shapeId="1109" r:id="rId99">
          <objectPr defaultSize="0" autoPict="0" r:id="rId17">
            <anchor moveWithCells="1">
              <from>
                <xdr:col>86</xdr:col>
                <xdr:colOff>257175</xdr:colOff>
                <xdr:row>114</xdr:row>
                <xdr:rowOff>85725</xdr:rowOff>
              </from>
              <to>
                <xdr:col>86</xdr:col>
                <xdr:colOff>647700</xdr:colOff>
                <xdr:row>116</xdr:row>
                <xdr:rowOff>0</xdr:rowOff>
              </to>
            </anchor>
          </objectPr>
        </oleObject>
      </mc:Choice>
      <mc:Fallback>
        <oleObject progId="Equation.DSMT4" shapeId="1109" r:id="rId99"/>
      </mc:Fallback>
    </mc:AlternateContent>
    <mc:AlternateContent xmlns:mc="http://schemas.openxmlformats.org/markup-compatibility/2006">
      <mc:Choice Requires="x14">
        <oleObject progId="Equation.DSMT4" shapeId="1110" r:id="rId100">
          <objectPr defaultSize="0" autoPict="0" r:id="rId19">
            <anchor moveWithCells="1">
              <from>
                <xdr:col>85</xdr:col>
                <xdr:colOff>295275</xdr:colOff>
                <xdr:row>117</xdr:row>
                <xdr:rowOff>104775</xdr:rowOff>
              </from>
              <to>
                <xdr:col>85</xdr:col>
                <xdr:colOff>714375</xdr:colOff>
                <xdr:row>119</xdr:row>
                <xdr:rowOff>0</xdr:rowOff>
              </to>
            </anchor>
          </objectPr>
        </oleObject>
      </mc:Choice>
      <mc:Fallback>
        <oleObject progId="Equation.DSMT4" shapeId="1110" r:id="rId100"/>
      </mc:Fallback>
    </mc:AlternateContent>
    <mc:AlternateContent xmlns:mc="http://schemas.openxmlformats.org/markup-compatibility/2006">
      <mc:Choice Requires="x14">
        <oleObject progId="Equation.DSMT4" shapeId="1111" r:id="rId101">
          <objectPr defaultSize="0" autoPict="0" r:id="rId21">
            <anchor moveWithCells="1">
              <from>
                <xdr:col>86</xdr:col>
                <xdr:colOff>295275</xdr:colOff>
                <xdr:row>117</xdr:row>
                <xdr:rowOff>104775</xdr:rowOff>
              </from>
              <to>
                <xdr:col>86</xdr:col>
                <xdr:colOff>714375</xdr:colOff>
                <xdr:row>119</xdr:row>
                <xdr:rowOff>0</xdr:rowOff>
              </to>
            </anchor>
          </objectPr>
        </oleObject>
      </mc:Choice>
      <mc:Fallback>
        <oleObject progId="Equation.DSMT4" shapeId="1111" r:id="rId101"/>
      </mc:Fallback>
    </mc:AlternateContent>
    <mc:AlternateContent xmlns:mc="http://schemas.openxmlformats.org/markup-compatibility/2006">
      <mc:Choice Requires="x14">
        <oleObject progId="Equation.DSMT4" shapeId="1112" r:id="rId102">
          <objectPr defaultSize="0" autoPict="0" r:id="rId23">
            <anchor moveWithCells="1">
              <from>
                <xdr:col>87</xdr:col>
                <xdr:colOff>314325</xdr:colOff>
                <xdr:row>114</xdr:row>
                <xdr:rowOff>85725</xdr:rowOff>
              </from>
              <to>
                <xdr:col>87</xdr:col>
                <xdr:colOff>733425</xdr:colOff>
                <xdr:row>116</xdr:row>
                <xdr:rowOff>0</xdr:rowOff>
              </to>
            </anchor>
          </objectPr>
        </oleObject>
      </mc:Choice>
      <mc:Fallback>
        <oleObject progId="Equation.DSMT4" shapeId="1112" r:id="rId102"/>
      </mc:Fallback>
    </mc:AlternateContent>
    <mc:AlternateContent xmlns:mc="http://schemas.openxmlformats.org/markup-compatibility/2006">
      <mc:Choice Requires="x14">
        <oleObject progId="Equation.DSMT4" shapeId="1113" r:id="rId103">
          <objectPr defaultSize="0" autoPict="0" r:id="rId25">
            <anchor moveWithCells="1">
              <from>
                <xdr:col>87</xdr:col>
                <xdr:colOff>304800</xdr:colOff>
                <xdr:row>117</xdr:row>
                <xdr:rowOff>85725</xdr:rowOff>
              </from>
              <to>
                <xdr:col>87</xdr:col>
                <xdr:colOff>714375</xdr:colOff>
                <xdr:row>119</xdr:row>
                <xdr:rowOff>0</xdr:rowOff>
              </to>
            </anchor>
          </objectPr>
        </oleObject>
      </mc:Choice>
      <mc:Fallback>
        <oleObject progId="Equation.DSMT4" shapeId="1113" r:id="rId103"/>
      </mc:Fallback>
    </mc:AlternateContent>
    <mc:AlternateContent xmlns:mc="http://schemas.openxmlformats.org/markup-compatibility/2006">
      <mc:Choice Requires="x14">
        <oleObject progId="Equation.DSMT4" shapeId="1114" r:id="rId104">
          <objectPr defaultSize="0" autoPict="0" r:id="rId27">
            <anchor moveWithCells="1">
              <from>
                <xdr:col>90</xdr:col>
                <xdr:colOff>304800</xdr:colOff>
                <xdr:row>117</xdr:row>
                <xdr:rowOff>76200</xdr:rowOff>
              </from>
              <to>
                <xdr:col>90</xdr:col>
                <xdr:colOff>714375</xdr:colOff>
                <xdr:row>118</xdr:row>
                <xdr:rowOff>161925</xdr:rowOff>
              </to>
            </anchor>
          </objectPr>
        </oleObject>
      </mc:Choice>
      <mc:Fallback>
        <oleObject progId="Equation.DSMT4" shapeId="1114" r:id="rId104"/>
      </mc:Fallback>
    </mc:AlternateContent>
    <mc:AlternateContent xmlns:mc="http://schemas.openxmlformats.org/markup-compatibility/2006">
      <mc:Choice Requires="x14">
        <oleObject progId="Equation.DSMT4" shapeId="1115" r:id="rId105">
          <objectPr defaultSize="0" autoPict="0" r:id="rId15">
            <anchor moveWithCells="1">
              <from>
                <xdr:col>96</xdr:col>
                <xdr:colOff>428625</xdr:colOff>
                <xdr:row>114</xdr:row>
                <xdr:rowOff>152400</xdr:rowOff>
              </from>
              <to>
                <xdr:col>96</xdr:col>
                <xdr:colOff>609600</xdr:colOff>
                <xdr:row>115</xdr:row>
                <xdr:rowOff>114300</xdr:rowOff>
              </to>
            </anchor>
          </objectPr>
        </oleObject>
      </mc:Choice>
      <mc:Fallback>
        <oleObject progId="Equation.DSMT4" shapeId="1115" r:id="rId105"/>
      </mc:Fallback>
    </mc:AlternateContent>
    <mc:AlternateContent xmlns:mc="http://schemas.openxmlformats.org/markup-compatibility/2006">
      <mc:Choice Requires="x14">
        <oleObject progId="Equation.DSMT4" shapeId="1116" r:id="rId106">
          <objectPr defaultSize="0" autoPict="0" r:id="rId17">
            <anchor moveWithCells="1">
              <from>
                <xdr:col>97</xdr:col>
                <xdr:colOff>257175</xdr:colOff>
                <xdr:row>114</xdr:row>
                <xdr:rowOff>85725</xdr:rowOff>
              </from>
              <to>
                <xdr:col>97</xdr:col>
                <xdr:colOff>647700</xdr:colOff>
                <xdr:row>116</xdr:row>
                <xdr:rowOff>0</xdr:rowOff>
              </to>
            </anchor>
          </objectPr>
        </oleObject>
      </mc:Choice>
      <mc:Fallback>
        <oleObject progId="Equation.DSMT4" shapeId="1116" r:id="rId106"/>
      </mc:Fallback>
    </mc:AlternateContent>
    <mc:AlternateContent xmlns:mc="http://schemas.openxmlformats.org/markup-compatibility/2006">
      <mc:Choice Requires="x14">
        <oleObject progId="Equation.DSMT4" shapeId="1117" r:id="rId107">
          <objectPr defaultSize="0" autoPict="0" r:id="rId19">
            <anchor moveWithCells="1">
              <from>
                <xdr:col>96</xdr:col>
                <xdr:colOff>295275</xdr:colOff>
                <xdr:row>117</xdr:row>
                <xdr:rowOff>104775</xdr:rowOff>
              </from>
              <to>
                <xdr:col>96</xdr:col>
                <xdr:colOff>714375</xdr:colOff>
                <xdr:row>119</xdr:row>
                <xdr:rowOff>0</xdr:rowOff>
              </to>
            </anchor>
          </objectPr>
        </oleObject>
      </mc:Choice>
      <mc:Fallback>
        <oleObject progId="Equation.DSMT4" shapeId="1117" r:id="rId107"/>
      </mc:Fallback>
    </mc:AlternateContent>
    <mc:AlternateContent xmlns:mc="http://schemas.openxmlformats.org/markup-compatibility/2006">
      <mc:Choice Requires="x14">
        <oleObject progId="Equation.DSMT4" shapeId="1118" r:id="rId108">
          <objectPr defaultSize="0" autoPict="0" r:id="rId21">
            <anchor moveWithCells="1">
              <from>
                <xdr:col>97</xdr:col>
                <xdr:colOff>295275</xdr:colOff>
                <xdr:row>117</xdr:row>
                <xdr:rowOff>104775</xdr:rowOff>
              </from>
              <to>
                <xdr:col>97</xdr:col>
                <xdr:colOff>714375</xdr:colOff>
                <xdr:row>119</xdr:row>
                <xdr:rowOff>0</xdr:rowOff>
              </to>
            </anchor>
          </objectPr>
        </oleObject>
      </mc:Choice>
      <mc:Fallback>
        <oleObject progId="Equation.DSMT4" shapeId="1118" r:id="rId108"/>
      </mc:Fallback>
    </mc:AlternateContent>
    <mc:AlternateContent xmlns:mc="http://schemas.openxmlformats.org/markup-compatibility/2006">
      <mc:Choice Requires="x14">
        <oleObject progId="Equation.DSMT4" shapeId="1119" r:id="rId109">
          <objectPr defaultSize="0" autoPict="0" r:id="rId23">
            <anchor moveWithCells="1">
              <from>
                <xdr:col>98</xdr:col>
                <xdr:colOff>314325</xdr:colOff>
                <xdr:row>114</xdr:row>
                <xdr:rowOff>85725</xdr:rowOff>
              </from>
              <to>
                <xdr:col>98</xdr:col>
                <xdr:colOff>733425</xdr:colOff>
                <xdr:row>116</xdr:row>
                <xdr:rowOff>0</xdr:rowOff>
              </to>
            </anchor>
          </objectPr>
        </oleObject>
      </mc:Choice>
      <mc:Fallback>
        <oleObject progId="Equation.DSMT4" shapeId="1119" r:id="rId109"/>
      </mc:Fallback>
    </mc:AlternateContent>
    <mc:AlternateContent xmlns:mc="http://schemas.openxmlformats.org/markup-compatibility/2006">
      <mc:Choice Requires="x14">
        <oleObject progId="Equation.DSMT4" shapeId="1120" r:id="rId110">
          <objectPr defaultSize="0" autoPict="0" r:id="rId25">
            <anchor moveWithCells="1">
              <from>
                <xdr:col>98</xdr:col>
                <xdr:colOff>304800</xdr:colOff>
                <xdr:row>117</xdr:row>
                <xdr:rowOff>85725</xdr:rowOff>
              </from>
              <to>
                <xdr:col>98</xdr:col>
                <xdr:colOff>714375</xdr:colOff>
                <xdr:row>119</xdr:row>
                <xdr:rowOff>0</xdr:rowOff>
              </to>
            </anchor>
          </objectPr>
        </oleObject>
      </mc:Choice>
      <mc:Fallback>
        <oleObject progId="Equation.DSMT4" shapeId="1120" r:id="rId110"/>
      </mc:Fallback>
    </mc:AlternateContent>
    <mc:AlternateContent xmlns:mc="http://schemas.openxmlformats.org/markup-compatibility/2006">
      <mc:Choice Requires="x14">
        <oleObject progId="Equation.DSMT4" shapeId="1121" r:id="rId111">
          <objectPr defaultSize="0" autoPict="0" r:id="rId27">
            <anchor moveWithCells="1">
              <from>
                <xdr:col>101</xdr:col>
                <xdr:colOff>304800</xdr:colOff>
                <xdr:row>117</xdr:row>
                <xdr:rowOff>76200</xdr:rowOff>
              </from>
              <to>
                <xdr:col>101</xdr:col>
                <xdr:colOff>714375</xdr:colOff>
                <xdr:row>118</xdr:row>
                <xdr:rowOff>161925</xdr:rowOff>
              </to>
            </anchor>
          </objectPr>
        </oleObject>
      </mc:Choice>
      <mc:Fallback>
        <oleObject progId="Equation.DSMT4" shapeId="1121" r:id="rId111"/>
      </mc:Fallback>
    </mc:AlternateContent>
    <mc:AlternateContent xmlns:mc="http://schemas.openxmlformats.org/markup-compatibility/2006">
      <mc:Choice Requires="x14">
        <oleObject progId="Equation.DSMT4" shapeId="1122" r:id="rId112">
          <objectPr defaultSize="0" autoPict="0" r:id="rId15">
            <anchor moveWithCells="1">
              <from>
                <xdr:col>107</xdr:col>
                <xdr:colOff>428625</xdr:colOff>
                <xdr:row>114</xdr:row>
                <xdr:rowOff>152400</xdr:rowOff>
              </from>
              <to>
                <xdr:col>107</xdr:col>
                <xdr:colOff>609600</xdr:colOff>
                <xdr:row>115</xdr:row>
                <xdr:rowOff>114300</xdr:rowOff>
              </to>
            </anchor>
          </objectPr>
        </oleObject>
      </mc:Choice>
      <mc:Fallback>
        <oleObject progId="Equation.DSMT4" shapeId="1122" r:id="rId112"/>
      </mc:Fallback>
    </mc:AlternateContent>
    <mc:AlternateContent xmlns:mc="http://schemas.openxmlformats.org/markup-compatibility/2006">
      <mc:Choice Requires="x14">
        <oleObject progId="Equation.DSMT4" shapeId="1123" r:id="rId113">
          <objectPr defaultSize="0" autoPict="0" r:id="rId17">
            <anchor moveWithCells="1">
              <from>
                <xdr:col>108</xdr:col>
                <xdr:colOff>257175</xdr:colOff>
                <xdr:row>114</xdr:row>
                <xdr:rowOff>85725</xdr:rowOff>
              </from>
              <to>
                <xdr:col>108</xdr:col>
                <xdr:colOff>647700</xdr:colOff>
                <xdr:row>116</xdr:row>
                <xdr:rowOff>0</xdr:rowOff>
              </to>
            </anchor>
          </objectPr>
        </oleObject>
      </mc:Choice>
      <mc:Fallback>
        <oleObject progId="Equation.DSMT4" shapeId="1123" r:id="rId113"/>
      </mc:Fallback>
    </mc:AlternateContent>
    <mc:AlternateContent xmlns:mc="http://schemas.openxmlformats.org/markup-compatibility/2006">
      <mc:Choice Requires="x14">
        <oleObject progId="Equation.DSMT4" shapeId="1124" r:id="rId114">
          <objectPr defaultSize="0" autoPict="0" r:id="rId19">
            <anchor moveWithCells="1">
              <from>
                <xdr:col>107</xdr:col>
                <xdr:colOff>295275</xdr:colOff>
                <xdr:row>117</xdr:row>
                <xdr:rowOff>104775</xdr:rowOff>
              </from>
              <to>
                <xdr:col>107</xdr:col>
                <xdr:colOff>714375</xdr:colOff>
                <xdr:row>119</xdr:row>
                <xdr:rowOff>0</xdr:rowOff>
              </to>
            </anchor>
          </objectPr>
        </oleObject>
      </mc:Choice>
      <mc:Fallback>
        <oleObject progId="Equation.DSMT4" shapeId="1124" r:id="rId114"/>
      </mc:Fallback>
    </mc:AlternateContent>
    <mc:AlternateContent xmlns:mc="http://schemas.openxmlformats.org/markup-compatibility/2006">
      <mc:Choice Requires="x14">
        <oleObject progId="Equation.DSMT4" shapeId="1125" r:id="rId115">
          <objectPr defaultSize="0" autoPict="0" r:id="rId21">
            <anchor moveWithCells="1">
              <from>
                <xdr:col>108</xdr:col>
                <xdr:colOff>295275</xdr:colOff>
                <xdr:row>117</xdr:row>
                <xdr:rowOff>104775</xdr:rowOff>
              </from>
              <to>
                <xdr:col>108</xdr:col>
                <xdr:colOff>714375</xdr:colOff>
                <xdr:row>119</xdr:row>
                <xdr:rowOff>0</xdr:rowOff>
              </to>
            </anchor>
          </objectPr>
        </oleObject>
      </mc:Choice>
      <mc:Fallback>
        <oleObject progId="Equation.DSMT4" shapeId="1125" r:id="rId115"/>
      </mc:Fallback>
    </mc:AlternateContent>
    <mc:AlternateContent xmlns:mc="http://schemas.openxmlformats.org/markup-compatibility/2006">
      <mc:Choice Requires="x14">
        <oleObject progId="Equation.DSMT4" shapeId="1126" r:id="rId116">
          <objectPr defaultSize="0" autoPict="0" r:id="rId23">
            <anchor moveWithCells="1">
              <from>
                <xdr:col>109</xdr:col>
                <xdr:colOff>314325</xdr:colOff>
                <xdr:row>114</xdr:row>
                <xdr:rowOff>85725</xdr:rowOff>
              </from>
              <to>
                <xdr:col>109</xdr:col>
                <xdr:colOff>733425</xdr:colOff>
                <xdr:row>116</xdr:row>
                <xdr:rowOff>0</xdr:rowOff>
              </to>
            </anchor>
          </objectPr>
        </oleObject>
      </mc:Choice>
      <mc:Fallback>
        <oleObject progId="Equation.DSMT4" shapeId="1126" r:id="rId116"/>
      </mc:Fallback>
    </mc:AlternateContent>
    <mc:AlternateContent xmlns:mc="http://schemas.openxmlformats.org/markup-compatibility/2006">
      <mc:Choice Requires="x14">
        <oleObject progId="Equation.DSMT4" shapeId="1127" r:id="rId117">
          <objectPr defaultSize="0" autoPict="0" r:id="rId25">
            <anchor moveWithCells="1">
              <from>
                <xdr:col>109</xdr:col>
                <xdr:colOff>304800</xdr:colOff>
                <xdr:row>117</xdr:row>
                <xdr:rowOff>85725</xdr:rowOff>
              </from>
              <to>
                <xdr:col>109</xdr:col>
                <xdr:colOff>714375</xdr:colOff>
                <xdr:row>119</xdr:row>
                <xdr:rowOff>0</xdr:rowOff>
              </to>
            </anchor>
          </objectPr>
        </oleObject>
      </mc:Choice>
      <mc:Fallback>
        <oleObject progId="Equation.DSMT4" shapeId="1127" r:id="rId117"/>
      </mc:Fallback>
    </mc:AlternateContent>
    <mc:AlternateContent xmlns:mc="http://schemas.openxmlformats.org/markup-compatibility/2006">
      <mc:Choice Requires="x14">
        <oleObject progId="Equation.DSMT4" shapeId="1128" r:id="rId118">
          <objectPr defaultSize="0" autoPict="0" r:id="rId27">
            <anchor moveWithCells="1">
              <from>
                <xdr:col>112</xdr:col>
                <xdr:colOff>304800</xdr:colOff>
                <xdr:row>117</xdr:row>
                <xdr:rowOff>76200</xdr:rowOff>
              </from>
              <to>
                <xdr:col>112</xdr:col>
                <xdr:colOff>714375</xdr:colOff>
                <xdr:row>118</xdr:row>
                <xdr:rowOff>161925</xdr:rowOff>
              </to>
            </anchor>
          </objectPr>
        </oleObject>
      </mc:Choice>
      <mc:Fallback>
        <oleObject progId="Equation.DSMT4" shapeId="1128" r:id="rId118"/>
      </mc:Fallback>
    </mc:AlternateContent>
    <mc:AlternateContent xmlns:mc="http://schemas.openxmlformats.org/markup-compatibility/2006">
      <mc:Choice Requires="x14">
        <oleObject progId="Equation.DSMT4" shapeId="1129" r:id="rId119">
          <objectPr defaultSize="0" autoPict="0" r:id="rId17">
            <anchor moveWithCells="1">
              <from>
                <xdr:col>42</xdr:col>
                <xdr:colOff>257175</xdr:colOff>
                <xdr:row>211</xdr:row>
                <xdr:rowOff>85725</xdr:rowOff>
              </from>
              <to>
                <xdr:col>42</xdr:col>
                <xdr:colOff>676275</xdr:colOff>
                <xdr:row>212</xdr:row>
                <xdr:rowOff>161925</xdr:rowOff>
              </to>
            </anchor>
          </objectPr>
        </oleObject>
      </mc:Choice>
      <mc:Fallback>
        <oleObject progId="Equation.DSMT4" shapeId="1129" r:id="rId119"/>
      </mc:Fallback>
    </mc:AlternateContent>
    <mc:AlternateContent xmlns:mc="http://schemas.openxmlformats.org/markup-compatibility/2006">
      <mc:Choice Requires="x14">
        <oleObject progId="Equation.DSMT4" shapeId="1130" r:id="rId120">
          <objectPr defaultSize="0" autoPict="0" r:id="rId23">
            <anchor moveWithCells="1">
              <from>
                <xdr:col>43</xdr:col>
                <xdr:colOff>314325</xdr:colOff>
                <xdr:row>211</xdr:row>
                <xdr:rowOff>85725</xdr:rowOff>
              </from>
              <to>
                <xdr:col>43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1130" r:id="rId120"/>
      </mc:Fallback>
    </mc:AlternateContent>
    <mc:AlternateContent xmlns:mc="http://schemas.openxmlformats.org/markup-compatibility/2006">
      <mc:Choice Requires="x14">
        <oleObject progId="Equation.DSMT4" shapeId="1131" r:id="rId121">
          <objectPr defaultSize="0" autoPict="0" r:id="rId17">
            <anchor moveWithCells="1">
              <from>
                <xdr:col>45</xdr:col>
                <xdr:colOff>257175</xdr:colOff>
                <xdr:row>211</xdr:row>
                <xdr:rowOff>85725</xdr:rowOff>
              </from>
              <to>
                <xdr:col>45</xdr:col>
                <xdr:colOff>676275</xdr:colOff>
                <xdr:row>212</xdr:row>
                <xdr:rowOff>161925</xdr:rowOff>
              </to>
            </anchor>
          </objectPr>
        </oleObject>
      </mc:Choice>
      <mc:Fallback>
        <oleObject progId="Equation.DSMT4" shapeId="1131" r:id="rId121"/>
      </mc:Fallback>
    </mc:AlternateContent>
    <mc:AlternateContent xmlns:mc="http://schemas.openxmlformats.org/markup-compatibility/2006">
      <mc:Choice Requires="x14">
        <oleObject progId="Equation.DSMT4" shapeId="1132" r:id="rId122">
          <objectPr defaultSize="0" autoPict="0" r:id="rId23">
            <anchor moveWithCells="1">
              <from>
                <xdr:col>46</xdr:col>
                <xdr:colOff>314325</xdr:colOff>
                <xdr:row>211</xdr:row>
                <xdr:rowOff>85725</xdr:rowOff>
              </from>
              <to>
                <xdr:col>46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1132" r:id="rId122"/>
      </mc:Fallback>
    </mc:AlternateContent>
    <mc:AlternateContent xmlns:mc="http://schemas.openxmlformats.org/markup-compatibility/2006">
      <mc:Choice Requires="x14">
        <oleObject progId="Equation.DSMT4" shapeId="1133" r:id="rId123">
          <objectPr defaultSize="0" autoPict="0" r:id="rId17">
            <anchor moveWithCells="1">
              <from>
                <xdr:col>48</xdr:col>
                <xdr:colOff>257175</xdr:colOff>
                <xdr:row>211</xdr:row>
                <xdr:rowOff>85725</xdr:rowOff>
              </from>
              <to>
                <xdr:col>48</xdr:col>
                <xdr:colOff>676275</xdr:colOff>
                <xdr:row>212</xdr:row>
                <xdr:rowOff>161925</xdr:rowOff>
              </to>
            </anchor>
          </objectPr>
        </oleObject>
      </mc:Choice>
      <mc:Fallback>
        <oleObject progId="Equation.DSMT4" shapeId="1133" r:id="rId123"/>
      </mc:Fallback>
    </mc:AlternateContent>
    <mc:AlternateContent xmlns:mc="http://schemas.openxmlformats.org/markup-compatibility/2006">
      <mc:Choice Requires="x14">
        <oleObject progId="Equation.DSMT4" shapeId="1134" r:id="rId124">
          <objectPr defaultSize="0" autoPict="0" r:id="rId23">
            <anchor moveWithCells="1">
              <from>
                <xdr:col>49</xdr:col>
                <xdr:colOff>314325</xdr:colOff>
                <xdr:row>211</xdr:row>
                <xdr:rowOff>85725</xdr:rowOff>
              </from>
              <to>
                <xdr:col>49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1134" r:id="rId124"/>
      </mc:Fallback>
    </mc:AlternateContent>
    <mc:AlternateContent xmlns:mc="http://schemas.openxmlformats.org/markup-compatibility/2006">
      <mc:Choice Requires="x14">
        <oleObject progId="Equation.DSMT4" shapeId="1135" r:id="rId125">
          <objectPr defaultSize="0" autoPict="0" r:id="rId17">
            <anchor moveWithCells="1">
              <from>
                <xdr:col>51</xdr:col>
                <xdr:colOff>257175</xdr:colOff>
                <xdr:row>211</xdr:row>
                <xdr:rowOff>85725</xdr:rowOff>
              </from>
              <to>
                <xdr:col>51</xdr:col>
                <xdr:colOff>676275</xdr:colOff>
                <xdr:row>212</xdr:row>
                <xdr:rowOff>161925</xdr:rowOff>
              </to>
            </anchor>
          </objectPr>
        </oleObject>
      </mc:Choice>
      <mc:Fallback>
        <oleObject progId="Equation.DSMT4" shapeId="1135" r:id="rId125"/>
      </mc:Fallback>
    </mc:AlternateContent>
    <mc:AlternateContent xmlns:mc="http://schemas.openxmlformats.org/markup-compatibility/2006">
      <mc:Choice Requires="x14">
        <oleObject progId="Equation.DSMT4" shapeId="1136" r:id="rId126">
          <objectPr defaultSize="0" autoPict="0" r:id="rId23">
            <anchor moveWithCells="1">
              <from>
                <xdr:col>52</xdr:col>
                <xdr:colOff>314325</xdr:colOff>
                <xdr:row>211</xdr:row>
                <xdr:rowOff>85725</xdr:rowOff>
              </from>
              <to>
                <xdr:col>52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1136" r:id="rId126"/>
      </mc:Fallback>
    </mc:AlternateContent>
    <mc:AlternateContent xmlns:mc="http://schemas.openxmlformats.org/markup-compatibility/2006">
      <mc:Choice Requires="x14">
        <oleObject progId="Equation.DSMT4" shapeId="1137" r:id="rId127">
          <objectPr defaultSize="0" autoPict="0" r:id="rId17">
            <anchor moveWithCells="1">
              <from>
                <xdr:col>54</xdr:col>
                <xdr:colOff>257175</xdr:colOff>
                <xdr:row>211</xdr:row>
                <xdr:rowOff>85725</xdr:rowOff>
              </from>
              <to>
                <xdr:col>54</xdr:col>
                <xdr:colOff>676275</xdr:colOff>
                <xdr:row>212</xdr:row>
                <xdr:rowOff>161925</xdr:rowOff>
              </to>
            </anchor>
          </objectPr>
        </oleObject>
      </mc:Choice>
      <mc:Fallback>
        <oleObject progId="Equation.DSMT4" shapeId="1137" r:id="rId127"/>
      </mc:Fallback>
    </mc:AlternateContent>
    <mc:AlternateContent xmlns:mc="http://schemas.openxmlformats.org/markup-compatibility/2006">
      <mc:Choice Requires="x14">
        <oleObject progId="Equation.DSMT4" shapeId="1138" r:id="rId128">
          <objectPr defaultSize="0" autoPict="0" r:id="rId23">
            <anchor moveWithCells="1">
              <from>
                <xdr:col>55</xdr:col>
                <xdr:colOff>314325</xdr:colOff>
                <xdr:row>211</xdr:row>
                <xdr:rowOff>85725</xdr:rowOff>
              </from>
              <to>
                <xdr:col>55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1138" r:id="rId128"/>
      </mc:Fallback>
    </mc:AlternateContent>
    <mc:AlternateContent xmlns:mc="http://schemas.openxmlformats.org/markup-compatibility/2006">
      <mc:Choice Requires="x14">
        <oleObject progId="Equation.DSMT4" shapeId="1139" r:id="rId129">
          <objectPr defaultSize="0" autoPict="0" r:id="rId17">
            <anchor moveWithCells="1">
              <from>
                <xdr:col>57</xdr:col>
                <xdr:colOff>257175</xdr:colOff>
                <xdr:row>211</xdr:row>
                <xdr:rowOff>85725</xdr:rowOff>
              </from>
              <to>
                <xdr:col>57</xdr:col>
                <xdr:colOff>676275</xdr:colOff>
                <xdr:row>212</xdr:row>
                <xdr:rowOff>161925</xdr:rowOff>
              </to>
            </anchor>
          </objectPr>
        </oleObject>
      </mc:Choice>
      <mc:Fallback>
        <oleObject progId="Equation.DSMT4" shapeId="1139" r:id="rId129"/>
      </mc:Fallback>
    </mc:AlternateContent>
    <mc:AlternateContent xmlns:mc="http://schemas.openxmlformats.org/markup-compatibility/2006">
      <mc:Choice Requires="x14">
        <oleObject progId="Equation.DSMT4" shapeId="1140" r:id="rId130">
          <objectPr defaultSize="0" autoPict="0" r:id="rId23">
            <anchor moveWithCells="1">
              <from>
                <xdr:col>58</xdr:col>
                <xdr:colOff>314325</xdr:colOff>
                <xdr:row>211</xdr:row>
                <xdr:rowOff>85725</xdr:rowOff>
              </from>
              <to>
                <xdr:col>58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1140" r:id="rId130"/>
      </mc:Fallback>
    </mc:AlternateContent>
    <mc:AlternateContent xmlns:mc="http://schemas.openxmlformats.org/markup-compatibility/2006">
      <mc:Choice Requires="x14">
        <oleObject progId="Equation.DSMT4" shapeId="1141" r:id="rId131">
          <objectPr defaultSize="0" autoPict="0" r:id="rId17">
            <anchor moveWithCells="1">
              <from>
                <xdr:col>60</xdr:col>
                <xdr:colOff>257175</xdr:colOff>
                <xdr:row>211</xdr:row>
                <xdr:rowOff>85725</xdr:rowOff>
              </from>
              <to>
                <xdr:col>60</xdr:col>
                <xdr:colOff>676275</xdr:colOff>
                <xdr:row>212</xdr:row>
                <xdr:rowOff>161925</xdr:rowOff>
              </to>
            </anchor>
          </objectPr>
        </oleObject>
      </mc:Choice>
      <mc:Fallback>
        <oleObject progId="Equation.DSMT4" shapeId="1141" r:id="rId131"/>
      </mc:Fallback>
    </mc:AlternateContent>
    <mc:AlternateContent xmlns:mc="http://schemas.openxmlformats.org/markup-compatibility/2006">
      <mc:Choice Requires="x14">
        <oleObject progId="Equation.DSMT4" shapeId="1142" r:id="rId132">
          <objectPr defaultSize="0" autoPict="0" r:id="rId23">
            <anchor moveWithCells="1">
              <from>
                <xdr:col>61</xdr:col>
                <xdr:colOff>314325</xdr:colOff>
                <xdr:row>211</xdr:row>
                <xdr:rowOff>85725</xdr:rowOff>
              </from>
              <to>
                <xdr:col>61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1142" r:id="rId132"/>
      </mc:Fallback>
    </mc:AlternateContent>
    <mc:AlternateContent xmlns:mc="http://schemas.openxmlformats.org/markup-compatibility/2006">
      <mc:Choice Requires="x14">
        <oleObject progId="Equation.DSMT4" shapeId="1143" r:id="rId133">
          <objectPr defaultSize="0" autoPict="0" r:id="rId21">
            <anchor moveWithCells="1">
              <from>
                <xdr:col>42</xdr:col>
                <xdr:colOff>295275</xdr:colOff>
                <xdr:row>211</xdr:row>
                <xdr:rowOff>104775</xdr:rowOff>
              </from>
              <to>
                <xdr:col>42</xdr:col>
                <xdr:colOff>733425</xdr:colOff>
                <xdr:row>213</xdr:row>
                <xdr:rowOff>0</xdr:rowOff>
              </to>
            </anchor>
          </objectPr>
        </oleObject>
      </mc:Choice>
      <mc:Fallback>
        <oleObject progId="Equation.DSMT4" shapeId="1143" r:id="rId133"/>
      </mc:Fallback>
    </mc:AlternateContent>
    <mc:AlternateContent xmlns:mc="http://schemas.openxmlformats.org/markup-compatibility/2006">
      <mc:Choice Requires="x14">
        <oleObject progId="Equation.DSMT4" shapeId="1144" r:id="rId134">
          <objectPr defaultSize="0" autoPict="0" r:id="rId25">
            <anchor moveWithCells="1">
              <from>
                <xdr:col>43</xdr:col>
                <xdr:colOff>304800</xdr:colOff>
                <xdr:row>211</xdr:row>
                <xdr:rowOff>85725</xdr:rowOff>
              </from>
              <to>
                <xdr:col>43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1144" r:id="rId134"/>
      </mc:Fallback>
    </mc:AlternateContent>
    <mc:AlternateContent xmlns:mc="http://schemas.openxmlformats.org/markup-compatibility/2006">
      <mc:Choice Requires="x14">
        <oleObject progId="Equation.DSMT4" shapeId="1145" r:id="rId135">
          <objectPr defaultSize="0" autoPict="0" r:id="rId21">
            <anchor moveWithCells="1">
              <from>
                <xdr:col>45</xdr:col>
                <xdr:colOff>295275</xdr:colOff>
                <xdr:row>211</xdr:row>
                <xdr:rowOff>104775</xdr:rowOff>
              </from>
              <to>
                <xdr:col>45</xdr:col>
                <xdr:colOff>733425</xdr:colOff>
                <xdr:row>213</xdr:row>
                <xdr:rowOff>0</xdr:rowOff>
              </to>
            </anchor>
          </objectPr>
        </oleObject>
      </mc:Choice>
      <mc:Fallback>
        <oleObject progId="Equation.DSMT4" shapeId="1145" r:id="rId135"/>
      </mc:Fallback>
    </mc:AlternateContent>
    <mc:AlternateContent xmlns:mc="http://schemas.openxmlformats.org/markup-compatibility/2006">
      <mc:Choice Requires="x14">
        <oleObject progId="Equation.DSMT4" shapeId="1146" r:id="rId136">
          <objectPr defaultSize="0" autoPict="0" r:id="rId25">
            <anchor moveWithCells="1">
              <from>
                <xdr:col>46</xdr:col>
                <xdr:colOff>304800</xdr:colOff>
                <xdr:row>211</xdr:row>
                <xdr:rowOff>85725</xdr:rowOff>
              </from>
              <to>
                <xdr:col>46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1146" r:id="rId136"/>
      </mc:Fallback>
    </mc:AlternateContent>
    <mc:AlternateContent xmlns:mc="http://schemas.openxmlformats.org/markup-compatibility/2006">
      <mc:Choice Requires="x14">
        <oleObject progId="Equation.DSMT4" shapeId="1147" r:id="rId137">
          <objectPr defaultSize="0" autoPict="0" r:id="rId21">
            <anchor moveWithCells="1">
              <from>
                <xdr:col>48</xdr:col>
                <xdr:colOff>295275</xdr:colOff>
                <xdr:row>211</xdr:row>
                <xdr:rowOff>104775</xdr:rowOff>
              </from>
              <to>
                <xdr:col>48</xdr:col>
                <xdr:colOff>733425</xdr:colOff>
                <xdr:row>213</xdr:row>
                <xdr:rowOff>0</xdr:rowOff>
              </to>
            </anchor>
          </objectPr>
        </oleObject>
      </mc:Choice>
      <mc:Fallback>
        <oleObject progId="Equation.DSMT4" shapeId="1147" r:id="rId137"/>
      </mc:Fallback>
    </mc:AlternateContent>
    <mc:AlternateContent xmlns:mc="http://schemas.openxmlformats.org/markup-compatibility/2006">
      <mc:Choice Requires="x14">
        <oleObject progId="Equation.DSMT4" shapeId="1148" r:id="rId138">
          <objectPr defaultSize="0" autoPict="0" r:id="rId25">
            <anchor moveWithCells="1">
              <from>
                <xdr:col>49</xdr:col>
                <xdr:colOff>304800</xdr:colOff>
                <xdr:row>211</xdr:row>
                <xdr:rowOff>85725</xdr:rowOff>
              </from>
              <to>
                <xdr:col>49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1148" r:id="rId138"/>
      </mc:Fallback>
    </mc:AlternateContent>
    <mc:AlternateContent xmlns:mc="http://schemas.openxmlformats.org/markup-compatibility/2006">
      <mc:Choice Requires="x14">
        <oleObject progId="Equation.DSMT4" shapeId="1149" r:id="rId139">
          <objectPr defaultSize="0" autoPict="0" r:id="rId21">
            <anchor moveWithCells="1">
              <from>
                <xdr:col>51</xdr:col>
                <xdr:colOff>295275</xdr:colOff>
                <xdr:row>211</xdr:row>
                <xdr:rowOff>104775</xdr:rowOff>
              </from>
              <to>
                <xdr:col>51</xdr:col>
                <xdr:colOff>733425</xdr:colOff>
                <xdr:row>213</xdr:row>
                <xdr:rowOff>0</xdr:rowOff>
              </to>
            </anchor>
          </objectPr>
        </oleObject>
      </mc:Choice>
      <mc:Fallback>
        <oleObject progId="Equation.DSMT4" shapeId="1149" r:id="rId139"/>
      </mc:Fallback>
    </mc:AlternateContent>
    <mc:AlternateContent xmlns:mc="http://schemas.openxmlformats.org/markup-compatibility/2006">
      <mc:Choice Requires="x14">
        <oleObject progId="Equation.DSMT4" shapeId="1150" r:id="rId140">
          <objectPr defaultSize="0" autoPict="0" r:id="rId25">
            <anchor moveWithCells="1">
              <from>
                <xdr:col>52</xdr:col>
                <xdr:colOff>304800</xdr:colOff>
                <xdr:row>211</xdr:row>
                <xdr:rowOff>85725</xdr:rowOff>
              </from>
              <to>
                <xdr:col>52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1150" r:id="rId140"/>
      </mc:Fallback>
    </mc:AlternateContent>
    <mc:AlternateContent xmlns:mc="http://schemas.openxmlformats.org/markup-compatibility/2006">
      <mc:Choice Requires="x14">
        <oleObject progId="Equation.DSMT4" shapeId="1151" r:id="rId141">
          <objectPr defaultSize="0" autoPict="0" r:id="rId21">
            <anchor moveWithCells="1">
              <from>
                <xdr:col>54</xdr:col>
                <xdr:colOff>295275</xdr:colOff>
                <xdr:row>211</xdr:row>
                <xdr:rowOff>104775</xdr:rowOff>
              </from>
              <to>
                <xdr:col>54</xdr:col>
                <xdr:colOff>733425</xdr:colOff>
                <xdr:row>213</xdr:row>
                <xdr:rowOff>0</xdr:rowOff>
              </to>
            </anchor>
          </objectPr>
        </oleObject>
      </mc:Choice>
      <mc:Fallback>
        <oleObject progId="Equation.DSMT4" shapeId="1151" r:id="rId141"/>
      </mc:Fallback>
    </mc:AlternateContent>
    <mc:AlternateContent xmlns:mc="http://schemas.openxmlformats.org/markup-compatibility/2006">
      <mc:Choice Requires="x14">
        <oleObject progId="Equation.DSMT4" shapeId="1152" r:id="rId142">
          <objectPr defaultSize="0" autoPict="0" r:id="rId25">
            <anchor moveWithCells="1">
              <from>
                <xdr:col>55</xdr:col>
                <xdr:colOff>304800</xdr:colOff>
                <xdr:row>211</xdr:row>
                <xdr:rowOff>85725</xdr:rowOff>
              </from>
              <to>
                <xdr:col>55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1152" r:id="rId142"/>
      </mc:Fallback>
    </mc:AlternateContent>
    <mc:AlternateContent xmlns:mc="http://schemas.openxmlformats.org/markup-compatibility/2006">
      <mc:Choice Requires="x14">
        <oleObject progId="Equation.DSMT4" shapeId="1153" r:id="rId143">
          <objectPr defaultSize="0" autoPict="0" r:id="rId21">
            <anchor moveWithCells="1">
              <from>
                <xdr:col>57</xdr:col>
                <xdr:colOff>295275</xdr:colOff>
                <xdr:row>211</xdr:row>
                <xdr:rowOff>104775</xdr:rowOff>
              </from>
              <to>
                <xdr:col>57</xdr:col>
                <xdr:colOff>733425</xdr:colOff>
                <xdr:row>213</xdr:row>
                <xdr:rowOff>0</xdr:rowOff>
              </to>
            </anchor>
          </objectPr>
        </oleObject>
      </mc:Choice>
      <mc:Fallback>
        <oleObject progId="Equation.DSMT4" shapeId="1153" r:id="rId143"/>
      </mc:Fallback>
    </mc:AlternateContent>
    <mc:AlternateContent xmlns:mc="http://schemas.openxmlformats.org/markup-compatibility/2006">
      <mc:Choice Requires="x14">
        <oleObject progId="Equation.DSMT4" shapeId="1154" r:id="rId144">
          <objectPr defaultSize="0" autoPict="0" r:id="rId25">
            <anchor moveWithCells="1">
              <from>
                <xdr:col>58</xdr:col>
                <xdr:colOff>304800</xdr:colOff>
                <xdr:row>211</xdr:row>
                <xdr:rowOff>85725</xdr:rowOff>
              </from>
              <to>
                <xdr:col>58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1154" r:id="rId144"/>
      </mc:Fallback>
    </mc:AlternateContent>
    <mc:AlternateContent xmlns:mc="http://schemas.openxmlformats.org/markup-compatibility/2006">
      <mc:Choice Requires="x14">
        <oleObject progId="Equation.DSMT4" shapeId="1155" r:id="rId145">
          <objectPr defaultSize="0" autoPict="0" r:id="rId21">
            <anchor moveWithCells="1">
              <from>
                <xdr:col>60</xdr:col>
                <xdr:colOff>295275</xdr:colOff>
                <xdr:row>211</xdr:row>
                <xdr:rowOff>104775</xdr:rowOff>
              </from>
              <to>
                <xdr:col>60</xdr:col>
                <xdr:colOff>733425</xdr:colOff>
                <xdr:row>213</xdr:row>
                <xdr:rowOff>0</xdr:rowOff>
              </to>
            </anchor>
          </objectPr>
        </oleObject>
      </mc:Choice>
      <mc:Fallback>
        <oleObject progId="Equation.DSMT4" shapeId="1155" r:id="rId145"/>
      </mc:Fallback>
    </mc:AlternateContent>
    <mc:AlternateContent xmlns:mc="http://schemas.openxmlformats.org/markup-compatibility/2006">
      <mc:Choice Requires="x14">
        <oleObject progId="Equation.DSMT4" shapeId="1156" r:id="rId146">
          <objectPr defaultSize="0" autoPict="0" r:id="rId25">
            <anchor moveWithCells="1">
              <from>
                <xdr:col>61</xdr:col>
                <xdr:colOff>304800</xdr:colOff>
                <xdr:row>211</xdr:row>
                <xdr:rowOff>85725</xdr:rowOff>
              </from>
              <to>
                <xdr:col>61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1156" r:id="rId146"/>
      </mc:Fallback>
    </mc:AlternateContent>
    <mc:AlternateContent xmlns:mc="http://schemas.openxmlformats.org/markup-compatibility/2006">
      <mc:Choice Requires="x14">
        <oleObject progId="Equation.DSMT4" shapeId="1157" r:id="rId147">
          <objectPr defaultSize="0" autoPict="0" r:id="rId17">
            <anchor moveWithCells="1">
              <from>
                <xdr:col>42</xdr:col>
                <xdr:colOff>257175</xdr:colOff>
                <xdr:row>239</xdr:row>
                <xdr:rowOff>85725</xdr:rowOff>
              </from>
              <to>
                <xdr:col>42</xdr:col>
                <xdr:colOff>676275</xdr:colOff>
                <xdr:row>241</xdr:row>
                <xdr:rowOff>0</xdr:rowOff>
              </to>
            </anchor>
          </objectPr>
        </oleObject>
      </mc:Choice>
      <mc:Fallback>
        <oleObject progId="Equation.DSMT4" shapeId="1157" r:id="rId147"/>
      </mc:Fallback>
    </mc:AlternateContent>
    <mc:AlternateContent xmlns:mc="http://schemas.openxmlformats.org/markup-compatibility/2006">
      <mc:Choice Requires="x14">
        <oleObject progId="Equation.DSMT4" shapeId="1158" r:id="rId148">
          <objectPr defaultSize="0" autoPict="0" r:id="rId23">
            <anchor moveWithCells="1">
              <from>
                <xdr:col>43</xdr:col>
                <xdr:colOff>314325</xdr:colOff>
                <xdr:row>239</xdr:row>
                <xdr:rowOff>85725</xdr:rowOff>
              </from>
              <to>
                <xdr:col>43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158" r:id="rId148"/>
      </mc:Fallback>
    </mc:AlternateContent>
    <mc:AlternateContent xmlns:mc="http://schemas.openxmlformats.org/markup-compatibility/2006">
      <mc:Choice Requires="x14">
        <oleObject progId="Equation.DSMT4" shapeId="1159" r:id="rId149">
          <objectPr defaultSize="0" autoPict="0" r:id="rId21">
            <anchor moveWithCells="1">
              <from>
                <xdr:col>42</xdr:col>
                <xdr:colOff>295275</xdr:colOff>
                <xdr:row>239</xdr:row>
                <xdr:rowOff>104775</xdr:rowOff>
              </from>
              <to>
                <xdr:col>42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159" r:id="rId149"/>
      </mc:Fallback>
    </mc:AlternateContent>
    <mc:AlternateContent xmlns:mc="http://schemas.openxmlformats.org/markup-compatibility/2006">
      <mc:Choice Requires="x14">
        <oleObject progId="Equation.DSMT4" shapeId="1160" r:id="rId150">
          <objectPr defaultSize="0" autoPict="0" r:id="rId25">
            <anchor moveWithCells="1">
              <from>
                <xdr:col>43</xdr:col>
                <xdr:colOff>304800</xdr:colOff>
                <xdr:row>239</xdr:row>
                <xdr:rowOff>85725</xdr:rowOff>
              </from>
              <to>
                <xdr:col>43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160" r:id="rId150"/>
      </mc:Fallback>
    </mc:AlternateContent>
    <mc:AlternateContent xmlns:mc="http://schemas.openxmlformats.org/markup-compatibility/2006">
      <mc:Choice Requires="x14">
        <oleObject progId="Equation.DSMT4" shapeId="1161" r:id="rId151">
          <objectPr defaultSize="0" autoPict="0" r:id="rId17">
            <anchor moveWithCells="1">
              <from>
                <xdr:col>44</xdr:col>
                <xdr:colOff>257175</xdr:colOff>
                <xdr:row>239</xdr:row>
                <xdr:rowOff>85725</xdr:rowOff>
              </from>
              <to>
                <xdr:col>44</xdr:col>
                <xdr:colOff>676275</xdr:colOff>
                <xdr:row>241</xdr:row>
                <xdr:rowOff>0</xdr:rowOff>
              </to>
            </anchor>
          </objectPr>
        </oleObject>
      </mc:Choice>
      <mc:Fallback>
        <oleObject progId="Equation.DSMT4" shapeId="1161" r:id="rId151"/>
      </mc:Fallback>
    </mc:AlternateContent>
    <mc:AlternateContent xmlns:mc="http://schemas.openxmlformats.org/markup-compatibility/2006">
      <mc:Choice Requires="x14">
        <oleObject progId="Equation.DSMT4" shapeId="1162" r:id="rId152">
          <objectPr defaultSize="0" autoPict="0" r:id="rId23">
            <anchor moveWithCells="1">
              <from>
                <xdr:col>45</xdr:col>
                <xdr:colOff>314325</xdr:colOff>
                <xdr:row>239</xdr:row>
                <xdr:rowOff>85725</xdr:rowOff>
              </from>
              <to>
                <xdr:col>45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162" r:id="rId152"/>
      </mc:Fallback>
    </mc:AlternateContent>
    <mc:AlternateContent xmlns:mc="http://schemas.openxmlformats.org/markup-compatibility/2006">
      <mc:Choice Requires="x14">
        <oleObject progId="Equation.DSMT4" shapeId="1163" r:id="rId153">
          <objectPr defaultSize="0" autoPict="0" r:id="rId21">
            <anchor moveWithCells="1">
              <from>
                <xdr:col>44</xdr:col>
                <xdr:colOff>295275</xdr:colOff>
                <xdr:row>239</xdr:row>
                <xdr:rowOff>104775</xdr:rowOff>
              </from>
              <to>
                <xdr:col>44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163" r:id="rId153"/>
      </mc:Fallback>
    </mc:AlternateContent>
    <mc:AlternateContent xmlns:mc="http://schemas.openxmlformats.org/markup-compatibility/2006">
      <mc:Choice Requires="x14">
        <oleObject progId="Equation.DSMT4" shapeId="1164" r:id="rId154">
          <objectPr defaultSize="0" autoPict="0" r:id="rId25">
            <anchor moveWithCells="1">
              <from>
                <xdr:col>45</xdr:col>
                <xdr:colOff>304800</xdr:colOff>
                <xdr:row>239</xdr:row>
                <xdr:rowOff>85725</xdr:rowOff>
              </from>
              <to>
                <xdr:col>45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164" r:id="rId154"/>
      </mc:Fallback>
    </mc:AlternateContent>
    <mc:AlternateContent xmlns:mc="http://schemas.openxmlformats.org/markup-compatibility/2006">
      <mc:Choice Requires="x14">
        <oleObject progId="Equation.DSMT4" shapeId="1165" r:id="rId155">
          <objectPr defaultSize="0" autoPict="0" r:id="rId17">
            <anchor moveWithCells="1">
              <from>
                <xdr:col>46</xdr:col>
                <xdr:colOff>257175</xdr:colOff>
                <xdr:row>239</xdr:row>
                <xdr:rowOff>85725</xdr:rowOff>
              </from>
              <to>
                <xdr:col>46</xdr:col>
                <xdr:colOff>676275</xdr:colOff>
                <xdr:row>241</xdr:row>
                <xdr:rowOff>0</xdr:rowOff>
              </to>
            </anchor>
          </objectPr>
        </oleObject>
      </mc:Choice>
      <mc:Fallback>
        <oleObject progId="Equation.DSMT4" shapeId="1165" r:id="rId155"/>
      </mc:Fallback>
    </mc:AlternateContent>
    <mc:AlternateContent xmlns:mc="http://schemas.openxmlformats.org/markup-compatibility/2006">
      <mc:Choice Requires="x14">
        <oleObject progId="Equation.DSMT4" shapeId="1166" r:id="rId156">
          <objectPr defaultSize="0" autoPict="0" r:id="rId23">
            <anchor moveWithCells="1">
              <from>
                <xdr:col>47</xdr:col>
                <xdr:colOff>314325</xdr:colOff>
                <xdr:row>239</xdr:row>
                <xdr:rowOff>85725</xdr:rowOff>
              </from>
              <to>
                <xdr:col>47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166" r:id="rId156"/>
      </mc:Fallback>
    </mc:AlternateContent>
    <mc:AlternateContent xmlns:mc="http://schemas.openxmlformats.org/markup-compatibility/2006">
      <mc:Choice Requires="x14">
        <oleObject progId="Equation.DSMT4" shapeId="1167" r:id="rId157">
          <objectPr defaultSize="0" autoPict="0" r:id="rId21">
            <anchor moveWithCells="1">
              <from>
                <xdr:col>46</xdr:col>
                <xdr:colOff>295275</xdr:colOff>
                <xdr:row>239</xdr:row>
                <xdr:rowOff>104775</xdr:rowOff>
              </from>
              <to>
                <xdr:col>46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167" r:id="rId157"/>
      </mc:Fallback>
    </mc:AlternateContent>
    <mc:AlternateContent xmlns:mc="http://schemas.openxmlformats.org/markup-compatibility/2006">
      <mc:Choice Requires="x14">
        <oleObject progId="Equation.DSMT4" shapeId="1168" r:id="rId158">
          <objectPr defaultSize="0" autoPict="0" r:id="rId25">
            <anchor moveWithCells="1">
              <from>
                <xdr:col>47</xdr:col>
                <xdr:colOff>304800</xdr:colOff>
                <xdr:row>239</xdr:row>
                <xdr:rowOff>85725</xdr:rowOff>
              </from>
              <to>
                <xdr:col>47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168" r:id="rId158"/>
      </mc:Fallback>
    </mc:AlternateContent>
    <mc:AlternateContent xmlns:mc="http://schemas.openxmlformats.org/markup-compatibility/2006">
      <mc:Choice Requires="x14">
        <oleObject progId="Equation.DSMT4" shapeId="1169" r:id="rId159">
          <objectPr defaultSize="0" autoPict="0" r:id="rId17">
            <anchor moveWithCells="1">
              <from>
                <xdr:col>48</xdr:col>
                <xdr:colOff>257175</xdr:colOff>
                <xdr:row>239</xdr:row>
                <xdr:rowOff>85725</xdr:rowOff>
              </from>
              <to>
                <xdr:col>48</xdr:col>
                <xdr:colOff>676275</xdr:colOff>
                <xdr:row>241</xdr:row>
                <xdr:rowOff>0</xdr:rowOff>
              </to>
            </anchor>
          </objectPr>
        </oleObject>
      </mc:Choice>
      <mc:Fallback>
        <oleObject progId="Equation.DSMT4" shapeId="1169" r:id="rId159"/>
      </mc:Fallback>
    </mc:AlternateContent>
    <mc:AlternateContent xmlns:mc="http://schemas.openxmlformats.org/markup-compatibility/2006">
      <mc:Choice Requires="x14">
        <oleObject progId="Equation.DSMT4" shapeId="1170" r:id="rId160">
          <objectPr defaultSize="0" autoPict="0" r:id="rId23">
            <anchor moveWithCells="1">
              <from>
                <xdr:col>49</xdr:col>
                <xdr:colOff>314325</xdr:colOff>
                <xdr:row>239</xdr:row>
                <xdr:rowOff>85725</xdr:rowOff>
              </from>
              <to>
                <xdr:col>49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170" r:id="rId160"/>
      </mc:Fallback>
    </mc:AlternateContent>
    <mc:AlternateContent xmlns:mc="http://schemas.openxmlformats.org/markup-compatibility/2006">
      <mc:Choice Requires="x14">
        <oleObject progId="Equation.DSMT4" shapeId="1171" r:id="rId161">
          <objectPr defaultSize="0" autoPict="0" r:id="rId21">
            <anchor moveWithCells="1">
              <from>
                <xdr:col>48</xdr:col>
                <xdr:colOff>295275</xdr:colOff>
                <xdr:row>239</xdr:row>
                <xdr:rowOff>104775</xdr:rowOff>
              </from>
              <to>
                <xdr:col>48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171" r:id="rId161"/>
      </mc:Fallback>
    </mc:AlternateContent>
    <mc:AlternateContent xmlns:mc="http://schemas.openxmlformats.org/markup-compatibility/2006">
      <mc:Choice Requires="x14">
        <oleObject progId="Equation.DSMT4" shapeId="1172" r:id="rId162">
          <objectPr defaultSize="0" autoPict="0" r:id="rId25">
            <anchor moveWithCells="1">
              <from>
                <xdr:col>49</xdr:col>
                <xdr:colOff>304800</xdr:colOff>
                <xdr:row>239</xdr:row>
                <xdr:rowOff>85725</xdr:rowOff>
              </from>
              <to>
                <xdr:col>49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172" r:id="rId162"/>
      </mc:Fallback>
    </mc:AlternateContent>
    <mc:AlternateContent xmlns:mc="http://schemas.openxmlformats.org/markup-compatibility/2006">
      <mc:Choice Requires="x14">
        <oleObject progId="Equation.DSMT4" shapeId="1173" r:id="rId163">
          <objectPr defaultSize="0" autoPict="0" r:id="rId17">
            <anchor moveWithCells="1">
              <from>
                <xdr:col>50</xdr:col>
                <xdr:colOff>257175</xdr:colOff>
                <xdr:row>239</xdr:row>
                <xdr:rowOff>85725</xdr:rowOff>
              </from>
              <to>
                <xdr:col>50</xdr:col>
                <xdr:colOff>676275</xdr:colOff>
                <xdr:row>241</xdr:row>
                <xdr:rowOff>0</xdr:rowOff>
              </to>
            </anchor>
          </objectPr>
        </oleObject>
      </mc:Choice>
      <mc:Fallback>
        <oleObject progId="Equation.DSMT4" shapeId="1173" r:id="rId163"/>
      </mc:Fallback>
    </mc:AlternateContent>
    <mc:AlternateContent xmlns:mc="http://schemas.openxmlformats.org/markup-compatibility/2006">
      <mc:Choice Requires="x14">
        <oleObject progId="Equation.DSMT4" shapeId="1174" r:id="rId164">
          <objectPr defaultSize="0" autoPict="0" r:id="rId23">
            <anchor moveWithCells="1">
              <from>
                <xdr:col>51</xdr:col>
                <xdr:colOff>314325</xdr:colOff>
                <xdr:row>239</xdr:row>
                <xdr:rowOff>85725</xdr:rowOff>
              </from>
              <to>
                <xdr:col>51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174" r:id="rId164"/>
      </mc:Fallback>
    </mc:AlternateContent>
    <mc:AlternateContent xmlns:mc="http://schemas.openxmlformats.org/markup-compatibility/2006">
      <mc:Choice Requires="x14">
        <oleObject progId="Equation.DSMT4" shapeId="1175" r:id="rId165">
          <objectPr defaultSize="0" autoPict="0" r:id="rId21">
            <anchor moveWithCells="1">
              <from>
                <xdr:col>50</xdr:col>
                <xdr:colOff>295275</xdr:colOff>
                <xdr:row>239</xdr:row>
                <xdr:rowOff>104775</xdr:rowOff>
              </from>
              <to>
                <xdr:col>50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175" r:id="rId165"/>
      </mc:Fallback>
    </mc:AlternateContent>
    <mc:AlternateContent xmlns:mc="http://schemas.openxmlformats.org/markup-compatibility/2006">
      <mc:Choice Requires="x14">
        <oleObject progId="Equation.DSMT4" shapeId="1176" r:id="rId166">
          <objectPr defaultSize="0" autoPict="0" r:id="rId25">
            <anchor moveWithCells="1">
              <from>
                <xdr:col>51</xdr:col>
                <xdr:colOff>304800</xdr:colOff>
                <xdr:row>239</xdr:row>
                <xdr:rowOff>85725</xdr:rowOff>
              </from>
              <to>
                <xdr:col>51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176" r:id="rId166"/>
      </mc:Fallback>
    </mc:AlternateContent>
    <mc:AlternateContent xmlns:mc="http://schemas.openxmlformats.org/markup-compatibility/2006">
      <mc:Choice Requires="x14">
        <oleObject progId="Equation.DSMT4" shapeId="1177" r:id="rId167">
          <objectPr defaultSize="0" autoPict="0" r:id="rId17">
            <anchor moveWithCells="1">
              <from>
                <xdr:col>52</xdr:col>
                <xdr:colOff>257175</xdr:colOff>
                <xdr:row>239</xdr:row>
                <xdr:rowOff>85725</xdr:rowOff>
              </from>
              <to>
                <xdr:col>52</xdr:col>
                <xdr:colOff>676275</xdr:colOff>
                <xdr:row>241</xdr:row>
                <xdr:rowOff>0</xdr:rowOff>
              </to>
            </anchor>
          </objectPr>
        </oleObject>
      </mc:Choice>
      <mc:Fallback>
        <oleObject progId="Equation.DSMT4" shapeId="1177" r:id="rId167"/>
      </mc:Fallback>
    </mc:AlternateContent>
    <mc:AlternateContent xmlns:mc="http://schemas.openxmlformats.org/markup-compatibility/2006">
      <mc:Choice Requires="x14">
        <oleObject progId="Equation.DSMT4" shapeId="1178" r:id="rId168">
          <objectPr defaultSize="0" autoPict="0" r:id="rId23">
            <anchor moveWithCells="1">
              <from>
                <xdr:col>53</xdr:col>
                <xdr:colOff>314325</xdr:colOff>
                <xdr:row>239</xdr:row>
                <xdr:rowOff>85725</xdr:rowOff>
              </from>
              <to>
                <xdr:col>53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178" r:id="rId168"/>
      </mc:Fallback>
    </mc:AlternateContent>
    <mc:AlternateContent xmlns:mc="http://schemas.openxmlformats.org/markup-compatibility/2006">
      <mc:Choice Requires="x14">
        <oleObject progId="Equation.DSMT4" shapeId="1179" r:id="rId169">
          <objectPr defaultSize="0" autoPict="0" r:id="rId21">
            <anchor moveWithCells="1">
              <from>
                <xdr:col>52</xdr:col>
                <xdr:colOff>295275</xdr:colOff>
                <xdr:row>239</xdr:row>
                <xdr:rowOff>104775</xdr:rowOff>
              </from>
              <to>
                <xdr:col>52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179" r:id="rId169"/>
      </mc:Fallback>
    </mc:AlternateContent>
    <mc:AlternateContent xmlns:mc="http://schemas.openxmlformats.org/markup-compatibility/2006">
      <mc:Choice Requires="x14">
        <oleObject progId="Equation.DSMT4" shapeId="1180" r:id="rId170">
          <objectPr defaultSize="0" autoPict="0" r:id="rId25">
            <anchor moveWithCells="1">
              <from>
                <xdr:col>53</xdr:col>
                <xdr:colOff>304800</xdr:colOff>
                <xdr:row>239</xdr:row>
                <xdr:rowOff>85725</xdr:rowOff>
              </from>
              <to>
                <xdr:col>53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180" r:id="rId170"/>
      </mc:Fallback>
    </mc:AlternateContent>
    <mc:AlternateContent xmlns:mc="http://schemas.openxmlformats.org/markup-compatibility/2006">
      <mc:Choice Requires="x14">
        <oleObject progId="Equation.DSMT4" shapeId="1181" r:id="rId171">
          <objectPr defaultSize="0" autoPict="0" r:id="rId17">
            <anchor moveWithCells="1">
              <from>
                <xdr:col>54</xdr:col>
                <xdr:colOff>257175</xdr:colOff>
                <xdr:row>239</xdr:row>
                <xdr:rowOff>85725</xdr:rowOff>
              </from>
              <to>
                <xdr:col>54</xdr:col>
                <xdr:colOff>676275</xdr:colOff>
                <xdr:row>241</xdr:row>
                <xdr:rowOff>0</xdr:rowOff>
              </to>
            </anchor>
          </objectPr>
        </oleObject>
      </mc:Choice>
      <mc:Fallback>
        <oleObject progId="Equation.DSMT4" shapeId="1181" r:id="rId171"/>
      </mc:Fallback>
    </mc:AlternateContent>
    <mc:AlternateContent xmlns:mc="http://schemas.openxmlformats.org/markup-compatibility/2006">
      <mc:Choice Requires="x14">
        <oleObject progId="Equation.DSMT4" shapeId="1182" r:id="rId172">
          <objectPr defaultSize="0" autoPict="0" r:id="rId23">
            <anchor moveWithCells="1">
              <from>
                <xdr:col>55</xdr:col>
                <xdr:colOff>314325</xdr:colOff>
                <xdr:row>239</xdr:row>
                <xdr:rowOff>85725</xdr:rowOff>
              </from>
              <to>
                <xdr:col>55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182" r:id="rId172"/>
      </mc:Fallback>
    </mc:AlternateContent>
    <mc:AlternateContent xmlns:mc="http://schemas.openxmlformats.org/markup-compatibility/2006">
      <mc:Choice Requires="x14">
        <oleObject progId="Equation.DSMT4" shapeId="1183" r:id="rId173">
          <objectPr defaultSize="0" autoPict="0" r:id="rId21">
            <anchor moveWithCells="1">
              <from>
                <xdr:col>54</xdr:col>
                <xdr:colOff>295275</xdr:colOff>
                <xdr:row>239</xdr:row>
                <xdr:rowOff>104775</xdr:rowOff>
              </from>
              <to>
                <xdr:col>54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183" r:id="rId173"/>
      </mc:Fallback>
    </mc:AlternateContent>
    <mc:AlternateContent xmlns:mc="http://schemas.openxmlformats.org/markup-compatibility/2006">
      <mc:Choice Requires="x14">
        <oleObject progId="Equation.DSMT4" shapeId="1184" r:id="rId174">
          <objectPr defaultSize="0" autoPict="0" r:id="rId25">
            <anchor moveWithCells="1">
              <from>
                <xdr:col>55</xdr:col>
                <xdr:colOff>304800</xdr:colOff>
                <xdr:row>239</xdr:row>
                <xdr:rowOff>85725</xdr:rowOff>
              </from>
              <to>
                <xdr:col>55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184" r:id="rId174"/>
      </mc:Fallback>
    </mc:AlternateContent>
    <mc:AlternateContent xmlns:mc="http://schemas.openxmlformats.org/markup-compatibility/2006">
      <mc:Choice Requires="x14">
        <oleObject progId="Equation.DSMT4" shapeId="1185" r:id="rId175">
          <objectPr defaultSize="0" autoPict="0" r:id="rId17">
            <anchor moveWithCells="1">
              <from>
                <xdr:col>56</xdr:col>
                <xdr:colOff>257175</xdr:colOff>
                <xdr:row>239</xdr:row>
                <xdr:rowOff>85725</xdr:rowOff>
              </from>
              <to>
                <xdr:col>56</xdr:col>
                <xdr:colOff>676275</xdr:colOff>
                <xdr:row>241</xdr:row>
                <xdr:rowOff>0</xdr:rowOff>
              </to>
            </anchor>
          </objectPr>
        </oleObject>
      </mc:Choice>
      <mc:Fallback>
        <oleObject progId="Equation.DSMT4" shapeId="1185" r:id="rId175"/>
      </mc:Fallback>
    </mc:AlternateContent>
    <mc:AlternateContent xmlns:mc="http://schemas.openxmlformats.org/markup-compatibility/2006">
      <mc:Choice Requires="x14">
        <oleObject progId="Equation.DSMT4" shapeId="1186" r:id="rId176">
          <objectPr defaultSize="0" autoPict="0" r:id="rId23">
            <anchor moveWithCells="1">
              <from>
                <xdr:col>57</xdr:col>
                <xdr:colOff>314325</xdr:colOff>
                <xdr:row>239</xdr:row>
                <xdr:rowOff>85725</xdr:rowOff>
              </from>
              <to>
                <xdr:col>57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186" r:id="rId176"/>
      </mc:Fallback>
    </mc:AlternateContent>
    <mc:AlternateContent xmlns:mc="http://schemas.openxmlformats.org/markup-compatibility/2006">
      <mc:Choice Requires="x14">
        <oleObject progId="Equation.DSMT4" shapeId="1187" r:id="rId177">
          <objectPr defaultSize="0" autoPict="0" r:id="rId21">
            <anchor moveWithCells="1">
              <from>
                <xdr:col>56</xdr:col>
                <xdr:colOff>295275</xdr:colOff>
                <xdr:row>239</xdr:row>
                <xdr:rowOff>104775</xdr:rowOff>
              </from>
              <to>
                <xdr:col>56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187" r:id="rId177"/>
      </mc:Fallback>
    </mc:AlternateContent>
    <mc:AlternateContent xmlns:mc="http://schemas.openxmlformats.org/markup-compatibility/2006">
      <mc:Choice Requires="x14">
        <oleObject progId="Equation.DSMT4" shapeId="1188" r:id="rId178">
          <objectPr defaultSize="0" autoPict="0" r:id="rId25">
            <anchor moveWithCells="1">
              <from>
                <xdr:col>57</xdr:col>
                <xdr:colOff>304800</xdr:colOff>
                <xdr:row>239</xdr:row>
                <xdr:rowOff>85725</xdr:rowOff>
              </from>
              <to>
                <xdr:col>57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188" r:id="rId178"/>
      </mc:Fallback>
    </mc:AlternateContent>
    <mc:AlternateContent xmlns:mc="http://schemas.openxmlformats.org/markup-compatibility/2006">
      <mc:Choice Requires="x14">
        <oleObject progId="Equation.DSMT4" shapeId="1189" r:id="rId179">
          <objectPr defaultSize="0" autoPict="0" r:id="rId17">
            <anchor moveWithCells="1">
              <from>
                <xdr:col>58</xdr:col>
                <xdr:colOff>257175</xdr:colOff>
                <xdr:row>239</xdr:row>
                <xdr:rowOff>85725</xdr:rowOff>
              </from>
              <to>
                <xdr:col>58</xdr:col>
                <xdr:colOff>676275</xdr:colOff>
                <xdr:row>241</xdr:row>
                <xdr:rowOff>0</xdr:rowOff>
              </to>
            </anchor>
          </objectPr>
        </oleObject>
      </mc:Choice>
      <mc:Fallback>
        <oleObject progId="Equation.DSMT4" shapeId="1189" r:id="rId179"/>
      </mc:Fallback>
    </mc:AlternateContent>
    <mc:AlternateContent xmlns:mc="http://schemas.openxmlformats.org/markup-compatibility/2006">
      <mc:Choice Requires="x14">
        <oleObject progId="Equation.DSMT4" shapeId="1190" r:id="rId180">
          <objectPr defaultSize="0" autoPict="0" r:id="rId23">
            <anchor moveWithCells="1">
              <from>
                <xdr:col>59</xdr:col>
                <xdr:colOff>314325</xdr:colOff>
                <xdr:row>239</xdr:row>
                <xdr:rowOff>85725</xdr:rowOff>
              </from>
              <to>
                <xdr:col>59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190" r:id="rId180"/>
      </mc:Fallback>
    </mc:AlternateContent>
    <mc:AlternateContent xmlns:mc="http://schemas.openxmlformats.org/markup-compatibility/2006">
      <mc:Choice Requires="x14">
        <oleObject progId="Equation.DSMT4" shapeId="1191" r:id="rId181">
          <objectPr defaultSize="0" autoPict="0" r:id="rId21">
            <anchor moveWithCells="1">
              <from>
                <xdr:col>58</xdr:col>
                <xdr:colOff>295275</xdr:colOff>
                <xdr:row>239</xdr:row>
                <xdr:rowOff>104775</xdr:rowOff>
              </from>
              <to>
                <xdr:col>58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191" r:id="rId181"/>
      </mc:Fallback>
    </mc:AlternateContent>
    <mc:AlternateContent xmlns:mc="http://schemas.openxmlformats.org/markup-compatibility/2006">
      <mc:Choice Requires="x14">
        <oleObject progId="Equation.DSMT4" shapeId="1192" r:id="rId182">
          <objectPr defaultSize="0" autoPict="0" r:id="rId25">
            <anchor moveWithCells="1">
              <from>
                <xdr:col>59</xdr:col>
                <xdr:colOff>304800</xdr:colOff>
                <xdr:row>239</xdr:row>
                <xdr:rowOff>85725</xdr:rowOff>
              </from>
              <to>
                <xdr:col>59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192" r:id="rId182"/>
      </mc:Fallback>
    </mc:AlternateContent>
    <mc:AlternateContent xmlns:mc="http://schemas.openxmlformats.org/markup-compatibility/2006">
      <mc:Choice Requires="x14">
        <oleObject progId="Equation.DSMT4" shapeId="1193" r:id="rId183">
          <objectPr defaultSize="0" autoPict="0" r:id="rId17">
            <anchor moveWithCells="1">
              <from>
                <xdr:col>60</xdr:col>
                <xdr:colOff>257175</xdr:colOff>
                <xdr:row>239</xdr:row>
                <xdr:rowOff>85725</xdr:rowOff>
              </from>
              <to>
                <xdr:col>60</xdr:col>
                <xdr:colOff>676275</xdr:colOff>
                <xdr:row>241</xdr:row>
                <xdr:rowOff>0</xdr:rowOff>
              </to>
            </anchor>
          </objectPr>
        </oleObject>
      </mc:Choice>
      <mc:Fallback>
        <oleObject progId="Equation.DSMT4" shapeId="1193" r:id="rId183"/>
      </mc:Fallback>
    </mc:AlternateContent>
    <mc:AlternateContent xmlns:mc="http://schemas.openxmlformats.org/markup-compatibility/2006">
      <mc:Choice Requires="x14">
        <oleObject progId="Equation.DSMT4" shapeId="1194" r:id="rId184">
          <objectPr defaultSize="0" autoPict="0" r:id="rId23">
            <anchor moveWithCells="1">
              <from>
                <xdr:col>61</xdr:col>
                <xdr:colOff>314325</xdr:colOff>
                <xdr:row>239</xdr:row>
                <xdr:rowOff>85725</xdr:rowOff>
              </from>
              <to>
                <xdr:col>61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194" r:id="rId184"/>
      </mc:Fallback>
    </mc:AlternateContent>
    <mc:AlternateContent xmlns:mc="http://schemas.openxmlformats.org/markup-compatibility/2006">
      <mc:Choice Requires="x14">
        <oleObject progId="Equation.DSMT4" shapeId="1195" r:id="rId185">
          <objectPr defaultSize="0" autoPict="0" r:id="rId21">
            <anchor moveWithCells="1">
              <from>
                <xdr:col>60</xdr:col>
                <xdr:colOff>295275</xdr:colOff>
                <xdr:row>239</xdr:row>
                <xdr:rowOff>104775</xdr:rowOff>
              </from>
              <to>
                <xdr:col>60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195" r:id="rId185"/>
      </mc:Fallback>
    </mc:AlternateContent>
    <mc:AlternateContent xmlns:mc="http://schemas.openxmlformats.org/markup-compatibility/2006">
      <mc:Choice Requires="x14">
        <oleObject progId="Equation.DSMT4" shapeId="1196" r:id="rId186">
          <objectPr defaultSize="0" autoPict="0" r:id="rId25">
            <anchor moveWithCells="1">
              <from>
                <xdr:col>61</xdr:col>
                <xdr:colOff>304800</xdr:colOff>
                <xdr:row>239</xdr:row>
                <xdr:rowOff>85725</xdr:rowOff>
              </from>
              <to>
                <xdr:col>61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196" r:id="rId186"/>
      </mc:Fallback>
    </mc:AlternateContent>
    <mc:AlternateContent xmlns:mc="http://schemas.openxmlformats.org/markup-compatibility/2006">
      <mc:Choice Requires="x14">
        <oleObject progId="Equation.DSMT4" shapeId="1197" r:id="rId187">
          <objectPr defaultSize="0" autoPict="0" r:id="rId17">
            <anchor moveWithCells="1">
              <from>
                <xdr:col>62</xdr:col>
                <xdr:colOff>257175</xdr:colOff>
                <xdr:row>239</xdr:row>
                <xdr:rowOff>85725</xdr:rowOff>
              </from>
              <to>
                <xdr:col>62</xdr:col>
                <xdr:colOff>676275</xdr:colOff>
                <xdr:row>241</xdr:row>
                <xdr:rowOff>0</xdr:rowOff>
              </to>
            </anchor>
          </objectPr>
        </oleObject>
      </mc:Choice>
      <mc:Fallback>
        <oleObject progId="Equation.DSMT4" shapeId="1197" r:id="rId187"/>
      </mc:Fallback>
    </mc:AlternateContent>
    <mc:AlternateContent xmlns:mc="http://schemas.openxmlformats.org/markup-compatibility/2006">
      <mc:Choice Requires="x14">
        <oleObject progId="Equation.DSMT4" shapeId="1198" r:id="rId188">
          <objectPr defaultSize="0" autoPict="0" r:id="rId23">
            <anchor moveWithCells="1">
              <from>
                <xdr:col>63</xdr:col>
                <xdr:colOff>314325</xdr:colOff>
                <xdr:row>239</xdr:row>
                <xdr:rowOff>85725</xdr:rowOff>
              </from>
              <to>
                <xdr:col>63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198" r:id="rId188"/>
      </mc:Fallback>
    </mc:AlternateContent>
    <mc:AlternateContent xmlns:mc="http://schemas.openxmlformats.org/markup-compatibility/2006">
      <mc:Choice Requires="x14">
        <oleObject progId="Equation.DSMT4" shapeId="1199" r:id="rId189">
          <objectPr defaultSize="0" autoPict="0" r:id="rId21">
            <anchor moveWithCells="1">
              <from>
                <xdr:col>62</xdr:col>
                <xdr:colOff>295275</xdr:colOff>
                <xdr:row>239</xdr:row>
                <xdr:rowOff>104775</xdr:rowOff>
              </from>
              <to>
                <xdr:col>62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199" r:id="rId189"/>
      </mc:Fallback>
    </mc:AlternateContent>
    <mc:AlternateContent xmlns:mc="http://schemas.openxmlformats.org/markup-compatibility/2006">
      <mc:Choice Requires="x14">
        <oleObject progId="Equation.DSMT4" shapeId="1200" r:id="rId190">
          <objectPr defaultSize="0" autoPict="0" r:id="rId25">
            <anchor moveWithCells="1">
              <from>
                <xdr:col>63</xdr:col>
                <xdr:colOff>304800</xdr:colOff>
                <xdr:row>239</xdr:row>
                <xdr:rowOff>85725</xdr:rowOff>
              </from>
              <to>
                <xdr:col>63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00" r:id="rId190"/>
      </mc:Fallback>
    </mc:AlternateContent>
    <mc:AlternateContent xmlns:mc="http://schemas.openxmlformats.org/markup-compatibility/2006">
      <mc:Choice Requires="x14">
        <oleObject progId="Equation.DSMT4" shapeId="1201" r:id="rId191">
          <objectPr defaultSize="0" autoPict="0" r:id="rId17">
            <anchor moveWithCells="1">
              <from>
                <xdr:col>64</xdr:col>
                <xdr:colOff>257175</xdr:colOff>
                <xdr:row>239</xdr:row>
                <xdr:rowOff>85725</xdr:rowOff>
              </from>
              <to>
                <xdr:col>64</xdr:col>
                <xdr:colOff>676275</xdr:colOff>
                <xdr:row>241</xdr:row>
                <xdr:rowOff>0</xdr:rowOff>
              </to>
            </anchor>
          </objectPr>
        </oleObject>
      </mc:Choice>
      <mc:Fallback>
        <oleObject progId="Equation.DSMT4" shapeId="1201" r:id="rId191"/>
      </mc:Fallback>
    </mc:AlternateContent>
    <mc:AlternateContent xmlns:mc="http://schemas.openxmlformats.org/markup-compatibility/2006">
      <mc:Choice Requires="x14">
        <oleObject progId="Equation.DSMT4" shapeId="1202" r:id="rId192">
          <objectPr defaultSize="0" autoPict="0" r:id="rId23">
            <anchor moveWithCells="1">
              <from>
                <xdr:col>65</xdr:col>
                <xdr:colOff>314325</xdr:colOff>
                <xdr:row>239</xdr:row>
                <xdr:rowOff>85725</xdr:rowOff>
              </from>
              <to>
                <xdr:col>65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02" r:id="rId192"/>
      </mc:Fallback>
    </mc:AlternateContent>
    <mc:AlternateContent xmlns:mc="http://schemas.openxmlformats.org/markup-compatibility/2006">
      <mc:Choice Requires="x14">
        <oleObject progId="Equation.DSMT4" shapeId="1203" r:id="rId193">
          <objectPr defaultSize="0" autoPict="0" r:id="rId21">
            <anchor moveWithCells="1">
              <from>
                <xdr:col>64</xdr:col>
                <xdr:colOff>295275</xdr:colOff>
                <xdr:row>239</xdr:row>
                <xdr:rowOff>104775</xdr:rowOff>
              </from>
              <to>
                <xdr:col>64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03" r:id="rId193"/>
      </mc:Fallback>
    </mc:AlternateContent>
    <mc:AlternateContent xmlns:mc="http://schemas.openxmlformats.org/markup-compatibility/2006">
      <mc:Choice Requires="x14">
        <oleObject progId="Equation.DSMT4" shapeId="1204" r:id="rId194">
          <objectPr defaultSize="0" autoPict="0" r:id="rId25">
            <anchor moveWithCells="1">
              <from>
                <xdr:col>65</xdr:col>
                <xdr:colOff>304800</xdr:colOff>
                <xdr:row>239</xdr:row>
                <xdr:rowOff>85725</xdr:rowOff>
              </from>
              <to>
                <xdr:col>65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04" r:id="rId194"/>
      </mc:Fallback>
    </mc:AlternateContent>
    <mc:AlternateContent xmlns:mc="http://schemas.openxmlformats.org/markup-compatibility/2006">
      <mc:Choice Requires="x14">
        <oleObject progId="Equation.DSMT4" shapeId="1205" r:id="rId195">
          <objectPr defaultSize="0" autoPict="0" r:id="rId17">
            <anchor moveWithCells="1">
              <from>
                <xdr:col>66</xdr:col>
                <xdr:colOff>257175</xdr:colOff>
                <xdr:row>239</xdr:row>
                <xdr:rowOff>85725</xdr:rowOff>
              </from>
              <to>
                <xdr:col>66</xdr:col>
                <xdr:colOff>676275</xdr:colOff>
                <xdr:row>241</xdr:row>
                <xdr:rowOff>0</xdr:rowOff>
              </to>
            </anchor>
          </objectPr>
        </oleObject>
      </mc:Choice>
      <mc:Fallback>
        <oleObject progId="Equation.DSMT4" shapeId="1205" r:id="rId195"/>
      </mc:Fallback>
    </mc:AlternateContent>
    <mc:AlternateContent xmlns:mc="http://schemas.openxmlformats.org/markup-compatibility/2006">
      <mc:Choice Requires="x14">
        <oleObject progId="Equation.DSMT4" shapeId="1206" r:id="rId196">
          <objectPr defaultSize="0" autoPict="0" r:id="rId23">
            <anchor moveWithCells="1">
              <from>
                <xdr:col>67</xdr:col>
                <xdr:colOff>314325</xdr:colOff>
                <xdr:row>239</xdr:row>
                <xdr:rowOff>85725</xdr:rowOff>
              </from>
              <to>
                <xdr:col>67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06" r:id="rId196"/>
      </mc:Fallback>
    </mc:AlternateContent>
    <mc:AlternateContent xmlns:mc="http://schemas.openxmlformats.org/markup-compatibility/2006">
      <mc:Choice Requires="x14">
        <oleObject progId="Equation.DSMT4" shapeId="1207" r:id="rId197">
          <objectPr defaultSize="0" autoPict="0" r:id="rId21">
            <anchor moveWithCells="1">
              <from>
                <xdr:col>66</xdr:col>
                <xdr:colOff>295275</xdr:colOff>
                <xdr:row>239</xdr:row>
                <xdr:rowOff>104775</xdr:rowOff>
              </from>
              <to>
                <xdr:col>66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07" r:id="rId197"/>
      </mc:Fallback>
    </mc:AlternateContent>
    <mc:AlternateContent xmlns:mc="http://schemas.openxmlformats.org/markup-compatibility/2006">
      <mc:Choice Requires="x14">
        <oleObject progId="Equation.DSMT4" shapeId="1208" r:id="rId198">
          <objectPr defaultSize="0" autoPict="0" r:id="rId25">
            <anchor moveWithCells="1">
              <from>
                <xdr:col>67</xdr:col>
                <xdr:colOff>304800</xdr:colOff>
                <xdr:row>239</xdr:row>
                <xdr:rowOff>85725</xdr:rowOff>
              </from>
              <to>
                <xdr:col>67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08" r:id="rId198"/>
      </mc:Fallback>
    </mc:AlternateContent>
    <mc:AlternateContent xmlns:mc="http://schemas.openxmlformats.org/markup-compatibility/2006">
      <mc:Choice Requires="x14">
        <oleObject progId="Equation.DSMT4" shapeId="1209" r:id="rId199">
          <objectPr defaultSize="0" autoPict="0" r:id="rId17">
            <anchor moveWithCells="1">
              <from>
                <xdr:col>68</xdr:col>
                <xdr:colOff>257175</xdr:colOff>
                <xdr:row>239</xdr:row>
                <xdr:rowOff>85725</xdr:rowOff>
              </from>
              <to>
                <xdr:col>68</xdr:col>
                <xdr:colOff>676275</xdr:colOff>
                <xdr:row>241</xdr:row>
                <xdr:rowOff>0</xdr:rowOff>
              </to>
            </anchor>
          </objectPr>
        </oleObject>
      </mc:Choice>
      <mc:Fallback>
        <oleObject progId="Equation.DSMT4" shapeId="1209" r:id="rId199"/>
      </mc:Fallback>
    </mc:AlternateContent>
    <mc:AlternateContent xmlns:mc="http://schemas.openxmlformats.org/markup-compatibility/2006">
      <mc:Choice Requires="x14">
        <oleObject progId="Equation.DSMT4" shapeId="1210" r:id="rId200">
          <objectPr defaultSize="0" autoPict="0" r:id="rId23">
            <anchor moveWithCells="1">
              <from>
                <xdr:col>69</xdr:col>
                <xdr:colOff>314325</xdr:colOff>
                <xdr:row>239</xdr:row>
                <xdr:rowOff>85725</xdr:rowOff>
              </from>
              <to>
                <xdr:col>69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10" r:id="rId200"/>
      </mc:Fallback>
    </mc:AlternateContent>
    <mc:AlternateContent xmlns:mc="http://schemas.openxmlformats.org/markup-compatibility/2006">
      <mc:Choice Requires="x14">
        <oleObject progId="Equation.DSMT4" shapeId="1211" r:id="rId201">
          <objectPr defaultSize="0" autoPict="0" r:id="rId21">
            <anchor moveWithCells="1">
              <from>
                <xdr:col>68</xdr:col>
                <xdr:colOff>295275</xdr:colOff>
                <xdr:row>239</xdr:row>
                <xdr:rowOff>104775</xdr:rowOff>
              </from>
              <to>
                <xdr:col>68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11" r:id="rId201"/>
      </mc:Fallback>
    </mc:AlternateContent>
    <mc:AlternateContent xmlns:mc="http://schemas.openxmlformats.org/markup-compatibility/2006">
      <mc:Choice Requires="x14">
        <oleObject progId="Equation.DSMT4" shapeId="1212" r:id="rId202">
          <objectPr defaultSize="0" autoPict="0" r:id="rId25">
            <anchor moveWithCells="1">
              <from>
                <xdr:col>69</xdr:col>
                <xdr:colOff>304800</xdr:colOff>
                <xdr:row>239</xdr:row>
                <xdr:rowOff>85725</xdr:rowOff>
              </from>
              <to>
                <xdr:col>69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12" r:id="rId202"/>
      </mc:Fallback>
    </mc:AlternateContent>
    <mc:AlternateContent xmlns:mc="http://schemas.openxmlformats.org/markup-compatibility/2006">
      <mc:Choice Requires="x14">
        <oleObject progId="Equation.DSMT4" shapeId="1213" r:id="rId203">
          <objectPr defaultSize="0" autoPict="0" r:id="rId17">
            <anchor moveWithCells="1">
              <from>
                <xdr:col>70</xdr:col>
                <xdr:colOff>257175</xdr:colOff>
                <xdr:row>239</xdr:row>
                <xdr:rowOff>85725</xdr:rowOff>
              </from>
              <to>
                <xdr:col>70</xdr:col>
                <xdr:colOff>676275</xdr:colOff>
                <xdr:row>241</xdr:row>
                <xdr:rowOff>0</xdr:rowOff>
              </to>
            </anchor>
          </objectPr>
        </oleObject>
      </mc:Choice>
      <mc:Fallback>
        <oleObject progId="Equation.DSMT4" shapeId="1213" r:id="rId203"/>
      </mc:Fallback>
    </mc:AlternateContent>
    <mc:AlternateContent xmlns:mc="http://schemas.openxmlformats.org/markup-compatibility/2006">
      <mc:Choice Requires="x14">
        <oleObject progId="Equation.DSMT4" shapeId="1214" r:id="rId204">
          <objectPr defaultSize="0" autoPict="0" r:id="rId23">
            <anchor moveWithCells="1">
              <from>
                <xdr:col>71</xdr:col>
                <xdr:colOff>314325</xdr:colOff>
                <xdr:row>239</xdr:row>
                <xdr:rowOff>85725</xdr:rowOff>
              </from>
              <to>
                <xdr:col>71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14" r:id="rId204"/>
      </mc:Fallback>
    </mc:AlternateContent>
    <mc:AlternateContent xmlns:mc="http://schemas.openxmlformats.org/markup-compatibility/2006">
      <mc:Choice Requires="x14">
        <oleObject progId="Equation.DSMT4" shapeId="1215" r:id="rId205">
          <objectPr defaultSize="0" autoPict="0" r:id="rId21">
            <anchor moveWithCells="1">
              <from>
                <xdr:col>70</xdr:col>
                <xdr:colOff>295275</xdr:colOff>
                <xdr:row>239</xdr:row>
                <xdr:rowOff>104775</xdr:rowOff>
              </from>
              <to>
                <xdr:col>70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15" r:id="rId205"/>
      </mc:Fallback>
    </mc:AlternateContent>
    <mc:AlternateContent xmlns:mc="http://schemas.openxmlformats.org/markup-compatibility/2006">
      <mc:Choice Requires="x14">
        <oleObject progId="Equation.DSMT4" shapeId="1216" r:id="rId206">
          <objectPr defaultSize="0" autoPict="0" r:id="rId25">
            <anchor moveWithCells="1">
              <from>
                <xdr:col>71</xdr:col>
                <xdr:colOff>304800</xdr:colOff>
                <xdr:row>239</xdr:row>
                <xdr:rowOff>85725</xdr:rowOff>
              </from>
              <to>
                <xdr:col>71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16" r:id="rId206"/>
      </mc:Fallback>
    </mc:AlternateContent>
    <mc:AlternateContent xmlns:mc="http://schemas.openxmlformats.org/markup-compatibility/2006">
      <mc:Choice Requires="x14">
        <oleObject progId="Equation.DSMT4" shapeId="1217" r:id="rId207">
          <objectPr defaultSize="0" autoPict="0" r:id="rId17">
            <anchor moveWithCells="1">
              <from>
                <xdr:col>72</xdr:col>
                <xdr:colOff>257175</xdr:colOff>
                <xdr:row>239</xdr:row>
                <xdr:rowOff>85725</xdr:rowOff>
              </from>
              <to>
                <xdr:col>72</xdr:col>
                <xdr:colOff>676275</xdr:colOff>
                <xdr:row>241</xdr:row>
                <xdr:rowOff>0</xdr:rowOff>
              </to>
            </anchor>
          </objectPr>
        </oleObject>
      </mc:Choice>
      <mc:Fallback>
        <oleObject progId="Equation.DSMT4" shapeId="1217" r:id="rId207"/>
      </mc:Fallback>
    </mc:AlternateContent>
    <mc:AlternateContent xmlns:mc="http://schemas.openxmlformats.org/markup-compatibility/2006">
      <mc:Choice Requires="x14">
        <oleObject progId="Equation.DSMT4" shapeId="1218" r:id="rId208">
          <objectPr defaultSize="0" autoPict="0" r:id="rId23">
            <anchor moveWithCells="1">
              <from>
                <xdr:col>73</xdr:col>
                <xdr:colOff>314325</xdr:colOff>
                <xdr:row>239</xdr:row>
                <xdr:rowOff>85725</xdr:rowOff>
              </from>
              <to>
                <xdr:col>73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18" r:id="rId208"/>
      </mc:Fallback>
    </mc:AlternateContent>
    <mc:AlternateContent xmlns:mc="http://schemas.openxmlformats.org/markup-compatibility/2006">
      <mc:Choice Requires="x14">
        <oleObject progId="Equation.DSMT4" shapeId="1219" r:id="rId209">
          <objectPr defaultSize="0" autoPict="0" r:id="rId21">
            <anchor moveWithCells="1">
              <from>
                <xdr:col>72</xdr:col>
                <xdr:colOff>295275</xdr:colOff>
                <xdr:row>239</xdr:row>
                <xdr:rowOff>104775</xdr:rowOff>
              </from>
              <to>
                <xdr:col>72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19" r:id="rId209"/>
      </mc:Fallback>
    </mc:AlternateContent>
    <mc:AlternateContent xmlns:mc="http://schemas.openxmlformats.org/markup-compatibility/2006">
      <mc:Choice Requires="x14">
        <oleObject progId="Equation.DSMT4" shapeId="1220" r:id="rId210">
          <objectPr defaultSize="0" autoPict="0" r:id="rId25">
            <anchor moveWithCells="1">
              <from>
                <xdr:col>73</xdr:col>
                <xdr:colOff>304800</xdr:colOff>
                <xdr:row>239</xdr:row>
                <xdr:rowOff>85725</xdr:rowOff>
              </from>
              <to>
                <xdr:col>73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20" r:id="rId210"/>
      </mc:Fallback>
    </mc:AlternateContent>
    <mc:AlternateContent xmlns:mc="http://schemas.openxmlformats.org/markup-compatibility/2006">
      <mc:Choice Requires="x14">
        <oleObject progId="Equation.DSMT4" shapeId="1221" r:id="rId211">
          <objectPr defaultSize="0" autoPict="0" r:id="rId17">
            <anchor moveWithCells="1">
              <from>
                <xdr:col>74</xdr:col>
                <xdr:colOff>257175</xdr:colOff>
                <xdr:row>239</xdr:row>
                <xdr:rowOff>85725</xdr:rowOff>
              </from>
              <to>
                <xdr:col>74</xdr:col>
                <xdr:colOff>676275</xdr:colOff>
                <xdr:row>241</xdr:row>
                <xdr:rowOff>0</xdr:rowOff>
              </to>
            </anchor>
          </objectPr>
        </oleObject>
      </mc:Choice>
      <mc:Fallback>
        <oleObject progId="Equation.DSMT4" shapeId="1221" r:id="rId211"/>
      </mc:Fallback>
    </mc:AlternateContent>
    <mc:AlternateContent xmlns:mc="http://schemas.openxmlformats.org/markup-compatibility/2006">
      <mc:Choice Requires="x14">
        <oleObject progId="Equation.DSMT4" shapeId="1222" r:id="rId212">
          <objectPr defaultSize="0" autoPict="0" r:id="rId23">
            <anchor moveWithCells="1">
              <from>
                <xdr:col>75</xdr:col>
                <xdr:colOff>314325</xdr:colOff>
                <xdr:row>239</xdr:row>
                <xdr:rowOff>85725</xdr:rowOff>
              </from>
              <to>
                <xdr:col>75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22" r:id="rId212"/>
      </mc:Fallback>
    </mc:AlternateContent>
    <mc:AlternateContent xmlns:mc="http://schemas.openxmlformats.org/markup-compatibility/2006">
      <mc:Choice Requires="x14">
        <oleObject progId="Equation.DSMT4" shapeId="1223" r:id="rId213">
          <objectPr defaultSize="0" autoPict="0" r:id="rId21">
            <anchor moveWithCells="1">
              <from>
                <xdr:col>74</xdr:col>
                <xdr:colOff>295275</xdr:colOff>
                <xdr:row>239</xdr:row>
                <xdr:rowOff>104775</xdr:rowOff>
              </from>
              <to>
                <xdr:col>74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23" r:id="rId213"/>
      </mc:Fallback>
    </mc:AlternateContent>
    <mc:AlternateContent xmlns:mc="http://schemas.openxmlformats.org/markup-compatibility/2006">
      <mc:Choice Requires="x14">
        <oleObject progId="Equation.DSMT4" shapeId="1224" r:id="rId214">
          <objectPr defaultSize="0" autoPict="0" r:id="rId25">
            <anchor moveWithCells="1">
              <from>
                <xdr:col>75</xdr:col>
                <xdr:colOff>304800</xdr:colOff>
                <xdr:row>239</xdr:row>
                <xdr:rowOff>85725</xdr:rowOff>
              </from>
              <to>
                <xdr:col>75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24" r:id="rId214"/>
      </mc:Fallback>
    </mc:AlternateContent>
    <mc:AlternateContent xmlns:mc="http://schemas.openxmlformats.org/markup-compatibility/2006">
      <mc:Choice Requires="x14">
        <oleObject progId="Equation.DSMT4" shapeId="1225" r:id="rId215">
          <objectPr defaultSize="0" autoPict="0" r:id="rId17">
            <anchor moveWithCells="1">
              <from>
                <xdr:col>76</xdr:col>
                <xdr:colOff>257175</xdr:colOff>
                <xdr:row>239</xdr:row>
                <xdr:rowOff>85725</xdr:rowOff>
              </from>
              <to>
                <xdr:col>76</xdr:col>
                <xdr:colOff>676275</xdr:colOff>
                <xdr:row>241</xdr:row>
                <xdr:rowOff>0</xdr:rowOff>
              </to>
            </anchor>
          </objectPr>
        </oleObject>
      </mc:Choice>
      <mc:Fallback>
        <oleObject progId="Equation.DSMT4" shapeId="1225" r:id="rId215"/>
      </mc:Fallback>
    </mc:AlternateContent>
    <mc:AlternateContent xmlns:mc="http://schemas.openxmlformats.org/markup-compatibility/2006">
      <mc:Choice Requires="x14">
        <oleObject progId="Equation.DSMT4" shapeId="1226" r:id="rId216">
          <objectPr defaultSize="0" autoPict="0" r:id="rId23">
            <anchor moveWithCells="1">
              <from>
                <xdr:col>77</xdr:col>
                <xdr:colOff>314325</xdr:colOff>
                <xdr:row>239</xdr:row>
                <xdr:rowOff>85725</xdr:rowOff>
              </from>
              <to>
                <xdr:col>77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26" r:id="rId216"/>
      </mc:Fallback>
    </mc:AlternateContent>
    <mc:AlternateContent xmlns:mc="http://schemas.openxmlformats.org/markup-compatibility/2006">
      <mc:Choice Requires="x14">
        <oleObject progId="Equation.DSMT4" shapeId="1227" r:id="rId217">
          <objectPr defaultSize="0" autoPict="0" r:id="rId21">
            <anchor moveWithCells="1">
              <from>
                <xdr:col>76</xdr:col>
                <xdr:colOff>295275</xdr:colOff>
                <xdr:row>239</xdr:row>
                <xdr:rowOff>104775</xdr:rowOff>
              </from>
              <to>
                <xdr:col>76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27" r:id="rId217"/>
      </mc:Fallback>
    </mc:AlternateContent>
    <mc:AlternateContent xmlns:mc="http://schemas.openxmlformats.org/markup-compatibility/2006">
      <mc:Choice Requires="x14">
        <oleObject progId="Equation.DSMT4" shapeId="1228" r:id="rId218">
          <objectPr defaultSize="0" autoPict="0" r:id="rId25">
            <anchor moveWithCells="1">
              <from>
                <xdr:col>77</xdr:col>
                <xdr:colOff>304800</xdr:colOff>
                <xdr:row>239</xdr:row>
                <xdr:rowOff>85725</xdr:rowOff>
              </from>
              <to>
                <xdr:col>77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28" r:id="rId218"/>
      </mc:Fallback>
    </mc:AlternateContent>
    <mc:AlternateContent xmlns:mc="http://schemas.openxmlformats.org/markup-compatibility/2006">
      <mc:Choice Requires="x14">
        <oleObject progId="Equation.DSMT4" shapeId="1229" r:id="rId219">
          <objectPr defaultSize="0" autoPict="0" r:id="rId17">
            <anchor moveWithCells="1">
              <from>
                <xdr:col>78</xdr:col>
                <xdr:colOff>257175</xdr:colOff>
                <xdr:row>239</xdr:row>
                <xdr:rowOff>85725</xdr:rowOff>
              </from>
              <to>
                <xdr:col>78</xdr:col>
                <xdr:colOff>676275</xdr:colOff>
                <xdr:row>241</xdr:row>
                <xdr:rowOff>0</xdr:rowOff>
              </to>
            </anchor>
          </objectPr>
        </oleObject>
      </mc:Choice>
      <mc:Fallback>
        <oleObject progId="Equation.DSMT4" shapeId="1229" r:id="rId219"/>
      </mc:Fallback>
    </mc:AlternateContent>
    <mc:AlternateContent xmlns:mc="http://schemas.openxmlformats.org/markup-compatibility/2006">
      <mc:Choice Requires="x14">
        <oleObject progId="Equation.DSMT4" shapeId="1230" r:id="rId220">
          <objectPr defaultSize="0" autoPict="0" r:id="rId23">
            <anchor moveWithCells="1">
              <from>
                <xdr:col>79</xdr:col>
                <xdr:colOff>314325</xdr:colOff>
                <xdr:row>239</xdr:row>
                <xdr:rowOff>85725</xdr:rowOff>
              </from>
              <to>
                <xdr:col>79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30" r:id="rId220"/>
      </mc:Fallback>
    </mc:AlternateContent>
    <mc:AlternateContent xmlns:mc="http://schemas.openxmlformats.org/markup-compatibility/2006">
      <mc:Choice Requires="x14">
        <oleObject progId="Equation.DSMT4" shapeId="1231" r:id="rId221">
          <objectPr defaultSize="0" autoPict="0" r:id="rId21">
            <anchor moveWithCells="1">
              <from>
                <xdr:col>78</xdr:col>
                <xdr:colOff>295275</xdr:colOff>
                <xdr:row>239</xdr:row>
                <xdr:rowOff>104775</xdr:rowOff>
              </from>
              <to>
                <xdr:col>78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31" r:id="rId221"/>
      </mc:Fallback>
    </mc:AlternateContent>
    <mc:AlternateContent xmlns:mc="http://schemas.openxmlformats.org/markup-compatibility/2006">
      <mc:Choice Requires="x14">
        <oleObject progId="Equation.DSMT4" shapeId="1232" r:id="rId222">
          <objectPr defaultSize="0" autoPict="0" r:id="rId25">
            <anchor moveWithCells="1">
              <from>
                <xdr:col>79</xdr:col>
                <xdr:colOff>304800</xdr:colOff>
                <xdr:row>239</xdr:row>
                <xdr:rowOff>85725</xdr:rowOff>
              </from>
              <to>
                <xdr:col>79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32" r:id="rId222"/>
      </mc:Fallback>
    </mc:AlternateContent>
    <mc:AlternateContent xmlns:mc="http://schemas.openxmlformats.org/markup-compatibility/2006">
      <mc:Choice Requires="x14">
        <oleObject progId="Equation.DSMT4" shapeId="1233" r:id="rId223">
          <objectPr defaultSize="0" autoPict="0" r:id="rId17">
            <anchor moveWithCells="1">
              <from>
                <xdr:col>80</xdr:col>
                <xdr:colOff>257175</xdr:colOff>
                <xdr:row>239</xdr:row>
                <xdr:rowOff>85725</xdr:rowOff>
              </from>
              <to>
                <xdr:col>80</xdr:col>
                <xdr:colOff>676275</xdr:colOff>
                <xdr:row>241</xdr:row>
                <xdr:rowOff>0</xdr:rowOff>
              </to>
            </anchor>
          </objectPr>
        </oleObject>
      </mc:Choice>
      <mc:Fallback>
        <oleObject progId="Equation.DSMT4" shapeId="1233" r:id="rId223"/>
      </mc:Fallback>
    </mc:AlternateContent>
    <mc:AlternateContent xmlns:mc="http://schemas.openxmlformats.org/markup-compatibility/2006">
      <mc:Choice Requires="x14">
        <oleObject progId="Equation.DSMT4" shapeId="1234" r:id="rId224">
          <objectPr defaultSize="0" autoPict="0" r:id="rId23">
            <anchor moveWithCells="1">
              <from>
                <xdr:col>81</xdr:col>
                <xdr:colOff>314325</xdr:colOff>
                <xdr:row>239</xdr:row>
                <xdr:rowOff>85725</xdr:rowOff>
              </from>
              <to>
                <xdr:col>81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34" r:id="rId224"/>
      </mc:Fallback>
    </mc:AlternateContent>
    <mc:AlternateContent xmlns:mc="http://schemas.openxmlformats.org/markup-compatibility/2006">
      <mc:Choice Requires="x14">
        <oleObject progId="Equation.DSMT4" shapeId="1235" r:id="rId225">
          <objectPr defaultSize="0" autoPict="0" r:id="rId21">
            <anchor moveWithCells="1">
              <from>
                <xdr:col>80</xdr:col>
                <xdr:colOff>295275</xdr:colOff>
                <xdr:row>239</xdr:row>
                <xdr:rowOff>104775</xdr:rowOff>
              </from>
              <to>
                <xdr:col>80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35" r:id="rId225"/>
      </mc:Fallback>
    </mc:AlternateContent>
    <mc:AlternateContent xmlns:mc="http://schemas.openxmlformats.org/markup-compatibility/2006">
      <mc:Choice Requires="x14">
        <oleObject progId="Equation.DSMT4" shapeId="1236" r:id="rId226">
          <objectPr defaultSize="0" autoPict="0" r:id="rId25">
            <anchor moveWithCells="1">
              <from>
                <xdr:col>81</xdr:col>
                <xdr:colOff>304800</xdr:colOff>
                <xdr:row>239</xdr:row>
                <xdr:rowOff>85725</xdr:rowOff>
              </from>
              <to>
                <xdr:col>81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36" r:id="rId226"/>
      </mc:Fallback>
    </mc:AlternateContent>
    <mc:AlternateContent xmlns:mc="http://schemas.openxmlformats.org/markup-compatibility/2006">
      <mc:Choice Requires="x14">
        <oleObject progId="Equation.DSMT4" shapeId="1237" r:id="rId227">
          <objectPr defaultSize="0" autoPict="0" r:id="rId17">
            <anchor moveWithCells="1">
              <from>
                <xdr:col>82</xdr:col>
                <xdr:colOff>257175</xdr:colOff>
                <xdr:row>239</xdr:row>
                <xdr:rowOff>85725</xdr:rowOff>
              </from>
              <to>
                <xdr:col>82</xdr:col>
                <xdr:colOff>676275</xdr:colOff>
                <xdr:row>241</xdr:row>
                <xdr:rowOff>0</xdr:rowOff>
              </to>
            </anchor>
          </objectPr>
        </oleObject>
      </mc:Choice>
      <mc:Fallback>
        <oleObject progId="Equation.DSMT4" shapeId="1237" r:id="rId227"/>
      </mc:Fallback>
    </mc:AlternateContent>
    <mc:AlternateContent xmlns:mc="http://schemas.openxmlformats.org/markup-compatibility/2006">
      <mc:Choice Requires="x14">
        <oleObject progId="Equation.DSMT4" shapeId="1238" r:id="rId228">
          <objectPr defaultSize="0" autoPict="0" r:id="rId23">
            <anchor moveWithCells="1">
              <from>
                <xdr:col>83</xdr:col>
                <xdr:colOff>314325</xdr:colOff>
                <xdr:row>239</xdr:row>
                <xdr:rowOff>85725</xdr:rowOff>
              </from>
              <to>
                <xdr:col>83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38" r:id="rId228"/>
      </mc:Fallback>
    </mc:AlternateContent>
    <mc:AlternateContent xmlns:mc="http://schemas.openxmlformats.org/markup-compatibility/2006">
      <mc:Choice Requires="x14">
        <oleObject progId="Equation.DSMT4" shapeId="1239" r:id="rId229">
          <objectPr defaultSize="0" autoPict="0" r:id="rId21">
            <anchor moveWithCells="1">
              <from>
                <xdr:col>82</xdr:col>
                <xdr:colOff>295275</xdr:colOff>
                <xdr:row>239</xdr:row>
                <xdr:rowOff>104775</xdr:rowOff>
              </from>
              <to>
                <xdr:col>82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39" r:id="rId229"/>
      </mc:Fallback>
    </mc:AlternateContent>
    <mc:AlternateContent xmlns:mc="http://schemas.openxmlformats.org/markup-compatibility/2006">
      <mc:Choice Requires="x14">
        <oleObject progId="Equation.DSMT4" shapeId="1240" r:id="rId230">
          <objectPr defaultSize="0" autoPict="0" r:id="rId25">
            <anchor moveWithCells="1">
              <from>
                <xdr:col>83</xdr:col>
                <xdr:colOff>304800</xdr:colOff>
                <xdr:row>239</xdr:row>
                <xdr:rowOff>85725</xdr:rowOff>
              </from>
              <to>
                <xdr:col>83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40" r:id="rId230"/>
      </mc:Fallback>
    </mc:AlternateContent>
    <mc:AlternateContent xmlns:mc="http://schemas.openxmlformats.org/markup-compatibility/2006">
      <mc:Choice Requires="x14">
        <oleObject progId="Equation.DSMT4" shapeId="1241" r:id="rId231">
          <objectPr defaultSize="0" autoPict="0" r:id="rId17">
            <anchor moveWithCells="1">
              <from>
                <xdr:col>84</xdr:col>
                <xdr:colOff>257175</xdr:colOff>
                <xdr:row>239</xdr:row>
                <xdr:rowOff>85725</xdr:rowOff>
              </from>
              <to>
                <xdr:col>84</xdr:col>
                <xdr:colOff>676275</xdr:colOff>
                <xdr:row>241</xdr:row>
                <xdr:rowOff>0</xdr:rowOff>
              </to>
            </anchor>
          </objectPr>
        </oleObject>
      </mc:Choice>
      <mc:Fallback>
        <oleObject progId="Equation.DSMT4" shapeId="1241" r:id="rId231"/>
      </mc:Fallback>
    </mc:AlternateContent>
    <mc:AlternateContent xmlns:mc="http://schemas.openxmlformats.org/markup-compatibility/2006">
      <mc:Choice Requires="x14">
        <oleObject progId="Equation.DSMT4" shapeId="1242" r:id="rId232">
          <objectPr defaultSize="0" autoPict="0" r:id="rId23">
            <anchor moveWithCells="1">
              <from>
                <xdr:col>85</xdr:col>
                <xdr:colOff>314325</xdr:colOff>
                <xdr:row>239</xdr:row>
                <xdr:rowOff>85725</xdr:rowOff>
              </from>
              <to>
                <xdr:col>85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42" r:id="rId232"/>
      </mc:Fallback>
    </mc:AlternateContent>
    <mc:AlternateContent xmlns:mc="http://schemas.openxmlformats.org/markup-compatibility/2006">
      <mc:Choice Requires="x14">
        <oleObject progId="Equation.DSMT4" shapeId="1243" r:id="rId233">
          <objectPr defaultSize="0" autoPict="0" r:id="rId21">
            <anchor moveWithCells="1">
              <from>
                <xdr:col>84</xdr:col>
                <xdr:colOff>295275</xdr:colOff>
                <xdr:row>239</xdr:row>
                <xdr:rowOff>104775</xdr:rowOff>
              </from>
              <to>
                <xdr:col>84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43" r:id="rId233"/>
      </mc:Fallback>
    </mc:AlternateContent>
    <mc:AlternateContent xmlns:mc="http://schemas.openxmlformats.org/markup-compatibility/2006">
      <mc:Choice Requires="x14">
        <oleObject progId="Equation.DSMT4" shapeId="1244" r:id="rId234">
          <objectPr defaultSize="0" autoPict="0" r:id="rId25">
            <anchor moveWithCells="1">
              <from>
                <xdr:col>85</xdr:col>
                <xdr:colOff>304800</xdr:colOff>
                <xdr:row>239</xdr:row>
                <xdr:rowOff>85725</xdr:rowOff>
              </from>
              <to>
                <xdr:col>85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44" r:id="rId234"/>
      </mc:Fallback>
    </mc:AlternateContent>
    <mc:AlternateContent xmlns:mc="http://schemas.openxmlformats.org/markup-compatibility/2006">
      <mc:Choice Requires="x14">
        <oleObject progId="Equation.DSMT4" shapeId="1245" r:id="rId235">
          <objectPr defaultSize="0" autoPict="0" r:id="rId17">
            <anchor moveWithCells="1">
              <from>
                <xdr:col>86</xdr:col>
                <xdr:colOff>257175</xdr:colOff>
                <xdr:row>239</xdr:row>
                <xdr:rowOff>85725</xdr:rowOff>
              </from>
              <to>
                <xdr:col>86</xdr:col>
                <xdr:colOff>676275</xdr:colOff>
                <xdr:row>241</xdr:row>
                <xdr:rowOff>0</xdr:rowOff>
              </to>
            </anchor>
          </objectPr>
        </oleObject>
      </mc:Choice>
      <mc:Fallback>
        <oleObject progId="Equation.DSMT4" shapeId="1245" r:id="rId235"/>
      </mc:Fallback>
    </mc:AlternateContent>
    <mc:AlternateContent xmlns:mc="http://schemas.openxmlformats.org/markup-compatibility/2006">
      <mc:Choice Requires="x14">
        <oleObject progId="Equation.DSMT4" shapeId="1246" r:id="rId236">
          <objectPr defaultSize="0" autoPict="0" r:id="rId23">
            <anchor moveWithCells="1">
              <from>
                <xdr:col>87</xdr:col>
                <xdr:colOff>314325</xdr:colOff>
                <xdr:row>239</xdr:row>
                <xdr:rowOff>85725</xdr:rowOff>
              </from>
              <to>
                <xdr:col>87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46" r:id="rId236"/>
      </mc:Fallback>
    </mc:AlternateContent>
    <mc:AlternateContent xmlns:mc="http://schemas.openxmlformats.org/markup-compatibility/2006">
      <mc:Choice Requires="x14">
        <oleObject progId="Equation.DSMT4" shapeId="1247" r:id="rId237">
          <objectPr defaultSize="0" autoPict="0" r:id="rId21">
            <anchor moveWithCells="1">
              <from>
                <xdr:col>86</xdr:col>
                <xdr:colOff>295275</xdr:colOff>
                <xdr:row>239</xdr:row>
                <xdr:rowOff>104775</xdr:rowOff>
              </from>
              <to>
                <xdr:col>86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47" r:id="rId237"/>
      </mc:Fallback>
    </mc:AlternateContent>
    <mc:AlternateContent xmlns:mc="http://schemas.openxmlformats.org/markup-compatibility/2006">
      <mc:Choice Requires="x14">
        <oleObject progId="Equation.DSMT4" shapeId="1248" r:id="rId238">
          <objectPr defaultSize="0" autoPict="0" r:id="rId25">
            <anchor moveWithCells="1">
              <from>
                <xdr:col>87</xdr:col>
                <xdr:colOff>304800</xdr:colOff>
                <xdr:row>239</xdr:row>
                <xdr:rowOff>85725</xdr:rowOff>
              </from>
              <to>
                <xdr:col>87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48" r:id="rId238"/>
      </mc:Fallback>
    </mc:AlternateContent>
    <mc:AlternateContent xmlns:mc="http://schemas.openxmlformats.org/markup-compatibility/2006">
      <mc:Choice Requires="x14">
        <oleObject progId="Equation.DSMT4" shapeId="1249" r:id="rId239">
          <objectPr defaultSize="0" autoPict="0" r:id="rId17">
            <anchor moveWithCells="1">
              <from>
                <xdr:col>88</xdr:col>
                <xdr:colOff>257175</xdr:colOff>
                <xdr:row>239</xdr:row>
                <xdr:rowOff>85725</xdr:rowOff>
              </from>
              <to>
                <xdr:col>88</xdr:col>
                <xdr:colOff>676275</xdr:colOff>
                <xdr:row>241</xdr:row>
                <xdr:rowOff>0</xdr:rowOff>
              </to>
            </anchor>
          </objectPr>
        </oleObject>
      </mc:Choice>
      <mc:Fallback>
        <oleObject progId="Equation.DSMT4" shapeId="1249" r:id="rId239"/>
      </mc:Fallback>
    </mc:AlternateContent>
    <mc:AlternateContent xmlns:mc="http://schemas.openxmlformats.org/markup-compatibility/2006">
      <mc:Choice Requires="x14">
        <oleObject progId="Equation.DSMT4" shapeId="1250" r:id="rId240">
          <objectPr defaultSize="0" autoPict="0" r:id="rId23">
            <anchor moveWithCells="1">
              <from>
                <xdr:col>89</xdr:col>
                <xdr:colOff>314325</xdr:colOff>
                <xdr:row>239</xdr:row>
                <xdr:rowOff>85725</xdr:rowOff>
              </from>
              <to>
                <xdr:col>89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50" r:id="rId240"/>
      </mc:Fallback>
    </mc:AlternateContent>
    <mc:AlternateContent xmlns:mc="http://schemas.openxmlformats.org/markup-compatibility/2006">
      <mc:Choice Requires="x14">
        <oleObject progId="Equation.DSMT4" shapeId="1251" r:id="rId241">
          <objectPr defaultSize="0" autoPict="0" r:id="rId21">
            <anchor moveWithCells="1">
              <from>
                <xdr:col>88</xdr:col>
                <xdr:colOff>295275</xdr:colOff>
                <xdr:row>239</xdr:row>
                <xdr:rowOff>104775</xdr:rowOff>
              </from>
              <to>
                <xdr:col>88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51" r:id="rId241"/>
      </mc:Fallback>
    </mc:AlternateContent>
    <mc:AlternateContent xmlns:mc="http://schemas.openxmlformats.org/markup-compatibility/2006">
      <mc:Choice Requires="x14">
        <oleObject progId="Equation.DSMT4" shapeId="1252" r:id="rId242">
          <objectPr defaultSize="0" autoPict="0" r:id="rId25">
            <anchor moveWithCells="1">
              <from>
                <xdr:col>89</xdr:col>
                <xdr:colOff>304800</xdr:colOff>
                <xdr:row>239</xdr:row>
                <xdr:rowOff>85725</xdr:rowOff>
              </from>
              <to>
                <xdr:col>89</xdr:col>
                <xdr:colOff>714375</xdr:colOff>
                <xdr:row>241</xdr:row>
                <xdr:rowOff>0</xdr:rowOff>
              </to>
            </anchor>
          </objectPr>
        </oleObject>
      </mc:Choice>
      <mc:Fallback>
        <oleObject progId="Equation.DSMT4" shapeId="1252" r:id="rId242"/>
      </mc:Fallback>
    </mc:AlternateContent>
    <mc:AlternateContent xmlns:mc="http://schemas.openxmlformats.org/markup-compatibility/2006">
      <mc:Choice Requires="x14">
        <oleObject progId="Equation.DSMT4" shapeId="1253" r:id="rId243">
          <objectPr defaultSize="0" autoPict="0" r:id="rId17">
            <anchor moveWithCells="1">
              <from>
                <xdr:col>42</xdr:col>
                <xdr:colOff>257175</xdr:colOff>
                <xdr:row>250</xdr:row>
                <xdr:rowOff>85725</xdr:rowOff>
              </from>
              <to>
                <xdr:col>42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1253" r:id="rId243"/>
      </mc:Fallback>
    </mc:AlternateContent>
    <mc:AlternateContent xmlns:mc="http://schemas.openxmlformats.org/markup-compatibility/2006">
      <mc:Choice Requires="x14">
        <oleObject progId="Equation.DSMT4" shapeId="1254" r:id="rId244">
          <objectPr defaultSize="0" autoPict="0" r:id="rId23">
            <anchor moveWithCells="1">
              <from>
                <xdr:col>43</xdr:col>
                <xdr:colOff>314325</xdr:colOff>
                <xdr:row>250</xdr:row>
                <xdr:rowOff>85725</xdr:rowOff>
              </from>
              <to>
                <xdr:col>43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254" r:id="rId244"/>
      </mc:Fallback>
    </mc:AlternateContent>
    <mc:AlternateContent xmlns:mc="http://schemas.openxmlformats.org/markup-compatibility/2006">
      <mc:Choice Requires="x14">
        <oleObject progId="Equation.DSMT4" shapeId="1255" r:id="rId245">
          <objectPr defaultSize="0" autoPict="0" r:id="rId21">
            <anchor moveWithCells="1">
              <from>
                <xdr:col>42</xdr:col>
                <xdr:colOff>295275</xdr:colOff>
                <xdr:row>250</xdr:row>
                <xdr:rowOff>104775</xdr:rowOff>
              </from>
              <to>
                <xdr:col>42</xdr:col>
                <xdr:colOff>733425</xdr:colOff>
                <xdr:row>252</xdr:row>
                <xdr:rowOff>0</xdr:rowOff>
              </to>
            </anchor>
          </objectPr>
        </oleObject>
      </mc:Choice>
      <mc:Fallback>
        <oleObject progId="Equation.DSMT4" shapeId="1255" r:id="rId245"/>
      </mc:Fallback>
    </mc:AlternateContent>
    <mc:AlternateContent xmlns:mc="http://schemas.openxmlformats.org/markup-compatibility/2006">
      <mc:Choice Requires="x14">
        <oleObject progId="Equation.DSMT4" shapeId="1256" r:id="rId246">
          <objectPr defaultSize="0" autoPict="0" r:id="rId25">
            <anchor moveWithCells="1">
              <from>
                <xdr:col>43</xdr:col>
                <xdr:colOff>304800</xdr:colOff>
                <xdr:row>250</xdr:row>
                <xdr:rowOff>85725</xdr:rowOff>
              </from>
              <to>
                <xdr:col>43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256" r:id="rId246"/>
      </mc:Fallback>
    </mc:AlternateContent>
    <mc:AlternateContent xmlns:mc="http://schemas.openxmlformats.org/markup-compatibility/2006">
      <mc:Choice Requires="x14">
        <oleObject progId="Equation.DSMT4" shapeId="1257" r:id="rId247">
          <objectPr defaultSize="0" autoPict="0" r:id="rId17">
            <anchor moveWithCells="1">
              <from>
                <xdr:col>44</xdr:col>
                <xdr:colOff>257175</xdr:colOff>
                <xdr:row>250</xdr:row>
                <xdr:rowOff>85725</xdr:rowOff>
              </from>
              <to>
                <xdr:col>44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1257" r:id="rId247"/>
      </mc:Fallback>
    </mc:AlternateContent>
    <mc:AlternateContent xmlns:mc="http://schemas.openxmlformats.org/markup-compatibility/2006">
      <mc:Choice Requires="x14">
        <oleObject progId="Equation.DSMT4" shapeId="1258" r:id="rId248">
          <objectPr defaultSize="0" autoPict="0" r:id="rId23">
            <anchor moveWithCells="1">
              <from>
                <xdr:col>45</xdr:col>
                <xdr:colOff>314325</xdr:colOff>
                <xdr:row>250</xdr:row>
                <xdr:rowOff>85725</xdr:rowOff>
              </from>
              <to>
                <xdr:col>45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258" r:id="rId248"/>
      </mc:Fallback>
    </mc:AlternateContent>
    <mc:AlternateContent xmlns:mc="http://schemas.openxmlformats.org/markup-compatibility/2006">
      <mc:Choice Requires="x14">
        <oleObject progId="Equation.DSMT4" shapeId="1259" r:id="rId249">
          <objectPr defaultSize="0" autoPict="0" r:id="rId21">
            <anchor moveWithCells="1">
              <from>
                <xdr:col>44</xdr:col>
                <xdr:colOff>295275</xdr:colOff>
                <xdr:row>250</xdr:row>
                <xdr:rowOff>104775</xdr:rowOff>
              </from>
              <to>
                <xdr:col>44</xdr:col>
                <xdr:colOff>733425</xdr:colOff>
                <xdr:row>252</xdr:row>
                <xdr:rowOff>0</xdr:rowOff>
              </to>
            </anchor>
          </objectPr>
        </oleObject>
      </mc:Choice>
      <mc:Fallback>
        <oleObject progId="Equation.DSMT4" shapeId="1259" r:id="rId249"/>
      </mc:Fallback>
    </mc:AlternateContent>
    <mc:AlternateContent xmlns:mc="http://schemas.openxmlformats.org/markup-compatibility/2006">
      <mc:Choice Requires="x14">
        <oleObject progId="Equation.DSMT4" shapeId="1260" r:id="rId250">
          <objectPr defaultSize="0" autoPict="0" r:id="rId25">
            <anchor moveWithCells="1">
              <from>
                <xdr:col>45</xdr:col>
                <xdr:colOff>304800</xdr:colOff>
                <xdr:row>250</xdr:row>
                <xdr:rowOff>85725</xdr:rowOff>
              </from>
              <to>
                <xdr:col>45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260" r:id="rId250"/>
      </mc:Fallback>
    </mc:AlternateContent>
    <mc:AlternateContent xmlns:mc="http://schemas.openxmlformats.org/markup-compatibility/2006">
      <mc:Choice Requires="x14">
        <oleObject progId="Equation.DSMT4" shapeId="1261" r:id="rId251">
          <objectPr defaultSize="0" autoPict="0" r:id="rId17">
            <anchor moveWithCells="1">
              <from>
                <xdr:col>46</xdr:col>
                <xdr:colOff>257175</xdr:colOff>
                <xdr:row>250</xdr:row>
                <xdr:rowOff>85725</xdr:rowOff>
              </from>
              <to>
                <xdr:col>46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1261" r:id="rId251"/>
      </mc:Fallback>
    </mc:AlternateContent>
    <mc:AlternateContent xmlns:mc="http://schemas.openxmlformats.org/markup-compatibility/2006">
      <mc:Choice Requires="x14">
        <oleObject progId="Equation.DSMT4" shapeId="1262" r:id="rId252">
          <objectPr defaultSize="0" autoPict="0" r:id="rId23">
            <anchor moveWithCells="1">
              <from>
                <xdr:col>47</xdr:col>
                <xdr:colOff>314325</xdr:colOff>
                <xdr:row>250</xdr:row>
                <xdr:rowOff>85725</xdr:rowOff>
              </from>
              <to>
                <xdr:col>47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262" r:id="rId252"/>
      </mc:Fallback>
    </mc:AlternateContent>
    <mc:AlternateContent xmlns:mc="http://schemas.openxmlformats.org/markup-compatibility/2006">
      <mc:Choice Requires="x14">
        <oleObject progId="Equation.DSMT4" shapeId="1263" r:id="rId253">
          <objectPr defaultSize="0" autoPict="0" r:id="rId21">
            <anchor moveWithCells="1">
              <from>
                <xdr:col>46</xdr:col>
                <xdr:colOff>295275</xdr:colOff>
                <xdr:row>250</xdr:row>
                <xdr:rowOff>104775</xdr:rowOff>
              </from>
              <to>
                <xdr:col>46</xdr:col>
                <xdr:colOff>733425</xdr:colOff>
                <xdr:row>252</xdr:row>
                <xdr:rowOff>0</xdr:rowOff>
              </to>
            </anchor>
          </objectPr>
        </oleObject>
      </mc:Choice>
      <mc:Fallback>
        <oleObject progId="Equation.DSMT4" shapeId="1263" r:id="rId253"/>
      </mc:Fallback>
    </mc:AlternateContent>
    <mc:AlternateContent xmlns:mc="http://schemas.openxmlformats.org/markup-compatibility/2006">
      <mc:Choice Requires="x14">
        <oleObject progId="Equation.DSMT4" shapeId="1264" r:id="rId254">
          <objectPr defaultSize="0" autoPict="0" r:id="rId25">
            <anchor moveWithCells="1">
              <from>
                <xdr:col>47</xdr:col>
                <xdr:colOff>304800</xdr:colOff>
                <xdr:row>250</xdr:row>
                <xdr:rowOff>85725</xdr:rowOff>
              </from>
              <to>
                <xdr:col>47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264" r:id="rId254"/>
      </mc:Fallback>
    </mc:AlternateContent>
    <mc:AlternateContent xmlns:mc="http://schemas.openxmlformats.org/markup-compatibility/2006">
      <mc:Choice Requires="x14">
        <oleObject progId="Equation.DSMT4" shapeId="1265" r:id="rId255">
          <objectPr defaultSize="0" autoPict="0" r:id="rId17">
            <anchor moveWithCells="1">
              <from>
                <xdr:col>48</xdr:col>
                <xdr:colOff>257175</xdr:colOff>
                <xdr:row>250</xdr:row>
                <xdr:rowOff>85725</xdr:rowOff>
              </from>
              <to>
                <xdr:col>48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1265" r:id="rId255"/>
      </mc:Fallback>
    </mc:AlternateContent>
    <mc:AlternateContent xmlns:mc="http://schemas.openxmlformats.org/markup-compatibility/2006">
      <mc:Choice Requires="x14">
        <oleObject progId="Equation.DSMT4" shapeId="1266" r:id="rId256">
          <objectPr defaultSize="0" autoPict="0" r:id="rId23">
            <anchor moveWithCells="1">
              <from>
                <xdr:col>49</xdr:col>
                <xdr:colOff>314325</xdr:colOff>
                <xdr:row>250</xdr:row>
                <xdr:rowOff>85725</xdr:rowOff>
              </from>
              <to>
                <xdr:col>49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266" r:id="rId256"/>
      </mc:Fallback>
    </mc:AlternateContent>
    <mc:AlternateContent xmlns:mc="http://schemas.openxmlformats.org/markup-compatibility/2006">
      <mc:Choice Requires="x14">
        <oleObject progId="Equation.DSMT4" shapeId="1267" r:id="rId257">
          <objectPr defaultSize="0" autoPict="0" r:id="rId21">
            <anchor moveWithCells="1">
              <from>
                <xdr:col>48</xdr:col>
                <xdr:colOff>295275</xdr:colOff>
                <xdr:row>250</xdr:row>
                <xdr:rowOff>104775</xdr:rowOff>
              </from>
              <to>
                <xdr:col>48</xdr:col>
                <xdr:colOff>733425</xdr:colOff>
                <xdr:row>252</xdr:row>
                <xdr:rowOff>0</xdr:rowOff>
              </to>
            </anchor>
          </objectPr>
        </oleObject>
      </mc:Choice>
      <mc:Fallback>
        <oleObject progId="Equation.DSMT4" shapeId="1267" r:id="rId257"/>
      </mc:Fallback>
    </mc:AlternateContent>
    <mc:AlternateContent xmlns:mc="http://schemas.openxmlformats.org/markup-compatibility/2006">
      <mc:Choice Requires="x14">
        <oleObject progId="Equation.DSMT4" shapeId="1268" r:id="rId258">
          <objectPr defaultSize="0" autoPict="0" r:id="rId25">
            <anchor moveWithCells="1">
              <from>
                <xdr:col>49</xdr:col>
                <xdr:colOff>304800</xdr:colOff>
                <xdr:row>250</xdr:row>
                <xdr:rowOff>85725</xdr:rowOff>
              </from>
              <to>
                <xdr:col>49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268" r:id="rId258"/>
      </mc:Fallback>
    </mc:AlternateContent>
    <mc:AlternateContent xmlns:mc="http://schemas.openxmlformats.org/markup-compatibility/2006">
      <mc:Choice Requires="x14">
        <oleObject progId="Equation.DSMT4" shapeId="1269" r:id="rId259">
          <objectPr defaultSize="0" autoPict="0" r:id="rId17">
            <anchor moveWithCells="1">
              <from>
                <xdr:col>50</xdr:col>
                <xdr:colOff>257175</xdr:colOff>
                <xdr:row>250</xdr:row>
                <xdr:rowOff>85725</xdr:rowOff>
              </from>
              <to>
                <xdr:col>50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1269" r:id="rId259"/>
      </mc:Fallback>
    </mc:AlternateContent>
    <mc:AlternateContent xmlns:mc="http://schemas.openxmlformats.org/markup-compatibility/2006">
      <mc:Choice Requires="x14">
        <oleObject progId="Equation.DSMT4" shapeId="1270" r:id="rId260">
          <objectPr defaultSize="0" autoPict="0" r:id="rId23">
            <anchor moveWithCells="1">
              <from>
                <xdr:col>51</xdr:col>
                <xdr:colOff>314325</xdr:colOff>
                <xdr:row>250</xdr:row>
                <xdr:rowOff>85725</xdr:rowOff>
              </from>
              <to>
                <xdr:col>51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270" r:id="rId260"/>
      </mc:Fallback>
    </mc:AlternateContent>
    <mc:AlternateContent xmlns:mc="http://schemas.openxmlformats.org/markup-compatibility/2006">
      <mc:Choice Requires="x14">
        <oleObject progId="Equation.DSMT4" shapeId="1271" r:id="rId261">
          <objectPr defaultSize="0" autoPict="0" r:id="rId21">
            <anchor moveWithCells="1">
              <from>
                <xdr:col>50</xdr:col>
                <xdr:colOff>295275</xdr:colOff>
                <xdr:row>250</xdr:row>
                <xdr:rowOff>104775</xdr:rowOff>
              </from>
              <to>
                <xdr:col>50</xdr:col>
                <xdr:colOff>733425</xdr:colOff>
                <xdr:row>252</xdr:row>
                <xdr:rowOff>0</xdr:rowOff>
              </to>
            </anchor>
          </objectPr>
        </oleObject>
      </mc:Choice>
      <mc:Fallback>
        <oleObject progId="Equation.DSMT4" shapeId="1271" r:id="rId261"/>
      </mc:Fallback>
    </mc:AlternateContent>
    <mc:AlternateContent xmlns:mc="http://schemas.openxmlformats.org/markup-compatibility/2006">
      <mc:Choice Requires="x14">
        <oleObject progId="Equation.DSMT4" shapeId="1272" r:id="rId262">
          <objectPr defaultSize="0" autoPict="0" r:id="rId25">
            <anchor moveWithCells="1">
              <from>
                <xdr:col>51</xdr:col>
                <xdr:colOff>304800</xdr:colOff>
                <xdr:row>250</xdr:row>
                <xdr:rowOff>85725</xdr:rowOff>
              </from>
              <to>
                <xdr:col>51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272" r:id="rId262"/>
      </mc:Fallback>
    </mc:AlternateContent>
    <mc:AlternateContent xmlns:mc="http://schemas.openxmlformats.org/markup-compatibility/2006">
      <mc:Choice Requires="x14">
        <oleObject progId="Equation.DSMT4" shapeId="1273" r:id="rId263">
          <objectPr defaultSize="0" autoPict="0" r:id="rId17">
            <anchor moveWithCells="1">
              <from>
                <xdr:col>52</xdr:col>
                <xdr:colOff>257175</xdr:colOff>
                <xdr:row>250</xdr:row>
                <xdr:rowOff>85725</xdr:rowOff>
              </from>
              <to>
                <xdr:col>52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1273" r:id="rId263"/>
      </mc:Fallback>
    </mc:AlternateContent>
    <mc:AlternateContent xmlns:mc="http://schemas.openxmlformats.org/markup-compatibility/2006">
      <mc:Choice Requires="x14">
        <oleObject progId="Equation.DSMT4" shapeId="1274" r:id="rId264">
          <objectPr defaultSize="0" autoPict="0" r:id="rId23">
            <anchor moveWithCells="1">
              <from>
                <xdr:col>53</xdr:col>
                <xdr:colOff>314325</xdr:colOff>
                <xdr:row>250</xdr:row>
                <xdr:rowOff>85725</xdr:rowOff>
              </from>
              <to>
                <xdr:col>53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274" r:id="rId264"/>
      </mc:Fallback>
    </mc:AlternateContent>
    <mc:AlternateContent xmlns:mc="http://schemas.openxmlformats.org/markup-compatibility/2006">
      <mc:Choice Requires="x14">
        <oleObject progId="Equation.DSMT4" shapeId="1275" r:id="rId265">
          <objectPr defaultSize="0" autoPict="0" r:id="rId21">
            <anchor moveWithCells="1">
              <from>
                <xdr:col>52</xdr:col>
                <xdr:colOff>295275</xdr:colOff>
                <xdr:row>250</xdr:row>
                <xdr:rowOff>104775</xdr:rowOff>
              </from>
              <to>
                <xdr:col>52</xdr:col>
                <xdr:colOff>733425</xdr:colOff>
                <xdr:row>252</xdr:row>
                <xdr:rowOff>0</xdr:rowOff>
              </to>
            </anchor>
          </objectPr>
        </oleObject>
      </mc:Choice>
      <mc:Fallback>
        <oleObject progId="Equation.DSMT4" shapeId="1275" r:id="rId265"/>
      </mc:Fallback>
    </mc:AlternateContent>
    <mc:AlternateContent xmlns:mc="http://schemas.openxmlformats.org/markup-compatibility/2006">
      <mc:Choice Requires="x14">
        <oleObject progId="Equation.DSMT4" shapeId="1276" r:id="rId266">
          <objectPr defaultSize="0" autoPict="0" r:id="rId25">
            <anchor moveWithCells="1">
              <from>
                <xdr:col>53</xdr:col>
                <xdr:colOff>304800</xdr:colOff>
                <xdr:row>250</xdr:row>
                <xdr:rowOff>85725</xdr:rowOff>
              </from>
              <to>
                <xdr:col>53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276" r:id="rId266"/>
      </mc:Fallback>
    </mc:AlternateContent>
    <mc:AlternateContent xmlns:mc="http://schemas.openxmlformats.org/markup-compatibility/2006">
      <mc:Choice Requires="x14">
        <oleObject progId="Equation.DSMT4" shapeId="1277" r:id="rId267">
          <objectPr defaultSize="0" autoPict="0" r:id="rId17">
            <anchor moveWithCells="1">
              <from>
                <xdr:col>54</xdr:col>
                <xdr:colOff>257175</xdr:colOff>
                <xdr:row>250</xdr:row>
                <xdr:rowOff>85725</xdr:rowOff>
              </from>
              <to>
                <xdr:col>54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1277" r:id="rId267"/>
      </mc:Fallback>
    </mc:AlternateContent>
    <mc:AlternateContent xmlns:mc="http://schemas.openxmlformats.org/markup-compatibility/2006">
      <mc:Choice Requires="x14">
        <oleObject progId="Equation.DSMT4" shapeId="1278" r:id="rId268">
          <objectPr defaultSize="0" autoPict="0" r:id="rId23">
            <anchor moveWithCells="1">
              <from>
                <xdr:col>55</xdr:col>
                <xdr:colOff>314325</xdr:colOff>
                <xdr:row>250</xdr:row>
                <xdr:rowOff>85725</xdr:rowOff>
              </from>
              <to>
                <xdr:col>55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278" r:id="rId268"/>
      </mc:Fallback>
    </mc:AlternateContent>
    <mc:AlternateContent xmlns:mc="http://schemas.openxmlformats.org/markup-compatibility/2006">
      <mc:Choice Requires="x14">
        <oleObject progId="Equation.DSMT4" shapeId="1279" r:id="rId269">
          <objectPr defaultSize="0" autoPict="0" r:id="rId21">
            <anchor moveWithCells="1">
              <from>
                <xdr:col>54</xdr:col>
                <xdr:colOff>295275</xdr:colOff>
                <xdr:row>250</xdr:row>
                <xdr:rowOff>104775</xdr:rowOff>
              </from>
              <to>
                <xdr:col>54</xdr:col>
                <xdr:colOff>733425</xdr:colOff>
                <xdr:row>252</xdr:row>
                <xdr:rowOff>0</xdr:rowOff>
              </to>
            </anchor>
          </objectPr>
        </oleObject>
      </mc:Choice>
      <mc:Fallback>
        <oleObject progId="Equation.DSMT4" shapeId="1279" r:id="rId269"/>
      </mc:Fallback>
    </mc:AlternateContent>
    <mc:AlternateContent xmlns:mc="http://schemas.openxmlformats.org/markup-compatibility/2006">
      <mc:Choice Requires="x14">
        <oleObject progId="Equation.DSMT4" shapeId="1280" r:id="rId270">
          <objectPr defaultSize="0" autoPict="0" r:id="rId25">
            <anchor moveWithCells="1">
              <from>
                <xdr:col>55</xdr:col>
                <xdr:colOff>304800</xdr:colOff>
                <xdr:row>250</xdr:row>
                <xdr:rowOff>85725</xdr:rowOff>
              </from>
              <to>
                <xdr:col>55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280" r:id="rId270"/>
      </mc:Fallback>
    </mc:AlternateContent>
    <mc:AlternateContent xmlns:mc="http://schemas.openxmlformats.org/markup-compatibility/2006">
      <mc:Choice Requires="x14">
        <oleObject progId="Equation.DSMT4" shapeId="1281" r:id="rId271">
          <objectPr defaultSize="0" autoPict="0" r:id="rId17">
            <anchor moveWithCells="1">
              <from>
                <xdr:col>56</xdr:col>
                <xdr:colOff>257175</xdr:colOff>
                <xdr:row>250</xdr:row>
                <xdr:rowOff>85725</xdr:rowOff>
              </from>
              <to>
                <xdr:col>56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1281" r:id="rId271"/>
      </mc:Fallback>
    </mc:AlternateContent>
    <mc:AlternateContent xmlns:mc="http://schemas.openxmlformats.org/markup-compatibility/2006">
      <mc:Choice Requires="x14">
        <oleObject progId="Equation.DSMT4" shapeId="1282" r:id="rId272">
          <objectPr defaultSize="0" autoPict="0" r:id="rId23">
            <anchor moveWithCells="1">
              <from>
                <xdr:col>57</xdr:col>
                <xdr:colOff>314325</xdr:colOff>
                <xdr:row>250</xdr:row>
                <xdr:rowOff>85725</xdr:rowOff>
              </from>
              <to>
                <xdr:col>57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282" r:id="rId272"/>
      </mc:Fallback>
    </mc:AlternateContent>
    <mc:AlternateContent xmlns:mc="http://schemas.openxmlformats.org/markup-compatibility/2006">
      <mc:Choice Requires="x14">
        <oleObject progId="Equation.DSMT4" shapeId="1283" r:id="rId273">
          <objectPr defaultSize="0" autoPict="0" r:id="rId21">
            <anchor moveWithCells="1">
              <from>
                <xdr:col>56</xdr:col>
                <xdr:colOff>295275</xdr:colOff>
                <xdr:row>250</xdr:row>
                <xdr:rowOff>104775</xdr:rowOff>
              </from>
              <to>
                <xdr:col>56</xdr:col>
                <xdr:colOff>733425</xdr:colOff>
                <xdr:row>252</xdr:row>
                <xdr:rowOff>0</xdr:rowOff>
              </to>
            </anchor>
          </objectPr>
        </oleObject>
      </mc:Choice>
      <mc:Fallback>
        <oleObject progId="Equation.DSMT4" shapeId="1283" r:id="rId273"/>
      </mc:Fallback>
    </mc:AlternateContent>
    <mc:AlternateContent xmlns:mc="http://schemas.openxmlformats.org/markup-compatibility/2006">
      <mc:Choice Requires="x14">
        <oleObject progId="Equation.DSMT4" shapeId="1284" r:id="rId274">
          <objectPr defaultSize="0" autoPict="0" r:id="rId25">
            <anchor moveWithCells="1">
              <from>
                <xdr:col>57</xdr:col>
                <xdr:colOff>304800</xdr:colOff>
                <xdr:row>250</xdr:row>
                <xdr:rowOff>85725</xdr:rowOff>
              </from>
              <to>
                <xdr:col>57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284" r:id="rId274"/>
      </mc:Fallback>
    </mc:AlternateContent>
    <mc:AlternateContent xmlns:mc="http://schemas.openxmlformats.org/markup-compatibility/2006">
      <mc:Choice Requires="x14">
        <oleObject progId="Equation.DSMT4" shapeId="1285" r:id="rId275">
          <objectPr defaultSize="0" autoPict="0" r:id="rId17">
            <anchor moveWithCells="1">
              <from>
                <xdr:col>58</xdr:col>
                <xdr:colOff>257175</xdr:colOff>
                <xdr:row>250</xdr:row>
                <xdr:rowOff>85725</xdr:rowOff>
              </from>
              <to>
                <xdr:col>58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1285" r:id="rId275"/>
      </mc:Fallback>
    </mc:AlternateContent>
    <mc:AlternateContent xmlns:mc="http://schemas.openxmlformats.org/markup-compatibility/2006">
      <mc:Choice Requires="x14">
        <oleObject progId="Equation.DSMT4" shapeId="1286" r:id="rId276">
          <objectPr defaultSize="0" autoPict="0" r:id="rId23">
            <anchor moveWithCells="1">
              <from>
                <xdr:col>59</xdr:col>
                <xdr:colOff>314325</xdr:colOff>
                <xdr:row>250</xdr:row>
                <xdr:rowOff>85725</xdr:rowOff>
              </from>
              <to>
                <xdr:col>59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286" r:id="rId276"/>
      </mc:Fallback>
    </mc:AlternateContent>
    <mc:AlternateContent xmlns:mc="http://schemas.openxmlformats.org/markup-compatibility/2006">
      <mc:Choice Requires="x14">
        <oleObject progId="Equation.DSMT4" shapeId="1287" r:id="rId277">
          <objectPr defaultSize="0" autoPict="0" r:id="rId21">
            <anchor moveWithCells="1">
              <from>
                <xdr:col>58</xdr:col>
                <xdr:colOff>295275</xdr:colOff>
                <xdr:row>250</xdr:row>
                <xdr:rowOff>104775</xdr:rowOff>
              </from>
              <to>
                <xdr:col>58</xdr:col>
                <xdr:colOff>733425</xdr:colOff>
                <xdr:row>252</xdr:row>
                <xdr:rowOff>0</xdr:rowOff>
              </to>
            </anchor>
          </objectPr>
        </oleObject>
      </mc:Choice>
      <mc:Fallback>
        <oleObject progId="Equation.DSMT4" shapeId="1287" r:id="rId277"/>
      </mc:Fallback>
    </mc:AlternateContent>
    <mc:AlternateContent xmlns:mc="http://schemas.openxmlformats.org/markup-compatibility/2006">
      <mc:Choice Requires="x14">
        <oleObject progId="Equation.DSMT4" shapeId="1288" r:id="rId278">
          <objectPr defaultSize="0" autoPict="0" r:id="rId25">
            <anchor moveWithCells="1">
              <from>
                <xdr:col>59</xdr:col>
                <xdr:colOff>304800</xdr:colOff>
                <xdr:row>250</xdr:row>
                <xdr:rowOff>85725</xdr:rowOff>
              </from>
              <to>
                <xdr:col>59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288" r:id="rId278"/>
      </mc:Fallback>
    </mc:AlternateContent>
    <mc:AlternateContent xmlns:mc="http://schemas.openxmlformats.org/markup-compatibility/2006">
      <mc:Choice Requires="x14">
        <oleObject progId="Equation.DSMT4" shapeId="1289" r:id="rId279">
          <objectPr defaultSize="0" autoPict="0" r:id="rId17">
            <anchor moveWithCells="1">
              <from>
                <xdr:col>60</xdr:col>
                <xdr:colOff>257175</xdr:colOff>
                <xdr:row>250</xdr:row>
                <xdr:rowOff>85725</xdr:rowOff>
              </from>
              <to>
                <xdr:col>60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1289" r:id="rId279"/>
      </mc:Fallback>
    </mc:AlternateContent>
    <mc:AlternateContent xmlns:mc="http://schemas.openxmlformats.org/markup-compatibility/2006">
      <mc:Choice Requires="x14">
        <oleObject progId="Equation.DSMT4" shapeId="1290" r:id="rId280">
          <objectPr defaultSize="0" autoPict="0" r:id="rId23">
            <anchor moveWithCells="1">
              <from>
                <xdr:col>61</xdr:col>
                <xdr:colOff>314325</xdr:colOff>
                <xdr:row>250</xdr:row>
                <xdr:rowOff>85725</xdr:rowOff>
              </from>
              <to>
                <xdr:col>61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290" r:id="rId280"/>
      </mc:Fallback>
    </mc:AlternateContent>
    <mc:AlternateContent xmlns:mc="http://schemas.openxmlformats.org/markup-compatibility/2006">
      <mc:Choice Requires="x14">
        <oleObject progId="Equation.DSMT4" shapeId="1291" r:id="rId281">
          <objectPr defaultSize="0" autoPict="0" r:id="rId21">
            <anchor moveWithCells="1">
              <from>
                <xdr:col>60</xdr:col>
                <xdr:colOff>295275</xdr:colOff>
                <xdr:row>250</xdr:row>
                <xdr:rowOff>104775</xdr:rowOff>
              </from>
              <to>
                <xdr:col>60</xdr:col>
                <xdr:colOff>733425</xdr:colOff>
                <xdr:row>252</xdr:row>
                <xdr:rowOff>0</xdr:rowOff>
              </to>
            </anchor>
          </objectPr>
        </oleObject>
      </mc:Choice>
      <mc:Fallback>
        <oleObject progId="Equation.DSMT4" shapeId="1291" r:id="rId281"/>
      </mc:Fallback>
    </mc:AlternateContent>
    <mc:AlternateContent xmlns:mc="http://schemas.openxmlformats.org/markup-compatibility/2006">
      <mc:Choice Requires="x14">
        <oleObject progId="Equation.DSMT4" shapeId="1292" r:id="rId282">
          <objectPr defaultSize="0" autoPict="0" r:id="rId25">
            <anchor moveWithCells="1">
              <from>
                <xdr:col>61</xdr:col>
                <xdr:colOff>304800</xdr:colOff>
                <xdr:row>250</xdr:row>
                <xdr:rowOff>85725</xdr:rowOff>
              </from>
              <to>
                <xdr:col>61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292" r:id="rId282"/>
      </mc:Fallback>
    </mc:AlternateContent>
    <mc:AlternateContent xmlns:mc="http://schemas.openxmlformats.org/markup-compatibility/2006">
      <mc:Choice Requires="x14">
        <oleObject progId="Equation.DSMT4" shapeId="1293" r:id="rId283">
          <objectPr defaultSize="0" autoPict="0" r:id="rId17">
            <anchor moveWithCells="1">
              <from>
                <xdr:col>62</xdr:col>
                <xdr:colOff>257175</xdr:colOff>
                <xdr:row>250</xdr:row>
                <xdr:rowOff>85725</xdr:rowOff>
              </from>
              <to>
                <xdr:col>62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1293" r:id="rId283"/>
      </mc:Fallback>
    </mc:AlternateContent>
    <mc:AlternateContent xmlns:mc="http://schemas.openxmlformats.org/markup-compatibility/2006">
      <mc:Choice Requires="x14">
        <oleObject progId="Equation.DSMT4" shapeId="1294" r:id="rId284">
          <objectPr defaultSize="0" autoPict="0" r:id="rId23">
            <anchor moveWithCells="1">
              <from>
                <xdr:col>63</xdr:col>
                <xdr:colOff>314325</xdr:colOff>
                <xdr:row>250</xdr:row>
                <xdr:rowOff>85725</xdr:rowOff>
              </from>
              <to>
                <xdr:col>63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294" r:id="rId284"/>
      </mc:Fallback>
    </mc:AlternateContent>
    <mc:AlternateContent xmlns:mc="http://schemas.openxmlformats.org/markup-compatibility/2006">
      <mc:Choice Requires="x14">
        <oleObject progId="Equation.DSMT4" shapeId="1295" r:id="rId285">
          <objectPr defaultSize="0" autoPict="0" r:id="rId21">
            <anchor moveWithCells="1">
              <from>
                <xdr:col>62</xdr:col>
                <xdr:colOff>295275</xdr:colOff>
                <xdr:row>250</xdr:row>
                <xdr:rowOff>104775</xdr:rowOff>
              </from>
              <to>
                <xdr:col>62</xdr:col>
                <xdr:colOff>733425</xdr:colOff>
                <xdr:row>252</xdr:row>
                <xdr:rowOff>0</xdr:rowOff>
              </to>
            </anchor>
          </objectPr>
        </oleObject>
      </mc:Choice>
      <mc:Fallback>
        <oleObject progId="Equation.DSMT4" shapeId="1295" r:id="rId285"/>
      </mc:Fallback>
    </mc:AlternateContent>
    <mc:AlternateContent xmlns:mc="http://schemas.openxmlformats.org/markup-compatibility/2006">
      <mc:Choice Requires="x14">
        <oleObject progId="Equation.DSMT4" shapeId="1296" r:id="rId286">
          <objectPr defaultSize="0" autoPict="0" r:id="rId25">
            <anchor moveWithCells="1">
              <from>
                <xdr:col>63</xdr:col>
                <xdr:colOff>304800</xdr:colOff>
                <xdr:row>250</xdr:row>
                <xdr:rowOff>85725</xdr:rowOff>
              </from>
              <to>
                <xdr:col>63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296" r:id="rId286"/>
      </mc:Fallback>
    </mc:AlternateContent>
    <mc:AlternateContent xmlns:mc="http://schemas.openxmlformats.org/markup-compatibility/2006">
      <mc:Choice Requires="x14">
        <oleObject progId="Equation.DSMT4" shapeId="1297" r:id="rId287">
          <objectPr defaultSize="0" autoPict="0" r:id="rId17">
            <anchor moveWithCells="1">
              <from>
                <xdr:col>64</xdr:col>
                <xdr:colOff>257175</xdr:colOff>
                <xdr:row>250</xdr:row>
                <xdr:rowOff>85725</xdr:rowOff>
              </from>
              <to>
                <xdr:col>64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1297" r:id="rId287"/>
      </mc:Fallback>
    </mc:AlternateContent>
    <mc:AlternateContent xmlns:mc="http://schemas.openxmlformats.org/markup-compatibility/2006">
      <mc:Choice Requires="x14">
        <oleObject progId="Equation.DSMT4" shapeId="1298" r:id="rId288">
          <objectPr defaultSize="0" autoPict="0" r:id="rId23">
            <anchor moveWithCells="1">
              <from>
                <xdr:col>65</xdr:col>
                <xdr:colOff>314325</xdr:colOff>
                <xdr:row>250</xdr:row>
                <xdr:rowOff>85725</xdr:rowOff>
              </from>
              <to>
                <xdr:col>65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298" r:id="rId288"/>
      </mc:Fallback>
    </mc:AlternateContent>
    <mc:AlternateContent xmlns:mc="http://schemas.openxmlformats.org/markup-compatibility/2006">
      <mc:Choice Requires="x14">
        <oleObject progId="Equation.DSMT4" shapeId="1299" r:id="rId289">
          <objectPr defaultSize="0" autoPict="0" r:id="rId21">
            <anchor moveWithCells="1">
              <from>
                <xdr:col>64</xdr:col>
                <xdr:colOff>295275</xdr:colOff>
                <xdr:row>250</xdr:row>
                <xdr:rowOff>104775</xdr:rowOff>
              </from>
              <to>
                <xdr:col>64</xdr:col>
                <xdr:colOff>733425</xdr:colOff>
                <xdr:row>252</xdr:row>
                <xdr:rowOff>0</xdr:rowOff>
              </to>
            </anchor>
          </objectPr>
        </oleObject>
      </mc:Choice>
      <mc:Fallback>
        <oleObject progId="Equation.DSMT4" shapeId="1299" r:id="rId289"/>
      </mc:Fallback>
    </mc:AlternateContent>
    <mc:AlternateContent xmlns:mc="http://schemas.openxmlformats.org/markup-compatibility/2006">
      <mc:Choice Requires="x14">
        <oleObject progId="Equation.DSMT4" shapeId="1300" r:id="rId290">
          <objectPr defaultSize="0" autoPict="0" r:id="rId25">
            <anchor moveWithCells="1">
              <from>
                <xdr:col>65</xdr:col>
                <xdr:colOff>304800</xdr:colOff>
                <xdr:row>250</xdr:row>
                <xdr:rowOff>85725</xdr:rowOff>
              </from>
              <to>
                <xdr:col>65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300" r:id="rId290"/>
      </mc:Fallback>
    </mc:AlternateContent>
    <mc:AlternateContent xmlns:mc="http://schemas.openxmlformats.org/markup-compatibility/2006">
      <mc:Choice Requires="x14">
        <oleObject progId="Equation.DSMT4" shapeId="1301" r:id="rId291">
          <objectPr defaultSize="0" autoPict="0" r:id="rId17">
            <anchor moveWithCells="1">
              <from>
                <xdr:col>66</xdr:col>
                <xdr:colOff>257175</xdr:colOff>
                <xdr:row>250</xdr:row>
                <xdr:rowOff>85725</xdr:rowOff>
              </from>
              <to>
                <xdr:col>66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1301" r:id="rId291"/>
      </mc:Fallback>
    </mc:AlternateContent>
    <mc:AlternateContent xmlns:mc="http://schemas.openxmlformats.org/markup-compatibility/2006">
      <mc:Choice Requires="x14">
        <oleObject progId="Equation.DSMT4" shapeId="1302" r:id="rId292">
          <objectPr defaultSize="0" autoPict="0" r:id="rId23">
            <anchor moveWithCells="1">
              <from>
                <xdr:col>67</xdr:col>
                <xdr:colOff>314325</xdr:colOff>
                <xdr:row>250</xdr:row>
                <xdr:rowOff>85725</xdr:rowOff>
              </from>
              <to>
                <xdr:col>67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302" r:id="rId292"/>
      </mc:Fallback>
    </mc:AlternateContent>
    <mc:AlternateContent xmlns:mc="http://schemas.openxmlformats.org/markup-compatibility/2006">
      <mc:Choice Requires="x14">
        <oleObject progId="Equation.DSMT4" shapeId="1303" r:id="rId293">
          <objectPr defaultSize="0" autoPict="0" r:id="rId21">
            <anchor moveWithCells="1">
              <from>
                <xdr:col>66</xdr:col>
                <xdr:colOff>295275</xdr:colOff>
                <xdr:row>250</xdr:row>
                <xdr:rowOff>104775</xdr:rowOff>
              </from>
              <to>
                <xdr:col>66</xdr:col>
                <xdr:colOff>733425</xdr:colOff>
                <xdr:row>252</xdr:row>
                <xdr:rowOff>0</xdr:rowOff>
              </to>
            </anchor>
          </objectPr>
        </oleObject>
      </mc:Choice>
      <mc:Fallback>
        <oleObject progId="Equation.DSMT4" shapeId="1303" r:id="rId293"/>
      </mc:Fallback>
    </mc:AlternateContent>
    <mc:AlternateContent xmlns:mc="http://schemas.openxmlformats.org/markup-compatibility/2006">
      <mc:Choice Requires="x14">
        <oleObject progId="Equation.DSMT4" shapeId="1304" r:id="rId294">
          <objectPr defaultSize="0" autoPict="0" r:id="rId25">
            <anchor moveWithCells="1">
              <from>
                <xdr:col>67</xdr:col>
                <xdr:colOff>304800</xdr:colOff>
                <xdr:row>250</xdr:row>
                <xdr:rowOff>85725</xdr:rowOff>
              </from>
              <to>
                <xdr:col>67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304" r:id="rId294"/>
      </mc:Fallback>
    </mc:AlternateContent>
    <mc:AlternateContent xmlns:mc="http://schemas.openxmlformats.org/markup-compatibility/2006">
      <mc:Choice Requires="x14">
        <oleObject progId="Equation.DSMT4" shapeId="1305" r:id="rId295">
          <objectPr defaultSize="0" autoPict="0" r:id="rId17">
            <anchor moveWithCells="1">
              <from>
                <xdr:col>68</xdr:col>
                <xdr:colOff>257175</xdr:colOff>
                <xdr:row>250</xdr:row>
                <xdr:rowOff>85725</xdr:rowOff>
              </from>
              <to>
                <xdr:col>68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1305" r:id="rId295"/>
      </mc:Fallback>
    </mc:AlternateContent>
    <mc:AlternateContent xmlns:mc="http://schemas.openxmlformats.org/markup-compatibility/2006">
      <mc:Choice Requires="x14">
        <oleObject progId="Equation.DSMT4" shapeId="1306" r:id="rId296">
          <objectPr defaultSize="0" autoPict="0" r:id="rId23">
            <anchor moveWithCells="1">
              <from>
                <xdr:col>69</xdr:col>
                <xdr:colOff>314325</xdr:colOff>
                <xdr:row>250</xdr:row>
                <xdr:rowOff>85725</xdr:rowOff>
              </from>
              <to>
                <xdr:col>69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306" r:id="rId296"/>
      </mc:Fallback>
    </mc:AlternateContent>
    <mc:AlternateContent xmlns:mc="http://schemas.openxmlformats.org/markup-compatibility/2006">
      <mc:Choice Requires="x14">
        <oleObject progId="Equation.DSMT4" shapeId="1307" r:id="rId297">
          <objectPr defaultSize="0" autoPict="0" r:id="rId21">
            <anchor moveWithCells="1">
              <from>
                <xdr:col>68</xdr:col>
                <xdr:colOff>295275</xdr:colOff>
                <xdr:row>250</xdr:row>
                <xdr:rowOff>104775</xdr:rowOff>
              </from>
              <to>
                <xdr:col>68</xdr:col>
                <xdr:colOff>733425</xdr:colOff>
                <xdr:row>252</xdr:row>
                <xdr:rowOff>0</xdr:rowOff>
              </to>
            </anchor>
          </objectPr>
        </oleObject>
      </mc:Choice>
      <mc:Fallback>
        <oleObject progId="Equation.DSMT4" shapeId="1307" r:id="rId297"/>
      </mc:Fallback>
    </mc:AlternateContent>
    <mc:AlternateContent xmlns:mc="http://schemas.openxmlformats.org/markup-compatibility/2006">
      <mc:Choice Requires="x14">
        <oleObject progId="Equation.DSMT4" shapeId="1308" r:id="rId298">
          <objectPr defaultSize="0" autoPict="0" r:id="rId25">
            <anchor moveWithCells="1">
              <from>
                <xdr:col>69</xdr:col>
                <xdr:colOff>304800</xdr:colOff>
                <xdr:row>250</xdr:row>
                <xdr:rowOff>85725</xdr:rowOff>
              </from>
              <to>
                <xdr:col>69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308" r:id="rId298"/>
      </mc:Fallback>
    </mc:AlternateContent>
    <mc:AlternateContent xmlns:mc="http://schemas.openxmlformats.org/markup-compatibility/2006">
      <mc:Choice Requires="x14">
        <oleObject progId="Equation.DSMT4" shapeId="1309" r:id="rId299">
          <objectPr defaultSize="0" autoPict="0" r:id="rId17">
            <anchor moveWithCells="1">
              <from>
                <xdr:col>70</xdr:col>
                <xdr:colOff>257175</xdr:colOff>
                <xdr:row>250</xdr:row>
                <xdr:rowOff>85725</xdr:rowOff>
              </from>
              <to>
                <xdr:col>70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1309" r:id="rId299"/>
      </mc:Fallback>
    </mc:AlternateContent>
    <mc:AlternateContent xmlns:mc="http://schemas.openxmlformats.org/markup-compatibility/2006">
      <mc:Choice Requires="x14">
        <oleObject progId="Equation.DSMT4" shapeId="1310" r:id="rId300">
          <objectPr defaultSize="0" autoPict="0" r:id="rId23">
            <anchor moveWithCells="1">
              <from>
                <xdr:col>71</xdr:col>
                <xdr:colOff>314325</xdr:colOff>
                <xdr:row>250</xdr:row>
                <xdr:rowOff>85725</xdr:rowOff>
              </from>
              <to>
                <xdr:col>71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310" r:id="rId300"/>
      </mc:Fallback>
    </mc:AlternateContent>
    <mc:AlternateContent xmlns:mc="http://schemas.openxmlformats.org/markup-compatibility/2006">
      <mc:Choice Requires="x14">
        <oleObject progId="Equation.DSMT4" shapeId="1311" r:id="rId301">
          <objectPr defaultSize="0" autoPict="0" r:id="rId21">
            <anchor moveWithCells="1">
              <from>
                <xdr:col>70</xdr:col>
                <xdr:colOff>295275</xdr:colOff>
                <xdr:row>250</xdr:row>
                <xdr:rowOff>104775</xdr:rowOff>
              </from>
              <to>
                <xdr:col>70</xdr:col>
                <xdr:colOff>733425</xdr:colOff>
                <xdr:row>252</xdr:row>
                <xdr:rowOff>0</xdr:rowOff>
              </to>
            </anchor>
          </objectPr>
        </oleObject>
      </mc:Choice>
      <mc:Fallback>
        <oleObject progId="Equation.DSMT4" shapeId="1311" r:id="rId301"/>
      </mc:Fallback>
    </mc:AlternateContent>
    <mc:AlternateContent xmlns:mc="http://schemas.openxmlformats.org/markup-compatibility/2006">
      <mc:Choice Requires="x14">
        <oleObject progId="Equation.DSMT4" shapeId="1312" r:id="rId302">
          <objectPr defaultSize="0" autoPict="0" r:id="rId25">
            <anchor moveWithCells="1">
              <from>
                <xdr:col>71</xdr:col>
                <xdr:colOff>304800</xdr:colOff>
                <xdr:row>250</xdr:row>
                <xdr:rowOff>85725</xdr:rowOff>
              </from>
              <to>
                <xdr:col>71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312" r:id="rId302"/>
      </mc:Fallback>
    </mc:AlternateContent>
    <mc:AlternateContent xmlns:mc="http://schemas.openxmlformats.org/markup-compatibility/2006">
      <mc:Choice Requires="x14">
        <oleObject progId="Equation.DSMT4" shapeId="1313" r:id="rId303">
          <objectPr defaultSize="0" autoPict="0" r:id="rId17">
            <anchor moveWithCells="1">
              <from>
                <xdr:col>72</xdr:col>
                <xdr:colOff>257175</xdr:colOff>
                <xdr:row>250</xdr:row>
                <xdr:rowOff>85725</xdr:rowOff>
              </from>
              <to>
                <xdr:col>72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1313" r:id="rId303"/>
      </mc:Fallback>
    </mc:AlternateContent>
    <mc:AlternateContent xmlns:mc="http://schemas.openxmlformats.org/markup-compatibility/2006">
      <mc:Choice Requires="x14">
        <oleObject progId="Equation.DSMT4" shapeId="1314" r:id="rId304">
          <objectPr defaultSize="0" autoPict="0" r:id="rId23">
            <anchor moveWithCells="1">
              <from>
                <xdr:col>73</xdr:col>
                <xdr:colOff>314325</xdr:colOff>
                <xdr:row>250</xdr:row>
                <xdr:rowOff>85725</xdr:rowOff>
              </from>
              <to>
                <xdr:col>73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314" r:id="rId304"/>
      </mc:Fallback>
    </mc:AlternateContent>
    <mc:AlternateContent xmlns:mc="http://schemas.openxmlformats.org/markup-compatibility/2006">
      <mc:Choice Requires="x14">
        <oleObject progId="Equation.DSMT4" shapeId="1315" r:id="rId305">
          <objectPr defaultSize="0" autoPict="0" r:id="rId21">
            <anchor moveWithCells="1">
              <from>
                <xdr:col>72</xdr:col>
                <xdr:colOff>295275</xdr:colOff>
                <xdr:row>250</xdr:row>
                <xdr:rowOff>104775</xdr:rowOff>
              </from>
              <to>
                <xdr:col>72</xdr:col>
                <xdr:colOff>733425</xdr:colOff>
                <xdr:row>252</xdr:row>
                <xdr:rowOff>0</xdr:rowOff>
              </to>
            </anchor>
          </objectPr>
        </oleObject>
      </mc:Choice>
      <mc:Fallback>
        <oleObject progId="Equation.DSMT4" shapeId="1315" r:id="rId305"/>
      </mc:Fallback>
    </mc:AlternateContent>
    <mc:AlternateContent xmlns:mc="http://schemas.openxmlformats.org/markup-compatibility/2006">
      <mc:Choice Requires="x14">
        <oleObject progId="Equation.DSMT4" shapeId="1316" r:id="rId306">
          <objectPr defaultSize="0" autoPict="0" r:id="rId25">
            <anchor moveWithCells="1">
              <from>
                <xdr:col>73</xdr:col>
                <xdr:colOff>304800</xdr:colOff>
                <xdr:row>250</xdr:row>
                <xdr:rowOff>85725</xdr:rowOff>
              </from>
              <to>
                <xdr:col>73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316" r:id="rId306"/>
      </mc:Fallback>
    </mc:AlternateContent>
    <mc:AlternateContent xmlns:mc="http://schemas.openxmlformats.org/markup-compatibility/2006">
      <mc:Choice Requires="x14">
        <oleObject progId="Equation.DSMT4" shapeId="1317" r:id="rId307">
          <objectPr defaultSize="0" autoPict="0" r:id="rId17">
            <anchor moveWithCells="1">
              <from>
                <xdr:col>74</xdr:col>
                <xdr:colOff>257175</xdr:colOff>
                <xdr:row>250</xdr:row>
                <xdr:rowOff>85725</xdr:rowOff>
              </from>
              <to>
                <xdr:col>74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1317" r:id="rId307"/>
      </mc:Fallback>
    </mc:AlternateContent>
    <mc:AlternateContent xmlns:mc="http://schemas.openxmlformats.org/markup-compatibility/2006">
      <mc:Choice Requires="x14">
        <oleObject progId="Equation.DSMT4" shapeId="1318" r:id="rId308">
          <objectPr defaultSize="0" autoPict="0" r:id="rId23">
            <anchor moveWithCells="1">
              <from>
                <xdr:col>75</xdr:col>
                <xdr:colOff>314325</xdr:colOff>
                <xdr:row>250</xdr:row>
                <xdr:rowOff>85725</xdr:rowOff>
              </from>
              <to>
                <xdr:col>75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318" r:id="rId308"/>
      </mc:Fallback>
    </mc:AlternateContent>
    <mc:AlternateContent xmlns:mc="http://schemas.openxmlformats.org/markup-compatibility/2006">
      <mc:Choice Requires="x14">
        <oleObject progId="Equation.DSMT4" shapeId="1319" r:id="rId309">
          <objectPr defaultSize="0" autoPict="0" r:id="rId21">
            <anchor moveWithCells="1">
              <from>
                <xdr:col>74</xdr:col>
                <xdr:colOff>295275</xdr:colOff>
                <xdr:row>250</xdr:row>
                <xdr:rowOff>104775</xdr:rowOff>
              </from>
              <to>
                <xdr:col>74</xdr:col>
                <xdr:colOff>733425</xdr:colOff>
                <xdr:row>252</xdr:row>
                <xdr:rowOff>0</xdr:rowOff>
              </to>
            </anchor>
          </objectPr>
        </oleObject>
      </mc:Choice>
      <mc:Fallback>
        <oleObject progId="Equation.DSMT4" shapeId="1319" r:id="rId309"/>
      </mc:Fallback>
    </mc:AlternateContent>
    <mc:AlternateContent xmlns:mc="http://schemas.openxmlformats.org/markup-compatibility/2006">
      <mc:Choice Requires="x14">
        <oleObject progId="Equation.DSMT4" shapeId="1320" r:id="rId310">
          <objectPr defaultSize="0" autoPict="0" r:id="rId25">
            <anchor moveWithCells="1">
              <from>
                <xdr:col>75</xdr:col>
                <xdr:colOff>304800</xdr:colOff>
                <xdr:row>250</xdr:row>
                <xdr:rowOff>85725</xdr:rowOff>
              </from>
              <to>
                <xdr:col>75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320" r:id="rId310"/>
      </mc:Fallback>
    </mc:AlternateContent>
    <mc:AlternateContent xmlns:mc="http://schemas.openxmlformats.org/markup-compatibility/2006">
      <mc:Choice Requires="x14">
        <oleObject progId="Equation.DSMT4" shapeId="1321" r:id="rId311">
          <objectPr defaultSize="0" autoPict="0" r:id="rId17">
            <anchor moveWithCells="1">
              <from>
                <xdr:col>76</xdr:col>
                <xdr:colOff>257175</xdr:colOff>
                <xdr:row>250</xdr:row>
                <xdr:rowOff>85725</xdr:rowOff>
              </from>
              <to>
                <xdr:col>76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1321" r:id="rId311"/>
      </mc:Fallback>
    </mc:AlternateContent>
    <mc:AlternateContent xmlns:mc="http://schemas.openxmlformats.org/markup-compatibility/2006">
      <mc:Choice Requires="x14">
        <oleObject progId="Equation.DSMT4" shapeId="1322" r:id="rId312">
          <objectPr defaultSize="0" autoPict="0" r:id="rId23">
            <anchor moveWithCells="1">
              <from>
                <xdr:col>77</xdr:col>
                <xdr:colOff>314325</xdr:colOff>
                <xdr:row>250</xdr:row>
                <xdr:rowOff>85725</xdr:rowOff>
              </from>
              <to>
                <xdr:col>77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322" r:id="rId312"/>
      </mc:Fallback>
    </mc:AlternateContent>
    <mc:AlternateContent xmlns:mc="http://schemas.openxmlformats.org/markup-compatibility/2006">
      <mc:Choice Requires="x14">
        <oleObject progId="Equation.DSMT4" shapeId="1323" r:id="rId313">
          <objectPr defaultSize="0" autoPict="0" r:id="rId21">
            <anchor moveWithCells="1">
              <from>
                <xdr:col>76</xdr:col>
                <xdr:colOff>295275</xdr:colOff>
                <xdr:row>250</xdr:row>
                <xdr:rowOff>104775</xdr:rowOff>
              </from>
              <to>
                <xdr:col>76</xdr:col>
                <xdr:colOff>733425</xdr:colOff>
                <xdr:row>252</xdr:row>
                <xdr:rowOff>0</xdr:rowOff>
              </to>
            </anchor>
          </objectPr>
        </oleObject>
      </mc:Choice>
      <mc:Fallback>
        <oleObject progId="Equation.DSMT4" shapeId="1323" r:id="rId313"/>
      </mc:Fallback>
    </mc:AlternateContent>
    <mc:AlternateContent xmlns:mc="http://schemas.openxmlformats.org/markup-compatibility/2006">
      <mc:Choice Requires="x14">
        <oleObject progId="Equation.DSMT4" shapeId="1324" r:id="rId314">
          <objectPr defaultSize="0" autoPict="0" r:id="rId25">
            <anchor moveWithCells="1">
              <from>
                <xdr:col>77</xdr:col>
                <xdr:colOff>304800</xdr:colOff>
                <xdr:row>250</xdr:row>
                <xdr:rowOff>85725</xdr:rowOff>
              </from>
              <to>
                <xdr:col>77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324" r:id="rId314"/>
      </mc:Fallback>
    </mc:AlternateContent>
    <mc:AlternateContent xmlns:mc="http://schemas.openxmlformats.org/markup-compatibility/2006">
      <mc:Choice Requires="x14">
        <oleObject progId="Equation.DSMT4" shapeId="1325" r:id="rId315">
          <objectPr defaultSize="0" autoPict="0" r:id="rId17">
            <anchor moveWithCells="1">
              <from>
                <xdr:col>78</xdr:col>
                <xdr:colOff>257175</xdr:colOff>
                <xdr:row>250</xdr:row>
                <xdr:rowOff>85725</xdr:rowOff>
              </from>
              <to>
                <xdr:col>78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1325" r:id="rId315"/>
      </mc:Fallback>
    </mc:AlternateContent>
    <mc:AlternateContent xmlns:mc="http://schemas.openxmlformats.org/markup-compatibility/2006">
      <mc:Choice Requires="x14">
        <oleObject progId="Equation.DSMT4" shapeId="1326" r:id="rId316">
          <objectPr defaultSize="0" autoPict="0" r:id="rId23">
            <anchor moveWithCells="1">
              <from>
                <xdr:col>79</xdr:col>
                <xdr:colOff>314325</xdr:colOff>
                <xdr:row>250</xdr:row>
                <xdr:rowOff>85725</xdr:rowOff>
              </from>
              <to>
                <xdr:col>79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326" r:id="rId316"/>
      </mc:Fallback>
    </mc:AlternateContent>
    <mc:AlternateContent xmlns:mc="http://schemas.openxmlformats.org/markup-compatibility/2006">
      <mc:Choice Requires="x14">
        <oleObject progId="Equation.DSMT4" shapeId="1327" r:id="rId317">
          <objectPr defaultSize="0" autoPict="0" r:id="rId21">
            <anchor moveWithCells="1">
              <from>
                <xdr:col>78</xdr:col>
                <xdr:colOff>295275</xdr:colOff>
                <xdr:row>250</xdr:row>
                <xdr:rowOff>104775</xdr:rowOff>
              </from>
              <to>
                <xdr:col>78</xdr:col>
                <xdr:colOff>733425</xdr:colOff>
                <xdr:row>252</xdr:row>
                <xdr:rowOff>0</xdr:rowOff>
              </to>
            </anchor>
          </objectPr>
        </oleObject>
      </mc:Choice>
      <mc:Fallback>
        <oleObject progId="Equation.DSMT4" shapeId="1327" r:id="rId317"/>
      </mc:Fallback>
    </mc:AlternateContent>
    <mc:AlternateContent xmlns:mc="http://schemas.openxmlformats.org/markup-compatibility/2006">
      <mc:Choice Requires="x14">
        <oleObject progId="Equation.DSMT4" shapeId="1328" r:id="rId318">
          <objectPr defaultSize="0" autoPict="0" r:id="rId25">
            <anchor moveWithCells="1">
              <from>
                <xdr:col>79</xdr:col>
                <xdr:colOff>304800</xdr:colOff>
                <xdr:row>250</xdr:row>
                <xdr:rowOff>85725</xdr:rowOff>
              </from>
              <to>
                <xdr:col>79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328" r:id="rId318"/>
      </mc:Fallback>
    </mc:AlternateContent>
    <mc:AlternateContent xmlns:mc="http://schemas.openxmlformats.org/markup-compatibility/2006">
      <mc:Choice Requires="x14">
        <oleObject progId="Equation.DSMT4" shapeId="1329" r:id="rId319">
          <objectPr defaultSize="0" autoPict="0" r:id="rId17">
            <anchor moveWithCells="1">
              <from>
                <xdr:col>80</xdr:col>
                <xdr:colOff>257175</xdr:colOff>
                <xdr:row>250</xdr:row>
                <xdr:rowOff>85725</xdr:rowOff>
              </from>
              <to>
                <xdr:col>80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1329" r:id="rId319"/>
      </mc:Fallback>
    </mc:AlternateContent>
    <mc:AlternateContent xmlns:mc="http://schemas.openxmlformats.org/markup-compatibility/2006">
      <mc:Choice Requires="x14">
        <oleObject progId="Equation.DSMT4" shapeId="1330" r:id="rId320">
          <objectPr defaultSize="0" autoPict="0" r:id="rId23">
            <anchor moveWithCells="1">
              <from>
                <xdr:col>81</xdr:col>
                <xdr:colOff>314325</xdr:colOff>
                <xdr:row>250</xdr:row>
                <xdr:rowOff>85725</xdr:rowOff>
              </from>
              <to>
                <xdr:col>81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330" r:id="rId320"/>
      </mc:Fallback>
    </mc:AlternateContent>
    <mc:AlternateContent xmlns:mc="http://schemas.openxmlformats.org/markup-compatibility/2006">
      <mc:Choice Requires="x14">
        <oleObject progId="Equation.DSMT4" shapeId="1331" r:id="rId321">
          <objectPr defaultSize="0" autoPict="0" r:id="rId21">
            <anchor moveWithCells="1">
              <from>
                <xdr:col>80</xdr:col>
                <xdr:colOff>295275</xdr:colOff>
                <xdr:row>250</xdr:row>
                <xdr:rowOff>104775</xdr:rowOff>
              </from>
              <to>
                <xdr:col>80</xdr:col>
                <xdr:colOff>733425</xdr:colOff>
                <xdr:row>252</xdr:row>
                <xdr:rowOff>0</xdr:rowOff>
              </to>
            </anchor>
          </objectPr>
        </oleObject>
      </mc:Choice>
      <mc:Fallback>
        <oleObject progId="Equation.DSMT4" shapeId="1331" r:id="rId321"/>
      </mc:Fallback>
    </mc:AlternateContent>
    <mc:AlternateContent xmlns:mc="http://schemas.openxmlformats.org/markup-compatibility/2006">
      <mc:Choice Requires="x14">
        <oleObject progId="Equation.DSMT4" shapeId="1332" r:id="rId322">
          <objectPr defaultSize="0" autoPict="0" r:id="rId25">
            <anchor moveWithCells="1">
              <from>
                <xdr:col>81</xdr:col>
                <xdr:colOff>304800</xdr:colOff>
                <xdr:row>250</xdr:row>
                <xdr:rowOff>85725</xdr:rowOff>
              </from>
              <to>
                <xdr:col>81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332" r:id="rId322"/>
      </mc:Fallback>
    </mc:AlternateContent>
    <mc:AlternateContent xmlns:mc="http://schemas.openxmlformats.org/markup-compatibility/2006">
      <mc:Choice Requires="x14">
        <oleObject progId="Equation.DSMT4" shapeId="1333" r:id="rId323">
          <objectPr defaultSize="0" autoPict="0" r:id="rId17">
            <anchor moveWithCells="1">
              <from>
                <xdr:col>82</xdr:col>
                <xdr:colOff>257175</xdr:colOff>
                <xdr:row>250</xdr:row>
                <xdr:rowOff>85725</xdr:rowOff>
              </from>
              <to>
                <xdr:col>82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1333" r:id="rId323"/>
      </mc:Fallback>
    </mc:AlternateContent>
    <mc:AlternateContent xmlns:mc="http://schemas.openxmlformats.org/markup-compatibility/2006">
      <mc:Choice Requires="x14">
        <oleObject progId="Equation.DSMT4" shapeId="1334" r:id="rId324">
          <objectPr defaultSize="0" autoPict="0" r:id="rId23">
            <anchor moveWithCells="1">
              <from>
                <xdr:col>83</xdr:col>
                <xdr:colOff>314325</xdr:colOff>
                <xdr:row>250</xdr:row>
                <xdr:rowOff>85725</xdr:rowOff>
              </from>
              <to>
                <xdr:col>83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334" r:id="rId324"/>
      </mc:Fallback>
    </mc:AlternateContent>
    <mc:AlternateContent xmlns:mc="http://schemas.openxmlformats.org/markup-compatibility/2006">
      <mc:Choice Requires="x14">
        <oleObject progId="Equation.DSMT4" shapeId="1335" r:id="rId325">
          <objectPr defaultSize="0" autoPict="0" r:id="rId21">
            <anchor moveWithCells="1">
              <from>
                <xdr:col>82</xdr:col>
                <xdr:colOff>295275</xdr:colOff>
                <xdr:row>250</xdr:row>
                <xdr:rowOff>104775</xdr:rowOff>
              </from>
              <to>
                <xdr:col>82</xdr:col>
                <xdr:colOff>733425</xdr:colOff>
                <xdr:row>252</xdr:row>
                <xdr:rowOff>0</xdr:rowOff>
              </to>
            </anchor>
          </objectPr>
        </oleObject>
      </mc:Choice>
      <mc:Fallback>
        <oleObject progId="Equation.DSMT4" shapeId="1335" r:id="rId325"/>
      </mc:Fallback>
    </mc:AlternateContent>
    <mc:AlternateContent xmlns:mc="http://schemas.openxmlformats.org/markup-compatibility/2006">
      <mc:Choice Requires="x14">
        <oleObject progId="Equation.DSMT4" shapeId="1336" r:id="rId326">
          <objectPr defaultSize="0" autoPict="0" r:id="rId25">
            <anchor moveWithCells="1">
              <from>
                <xdr:col>83</xdr:col>
                <xdr:colOff>304800</xdr:colOff>
                <xdr:row>250</xdr:row>
                <xdr:rowOff>85725</xdr:rowOff>
              </from>
              <to>
                <xdr:col>83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336" r:id="rId326"/>
      </mc:Fallback>
    </mc:AlternateContent>
    <mc:AlternateContent xmlns:mc="http://schemas.openxmlformats.org/markup-compatibility/2006">
      <mc:Choice Requires="x14">
        <oleObject progId="Equation.DSMT4" shapeId="1337" r:id="rId327">
          <objectPr defaultSize="0" autoPict="0" r:id="rId17">
            <anchor moveWithCells="1">
              <from>
                <xdr:col>84</xdr:col>
                <xdr:colOff>257175</xdr:colOff>
                <xdr:row>250</xdr:row>
                <xdr:rowOff>85725</xdr:rowOff>
              </from>
              <to>
                <xdr:col>84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1337" r:id="rId327"/>
      </mc:Fallback>
    </mc:AlternateContent>
    <mc:AlternateContent xmlns:mc="http://schemas.openxmlformats.org/markup-compatibility/2006">
      <mc:Choice Requires="x14">
        <oleObject progId="Equation.DSMT4" shapeId="1338" r:id="rId328">
          <objectPr defaultSize="0" autoPict="0" r:id="rId23">
            <anchor moveWithCells="1">
              <from>
                <xdr:col>85</xdr:col>
                <xdr:colOff>314325</xdr:colOff>
                <xdr:row>250</xdr:row>
                <xdr:rowOff>85725</xdr:rowOff>
              </from>
              <to>
                <xdr:col>85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338" r:id="rId328"/>
      </mc:Fallback>
    </mc:AlternateContent>
    <mc:AlternateContent xmlns:mc="http://schemas.openxmlformats.org/markup-compatibility/2006">
      <mc:Choice Requires="x14">
        <oleObject progId="Equation.DSMT4" shapeId="1339" r:id="rId329">
          <objectPr defaultSize="0" autoPict="0" r:id="rId21">
            <anchor moveWithCells="1">
              <from>
                <xdr:col>84</xdr:col>
                <xdr:colOff>295275</xdr:colOff>
                <xdr:row>250</xdr:row>
                <xdr:rowOff>104775</xdr:rowOff>
              </from>
              <to>
                <xdr:col>84</xdr:col>
                <xdr:colOff>733425</xdr:colOff>
                <xdr:row>252</xdr:row>
                <xdr:rowOff>0</xdr:rowOff>
              </to>
            </anchor>
          </objectPr>
        </oleObject>
      </mc:Choice>
      <mc:Fallback>
        <oleObject progId="Equation.DSMT4" shapeId="1339" r:id="rId329"/>
      </mc:Fallback>
    </mc:AlternateContent>
    <mc:AlternateContent xmlns:mc="http://schemas.openxmlformats.org/markup-compatibility/2006">
      <mc:Choice Requires="x14">
        <oleObject progId="Equation.DSMT4" shapeId="1340" r:id="rId330">
          <objectPr defaultSize="0" autoPict="0" r:id="rId25">
            <anchor moveWithCells="1">
              <from>
                <xdr:col>85</xdr:col>
                <xdr:colOff>304800</xdr:colOff>
                <xdr:row>250</xdr:row>
                <xdr:rowOff>85725</xdr:rowOff>
              </from>
              <to>
                <xdr:col>85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340" r:id="rId330"/>
      </mc:Fallback>
    </mc:AlternateContent>
    <mc:AlternateContent xmlns:mc="http://schemas.openxmlformats.org/markup-compatibility/2006">
      <mc:Choice Requires="x14">
        <oleObject progId="Equation.DSMT4" shapeId="1341" r:id="rId331">
          <objectPr defaultSize="0" autoPict="0" r:id="rId17">
            <anchor moveWithCells="1">
              <from>
                <xdr:col>86</xdr:col>
                <xdr:colOff>257175</xdr:colOff>
                <xdr:row>250</xdr:row>
                <xdr:rowOff>85725</xdr:rowOff>
              </from>
              <to>
                <xdr:col>86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1341" r:id="rId331"/>
      </mc:Fallback>
    </mc:AlternateContent>
    <mc:AlternateContent xmlns:mc="http://schemas.openxmlformats.org/markup-compatibility/2006">
      <mc:Choice Requires="x14">
        <oleObject progId="Equation.DSMT4" shapeId="1342" r:id="rId332">
          <objectPr defaultSize="0" autoPict="0" r:id="rId23">
            <anchor moveWithCells="1">
              <from>
                <xdr:col>87</xdr:col>
                <xdr:colOff>314325</xdr:colOff>
                <xdr:row>250</xdr:row>
                <xdr:rowOff>85725</xdr:rowOff>
              </from>
              <to>
                <xdr:col>87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342" r:id="rId332"/>
      </mc:Fallback>
    </mc:AlternateContent>
    <mc:AlternateContent xmlns:mc="http://schemas.openxmlformats.org/markup-compatibility/2006">
      <mc:Choice Requires="x14">
        <oleObject progId="Equation.DSMT4" shapeId="1343" r:id="rId333">
          <objectPr defaultSize="0" autoPict="0" r:id="rId21">
            <anchor moveWithCells="1">
              <from>
                <xdr:col>86</xdr:col>
                <xdr:colOff>295275</xdr:colOff>
                <xdr:row>250</xdr:row>
                <xdr:rowOff>104775</xdr:rowOff>
              </from>
              <to>
                <xdr:col>86</xdr:col>
                <xdr:colOff>733425</xdr:colOff>
                <xdr:row>252</xdr:row>
                <xdr:rowOff>0</xdr:rowOff>
              </to>
            </anchor>
          </objectPr>
        </oleObject>
      </mc:Choice>
      <mc:Fallback>
        <oleObject progId="Equation.DSMT4" shapeId="1343" r:id="rId333"/>
      </mc:Fallback>
    </mc:AlternateContent>
    <mc:AlternateContent xmlns:mc="http://schemas.openxmlformats.org/markup-compatibility/2006">
      <mc:Choice Requires="x14">
        <oleObject progId="Equation.DSMT4" shapeId="1344" r:id="rId334">
          <objectPr defaultSize="0" autoPict="0" r:id="rId25">
            <anchor moveWithCells="1">
              <from>
                <xdr:col>87</xdr:col>
                <xdr:colOff>304800</xdr:colOff>
                <xdr:row>250</xdr:row>
                <xdr:rowOff>85725</xdr:rowOff>
              </from>
              <to>
                <xdr:col>87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344" r:id="rId334"/>
      </mc:Fallback>
    </mc:AlternateContent>
    <mc:AlternateContent xmlns:mc="http://schemas.openxmlformats.org/markup-compatibility/2006">
      <mc:Choice Requires="x14">
        <oleObject progId="Equation.DSMT4" shapeId="1345" r:id="rId335">
          <objectPr defaultSize="0" autoPict="0" r:id="rId17">
            <anchor moveWithCells="1">
              <from>
                <xdr:col>88</xdr:col>
                <xdr:colOff>257175</xdr:colOff>
                <xdr:row>250</xdr:row>
                <xdr:rowOff>85725</xdr:rowOff>
              </from>
              <to>
                <xdr:col>88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1345" r:id="rId335"/>
      </mc:Fallback>
    </mc:AlternateContent>
    <mc:AlternateContent xmlns:mc="http://schemas.openxmlformats.org/markup-compatibility/2006">
      <mc:Choice Requires="x14">
        <oleObject progId="Equation.DSMT4" shapeId="1346" r:id="rId336">
          <objectPr defaultSize="0" autoPict="0" r:id="rId23">
            <anchor moveWithCells="1">
              <from>
                <xdr:col>89</xdr:col>
                <xdr:colOff>314325</xdr:colOff>
                <xdr:row>250</xdr:row>
                <xdr:rowOff>85725</xdr:rowOff>
              </from>
              <to>
                <xdr:col>89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346" r:id="rId336"/>
      </mc:Fallback>
    </mc:AlternateContent>
    <mc:AlternateContent xmlns:mc="http://schemas.openxmlformats.org/markup-compatibility/2006">
      <mc:Choice Requires="x14">
        <oleObject progId="Equation.DSMT4" shapeId="1347" r:id="rId337">
          <objectPr defaultSize="0" autoPict="0" r:id="rId21">
            <anchor moveWithCells="1">
              <from>
                <xdr:col>88</xdr:col>
                <xdr:colOff>295275</xdr:colOff>
                <xdr:row>250</xdr:row>
                <xdr:rowOff>104775</xdr:rowOff>
              </from>
              <to>
                <xdr:col>88</xdr:col>
                <xdr:colOff>733425</xdr:colOff>
                <xdr:row>252</xdr:row>
                <xdr:rowOff>0</xdr:rowOff>
              </to>
            </anchor>
          </objectPr>
        </oleObject>
      </mc:Choice>
      <mc:Fallback>
        <oleObject progId="Equation.DSMT4" shapeId="1347" r:id="rId337"/>
      </mc:Fallback>
    </mc:AlternateContent>
    <mc:AlternateContent xmlns:mc="http://schemas.openxmlformats.org/markup-compatibility/2006">
      <mc:Choice Requires="x14">
        <oleObject progId="Equation.DSMT4" shapeId="1348" r:id="rId338">
          <objectPr defaultSize="0" autoPict="0" r:id="rId25">
            <anchor moveWithCells="1">
              <from>
                <xdr:col>89</xdr:col>
                <xdr:colOff>304800</xdr:colOff>
                <xdr:row>250</xdr:row>
                <xdr:rowOff>85725</xdr:rowOff>
              </from>
              <to>
                <xdr:col>89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1348" r:id="rId338"/>
      </mc:Fallback>
    </mc:AlternateContent>
    <mc:AlternateContent xmlns:mc="http://schemas.openxmlformats.org/markup-compatibility/2006">
      <mc:Choice Requires="x14">
        <oleObject progId="Equation.DSMT4" shapeId="1349" r:id="rId339">
          <objectPr defaultSize="0" autoPict="0" r:id="rId15">
            <anchor moveWithCells="1">
              <from>
                <xdr:col>28</xdr:col>
                <xdr:colOff>428625</xdr:colOff>
                <xdr:row>171</xdr:row>
                <xdr:rowOff>152400</xdr:rowOff>
              </from>
              <to>
                <xdr:col>28</xdr:col>
                <xdr:colOff>609600</xdr:colOff>
                <xdr:row>172</xdr:row>
                <xdr:rowOff>114300</xdr:rowOff>
              </to>
            </anchor>
          </objectPr>
        </oleObject>
      </mc:Choice>
      <mc:Fallback>
        <oleObject progId="Equation.DSMT4" shapeId="1349" r:id="rId339"/>
      </mc:Fallback>
    </mc:AlternateContent>
    <mc:AlternateContent xmlns:mc="http://schemas.openxmlformats.org/markup-compatibility/2006">
      <mc:Choice Requires="x14">
        <oleObject progId="Equation.DSMT4" shapeId="1350" r:id="rId340">
          <objectPr defaultSize="0" autoPict="0" r:id="rId17">
            <anchor moveWithCells="1">
              <from>
                <xdr:col>29</xdr:col>
                <xdr:colOff>257175</xdr:colOff>
                <xdr:row>171</xdr:row>
                <xdr:rowOff>85725</xdr:rowOff>
              </from>
              <to>
                <xdr:col>29</xdr:col>
                <xdr:colOff>647700</xdr:colOff>
                <xdr:row>173</xdr:row>
                <xdr:rowOff>0</xdr:rowOff>
              </to>
            </anchor>
          </objectPr>
        </oleObject>
      </mc:Choice>
      <mc:Fallback>
        <oleObject progId="Equation.DSMT4" shapeId="1350" r:id="rId340"/>
      </mc:Fallback>
    </mc:AlternateContent>
    <mc:AlternateContent xmlns:mc="http://schemas.openxmlformats.org/markup-compatibility/2006">
      <mc:Choice Requires="x14">
        <oleObject progId="Equation.DSMT4" shapeId="1351" r:id="rId341">
          <objectPr defaultSize="0" autoPict="0" r:id="rId19">
            <anchor moveWithCells="1">
              <from>
                <xdr:col>28</xdr:col>
                <xdr:colOff>295275</xdr:colOff>
                <xdr:row>174</xdr:row>
                <xdr:rowOff>104775</xdr:rowOff>
              </from>
              <to>
                <xdr:col>28</xdr:col>
                <xdr:colOff>714375</xdr:colOff>
                <xdr:row>176</xdr:row>
                <xdr:rowOff>0</xdr:rowOff>
              </to>
            </anchor>
          </objectPr>
        </oleObject>
      </mc:Choice>
      <mc:Fallback>
        <oleObject progId="Equation.DSMT4" shapeId="1351" r:id="rId341"/>
      </mc:Fallback>
    </mc:AlternateContent>
    <mc:AlternateContent xmlns:mc="http://schemas.openxmlformats.org/markup-compatibility/2006">
      <mc:Choice Requires="x14">
        <oleObject progId="Equation.DSMT4" shapeId="1352" r:id="rId342">
          <objectPr defaultSize="0" autoPict="0" r:id="rId21">
            <anchor moveWithCells="1">
              <from>
                <xdr:col>29</xdr:col>
                <xdr:colOff>295275</xdr:colOff>
                <xdr:row>174</xdr:row>
                <xdr:rowOff>104775</xdr:rowOff>
              </from>
              <to>
                <xdr:col>29</xdr:col>
                <xdr:colOff>714375</xdr:colOff>
                <xdr:row>176</xdr:row>
                <xdr:rowOff>0</xdr:rowOff>
              </to>
            </anchor>
          </objectPr>
        </oleObject>
      </mc:Choice>
      <mc:Fallback>
        <oleObject progId="Equation.DSMT4" shapeId="1352" r:id="rId342"/>
      </mc:Fallback>
    </mc:AlternateContent>
    <mc:AlternateContent xmlns:mc="http://schemas.openxmlformats.org/markup-compatibility/2006">
      <mc:Choice Requires="x14">
        <oleObject progId="Equation.DSMT4" shapeId="1353" r:id="rId343">
          <objectPr defaultSize="0" autoPict="0" r:id="rId23">
            <anchor moveWithCells="1">
              <from>
                <xdr:col>30</xdr:col>
                <xdr:colOff>314325</xdr:colOff>
                <xdr:row>171</xdr:row>
                <xdr:rowOff>85725</xdr:rowOff>
              </from>
              <to>
                <xdr:col>30</xdr:col>
                <xdr:colOff>733425</xdr:colOff>
                <xdr:row>173</xdr:row>
                <xdr:rowOff>0</xdr:rowOff>
              </to>
            </anchor>
          </objectPr>
        </oleObject>
      </mc:Choice>
      <mc:Fallback>
        <oleObject progId="Equation.DSMT4" shapeId="1353" r:id="rId343"/>
      </mc:Fallback>
    </mc:AlternateContent>
    <mc:AlternateContent xmlns:mc="http://schemas.openxmlformats.org/markup-compatibility/2006">
      <mc:Choice Requires="x14">
        <oleObject progId="Equation.DSMT4" shapeId="1354" r:id="rId344">
          <objectPr defaultSize="0" autoPict="0" r:id="rId25">
            <anchor moveWithCells="1">
              <from>
                <xdr:col>30</xdr:col>
                <xdr:colOff>304800</xdr:colOff>
                <xdr:row>174</xdr:row>
                <xdr:rowOff>85725</xdr:rowOff>
              </from>
              <to>
                <xdr:col>30</xdr:col>
                <xdr:colOff>714375</xdr:colOff>
                <xdr:row>176</xdr:row>
                <xdr:rowOff>0</xdr:rowOff>
              </to>
            </anchor>
          </objectPr>
        </oleObject>
      </mc:Choice>
      <mc:Fallback>
        <oleObject progId="Equation.DSMT4" shapeId="1354" r:id="rId344"/>
      </mc:Fallback>
    </mc:AlternateContent>
    <mc:AlternateContent xmlns:mc="http://schemas.openxmlformats.org/markup-compatibility/2006">
      <mc:Choice Requires="x14">
        <oleObject progId="Equation.DSMT4" shapeId="1355" r:id="rId345">
          <objectPr defaultSize="0" autoPict="0" r:id="rId27">
            <anchor moveWithCells="1">
              <from>
                <xdr:col>33</xdr:col>
                <xdr:colOff>304800</xdr:colOff>
                <xdr:row>174</xdr:row>
                <xdr:rowOff>76200</xdr:rowOff>
              </from>
              <to>
                <xdr:col>33</xdr:col>
                <xdr:colOff>714375</xdr:colOff>
                <xdr:row>175</xdr:row>
                <xdr:rowOff>161925</xdr:rowOff>
              </to>
            </anchor>
          </objectPr>
        </oleObject>
      </mc:Choice>
      <mc:Fallback>
        <oleObject progId="Equation.DSMT4" shapeId="1355" r:id="rId345"/>
      </mc:Fallback>
    </mc:AlternateContent>
    <mc:AlternateContent xmlns:mc="http://schemas.openxmlformats.org/markup-compatibility/2006">
      <mc:Choice Requires="x14">
        <oleObject progId="Equation.DSMT4" shapeId="1356" r:id="rId346">
          <objectPr defaultSize="0" autoPict="0" r:id="rId27">
            <anchor moveWithCells="1">
              <from>
                <xdr:col>29</xdr:col>
                <xdr:colOff>304800</xdr:colOff>
                <xdr:row>238</xdr:row>
                <xdr:rowOff>76200</xdr:rowOff>
              </from>
              <to>
                <xdr:col>29</xdr:col>
                <xdr:colOff>714375</xdr:colOff>
                <xdr:row>239</xdr:row>
                <xdr:rowOff>161925</xdr:rowOff>
              </to>
            </anchor>
          </objectPr>
        </oleObject>
      </mc:Choice>
      <mc:Fallback>
        <oleObject progId="Equation.DSMT4" shapeId="1356" r:id="rId346"/>
      </mc:Fallback>
    </mc:AlternateContent>
    <mc:AlternateContent xmlns:mc="http://schemas.openxmlformats.org/markup-compatibility/2006">
      <mc:Choice Requires="x14">
        <oleObject progId="Equation.DSMT4" shapeId="1357" r:id="rId347">
          <objectPr defaultSize="0" autoPict="0" r:id="rId15">
            <anchor moveWithCells="1">
              <from>
                <xdr:col>2</xdr:col>
                <xdr:colOff>428625</xdr:colOff>
                <xdr:row>183</xdr:row>
                <xdr:rowOff>152400</xdr:rowOff>
              </from>
              <to>
                <xdr:col>2</xdr:col>
                <xdr:colOff>609600</xdr:colOff>
                <xdr:row>184</xdr:row>
                <xdr:rowOff>104775</xdr:rowOff>
              </to>
            </anchor>
          </objectPr>
        </oleObject>
      </mc:Choice>
      <mc:Fallback>
        <oleObject progId="Equation.DSMT4" shapeId="1357" r:id="rId347"/>
      </mc:Fallback>
    </mc:AlternateContent>
    <mc:AlternateContent xmlns:mc="http://schemas.openxmlformats.org/markup-compatibility/2006">
      <mc:Choice Requires="x14">
        <oleObject progId="Equation.DSMT4" shapeId="1358" r:id="rId348">
          <objectPr defaultSize="0" autoPict="0" r:id="rId17">
            <anchor moveWithCells="1">
              <from>
                <xdr:col>3</xdr:col>
                <xdr:colOff>257175</xdr:colOff>
                <xdr:row>183</xdr:row>
                <xdr:rowOff>85725</xdr:rowOff>
              </from>
              <to>
                <xdr:col>3</xdr:col>
                <xdr:colOff>676275</xdr:colOff>
                <xdr:row>184</xdr:row>
                <xdr:rowOff>161925</xdr:rowOff>
              </to>
            </anchor>
          </objectPr>
        </oleObject>
      </mc:Choice>
      <mc:Fallback>
        <oleObject progId="Equation.DSMT4" shapeId="1358" r:id="rId348"/>
      </mc:Fallback>
    </mc:AlternateContent>
    <mc:AlternateContent xmlns:mc="http://schemas.openxmlformats.org/markup-compatibility/2006">
      <mc:Choice Requires="x14">
        <oleObject progId="Equation.DSMT4" shapeId="1359" r:id="rId349">
          <objectPr defaultSize="0" autoPict="0" r:id="rId19">
            <anchor moveWithCells="1">
              <from>
                <xdr:col>2</xdr:col>
                <xdr:colOff>295275</xdr:colOff>
                <xdr:row>186</xdr:row>
                <xdr:rowOff>104775</xdr:rowOff>
              </from>
              <to>
                <xdr:col>2</xdr:col>
                <xdr:colOff>733425</xdr:colOff>
                <xdr:row>188</xdr:row>
                <xdr:rowOff>0</xdr:rowOff>
              </to>
            </anchor>
          </objectPr>
        </oleObject>
      </mc:Choice>
      <mc:Fallback>
        <oleObject progId="Equation.DSMT4" shapeId="1359" r:id="rId349"/>
      </mc:Fallback>
    </mc:AlternateContent>
    <mc:AlternateContent xmlns:mc="http://schemas.openxmlformats.org/markup-compatibility/2006">
      <mc:Choice Requires="x14">
        <oleObject progId="Equation.DSMT4" shapeId="1360" r:id="rId350">
          <objectPr defaultSize="0" autoPict="0" r:id="rId21">
            <anchor moveWithCells="1">
              <from>
                <xdr:col>3</xdr:col>
                <xdr:colOff>295275</xdr:colOff>
                <xdr:row>186</xdr:row>
                <xdr:rowOff>104775</xdr:rowOff>
              </from>
              <to>
                <xdr:col>3</xdr:col>
                <xdr:colOff>733425</xdr:colOff>
                <xdr:row>188</xdr:row>
                <xdr:rowOff>0</xdr:rowOff>
              </to>
            </anchor>
          </objectPr>
        </oleObject>
      </mc:Choice>
      <mc:Fallback>
        <oleObject progId="Equation.DSMT4" shapeId="1360" r:id="rId350"/>
      </mc:Fallback>
    </mc:AlternateContent>
    <mc:AlternateContent xmlns:mc="http://schemas.openxmlformats.org/markup-compatibility/2006">
      <mc:Choice Requires="x14">
        <oleObject progId="Equation.DSMT4" shapeId="1361" r:id="rId351">
          <objectPr defaultSize="0" autoPict="0" r:id="rId23">
            <anchor moveWithCells="1">
              <from>
                <xdr:col>4</xdr:col>
                <xdr:colOff>314325</xdr:colOff>
                <xdr:row>183</xdr:row>
                <xdr:rowOff>85725</xdr:rowOff>
              </from>
              <to>
                <xdr:col>4</xdr:col>
                <xdr:colOff>733425</xdr:colOff>
                <xdr:row>184</xdr:row>
                <xdr:rowOff>161925</xdr:rowOff>
              </to>
            </anchor>
          </objectPr>
        </oleObject>
      </mc:Choice>
      <mc:Fallback>
        <oleObject progId="Equation.DSMT4" shapeId="1361" r:id="rId351"/>
      </mc:Fallback>
    </mc:AlternateContent>
    <mc:AlternateContent xmlns:mc="http://schemas.openxmlformats.org/markup-compatibility/2006">
      <mc:Choice Requires="x14">
        <oleObject progId="Equation.DSMT4" shapeId="1362" r:id="rId352">
          <objectPr defaultSize="0" autoPict="0" r:id="rId25">
            <anchor moveWithCells="1">
              <from>
                <xdr:col>4</xdr:col>
                <xdr:colOff>304800</xdr:colOff>
                <xdr:row>186</xdr:row>
                <xdr:rowOff>85725</xdr:rowOff>
              </from>
              <to>
                <xdr:col>4</xdr:col>
                <xdr:colOff>733425</xdr:colOff>
                <xdr:row>187</xdr:row>
                <xdr:rowOff>161925</xdr:rowOff>
              </to>
            </anchor>
          </objectPr>
        </oleObject>
      </mc:Choice>
      <mc:Fallback>
        <oleObject progId="Equation.DSMT4" shapeId="1362" r:id="rId352"/>
      </mc:Fallback>
    </mc:AlternateContent>
    <mc:AlternateContent xmlns:mc="http://schemas.openxmlformats.org/markup-compatibility/2006">
      <mc:Choice Requires="x14">
        <oleObject progId="Equation.DSMT4" shapeId="1363" r:id="rId353">
          <objectPr defaultSize="0" autoPict="0" r:id="rId27">
            <anchor moveWithCells="1">
              <from>
                <xdr:col>7</xdr:col>
                <xdr:colOff>304800</xdr:colOff>
                <xdr:row>186</xdr:row>
                <xdr:rowOff>76200</xdr:rowOff>
              </from>
              <to>
                <xdr:col>7</xdr:col>
                <xdr:colOff>733425</xdr:colOff>
                <xdr:row>187</xdr:row>
                <xdr:rowOff>161925</xdr:rowOff>
              </to>
            </anchor>
          </objectPr>
        </oleObject>
      </mc:Choice>
      <mc:Fallback>
        <oleObject progId="Equation.DSMT4" shapeId="1363" r:id="rId353"/>
      </mc:Fallback>
    </mc:AlternateContent>
    <mc:AlternateContent xmlns:mc="http://schemas.openxmlformats.org/markup-compatibility/2006">
      <mc:Choice Requires="x14">
        <oleObject progId="Equation.DSMT4" shapeId="1364" r:id="rId354">
          <objectPr defaultSize="0" autoPict="0" r:id="rId15">
            <anchor moveWithCells="1">
              <from>
                <xdr:col>13</xdr:col>
                <xdr:colOff>428625</xdr:colOff>
                <xdr:row>183</xdr:row>
                <xdr:rowOff>152400</xdr:rowOff>
              </from>
              <to>
                <xdr:col>13</xdr:col>
                <xdr:colOff>609600</xdr:colOff>
                <xdr:row>184</xdr:row>
                <xdr:rowOff>104775</xdr:rowOff>
              </to>
            </anchor>
          </objectPr>
        </oleObject>
      </mc:Choice>
      <mc:Fallback>
        <oleObject progId="Equation.DSMT4" shapeId="1364" r:id="rId354"/>
      </mc:Fallback>
    </mc:AlternateContent>
    <mc:AlternateContent xmlns:mc="http://schemas.openxmlformats.org/markup-compatibility/2006">
      <mc:Choice Requires="x14">
        <oleObject progId="Equation.DSMT4" shapeId="1365" r:id="rId355">
          <objectPr defaultSize="0" autoPict="0" r:id="rId17">
            <anchor moveWithCells="1">
              <from>
                <xdr:col>14</xdr:col>
                <xdr:colOff>257175</xdr:colOff>
                <xdr:row>183</xdr:row>
                <xdr:rowOff>85725</xdr:rowOff>
              </from>
              <to>
                <xdr:col>14</xdr:col>
                <xdr:colOff>676275</xdr:colOff>
                <xdr:row>184</xdr:row>
                <xdr:rowOff>161925</xdr:rowOff>
              </to>
            </anchor>
          </objectPr>
        </oleObject>
      </mc:Choice>
      <mc:Fallback>
        <oleObject progId="Equation.DSMT4" shapeId="1365" r:id="rId355"/>
      </mc:Fallback>
    </mc:AlternateContent>
    <mc:AlternateContent xmlns:mc="http://schemas.openxmlformats.org/markup-compatibility/2006">
      <mc:Choice Requires="x14">
        <oleObject progId="Equation.DSMT4" shapeId="1366" r:id="rId356">
          <objectPr defaultSize="0" autoPict="0" r:id="rId19">
            <anchor moveWithCells="1">
              <from>
                <xdr:col>13</xdr:col>
                <xdr:colOff>295275</xdr:colOff>
                <xdr:row>186</xdr:row>
                <xdr:rowOff>104775</xdr:rowOff>
              </from>
              <to>
                <xdr:col>13</xdr:col>
                <xdr:colOff>733425</xdr:colOff>
                <xdr:row>188</xdr:row>
                <xdr:rowOff>0</xdr:rowOff>
              </to>
            </anchor>
          </objectPr>
        </oleObject>
      </mc:Choice>
      <mc:Fallback>
        <oleObject progId="Equation.DSMT4" shapeId="1366" r:id="rId356"/>
      </mc:Fallback>
    </mc:AlternateContent>
    <mc:AlternateContent xmlns:mc="http://schemas.openxmlformats.org/markup-compatibility/2006">
      <mc:Choice Requires="x14">
        <oleObject progId="Equation.DSMT4" shapeId="1367" r:id="rId357">
          <objectPr defaultSize="0" autoPict="0" r:id="rId21">
            <anchor moveWithCells="1">
              <from>
                <xdr:col>14</xdr:col>
                <xdr:colOff>295275</xdr:colOff>
                <xdr:row>186</xdr:row>
                <xdr:rowOff>104775</xdr:rowOff>
              </from>
              <to>
                <xdr:col>14</xdr:col>
                <xdr:colOff>733425</xdr:colOff>
                <xdr:row>188</xdr:row>
                <xdr:rowOff>0</xdr:rowOff>
              </to>
            </anchor>
          </objectPr>
        </oleObject>
      </mc:Choice>
      <mc:Fallback>
        <oleObject progId="Equation.DSMT4" shapeId="1367" r:id="rId357"/>
      </mc:Fallback>
    </mc:AlternateContent>
    <mc:AlternateContent xmlns:mc="http://schemas.openxmlformats.org/markup-compatibility/2006">
      <mc:Choice Requires="x14">
        <oleObject progId="Equation.DSMT4" shapeId="1368" r:id="rId358">
          <objectPr defaultSize="0" autoPict="0" r:id="rId23">
            <anchor moveWithCells="1">
              <from>
                <xdr:col>15</xdr:col>
                <xdr:colOff>314325</xdr:colOff>
                <xdr:row>183</xdr:row>
                <xdr:rowOff>85725</xdr:rowOff>
              </from>
              <to>
                <xdr:col>15</xdr:col>
                <xdr:colOff>733425</xdr:colOff>
                <xdr:row>184</xdr:row>
                <xdr:rowOff>161925</xdr:rowOff>
              </to>
            </anchor>
          </objectPr>
        </oleObject>
      </mc:Choice>
      <mc:Fallback>
        <oleObject progId="Equation.DSMT4" shapeId="1368" r:id="rId358"/>
      </mc:Fallback>
    </mc:AlternateContent>
    <mc:AlternateContent xmlns:mc="http://schemas.openxmlformats.org/markup-compatibility/2006">
      <mc:Choice Requires="x14">
        <oleObject progId="Equation.DSMT4" shapeId="1369" r:id="rId359">
          <objectPr defaultSize="0" autoPict="0" r:id="rId25">
            <anchor moveWithCells="1">
              <from>
                <xdr:col>15</xdr:col>
                <xdr:colOff>304800</xdr:colOff>
                <xdr:row>186</xdr:row>
                <xdr:rowOff>85725</xdr:rowOff>
              </from>
              <to>
                <xdr:col>15</xdr:col>
                <xdr:colOff>733425</xdr:colOff>
                <xdr:row>187</xdr:row>
                <xdr:rowOff>161925</xdr:rowOff>
              </to>
            </anchor>
          </objectPr>
        </oleObject>
      </mc:Choice>
      <mc:Fallback>
        <oleObject progId="Equation.DSMT4" shapeId="1369" r:id="rId359"/>
      </mc:Fallback>
    </mc:AlternateContent>
    <mc:AlternateContent xmlns:mc="http://schemas.openxmlformats.org/markup-compatibility/2006">
      <mc:Choice Requires="x14">
        <oleObject progId="Equation.DSMT4" shapeId="1370" r:id="rId360">
          <objectPr defaultSize="0" autoPict="0" r:id="rId27">
            <anchor moveWithCells="1">
              <from>
                <xdr:col>18</xdr:col>
                <xdr:colOff>304800</xdr:colOff>
                <xdr:row>186</xdr:row>
                <xdr:rowOff>76200</xdr:rowOff>
              </from>
              <to>
                <xdr:col>18</xdr:col>
                <xdr:colOff>733425</xdr:colOff>
                <xdr:row>187</xdr:row>
                <xdr:rowOff>161925</xdr:rowOff>
              </to>
            </anchor>
          </objectPr>
        </oleObject>
      </mc:Choice>
      <mc:Fallback>
        <oleObject progId="Equation.DSMT4" shapeId="1370" r:id="rId360"/>
      </mc:Fallback>
    </mc:AlternateContent>
    <mc:AlternateContent xmlns:mc="http://schemas.openxmlformats.org/markup-compatibility/2006">
      <mc:Choice Requires="x14">
        <oleObject progId="Equation.DSMT4" shapeId="1371" r:id="rId361">
          <objectPr defaultSize="0" autoPict="0" r:id="rId15">
            <anchor moveWithCells="1">
              <from>
                <xdr:col>2</xdr:col>
                <xdr:colOff>428625</xdr:colOff>
                <xdr:row>203</xdr:row>
                <xdr:rowOff>152400</xdr:rowOff>
              </from>
              <to>
                <xdr:col>2</xdr:col>
                <xdr:colOff>609600</xdr:colOff>
                <xdr:row>204</xdr:row>
                <xdr:rowOff>104775</xdr:rowOff>
              </to>
            </anchor>
          </objectPr>
        </oleObject>
      </mc:Choice>
      <mc:Fallback>
        <oleObject progId="Equation.DSMT4" shapeId="1371" r:id="rId361"/>
      </mc:Fallback>
    </mc:AlternateContent>
    <mc:AlternateContent xmlns:mc="http://schemas.openxmlformats.org/markup-compatibility/2006">
      <mc:Choice Requires="x14">
        <oleObject progId="Equation.DSMT4" shapeId="1372" r:id="rId362">
          <objectPr defaultSize="0" autoPict="0" r:id="rId17">
            <anchor moveWithCells="1">
              <from>
                <xdr:col>3</xdr:col>
                <xdr:colOff>257175</xdr:colOff>
                <xdr:row>203</xdr:row>
                <xdr:rowOff>85725</xdr:rowOff>
              </from>
              <to>
                <xdr:col>3</xdr:col>
                <xdr:colOff>676275</xdr:colOff>
                <xdr:row>204</xdr:row>
                <xdr:rowOff>161925</xdr:rowOff>
              </to>
            </anchor>
          </objectPr>
        </oleObject>
      </mc:Choice>
      <mc:Fallback>
        <oleObject progId="Equation.DSMT4" shapeId="1372" r:id="rId362"/>
      </mc:Fallback>
    </mc:AlternateContent>
    <mc:AlternateContent xmlns:mc="http://schemas.openxmlformats.org/markup-compatibility/2006">
      <mc:Choice Requires="x14">
        <oleObject progId="Equation.DSMT4" shapeId="1373" r:id="rId363">
          <objectPr defaultSize="0" autoPict="0" r:id="rId19">
            <anchor moveWithCells="1">
              <from>
                <xdr:col>2</xdr:col>
                <xdr:colOff>295275</xdr:colOff>
                <xdr:row>206</xdr:row>
                <xdr:rowOff>104775</xdr:rowOff>
              </from>
              <to>
                <xdr:col>2</xdr:col>
                <xdr:colOff>733425</xdr:colOff>
                <xdr:row>208</xdr:row>
                <xdr:rowOff>0</xdr:rowOff>
              </to>
            </anchor>
          </objectPr>
        </oleObject>
      </mc:Choice>
      <mc:Fallback>
        <oleObject progId="Equation.DSMT4" shapeId="1373" r:id="rId363"/>
      </mc:Fallback>
    </mc:AlternateContent>
    <mc:AlternateContent xmlns:mc="http://schemas.openxmlformats.org/markup-compatibility/2006">
      <mc:Choice Requires="x14">
        <oleObject progId="Equation.DSMT4" shapeId="1374" r:id="rId364">
          <objectPr defaultSize="0" autoPict="0" r:id="rId21">
            <anchor moveWithCells="1">
              <from>
                <xdr:col>3</xdr:col>
                <xdr:colOff>295275</xdr:colOff>
                <xdr:row>206</xdr:row>
                <xdr:rowOff>104775</xdr:rowOff>
              </from>
              <to>
                <xdr:col>3</xdr:col>
                <xdr:colOff>733425</xdr:colOff>
                <xdr:row>208</xdr:row>
                <xdr:rowOff>0</xdr:rowOff>
              </to>
            </anchor>
          </objectPr>
        </oleObject>
      </mc:Choice>
      <mc:Fallback>
        <oleObject progId="Equation.DSMT4" shapeId="1374" r:id="rId364"/>
      </mc:Fallback>
    </mc:AlternateContent>
    <mc:AlternateContent xmlns:mc="http://schemas.openxmlformats.org/markup-compatibility/2006">
      <mc:Choice Requires="x14">
        <oleObject progId="Equation.DSMT4" shapeId="1375" r:id="rId365">
          <objectPr defaultSize="0" autoPict="0" r:id="rId23">
            <anchor moveWithCells="1">
              <from>
                <xdr:col>4</xdr:col>
                <xdr:colOff>314325</xdr:colOff>
                <xdr:row>203</xdr:row>
                <xdr:rowOff>85725</xdr:rowOff>
              </from>
              <to>
                <xdr:col>4</xdr:col>
                <xdr:colOff>733425</xdr:colOff>
                <xdr:row>204</xdr:row>
                <xdr:rowOff>161925</xdr:rowOff>
              </to>
            </anchor>
          </objectPr>
        </oleObject>
      </mc:Choice>
      <mc:Fallback>
        <oleObject progId="Equation.DSMT4" shapeId="1375" r:id="rId365"/>
      </mc:Fallback>
    </mc:AlternateContent>
    <mc:AlternateContent xmlns:mc="http://schemas.openxmlformats.org/markup-compatibility/2006">
      <mc:Choice Requires="x14">
        <oleObject progId="Equation.DSMT4" shapeId="1376" r:id="rId366">
          <objectPr defaultSize="0" autoPict="0" r:id="rId25">
            <anchor moveWithCells="1">
              <from>
                <xdr:col>4</xdr:col>
                <xdr:colOff>304800</xdr:colOff>
                <xdr:row>206</xdr:row>
                <xdr:rowOff>85725</xdr:rowOff>
              </from>
              <to>
                <xdr:col>4</xdr:col>
                <xdr:colOff>733425</xdr:colOff>
                <xdr:row>207</xdr:row>
                <xdr:rowOff>161925</xdr:rowOff>
              </to>
            </anchor>
          </objectPr>
        </oleObject>
      </mc:Choice>
      <mc:Fallback>
        <oleObject progId="Equation.DSMT4" shapeId="1376" r:id="rId366"/>
      </mc:Fallback>
    </mc:AlternateContent>
    <mc:AlternateContent xmlns:mc="http://schemas.openxmlformats.org/markup-compatibility/2006">
      <mc:Choice Requires="x14">
        <oleObject progId="Equation.DSMT4" shapeId="1377" r:id="rId367">
          <objectPr defaultSize="0" autoPict="0" r:id="rId27">
            <anchor moveWithCells="1">
              <from>
                <xdr:col>7</xdr:col>
                <xdr:colOff>304800</xdr:colOff>
                <xdr:row>206</xdr:row>
                <xdr:rowOff>76200</xdr:rowOff>
              </from>
              <to>
                <xdr:col>7</xdr:col>
                <xdr:colOff>733425</xdr:colOff>
                <xdr:row>207</xdr:row>
                <xdr:rowOff>161925</xdr:rowOff>
              </to>
            </anchor>
          </objectPr>
        </oleObject>
      </mc:Choice>
      <mc:Fallback>
        <oleObject progId="Equation.DSMT4" shapeId="1377" r:id="rId367"/>
      </mc:Fallback>
    </mc:AlternateContent>
    <mc:AlternateContent xmlns:mc="http://schemas.openxmlformats.org/markup-compatibility/2006">
      <mc:Choice Requires="x14">
        <oleObject progId="Equation.DSMT4" shapeId="1378" r:id="rId368">
          <objectPr defaultSize="0" autoPict="0" r:id="rId15">
            <anchor moveWithCells="1">
              <from>
                <xdr:col>13</xdr:col>
                <xdr:colOff>428625</xdr:colOff>
                <xdr:row>203</xdr:row>
                <xdr:rowOff>152400</xdr:rowOff>
              </from>
              <to>
                <xdr:col>13</xdr:col>
                <xdr:colOff>609600</xdr:colOff>
                <xdr:row>204</xdr:row>
                <xdr:rowOff>104775</xdr:rowOff>
              </to>
            </anchor>
          </objectPr>
        </oleObject>
      </mc:Choice>
      <mc:Fallback>
        <oleObject progId="Equation.DSMT4" shapeId="1378" r:id="rId368"/>
      </mc:Fallback>
    </mc:AlternateContent>
    <mc:AlternateContent xmlns:mc="http://schemas.openxmlformats.org/markup-compatibility/2006">
      <mc:Choice Requires="x14">
        <oleObject progId="Equation.DSMT4" shapeId="1379" r:id="rId369">
          <objectPr defaultSize="0" autoPict="0" r:id="rId17">
            <anchor moveWithCells="1">
              <from>
                <xdr:col>14</xdr:col>
                <xdr:colOff>257175</xdr:colOff>
                <xdr:row>203</xdr:row>
                <xdr:rowOff>85725</xdr:rowOff>
              </from>
              <to>
                <xdr:col>14</xdr:col>
                <xdr:colOff>676275</xdr:colOff>
                <xdr:row>204</xdr:row>
                <xdr:rowOff>161925</xdr:rowOff>
              </to>
            </anchor>
          </objectPr>
        </oleObject>
      </mc:Choice>
      <mc:Fallback>
        <oleObject progId="Equation.DSMT4" shapeId="1379" r:id="rId369"/>
      </mc:Fallback>
    </mc:AlternateContent>
    <mc:AlternateContent xmlns:mc="http://schemas.openxmlformats.org/markup-compatibility/2006">
      <mc:Choice Requires="x14">
        <oleObject progId="Equation.DSMT4" shapeId="1380" r:id="rId370">
          <objectPr defaultSize="0" autoPict="0" r:id="rId19">
            <anchor moveWithCells="1">
              <from>
                <xdr:col>13</xdr:col>
                <xdr:colOff>295275</xdr:colOff>
                <xdr:row>206</xdr:row>
                <xdr:rowOff>104775</xdr:rowOff>
              </from>
              <to>
                <xdr:col>13</xdr:col>
                <xdr:colOff>733425</xdr:colOff>
                <xdr:row>208</xdr:row>
                <xdr:rowOff>0</xdr:rowOff>
              </to>
            </anchor>
          </objectPr>
        </oleObject>
      </mc:Choice>
      <mc:Fallback>
        <oleObject progId="Equation.DSMT4" shapeId="1380" r:id="rId370"/>
      </mc:Fallback>
    </mc:AlternateContent>
    <mc:AlternateContent xmlns:mc="http://schemas.openxmlformats.org/markup-compatibility/2006">
      <mc:Choice Requires="x14">
        <oleObject progId="Equation.DSMT4" shapeId="1381" r:id="rId371">
          <objectPr defaultSize="0" autoPict="0" r:id="rId21">
            <anchor moveWithCells="1">
              <from>
                <xdr:col>14</xdr:col>
                <xdr:colOff>295275</xdr:colOff>
                <xdr:row>206</xdr:row>
                <xdr:rowOff>104775</xdr:rowOff>
              </from>
              <to>
                <xdr:col>14</xdr:col>
                <xdr:colOff>733425</xdr:colOff>
                <xdr:row>208</xdr:row>
                <xdr:rowOff>0</xdr:rowOff>
              </to>
            </anchor>
          </objectPr>
        </oleObject>
      </mc:Choice>
      <mc:Fallback>
        <oleObject progId="Equation.DSMT4" shapeId="1381" r:id="rId371"/>
      </mc:Fallback>
    </mc:AlternateContent>
    <mc:AlternateContent xmlns:mc="http://schemas.openxmlformats.org/markup-compatibility/2006">
      <mc:Choice Requires="x14">
        <oleObject progId="Equation.DSMT4" shapeId="1382" r:id="rId372">
          <objectPr defaultSize="0" autoPict="0" r:id="rId23">
            <anchor moveWithCells="1">
              <from>
                <xdr:col>15</xdr:col>
                <xdr:colOff>314325</xdr:colOff>
                <xdr:row>203</xdr:row>
                <xdr:rowOff>85725</xdr:rowOff>
              </from>
              <to>
                <xdr:col>15</xdr:col>
                <xdr:colOff>733425</xdr:colOff>
                <xdr:row>204</xdr:row>
                <xdr:rowOff>161925</xdr:rowOff>
              </to>
            </anchor>
          </objectPr>
        </oleObject>
      </mc:Choice>
      <mc:Fallback>
        <oleObject progId="Equation.DSMT4" shapeId="1382" r:id="rId372"/>
      </mc:Fallback>
    </mc:AlternateContent>
    <mc:AlternateContent xmlns:mc="http://schemas.openxmlformats.org/markup-compatibility/2006">
      <mc:Choice Requires="x14">
        <oleObject progId="Equation.DSMT4" shapeId="1383" r:id="rId373">
          <objectPr defaultSize="0" autoPict="0" r:id="rId25">
            <anchor moveWithCells="1">
              <from>
                <xdr:col>15</xdr:col>
                <xdr:colOff>304800</xdr:colOff>
                <xdr:row>206</xdr:row>
                <xdr:rowOff>85725</xdr:rowOff>
              </from>
              <to>
                <xdr:col>15</xdr:col>
                <xdr:colOff>733425</xdr:colOff>
                <xdr:row>207</xdr:row>
                <xdr:rowOff>161925</xdr:rowOff>
              </to>
            </anchor>
          </objectPr>
        </oleObject>
      </mc:Choice>
      <mc:Fallback>
        <oleObject progId="Equation.DSMT4" shapeId="1383" r:id="rId373"/>
      </mc:Fallback>
    </mc:AlternateContent>
    <mc:AlternateContent xmlns:mc="http://schemas.openxmlformats.org/markup-compatibility/2006">
      <mc:Choice Requires="x14">
        <oleObject progId="Equation.DSMT4" shapeId="1384" r:id="rId374">
          <objectPr defaultSize="0" autoPict="0" r:id="rId27">
            <anchor moveWithCells="1">
              <from>
                <xdr:col>18</xdr:col>
                <xdr:colOff>304800</xdr:colOff>
                <xdr:row>206</xdr:row>
                <xdr:rowOff>76200</xdr:rowOff>
              </from>
              <to>
                <xdr:col>18</xdr:col>
                <xdr:colOff>733425</xdr:colOff>
                <xdr:row>207</xdr:row>
                <xdr:rowOff>161925</xdr:rowOff>
              </to>
            </anchor>
          </objectPr>
        </oleObject>
      </mc:Choice>
      <mc:Fallback>
        <oleObject progId="Equation.DSMT4" shapeId="1384" r:id="rId374"/>
      </mc:Fallback>
    </mc:AlternateContent>
    <mc:AlternateContent xmlns:mc="http://schemas.openxmlformats.org/markup-compatibility/2006">
      <mc:Choice Requires="x14">
        <oleObject progId="Equation.DSMT4" shapeId="1385" r:id="rId375">
          <objectPr defaultSize="0" autoPict="0" r:id="rId15">
            <anchor moveWithCells="1">
              <from>
                <xdr:col>2</xdr:col>
                <xdr:colOff>428625</xdr:colOff>
                <xdr:row>223</xdr:row>
                <xdr:rowOff>152400</xdr:rowOff>
              </from>
              <to>
                <xdr:col>2</xdr:col>
                <xdr:colOff>609600</xdr:colOff>
                <xdr:row>224</xdr:row>
                <xdr:rowOff>104775</xdr:rowOff>
              </to>
            </anchor>
          </objectPr>
        </oleObject>
      </mc:Choice>
      <mc:Fallback>
        <oleObject progId="Equation.DSMT4" shapeId="1385" r:id="rId375"/>
      </mc:Fallback>
    </mc:AlternateContent>
    <mc:AlternateContent xmlns:mc="http://schemas.openxmlformats.org/markup-compatibility/2006">
      <mc:Choice Requires="x14">
        <oleObject progId="Equation.DSMT4" shapeId="1386" r:id="rId376">
          <objectPr defaultSize="0" autoPict="0" r:id="rId17">
            <anchor moveWithCells="1">
              <from>
                <xdr:col>3</xdr:col>
                <xdr:colOff>257175</xdr:colOff>
                <xdr:row>223</xdr:row>
                <xdr:rowOff>85725</xdr:rowOff>
              </from>
              <to>
                <xdr:col>3</xdr:col>
                <xdr:colOff>676275</xdr:colOff>
                <xdr:row>224</xdr:row>
                <xdr:rowOff>161925</xdr:rowOff>
              </to>
            </anchor>
          </objectPr>
        </oleObject>
      </mc:Choice>
      <mc:Fallback>
        <oleObject progId="Equation.DSMT4" shapeId="1386" r:id="rId376"/>
      </mc:Fallback>
    </mc:AlternateContent>
    <mc:AlternateContent xmlns:mc="http://schemas.openxmlformats.org/markup-compatibility/2006">
      <mc:Choice Requires="x14">
        <oleObject progId="Equation.DSMT4" shapeId="1387" r:id="rId377">
          <objectPr defaultSize="0" autoPict="0" r:id="rId19">
            <anchor moveWithCells="1">
              <from>
                <xdr:col>2</xdr:col>
                <xdr:colOff>295275</xdr:colOff>
                <xdr:row>226</xdr:row>
                <xdr:rowOff>104775</xdr:rowOff>
              </from>
              <to>
                <xdr:col>2</xdr:col>
                <xdr:colOff>733425</xdr:colOff>
                <xdr:row>228</xdr:row>
                <xdr:rowOff>0</xdr:rowOff>
              </to>
            </anchor>
          </objectPr>
        </oleObject>
      </mc:Choice>
      <mc:Fallback>
        <oleObject progId="Equation.DSMT4" shapeId="1387" r:id="rId377"/>
      </mc:Fallback>
    </mc:AlternateContent>
    <mc:AlternateContent xmlns:mc="http://schemas.openxmlformats.org/markup-compatibility/2006">
      <mc:Choice Requires="x14">
        <oleObject progId="Equation.DSMT4" shapeId="1388" r:id="rId378">
          <objectPr defaultSize="0" autoPict="0" r:id="rId21">
            <anchor moveWithCells="1">
              <from>
                <xdr:col>3</xdr:col>
                <xdr:colOff>295275</xdr:colOff>
                <xdr:row>226</xdr:row>
                <xdr:rowOff>104775</xdr:rowOff>
              </from>
              <to>
                <xdr:col>3</xdr:col>
                <xdr:colOff>733425</xdr:colOff>
                <xdr:row>228</xdr:row>
                <xdr:rowOff>0</xdr:rowOff>
              </to>
            </anchor>
          </objectPr>
        </oleObject>
      </mc:Choice>
      <mc:Fallback>
        <oleObject progId="Equation.DSMT4" shapeId="1388" r:id="rId378"/>
      </mc:Fallback>
    </mc:AlternateContent>
    <mc:AlternateContent xmlns:mc="http://schemas.openxmlformats.org/markup-compatibility/2006">
      <mc:Choice Requires="x14">
        <oleObject progId="Equation.DSMT4" shapeId="1389" r:id="rId379">
          <objectPr defaultSize="0" autoPict="0" r:id="rId23">
            <anchor moveWithCells="1">
              <from>
                <xdr:col>4</xdr:col>
                <xdr:colOff>314325</xdr:colOff>
                <xdr:row>223</xdr:row>
                <xdr:rowOff>85725</xdr:rowOff>
              </from>
              <to>
                <xdr:col>4</xdr:col>
                <xdr:colOff>733425</xdr:colOff>
                <xdr:row>224</xdr:row>
                <xdr:rowOff>161925</xdr:rowOff>
              </to>
            </anchor>
          </objectPr>
        </oleObject>
      </mc:Choice>
      <mc:Fallback>
        <oleObject progId="Equation.DSMT4" shapeId="1389" r:id="rId379"/>
      </mc:Fallback>
    </mc:AlternateContent>
    <mc:AlternateContent xmlns:mc="http://schemas.openxmlformats.org/markup-compatibility/2006">
      <mc:Choice Requires="x14">
        <oleObject progId="Equation.DSMT4" shapeId="1390" r:id="rId380">
          <objectPr defaultSize="0" autoPict="0" r:id="rId25">
            <anchor moveWithCells="1">
              <from>
                <xdr:col>4</xdr:col>
                <xdr:colOff>304800</xdr:colOff>
                <xdr:row>226</xdr:row>
                <xdr:rowOff>85725</xdr:rowOff>
              </from>
              <to>
                <xdr:col>4</xdr:col>
                <xdr:colOff>733425</xdr:colOff>
                <xdr:row>227</xdr:row>
                <xdr:rowOff>161925</xdr:rowOff>
              </to>
            </anchor>
          </objectPr>
        </oleObject>
      </mc:Choice>
      <mc:Fallback>
        <oleObject progId="Equation.DSMT4" shapeId="1390" r:id="rId380"/>
      </mc:Fallback>
    </mc:AlternateContent>
    <mc:AlternateContent xmlns:mc="http://schemas.openxmlformats.org/markup-compatibility/2006">
      <mc:Choice Requires="x14">
        <oleObject progId="Equation.DSMT4" shapeId="1391" r:id="rId381">
          <objectPr defaultSize="0" autoPict="0" r:id="rId27">
            <anchor moveWithCells="1">
              <from>
                <xdr:col>7</xdr:col>
                <xdr:colOff>304800</xdr:colOff>
                <xdr:row>226</xdr:row>
                <xdr:rowOff>76200</xdr:rowOff>
              </from>
              <to>
                <xdr:col>7</xdr:col>
                <xdr:colOff>733425</xdr:colOff>
                <xdr:row>227</xdr:row>
                <xdr:rowOff>161925</xdr:rowOff>
              </to>
            </anchor>
          </objectPr>
        </oleObject>
      </mc:Choice>
      <mc:Fallback>
        <oleObject progId="Equation.DSMT4" shapeId="1391" r:id="rId381"/>
      </mc:Fallback>
    </mc:AlternateContent>
    <mc:AlternateContent xmlns:mc="http://schemas.openxmlformats.org/markup-compatibility/2006">
      <mc:Choice Requires="x14">
        <oleObject progId="Equation.DSMT4" shapeId="1392" r:id="rId382">
          <objectPr defaultSize="0" autoPict="0" r:id="rId15">
            <anchor moveWithCells="1">
              <from>
                <xdr:col>13</xdr:col>
                <xdr:colOff>428625</xdr:colOff>
                <xdr:row>223</xdr:row>
                <xdr:rowOff>152400</xdr:rowOff>
              </from>
              <to>
                <xdr:col>13</xdr:col>
                <xdr:colOff>609600</xdr:colOff>
                <xdr:row>224</xdr:row>
                <xdr:rowOff>104775</xdr:rowOff>
              </to>
            </anchor>
          </objectPr>
        </oleObject>
      </mc:Choice>
      <mc:Fallback>
        <oleObject progId="Equation.DSMT4" shapeId="1392" r:id="rId382"/>
      </mc:Fallback>
    </mc:AlternateContent>
    <mc:AlternateContent xmlns:mc="http://schemas.openxmlformats.org/markup-compatibility/2006">
      <mc:Choice Requires="x14">
        <oleObject progId="Equation.DSMT4" shapeId="1393" r:id="rId383">
          <objectPr defaultSize="0" autoPict="0" r:id="rId17">
            <anchor moveWithCells="1">
              <from>
                <xdr:col>14</xdr:col>
                <xdr:colOff>257175</xdr:colOff>
                <xdr:row>223</xdr:row>
                <xdr:rowOff>85725</xdr:rowOff>
              </from>
              <to>
                <xdr:col>14</xdr:col>
                <xdr:colOff>676275</xdr:colOff>
                <xdr:row>224</xdr:row>
                <xdr:rowOff>161925</xdr:rowOff>
              </to>
            </anchor>
          </objectPr>
        </oleObject>
      </mc:Choice>
      <mc:Fallback>
        <oleObject progId="Equation.DSMT4" shapeId="1393" r:id="rId383"/>
      </mc:Fallback>
    </mc:AlternateContent>
    <mc:AlternateContent xmlns:mc="http://schemas.openxmlformats.org/markup-compatibility/2006">
      <mc:Choice Requires="x14">
        <oleObject progId="Equation.DSMT4" shapeId="1394" r:id="rId384">
          <objectPr defaultSize="0" autoPict="0" r:id="rId19">
            <anchor moveWithCells="1">
              <from>
                <xdr:col>13</xdr:col>
                <xdr:colOff>295275</xdr:colOff>
                <xdr:row>226</xdr:row>
                <xdr:rowOff>104775</xdr:rowOff>
              </from>
              <to>
                <xdr:col>13</xdr:col>
                <xdr:colOff>733425</xdr:colOff>
                <xdr:row>228</xdr:row>
                <xdr:rowOff>0</xdr:rowOff>
              </to>
            </anchor>
          </objectPr>
        </oleObject>
      </mc:Choice>
      <mc:Fallback>
        <oleObject progId="Equation.DSMT4" shapeId="1394" r:id="rId384"/>
      </mc:Fallback>
    </mc:AlternateContent>
    <mc:AlternateContent xmlns:mc="http://schemas.openxmlformats.org/markup-compatibility/2006">
      <mc:Choice Requires="x14">
        <oleObject progId="Equation.DSMT4" shapeId="1395" r:id="rId385">
          <objectPr defaultSize="0" autoPict="0" r:id="rId21">
            <anchor moveWithCells="1">
              <from>
                <xdr:col>14</xdr:col>
                <xdr:colOff>295275</xdr:colOff>
                <xdr:row>226</xdr:row>
                <xdr:rowOff>104775</xdr:rowOff>
              </from>
              <to>
                <xdr:col>14</xdr:col>
                <xdr:colOff>733425</xdr:colOff>
                <xdr:row>228</xdr:row>
                <xdr:rowOff>0</xdr:rowOff>
              </to>
            </anchor>
          </objectPr>
        </oleObject>
      </mc:Choice>
      <mc:Fallback>
        <oleObject progId="Equation.DSMT4" shapeId="1395" r:id="rId385"/>
      </mc:Fallback>
    </mc:AlternateContent>
    <mc:AlternateContent xmlns:mc="http://schemas.openxmlformats.org/markup-compatibility/2006">
      <mc:Choice Requires="x14">
        <oleObject progId="Equation.DSMT4" shapeId="1396" r:id="rId386">
          <objectPr defaultSize="0" autoPict="0" r:id="rId23">
            <anchor moveWithCells="1">
              <from>
                <xdr:col>15</xdr:col>
                <xdr:colOff>314325</xdr:colOff>
                <xdr:row>223</xdr:row>
                <xdr:rowOff>85725</xdr:rowOff>
              </from>
              <to>
                <xdr:col>15</xdr:col>
                <xdr:colOff>733425</xdr:colOff>
                <xdr:row>224</xdr:row>
                <xdr:rowOff>161925</xdr:rowOff>
              </to>
            </anchor>
          </objectPr>
        </oleObject>
      </mc:Choice>
      <mc:Fallback>
        <oleObject progId="Equation.DSMT4" shapeId="1396" r:id="rId386"/>
      </mc:Fallback>
    </mc:AlternateContent>
    <mc:AlternateContent xmlns:mc="http://schemas.openxmlformats.org/markup-compatibility/2006">
      <mc:Choice Requires="x14">
        <oleObject progId="Equation.DSMT4" shapeId="1397" r:id="rId387">
          <objectPr defaultSize="0" autoPict="0" r:id="rId25">
            <anchor moveWithCells="1">
              <from>
                <xdr:col>15</xdr:col>
                <xdr:colOff>304800</xdr:colOff>
                <xdr:row>226</xdr:row>
                <xdr:rowOff>85725</xdr:rowOff>
              </from>
              <to>
                <xdr:col>15</xdr:col>
                <xdr:colOff>733425</xdr:colOff>
                <xdr:row>227</xdr:row>
                <xdr:rowOff>161925</xdr:rowOff>
              </to>
            </anchor>
          </objectPr>
        </oleObject>
      </mc:Choice>
      <mc:Fallback>
        <oleObject progId="Equation.DSMT4" shapeId="1397" r:id="rId387"/>
      </mc:Fallback>
    </mc:AlternateContent>
    <mc:AlternateContent xmlns:mc="http://schemas.openxmlformats.org/markup-compatibility/2006">
      <mc:Choice Requires="x14">
        <oleObject progId="Equation.DSMT4" shapeId="1398" r:id="rId388">
          <objectPr defaultSize="0" autoPict="0" r:id="rId27">
            <anchor moveWithCells="1">
              <from>
                <xdr:col>18</xdr:col>
                <xdr:colOff>304800</xdr:colOff>
                <xdr:row>226</xdr:row>
                <xdr:rowOff>76200</xdr:rowOff>
              </from>
              <to>
                <xdr:col>18</xdr:col>
                <xdr:colOff>733425</xdr:colOff>
                <xdr:row>227</xdr:row>
                <xdr:rowOff>161925</xdr:rowOff>
              </to>
            </anchor>
          </objectPr>
        </oleObject>
      </mc:Choice>
      <mc:Fallback>
        <oleObject progId="Equation.DSMT4" shapeId="1398" r:id="rId388"/>
      </mc:Fallback>
    </mc:AlternateContent>
    <mc:AlternateContent xmlns:mc="http://schemas.openxmlformats.org/markup-compatibility/2006">
      <mc:Choice Requires="x14">
        <oleObject progId="Equation.DSMT4" shapeId="1399" r:id="rId389">
          <objectPr defaultSize="0" autoPict="0" r:id="rId15">
            <anchor moveWithCells="1">
              <from>
                <xdr:col>2</xdr:col>
                <xdr:colOff>428625</xdr:colOff>
                <xdr:row>243</xdr:row>
                <xdr:rowOff>152400</xdr:rowOff>
              </from>
              <to>
                <xdr:col>2</xdr:col>
                <xdr:colOff>609600</xdr:colOff>
                <xdr:row>244</xdr:row>
                <xdr:rowOff>104775</xdr:rowOff>
              </to>
            </anchor>
          </objectPr>
        </oleObject>
      </mc:Choice>
      <mc:Fallback>
        <oleObject progId="Equation.DSMT4" shapeId="1399" r:id="rId389"/>
      </mc:Fallback>
    </mc:AlternateContent>
    <mc:AlternateContent xmlns:mc="http://schemas.openxmlformats.org/markup-compatibility/2006">
      <mc:Choice Requires="x14">
        <oleObject progId="Equation.DSMT4" shapeId="1400" r:id="rId390">
          <objectPr defaultSize="0" autoPict="0" r:id="rId17">
            <anchor moveWithCells="1">
              <from>
                <xdr:col>3</xdr:col>
                <xdr:colOff>257175</xdr:colOff>
                <xdr:row>243</xdr:row>
                <xdr:rowOff>85725</xdr:rowOff>
              </from>
              <to>
                <xdr:col>3</xdr:col>
                <xdr:colOff>676275</xdr:colOff>
                <xdr:row>244</xdr:row>
                <xdr:rowOff>161925</xdr:rowOff>
              </to>
            </anchor>
          </objectPr>
        </oleObject>
      </mc:Choice>
      <mc:Fallback>
        <oleObject progId="Equation.DSMT4" shapeId="1400" r:id="rId390"/>
      </mc:Fallback>
    </mc:AlternateContent>
    <mc:AlternateContent xmlns:mc="http://schemas.openxmlformats.org/markup-compatibility/2006">
      <mc:Choice Requires="x14">
        <oleObject progId="Equation.DSMT4" shapeId="1401" r:id="rId391">
          <objectPr defaultSize="0" autoPict="0" r:id="rId19">
            <anchor moveWithCells="1">
              <from>
                <xdr:col>2</xdr:col>
                <xdr:colOff>295275</xdr:colOff>
                <xdr:row>246</xdr:row>
                <xdr:rowOff>104775</xdr:rowOff>
              </from>
              <to>
                <xdr:col>2</xdr:col>
                <xdr:colOff>733425</xdr:colOff>
                <xdr:row>248</xdr:row>
                <xdr:rowOff>0</xdr:rowOff>
              </to>
            </anchor>
          </objectPr>
        </oleObject>
      </mc:Choice>
      <mc:Fallback>
        <oleObject progId="Equation.DSMT4" shapeId="1401" r:id="rId391"/>
      </mc:Fallback>
    </mc:AlternateContent>
    <mc:AlternateContent xmlns:mc="http://schemas.openxmlformats.org/markup-compatibility/2006">
      <mc:Choice Requires="x14">
        <oleObject progId="Equation.DSMT4" shapeId="1402" r:id="rId392">
          <objectPr defaultSize="0" autoPict="0" r:id="rId21">
            <anchor moveWithCells="1">
              <from>
                <xdr:col>3</xdr:col>
                <xdr:colOff>295275</xdr:colOff>
                <xdr:row>246</xdr:row>
                <xdr:rowOff>104775</xdr:rowOff>
              </from>
              <to>
                <xdr:col>3</xdr:col>
                <xdr:colOff>733425</xdr:colOff>
                <xdr:row>248</xdr:row>
                <xdr:rowOff>0</xdr:rowOff>
              </to>
            </anchor>
          </objectPr>
        </oleObject>
      </mc:Choice>
      <mc:Fallback>
        <oleObject progId="Equation.DSMT4" shapeId="1402" r:id="rId392"/>
      </mc:Fallback>
    </mc:AlternateContent>
    <mc:AlternateContent xmlns:mc="http://schemas.openxmlformats.org/markup-compatibility/2006">
      <mc:Choice Requires="x14">
        <oleObject progId="Equation.DSMT4" shapeId="1403" r:id="rId393">
          <objectPr defaultSize="0" autoPict="0" r:id="rId23">
            <anchor moveWithCells="1">
              <from>
                <xdr:col>4</xdr:col>
                <xdr:colOff>314325</xdr:colOff>
                <xdr:row>243</xdr:row>
                <xdr:rowOff>85725</xdr:rowOff>
              </from>
              <to>
                <xdr:col>4</xdr:col>
                <xdr:colOff>733425</xdr:colOff>
                <xdr:row>244</xdr:row>
                <xdr:rowOff>161925</xdr:rowOff>
              </to>
            </anchor>
          </objectPr>
        </oleObject>
      </mc:Choice>
      <mc:Fallback>
        <oleObject progId="Equation.DSMT4" shapeId="1403" r:id="rId393"/>
      </mc:Fallback>
    </mc:AlternateContent>
    <mc:AlternateContent xmlns:mc="http://schemas.openxmlformats.org/markup-compatibility/2006">
      <mc:Choice Requires="x14">
        <oleObject progId="Equation.DSMT4" shapeId="1404" r:id="rId394">
          <objectPr defaultSize="0" autoPict="0" r:id="rId25">
            <anchor moveWithCells="1">
              <from>
                <xdr:col>4</xdr:col>
                <xdr:colOff>304800</xdr:colOff>
                <xdr:row>246</xdr:row>
                <xdr:rowOff>85725</xdr:rowOff>
              </from>
              <to>
                <xdr:col>4</xdr:col>
                <xdr:colOff>733425</xdr:colOff>
                <xdr:row>247</xdr:row>
                <xdr:rowOff>161925</xdr:rowOff>
              </to>
            </anchor>
          </objectPr>
        </oleObject>
      </mc:Choice>
      <mc:Fallback>
        <oleObject progId="Equation.DSMT4" shapeId="1404" r:id="rId394"/>
      </mc:Fallback>
    </mc:AlternateContent>
    <mc:AlternateContent xmlns:mc="http://schemas.openxmlformats.org/markup-compatibility/2006">
      <mc:Choice Requires="x14">
        <oleObject progId="Equation.DSMT4" shapeId="1405" r:id="rId395">
          <objectPr defaultSize="0" autoPict="0" r:id="rId27">
            <anchor moveWithCells="1">
              <from>
                <xdr:col>7</xdr:col>
                <xdr:colOff>304800</xdr:colOff>
                <xdr:row>246</xdr:row>
                <xdr:rowOff>76200</xdr:rowOff>
              </from>
              <to>
                <xdr:col>7</xdr:col>
                <xdr:colOff>733425</xdr:colOff>
                <xdr:row>247</xdr:row>
                <xdr:rowOff>161925</xdr:rowOff>
              </to>
            </anchor>
          </objectPr>
        </oleObject>
      </mc:Choice>
      <mc:Fallback>
        <oleObject progId="Equation.DSMT4" shapeId="1405" r:id="rId395"/>
      </mc:Fallback>
    </mc:AlternateContent>
    <mc:AlternateContent xmlns:mc="http://schemas.openxmlformats.org/markup-compatibility/2006">
      <mc:Choice Requires="x14">
        <oleObject progId="Equation.DSMT4" shapeId="1406" r:id="rId396">
          <objectPr defaultSize="0" autoPict="0" r:id="rId15">
            <anchor moveWithCells="1">
              <from>
                <xdr:col>13</xdr:col>
                <xdr:colOff>428625</xdr:colOff>
                <xdr:row>243</xdr:row>
                <xdr:rowOff>152400</xdr:rowOff>
              </from>
              <to>
                <xdr:col>13</xdr:col>
                <xdr:colOff>609600</xdr:colOff>
                <xdr:row>244</xdr:row>
                <xdr:rowOff>104775</xdr:rowOff>
              </to>
            </anchor>
          </objectPr>
        </oleObject>
      </mc:Choice>
      <mc:Fallback>
        <oleObject progId="Equation.DSMT4" shapeId="1406" r:id="rId396"/>
      </mc:Fallback>
    </mc:AlternateContent>
    <mc:AlternateContent xmlns:mc="http://schemas.openxmlformats.org/markup-compatibility/2006">
      <mc:Choice Requires="x14">
        <oleObject progId="Equation.DSMT4" shapeId="1407" r:id="rId397">
          <objectPr defaultSize="0" autoPict="0" r:id="rId17">
            <anchor moveWithCells="1">
              <from>
                <xdr:col>14</xdr:col>
                <xdr:colOff>257175</xdr:colOff>
                <xdr:row>243</xdr:row>
                <xdr:rowOff>85725</xdr:rowOff>
              </from>
              <to>
                <xdr:col>14</xdr:col>
                <xdr:colOff>676275</xdr:colOff>
                <xdr:row>244</xdr:row>
                <xdr:rowOff>161925</xdr:rowOff>
              </to>
            </anchor>
          </objectPr>
        </oleObject>
      </mc:Choice>
      <mc:Fallback>
        <oleObject progId="Equation.DSMT4" shapeId="1407" r:id="rId397"/>
      </mc:Fallback>
    </mc:AlternateContent>
    <mc:AlternateContent xmlns:mc="http://schemas.openxmlformats.org/markup-compatibility/2006">
      <mc:Choice Requires="x14">
        <oleObject progId="Equation.DSMT4" shapeId="1408" r:id="rId398">
          <objectPr defaultSize="0" autoPict="0" r:id="rId19">
            <anchor moveWithCells="1">
              <from>
                <xdr:col>13</xdr:col>
                <xdr:colOff>295275</xdr:colOff>
                <xdr:row>246</xdr:row>
                <xdr:rowOff>104775</xdr:rowOff>
              </from>
              <to>
                <xdr:col>13</xdr:col>
                <xdr:colOff>733425</xdr:colOff>
                <xdr:row>248</xdr:row>
                <xdr:rowOff>0</xdr:rowOff>
              </to>
            </anchor>
          </objectPr>
        </oleObject>
      </mc:Choice>
      <mc:Fallback>
        <oleObject progId="Equation.DSMT4" shapeId="1408" r:id="rId398"/>
      </mc:Fallback>
    </mc:AlternateContent>
    <mc:AlternateContent xmlns:mc="http://schemas.openxmlformats.org/markup-compatibility/2006">
      <mc:Choice Requires="x14">
        <oleObject progId="Equation.DSMT4" shapeId="1409" r:id="rId399">
          <objectPr defaultSize="0" autoPict="0" r:id="rId21">
            <anchor moveWithCells="1">
              <from>
                <xdr:col>14</xdr:col>
                <xdr:colOff>295275</xdr:colOff>
                <xdr:row>246</xdr:row>
                <xdr:rowOff>104775</xdr:rowOff>
              </from>
              <to>
                <xdr:col>14</xdr:col>
                <xdr:colOff>733425</xdr:colOff>
                <xdr:row>248</xdr:row>
                <xdr:rowOff>0</xdr:rowOff>
              </to>
            </anchor>
          </objectPr>
        </oleObject>
      </mc:Choice>
      <mc:Fallback>
        <oleObject progId="Equation.DSMT4" shapeId="1409" r:id="rId399"/>
      </mc:Fallback>
    </mc:AlternateContent>
    <mc:AlternateContent xmlns:mc="http://schemas.openxmlformats.org/markup-compatibility/2006">
      <mc:Choice Requires="x14">
        <oleObject progId="Equation.DSMT4" shapeId="1410" r:id="rId400">
          <objectPr defaultSize="0" autoPict="0" r:id="rId23">
            <anchor moveWithCells="1">
              <from>
                <xdr:col>15</xdr:col>
                <xdr:colOff>314325</xdr:colOff>
                <xdr:row>243</xdr:row>
                <xdr:rowOff>85725</xdr:rowOff>
              </from>
              <to>
                <xdr:col>15</xdr:col>
                <xdr:colOff>733425</xdr:colOff>
                <xdr:row>244</xdr:row>
                <xdr:rowOff>161925</xdr:rowOff>
              </to>
            </anchor>
          </objectPr>
        </oleObject>
      </mc:Choice>
      <mc:Fallback>
        <oleObject progId="Equation.DSMT4" shapeId="1410" r:id="rId400"/>
      </mc:Fallback>
    </mc:AlternateContent>
    <mc:AlternateContent xmlns:mc="http://schemas.openxmlformats.org/markup-compatibility/2006">
      <mc:Choice Requires="x14">
        <oleObject progId="Equation.DSMT4" shapeId="1411" r:id="rId401">
          <objectPr defaultSize="0" autoPict="0" r:id="rId25">
            <anchor moveWithCells="1">
              <from>
                <xdr:col>15</xdr:col>
                <xdr:colOff>304800</xdr:colOff>
                <xdr:row>246</xdr:row>
                <xdr:rowOff>85725</xdr:rowOff>
              </from>
              <to>
                <xdr:col>15</xdr:col>
                <xdr:colOff>733425</xdr:colOff>
                <xdr:row>247</xdr:row>
                <xdr:rowOff>161925</xdr:rowOff>
              </to>
            </anchor>
          </objectPr>
        </oleObject>
      </mc:Choice>
      <mc:Fallback>
        <oleObject progId="Equation.DSMT4" shapeId="1411" r:id="rId401"/>
      </mc:Fallback>
    </mc:AlternateContent>
    <mc:AlternateContent xmlns:mc="http://schemas.openxmlformats.org/markup-compatibility/2006">
      <mc:Choice Requires="x14">
        <oleObject progId="Equation.DSMT4" shapeId="1412" r:id="rId402">
          <objectPr defaultSize="0" autoPict="0" r:id="rId27">
            <anchor moveWithCells="1">
              <from>
                <xdr:col>18</xdr:col>
                <xdr:colOff>304800</xdr:colOff>
                <xdr:row>246</xdr:row>
                <xdr:rowOff>76200</xdr:rowOff>
              </from>
              <to>
                <xdr:col>18</xdr:col>
                <xdr:colOff>733425</xdr:colOff>
                <xdr:row>247</xdr:row>
                <xdr:rowOff>161925</xdr:rowOff>
              </to>
            </anchor>
          </objectPr>
        </oleObject>
      </mc:Choice>
      <mc:Fallback>
        <oleObject progId="Equation.DSMT4" shapeId="1412" r:id="rId402"/>
      </mc:Fallback>
    </mc:AlternateContent>
    <mc:AlternateContent xmlns:mc="http://schemas.openxmlformats.org/markup-compatibility/2006">
      <mc:Choice Requires="x14">
        <oleObject progId="Equation.DSMT4" shapeId="1413" r:id="rId403">
          <objectPr defaultSize="0" autoPict="0" r:id="rId15">
            <anchor moveWithCells="1">
              <from>
                <xdr:col>2</xdr:col>
                <xdr:colOff>428625</xdr:colOff>
                <xdr:row>263</xdr:row>
                <xdr:rowOff>152400</xdr:rowOff>
              </from>
              <to>
                <xdr:col>2</xdr:col>
                <xdr:colOff>609600</xdr:colOff>
                <xdr:row>264</xdr:row>
                <xdr:rowOff>104775</xdr:rowOff>
              </to>
            </anchor>
          </objectPr>
        </oleObject>
      </mc:Choice>
      <mc:Fallback>
        <oleObject progId="Equation.DSMT4" shapeId="1413" r:id="rId403"/>
      </mc:Fallback>
    </mc:AlternateContent>
    <mc:AlternateContent xmlns:mc="http://schemas.openxmlformats.org/markup-compatibility/2006">
      <mc:Choice Requires="x14">
        <oleObject progId="Equation.DSMT4" shapeId="1414" r:id="rId404">
          <objectPr defaultSize="0" autoPict="0" r:id="rId17">
            <anchor moveWithCells="1">
              <from>
                <xdr:col>3</xdr:col>
                <xdr:colOff>257175</xdr:colOff>
                <xdr:row>263</xdr:row>
                <xdr:rowOff>85725</xdr:rowOff>
              </from>
              <to>
                <xdr:col>3</xdr:col>
                <xdr:colOff>676275</xdr:colOff>
                <xdr:row>264</xdr:row>
                <xdr:rowOff>161925</xdr:rowOff>
              </to>
            </anchor>
          </objectPr>
        </oleObject>
      </mc:Choice>
      <mc:Fallback>
        <oleObject progId="Equation.DSMT4" shapeId="1414" r:id="rId404"/>
      </mc:Fallback>
    </mc:AlternateContent>
    <mc:AlternateContent xmlns:mc="http://schemas.openxmlformats.org/markup-compatibility/2006">
      <mc:Choice Requires="x14">
        <oleObject progId="Equation.DSMT4" shapeId="1415" r:id="rId405">
          <objectPr defaultSize="0" autoPict="0" r:id="rId19">
            <anchor moveWithCells="1">
              <from>
                <xdr:col>2</xdr:col>
                <xdr:colOff>295275</xdr:colOff>
                <xdr:row>266</xdr:row>
                <xdr:rowOff>104775</xdr:rowOff>
              </from>
              <to>
                <xdr:col>2</xdr:col>
                <xdr:colOff>733425</xdr:colOff>
                <xdr:row>268</xdr:row>
                <xdr:rowOff>0</xdr:rowOff>
              </to>
            </anchor>
          </objectPr>
        </oleObject>
      </mc:Choice>
      <mc:Fallback>
        <oleObject progId="Equation.DSMT4" shapeId="1415" r:id="rId405"/>
      </mc:Fallback>
    </mc:AlternateContent>
    <mc:AlternateContent xmlns:mc="http://schemas.openxmlformats.org/markup-compatibility/2006">
      <mc:Choice Requires="x14">
        <oleObject progId="Equation.DSMT4" shapeId="1416" r:id="rId406">
          <objectPr defaultSize="0" autoPict="0" r:id="rId21">
            <anchor moveWithCells="1">
              <from>
                <xdr:col>3</xdr:col>
                <xdr:colOff>295275</xdr:colOff>
                <xdr:row>266</xdr:row>
                <xdr:rowOff>104775</xdr:rowOff>
              </from>
              <to>
                <xdr:col>3</xdr:col>
                <xdr:colOff>733425</xdr:colOff>
                <xdr:row>268</xdr:row>
                <xdr:rowOff>0</xdr:rowOff>
              </to>
            </anchor>
          </objectPr>
        </oleObject>
      </mc:Choice>
      <mc:Fallback>
        <oleObject progId="Equation.DSMT4" shapeId="1416" r:id="rId406"/>
      </mc:Fallback>
    </mc:AlternateContent>
    <mc:AlternateContent xmlns:mc="http://schemas.openxmlformats.org/markup-compatibility/2006">
      <mc:Choice Requires="x14">
        <oleObject progId="Equation.DSMT4" shapeId="1417" r:id="rId407">
          <objectPr defaultSize="0" autoPict="0" r:id="rId23">
            <anchor moveWithCells="1">
              <from>
                <xdr:col>4</xdr:col>
                <xdr:colOff>314325</xdr:colOff>
                <xdr:row>263</xdr:row>
                <xdr:rowOff>85725</xdr:rowOff>
              </from>
              <to>
                <xdr:col>4</xdr:col>
                <xdr:colOff>733425</xdr:colOff>
                <xdr:row>264</xdr:row>
                <xdr:rowOff>161925</xdr:rowOff>
              </to>
            </anchor>
          </objectPr>
        </oleObject>
      </mc:Choice>
      <mc:Fallback>
        <oleObject progId="Equation.DSMT4" shapeId="1417" r:id="rId407"/>
      </mc:Fallback>
    </mc:AlternateContent>
    <mc:AlternateContent xmlns:mc="http://schemas.openxmlformats.org/markup-compatibility/2006">
      <mc:Choice Requires="x14">
        <oleObject progId="Equation.DSMT4" shapeId="1418" r:id="rId408">
          <objectPr defaultSize="0" autoPict="0" r:id="rId25">
            <anchor moveWithCells="1">
              <from>
                <xdr:col>4</xdr:col>
                <xdr:colOff>304800</xdr:colOff>
                <xdr:row>266</xdr:row>
                <xdr:rowOff>85725</xdr:rowOff>
              </from>
              <to>
                <xdr:col>4</xdr:col>
                <xdr:colOff>733425</xdr:colOff>
                <xdr:row>267</xdr:row>
                <xdr:rowOff>161925</xdr:rowOff>
              </to>
            </anchor>
          </objectPr>
        </oleObject>
      </mc:Choice>
      <mc:Fallback>
        <oleObject progId="Equation.DSMT4" shapeId="1418" r:id="rId408"/>
      </mc:Fallback>
    </mc:AlternateContent>
    <mc:AlternateContent xmlns:mc="http://schemas.openxmlformats.org/markup-compatibility/2006">
      <mc:Choice Requires="x14">
        <oleObject progId="Equation.DSMT4" shapeId="1419" r:id="rId409">
          <objectPr defaultSize="0" autoPict="0" r:id="rId27">
            <anchor moveWithCells="1">
              <from>
                <xdr:col>7</xdr:col>
                <xdr:colOff>304800</xdr:colOff>
                <xdr:row>266</xdr:row>
                <xdr:rowOff>76200</xdr:rowOff>
              </from>
              <to>
                <xdr:col>7</xdr:col>
                <xdr:colOff>733425</xdr:colOff>
                <xdr:row>267</xdr:row>
                <xdr:rowOff>161925</xdr:rowOff>
              </to>
            </anchor>
          </objectPr>
        </oleObject>
      </mc:Choice>
      <mc:Fallback>
        <oleObject progId="Equation.DSMT4" shapeId="1419" r:id="rId409"/>
      </mc:Fallback>
    </mc:AlternateContent>
    <mc:AlternateContent xmlns:mc="http://schemas.openxmlformats.org/markup-compatibility/2006">
      <mc:Choice Requires="x14">
        <oleObject progId="Equation.DSMT4" shapeId="1420" r:id="rId410">
          <objectPr defaultSize="0" autoPict="0" r:id="rId15">
            <anchor moveWithCells="1">
              <from>
                <xdr:col>13</xdr:col>
                <xdr:colOff>428625</xdr:colOff>
                <xdr:row>263</xdr:row>
                <xdr:rowOff>152400</xdr:rowOff>
              </from>
              <to>
                <xdr:col>13</xdr:col>
                <xdr:colOff>609600</xdr:colOff>
                <xdr:row>264</xdr:row>
                <xdr:rowOff>104775</xdr:rowOff>
              </to>
            </anchor>
          </objectPr>
        </oleObject>
      </mc:Choice>
      <mc:Fallback>
        <oleObject progId="Equation.DSMT4" shapeId="1420" r:id="rId410"/>
      </mc:Fallback>
    </mc:AlternateContent>
    <mc:AlternateContent xmlns:mc="http://schemas.openxmlformats.org/markup-compatibility/2006">
      <mc:Choice Requires="x14">
        <oleObject progId="Equation.DSMT4" shapeId="1421" r:id="rId411">
          <objectPr defaultSize="0" autoPict="0" r:id="rId17">
            <anchor moveWithCells="1">
              <from>
                <xdr:col>14</xdr:col>
                <xdr:colOff>257175</xdr:colOff>
                <xdr:row>263</xdr:row>
                <xdr:rowOff>85725</xdr:rowOff>
              </from>
              <to>
                <xdr:col>14</xdr:col>
                <xdr:colOff>676275</xdr:colOff>
                <xdr:row>264</xdr:row>
                <xdr:rowOff>161925</xdr:rowOff>
              </to>
            </anchor>
          </objectPr>
        </oleObject>
      </mc:Choice>
      <mc:Fallback>
        <oleObject progId="Equation.DSMT4" shapeId="1421" r:id="rId411"/>
      </mc:Fallback>
    </mc:AlternateContent>
    <mc:AlternateContent xmlns:mc="http://schemas.openxmlformats.org/markup-compatibility/2006">
      <mc:Choice Requires="x14">
        <oleObject progId="Equation.DSMT4" shapeId="1422" r:id="rId412">
          <objectPr defaultSize="0" autoPict="0" r:id="rId19">
            <anchor moveWithCells="1">
              <from>
                <xdr:col>13</xdr:col>
                <xdr:colOff>295275</xdr:colOff>
                <xdr:row>266</xdr:row>
                <xdr:rowOff>104775</xdr:rowOff>
              </from>
              <to>
                <xdr:col>13</xdr:col>
                <xdr:colOff>733425</xdr:colOff>
                <xdr:row>268</xdr:row>
                <xdr:rowOff>0</xdr:rowOff>
              </to>
            </anchor>
          </objectPr>
        </oleObject>
      </mc:Choice>
      <mc:Fallback>
        <oleObject progId="Equation.DSMT4" shapeId="1422" r:id="rId412"/>
      </mc:Fallback>
    </mc:AlternateContent>
    <mc:AlternateContent xmlns:mc="http://schemas.openxmlformats.org/markup-compatibility/2006">
      <mc:Choice Requires="x14">
        <oleObject progId="Equation.DSMT4" shapeId="1423" r:id="rId413">
          <objectPr defaultSize="0" autoPict="0" r:id="rId21">
            <anchor moveWithCells="1">
              <from>
                <xdr:col>14</xdr:col>
                <xdr:colOff>295275</xdr:colOff>
                <xdr:row>266</xdr:row>
                <xdr:rowOff>104775</xdr:rowOff>
              </from>
              <to>
                <xdr:col>14</xdr:col>
                <xdr:colOff>733425</xdr:colOff>
                <xdr:row>268</xdr:row>
                <xdr:rowOff>0</xdr:rowOff>
              </to>
            </anchor>
          </objectPr>
        </oleObject>
      </mc:Choice>
      <mc:Fallback>
        <oleObject progId="Equation.DSMT4" shapeId="1423" r:id="rId413"/>
      </mc:Fallback>
    </mc:AlternateContent>
    <mc:AlternateContent xmlns:mc="http://schemas.openxmlformats.org/markup-compatibility/2006">
      <mc:Choice Requires="x14">
        <oleObject progId="Equation.DSMT4" shapeId="1424" r:id="rId414">
          <objectPr defaultSize="0" autoPict="0" r:id="rId23">
            <anchor moveWithCells="1">
              <from>
                <xdr:col>15</xdr:col>
                <xdr:colOff>314325</xdr:colOff>
                <xdr:row>263</xdr:row>
                <xdr:rowOff>85725</xdr:rowOff>
              </from>
              <to>
                <xdr:col>15</xdr:col>
                <xdr:colOff>733425</xdr:colOff>
                <xdr:row>264</xdr:row>
                <xdr:rowOff>161925</xdr:rowOff>
              </to>
            </anchor>
          </objectPr>
        </oleObject>
      </mc:Choice>
      <mc:Fallback>
        <oleObject progId="Equation.DSMT4" shapeId="1424" r:id="rId414"/>
      </mc:Fallback>
    </mc:AlternateContent>
    <mc:AlternateContent xmlns:mc="http://schemas.openxmlformats.org/markup-compatibility/2006">
      <mc:Choice Requires="x14">
        <oleObject progId="Equation.DSMT4" shapeId="1425" r:id="rId415">
          <objectPr defaultSize="0" autoPict="0" r:id="rId25">
            <anchor moveWithCells="1">
              <from>
                <xdr:col>15</xdr:col>
                <xdr:colOff>304800</xdr:colOff>
                <xdr:row>266</xdr:row>
                <xdr:rowOff>85725</xdr:rowOff>
              </from>
              <to>
                <xdr:col>15</xdr:col>
                <xdr:colOff>733425</xdr:colOff>
                <xdr:row>267</xdr:row>
                <xdr:rowOff>161925</xdr:rowOff>
              </to>
            </anchor>
          </objectPr>
        </oleObject>
      </mc:Choice>
      <mc:Fallback>
        <oleObject progId="Equation.DSMT4" shapeId="1425" r:id="rId415"/>
      </mc:Fallback>
    </mc:AlternateContent>
    <mc:AlternateContent xmlns:mc="http://schemas.openxmlformats.org/markup-compatibility/2006">
      <mc:Choice Requires="x14">
        <oleObject progId="Equation.DSMT4" shapeId="1426" r:id="rId416">
          <objectPr defaultSize="0" autoPict="0" r:id="rId27">
            <anchor moveWithCells="1">
              <from>
                <xdr:col>18</xdr:col>
                <xdr:colOff>304800</xdr:colOff>
                <xdr:row>266</xdr:row>
                <xdr:rowOff>76200</xdr:rowOff>
              </from>
              <to>
                <xdr:col>18</xdr:col>
                <xdr:colOff>733425</xdr:colOff>
                <xdr:row>267</xdr:row>
                <xdr:rowOff>161925</xdr:rowOff>
              </to>
            </anchor>
          </objectPr>
        </oleObject>
      </mc:Choice>
      <mc:Fallback>
        <oleObject progId="Equation.DSMT4" shapeId="1426" r:id="rId416"/>
      </mc:Fallback>
    </mc:AlternateContent>
    <mc:AlternateContent xmlns:mc="http://schemas.openxmlformats.org/markup-compatibility/2006">
      <mc:Choice Requires="x14">
        <oleObject progId="Equation.DSMT4" shapeId="1427" r:id="rId417">
          <objectPr defaultSize="0" autoPict="0" r:id="rId15">
            <anchor moveWithCells="1">
              <from>
                <xdr:col>2</xdr:col>
                <xdr:colOff>428625</xdr:colOff>
                <xdr:row>283</xdr:row>
                <xdr:rowOff>152400</xdr:rowOff>
              </from>
              <to>
                <xdr:col>2</xdr:col>
                <xdr:colOff>609600</xdr:colOff>
                <xdr:row>284</xdr:row>
                <xdr:rowOff>104775</xdr:rowOff>
              </to>
            </anchor>
          </objectPr>
        </oleObject>
      </mc:Choice>
      <mc:Fallback>
        <oleObject progId="Equation.DSMT4" shapeId="1427" r:id="rId417"/>
      </mc:Fallback>
    </mc:AlternateContent>
    <mc:AlternateContent xmlns:mc="http://schemas.openxmlformats.org/markup-compatibility/2006">
      <mc:Choice Requires="x14">
        <oleObject progId="Equation.DSMT4" shapeId="1428" r:id="rId418">
          <objectPr defaultSize="0" autoPict="0" r:id="rId17">
            <anchor moveWithCells="1">
              <from>
                <xdr:col>3</xdr:col>
                <xdr:colOff>257175</xdr:colOff>
                <xdr:row>283</xdr:row>
                <xdr:rowOff>85725</xdr:rowOff>
              </from>
              <to>
                <xdr:col>3</xdr:col>
                <xdr:colOff>676275</xdr:colOff>
                <xdr:row>284</xdr:row>
                <xdr:rowOff>161925</xdr:rowOff>
              </to>
            </anchor>
          </objectPr>
        </oleObject>
      </mc:Choice>
      <mc:Fallback>
        <oleObject progId="Equation.DSMT4" shapeId="1428" r:id="rId418"/>
      </mc:Fallback>
    </mc:AlternateContent>
    <mc:AlternateContent xmlns:mc="http://schemas.openxmlformats.org/markup-compatibility/2006">
      <mc:Choice Requires="x14">
        <oleObject progId="Equation.DSMT4" shapeId="1429" r:id="rId419">
          <objectPr defaultSize="0" autoPict="0" r:id="rId19">
            <anchor moveWithCells="1">
              <from>
                <xdr:col>2</xdr:col>
                <xdr:colOff>295275</xdr:colOff>
                <xdr:row>286</xdr:row>
                <xdr:rowOff>104775</xdr:rowOff>
              </from>
              <to>
                <xdr:col>2</xdr:col>
                <xdr:colOff>733425</xdr:colOff>
                <xdr:row>288</xdr:row>
                <xdr:rowOff>0</xdr:rowOff>
              </to>
            </anchor>
          </objectPr>
        </oleObject>
      </mc:Choice>
      <mc:Fallback>
        <oleObject progId="Equation.DSMT4" shapeId="1429" r:id="rId419"/>
      </mc:Fallback>
    </mc:AlternateContent>
    <mc:AlternateContent xmlns:mc="http://schemas.openxmlformats.org/markup-compatibility/2006">
      <mc:Choice Requires="x14">
        <oleObject progId="Equation.DSMT4" shapeId="1430" r:id="rId420">
          <objectPr defaultSize="0" autoPict="0" r:id="rId21">
            <anchor moveWithCells="1">
              <from>
                <xdr:col>3</xdr:col>
                <xdr:colOff>295275</xdr:colOff>
                <xdr:row>286</xdr:row>
                <xdr:rowOff>104775</xdr:rowOff>
              </from>
              <to>
                <xdr:col>3</xdr:col>
                <xdr:colOff>733425</xdr:colOff>
                <xdr:row>288</xdr:row>
                <xdr:rowOff>0</xdr:rowOff>
              </to>
            </anchor>
          </objectPr>
        </oleObject>
      </mc:Choice>
      <mc:Fallback>
        <oleObject progId="Equation.DSMT4" shapeId="1430" r:id="rId420"/>
      </mc:Fallback>
    </mc:AlternateContent>
    <mc:AlternateContent xmlns:mc="http://schemas.openxmlformats.org/markup-compatibility/2006">
      <mc:Choice Requires="x14">
        <oleObject progId="Equation.DSMT4" shapeId="1431" r:id="rId421">
          <objectPr defaultSize="0" autoPict="0" r:id="rId23">
            <anchor moveWithCells="1">
              <from>
                <xdr:col>4</xdr:col>
                <xdr:colOff>314325</xdr:colOff>
                <xdr:row>283</xdr:row>
                <xdr:rowOff>85725</xdr:rowOff>
              </from>
              <to>
                <xdr:col>4</xdr:col>
                <xdr:colOff>733425</xdr:colOff>
                <xdr:row>284</xdr:row>
                <xdr:rowOff>161925</xdr:rowOff>
              </to>
            </anchor>
          </objectPr>
        </oleObject>
      </mc:Choice>
      <mc:Fallback>
        <oleObject progId="Equation.DSMT4" shapeId="1431" r:id="rId421"/>
      </mc:Fallback>
    </mc:AlternateContent>
    <mc:AlternateContent xmlns:mc="http://schemas.openxmlformats.org/markup-compatibility/2006">
      <mc:Choice Requires="x14">
        <oleObject progId="Equation.DSMT4" shapeId="1432" r:id="rId422">
          <objectPr defaultSize="0" autoPict="0" r:id="rId25">
            <anchor moveWithCells="1">
              <from>
                <xdr:col>4</xdr:col>
                <xdr:colOff>304800</xdr:colOff>
                <xdr:row>286</xdr:row>
                <xdr:rowOff>85725</xdr:rowOff>
              </from>
              <to>
                <xdr:col>4</xdr:col>
                <xdr:colOff>733425</xdr:colOff>
                <xdr:row>287</xdr:row>
                <xdr:rowOff>161925</xdr:rowOff>
              </to>
            </anchor>
          </objectPr>
        </oleObject>
      </mc:Choice>
      <mc:Fallback>
        <oleObject progId="Equation.DSMT4" shapeId="1432" r:id="rId422"/>
      </mc:Fallback>
    </mc:AlternateContent>
    <mc:AlternateContent xmlns:mc="http://schemas.openxmlformats.org/markup-compatibility/2006">
      <mc:Choice Requires="x14">
        <oleObject progId="Equation.DSMT4" shapeId="1433" r:id="rId423">
          <objectPr defaultSize="0" autoPict="0" r:id="rId27">
            <anchor moveWithCells="1">
              <from>
                <xdr:col>7</xdr:col>
                <xdr:colOff>304800</xdr:colOff>
                <xdr:row>286</xdr:row>
                <xdr:rowOff>76200</xdr:rowOff>
              </from>
              <to>
                <xdr:col>7</xdr:col>
                <xdr:colOff>733425</xdr:colOff>
                <xdr:row>287</xdr:row>
                <xdr:rowOff>161925</xdr:rowOff>
              </to>
            </anchor>
          </objectPr>
        </oleObject>
      </mc:Choice>
      <mc:Fallback>
        <oleObject progId="Equation.DSMT4" shapeId="1433" r:id="rId423"/>
      </mc:Fallback>
    </mc:AlternateContent>
    <mc:AlternateContent xmlns:mc="http://schemas.openxmlformats.org/markup-compatibility/2006">
      <mc:Choice Requires="x14">
        <oleObject progId="Equation.DSMT4" shapeId="1434" r:id="rId424">
          <objectPr defaultSize="0" autoPict="0" r:id="rId15">
            <anchor moveWithCells="1">
              <from>
                <xdr:col>13</xdr:col>
                <xdr:colOff>428625</xdr:colOff>
                <xdr:row>283</xdr:row>
                <xdr:rowOff>152400</xdr:rowOff>
              </from>
              <to>
                <xdr:col>13</xdr:col>
                <xdr:colOff>609600</xdr:colOff>
                <xdr:row>284</xdr:row>
                <xdr:rowOff>104775</xdr:rowOff>
              </to>
            </anchor>
          </objectPr>
        </oleObject>
      </mc:Choice>
      <mc:Fallback>
        <oleObject progId="Equation.DSMT4" shapeId="1434" r:id="rId424"/>
      </mc:Fallback>
    </mc:AlternateContent>
    <mc:AlternateContent xmlns:mc="http://schemas.openxmlformats.org/markup-compatibility/2006">
      <mc:Choice Requires="x14">
        <oleObject progId="Equation.DSMT4" shapeId="1435" r:id="rId425">
          <objectPr defaultSize="0" autoPict="0" r:id="rId17">
            <anchor moveWithCells="1">
              <from>
                <xdr:col>14</xdr:col>
                <xdr:colOff>257175</xdr:colOff>
                <xdr:row>283</xdr:row>
                <xdr:rowOff>85725</xdr:rowOff>
              </from>
              <to>
                <xdr:col>14</xdr:col>
                <xdr:colOff>676275</xdr:colOff>
                <xdr:row>284</xdr:row>
                <xdr:rowOff>161925</xdr:rowOff>
              </to>
            </anchor>
          </objectPr>
        </oleObject>
      </mc:Choice>
      <mc:Fallback>
        <oleObject progId="Equation.DSMT4" shapeId="1435" r:id="rId425"/>
      </mc:Fallback>
    </mc:AlternateContent>
    <mc:AlternateContent xmlns:mc="http://schemas.openxmlformats.org/markup-compatibility/2006">
      <mc:Choice Requires="x14">
        <oleObject progId="Equation.DSMT4" shapeId="1436" r:id="rId426">
          <objectPr defaultSize="0" autoPict="0" r:id="rId19">
            <anchor moveWithCells="1">
              <from>
                <xdr:col>13</xdr:col>
                <xdr:colOff>295275</xdr:colOff>
                <xdr:row>286</xdr:row>
                <xdr:rowOff>104775</xdr:rowOff>
              </from>
              <to>
                <xdr:col>13</xdr:col>
                <xdr:colOff>733425</xdr:colOff>
                <xdr:row>288</xdr:row>
                <xdr:rowOff>0</xdr:rowOff>
              </to>
            </anchor>
          </objectPr>
        </oleObject>
      </mc:Choice>
      <mc:Fallback>
        <oleObject progId="Equation.DSMT4" shapeId="1436" r:id="rId426"/>
      </mc:Fallback>
    </mc:AlternateContent>
    <mc:AlternateContent xmlns:mc="http://schemas.openxmlformats.org/markup-compatibility/2006">
      <mc:Choice Requires="x14">
        <oleObject progId="Equation.DSMT4" shapeId="1437" r:id="rId427">
          <objectPr defaultSize="0" autoPict="0" r:id="rId21">
            <anchor moveWithCells="1">
              <from>
                <xdr:col>14</xdr:col>
                <xdr:colOff>295275</xdr:colOff>
                <xdr:row>286</xdr:row>
                <xdr:rowOff>104775</xdr:rowOff>
              </from>
              <to>
                <xdr:col>14</xdr:col>
                <xdr:colOff>733425</xdr:colOff>
                <xdr:row>288</xdr:row>
                <xdr:rowOff>0</xdr:rowOff>
              </to>
            </anchor>
          </objectPr>
        </oleObject>
      </mc:Choice>
      <mc:Fallback>
        <oleObject progId="Equation.DSMT4" shapeId="1437" r:id="rId427"/>
      </mc:Fallback>
    </mc:AlternateContent>
    <mc:AlternateContent xmlns:mc="http://schemas.openxmlformats.org/markup-compatibility/2006">
      <mc:Choice Requires="x14">
        <oleObject progId="Equation.DSMT4" shapeId="1438" r:id="rId428">
          <objectPr defaultSize="0" autoPict="0" r:id="rId23">
            <anchor moveWithCells="1">
              <from>
                <xdr:col>15</xdr:col>
                <xdr:colOff>314325</xdr:colOff>
                <xdr:row>283</xdr:row>
                <xdr:rowOff>85725</xdr:rowOff>
              </from>
              <to>
                <xdr:col>15</xdr:col>
                <xdr:colOff>733425</xdr:colOff>
                <xdr:row>284</xdr:row>
                <xdr:rowOff>161925</xdr:rowOff>
              </to>
            </anchor>
          </objectPr>
        </oleObject>
      </mc:Choice>
      <mc:Fallback>
        <oleObject progId="Equation.DSMT4" shapeId="1438" r:id="rId428"/>
      </mc:Fallback>
    </mc:AlternateContent>
    <mc:AlternateContent xmlns:mc="http://schemas.openxmlformats.org/markup-compatibility/2006">
      <mc:Choice Requires="x14">
        <oleObject progId="Equation.DSMT4" shapeId="1439" r:id="rId429">
          <objectPr defaultSize="0" autoPict="0" r:id="rId25">
            <anchor moveWithCells="1">
              <from>
                <xdr:col>15</xdr:col>
                <xdr:colOff>304800</xdr:colOff>
                <xdr:row>286</xdr:row>
                <xdr:rowOff>85725</xdr:rowOff>
              </from>
              <to>
                <xdr:col>15</xdr:col>
                <xdr:colOff>733425</xdr:colOff>
                <xdr:row>287</xdr:row>
                <xdr:rowOff>161925</xdr:rowOff>
              </to>
            </anchor>
          </objectPr>
        </oleObject>
      </mc:Choice>
      <mc:Fallback>
        <oleObject progId="Equation.DSMT4" shapeId="1439" r:id="rId429"/>
      </mc:Fallback>
    </mc:AlternateContent>
    <mc:AlternateContent xmlns:mc="http://schemas.openxmlformats.org/markup-compatibility/2006">
      <mc:Choice Requires="x14">
        <oleObject progId="Equation.DSMT4" shapeId="1440" r:id="rId430">
          <objectPr defaultSize="0" autoPict="0" r:id="rId27">
            <anchor moveWithCells="1">
              <from>
                <xdr:col>18</xdr:col>
                <xdr:colOff>304800</xdr:colOff>
                <xdr:row>286</xdr:row>
                <xdr:rowOff>76200</xdr:rowOff>
              </from>
              <to>
                <xdr:col>18</xdr:col>
                <xdr:colOff>733425</xdr:colOff>
                <xdr:row>287</xdr:row>
                <xdr:rowOff>161925</xdr:rowOff>
              </to>
            </anchor>
          </objectPr>
        </oleObject>
      </mc:Choice>
      <mc:Fallback>
        <oleObject progId="Equation.DSMT4" shapeId="1440" r:id="rId430"/>
      </mc:Fallback>
    </mc:AlternateContent>
    <mc:AlternateContent xmlns:mc="http://schemas.openxmlformats.org/markup-compatibility/2006">
      <mc:Choice Requires="x14">
        <oleObject progId="Equation.DSMT4" shapeId="1441" r:id="rId431">
          <objectPr defaultSize="0" autoPict="0" r:id="rId15">
            <anchor moveWithCells="1">
              <from>
                <xdr:col>2</xdr:col>
                <xdr:colOff>428625</xdr:colOff>
                <xdr:row>303</xdr:row>
                <xdr:rowOff>152400</xdr:rowOff>
              </from>
              <to>
                <xdr:col>2</xdr:col>
                <xdr:colOff>609600</xdr:colOff>
                <xdr:row>304</xdr:row>
                <xdr:rowOff>104775</xdr:rowOff>
              </to>
            </anchor>
          </objectPr>
        </oleObject>
      </mc:Choice>
      <mc:Fallback>
        <oleObject progId="Equation.DSMT4" shapeId="1441" r:id="rId431"/>
      </mc:Fallback>
    </mc:AlternateContent>
    <mc:AlternateContent xmlns:mc="http://schemas.openxmlformats.org/markup-compatibility/2006">
      <mc:Choice Requires="x14">
        <oleObject progId="Equation.DSMT4" shapeId="1442" r:id="rId432">
          <objectPr defaultSize="0" autoPict="0" r:id="rId17">
            <anchor moveWithCells="1">
              <from>
                <xdr:col>3</xdr:col>
                <xdr:colOff>257175</xdr:colOff>
                <xdr:row>303</xdr:row>
                <xdr:rowOff>85725</xdr:rowOff>
              </from>
              <to>
                <xdr:col>3</xdr:col>
                <xdr:colOff>676275</xdr:colOff>
                <xdr:row>304</xdr:row>
                <xdr:rowOff>161925</xdr:rowOff>
              </to>
            </anchor>
          </objectPr>
        </oleObject>
      </mc:Choice>
      <mc:Fallback>
        <oleObject progId="Equation.DSMT4" shapeId="1442" r:id="rId432"/>
      </mc:Fallback>
    </mc:AlternateContent>
    <mc:AlternateContent xmlns:mc="http://schemas.openxmlformats.org/markup-compatibility/2006">
      <mc:Choice Requires="x14">
        <oleObject progId="Equation.DSMT4" shapeId="1443" r:id="rId433">
          <objectPr defaultSize="0" autoPict="0" r:id="rId19">
            <anchor moveWithCells="1">
              <from>
                <xdr:col>2</xdr:col>
                <xdr:colOff>295275</xdr:colOff>
                <xdr:row>306</xdr:row>
                <xdr:rowOff>104775</xdr:rowOff>
              </from>
              <to>
                <xdr:col>2</xdr:col>
                <xdr:colOff>733425</xdr:colOff>
                <xdr:row>308</xdr:row>
                <xdr:rowOff>0</xdr:rowOff>
              </to>
            </anchor>
          </objectPr>
        </oleObject>
      </mc:Choice>
      <mc:Fallback>
        <oleObject progId="Equation.DSMT4" shapeId="1443" r:id="rId433"/>
      </mc:Fallback>
    </mc:AlternateContent>
    <mc:AlternateContent xmlns:mc="http://schemas.openxmlformats.org/markup-compatibility/2006">
      <mc:Choice Requires="x14">
        <oleObject progId="Equation.DSMT4" shapeId="1444" r:id="rId434">
          <objectPr defaultSize="0" autoPict="0" r:id="rId21">
            <anchor moveWithCells="1">
              <from>
                <xdr:col>3</xdr:col>
                <xdr:colOff>295275</xdr:colOff>
                <xdr:row>306</xdr:row>
                <xdr:rowOff>104775</xdr:rowOff>
              </from>
              <to>
                <xdr:col>3</xdr:col>
                <xdr:colOff>733425</xdr:colOff>
                <xdr:row>308</xdr:row>
                <xdr:rowOff>0</xdr:rowOff>
              </to>
            </anchor>
          </objectPr>
        </oleObject>
      </mc:Choice>
      <mc:Fallback>
        <oleObject progId="Equation.DSMT4" shapeId="1444" r:id="rId434"/>
      </mc:Fallback>
    </mc:AlternateContent>
    <mc:AlternateContent xmlns:mc="http://schemas.openxmlformats.org/markup-compatibility/2006">
      <mc:Choice Requires="x14">
        <oleObject progId="Equation.DSMT4" shapeId="1445" r:id="rId435">
          <objectPr defaultSize="0" autoPict="0" r:id="rId23">
            <anchor moveWithCells="1">
              <from>
                <xdr:col>4</xdr:col>
                <xdr:colOff>314325</xdr:colOff>
                <xdr:row>303</xdr:row>
                <xdr:rowOff>85725</xdr:rowOff>
              </from>
              <to>
                <xdr:col>4</xdr:col>
                <xdr:colOff>733425</xdr:colOff>
                <xdr:row>304</xdr:row>
                <xdr:rowOff>161925</xdr:rowOff>
              </to>
            </anchor>
          </objectPr>
        </oleObject>
      </mc:Choice>
      <mc:Fallback>
        <oleObject progId="Equation.DSMT4" shapeId="1445" r:id="rId435"/>
      </mc:Fallback>
    </mc:AlternateContent>
    <mc:AlternateContent xmlns:mc="http://schemas.openxmlformats.org/markup-compatibility/2006">
      <mc:Choice Requires="x14">
        <oleObject progId="Equation.DSMT4" shapeId="1446" r:id="rId436">
          <objectPr defaultSize="0" autoPict="0" r:id="rId25">
            <anchor moveWithCells="1">
              <from>
                <xdr:col>4</xdr:col>
                <xdr:colOff>304800</xdr:colOff>
                <xdr:row>306</xdr:row>
                <xdr:rowOff>85725</xdr:rowOff>
              </from>
              <to>
                <xdr:col>4</xdr:col>
                <xdr:colOff>733425</xdr:colOff>
                <xdr:row>307</xdr:row>
                <xdr:rowOff>161925</xdr:rowOff>
              </to>
            </anchor>
          </objectPr>
        </oleObject>
      </mc:Choice>
      <mc:Fallback>
        <oleObject progId="Equation.DSMT4" shapeId="1446" r:id="rId436"/>
      </mc:Fallback>
    </mc:AlternateContent>
    <mc:AlternateContent xmlns:mc="http://schemas.openxmlformats.org/markup-compatibility/2006">
      <mc:Choice Requires="x14">
        <oleObject progId="Equation.DSMT4" shapeId="1447" r:id="rId437">
          <objectPr defaultSize="0" autoPict="0" r:id="rId27">
            <anchor moveWithCells="1">
              <from>
                <xdr:col>7</xdr:col>
                <xdr:colOff>304800</xdr:colOff>
                <xdr:row>306</xdr:row>
                <xdr:rowOff>76200</xdr:rowOff>
              </from>
              <to>
                <xdr:col>7</xdr:col>
                <xdr:colOff>733425</xdr:colOff>
                <xdr:row>307</xdr:row>
                <xdr:rowOff>161925</xdr:rowOff>
              </to>
            </anchor>
          </objectPr>
        </oleObject>
      </mc:Choice>
      <mc:Fallback>
        <oleObject progId="Equation.DSMT4" shapeId="1447" r:id="rId437"/>
      </mc:Fallback>
    </mc:AlternateContent>
    <mc:AlternateContent xmlns:mc="http://schemas.openxmlformats.org/markup-compatibility/2006">
      <mc:Choice Requires="x14">
        <oleObject progId="Equation.DSMT4" shapeId="1448" r:id="rId438">
          <objectPr defaultSize="0" autoPict="0" r:id="rId15">
            <anchor moveWithCells="1">
              <from>
                <xdr:col>13</xdr:col>
                <xdr:colOff>428625</xdr:colOff>
                <xdr:row>303</xdr:row>
                <xdr:rowOff>152400</xdr:rowOff>
              </from>
              <to>
                <xdr:col>13</xdr:col>
                <xdr:colOff>609600</xdr:colOff>
                <xdr:row>304</xdr:row>
                <xdr:rowOff>104775</xdr:rowOff>
              </to>
            </anchor>
          </objectPr>
        </oleObject>
      </mc:Choice>
      <mc:Fallback>
        <oleObject progId="Equation.DSMT4" shapeId="1448" r:id="rId438"/>
      </mc:Fallback>
    </mc:AlternateContent>
    <mc:AlternateContent xmlns:mc="http://schemas.openxmlformats.org/markup-compatibility/2006">
      <mc:Choice Requires="x14">
        <oleObject progId="Equation.DSMT4" shapeId="1449" r:id="rId439">
          <objectPr defaultSize="0" autoPict="0" r:id="rId17">
            <anchor moveWithCells="1">
              <from>
                <xdr:col>14</xdr:col>
                <xdr:colOff>257175</xdr:colOff>
                <xdr:row>303</xdr:row>
                <xdr:rowOff>85725</xdr:rowOff>
              </from>
              <to>
                <xdr:col>14</xdr:col>
                <xdr:colOff>676275</xdr:colOff>
                <xdr:row>304</xdr:row>
                <xdr:rowOff>161925</xdr:rowOff>
              </to>
            </anchor>
          </objectPr>
        </oleObject>
      </mc:Choice>
      <mc:Fallback>
        <oleObject progId="Equation.DSMT4" shapeId="1449" r:id="rId439"/>
      </mc:Fallback>
    </mc:AlternateContent>
    <mc:AlternateContent xmlns:mc="http://schemas.openxmlformats.org/markup-compatibility/2006">
      <mc:Choice Requires="x14">
        <oleObject progId="Equation.DSMT4" shapeId="1450" r:id="rId440">
          <objectPr defaultSize="0" autoPict="0" r:id="rId19">
            <anchor moveWithCells="1">
              <from>
                <xdr:col>13</xdr:col>
                <xdr:colOff>295275</xdr:colOff>
                <xdr:row>306</xdr:row>
                <xdr:rowOff>104775</xdr:rowOff>
              </from>
              <to>
                <xdr:col>13</xdr:col>
                <xdr:colOff>733425</xdr:colOff>
                <xdr:row>308</xdr:row>
                <xdr:rowOff>0</xdr:rowOff>
              </to>
            </anchor>
          </objectPr>
        </oleObject>
      </mc:Choice>
      <mc:Fallback>
        <oleObject progId="Equation.DSMT4" shapeId="1450" r:id="rId440"/>
      </mc:Fallback>
    </mc:AlternateContent>
    <mc:AlternateContent xmlns:mc="http://schemas.openxmlformats.org/markup-compatibility/2006">
      <mc:Choice Requires="x14">
        <oleObject progId="Equation.DSMT4" shapeId="1451" r:id="rId441">
          <objectPr defaultSize="0" autoPict="0" r:id="rId21">
            <anchor moveWithCells="1">
              <from>
                <xdr:col>14</xdr:col>
                <xdr:colOff>295275</xdr:colOff>
                <xdr:row>306</xdr:row>
                <xdr:rowOff>104775</xdr:rowOff>
              </from>
              <to>
                <xdr:col>14</xdr:col>
                <xdr:colOff>733425</xdr:colOff>
                <xdr:row>308</xdr:row>
                <xdr:rowOff>0</xdr:rowOff>
              </to>
            </anchor>
          </objectPr>
        </oleObject>
      </mc:Choice>
      <mc:Fallback>
        <oleObject progId="Equation.DSMT4" shapeId="1451" r:id="rId441"/>
      </mc:Fallback>
    </mc:AlternateContent>
    <mc:AlternateContent xmlns:mc="http://schemas.openxmlformats.org/markup-compatibility/2006">
      <mc:Choice Requires="x14">
        <oleObject progId="Equation.DSMT4" shapeId="1452" r:id="rId442">
          <objectPr defaultSize="0" autoPict="0" r:id="rId23">
            <anchor moveWithCells="1">
              <from>
                <xdr:col>15</xdr:col>
                <xdr:colOff>314325</xdr:colOff>
                <xdr:row>303</xdr:row>
                <xdr:rowOff>85725</xdr:rowOff>
              </from>
              <to>
                <xdr:col>15</xdr:col>
                <xdr:colOff>733425</xdr:colOff>
                <xdr:row>304</xdr:row>
                <xdr:rowOff>161925</xdr:rowOff>
              </to>
            </anchor>
          </objectPr>
        </oleObject>
      </mc:Choice>
      <mc:Fallback>
        <oleObject progId="Equation.DSMT4" shapeId="1452" r:id="rId442"/>
      </mc:Fallback>
    </mc:AlternateContent>
    <mc:AlternateContent xmlns:mc="http://schemas.openxmlformats.org/markup-compatibility/2006">
      <mc:Choice Requires="x14">
        <oleObject progId="Equation.DSMT4" shapeId="1453" r:id="rId443">
          <objectPr defaultSize="0" autoPict="0" r:id="rId25">
            <anchor moveWithCells="1">
              <from>
                <xdr:col>15</xdr:col>
                <xdr:colOff>304800</xdr:colOff>
                <xdr:row>306</xdr:row>
                <xdr:rowOff>85725</xdr:rowOff>
              </from>
              <to>
                <xdr:col>15</xdr:col>
                <xdr:colOff>733425</xdr:colOff>
                <xdr:row>307</xdr:row>
                <xdr:rowOff>161925</xdr:rowOff>
              </to>
            </anchor>
          </objectPr>
        </oleObject>
      </mc:Choice>
      <mc:Fallback>
        <oleObject progId="Equation.DSMT4" shapeId="1453" r:id="rId443"/>
      </mc:Fallback>
    </mc:AlternateContent>
    <mc:AlternateContent xmlns:mc="http://schemas.openxmlformats.org/markup-compatibility/2006">
      <mc:Choice Requires="x14">
        <oleObject progId="Equation.DSMT4" shapeId="1454" r:id="rId444">
          <objectPr defaultSize="0" autoPict="0" r:id="rId27">
            <anchor moveWithCells="1">
              <from>
                <xdr:col>18</xdr:col>
                <xdr:colOff>304800</xdr:colOff>
                <xdr:row>306</xdr:row>
                <xdr:rowOff>76200</xdr:rowOff>
              </from>
              <to>
                <xdr:col>18</xdr:col>
                <xdr:colOff>733425</xdr:colOff>
                <xdr:row>307</xdr:row>
                <xdr:rowOff>161925</xdr:rowOff>
              </to>
            </anchor>
          </objectPr>
        </oleObject>
      </mc:Choice>
      <mc:Fallback>
        <oleObject progId="Equation.DSMT4" shapeId="1454" r:id="rId444"/>
      </mc:Fallback>
    </mc:AlternateContent>
    <mc:AlternateContent xmlns:mc="http://schemas.openxmlformats.org/markup-compatibility/2006">
      <mc:Choice Requires="x14">
        <oleObject progId="Equation.DSMT4" shapeId="1455" r:id="rId445">
          <objectPr defaultSize="0" autoPict="0" r:id="rId15">
            <anchor moveWithCells="1">
              <from>
                <xdr:col>2</xdr:col>
                <xdr:colOff>428625</xdr:colOff>
                <xdr:row>323</xdr:row>
                <xdr:rowOff>152400</xdr:rowOff>
              </from>
              <to>
                <xdr:col>2</xdr:col>
                <xdr:colOff>609600</xdr:colOff>
                <xdr:row>324</xdr:row>
                <xdr:rowOff>104775</xdr:rowOff>
              </to>
            </anchor>
          </objectPr>
        </oleObject>
      </mc:Choice>
      <mc:Fallback>
        <oleObject progId="Equation.DSMT4" shapeId="1455" r:id="rId445"/>
      </mc:Fallback>
    </mc:AlternateContent>
    <mc:AlternateContent xmlns:mc="http://schemas.openxmlformats.org/markup-compatibility/2006">
      <mc:Choice Requires="x14">
        <oleObject progId="Equation.DSMT4" shapeId="1456" r:id="rId446">
          <objectPr defaultSize="0" autoPict="0" r:id="rId17">
            <anchor moveWithCells="1">
              <from>
                <xdr:col>3</xdr:col>
                <xdr:colOff>257175</xdr:colOff>
                <xdr:row>323</xdr:row>
                <xdr:rowOff>85725</xdr:rowOff>
              </from>
              <to>
                <xdr:col>3</xdr:col>
                <xdr:colOff>676275</xdr:colOff>
                <xdr:row>324</xdr:row>
                <xdr:rowOff>161925</xdr:rowOff>
              </to>
            </anchor>
          </objectPr>
        </oleObject>
      </mc:Choice>
      <mc:Fallback>
        <oleObject progId="Equation.DSMT4" shapeId="1456" r:id="rId446"/>
      </mc:Fallback>
    </mc:AlternateContent>
    <mc:AlternateContent xmlns:mc="http://schemas.openxmlformats.org/markup-compatibility/2006">
      <mc:Choice Requires="x14">
        <oleObject progId="Equation.DSMT4" shapeId="1457" r:id="rId447">
          <objectPr defaultSize="0" autoPict="0" r:id="rId19">
            <anchor moveWithCells="1">
              <from>
                <xdr:col>2</xdr:col>
                <xdr:colOff>295275</xdr:colOff>
                <xdr:row>326</xdr:row>
                <xdr:rowOff>104775</xdr:rowOff>
              </from>
              <to>
                <xdr:col>2</xdr:col>
                <xdr:colOff>733425</xdr:colOff>
                <xdr:row>328</xdr:row>
                <xdr:rowOff>0</xdr:rowOff>
              </to>
            </anchor>
          </objectPr>
        </oleObject>
      </mc:Choice>
      <mc:Fallback>
        <oleObject progId="Equation.DSMT4" shapeId="1457" r:id="rId447"/>
      </mc:Fallback>
    </mc:AlternateContent>
    <mc:AlternateContent xmlns:mc="http://schemas.openxmlformats.org/markup-compatibility/2006">
      <mc:Choice Requires="x14">
        <oleObject progId="Equation.DSMT4" shapeId="1458" r:id="rId448">
          <objectPr defaultSize="0" autoPict="0" r:id="rId21">
            <anchor moveWithCells="1">
              <from>
                <xdr:col>3</xdr:col>
                <xdr:colOff>295275</xdr:colOff>
                <xdr:row>326</xdr:row>
                <xdr:rowOff>104775</xdr:rowOff>
              </from>
              <to>
                <xdr:col>3</xdr:col>
                <xdr:colOff>733425</xdr:colOff>
                <xdr:row>328</xdr:row>
                <xdr:rowOff>0</xdr:rowOff>
              </to>
            </anchor>
          </objectPr>
        </oleObject>
      </mc:Choice>
      <mc:Fallback>
        <oleObject progId="Equation.DSMT4" shapeId="1458" r:id="rId448"/>
      </mc:Fallback>
    </mc:AlternateContent>
    <mc:AlternateContent xmlns:mc="http://schemas.openxmlformats.org/markup-compatibility/2006">
      <mc:Choice Requires="x14">
        <oleObject progId="Equation.DSMT4" shapeId="1459" r:id="rId449">
          <objectPr defaultSize="0" autoPict="0" r:id="rId23">
            <anchor moveWithCells="1">
              <from>
                <xdr:col>4</xdr:col>
                <xdr:colOff>314325</xdr:colOff>
                <xdr:row>323</xdr:row>
                <xdr:rowOff>85725</xdr:rowOff>
              </from>
              <to>
                <xdr:col>4</xdr:col>
                <xdr:colOff>733425</xdr:colOff>
                <xdr:row>324</xdr:row>
                <xdr:rowOff>161925</xdr:rowOff>
              </to>
            </anchor>
          </objectPr>
        </oleObject>
      </mc:Choice>
      <mc:Fallback>
        <oleObject progId="Equation.DSMT4" shapeId="1459" r:id="rId449"/>
      </mc:Fallback>
    </mc:AlternateContent>
    <mc:AlternateContent xmlns:mc="http://schemas.openxmlformats.org/markup-compatibility/2006">
      <mc:Choice Requires="x14">
        <oleObject progId="Equation.DSMT4" shapeId="1460" r:id="rId450">
          <objectPr defaultSize="0" autoPict="0" r:id="rId25">
            <anchor moveWithCells="1">
              <from>
                <xdr:col>4</xdr:col>
                <xdr:colOff>304800</xdr:colOff>
                <xdr:row>326</xdr:row>
                <xdr:rowOff>85725</xdr:rowOff>
              </from>
              <to>
                <xdr:col>4</xdr:col>
                <xdr:colOff>733425</xdr:colOff>
                <xdr:row>327</xdr:row>
                <xdr:rowOff>161925</xdr:rowOff>
              </to>
            </anchor>
          </objectPr>
        </oleObject>
      </mc:Choice>
      <mc:Fallback>
        <oleObject progId="Equation.DSMT4" shapeId="1460" r:id="rId450"/>
      </mc:Fallback>
    </mc:AlternateContent>
    <mc:AlternateContent xmlns:mc="http://schemas.openxmlformats.org/markup-compatibility/2006">
      <mc:Choice Requires="x14">
        <oleObject progId="Equation.DSMT4" shapeId="1461" r:id="rId451">
          <objectPr defaultSize="0" autoPict="0" r:id="rId27">
            <anchor moveWithCells="1">
              <from>
                <xdr:col>7</xdr:col>
                <xdr:colOff>304800</xdr:colOff>
                <xdr:row>326</xdr:row>
                <xdr:rowOff>76200</xdr:rowOff>
              </from>
              <to>
                <xdr:col>7</xdr:col>
                <xdr:colOff>733425</xdr:colOff>
                <xdr:row>327</xdr:row>
                <xdr:rowOff>161925</xdr:rowOff>
              </to>
            </anchor>
          </objectPr>
        </oleObject>
      </mc:Choice>
      <mc:Fallback>
        <oleObject progId="Equation.DSMT4" shapeId="1461" r:id="rId451"/>
      </mc:Fallback>
    </mc:AlternateContent>
    <mc:AlternateContent xmlns:mc="http://schemas.openxmlformats.org/markup-compatibility/2006">
      <mc:Choice Requires="x14">
        <oleObject progId="Equation.DSMT4" shapeId="1462" r:id="rId452">
          <objectPr defaultSize="0" autoPict="0" r:id="rId15">
            <anchor moveWithCells="1">
              <from>
                <xdr:col>13</xdr:col>
                <xdr:colOff>428625</xdr:colOff>
                <xdr:row>323</xdr:row>
                <xdr:rowOff>152400</xdr:rowOff>
              </from>
              <to>
                <xdr:col>13</xdr:col>
                <xdr:colOff>609600</xdr:colOff>
                <xdr:row>324</xdr:row>
                <xdr:rowOff>104775</xdr:rowOff>
              </to>
            </anchor>
          </objectPr>
        </oleObject>
      </mc:Choice>
      <mc:Fallback>
        <oleObject progId="Equation.DSMT4" shapeId="1462" r:id="rId452"/>
      </mc:Fallback>
    </mc:AlternateContent>
    <mc:AlternateContent xmlns:mc="http://schemas.openxmlformats.org/markup-compatibility/2006">
      <mc:Choice Requires="x14">
        <oleObject progId="Equation.DSMT4" shapeId="1463" r:id="rId453">
          <objectPr defaultSize="0" autoPict="0" r:id="rId17">
            <anchor moveWithCells="1">
              <from>
                <xdr:col>14</xdr:col>
                <xdr:colOff>257175</xdr:colOff>
                <xdr:row>323</xdr:row>
                <xdr:rowOff>85725</xdr:rowOff>
              </from>
              <to>
                <xdr:col>14</xdr:col>
                <xdr:colOff>676275</xdr:colOff>
                <xdr:row>324</xdr:row>
                <xdr:rowOff>161925</xdr:rowOff>
              </to>
            </anchor>
          </objectPr>
        </oleObject>
      </mc:Choice>
      <mc:Fallback>
        <oleObject progId="Equation.DSMT4" shapeId="1463" r:id="rId453"/>
      </mc:Fallback>
    </mc:AlternateContent>
    <mc:AlternateContent xmlns:mc="http://schemas.openxmlformats.org/markup-compatibility/2006">
      <mc:Choice Requires="x14">
        <oleObject progId="Equation.DSMT4" shapeId="1464" r:id="rId454">
          <objectPr defaultSize="0" autoPict="0" r:id="rId19">
            <anchor moveWithCells="1">
              <from>
                <xdr:col>13</xdr:col>
                <xdr:colOff>295275</xdr:colOff>
                <xdr:row>326</xdr:row>
                <xdr:rowOff>104775</xdr:rowOff>
              </from>
              <to>
                <xdr:col>13</xdr:col>
                <xdr:colOff>733425</xdr:colOff>
                <xdr:row>328</xdr:row>
                <xdr:rowOff>0</xdr:rowOff>
              </to>
            </anchor>
          </objectPr>
        </oleObject>
      </mc:Choice>
      <mc:Fallback>
        <oleObject progId="Equation.DSMT4" shapeId="1464" r:id="rId454"/>
      </mc:Fallback>
    </mc:AlternateContent>
    <mc:AlternateContent xmlns:mc="http://schemas.openxmlformats.org/markup-compatibility/2006">
      <mc:Choice Requires="x14">
        <oleObject progId="Equation.DSMT4" shapeId="1465" r:id="rId455">
          <objectPr defaultSize="0" autoPict="0" r:id="rId21">
            <anchor moveWithCells="1">
              <from>
                <xdr:col>14</xdr:col>
                <xdr:colOff>295275</xdr:colOff>
                <xdr:row>326</xdr:row>
                <xdr:rowOff>104775</xdr:rowOff>
              </from>
              <to>
                <xdr:col>14</xdr:col>
                <xdr:colOff>733425</xdr:colOff>
                <xdr:row>328</xdr:row>
                <xdr:rowOff>0</xdr:rowOff>
              </to>
            </anchor>
          </objectPr>
        </oleObject>
      </mc:Choice>
      <mc:Fallback>
        <oleObject progId="Equation.DSMT4" shapeId="1465" r:id="rId455"/>
      </mc:Fallback>
    </mc:AlternateContent>
    <mc:AlternateContent xmlns:mc="http://schemas.openxmlformats.org/markup-compatibility/2006">
      <mc:Choice Requires="x14">
        <oleObject progId="Equation.DSMT4" shapeId="1466" r:id="rId456">
          <objectPr defaultSize="0" autoPict="0" r:id="rId23">
            <anchor moveWithCells="1">
              <from>
                <xdr:col>15</xdr:col>
                <xdr:colOff>314325</xdr:colOff>
                <xdr:row>323</xdr:row>
                <xdr:rowOff>85725</xdr:rowOff>
              </from>
              <to>
                <xdr:col>15</xdr:col>
                <xdr:colOff>733425</xdr:colOff>
                <xdr:row>324</xdr:row>
                <xdr:rowOff>161925</xdr:rowOff>
              </to>
            </anchor>
          </objectPr>
        </oleObject>
      </mc:Choice>
      <mc:Fallback>
        <oleObject progId="Equation.DSMT4" shapeId="1466" r:id="rId456"/>
      </mc:Fallback>
    </mc:AlternateContent>
    <mc:AlternateContent xmlns:mc="http://schemas.openxmlformats.org/markup-compatibility/2006">
      <mc:Choice Requires="x14">
        <oleObject progId="Equation.DSMT4" shapeId="1467" r:id="rId457">
          <objectPr defaultSize="0" autoPict="0" r:id="rId25">
            <anchor moveWithCells="1">
              <from>
                <xdr:col>15</xdr:col>
                <xdr:colOff>304800</xdr:colOff>
                <xdr:row>326</xdr:row>
                <xdr:rowOff>85725</xdr:rowOff>
              </from>
              <to>
                <xdr:col>15</xdr:col>
                <xdr:colOff>733425</xdr:colOff>
                <xdr:row>327</xdr:row>
                <xdr:rowOff>161925</xdr:rowOff>
              </to>
            </anchor>
          </objectPr>
        </oleObject>
      </mc:Choice>
      <mc:Fallback>
        <oleObject progId="Equation.DSMT4" shapeId="1467" r:id="rId457"/>
      </mc:Fallback>
    </mc:AlternateContent>
    <mc:AlternateContent xmlns:mc="http://schemas.openxmlformats.org/markup-compatibility/2006">
      <mc:Choice Requires="x14">
        <oleObject progId="Equation.DSMT4" shapeId="1468" r:id="rId458">
          <objectPr defaultSize="0" autoPict="0" r:id="rId27">
            <anchor moveWithCells="1">
              <from>
                <xdr:col>18</xdr:col>
                <xdr:colOff>304800</xdr:colOff>
                <xdr:row>326</xdr:row>
                <xdr:rowOff>76200</xdr:rowOff>
              </from>
              <to>
                <xdr:col>18</xdr:col>
                <xdr:colOff>733425</xdr:colOff>
                <xdr:row>327</xdr:row>
                <xdr:rowOff>161925</xdr:rowOff>
              </to>
            </anchor>
          </objectPr>
        </oleObject>
      </mc:Choice>
      <mc:Fallback>
        <oleObject progId="Equation.DSMT4" shapeId="1468" r:id="rId458"/>
      </mc:Fallback>
    </mc:AlternateContent>
    <mc:AlternateContent xmlns:mc="http://schemas.openxmlformats.org/markup-compatibility/2006">
      <mc:Choice Requires="x14">
        <oleObject progId="Equation.DSMT4" shapeId="1469" r:id="rId459">
          <objectPr defaultSize="0" autoPict="0" r:id="rId15">
            <anchor moveWithCells="1">
              <from>
                <xdr:col>2</xdr:col>
                <xdr:colOff>428625</xdr:colOff>
                <xdr:row>343</xdr:row>
                <xdr:rowOff>152400</xdr:rowOff>
              </from>
              <to>
                <xdr:col>2</xdr:col>
                <xdr:colOff>609600</xdr:colOff>
                <xdr:row>344</xdr:row>
                <xdr:rowOff>104775</xdr:rowOff>
              </to>
            </anchor>
          </objectPr>
        </oleObject>
      </mc:Choice>
      <mc:Fallback>
        <oleObject progId="Equation.DSMT4" shapeId="1469" r:id="rId459"/>
      </mc:Fallback>
    </mc:AlternateContent>
    <mc:AlternateContent xmlns:mc="http://schemas.openxmlformats.org/markup-compatibility/2006">
      <mc:Choice Requires="x14">
        <oleObject progId="Equation.DSMT4" shapeId="1470" r:id="rId460">
          <objectPr defaultSize="0" autoPict="0" r:id="rId17">
            <anchor moveWithCells="1">
              <from>
                <xdr:col>3</xdr:col>
                <xdr:colOff>257175</xdr:colOff>
                <xdr:row>343</xdr:row>
                <xdr:rowOff>85725</xdr:rowOff>
              </from>
              <to>
                <xdr:col>3</xdr:col>
                <xdr:colOff>676275</xdr:colOff>
                <xdr:row>344</xdr:row>
                <xdr:rowOff>161925</xdr:rowOff>
              </to>
            </anchor>
          </objectPr>
        </oleObject>
      </mc:Choice>
      <mc:Fallback>
        <oleObject progId="Equation.DSMT4" shapeId="1470" r:id="rId460"/>
      </mc:Fallback>
    </mc:AlternateContent>
    <mc:AlternateContent xmlns:mc="http://schemas.openxmlformats.org/markup-compatibility/2006">
      <mc:Choice Requires="x14">
        <oleObject progId="Equation.DSMT4" shapeId="1471" r:id="rId461">
          <objectPr defaultSize="0" autoPict="0" r:id="rId19">
            <anchor moveWithCells="1">
              <from>
                <xdr:col>2</xdr:col>
                <xdr:colOff>295275</xdr:colOff>
                <xdr:row>346</xdr:row>
                <xdr:rowOff>104775</xdr:rowOff>
              </from>
              <to>
                <xdr:col>2</xdr:col>
                <xdr:colOff>733425</xdr:colOff>
                <xdr:row>348</xdr:row>
                <xdr:rowOff>0</xdr:rowOff>
              </to>
            </anchor>
          </objectPr>
        </oleObject>
      </mc:Choice>
      <mc:Fallback>
        <oleObject progId="Equation.DSMT4" shapeId="1471" r:id="rId461"/>
      </mc:Fallback>
    </mc:AlternateContent>
    <mc:AlternateContent xmlns:mc="http://schemas.openxmlformats.org/markup-compatibility/2006">
      <mc:Choice Requires="x14">
        <oleObject progId="Equation.DSMT4" shapeId="1472" r:id="rId462">
          <objectPr defaultSize="0" autoPict="0" r:id="rId21">
            <anchor moveWithCells="1">
              <from>
                <xdr:col>3</xdr:col>
                <xdr:colOff>295275</xdr:colOff>
                <xdr:row>346</xdr:row>
                <xdr:rowOff>104775</xdr:rowOff>
              </from>
              <to>
                <xdr:col>3</xdr:col>
                <xdr:colOff>733425</xdr:colOff>
                <xdr:row>348</xdr:row>
                <xdr:rowOff>0</xdr:rowOff>
              </to>
            </anchor>
          </objectPr>
        </oleObject>
      </mc:Choice>
      <mc:Fallback>
        <oleObject progId="Equation.DSMT4" shapeId="1472" r:id="rId462"/>
      </mc:Fallback>
    </mc:AlternateContent>
    <mc:AlternateContent xmlns:mc="http://schemas.openxmlformats.org/markup-compatibility/2006">
      <mc:Choice Requires="x14">
        <oleObject progId="Equation.DSMT4" shapeId="1473" r:id="rId463">
          <objectPr defaultSize="0" autoPict="0" r:id="rId23">
            <anchor moveWithCells="1">
              <from>
                <xdr:col>4</xdr:col>
                <xdr:colOff>314325</xdr:colOff>
                <xdr:row>343</xdr:row>
                <xdr:rowOff>85725</xdr:rowOff>
              </from>
              <to>
                <xdr:col>4</xdr:col>
                <xdr:colOff>733425</xdr:colOff>
                <xdr:row>344</xdr:row>
                <xdr:rowOff>161925</xdr:rowOff>
              </to>
            </anchor>
          </objectPr>
        </oleObject>
      </mc:Choice>
      <mc:Fallback>
        <oleObject progId="Equation.DSMT4" shapeId="1473" r:id="rId463"/>
      </mc:Fallback>
    </mc:AlternateContent>
    <mc:AlternateContent xmlns:mc="http://schemas.openxmlformats.org/markup-compatibility/2006">
      <mc:Choice Requires="x14">
        <oleObject progId="Equation.DSMT4" shapeId="1474" r:id="rId464">
          <objectPr defaultSize="0" autoPict="0" r:id="rId25">
            <anchor moveWithCells="1">
              <from>
                <xdr:col>4</xdr:col>
                <xdr:colOff>304800</xdr:colOff>
                <xdr:row>346</xdr:row>
                <xdr:rowOff>85725</xdr:rowOff>
              </from>
              <to>
                <xdr:col>4</xdr:col>
                <xdr:colOff>733425</xdr:colOff>
                <xdr:row>347</xdr:row>
                <xdr:rowOff>161925</xdr:rowOff>
              </to>
            </anchor>
          </objectPr>
        </oleObject>
      </mc:Choice>
      <mc:Fallback>
        <oleObject progId="Equation.DSMT4" shapeId="1474" r:id="rId464"/>
      </mc:Fallback>
    </mc:AlternateContent>
    <mc:AlternateContent xmlns:mc="http://schemas.openxmlformats.org/markup-compatibility/2006">
      <mc:Choice Requires="x14">
        <oleObject progId="Equation.DSMT4" shapeId="1475" r:id="rId465">
          <objectPr defaultSize="0" autoPict="0" r:id="rId27">
            <anchor moveWithCells="1">
              <from>
                <xdr:col>7</xdr:col>
                <xdr:colOff>304800</xdr:colOff>
                <xdr:row>346</xdr:row>
                <xdr:rowOff>76200</xdr:rowOff>
              </from>
              <to>
                <xdr:col>7</xdr:col>
                <xdr:colOff>733425</xdr:colOff>
                <xdr:row>347</xdr:row>
                <xdr:rowOff>161925</xdr:rowOff>
              </to>
            </anchor>
          </objectPr>
        </oleObject>
      </mc:Choice>
      <mc:Fallback>
        <oleObject progId="Equation.DSMT4" shapeId="1475" r:id="rId465"/>
      </mc:Fallback>
    </mc:AlternateContent>
    <mc:AlternateContent xmlns:mc="http://schemas.openxmlformats.org/markup-compatibility/2006">
      <mc:Choice Requires="x14">
        <oleObject progId="Equation.DSMT4" shapeId="1476" r:id="rId466">
          <objectPr defaultSize="0" autoPict="0" r:id="rId15">
            <anchor moveWithCells="1">
              <from>
                <xdr:col>13</xdr:col>
                <xdr:colOff>428625</xdr:colOff>
                <xdr:row>343</xdr:row>
                <xdr:rowOff>152400</xdr:rowOff>
              </from>
              <to>
                <xdr:col>13</xdr:col>
                <xdr:colOff>609600</xdr:colOff>
                <xdr:row>344</xdr:row>
                <xdr:rowOff>104775</xdr:rowOff>
              </to>
            </anchor>
          </objectPr>
        </oleObject>
      </mc:Choice>
      <mc:Fallback>
        <oleObject progId="Equation.DSMT4" shapeId="1476" r:id="rId466"/>
      </mc:Fallback>
    </mc:AlternateContent>
    <mc:AlternateContent xmlns:mc="http://schemas.openxmlformats.org/markup-compatibility/2006">
      <mc:Choice Requires="x14">
        <oleObject progId="Equation.DSMT4" shapeId="1477" r:id="rId467">
          <objectPr defaultSize="0" autoPict="0" r:id="rId17">
            <anchor moveWithCells="1">
              <from>
                <xdr:col>14</xdr:col>
                <xdr:colOff>257175</xdr:colOff>
                <xdr:row>343</xdr:row>
                <xdr:rowOff>85725</xdr:rowOff>
              </from>
              <to>
                <xdr:col>14</xdr:col>
                <xdr:colOff>676275</xdr:colOff>
                <xdr:row>344</xdr:row>
                <xdr:rowOff>161925</xdr:rowOff>
              </to>
            </anchor>
          </objectPr>
        </oleObject>
      </mc:Choice>
      <mc:Fallback>
        <oleObject progId="Equation.DSMT4" shapeId="1477" r:id="rId467"/>
      </mc:Fallback>
    </mc:AlternateContent>
    <mc:AlternateContent xmlns:mc="http://schemas.openxmlformats.org/markup-compatibility/2006">
      <mc:Choice Requires="x14">
        <oleObject progId="Equation.DSMT4" shapeId="1478" r:id="rId468">
          <objectPr defaultSize="0" autoPict="0" r:id="rId19">
            <anchor moveWithCells="1">
              <from>
                <xdr:col>13</xdr:col>
                <xdr:colOff>295275</xdr:colOff>
                <xdr:row>346</xdr:row>
                <xdr:rowOff>104775</xdr:rowOff>
              </from>
              <to>
                <xdr:col>13</xdr:col>
                <xdr:colOff>733425</xdr:colOff>
                <xdr:row>348</xdr:row>
                <xdr:rowOff>0</xdr:rowOff>
              </to>
            </anchor>
          </objectPr>
        </oleObject>
      </mc:Choice>
      <mc:Fallback>
        <oleObject progId="Equation.DSMT4" shapeId="1478" r:id="rId468"/>
      </mc:Fallback>
    </mc:AlternateContent>
    <mc:AlternateContent xmlns:mc="http://schemas.openxmlformats.org/markup-compatibility/2006">
      <mc:Choice Requires="x14">
        <oleObject progId="Equation.DSMT4" shapeId="1479" r:id="rId469">
          <objectPr defaultSize="0" autoPict="0" r:id="rId21">
            <anchor moveWithCells="1">
              <from>
                <xdr:col>14</xdr:col>
                <xdr:colOff>295275</xdr:colOff>
                <xdr:row>346</xdr:row>
                <xdr:rowOff>104775</xdr:rowOff>
              </from>
              <to>
                <xdr:col>14</xdr:col>
                <xdr:colOff>733425</xdr:colOff>
                <xdr:row>348</xdr:row>
                <xdr:rowOff>0</xdr:rowOff>
              </to>
            </anchor>
          </objectPr>
        </oleObject>
      </mc:Choice>
      <mc:Fallback>
        <oleObject progId="Equation.DSMT4" shapeId="1479" r:id="rId469"/>
      </mc:Fallback>
    </mc:AlternateContent>
    <mc:AlternateContent xmlns:mc="http://schemas.openxmlformats.org/markup-compatibility/2006">
      <mc:Choice Requires="x14">
        <oleObject progId="Equation.DSMT4" shapeId="1480" r:id="rId470">
          <objectPr defaultSize="0" autoPict="0" r:id="rId23">
            <anchor moveWithCells="1">
              <from>
                <xdr:col>15</xdr:col>
                <xdr:colOff>314325</xdr:colOff>
                <xdr:row>343</xdr:row>
                <xdr:rowOff>85725</xdr:rowOff>
              </from>
              <to>
                <xdr:col>15</xdr:col>
                <xdr:colOff>733425</xdr:colOff>
                <xdr:row>344</xdr:row>
                <xdr:rowOff>161925</xdr:rowOff>
              </to>
            </anchor>
          </objectPr>
        </oleObject>
      </mc:Choice>
      <mc:Fallback>
        <oleObject progId="Equation.DSMT4" shapeId="1480" r:id="rId470"/>
      </mc:Fallback>
    </mc:AlternateContent>
    <mc:AlternateContent xmlns:mc="http://schemas.openxmlformats.org/markup-compatibility/2006">
      <mc:Choice Requires="x14">
        <oleObject progId="Equation.DSMT4" shapeId="1481" r:id="rId471">
          <objectPr defaultSize="0" autoPict="0" r:id="rId25">
            <anchor moveWithCells="1">
              <from>
                <xdr:col>15</xdr:col>
                <xdr:colOff>304800</xdr:colOff>
                <xdr:row>346</xdr:row>
                <xdr:rowOff>85725</xdr:rowOff>
              </from>
              <to>
                <xdr:col>15</xdr:col>
                <xdr:colOff>733425</xdr:colOff>
                <xdr:row>347</xdr:row>
                <xdr:rowOff>161925</xdr:rowOff>
              </to>
            </anchor>
          </objectPr>
        </oleObject>
      </mc:Choice>
      <mc:Fallback>
        <oleObject progId="Equation.DSMT4" shapeId="1481" r:id="rId471"/>
      </mc:Fallback>
    </mc:AlternateContent>
    <mc:AlternateContent xmlns:mc="http://schemas.openxmlformats.org/markup-compatibility/2006">
      <mc:Choice Requires="x14">
        <oleObject progId="Equation.DSMT4" shapeId="1482" r:id="rId472">
          <objectPr defaultSize="0" autoPict="0" r:id="rId27">
            <anchor moveWithCells="1">
              <from>
                <xdr:col>18</xdr:col>
                <xdr:colOff>304800</xdr:colOff>
                <xdr:row>346</xdr:row>
                <xdr:rowOff>76200</xdr:rowOff>
              </from>
              <to>
                <xdr:col>18</xdr:col>
                <xdr:colOff>733425</xdr:colOff>
                <xdr:row>347</xdr:row>
                <xdr:rowOff>161925</xdr:rowOff>
              </to>
            </anchor>
          </objectPr>
        </oleObject>
      </mc:Choice>
      <mc:Fallback>
        <oleObject progId="Equation.DSMT4" shapeId="1482" r:id="rId472"/>
      </mc:Fallback>
    </mc:AlternateContent>
    <mc:AlternateContent xmlns:mc="http://schemas.openxmlformats.org/markup-compatibility/2006">
      <mc:Choice Requires="x14">
        <oleObject progId="Equation.DSMT4" shapeId="1483" r:id="rId473">
          <objectPr defaultSize="0" autoPict="0" r:id="rId4">
            <anchor moveWithCells="1">
              <from>
                <xdr:col>32</xdr:col>
                <xdr:colOff>304800</xdr:colOff>
                <xdr:row>45</xdr:row>
                <xdr:rowOff>76200</xdr:rowOff>
              </from>
              <to>
                <xdr:col>32</xdr:col>
                <xdr:colOff>714375</xdr:colOff>
                <xdr:row>46</xdr:row>
                <xdr:rowOff>142875</xdr:rowOff>
              </to>
            </anchor>
          </objectPr>
        </oleObject>
      </mc:Choice>
      <mc:Fallback>
        <oleObject progId="Equation.DSMT4" shapeId="1483" r:id="rId473"/>
      </mc:Fallback>
    </mc:AlternateContent>
    <mc:AlternateContent xmlns:mc="http://schemas.openxmlformats.org/markup-compatibility/2006">
      <mc:Choice Requires="x14">
        <oleObject progId="Equation.DSMT4" shapeId="1484" r:id="rId474">
          <objectPr defaultSize="0" autoPict="0" r:id="rId4">
            <anchor moveWithCells="1">
              <from>
                <xdr:col>36</xdr:col>
                <xdr:colOff>304800</xdr:colOff>
                <xdr:row>45</xdr:row>
                <xdr:rowOff>76200</xdr:rowOff>
              </from>
              <to>
                <xdr:col>36</xdr:col>
                <xdr:colOff>714375</xdr:colOff>
                <xdr:row>46</xdr:row>
                <xdr:rowOff>142875</xdr:rowOff>
              </to>
            </anchor>
          </objectPr>
        </oleObject>
      </mc:Choice>
      <mc:Fallback>
        <oleObject progId="Equation.DSMT4" shapeId="1484" r:id="rId474"/>
      </mc:Fallback>
    </mc:AlternateContent>
    <mc:AlternateContent xmlns:mc="http://schemas.openxmlformats.org/markup-compatibility/2006">
      <mc:Choice Requires="x14">
        <oleObject progId="Equation.DSMT4" shapeId="1485" r:id="rId475">
          <objectPr defaultSize="0" autoPict="0" r:id="rId17">
            <anchor moveWithCells="1">
              <from>
                <xdr:col>3</xdr:col>
                <xdr:colOff>257175</xdr:colOff>
                <xdr:row>477</xdr:row>
                <xdr:rowOff>85725</xdr:rowOff>
              </from>
              <to>
                <xdr:col>3</xdr:col>
                <xdr:colOff>676275</xdr:colOff>
                <xdr:row>478</xdr:row>
                <xdr:rowOff>161925</xdr:rowOff>
              </to>
            </anchor>
          </objectPr>
        </oleObject>
      </mc:Choice>
      <mc:Fallback>
        <oleObject progId="Equation.DSMT4" shapeId="1485" r:id="rId475"/>
      </mc:Fallback>
    </mc:AlternateContent>
    <mc:AlternateContent xmlns:mc="http://schemas.openxmlformats.org/markup-compatibility/2006">
      <mc:Choice Requires="x14">
        <oleObject progId="Equation.DSMT4" shapeId="1486" r:id="rId476">
          <objectPr defaultSize="0" autoPict="0" r:id="rId23">
            <anchor moveWithCells="1">
              <from>
                <xdr:col>4</xdr:col>
                <xdr:colOff>314325</xdr:colOff>
                <xdr:row>477</xdr:row>
                <xdr:rowOff>85725</xdr:rowOff>
              </from>
              <to>
                <xdr:col>4</xdr:col>
                <xdr:colOff>752475</xdr:colOff>
                <xdr:row>478</xdr:row>
                <xdr:rowOff>161925</xdr:rowOff>
              </to>
            </anchor>
          </objectPr>
        </oleObject>
      </mc:Choice>
      <mc:Fallback>
        <oleObject progId="Equation.DSMT4" shapeId="1486" r:id="rId476"/>
      </mc:Fallback>
    </mc:AlternateContent>
    <mc:AlternateContent xmlns:mc="http://schemas.openxmlformats.org/markup-compatibility/2006">
      <mc:Choice Requires="x14">
        <oleObject progId="Equation.DSMT4" shapeId="1487" r:id="rId477">
          <objectPr defaultSize="0" autoPict="0" r:id="rId21">
            <anchor moveWithCells="1">
              <from>
                <xdr:col>3</xdr:col>
                <xdr:colOff>295275</xdr:colOff>
                <xdr:row>477</xdr:row>
                <xdr:rowOff>104775</xdr:rowOff>
              </from>
              <to>
                <xdr:col>3</xdr:col>
                <xdr:colOff>752475</xdr:colOff>
                <xdr:row>479</xdr:row>
                <xdr:rowOff>0</xdr:rowOff>
              </to>
            </anchor>
          </objectPr>
        </oleObject>
      </mc:Choice>
      <mc:Fallback>
        <oleObject progId="Equation.DSMT4" shapeId="1487" r:id="rId477"/>
      </mc:Fallback>
    </mc:AlternateContent>
    <mc:AlternateContent xmlns:mc="http://schemas.openxmlformats.org/markup-compatibility/2006">
      <mc:Choice Requires="x14">
        <oleObject progId="Equation.DSMT4" shapeId="1488" r:id="rId478">
          <objectPr defaultSize="0" autoPict="0" r:id="rId25">
            <anchor moveWithCells="1">
              <from>
                <xdr:col>4</xdr:col>
                <xdr:colOff>304800</xdr:colOff>
                <xdr:row>477</xdr:row>
                <xdr:rowOff>85725</xdr:rowOff>
              </from>
              <to>
                <xdr:col>4</xdr:col>
                <xdr:colOff>752475</xdr:colOff>
                <xdr:row>478</xdr:row>
                <xdr:rowOff>161925</xdr:rowOff>
              </to>
            </anchor>
          </objectPr>
        </oleObject>
      </mc:Choice>
      <mc:Fallback>
        <oleObject progId="Equation.DSMT4" shapeId="1488" r:id="rId478"/>
      </mc:Fallback>
    </mc:AlternateContent>
    <mc:AlternateContent xmlns:mc="http://schemas.openxmlformats.org/markup-compatibility/2006">
      <mc:Choice Requires="x14">
        <oleObject progId="Equation.DSMT4" shapeId="1489" r:id="rId479">
          <objectPr defaultSize="0" autoPict="0" r:id="rId15">
            <anchor moveWithCells="1">
              <from>
                <xdr:col>2</xdr:col>
                <xdr:colOff>428625</xdr:colOff>
                <xdr:row>474</xdr:row>
                <xdr:rowOff>152400</xdr:rowOff>
              </from>
              <to>
                <xdr:col>2</xdr:col>
                <xdr:colOff>619125</xdr:colOff>
                <xdr:row>475</xdr:row>
                <xdr:rowOff>114300</xdr:rowOff>
              </to>
            </anchor>
          </objectPr>
        </oleObject>
      </mc:Choice>
      <mc:Fallback>
        <oleObject progId="Equation.DSMT4" shapeId="1489" r:id="rId479"/>
      </mc:Fallback>
    </mc:AlternateContent>
    <mc:AlternateContent xmlns:mc="http://schemas.openxmlformats.org/markup-compatibility/2006">
      <mc:Choice Requires="x14">
        <oleObject progId="Equation.DSMT4" shapeId="1490" r:id="rId480">
          <objectPr defaultSize="0" autoPict="0" r:id="rId17">
            <anchor moveWithCells="1">
              <from>
                <xdr:col>3</xdr:col>
                <xdr:colOff>257175</xdr:colOff>
                <xdr:row>474</xdr:row>
                <xdr:rowOff>85725</xdr:rowOff>
              </from>
              <to>
                <xdr:col>3</xdr:col>
                <xdr:colOff>676275</xdr:colOff>
                <xdr:row>476</xdr:row>
                <xdr:rowOff>0</xdr:rowOff>
              </to>
            </anchor>
          </objectPr>
        </oleObject>
      </mc:Choice>
      <mc:Fallback>
        <oleObject progId="Equation.DSMT4" shapeId="1490" r:id="rId480"/>
      </mc:Fallback>
    </mc:AlternateContent>
    <mc:AlternateContent xmlns:mc="http://schemas.openxmlformats.org/markup-compatibility/2006">
      <mc:Choice Requires="x14">
        <oleObject progId="Equation.DSMT4" shapeId="1491" r:id="rId481">
          <objectPr defaultSize="0" autoPict="0" r:id="rId19">
            <anchor moveWithCells="1">
              <from>
                <xdr:col>2</xdr:col>
                <xdr:colOff>295275</xdr:colOff>
                <xdr:row>477</xdr:row>
                <xdr:rowOff>104775</xdr:rowOff>
              </from>
              <to>
                <xdr:col>2</xdr:col>
                <xdr:colOff>714375</xdr:colOff>
                <xdr:row>479</xdr:row>
                <xdr:rowOff>0</xdr:rowOff>
              </to>
            </anchor>
          </objectPr>
        </oleObject>
      </mc:Choice>
      <mc:Fallback>
        <oleObject progId="Equation.DSMT4" shapeId="1491" r:id="rId481"/>
      </mc:Fallback>
    </mc:AlternateContent>
    <mc:AlternateContent xmlns:mc="http://schemas.openxmlformats.org/markup-compatibility/2006">
      <mc:Choice Requires="x14">
        <oleObject progId="Equation.DSMT4" shapeId="1492" r:id="rId482">
          <objectPr defaultSize="0" autoPict="0" r:id="rId23">
            <anchor moveWithCells="1">
              <from>
                <xdr:col>4</xdr:col>
                <xdr:colOff>314325</xdr:colOff>
                <xdr:row>474</xdr:row>
                <xdr:rowOff>85725</xdr:rowOff>
              </from>
              <to>
                <xdr:col>4</xdr:col>
                <xdr:colOff>752475</xdr:colOff>
                <xdr:row>476</xdr:row>
                <xdr:rowOff>0</xdr:rowOff>
              </to>
            </anchor>
          </objectPr>
        </oleObject>
      </mc:Choice>
      <mc:Fallback>
        <oleObject progId="Equation.DSMT4" shapeId="1492" r:id="rId482"/>
      </mc:Fallback>
    </mc:AlternateContent>
    <mc:AlternateContent xmlns:mc="http://schemas.openxmlformats.org/markup-compatibility/2006">
      <mc:Choice Requires="x14">
        <oleObject progId="Equation.DSMT4" shapeId="1493" r:id="rId483">
          <objectPr defaultSize="0" autoPict="0" r:id="rId15">
            <anchor moveWithCells="1">
              <from>
                <xdr:col>8</xdr:col>
                <xdr:colOff>428625</xdr:colOff>
                <xdr:row>474</xdr:row>
                <xdr:rowOff>152400</xdr:rowOff>
              </from>
              <to>
                <xdr:col>8</xdr:col>
                <xdr:colOff>619125</xdr:colOff>
                <xdr:row>475</xdr:row>
                <xdr:rowOff>114300</xdr:rowOff>
              </to>
            </anchor>
          </objectPr>
        </oleObject>
      </mc:Choice>
      <mc:Fallback>
        <oleObject progId="Equation.DSMT4" shapeId="1493" r:id="rId483"/>
      </mc:Fallback>
    </mc:AlternateContent>
    <mc:AlternateContent xmlns:mc="http://schemas.openxmlformats.org/markup-compatibility/2006">
      <mc:Choice Requires="x14">
        <oleObject progId="Equation.DSMT4" shapeId="1494" r:id="rId484">
          <objectPr defaultSize="0" autoPict="0" r:id="rId17">
            <anchor moveWithCells="1">
              <from>
                <xdr:col>9</xdr:col>
                <xdr:colOff>257175</xdr:colOff>
                <xdr:row>474</xdr:row>
                <xdr:rowOff>85725</xdr:rowOff>
              </from>
              <to>
                <xdr:col>9</xdr:col>
                <xdr:colOff>676275</xdr:colOff>
                <xdr:row>476</xdr:row>
                <xdr:rowOff>0</xdr:rowOff>
              </to>
            </anchor>
          </objectPr>
        </oleObject>
      </mc:Choice>
      <mc:Fallback>
        <oleObject progId="Equation.DSMT4" shapeId="1494" r:id="rId484"/>
      </mc:Fallback>
    </mc:AlternateContent>
    <mc:AlternateContent xmlns:mc="http://schemas.openxmlformats.org/markup-compatibility/2006">
      <mc:Choice Requires="x14">
        <oleObject progId="Equation.DSMT4" shapeId="1495" r:id="rId485">
          <objectPr defaultSize="0" autoPict="0" r:id="rId19">
            <anchor moveWithCells="1">
              <from>
                <xdr:col>8</xdr:col>
                <xdr:colOff>295275</xdr:colOff>
                <xdr:row>477</xdr:row>
                <xdr:rowOff>104775</xdr:rowOff>
              </from>
              <to>
                <xdr:col>8</xdr:col>
                <xdr:colOff>714375</xdr:colOff>
                <xdr:row>479</xdr:row>
                <xdr:rowOff>0</xdr:rowOff>
              </to>
            </anchor>
          </objectPr>
        </oleObject>
      </mc:Choice>
      <mc:Fallback>
        <oleObject progId="Equation.DSMT4" shapeId="1495" r:id="rId485"/>
      </mc:Fallback>
    </mc:AlternateContent>
    <mc:AlternateContent xmlns:mc="http://schemas.openxmlformats.org/markup-compatibility/2006">
      <mc:Choice Requires="x14">
        <oleObject progId="Equation.DSMT4" shapeId="1496" r:id="rId486">
          <objectPr defaultSize="0" autoPict="0" r:id="rId21">
            <anchor moveWithCells="1">
              <from>
                <xdr:col>9</xdr:col>
                <xdr:colOff>295275</xdr:colOff>
                <xdr:row>477</xdr:row>
                <xdr:rowOff>104775</xdr:rowOff>
              </from>
              <to>
                <xdr:col>9</xdr:col>
                <xdr:colOff>714375</xdr:colOff>
                <xdr:row>479</xdr:row>
                <xdr:rowOff>0</xdr:rowOff>
              </to>
            </anchor>
          </objectPr>
        </oleObject>
      </mc:Choice>
      <mc:Fallback>
        <oleObject progId="Equation.DSMT4" shapeId="1496" r:id="rId486"/>
      </mc:Fallback>
    </mc:AlternateContent>
    <mc:AlternateContent xmlns:mc="http://schemas.openxmlformats.org/markup-compatibility/2006">
      <mc:Choice Requires="x14">
        <oleObject progId="Equation.DSMT4" shapeId="1497" r:id="rId487">
          <objectPr defaultSize="0" autoPict="0" r:id="rId23">
            <anchor moveWithCells="1">
              <from>
                <xdr:col>10</xdr:col>
                <xdr:colOff>333375</xdr:colOff>
                <xdr:row>474</xdr:row>
                <xdr:rowOff>85725</xdr:rowOff>
              </from>
              <to>
                <xdr:col>10</xdr:col>
                <xdr:colOff>752475</xdr:colOff>
                <xdr:row>476</xdr:row>
                <xdr:rowOff>0</xdr:rowOff>
              </to>
            </anchor>
          </objectPr>
        </oleObject>
      </mc:Choice>
      <mc:Fallback>
        <oleObject progId="Equation.DSMT4" shapeId="1497" r:id="rId487"/>
      </mc:Fallback>
    </mc:AlternateContent>
    <mc:AlternateContent xmlns:mc="http://schemas.openxmlformats.org/markup-compatibility/2006">
      <mc:Choice Requires="x14">
        <oleObject progId="Equation.DSMT4" shapeId="1498" r:id="rId488">
          <objectPr defaultSize="0" autoPict="0" r:id="rId25">
            <anchor moveWithCells="1">
              <from>
                <xdr:col>10</xdr:col>
                <xdr:colOff>304800</xdr:colOff>
                <xdr:row>477</xdr:row>
                <xdr:rowOff>85725</xdr:rowOff>
              </from>
              <to>
                <xdr:col>10</xdr:col>
                <xdr:colOff>714375</xdr:colOff>
                <xdr:row>479</xdr:row>
                <xdr:rowOff>0</xdr:rowOff>
              </to>
            </anchor>
          </objectPr>
        </oleObject>
      </mc:Choice>
      <mc:Fallback>
        <oleObject progId="Equation.DSMT4" shapeId="1498" r:id="rId488"/>
      </mc:Fallback>
    </mc:AlternateContent>
    <mc:AlternateContent xmlns:mc="http://schemas.openxmlformats.org/markup-compatibility/2006">
      <mc:Choice Requires="x14">
        <oleObject progId="Equation.DSMT4" shapeId="1499" r:id="rId489">
          <objectPr defaultSize="0" autoPict="0" r:id="rId15">
            <anchor moveWithCells="1">
              <from>
                <xdr:col>14</xdr:col>
                <xdr:colOff>428625</xdr:colOff>
                <xdr:row>474</xdr:row>
                <xdr:rowOff>152400</xdr:rowOff>
              </from>
              <to>
                <xdr:col>14</xdr:col>
                <xdr:colOff>619125</xdr:colOff>
                <xdr:row>475</xdr:row>
                <xdr:rowOff>114300</xdr:rowOff>
              </to>
            </anchor>
          </objectPr>
        </oleObject>
      </mc:Choice>
      <mc:Fallback>
        <oleObject progId="Equation.DSMT4" shapeId="1499" r:id="rId489"/>
      </mc:Fallback>
    </mc:AlternateContent>
    <mc:AlternateContent xmlns:mc="http://schemas.openxmlformats.org/markup-compatibility/2006">
      <mc:Choice Requires="x14">
        <oleObject progId="Equation.DSMT4" shapeId="1500" r:id="rId490">
          <objectPr defaultSize="0" autoPict="0" r:id="rId17">
            <anchor moveWithCells="1">
              <from>
                <xdr:col>15</xdr:col>
                <xdr:colOff>257175</xdr:colOff>
                <xdr:row>474</xdr:row>
                <xdr:rowOff>85725</xdr:rowOff>
              </from>
              <to>
                <xdr:col>15</xdr:col>
                <xdr:colOff>676275</xdr:colOff>
                <xdr:row>476</xdr:row>
                <xdr:rowOff>0</xdr:rowOff>
              </to>
            </anchor>
          </objectPr>
        </oleObject>
      </mc:Choice>
      <mc:Fallback>
        <oleObject progId="Equation.DSMT4" shapeId="1500" r:id="rId490"/>
      </mc:Fallback>
    </mc:AlternateContent>
    <mc:AlternateContent xmlns:mc="http://schemas.openxmlformats.org/markup-compatibility/2006">
      <mc:Choice Requires="x14">
        <oleObject progId="Equation.DSMT4" shapeId="1501" r:id="rId491">
          <objectPr defaultSize="0" autoPict="0" r:id="rId19">
            <anchor moveWithCells="1">
              <from>
                <xdr:col>14</xdr:col>
                <xdr:colOff>295275</xdr:colOff>
                <xdr:row>477</xdr:row>
                <xdr:rowOff>104775</xdr:rowOff>
              </from>
              <to>
                <xdr:col>14</xdr:col>
                <xdr:colOff>714375</xdr:colOff>
                <xdr:row>479</xdr:row>
                <xdr:rowOff>0</xdr:rowOff>
              </to>
            </anchor>
          </objectPr>
        </oleObject>
      </mc:Choice>
      <mc:Fallback>
        <oleObject progId="Equation.DSMT4" shapeId="1501" r:id="rId491"/>
      </mc:Fallback>
    </mc:AlternateContent>
    <mc:AlternateContent xmlns:mc="http://schemas.openxmlformats.org/markup-compatibility/2006">
      <mc:Choice Requires="x14">
        <oleObject progId="Equation.DSMT4" shapeId="1502" r:id="rId492">
          <objectPr defaultSize="0" autoPict="0" r:id="rId21">
            <anchor moveWithCells="1">
              <from>
                <xdr:col>15</xdr:col>
                <xdr:colOff>295275</xdr:colOff>
                <xdr:row>477</xdr:row>
                <xdr:rowOff>104775</xdr:rowOff>
              </from>
              <to>
                <xdr:col>15</xdr:col>
                <xdr:colOff>714375</xdr:colOff>
                <xdr:row>479</xdr:row>
                <xdr:rowOff>0</xdr:rowOff>
              </to>
            </anchor>
          </objectPr>
        </oleObject>
      </mc:Choice>
      <mc:Fallback>
        <oleObject progId="Equation.DSMT4" shapeId="1502" r:id="rId492"/>
      </mc:Fallback>
    </mc:AlternateContent>
    <mc:AlternateContent xmlns:mc="http://schemas.openxmlformats.org/markup-compatibility/2006">
      <mc:Choice Requires="x14">
        <oleObject progId="Equation.DSMT4" shapeId="1503" r:id="rId493">
          <objectPr defaultSize="0" autoPict="0" r:id="rId23">
            <anchor moveWithCells="1">
              <from>
                <xdr:col>16</xdr:col>
                <xdr:colOff>314325</xdr:colOff>
                <xdr:row>474</xdr:row>
                <xdr:rowOff>85725</xdr:rowOff>
              </from>
              <to>
                <xdr:col>16</xdr:col>
                <xdr:colOff>752475</xdr:colOff>
                <xdr:row>476</xdr:row>
                <xdr:rowOff>0</xdr:rowOff>
              </to>
            </anchor>
          </objectPr>
        </oleObject>
      </mc:Choice>
      <mc:Fallback>
        <oleObject progId="Equation.DSMT4" shapeId="1503" r:id="rId493"/>
      </mc:Fallback>
    </mc:AlternateContent>
    <mc:AlternateContent xmlns:mc="http://schemas.openxmlformats.org/markup-compatibility/2006">
      <mc:Choice Requires="x14">
        <oleObject progId="Equation.DSMT4" shapeId="1504" r:id="rId494">
          <objectPr defaultSize="0" autoPict="0" r:id="rId25">
            <anchor moveWithCells="1">
              <from>
                <xdr:col>16</xdr:col>
                <xdr:colOff>304800</xdr:colOff>
                <xdr:row>477</xdr:row>
                <xdr:rowOff>85725</xdr:rowOff>
              </from>
              <to>
                <xdr:col>16</xdr:col>
                <xdr:colOff>714375</xdr:colOff>
                <xdr:row>479</xdr:row>
                <xdr:rowOff>0</xdr:rowOff>
              </to>
            </anchor>
          </objectPr>
        </oleObject>
      </mc:Choice>
      <mc:Fallback>
        <oleObject progId="Equation.DSMT4" shapeId="1504" r:id="rId494"/>
      </mc:Fallback>
    </mc:AlternateContent>
    <mc:AlternateContent xmlns:mc="http://schemas.openxmlformats.org/markup-compatibility/2006">
      <mc:Choice Requires="x14">
        <oleObject progId="Equation.DSMT4" shapeId="1505" r:id="rId495">
          <objectPr defaultSize="0" autoPict="0" r:id="rId15">
            <anchor moveWithCells="1">
              <from>
                <xdr:col>20</xdr:col>
                <xdr:colOff>428625</xdr:colOff>
                <xdr:row>474</xdr:row>
                <xdr:rowOff>152400</xdr:rowOff>
              </from>
              <to>
                <xdr:col>20</xdr:col>
                <xdr:colOff>619125</xdr:colOff>
                <xdr:row>475</xdr:row>
                <xdr:rowOff>114300</xdr:rowOff>
              </to>
            </anchor>
          </objectPr>
        </oleObject>
      </mc:Choice>
      <mc:Fallback>
        <oleObject progId="Equation.DSMT4" shapeId="1505" r:id="rId495"/>
      </mc:Fallback>
    </mc:AlternateContent>
    <mc:AlternateContent xmlns:mc="http://schemas.openxmlformats.org/markup-compatibility/2006">
      <mc:Choice Requires="x14">
        <oleObject progId="Equation.DSMT4" shapeId="1506" r:id="rId496">
          <objectPr defaultSize="0" autoPict="0" r:id="rId17">
            <anchor moveWithCells="1">
              <from>
                <xdr:col>21</xdr:col>
                <xdr:colOff>257175</xdr:colOff>
                <xdr:row>474</xdr:row>
                <xdr:rowOff>85725</xdr:rowOff>
              </from>
              <to>
                <xdr:col>21</xdr:col>
                <xdr:colOff>676275</xdr:colOff>
                <xdr:row>476</xdr:row>
                <xdr:rowOff>0</xdr:rowOff>
              </to>
            </anchor>
          </objectPr>
        </oleObject>
      </mc:Choice>
      <mc:Fallback>
        <oleObject progId="Equation.DSMT4" shapeId="1506" r:id="rId496"/>
      </mc:Fallback>
    </mc:AlternateContent>
    <mc:AlternateContent xmlns:mc="http://schemas.openxmlformats.org/markup-compatibility/2006">
      <mc:Choice Requires="x14">
        <oleObject progId="Equation.DSMT4" shapeId="1507" r:id="rId497">
          <objectPr defaultSize="0" autoPict="0" r:id="rId19">
            <anchor moveWithCells="1">
              <from>
                <xdr:col>20</xdr:col>
                <xdr:colOff>295275</xdr:colOff>
                <xdr:row>477</xdr:row>
                <xdr:rowOff>104775</xdr:rowOff>
              </from>
              <to>
                <xdr:col>20</xdr:col>
                <xdr:colOff>714375</xdr:colOff>
                <xdr:row>479</xdr:row>
                <xdr:rowOff>0</xdr:rowOff>
              </to>
            </anchor>
          </objectPr>
        </oleObject>
      </mc:Choice>
      <mc:Fallback>
        <oleObject progId="Equation.DSMT4" shapeId="1507" r:id="rId497"/>
      </mc:Fallback>
    </mc:AlternateContent>
    <mc:AlternateContent xmlns:mc="http://schemas.openxmlformats.org/markup-compatibility/2006">
      <mc:Choice Requires="x14">
        <oleObject progId="Equation.DSMT4" shapeId="1508" r:id="rId498">
          <objectPr defaultSize="0" autoPict="0" r:id="rId21">
            <anchor moveWithCells="1">
              <from>
                <xdr:col>21</xdr:col>
                <xdr:colOff>295275</xdr:colOff>
                <xdr:row>477</xdr:row>
                <xdr:rowOff>104775</xdr:rowOff>
              </from>
              <to>
                <xdr:col>21</xdr:col>
                <xdr:colOff>714375</xdr:colOff>
                <xdr:row>479</xdr:row>
                <xdr:rowOff>0</xdr:rowOff>
              </to>
            </anchor>
          </objectPr>
        </oleObject>
      </mc:Choice>
      <mc:Fallback>
        <oleObject progId="Equation.DSMT4" shapeId="1508" r:id="rId498"/>
      </mc:Fallback>
    </mc:AlternateContent>
    <mc:AlternateContent xmlns:mc="http://schemas.openxmlformats.org/markup-compatibility/2006">
      <mc:Choice Requires="x14">
        <oleObject progId="Equation.DSMT4" shapeId="1509" r:id="rId499">
          <objectPr defaultSize="0" autoPict="0" r:id="rId23">
            <anchor moveWithCells="1">
              <from>
                <xdr:col>22</xdr:col>
                <xdr:colOff>314325</xdr:colOff>
                <xdr:row>474</xdr:row>
                <xdr:rowOff>85725</xdr:rowOff>
              </from>
              <to>
                <xdr:col>22</xdr:col>
                <xdr:colOff>752475</xdr:colOff>
                <xdr:row>476</xdr:row>
                <xdr:rowOff>0</xdr:rowOff>
              </to>
            </anchor>
          </objectPr>
        </oleObject>
      </mc:Choice>
      <mc:Fallback>
        <oleObject progId="Equation.DSMT4" shapeId="1509" r:id="rId499"/>
      </mc:Fallback>
    </mc:AlternateContent>
    <mc:AlternateContent xmlns:mc="http://schemas.openxmlformats.org/markup-compatibility/2006">
      <mc:Choice Requires="x14">
        <oleObject progId="Equation.DSMT4" shapeId="1510" r:id="rId500">
          <objectPr defaultSize="0" autoPict="0" r:id="rId25">
            <anchor moveWithCells="1">
              <from>
                <xdr:col>22</xdr:col>
                <xdr:colOff>304800</xdr:colOff>
                <xdr:row>477</xdr:row>
                <xdr:rowOff>85725</xdr:rowOff>
              </from>
              <to>
                <xdr:col>22</xdr:col>
                <xdr:colOff>714375</xdr:colOff>
                <xdr:row>479</xdr:row>
                <xdr:rowOff>0</xdr:rowOff>
              </to>
            </anchor>
          </objectPr>
        </oleObject>
      </mc:Choice>
      <mc:Fallback>
        <oleObject progId="Equation.DSMT4" shapeId="1510" r:id="rId500"/>
      </mc:Fallback>
    </mc:AlternateContent>
    <mc:AlternateContent xmlns:mc="http://schemas.openxmlformats.org/markup-compatibility/2006">
      <mc:Choice Requires="x14">
        <oleObject progId="Equation.DSMT4" shapeId="1511" r:id="rId501">
          <objectPr defaultSize="0" autoPict="0" r:id="rId15">
            <anchor moveWithCells="1">
              <from>
                <xdr:col>26</xdr:col>
                <xdr:colOff>428625</xdr:colOff>
                <xdr:row>474</xdr:row>
                <xdr:rowOff>152400</xdr:rowOff>
              </from>
              <to>
                <xdr:col>26</xdr:col>
                <xdr:colOff>619125</xdr:colOff>
                <xdr:row>475</xdr:row>
                <xdr:rowOff>114300</xdr:rowOff>
              </to>
            </anchor>
          </objectPr>
        </oleObject>
      </mc:Choice>
      <mc:Fallback>
        <oleObject progId="Equation.DSMT4" shapeId="1511" r:id="rId501"/>
      </mc:Fallback>
    </mc:AlternateContent>
    <mc:AlternateContent xmlns:mc="http://schemas.openxmlformats.org/markup-compatibility/2006">
      <mc:Choice Requires="x14">
        <oleObject progId="Equation.DSMT4" shapeId="1512" r:id="rId502">
          <objectPr defaultSize="0" autoPict="0" r:id="rId17">
            <anchor moveWithCells="1">
              <from>
                <xdr:col>27</xdr:col>
                <xdr:colOff>257175</xdr:colOff>
                <xdr:row>474</xdr:row>
                <xdr:rowOff>85725</xdr:rowOff>
              </from>
              <to>
                <xdr:col>27</xdr:col>
                <xdr:colOff>676275</xdr:colOff>
                <xdr:row>476</xdr:row>
                <xdr:rowOff>0</xdr:rowOff>
              </to>
            </anchor>
          </objectPr>
        </oleObject>
      </mc:Choice>
      <mc:Fallback>
        <oleObject progId="Equation.DSMT4" shapeId="1512" r:id="rId502"/>
      </mc:Fallback>
    </mc:AlternateContent>
    <mc:AlternateContent xmlns:mc="http://schemas.openxmlformats.org/markup-compatibility/2006">
      <mc:Choice Requires="x14">
        <oleObject progId="Equation.DSMT4" shapeId="1513" r:id="rId503">
          <objectPr defaultSize="0" autoPict="0" r:id="rId19">
            <anchor moveWithCells="1">
              <from>
                <xdr:col>26</xdr:col>
                <xdr:colOff>295275</xdr:colOff>
                <xdr:row>477</xdr:row>
                <xdr:rowOff>104775</xdr:rowOff>
              </from>
              <to>
                <xdr:col>26</xdr:col>
                <xdr:colOff>714375</xdr:colOff>
                <xdr:row>479</xdr:row>
                <xdr:rowOff>0</xdr:rowOff>
              </to>
            </anchor>
          </objectPr>
        </oleObject>
      </mc:Choice>
      <mc:Fallback>
        <oleObject progId="Equation.DSMT4" shapeId="1513" r:id="rId503"/>
      </mc:Fallback>
    </mc:AlternateContent>
    <mc:AlternateContent xmlns:mc="http://schemas.openxmlformats.org/markup-compatibility/2006">
      <mc:Choice Requires="x14">
        <oleObject progId="Equation.DSMT4" shapeId="1514" r:id="rId504">
          <objectPr defaultSize="0" autoPict="0" r:id="rId21">
            <anchor moveWithCells="1">
              <from>
                <xdr:col>27</xdr:col>
                <xdr:colOff>295275</xdr:colOff>
                <xdr:row>477</xdr:row>
                <xdr:rowOff>104775</xdr:rowOff>
              </from>
              <to>
                <xdr:col>27</xdr:col>
                <xdr:colOff>714375</xdr:colOff>
                <xdr:row>479</xdr:row>
                <xdr:rowOff>0</xdr:rowOff>
              </to>
            </anchor>
          </objectPr>
        </oleObject>
      </mc:Choice>
      <mc:Fallback>
        <oleObject progId="Equation.DSMT4" shapeId="1514" r:id="rId504"/>
      </mc:Fallback>
    </mc:AlternateContent>
    <mc:AlternateContent xmlns:mc="http://schemas.openxmlformats.org/markup-compatibility/2006">
      <mc:Choice Requires="x14">
        <oleObject progId="Equation.DSMT4" shapeId="1515" r:id="rId505">
          <objectPr defaultSize="0" autoPict="0" r:id="rId23">
            <anchor moveWithCells="1">
              <from>
                <xdr:col>28</xdr:col>
                <xdr:colOff>314325</xdr:colOff>
                <xdr:row>474</xdr:row>
                <xdr:rowOff>85725</xdr:rowOff>
              </from>
              <to>
                <xdr:col>28</xdr:col>
                <xdr:colOff>752475</xdr:colOff>
                <xdr:row>476</xdr:row>
                <xdr:rowOff>0</xdr:rowOff>
              </to>
            </anchor>
          </objectPr>
        </oleObject>
      </mc:Choice>
      <mc:Fallback>
        <oleObject progId="Equation.DSMT4" shapeId="1515" r:id="rId505"/>
      </mc:Fallback>
    </mc:AlternateContent>
    <mc:AlternateContent xmlns:mc="http://schemas.openxmlformats.org/markup-compatibility/2006">
      <mc:Choice Requires="x14">
        <oleObject progId="Equation.DSMT4" shapeId="1516" r:id="rId506">
          <objectPr defaultSize="0" autoPict="0" r:id="rId25">
            <anchor moveWithCells="1">
              <from>
                <xdr:col>28</xdr:col>
                <xdr:colOff>304800</xdr:colOff>
                <xdr:row>477</xdr:row>
                <xdr:rowOff>85725</xdr:rowOff>
              </from>
              <to>
                <xdr:col>28</xdr:col>
                <xdr:colOff>714375</xdr:colOff>
                <xdr:row>479</xdr:row>
                <xdr:rowOff>0</xdr:rowOff>
              </to>
            </anchor>
          </objectPr>
        </oleObject>
      </mc:Choice>
      <mc:Fallback>
        <oleObject progId="Equation.DSMT4" shapeId="1516" r:id="rId506"/>
      </mc:Fallback>
    </mc:AlternateContent>
    <mc:AlternateContent xmlns:mc="http://schemas.openxmlformats.org/markup-compatibility/2006">
      <mc:Choice Requires="x14">
        <oleObject progId="Equation.DSMT4" shapeId="1517" r:id="rId507">
          <objectPr defaultSize="0" autoPict="0" r:id="rId15">
            <anchor moveWithCells="1">
              <from>
                <xdr:col>32</xdr:col>
                <xdr:colOff>428625</xdr:colOff>
                <xdr:row>474</xdr:row>
                <xdr:rowOff>152400</xdr:rowOff>
              </from>
              <to>
                <xdr:col>32</xdr:col>
                <xdr:colOff>619125</xdr:colOff>
                <xdr:row>475</xdr:row>
                <xdr:rowOff>114300</xdr:rowOff>
              </to>
            </anchor>
          </objectPr>
        </oleObject>
      </mc:Choice>
      <mc:Fallback>
        <oleObject progId="Equation.DSMT4" shapeId="1517" r:id="rId507"/>
      </mc:Fallback>
    </mc:AlternateContent>
    <mc:AlternateContent xmlns:mc="http://schemas.openxmlformats.org/markup-compatibility/2006">
      <mc:Choice Requires="x14">
        <oleObject progId="Equation.DSMT4" shapeId="1518" r:id="rId508">
          <objectPr defaultSize="0" autoPict="0" r:id="rId17">
            <anchor moveWithCells="1">
              <from>
                <xdr:col>33</xdr:col>
                <xdr:colOff>257175</xdr:colOff>
                <xdr:row>474</xdr:row>
                <xdr:rowOff>85725</xdr:rowOff>
              </from>
              <to>
                <xdr:col>33</xdr:col>
                <xdr:colOff>676275</xdr:colOff>
                <xdr:row>476</xdr:row>
                <xdr:rowOff>0</xdr:rowOff>
              </to>
            </anchor>
          </objectPr>
        </oleObject>
      </mc:Choice>
      <mc:Fallback>
        <oleObject progId="Equation.DSMT4" shapeId="1518" r:id="rId508"/>
      </mc:Fallback>
    </mc:AlternateContent>
    <mc:AlternateContent xmlns:mc="http://schemas.openxmlformats.org/markup-compatibility/2006">
      <mc:Choice Requires="x14">
        <oleObject progId="Equation.DSMT4" shapeId="1519" r:id="rId509">
          <objectPr defaultSize="0" autoPict="0" r:id="rId19">
            <anchor moveWithCells="1">
              <from>
                <xdr:col>32</xdr:col>
                <xdr:colOff>295275</xdr:colOff>
                <xdr:row>477</xdr:row>
                <xdr:rowOff>104775</xdr:rowOff>
              </from>
              <to>
                <xdr:col>32</xdr:col>
                <xdr:colOff>714375</xdr:colOff>
                <xdr:row>479</xdr:row>
                <xdr:rowOff>0</xdr:rowOff>
              </to>
            </anchor>
          </objectPr>
        </oleObject>
      </mc:Choice>
      <mc:Fallback>
        <oleObject progId="Equation.DSMT4" shapeId="1519" r:id="rId509"/>
      </mc:Fallback>
    </mc:AlternateContent>
    <mc:AlternateContent xmlns:mc="http://schemas.openxmlformats.org/markup-compatibility/2006">
      <mc:Choice Requires="x14">
        <oleObject progId="Equation.DSMT4" shapeId="1520" r:id="rId510">
          <objectPr defaultSize="0" autoPict="0" r:id="rId21">
            <anchor moveWithCells="1">
              <from>
                <xdr:col>33</xdr:col>
                <xdr:colOff>295275</xdr:colOff>
                <xdr:row>477</xdr:row>
                <xdr:rowOff>104775</xdr:rowOff>
              </from>
              <to>
                <xdr:col>33</xdr:col>
                <xdr:colOff>714375</xdr:colOff>
                <xdr:row>479</xdr:row>
                <xdr:rowOff>0</xdr:rowOff>
              </to>
            </anchor>
          </objectPr>
        </oleObject>
      </mc:Choice>
      <mc:Fallback>
        <oleObject progId="Equation.DSMT4" shapeId="1520" r:id="rId510"/>
      </mc:Fallback>
    </mc:AlternateContent>
    <mc:AlternateContent xmlns:mc="http://schemas.openxmlformats.org/markup-compatibility/2006">
      <mc:Choice Requires="x14">
        <oleObject progId="Equation.DSMT4" shapeId="1521" r:id="rId511">
          <objectPr defaultSize="0" autoPict="0" r:id="rId23">
            <anchor moveWithCells="1">
              <from>
                <xdr:col>34</xdr:col>
                <xdr:colOff>314325</xdr:colOff>
                <xdr:row>474</xdr:row>
                <xdr:rowOff>85725</xdr:rowOff>
              </from>
              <to>
                <xdr:col>34</xdr:col>
                <xdr:colOff>752475</xdr:colOff>
                <xdr:row>476</xdr:row>
                <xdr:rowOff>0</xdr:rowOff>
              </to>
            </anchor>
          </objectPr>
        </oleObject>
      </mc:Choice>
      <mc:Fallback>
        <oleObject progId="Equation.DSMT4" shapeId="1521" r:id="rId511"/>
      </mc:Fallback>
    </mc:AlternateContent>
    <mc:AlternateContent xmlns:mc="http://schemas.openxmlformats.org/markup-compatibility/2006">
      <mc:Choice Requires="x14">
        <oleObject progId="Equation.DSMT4" shapeId="1522" r:id="rId512">
          <objectPr defaultSize="0" autoPict="0" r:id="rId25">
            <anchor moveWithCells="1">
              <from>
                <xdr:col>34</xdr:col>
                <xdr:colOff>304800</xdr:colOff>
                <xdr:row>477</xdr:row>
                <xdr:rowOff>85725</xdr:rowOff>
              </from>
              <to>
                <xdr:col>34</xdr:col>
                <xdr:colOff>714375</xdr:colOff>
                <xdr:row>479</xdr:row>
                <xdr:rowOff>0</xdr:rowOff>
              </to>
            </anchor>
          </objectPr>
        </oleObject>
      </mc:Choice>
      <mc:Fallback>
        <oleObject progId="Equation.DSMT4" shapeId="1522" r:id="rId512"/>
      </mc:Fallback>
    </mc:AlternateContent>
    <mc:AlternateContent xmlns:mc="http://schemas.openxmlformats.org/markup-compatibility/2006">
      <mc:Choice Requires="x14">
        <oleObject progId="Equation.DSMT4" shapeId="1523" r:id="rId513">
          <objectPr defaultSize="0" autoPict="0" r:id="rId15">
            <anchor moveWithCells="1">
              <from>
                <xdr:col>38</xdr:col>
                <xdr:colOff>428625</xdr:colOff>
                <xdr:row>474</xdr:row>
                <xdr:rowOff>152400</xdr:rowOff>
              </from>
              <to>
                <xdr:col>38</xdr:col>
                <xdr:colOff>619125</xdr:colOff>
                <xdr:row>475</xdr:row>
                <xdr:rowOff>114300</xdr:rowOff>
              </to>
            </anchor>
          </objectPr>
        </oleObject>
      </mc:Choice>
      <mc:Fallback>
        <oleObject progId="Equation.DSMT4" shapeId="1523" r:id="rId513"/>
      </mc:Fallback>
    </mc:AlternateContent>
    <mc:AlternateContent xmlns:mc="http://schemas.openxmlformats.org/markup-compatibility/2006">
      <mc:Choice Requires="x14">
        <oleObject progId="Equation.DSMT4" shapeId="1524" r:id="rId514">
          <objectPr defaultSize="0" autoPict="0" r:id="rId17">
            <anchor moveWithCells="1">
              <from>
                <xdr:col>39</xdr:col>
                <xdr:colOff>257175</xdr:colOff>
                <xdr:row>474</xdr:row>
                <xdr:rowOff>85725</xdr:rowOff>
              </from>
              <to>
                <xdr:col>39</xdr:col>
                <xdr:colOff>647700</xdr:colOff>
                <xdr:row>476</xdr:row>
                <xdr:rowOff>0</xdr:rowOff>
              </to>
            </anchor>
          </objectPr>
        </oleObject>
      </mc:Choice>
      <mc:Fallback>
        <oleObject progId="Equation.DSMT4" shapeId="1524" r:id="rId514"/>
      </mc:Fallback>
    </mc:AlternateContent>
    <mc:AlternateContent xmlns:mc="http://schemas.openxmlformats.org/markup-compatibility/2006">
      <mc:Choice Requires="x14">
        <oleObject progId="Equation.DSMT4" shapeId="1525" r:id="rId515">
          <objectPr defaultSize="0" autoPict="0" r:id="rId19">
            <anchor moveWithCells="1">
              <from>
                <xdr:col>38</xdr:col>
                <xdr:colOff>295275</xdr:colOff>
                <xdr:row>477</xdr:row>
                <xdr:rowOff>104775</xdr:rowOff>
              </from>
              <to>
                <xdr:col>38</xdr:col>
                <xdr:colOff>714375</xdr:colOff>
                <xdr:row>479</xdr:row>
                <xdr:rowOff>0</xdr:rowOff>
              </to>
            </anchor>
          </objectPr>
        </oleObject>
      </mc:Choice>
      <mc:Fallback>
        <oleObject progId="Equation.DSMT4" shapeId="1525" r:id="rId515"/>
      </mc:Fallback>
    </mc:AlternateContent>
    <mc:AlternateContent xmlns:mc="http://schemas.openxmlformats.org/markup-compatibility/2006">
      <mc:Choice Requires="x14">
        <oleObject progId="Equation.DSMT4" shapeId="1526" r:id="rId516">
          <objectPr defaultSize="0" autoPict="0" r:id="rId21">
            <anchor moveWithCells="1">
              <from>
                <xdr:col>39</xdr:col>
                <xdr:colOff>295275</xdr:colOff>
                <xdr:row>477</xdr:row>
                <xdr:rowOff>104775</xdr:rowOff>
              </from>
              <to>
                <xdr:col>39</xdr:col>
                <xdr:colOff>714375</xdr:colOff>
                <xdr:row>479</xdr:row>
                <xdr:rowOff>0</xdr:rowOff>
              </to>
            </anchor>
          </objectPr>
        </oleObject>
      </mc:Choice>
      <mc:Fallback>
        <oleObject progId="Equation.DSMT4" shapeId="1526" r:id="rId516"/>
      </mc:Fallback>
    </mc:AlternateContent>
    <mc:AlternateContent xmlns:mc="http://schemas.openxmlformats.org/markup-compatibility/2006">
      <mc:Choice Requires="x14">
        <oleObject progId="Equation.DSMT4" shapeId="1527" r:id="rId517">
          <objectPr defaultSize="0" autoPict="0" r:id="rId23">
            <anchor moveWithCells="1">
              <from>
                <xdr:col>40</xdr:col>
                <xdr:colOff>314325</xdr:colOff>
                <xdr:row>474</xdr:row>
                <xdr:rowOff>85725</xdr:rowOff>
              </from>
              <to>
                <xdr:col>40</xdr:col>
                <xdr:colOff>752475</xdr:colOff>
                <xdr:row>476</xdr:row>
                <xdr:rowOff>0</xdr:rowOff>
              </to>
            </anchor>
          </objectPr>
        </oleObject>
      </mc:Choice>
      <mc:Fallback>
        <oleObject progId="Equation.DSMT4" shapeId="1527" r:id="rId517"/>
      </mc:Fallback>
    </mc:AlternateContent>
    <mc:AlternateContent xmlns:mc="http://schemas.openxmlformats.org/markup-compatibility/2006">
      <mc:Choice Requires="x14">
        <oleObject progId="Equation.DSMT4" shapeId="1528" r:id="rId518">
          <objectPr defaultSize="0" autoPict="0" r:id="rId25">
            <anchor moveWithCells="1">
              <from>
                <xdr:col>40</xdr:col>
                <xdr:colOff>304800</xdr:colOff>
                <xdr:row>477</xdr:row>
                <xdr:rowOff>85725</xdr:rowOff>
              </from>
              <to>
                <xdr:col>40</xdr:col>
                <xdr:colOff>714375</xdr:colOff>
                <xdr:row>479</xdr:row>
                <xdr:rowOff>0</xdr:rowOff>
              </to>
            </anchor>
          </objectPr>
        </oleObject>
      </mc:Choice>
      <mc:Fallback>
        <oleObject progId="Equation.DSMT4" shapeId="1528" r:id="rId518"/>
      </mc:Fallback>
    </mc:AlternateContent>
  </oleObject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2:DL569"/>
  <sheetViews>
    <sheetView topLeftCell="CT81" zoomScale="60" zoomScaleNormal="60" zoomScalePageLayoutView="60" workbookViewId="0">
      <selection activeCell="DM83" sqref="DM83"/>
    </sheetView>
  </sheetViews>
  <sheetFormatPr baseColWidth="10" defaultRowHeight="15" x14ac:dyDescent="0.25"/>
  <cols>
    <col min="61" max="61" width="13" bestFit="1" customWidth="1"/>
    <col min="63" max="63" width="11.42578125" customWidth="1"/>
    <col min="87" max="87" width="11.42578125" customWidth="1"/>
  </cols>
  <sheetData>
    <row r="2" spans="1:58" x14ac:dyDescent="0.25">
      <c r="A2">
        <v>9</v>
      </c>
      <c r="B2">
        <f t="shared" ref="B2:B65" si="0">+SQRT(81-A2^2)</f>
        <v>0</v>
      </c>
      <c r="C2">
        <f t="shared" ref="C2:C65" si="1">-B2</f>
        <v>0</v>
      </c>
      <c r="BC2">
        <v>0</v>
      </c>
      <c r="BD2">
        <v>0</v>
      </c>
      <c r="BE2">
        <f t="shared" ref="BE2:BE12" si="2">+SQRT(1-BD2^2)</f>
        <v>1</v>
      </c>
      <c r="BF2">
        <f t="shared" ref="BF2:BF12" si="3">-BE2</f>
        <v>-1</v>
      </c>
    </row>
    <row r="3" spans="1:58" x14ac:dyDescent="0.25">
      <c r="A3">
        <v>8.9</v>
      </c>
      <c r="B3">
        <f t="shared" si="0"/>
        <v>1.3379088160259622</v>
      </c>
      <c r="C3">
        <f t="shared" si="1"/>
        <v>-1.3379088160259622</v>
      </c>
      <c r="BC3">
        <v>-0.1</v>
      </c>
      <c r="BD3">
        <v>0.1</v>
      </c>
      <c r="BE3">
        <f t="shared" si="2"/>
        <v>0.99498743710661997</v>
      </c>
      <c r="BF3">
        <f t="shared" si="3"/>
        <v>-0.99498743710661997</v>
      </c>
    </row>
    <row r="4" spans="1:58" x14ac:dyDescent="0.25">
      <c r="A4">
        <v>8.8000000000000007</v>
      </c>
      <c r="B4">
        <f t="shared" si="0"/>
        <v>1.8867962264113176</v>
      </c>
      <c r="C4">
        <f t="shared" si="1"/>
        <v>-1.8867962264113176</v>
      </c>
      <c r="BC4">
        <v>-0.2</v>
      </c>
      <c r="BD4">
        <v>0.2</v>
      </c>
      <c r="BE4">
        <f t="shared" si="2"/>
        <v>0.9797958971132712</v>
      </c>
      <c r="BF4">
        <f t="shared" si="3"/>
        <v>-0.9797958971132712</v>
      </c>
    </row>
    <row r="5" spans="1:58" x14ac:dyDescent="0.25">
      <c r="A5">
        <v>8.6999999999999993</v>
      </c>
      <c r="B5">
        <f t="shared" si="0"/>
        <v>2.304343724360586</v>
      </c>
      <c r="C5">
        <f t="shared" si="1"/>
        <v>-2.304343724360586</v>
      </c>
      <c r="BC5">
        <v>-0.3</v>
      </c>
      <c r="BD5">
        <v>0.3</v>
      </c>
      <c r="BE5">
        <f t="shared" si="2"/>
        <v>0.95393920141694566</v>
      </c>
      <c r="BF5">
        <f t="shared" si="3"/>
        <v>-0.95393920141694566</v>
      </c>
    </row>
    <row r="6" spans="1:58" x14ac:dyDescent="0.25">
      <c r="A6">
        <v>8.6</v>
      </c>
      <c r="B6">
        <f t="shared" si="0"/>
        <v>2.6532998322843211</v>
      </c>
      <c r="C6">
        <f t="shared" si="1"/>
        <v>-2.6532998322843211</v>
      </c>
      <c r="BC6">
        <v>-0.4</v>
      </c>
      <c r="BD6">
        <v>0.4</v>
      </c>
      <c r="BE6">
        <f t="shared" si="2"/>
        <v>0.91651513899116799</v>
      </c>
      <c r="BF6">
        <f t="shared" si="3"/>
        <v>-0.91651513899116799</v>
      </c>
    </row>
    <row r="7" spans="1:58" x14ac:dyDescent="0.25">
      <c r="A7">
        <v>8.5</v>
      </c>
      <c r="B7">
        <f t="shared" si="0"/>
        <v>2.9580398915498081</v>
      </c>
      <c r="C7">
        <f t="shared" si="1"/>
        <v>-2.9580398915498081</v>
      </c>
      <c r="BC7">
        <v>-0.5</v>
      </c>
      <c r="BD7">
        <v>0.5</v>
      </c>
      <c r="BE7">
        <f t="shared" si="2"/>
        <v>0.8660254037844386</v>
      </c>
      <c r="BF7">
        <f t="shared" si="3"/>
        <v>-0.8660254037844386</v>
      </c>
    </row>
    <row r="8" spans="1:58" x14ac:dyDescent="0.25">
      <c r="A8">
        <v>8.4</v>
      </c>
      <c r="B8">
        <f t="shared" si="0"/>
        <v>3.2310988842807022</v>
      </c>
      <c r="C8">
        <f t="shared" si="1"/>
        <v>-3.2310988842807022</v>
      </c>
      <c r="BC8">
        <v>-0.6</v>
      </c>
      <c r="BD8">
        <v>0.6</v>
      </c>
      <c r="BE8">
        <f t="shared" si="2"/>
        <v>0.8</v>
      </c>
      <c r="BF8">
        <f t="shared" si="3"/>
        <v>-0.8</v>
      </c>
    </row>
    <row r="9" spans="1:58" x14ac:dyDescent="0.25">
      <c r="A9">
        <v>8.3000000000000007</v>
      </c>
      <c r="B9">
        <f t="shared" si="0"/>
        <v>3.479942528261061</v>
      </c>
      <c r="C9">
        <f t="shared" si="1"/>
        <v>-3.479942528261061</v>
      </c>
      <c r="BC9">
        <v>-0.7</v>
      </c>
      <c r="BD9">
        <v>0.7</v>
      </c>
      <c r="BE9">
        <f t="shared" si="2"/>
        <v>0.71414284285428498</v>
      </c>
      <c r="BF9">
        <f t="shared" si="3"/>
        <v>-0.71414284285428498</v>
      </c>
    </row>
    <row r="10" spans="1:58" x14ac:dyDescent="0.25">
      <c r="A10">
        <v>8.1999999999999993</v>
      </c>
      <c r="B10">
        <f t="shared" si="0"/>
        <v>3.7094473981982823</v>
      </c>
      <c r="C10">
        <f t="shared" si="1"/>
        <v>-3.7094473981982823</v>
      </c>
      <c r="BC10">
        <v>-0.8</v>
      </c>
      <c r="BD10">
        <v>0.8</v>
      </c>
      <c r="BE10">
        <f t="shared" si="2"/>
        <v>0.59999999999999987</v>
      </c>
      <c r="BF10">
        <f t="shared" si="3"/>
        <v>-0.59999999999999987</v>
      </c>
    </row>
    <row r="11" spans="1:58" x14ac:dyDescent="0.25">
      <c r="A11">
        <v>8.1</v>
      </c>
      <c r="B11">
        <f t="shared" si="0"/>
        <v>3.9230090491866063</v>
      </c>
      <c r="C11">
        <f t="shared" si="1"/>
        <v>-3.9230090491866063</v>
      </c>
      <c r="BC11">
        <v>-0.9</v>
      </c>
      <c r="BD11">
        <v>0.9</v>
      </c>
      <c r="BE11">
        <f t="shared" si="2"/>
        <v>0.43588989435406728</v>
      </c>
      <c r="BF11">
        <f t="shared" si="3"/>
        <v>-0.43588989435406728</v>
      </c>
    </row>
    <row r="12" spans="1:58" x14ac:dyDescent="0.25">
      <c r="A12">
        <v>8</v>
      </c>
      <c r="B12">
        <f t="shared" si="0"/>
        <v>4.1231056256176606</v>
      </c>
      <c r="C12">
        <f t="shared" si="1"/>
        <v>-4.1231056256176606</v>
      </c>
      <c r="D12">
        <f t="shared" ref="D12:D75" si="4">+SQRT(64-A12^2)</f>
        <v>0</v>
      </c>
      <c r="E12">
        <f t="shared" ref="E12:E75" si="5">-D12</f>
        <v>0</v>
      </c>
      <c r="BC12">
        <v>-1</v>
      </c>
      <c r="BD12">
        <v>1</v>
      </c>
      <c r="BE12">
        <f t="shared" si="2"/>
        <v>0</v>
      </c>
      <c r="BF12">
        <f t="shared" si="3"/>
        <v>0</v>
      </c>
    </row>
    <row r="13" spans="1:58" x14ac:dyDescent="0.25">
      <c r="A13">
        <v>7.9</v>
      </c>
      <c r="B13">
        <f t="shared" si="0"/>
        <v>4.3116122274620192</v>
      </c>
      <c r="C13">
        <f t="shared" si="1"/>
        <v>-4.3116122274620192</v>
      </c>
      <c r="D13">
        <f t="shared" si="4"/>
        <v>1.2609520212918477</v>
      </c>
      <c r="E13">
        <f t="shared" si="5"/>
        <v>-1.2609520212918477</v>
      </c>
    </row>
    <row r="14" spans="1:58" x14ac:dyDescent="0.25">
      <c r="A14">
        <v>7.8</v>
      </c>
      <c r="B14">
        <f t="shared" si="0"/>
        <v>4.4899888641287298</v>
      </c>
      <c r="C14">
        <f t="shared" si="1"/>
        <v>-4.4899888641287298</v>
      </c>
      <c r="D14">
        <f t="shared" si="4"/>
        <v>1.7776388834631187</v>
      </c>
      <c r="E14">
        <f t="shared" si="5"/>
        <v>-1.7776388834631187</v>
      </c>
    </row>
    <row r="15" spans="1:58" x14ac:dyDescent="0.25">
      <c r="A15">
        <v>7.7</v>
      </c>
      <c r="B15">
        <f t="shared" si="0"/>
        <v>4.6593991028886972</v>
      </c>
      <c r="C15">
        <f t="shared" si="1"/>
        <v>-4.6593991028886972</v>
      </c>
      <c r="D15">
        <f t="shared" si="4"/>
        <v>2.1702534414210692</v>
      </c>
      <c r="E15">
        <f t="shared" si="5"/>
        <v>-2.1702534414210692</v>
      </c>
    </row>
    <row r="16" spans="1:58" x14ac:dyDescent="0.25">
      <c r="A16">
        <v>7.6</v>
      </c>
      <c r="B16">
        <f t="shared" si="0"/>
        <v>4.8207883172775805</v>
      </c>
      <c r="C16">
        <f t="shared" si="1"/>
        <v>-4.8207883172775805</v>
      </c>
      <c r="D16">
        <f t="shared" si="4"/>
        <v>2.4979991993593598</v>
      </c>
      <c r="E16">
        <f t="shared" si="5"/>
        <v>-2.4979991993593598</v>
      </c>
    </row>
    <row r="17" spans="1:9" x14ac:dyDescent="0.25">
      <c r="A17">
        <v>7.5</v>
      </c>
      <c r="B17">
        <f t="shared" si="0"/>
        <v>4.9749371855330997</v>
      </c>
      <c r="C17">
        <f t="shared" si="1"/>
        <v>-4.9749371855330997</v>
      </c>
      <c r="D17">
        <f t="shared" si="4"/>
        <v>2.7838821814150108</v>
      </c>
      <c r="E17">
        <f t="shared" si="5"/>
        <v>-2.7838821814150108</v>
      </c>
    </row>
    <row r="18" spans="1:9" x14ac:dyDescent="0.25">
      <c r="A18">
        <v>7.4</v>
      </c>
      <c r="B18">
        <f t="shared" si="0"/>
        <v>5.1224993899462783</v>
      </c>
      <c r="C18">
        <f t="shared" si="1"/>
        <v>-5.1224993899462783</v>
      </c>
      <c r="D18">
        <f t="shared" si="4"/>
        <v>3.0397368307141317</v>
      </c>
      <c r="E18">
        <f t="shared" si="5"/>
        <v>-3.0397368307141317</v>
      </c>
    </row>
    <row r="19" spans="1:9" x14ac:dyDescent="0.25">
      <c r="A19">
        <v>7.3</v>
      </c>
      <c r="B19">
        <f t="shared" si="0"/>
        <v>5.2640288753007427</v>
      </c>
      <c r="C19">
        <f t="shared" si="1"/>
        <v>-5.2640288753007427</v>
      </c>
      <c r="D19">
        <f t="shared" si="4"/>
        <v>3.2726136343907144</v>
      </c>
      <c r="E19">
        <f t="shared" si="5"/>
        <v>-3.2726136343907144</v>
      </c>
    </row>
    <row r="20" spans="1:9" x14ac:dyDescent="0.25">
      <c r="A20">
        <v>7.2</v>
      </c>
      <c r="B20">
        <f t="shared" si="0"/>
        <v>5.3999999999999995</v>
      </c>
      <c r="C20">
        <f t="shared" si="1"/>
        <v>-5.3999999999999995</v>
      </c>
      <c r="D20">
        <f t="shared" si="4"/>
        <v>3.4871191548325382</v>
      </c>
      <c r="E20">
        <f t="shared" si="5"/>
        <v>-3.4871191548325382</v>
      </c>
    </row>
    <row r="21" spans="1:9" x14ac:dyDescent="0.25">
      <c r="A21">
        <v>7.1</v>
      </c>
      <c r="B21">
        <f t="shared" si="0"/>
        <v>5.5308227236099334</v>
      </c>
      <c r="C21">
        <f t="shared" si="1"/>
        <v>-5.5308227236099334</v>
      </c>
      <c r="D21">
        <f t="shared" si="4"/>
        <v>3.6864617182333528</v>
      </c>
      <c r="E21">
        <f t="shared" si="5"/>
        <v>-3.6864617182333528</v>
      </c>
    </row>
    <row r="22" spans="1:9" x14ac:dyDescent="0.25">
      <c r="A22">
        <v>7</v>
      </c>
      <c r="B22">
        <f t="shared" si="0"/>
        <v>5.6568542494923806</v>
      </c>
      <c r="C22">
        <f t="shared" si="1"/>
        <v>-5.6568542494923806</v>
      </c>
      <c r="D22">
        <f t="shared" si="4"/>
        <v>3.872983346207417</v>
      </c>
      <c r="E22">
        <f t="shared" si="5"/>
        <v>-3.872983346207417</v>
      </c>
      <c r="F22">
        <f t="shared" ref="F22:F85" si="6">+SQRT(49-A22^2)</f>
        <v>0</v>
      </c>
      <c r="G22">
        <f t="shared" ref="G22:G85" si="7">-F22</f>
        <v>0</v>
      </c>
    </row>
    <row r="23" spans="1:9" x14ac:dyDescent="0.25">
      <c r="A23">
        <v>6.9</v>
      </c>
      <c r="B23">
        <f t="shared" si="0"/>
        <v>5.7784080852774666</v>
      </c>
      <c r="C23">
        <f t="shared" si="1"/>
        <v>-5.7784080852774666</v>
      </c>
      <c r="D23">
        <f t="shared" si="4"/>
        <v>4.0484564959994316</v>
      </c>
      <c r="E23">
        <f t="shared" si="5"/>
        <v>-4.0484564959994316</v>
      </c>
      <c r="F23">
        <f t="shared" si="6"/>
        <v>1.1789826122551568</v>
      </c>
      <c r="G23">
        <f t="shared" si="7"/>
        <v>-1.1789826122551568</v>
      </c>
    </row>
    <row r="24" spans="1:9" x14ac:dyDescent="0.25">
      <c r="A24">
        <v>6.8</v>
      </c>
      <c r="B24">
        <f t="shared" si="0"/>
        <v>5.89576118919347</v>
      </c>
      <c r="C24">
        <f t="shared" si="1"/>
        <v>-5.89576118919347</v>
      </c>
      <c r="D24">
        <f t="shared" si="4"/>
        <v>4.2142615011410962</v>
      </c>
      <c r="E24">
        <f t="shared" si="5"/>
        <v>-4.2142615011410962</v>
      </c>
      <c r="F24">
        <f t="shared" si="6"/>
        <v>1.6613247725836164</v>
      </c>
      <c r="G24">
        <f t="shared" si="7"/>
        <v>-1.6613247725836164</v>
      </c>
    </row>
    <row r="25" spans="1:9" x14ac:dyDescent="0.25">
      <c r="A25">
        <v>6.7</v>
      </c>
      <c r="B25">
        <f t="shared" si="0"/>
        <v>6.009159675029446</v>
      </c>
      <c r="C25">
        <f t="shared" si="1"/>
        <v>-6.009159675029446</v>
      </c>
      <c r="D25">
        <f t="shared" si="4"/>
        <v>4.3714985988788788</v>
      </c>
      <c r="E25">
        <f t="shared" si="5"/>
        <v>-4.3714985988788788</v>
      </c>
      <c r="F25">
        <f t="shared" si="6"/>
        <v>2.027313493271329</v>
      </c>
      <c r="G25">
        <f t="shared" si="7"/>
        <v>-2.027313493271329</v>
      </c>
    </row>
    <row r="26" spans="1:9" x14ac:dyDescent="0.25">
      <c r="A26">
        <v>6.6</v>
      </c>
      <c r="B26">
        <f t="shared" si="0"/>
        <v>6.1188234163113426</v>
      </c>
      <c r="C26">
        <f t="shared" si="1"/>
        <v>-6.1188234163113426</v>
      </c>
      <c r="D26">
        <f t="shared" si="4"/>
        <v>4.5210618221829266</v>
      </c>
      <c r="E26">
        <f t="shared" si="5"/>
        <v>-4.5210618221829266</v>
      </c>
      <c r="F26">
        <f t="shared" si="6"/>
        <v>2.3323807579381213</v>
      </c>
      <c r="G26">
        <f t="shared" si="7"/>
        <v>-2.3323807579381213</v>
      </c>
    </row>
    <row r="27" spans="1:9" x14ac:dyDescent="0.25">
      <c r="A27">
        <v>6.5</v>
      </c>
      <c r="B27">
        <f t="shared" si="0"/>
        <v>6.2249497989943663</v>
      </c>
      <c r="C27">
        <f t="shared" si="1"/>
        <v>-6.2249497989943663</v>
      </c>
      <c r="D27">
        <f t="shared" si="4"/>
        <v>4.6636895265444078</v>
      </c>
      <c r="E27">
        <f t="shared" si="5"/>
        <v>-4.6636895265444078</v>
      </c>
      <c r="F27">
        <f t="shared" si="6"/>
        <v>2.598076211353316</v>
      </c>
      <c r="G27">
        <f t="shared" si="7"/>
        <v>-2.598076211353316</v>
      </c>
    </row>
    <row r="28" spans="1:9" x14ac:dyDescent="0.25">
      <c r="A28">
        <v>6.4</v>
      </c>
      <c r="B28">
        <f t="shared" si="0"/>
        <v>6.327716807822549</v>
      </c>
      <c r="C28">
        <f t="shared" si="1"/>
        <v>-6.327716807822549</v>
      </c>
      <c r="D28">
        <f t="shared" si="4"/>
        <v>4.7999999999999989</v>
      </c>
      <c r="E28">
        <f t="shared" si="5"/>
        <v>-4.7999999999999989</v>
      </c>
      <c r="F28">
        <f t="shared" si="6"/>
        <v>2.8354893757515636</v>
      </c>
      <c r="G28">
        <f t="shared" si="7"/>
        <v>-2.8354893757515636</v>
      </c>
    </row>
    <row r="29" spans="1:9" x14ac:dyDescent="0.25">
      <c r="A29">
        <v>6.3</v>
      </c>
      <c r="B29">
        <f t="shared" si="0"/>
        <v>6.4272855856885656</v>
      </c>
      <c r="C29">
        <f t="shared" si="1"/>
        <v>-6.4272855856885656</v>
      </c>
      <c r="D29">
        <f t="shared" si="4"/>
        <v>4.9305172142484199</v>
      </c>
      <c r="E29">
        <f t="shared" si="5"/>
        <v>-4.9305172142484199</v>
      </c>
      <c r="F29">
        <f t="shared" si="6"/>
        <v>3.0512292604784719</v>
      </c>
      <c r="G29">
        <f t="shared" si="7"/>
        <v>-3.0512292604784719</v>
      </c>
    </row>
    <row r="30" spans="1:9" x14ac:dyDescent="0.25">
      <c r="A30">
        <v>6.2</v>
      </c>
      <c r="B30">
        <f t="shared" si="0"/>
        <v>6.5238025721200357</v>
      </c>
      <c r="C30">
        <f t="shared" si="1"/>
        <v>-6.5238025721200357</v>
      </c>
      <c r="D30">
        <f t="shared" si="4"/>
        <v>5.0556898639058145</v>
      </c>
      <c r="E30">
        <f t="shared" si="5"/>
        <v>-5.0556898639058145</v>
      </c>
      <c r="F30">
        <f t="shared" si="6"/>
        <v>3.2496153618543833</v>
      </c>
      <c r="G30">
        <f t="shared" si="7"/>
        <v>-3.2496153618543833</v>
      </c>
    </row>
    <row r="31" spans="1:9" x14ac:dyDescent="0.25">
      <c r="A31">
        <v>6.1</v>
      </c>
      <c r="B31">
        <f t="shared" si="0"/>
        <v>6.6174013026262815</v>
      </c>
      <c r="C31">
        <f t="shared" si="1"/>
        <v>-6.6174013026262815</v>
      </c>
      <c r="D31">
        <f t="shared" si="4"/>
        <v>5.1759057178430137</v>
      </c>
      <c r="E31">
        <f t="shared" si="5"/>
        <v>-5.1759057178430137</v>
      </c>
      <c r="F31">
        <f t="shared" si="6"/>
        <v>3.4336569426778802</v>
      </c>
      <c r="G31">
        <f t="shared" si="7"/>
        <v>-3.4336569426778802</v>
      </c>
    </row>
    <row r="32" spans="1:9" x14ac:dyDescent="0.25">
      <c r="A32">
        <v>6</v>
      </c>
      <c r="B32">
        <f t="shared" si="0"/>
        <v>6.7082039324993694</v>
      </c>
      <c r="C32">
        <f t="shared" si="1"/>
        <v>-6.7082039324993694</v>
      </c>
      <c r="D32">
        <f t="shared" si="4"/>
        <v>5.2915026221291814</v>
      </c>
      <c r="E32">
        <f t="shared" si="5"/>
        <v>-5.2915026221291814</v>
      </c>
      <c r="F32">
        <f t="shared" si="6"/>
        <v>3.6055512754639891</v>
      </c>
      <c r="G32">
        <f t="shared" si="7"/>
        <v>-3.6055512754639891</v>
      </c>
      <c r="H32">
        <f t="shared" ref="H32:H95" si="8">+SQRT(36-A32^2)</f>
        <v>0</v>
      </c>
      <c r="I32">
        <f t="shared" ref="I32:I95" si="9">-H32</f>
        <v>0</v>
      </c>
    </row>
    <row r="33" spans="1:39" x14ac:dyDescent="0.25">
      <c r="A33">
        <v>5.9</v>
      </c>
      <c r="B33">
        <f t="shared" si="0"/>
        <v>6.7963225350184784</v>
      </c>
      <c r="C33">
        <f t="shared" si="1"/>
        <v>-6.7963225350184784</v>
      </c>
      <c r="D33">
        <f t="shared" si="4"/>
        <v>5.4027770636960391</v>
      </c>
      <c r="E33">
        <f t="shared" si="5"/>
        <v>-5.4027770636960391</v>
      </c>
      <c r="F33">
        <f t="shared" si="6"/>
        <v>3.7669616403674722</v>
      </c>
      <c r="G33">
        <f t="shared" si="7"/>
        <v>-3.7669616403674722</v>
      </c>
      <c r="H33">
        <f t="shared" si="8"/>
        <v>1.0908712114635704</v>
      </c>
      <c r="I33">
        <f t="shared" si="9"/>
        <v>-1.0908712114635704</v>
      </c>
    </row>
    <row r="34" spans="1:39" x14ac:dyDescent="0.25">
      <c r="A34">
        <v>5.8</v>
      </c>
      <c r="B34">
        <f t="shared" si="0"/>
        <v>6.8818602136341012</v>
      </c>
      <c r="C34">
        <f t="shared" si="1"/>
        <v>-6.8818602136341012</v>
      </c>
      <c r="D34">
        <f t="shared" si="4"/>
        <v>5.5099909255823647</v>
      </c>
      <c r="E34">
        <f t="shared" si="5"/>
        <v>-5.5099909255823647</v>
      </c>
      <c r="F34">
        <f t="shared" si="6"/>
        <v>3.9191835884530848</v>
      </c>
      <c r="G34">
        <f t="shared" si="7"/>
        <v>-3.9191835884530848</v>
      </c>
      <c r="H34">
        <f t="shared" si="8"/>
        <v>1.5362291495737215</v>
      </c>
      <c r="I34">
        <f t="shared" si="9"/>
        <v>-1.5362291495737215</v>
      </c>
    </row>
    <row r="35" spans="1:39" x14ac:dyDescent="0.25">
      <c r="A35">
        <v>5.7</v>
      </c>
      <c r="B35">
        <f t="shared" si="0"/>
        <v>6.9649120597463394</v>
      </c>
      <c r="C35">
        <f t="shared" si="1"/>
        <v>-6.9649120597463394</v>
      </c>
      <c r="D35">
        <f t="shared" si="4"/>
        <v>5.6133768802744752</v>
      </c>
      <c r="E35">
        <f t="shared" si="5"/>
        <v>-5.6133768802744752</v>
      </c>
      <c r="F35">
        <f t="shared" si="6"/>
        <v>4.0632499307820087</v>
      </c>
      <c r="G35">
        <f t="shared" si="7"/>
        <v>-4.0632499307820087</v>
      </c>
      <c r="H35">
        <f t="shared" si="8"/>
        <v>1.8734993995195188</v>
      </c>
      <c r="I35">
        <f t="shared" si="9"/>
        <v>-1.8734993995195188</v>
      </c>
    </row>
    <row r="36" spans="1:39" x14ac:dyDescent="0.25">
      <c r="A36">
        <v>5.6</v>
      </c>
      <c r="B36">
        <f t="shared" si="0"/>
        <v>7.0455659815234153</v>
      </c>
      <c r="C36">
        <f t="shared" si="1"/>
        <v>-7.0455659815234153</v>
      </c>
      <c r="D36">
        <f t="shared" si="4"/>
        <v>5.7131427428342798</v>
      </c>
      <c r="E36">
        <f t="shared" si="5"/>
        <v>-5.7131427428342798</v>
      </c>
      <c r="F36">
        <f t="shared" si="6"/>
        <v>4.2</v>
      </c>
      <c r="G36">
        <f t="shared" si="7"/>
        <v>-4.2</v>
      </c>
      <c r="H36">
        <f t="shared" si="8"/>
        <v>2.1540659228538024</v>
      </c>
      <c r="I36">
        <f t="shared" si="9"/>
        <v>-2.1540659228538024</v>
      </c>
    </row>
    <row r="37" spans="1:39" x14ac:dyDescent="0.25">
      <c r="A37">
        <v>5.5</v>
      </c>
      <c r="B37">
        <f t="shared" si="0"/>
        <v>7.1239034243875032</v>
      </c>
      <c r="C37">
        <f t="shared" si="1"/>
        <v>-7.1239034243875032</v>
      </c>
      <c r="D37">
        <f t="shared" si="4"/>
        <v>5.8094750193111251</v>
      </c>
      <c r="E37">
        <f t="shared" si="5"/>
        <v>-5.8094750193111251</v>
      </c>
      <c r="F37">
        <f t="shared" si="6"/>
        <v>4.3301270189221936</v>
      </c>
      <c r="G37">
        <f t="shared" si="7"/>
        <v>-4.3301270189221936</v>
      </c>
      <c r="H37">
        <f t="shared" si="8"/>
        <v>2.3979157616563596</v>
      </c>
      <c r="I37">
        <f t="shared" si="9"/>
        <v>-2.3979157616563596</v>
      </c>
    </row>
    <row r="38" spans="1:39" x14ac:dyDescent="0.25">
      <c r="A38">
        <v>5.4</v>
      </c>
      <c r="B38">
        <f t="shared" si="0"/>
        <v>7.2</v>
      </c>
      <c r="C38">
        <f t="shared" si="1"/>
        <v>-7.2</v>
      </c>
      <c r="D38">
        <f t="shared" si="4"/>
        <v>5.9025418253494824</v>
      </c>
      <c r="E38">
        <f t="shared" si="5"/>
        <v>-5.9025418253494824</v>
      </c>
      <c r="F38">
        <f t="shared" si="6"/>
        <v>4.4542114902640169</v>
      </c>
      <c r="G38">
        <f t="shared" si="7"/>
        <v>-4.4542114902640169</v>
      </c>
      <c r="H38">
        <f t="shared" si="8"/>
        <v>2.6153393661244033</v>
      </c>
      <c r="I38">
        <f t="shared" si="9"/>
        <v>-2.6153393661244033</v>
      </c>
    </row>
    <row r="39" spans="1:39" x14ac:dyDescent="0.25">
      <c r="A39">
        <v>5.3</v>
      </c>
      <c r="B39">
        <f t="shared" si="0"/>
        <v>7.2739260375673327</v>
      </c>
      <c r="C39">
        <f t="shared" si="1"/>
        <v>-7.2739260375673327</v>
      </c>
      <c r="D39">
        <f t="shared" si="4"/>
        <v>5.9924953066314535</v>
      </c>
      <c r="E39">
        <f t="shared" si="5"/>
        <v>-5.9924953066314535</v>
      </c>
      <c r="F39">
        <f t="shared" si="6"/>
        <v>4.5727453460694703</v>
      </c>
      <c r="G39">
        <f t="shared" si="7"/>
        <v>-4.5727453460694703</v>
      </c>
      <c r="H39">
        <f t="shared" si="8"/>
        <v>2.8124722220850469</v>
      </c>
      <c r="I39">
        <f t="shared" si="9"/>
        <v>-2.8124722220850469</v>
      </c>
    </row>
    <row r="40" spans="1:39" x14ac:dyDescent="0.25">
      <c r="A40">
        <v>5.2</v>
      </c>
      <c r="B40">
        <f t="shared" si="0"/>
        <v>7.3457470688827824</v>
      </c>
      <c r="C40">
        <f t="shared" si="1"/>
        <v>-7.3457470688827824</v>
      </c>
      <c r="D40">
        <f t="shared" si="4"/>
        <v>6.0794736614282652</v>
      </c>
      <c r="E40">
        <f t="shared" si="5"/>
        <v>-6.0794736614282652</v>
      </c>
      <c r="F40">
        <f t="shared" si="6"/>
        <v>4.6861498055439927</v>
      </c>
      <c r="G40">
        <f t="shared" si="7"/>
        <v>-4.6861498055439927</v>
      </c>
      <c r="H40">
        <f t="shared" si="8"/>
        <v>2.9933259094191524</v>
      </c>
      <c r="I40">
        <f t="shared" si="9"/>
        <v>-2.9933259094191524</v>
      </c>
    </row>
    <row r="41" spans="1:39" x14ac:dyDescent="0.25">
      <c r="A41">
        <v>5.0999999999999996</v>
      </c>
      <c r="B41">
        <f t="shared" si="0"/>
        <v>7.4155242565849653</v>
      </c>
      <c r="C41">
        <f t="shared" si="1"/>
        <v>-7.4155242565849653</v>
      </c>
      <c r="D41">
        <f t="shared" si="4"/>
        <v>6.163602842493991</v>
      </c>
      <c r="E41">
        <f t="shared" si="5"/>
        <v>-6.163602842493991</v>
      </c>
      <c r="F41">
        <f t="shared" si="6"/>
        <v>4.7947888378947408</v>
      </c>
      <c r="G41">
        <f t="shared" si="7"/>
        <v>-4.7947888378947408</v>
      </c>
      <c r="H41">
        <f t="shared" si="8"/>
        <v>3.1606961258558219</v>
      </c>
      <c r="I41">
        <f t="shared" si="9"/>
        <v>-3.1606961258558219</v>
      </c>
    </row>
    <row r="42" spans="1:39" x14ac:dyDescent="0.25">
      <c r="A42">
        <v>5</v>
      </c>
      <c r="B42">
        <f t="shared" si="0"/>
        <v>7.4833147735478827</v>
      </c>
      <c r="C42">
        <f t="shared" si="1"/>
        <v>-7.4833147735478827</v>
      </c>
      <c r="D42">
        <f t="shared" si="4"/>
        <v>6.2449979983983983</v>
      </c>
      <c r="E42">
        <f t="shared" si="5"/>
        <v>-6.2449979983983983</v>
      </c>
      <c r="F42">
        <f t="shared" si="6"/>
        <v>4.8989794855663558</v>
      </c>
      <c r="G42">
        <f t="shared" si="7"/>
        <v>-4.8989794855663558</v>
      </c>
      <c r="H42">
        <f t="shared" si="8"/>
        <v>3.3166247903553998</v>
      </c>
      <c r="I42">
        <f t="shared" si="9"/>
        <v>-3.3166247903553998</v>
      </c>
      <c r="J42">
        <f t="shared" ref="J42:J105" si="10">+SQRT(25-A42^2)</f>
        <v>0</v>
      </c>
      <c r="K42">
        <f t="shared" ref="K42:K105" si="11">-J42</f>
        <v>0</v>
      </c>
    </row>
    <row r="43" spans="1:39" x14ac:dyDescent="0.25">
      <c r="A43">
        <v>4.9000000000000004</v>
      </c>
      <c r="B43">
        <f t="shared" si="0"/>
        <v>7.5491721400429066</v>
      </c>
      <c r="C43">
        <f t="shared" si="1"/>
        <v>-7.5491721400429066</v>
      </c>
      <c r="D43">
        <f t="shared" si="4"/>
        <v>6.3237647015049507</v>
      </c>
      <c r="E43">
        <f t="shared" si="5"/>
        <v>-6.3237647015049507</v>
      </c>
      <c r="F43">
        <f t="shared" si="6"/>
        <v>4.9989998999799941</v>
      </c>
      <c r="G43">
        <f t="shared" si="7"/>
        <v>-4.9989998999799941</v>
      </c>
      <c r="H43">
        <f t="shared" si="8"/>
        <v>3.4626579386361565</v>
      </c>
      <c r="I43">
        <f t="shared" si="9"/>
        <v>-3.4626579386361565</v>
      </c>
      <c r="J43">
        <f t="shared" si="10"/>
        <v>0.99498743710661741</v>
      </c>
      <c r="K43">
        <f t="shared" si="11"/>
        <v>-0.99498743710661741</v>
      </c>
    </row>
    <row r="44" spans="1:39" x14ac:dyDescent="0.25">
      <c r="A44">
        <v>4.8</v>
      </c>
      <c r="B44">
        <f t="shared" si="0"/>
        <v>7.6131465242697125</v>
      </c>
      <c r="C44">
        <f t="shared" si="1"/>
        <v>-7.6131465242697125</v>
      </c>
      <c r="D44">
        <f t="shared" si="4"/>
        <v>6.4</v>
      </c>
      <c r="E44">
        <f t="shared" si="5"/>
        <v>-6.4</v>
      </c>
      <c r="F44">
        <f t="shared" si="6"/>
        <v>5.0950956811427988</v>
      </c>
      <c r="G44">
        <f t="shared" si="7"/>
        <v>-5.0950956811427988</v>
      </c>
      <c r="H44">
        <f t="shared" si="8"/>
        <v>3.6</v>
      </c>
      <c r="I44">
        <f t="shared" si="9"/>
        <v>-3.6</v>
      </c>
      <c r="J44">
        <f t="shared" si="10"/>
        <v>1.4000000000000004</v>
      </c>
      <c r="K44">
        <f t="shared" si="11"/>
        <v>-1.4000000000000004</v>
      </c>
    </row>
    <row r="45" spans="1:39" x14ac:dyDescent="0.25">
      <c r="A45">
        <v>4.7</v>
      </c>
      <c r="B45">
        <f t="shared" si="0"/>
        <v>7.6752850109947053</v>
      </c>
      <c r="C45">
        <f t="shared" si="1"/>
        <v>-7.6752850109947053</v>
      </c>
      <c r="D45">
        <f t="shared" si="4"/>
        <v>6.473793323855805</v>
      </c>
      <c r="E45">
        <f t="shared" si="5"/>
        <v>-6.473793323855805</v>
      </c>
      <c r="F45">
        <f t="shared" si="6"/>
        <v>5.1874849397371747</v>
      </c>
      <c r="G45">
        <f t="shared" si="7"/>
        <v>-5.1874849397371747</v>
      </c>
      <c r="H45">
        <f t="shared" si="8"/>
        <v>3.7296112397943029</v>
      </c>
      <c r="I45">
        <f t="shared" si="9"/>
        <v>-3.7296112397943029</v>
      </c>
      <c r="J45">
        <f t="shared" si="10"/>
        <v>1.7058722109231972</v>
      </c>
      <c r="K45">
        <f t="shared" si="11"/>
        <v>-1.7058722109231972</v>
      </c>
    </row>
    <row r="46" spans="1:39" x14ac:dyDescent="0.25">
      <c r="A46">
        <v>4.5999999999999996</v>
      </c>
      <c r="B46">
        <f t="shared" si="0"/>
        <v>7.7356318423254864</v>
      </c>
      <c r="C46">
        <f t="shared" si="1"/>
        <v>-7.7356318423254864</v>
      </c>
      <c r="D46">
        <f t="shared" si="4"/>
        <v>6.5452272687814288</v>
      </c>
      <c r="E46">
        <f t="shared" si="5"/>
        <v>-6.5452272687814288</v>
      </c>
      <c r="F46">
        <f t="shared" si="6"/>
        <v>5.2763623833091682</v>
      </c>
      <c r="G46">
        <f t="shared" si="7"/>
        <v>-5.2763623833091682</v>
      </c>
      <c r="H46">
        <f t="shared" si="8"/>
        <v>3.8522720568516449</v>
      </c>
      <c r="I46">
        <f t="shared" si="9"/>
        <v>-3.8522720568516449</v>
      </c>
      <c r="J46">
        <f t="shared" si="10"/>
        <v>1.9595917942265433</v>
      </c>
      <c r="K46">
        <f t="shared" si="11"/>
        <v>-1.9595917942265433</v>
      </c>
      <c r="AG46" s="319"/>
      <c r="AK46" s="319"/>
    </row>
    <row r="47" spans="1:39" x14ac:dyDescent="0.25">
      <c r="A47">
        <v>4.5</v>
      </c>
      <c r="B47">
        <f t="shared" si="0"/>
        <v>7.794228634059948</v>
      </c>
      <c r="C47">
        <f t="shared" si="1"/>
        <v>-7.794228634059948</v>
      </c>
      <c r="D47">
        <f t="shared" si="4"/>
        <v>6.6143782776614763</v>
      </c>
      <c r="E47">
        <f t="shared" si="5"/>
        <v>-6.6143782776614763</v>
      </c>
      <c r="F47">
        <f t="shared" si="6"/>
        <v>5.3619026473818039</v>
      </c>
      <c r="G47">
        <f t="shared" si="7"/>
        <v>-5.3619026473818039</v>
      </c>
      <c r="H47">
        <f t="shared" si="8"/>
        <v>3.9686269665968861</v>
      </c>
      <c r="I47">
        <f t="shared" si="9"/>
        <v>-3.9686269665968861</v>
      </c>
      <c r="J47">
        <f t="shared" si="10"/>
        <v>2.179449471770337</v>
      </c>
      <c r="K47">
        <f t="shared" si="11"/>
        <v>-2.179449471770337</v>
      </c>
      <c r="AE47" s="153" t="s">
        <v>112</v>
      </c>
      <c r="AF47" s="153" t="s">
        <v>89</v>
      </c>
      <c r="AG47" s="319"/>
      <c r="AH47" s="153" t="s">
        <v>42</v>
      </c>
      <c r="AI47" s="153" t="s">
        <v>43</v>
      </c>
      <c r="AJ47" s="153" t="s">
        <v>89</v>
      </c>
      <c r="AK47" s="319"/>
      <c r="AL47" s="153" t="s">
        <v>42</v>
      </c>
      <c r="AM47" s="153" t="s">
        <v>43</v>
      </c>
    </row>
    <row r="48" spans="1:39" x14ac:dyDescent="0.25">
      <c r="A48">
        <v>4.4000000000000004</v>
      </c>
      <c r="B48">
        <f t="shared" si="0"/>
        <v>7.8511145705562084</v>
      </c>
      <c r="C48">
        <f t="shared" si="1"/>
        <v>-7.8511145705562084</v>
      </c>
      <c r="D48">
        <f t="shared" si="4"/>
        <v>6.6813172353960262</v>
      </c>
      <c r="E48">
        <f t="shared" si="5"/>
        <v>-6.6813172353960262</v>
      </c>
      <c r="F48">
        <f t="shared" si="6"/>
        <v>5.4442630355264798</v>
      </c>
      <c r="G48">
        <f t="shared" si="7"/>
        <v>-5.4442630355264798</v>
      </c>
      <c r="H48">
        <f t="shared" si="8"/>
        <v>4.0792156108742272</v>
      </c>
      <c r="I48">
        <f t="shared" si="9"/>
        <v>-4.0792156108742272</v>
      </c>
      <c r="J48">
        <f t="shared" si="10"/>
        <v>2.3748684174075829</v>
      </c>
      <c r="K48">
        <f t="shared" si="11"/>
        <v>-2.3748684174075829</v>
      </c>
      <c r="AE48" s="153">
        <f>+'Control Solar 1er Sem'!N28</f>
        <v>0</v>
      </c>
      <c r="AF48" s="153">
        <f>+IF($AF$111="si",9,0)</f>
        <v>9</v>
      </c>
      <c r="AG48" s="153">
        <f>+AE48</f>
        <v>0</v>
      </c>
      <c r="AH48" s="153">
        <f>+AF48*COS(RADIANS(AG48))</f>
        <v>9</v>
      </c>
      <c r="AI48" s="153">
        <f>+AF48*SIN(RADIANS(AG48))</f>
        <v>0</v>
      </c>
      <c r="AJ48" s="153">
        <v>0</v>
      </c>
      <c r="AK48" s="153">
        <f>+AG48</f>
        <v>0</v>
      </c>
      <c r="AL48" s="153">
        <f>+AJ48*COS(RADIANS(AK48))</f>
        <v>0</v>
      </c>
      <c r="AM48" s="153">
        <f>+AJ48*SIN(RADIANS(AK48))</f>
        <v>0</v>
      </c>
    </row>
    <row r="49" spans="1:47" x14ac:dyDescent="0.25">
      <c r="A49">
        <v>4.3</v>
      </c>
      <c r="B49">
        <f t="shared" si="0"/>
        <v>7.9063265806567848</v>
      </c>
      <c r="C49">
        <f t="shared" si="1"/>
        <v>-7.9063265806567848</v>
      </c>
      <c r="D49">
        <f t="shared" si="4"/>
        <v>6.746109990209173</v>
      </c>
      <c r="E49">
        <f t="shared" si="5"/>
        <v>-6.746109990209173</v>
      </c>
      <c r="F49">
        <f t="shared" si="6"/>
        <v>5.5235857918565907</v>
      </c>
      <c r="G49">
        <f t="shared" si="7"/>
        <v>-5.5235857918565907</v>
      </c>
      <c r="H49">
        <f t="shared" si="8"/>
        <v>4.1844951905815355</v>
      </c>
      <c r="I49">
        <f t="shared" si="9"/>
        <v>-4.1844951905815355</v>
      </c>
      <c r="J49">
        <f t="shared" si="10"/>
        <v>2.5514701644346149</v>
      </c>
      <c r="K49">
        <f t="shared" si="11"/>
        <v>-2.5514701644346149</v>
      </c>
      <c r="AF49" s="153">
        <f>+IF($AF$111="si",9,0)</f>
        <v>9</v>
      </c>
      <c r="AG49" s="153">
        <f>+AE48+180</f>
        <v>180</v>
      </c>
      <c r="AH49" s="153">
        <f>+AF49*COS(RADIANS(AG49))</f>
        <v>-9</v>
      </c>
      <c r="AI49" s="153">
        <f>+AF49*SIN(RADIANS(AG49))</f>
        <v>1.102633609417758E-15</v>
      </c>
      <c r="AJ49" s="153">
        <v>0</v>
      </c>
      <c r="AK49" s="153">
        <f>AG49</f>
        <v>180</v>
      </c>
      <c r="AL49" s="153">
        <f>+AJ49*COS(RADIANS(AK49))</f>
        <v>0</v>
      </c>
      <c r="AM49" s="153">
        <f>+AJ49*SIN(RADIANS(AK49))</f>
        <v>0</v>
      </c>
    </row>
    <row r="50" spans="1:47" x14ac:dyDescent="0.25">
      <c r="A50">
        <v>4.2</v>
      </c>
      <c r="B50">
        <f t="shared" si="0"/>
        <v>7.9598994968529597</v>
      </c>
      <c r="C50">
        <f t="shared" si="1"/>
        <v>-7.9598994968529597</v>
      </c>
      <c r="D50">
        <f t="shared" si="4"/>
        <v>6.8088178122196803</v>
      </c>
      <c r="E50">
        <f t="shared" si="5"/>
        <v>-6.8088178122196803</v>
      </c>
      <c r="F50">
        <f t="shared" si="6"/>
        <v>5.6</v>
      </c>
      <c r="G50">
        <f t="shared" si="7"/>
        <v>-5.6</v>
      </c>
      <c r="H50">
        <f t="shared" si="8"/>
        <v>4.2848570571257101</v>
      </c>
      <c r="I50">
        <f t="shared" si="9"/>
        <v>-4.2848570571257101</v>
      </c>
      <c r="J50">
        <f t="shared" si="10"/>
        <v>2.7129319932501073</v>
      </c>
      <c r="K50">
        <f t="shared" si="11"/>
        <v>-2.7129319932501073</v>
      </c>
    </row>
    <row r="51" spans="1:47" x14ac:dyDescent="0.25">
      <c r="A51">
        <v>4.0999999999999996</v>
      </c>
      <c r="B51">
        <f t="shared" si="0"/>
        <v>8.0118661995817178</v>
      </c>
      <c r="C51">
        <f t="shared" si="1"/>
        <v>-8.0118661995817178</v>
      </c>
      <c r="D51">
        <f t="shared" si="4"/>
        <v>6.8694977982382381</v>
      </c>
      <c r="E51">
        <f t="shared" si="5"/>
        <v>-6.8694977982382381</v>
      </c>
      <c r="F51">
        <f t="shared" si="6"/>
        <v>5.6736231810017133</v>
      </c>
      <c r="G51">
        <f t="shared" si="7"/>
        <v>-5.6736231810017133</v>
      </c>
      <c r="H51">
        <f t="shared" si="8"/>
        <v>4.3806392227619018</v>
      </c>
      <c r="I51">
        <f t="shared" si="9"/>
        <v>-4.3806392227619018</v>
      </c>
      <c r="J51">
        <f t="shared" si="10"/>
        <v>2.8618176042508372</v>
      </c>
      <c r="K51">
        <f t="shared" si="11"/>
        <v>-2.8618176042508372</v>
      </c>
      <c r="AE51" s="153">
        <f>+'Control Solar 1er Sem'!N32</f>
        <v>30</v>
      </c>
      <c r="AF51" s="153"/>
      <c r="AG51" s="153"/>
      <c r="AH51" s="153">
        <v>0</v>
      </c>
      <c r="AI51" s="153">
        <v>0</v>
      </c>
    </row>
    <row r="52" spans="1:47" x14ac:dyDescent="0.25">
      <c r="A52">
        <v>4</v>
      </c>
      <c r="B52">
        <f t="shared" si="0"/>
        <v>8.0622577482985491</v>
      </c>
      <c r="C52">
        <f t="shared" si="1"/>
        <v>-8.0622577482985491</v>
      </c>
      <c r="D52">
        <f t="shared" si="4"/>
        <v>6.9282032302755088</v>
      </c>
      <c r="E52">
        <f t="shared" si="5"/>
        <v>-6.9282032302755088</v>
      </c>
      <c r="F52">
        <f t="shared" si="6"/>
        <v>5.7445626465380286</v>
      </c>
      <c r="G52">
        <f t="shared" si="7"/>
        <v>-5.7445626465380286</v>
      </c>
      <c r="H52">
        <f t="shared" si="8"/>
        <v>4.4721359549995796</v>
      </c>
      <c r="I52">
        <f t="shared" si="9"/>
        <v>-4.4721359549995796</v>
      </c>
      <c r="J52">
        <f t="shared" si="10"/>
        <v>3</v>
      </c>
      <c r="K52">
        <f t="shared" si="11"/>
        <v>-3</v>
      </c>
      <c r="L52">
        <f t="shared" ref="L52:L115" si="12">+SQRT(16-A52^2)</f>
        <v>0</v>
      </c>
      <c r="M52">
        <f t="shared" ref="M52:M115" si="13">-L52</f>
        <v>0</v>
      </c>
      <c r="AE52" s="153">
        <f>180+AE51</f>
        <v>210</v>
      </c>
      <c r="AF52" s="153">
        <f>+IF($AF$111="si",9,0)</f>
        <v>9</v>
      </c>
      <c r="AG52" s="153">
        <f>-AE51+AE48</f>
        <v>-30</v>
      </c>
      <c r="AH52" s="153">
        <f>+AF52*COS(RADIANS(AG52))</f>
        <v>7.794228634059948</v>
      </c>
      <c r="AI52" s="153">
        <f>+AF52*SIN(RADIANS(AG52))</f>
        <v>-4.4999999999999991</v>
      </c>
    </row>
    <row r="53" spans="1:47" x14ac:dyDescent="0.25">
      <c r="A53">
        <v>3.9</v>
      </c>
      <c r="B53">
        <f t="shared" si="0"/>
        <v>8.1111035007574657</v>
      </c>
      <c r="C53">
        <f t="shared" si="1"/>
        <v>-8.1111035007574657</v>
      </c>
      <c r="D53">
        <f t="shared" si="4"/>
        <v>6.9849838940401288</v>
      </c>
      <c r="E53">
        <f t="shared" si="5"/>
        <v>-6.9849838940401288</v>
      </c>
      <c r="F53">
        <f t="shared" si="6"/>
        <v>5.8129166517334481</v>
      </c>
      <c r="G53">
        <f t="shared" si="7"/>
        <v>-5.8129166517334481</v>
      </c>
      <c r="H53">
        <f t="shared" si="8"/>
        <v>4.5596052460711993</v>
      </c>
      <c r="I53">
        <f t="shared" si="9"/>
        <v>-4.5596052460711993</v>
      </c>
      <c r="J53">
        <f t="shared" si="10"/>
        <v>3.1288975694324033</v>
      </c>
      <c r="K53">
        <f t="shared" si="11"/>
        <v>-3.1288975694324033</v>
      </c>
      <c r="L53">
        <f t="shared" si="12"/>
        <v>0.88881944173155936</v>
      </c>
      <c r="M53">
        <f t="shared" si="13"/>
        <v>-0.88881944173155936</v>
      </c>
      <c r="AF53" s="153">
        <f>+IF($AF$111="si",9,0)</f>
        <v>9</v>
      </c>
      <c r="AG53" s="153">
        <f>+AE51+180+AE48</f>
        <v>210</v>
      </c>
      <c r="AH53" s="153">
        <f>+AF53*COS(RADIANS(AG53))</f>
        <v>-7.7942286340599471</v>
      </c>
      <c r="AI53" s="153">
        <f>+AF53*SIN(RADIANS(AG53))</f>
        <v>-4.5000000000000009</v>
      </c>
    </row>
    <row r="54" spans="1:47" x14ac:dyDescent="0.25">
      <c r="A54">
        <v>3.8</v>
      </c>
      <c r="B54">
        <f t="shared" si="0"/>
        <v>8.1584312217484563</v>
      </c>
      <c r="C54">
        <f t="shared" si="1"/>
        <v>-8.1584312217484563</v>
      </c>
      <c r="D54">
        <f t="shared" si="4"/>
        <v>7.0398863627192165</v>
      </c>
      <c r="E54">
        <f t="shared" si="5"/>
        <v>-7.0398863627192165</v>
      </c>
      <c r="F54">
        <f t="shared" si="6"/>
        <v>5.8787753826796276</v>
      </c>
      <c r="G54">
        <f t="shared" si="7"/>
        <v>-5.8787753826796276</v>
      </c>
      <c r="H54">
        <f t="shared" si="8"/>
        <v>4.6432747064975599</v>
      </c>
      <c r="I54">
        <f t="shared" si="9"/>
        <v>-4.6432747064975599</v>
      </c>
      <c r="J54">
        <f t="shared" si="10"/>
        <v>3.2496153618543842</v>
      </c>
      <c r="K54">
        <f t="shared" si="11"/>
        <v>-3.2496153618543842</v>
      </c>
      <c r="L54">
        <f t="shared" si="12"/>
        <v>1.2489995996796799</v>
      </c>
      <c r="M54">
        <f t="shared" si="13"/>
        <v>-1.2489995996796799</v>
      </c>
    </row>
    <row r="55" spans="1:47" x14ac:dyDescent="0.25">
      <c r="A55">
        <v>3.7</v>
      </c>
      <c r="B55">
        <f t="shared" si="0"/>
        <v>8.2042671823874684</v>
      </c>
      <c r="C55">
        <f t="shared" si="1"/>
        <v>-8.2042671823874684</v>
      </c>
      <c r="D55">
        <f t="shared" si="4"/>
        <v>7.0929542505221335</v>
      </c>
      <c r="E55">
        <f t="shared" si="5"/>
        <v>-7.0929542505221335</v>
      </c>
      <c r="F55">
        <f t="shared" si="6"/>
        <v>5.9422218066982317</v>
      </c>
      <c r="G55">
        <f t="shared" si="7"/>
        <v>-5.9422218066982317</v>
      </c>
      <c r="H55">
        <f t="shared" si="8"/>
        <v>4.7233462714478174</v>
      </c>
      <c r="I55">
        <f t="shared" si="9"/>
        <v>-4.7233462714478174</v>
      </c>
      <c r="J55">
        <f t="shared" si="10"/>
        <v>3.363034344160047</v>
      </c>
      <c r="K55">
        <f t="shared" si="11"/>
        <v>-3.363034344160047</v>
      </c>
      <c r="L55">
        <f t="shared" si="12"/>
        <v>1.5198684153570658</v>
      </c>
      <c r="M55">
        <f t="shared" si="13"/>
        <v>-1.5198684153570658</v>
      </c>
    </row>
    <row r="56" spans="1:47" x14ac:dyDescent="0.25">
      <c r="A56">
        <v>3.6</v>
      </c>
      <c r="B56">
        <f t="shared" si="0"/>
        <v>8.2486362509205122</v>
      </c>
      <c r="C56">
        <f t="shared" si="1"/>
        <v>-8.2486362509205122</v>
      </c>
      <c r="D56">
        <f t="shared" si="4"/>
        <v>7.1442284397967004</v>
      </c>
      <c r="E56">
        <f t="shared" si="5"/>
        <v>-7.1442284397967004</v>
      </c>
      <c r="F56">
        <f t="shared" si="6"/>
        <v>6.0033324079214534</v>
      </c>
      <c r="G56">
        <f t="shared" si="7"/>
        <v>-6.0033324079214534</v>
      </c>
      <c r="H56">
        <f t="shared" si="8"/>
        <v>4.8</v>
      </c>
      <c r="I56">
        <f t="shared" si="9"/>
        <v>-4.8</v>
      </c>
      <c r="J56">
        <f t="shared" si="10"/>
        <v>3.4698703145794942</v>
      </c>
      <c r="K56">
        <f t="shared" si="11"/>
        <v>-3.4698703145794942</v>
      </c>
      <c r="L56">
        <f t="shared" si="12"/>
        <v>1.7435595774162691</v>
      </c>
      <c r="M56">
        <f t="shared" si="13"/>
        <v>-1.7435595774162691</v>
      </c>
    </row>
    <row r="57" spans="1:47" x14ac:dyDescent="0.25">
      <c r="A57">
        <v>3.5</v>
      </c>
      <c r="B57">
        <f t="shared" si="0"/>
        <v>8.2915619758885004</v>
      </c>
      <c r="C57">
        <f t="shared" si="1"/>
        <v>-8.2915619758885004</v>
      </c>
      <c r="D57">
        <f t="shared" si="4"/>
        <v>7.1937472849690796</v>
      </c>
      <c r="E57">
        <f t="shared" si="5"/>
        <v>-7.1937472849690796</v>
      </c>
      <c r="F57">
        <f t="shared" si="6"/>
        <v>6.0621778264910704</v>
      </c>
      <c r="G57">
        <f t="shared" si="7"/>
        <v>-6.0621778264910704</v>
      </c>
      <c r="H57">
        <f t="shared" si="8"/>
        <v>4.8733971724044816</v>
      </c>
      <c r="I57">
        <f t="shared" si="9"/>
        <v>-4.8733971724044816</v>
      </c>
      <c r="J57">
        <f t="shared" si="10"/>
        <v>3.5707142142714252</v>
      </c>
      <c r="K57">
        <f t="shared" si="11"/>
        <v>-3.5707142142714252</v>
      </c>
      <c r="L57">
        <f t="shared" si="12"/>
        <v>1.9364916731037085</v>
      </c>
      <c r="M57">
        <f t="shared" si="13"/>
        <v>-1.9364916731037085</v>
      </c>
    </row>
    <row r="58" spans="1:47" x14ac:dyDescent="0.25">
      <c r="A58">
        <v>3.4</v>
      </c>
      <c r="B58">
        <f t="shared" si="0"/>
        <v>8.3330666623998635</v>
      </c>
      <c r="C58">
        <f t="shared" si="1"/>
        <v>-8.3330666623998635</v>
      </c>
      <c r="D58">
        <f t="shared" si="4"/>
        <v>7.2415467960926687</v>
      </c>
      <c r="E58">
        <f t="shared" si="5"/>
        <v>-7.2415467960926687</v>
      </c>
      <c r="F58">
        <f t="shared" si="6"/>
        <v>6.1188234163113417</v>
      </c>
      <c r="G58">
        <f t="shared" si="7"/>
        <v>-6.1188234163113417</v>
      </c>
      <c r="H58">
        <f t="shared" si="8"/>
        <v>4.9436828377233102</v>
      </c>
      <c r="I58">
        <f t="shared" si="9"/>
        <v>-4.9436828377233102</v>
      </c>
      <c r="J58">
        <f t="shared" si="10"/>
        <v>3.6660605559646724</v>
      </c>
      <c r="K58">
        <f t="shared" si="11"/>
        <v>-3.6660605559646724</v>
      </c>
      <c r="L58">
        <f t="shared" si="12"/>
        <v>2.1071307505705481</v>
      </c>
      <c r="M58">
        <f t="shared" si="13"/>
        <v>-2.1071307505705481</v>
      </c>
    </row>
    <row r="59" spans="1:47" x14ac:dyDescent="0.25">
      <c r="A59">
        <v>3.3</v>
      </c>
      <c r="B59">
        <f t="shared" si="0"/>
        <v>8.3731714421717172</v>
      </c>
      <c r="C59">
        <f t="shared" si="1"/>
        <v>-8.3731714421717172</v>
      </c>
      <c r="D59">
        <f t="shared" si="4"/>
        <v>7.2876608044008195</v>
      </c>
      <c r="E59">
        <f t="shared" si="5"/>
        <v>-7.2876608044008195</v>
      </c>
      <c r="F59">
        <f t="shared" si="6"/>
        <v>6.1733297336202604</v>
      </c>
      <c r="G59">
        <f t="shared" si="7"/>
        <v>-6.1733297336202604</v>
      </c>
      <c r="H59">
        <f t="shared" si="8"/>
        <v>5.0109879265470196</v>
      </c>
      <c r="I59">
        <f t="shared" si="9"/>
        <v>-5.0109879265470196</v>
      </c>
      <c r="J59">
        <f t="shared" si="10"/>
        <v>3.7563279941985899</v>
      </c>
      <c r="K59">
        <f t="shared" si="11"/>
        <v>-3.7563279941985899</v>
      </c>
      <c r="L59">
        <f t="shared" si="12"/>
        <v>2.2605309110914633</v>
      </c>
      <c r="M59">
        <f t="shared" si="13"/>
        <v>-2.2605309110914633</v>
      </c>
    </row>
    <row r="60" spans="1:47" x14ac:dyDescent="0.25">
      <c r="A60">
        <v>3.2</v>
      </c>
      <c r="B60">
        <f t="shared" si="0"/>
        <v>8.4118963379252349</v>
      </c>
      <c r="C60">
        <f t="shared" si="1"/>
        <v>-8.4118963379252349</v>
      </c>
      <c r="D60">
        <f t="shared" si="4"/>
        <v>7.3321211119293439</v>
      </c>
      <c r="E60">
        <f t="shared" si="5"/>
        <v>-7.3321211119293439</v>
      </c>
      <c r="F60">
        <f t="shared" si="6"/>
        <v>6.2257529665093525</v>
      </c>
      <c r="G60">
        <f t="shared" si="7"/>
        <v>-6.2257529665093525</v>
      </c>
      <c r="H60">
        <f t="shared" si="8"/>
        <v>5.0754310161798077</v>
      </c>
      <c r="I60">
        <f t="shared" si="9"/>
        <v>-5.0754310161798077</v>
      </c>
      <c r="J60">
        <f t="shared" si="10"/>
        <v>3.8418745424597089</v>
      </c>
      <c r="K60">
        <f t="shared" si="11"/>
        <v>-3.8418745424597089</v>
      </c>
      <c r="L60">
        <f t="shared" si="12"/>
        <v>2.3999999999999995</v>
      </c>
      <c r="M60">
        <f t="shared" si="13"/>
        <v>-2.3999999999999995</v>
      </c>
    </row>
    <row r="61" spans="1:47" x14ac:dyDescent="0.25">
      <c r="A61">
        <v>3.1</v>
      </c>
      <c r="B61">
        <f t="shared" si="0"/>
        <v>8.4492603226554692</v>
      </c>
      <c r="C61">
        <f t="shared" si="1"/>
        <v>-8.4492603226554692</v>
      </c>
      <c r="D61">
        <f t="shared" si="4"/>
        <v>7.3749576269969168</v>
      </c>
      <c r="E61">
        <f t="shared" si="5"/>
        <v>-7.3749576269969168</v>
      </c>
      <c r="F61">
        <f t="shared" si="6"/>
        <v>6.2761453138052818</v>
      </c>
      <c r="G61">
        <f t="shared" si="7"/>
        <v>-6.2761453138052818</v>
      </c>
      <c r="H61">
        <f t="shared" si="8"/>
        <v>5.1371198156165292</v>
      </c>
      <c r="I61">
        <f t="shared" si="9"/>
        <v>-5.1371198156165292</v>
      </c>
      <c r="J61">
        <f t="shared" si="10"/>
        <v>3.9230090491866059</v>
      </c>
      <c r="K61">
        <f t="shared" si="11"/>
        <v>-3.9230090491866059</v>
      </c>
      <c r="L61">
        <f t="shared" si="12"/>
        <v>2.5278449319529073</v>
      </c>
      <c r="M61">
        <f t="shared" si="13"/>
        <v>-2.5278449319529073</v>
      </c>
    </row>
    <row r="62" spans="1:47" x14ac:dyDescent="0.25">
      <c r="A62">
        <v>3</v>
      </c>
      <c r="B62">
        <f t="shared" si="0"/>
        <v>8.4852813742385695</v>
      </c>
      <c r="C62">
        <f t="shared" si="1"/>
        <v>-8.4852813742385695</v>
      </c>
      <c r="D62">
        <f t="shared" si="4"/>
        <v>7.416198487095663</v>
      </c>
      <c r="E62">
        <f t="shared" si="5"/>
        <v>-7.416198487095663</v>
      </c>
      <c r="F62">
        <f t="shared" si="6"/>
        <v>6.324555320336759</v>
      </c>
      <c r="G62">
        <f t="shared" si="7"/>
        <v>-6.324555320336759</v>
      </c>
      <c r="H62">
        <f t="shared" si="8"/>
        <v>5.196152422706632</v>
      </c>
      <c r="I62">
        <f t="shared" si="9"/>
        <v>-5.196152422706632</v>
      </c>
      <c r="J62">
        <f t="shared" si="10"/>
        <v>4</v>
      </c>
      <c r="K62">
        <f t="shared" si="11"/>
        <v>-4</v>
      </c>
      <c r="L62">
        <f t="shared" si="12"/>
        <v>2.6457513110645907</v>
      </c>
      <c r="M62">
        <f t="shared" si="13"/>
        <v>-2.6457513110645907</v>
      </c>
      <c r="N62">
        <f t="shared" ref="N62:N122" si="14">+SQRT(9-A62^2)</f>
        <v>0</v>
      </c>
      <c r="O62">
        <f t="shared" ref="O62:O122" si="15">-N62</f>
        <v>0</v>
      </c>
      <c r="AI62" t="s">
        <v>53</v>
      </c>
      <c r="AJ62" t="s">
        <v>57</v>
      </c>
      <c r="AK62" t="s">
        <v>58</v>
      </c>
      <c r="AL62" t="s">
        <v>59</v>
      </c>
      <c r="AM62" t="s">
        <v>60</v>
      </c>
      <c r="AN62" t="s">
        <v>61</v>
      </c>
      <c r="AO62" t="s">
        <v>62</v>
      </c>
      <c r="AP62" t="s">
        <v>63</v>
      </c>
      <c r="AQ62" t="s">
        <v>64</v>
      </c>
      <c r="AR62" t="s">
        <v>65</v>
      </c>
      <c r="AS62" t="s">
        <v>66</v>
      </c>
      <c r="AT62" t="s">
        <v>67</v>
      </c>
    </row>
    <row r="63" spans="1:47" x14ac:dyDescent="0.25">
      <c r="A63">
        <v>2.9</v>
      </c>
      <c r="B63">
        <f t="shared" si="0"/>
        <v>8.519976525789259</v>
      </c>
      <c r="C63">
        <f t="shared" si="1"/>
        <v>-8.519976525789259</v>
      </c>
      <c r="D63">
        <f t="shared" si="4"/>
        <v>7.4558701705434762</v>
      </c>
      <c r="E63">
        <f t="shared" si="5"/>
        <v>-7.4558701705434762</v>
      </c>
      <c r="F63">
        <f t="shared" si="6"/>
        <v>6.3710281744785906</v>
      </c>
      <c r="G63">
        <f t="shared" si="7"/>
        <v>-6.3710281744785906</v>
      </c>
      <c r="H63">
        <f t="shared" si="8"/>
        <v>5.2526183946675582</v>
      </c>
      <c r="I63">
        <f t="shared" si="9"/>
        <v>-5.2526183946675582</v>
      </c>
      <c r="J63">
        <f t="shared" si="10"/>
        <v>4.0730823708832604</v>
      </c>
      <c r="K63">
        <f t="shared" si="11"/>
        <v>-4.0730823708832604</v>
      </c>
      <c r="L63">
        <f t="shared" si="12"/>
        <v>2.7549954627911823</v>
      </c>
      <c r="M63">
        <f t="shared" si="13"/>
        <v>-2.7549954627911823</v>
      </c>
      <c r="N63">
        <f t="shared" si="14"/>
        <v>0.76811457478686074</v>
      </c>
      <c r="O63">
        <f t="shared" si="15"/>
        <v>-0.76811457478686074</v>
      </c>
      <c r="AI63">
        <v>1</v>
      </c>
      <c r="AJ63">
        <v>2</v>
      </c>
      <c r="AK63">
        <v>3</v>
      </c>
      <c r="AL63">
        <v>4</v>
      </c>
      <c r="AM63">
        <v>5</v>
      </c>
      <c r="AN63">
        <v>6</v>
      </c>
      <c r="AO63">
        <v>7</v>
      </c>
      <c r="AP63">
        <v>8</v>
      </c>
      <c r="AQ63">
        <v>9</v>
      </c>
      <c r="AR63">
        <v>10</v>
      </c>
      <c r="AS63">
        <v>11</v>
      </c>
      <c r="AT63">
        <v>12</v>
      </c>
    </row>
    <row r="64" spans="1:47" x14ac:dyDescent="0.25">
      <c r="A64">
        <v>2.8</v>
      </c>
      <c r="B64">
        <f t="shared" si="0"/>
        <v>8.5533619121372393</v>
      </c>
      <c r="C64">
        <f t="shared" si="1"/>
        <v>-8.5533619121372393</v>
      </c>
      <c r="D64">
        <f t="shared" si="4"/>
        <v>7.493997598078078</v>
      </c>
      <c r="E64">
        <f t="shared" si="5"/>
        <v>-7.493997598078078</v>
      </c>
      <c r="F64">
        <f t="shared" si="6"/>
        <v>6.4156059729381765</v>
      </c>
      <c r="G64">
        <f t="shared" si="7"/>
        <v>-6.4156059729381765</v>
      </c>
      <c r="H64">
        <f t="shared" si="8"/>
        <v>5.3065996645686395</v>
      </c>
      <c r="I64">
        <f t="shared" si="9"/>
        <v>-5.3065996645686395</v>
      </c>
      <c r="J64">
        <f t="shared" si="10"/>
        <v>4.1424630354415957</v>
      </c>
      <c r="K64">
        <f t="shared" si="11"/>
        <v>-4.1424630354415957</v>
      </c>
      <c r="L64">
        <f t="shared" si="12"/>
        <v>2.8565713714171399</v>
      </c>
      <c r="M64">
        <f t="shared" si="13"/>
        <v>-2.8565713714171399</v>
      </c>
      <c r="N64">
        <f t="shared" si="14"/>
        <v>1.0770329614269012</v>
      </c>
      <c r="O64">
        <f t="shared" si="15"/>
        <v>-1.0770329614269012</v>
      </c>
      <c r="AI64">
        <v>31</v>
      </c>
      <c r="AJ64">
        <v>28</v>
      </c>
      <c r="AK64">
        <v>31</v>
      </c>
      <c r="AL64">
        <v>30</v>
      </c>
      <c r="AM64">
        <v>31</v>
      </c>
      <c r="AN64">
        <v>30</v>
      </c>
      <c r="AO64">
        <v>31</v>
      </c>
      <c r="AP64">
        <v>31</v>
      </c>
      <c r="AQ64">
        <v>30</v>
      </c>
      <c r="AR64">
        <v>31</v>
      </c>
      <c r="AS64">
        <v>30</v>
      </c>
      <c r="AT64">
        <v>31</v>
      </c>
      <c r="AU64">
        <f>SUM(AI64:AT64)</f>
        <v>365</v>
      </c>
    </row>
    <row r="65" spans="1:40" x14ac:dyDescent="0.25">
      <c r="A65">
        <v>2.7</v>
      </c>
      <c r="B65">
        <f t="shared" si="0"/>
        <v>8.5854528127525107</v>
      </c>
      <c r="C65">
        <f t="shared" si="1"/>
        <v>-8.5854528127525107</v>
      </c>
      <c r="D65">
        <f t="shared" si="4"/>
        <v>7.5306042254257397</v>
      </c>
      <c r="E65">
        <f t="shared" si="5"/>
        <v>-7.5306042254257397</v>
      </c>
      <c r="F65">
        <f t="shared" si="6"/>
        <v>6.4583279569870093</v>
      </c>
      <c r="G65">
        <f t="shared" si="7"/>
        <v>-6.4583279569870093</v>
      </c>
      <c r="H65">
        <f t="shared" si="8"/>
        <v>5.3581713298475258</v>
      </c>
      <c r="I65">
        <f t="shared" si="9"/>
        <v>-5.3581713298475258</v>
      </c>
      <c r="J65">
        <f t="shared" si="10"/>
        <v>4.2083250825001626</v>
      </c>
      <c r="K65">
        <f t="shared" si="11"/>
        <v>-4.2083250825001626</v>
      </c>
      <c r="L65">
        <f t="shared" si="12"/>
        <v>2.9512709126747412</v>
      </c>
      <c r="M65">
        <f t="shared" si="13"/>
        <v>-2.9512709126747412</v>
      </c>
      <c r="N65">
        <f t="shared" si="14"/>
        <v>1.3076696830622017</v>
      </c>
      <c r="O65">
        <f t="shared" si="15"/>
        <v>-1.3076696830622017</v>
      </c>
    </row>
    <row r="66" spans="1:40" x14ac:dyDescent="0.25">
      <c r="A66">
        <v>2.6</v>
      </c>
      <c r="B66">
        <f t="shared" ref="B66:B129" si="16">+SQRT(81-A66^2)</f>
        <v>8.616263691415206</v>
      </c>
      <c r="C66">
        <f t="shared" ref="C66:C129" si="17">-B66</f>
        <v>-8.616263691415206</v>
      </c>
      <c r="D66">
        <f t="shared" si="4"/>
        <v>7.5657121277510955</v>
      </c>
      <c r="E66">
        <f t="shared" si="5"/>
        <v>-7.5657121277510955</v>
      </c>
      <c r="F66">
        <f t="shared" si="6"/>
        <v>6.4992307237087683</v>
      </c>
      <c r="G66">
        <f t="shared" si="7"/>
        <v>-6.4992307237087683</v>
      </c>
      <c r="H66">
        <f t="shared" si="8"/>
        <v>5.4074023338383093</v>
      </c>
      <c r="I66">
        <f t="shared" si="9"/>
        <v>-5.4074023338383093</v>
      </c>
      <c r="J66">
        <f t="shared" si="10"/>
        <v>4.2708313008125245</v>
      </c>
      <c r="K66">
        <f t="shared" si="11"/>
        <v>-4.2708313008125245</v>
      </c>
      <c r="L66">
        <f t="shared" si="12"/>
        <v>3.0397368307141326</v>
      </c>
      <c r="M66">
        <f t="shared" si="13"/>
        <v>-3.0397368307141326</v>
      </c>
      <c r="N66">
        <f t="shared" si="14"/>
        <v>1.4966629547095762</v>
      </c>
      <c r="O66">
        <f t="shared" si="15"/>
        <v>-1.4966629547095762</v>
      </c>
    </row>
    <row r="67" spans="1:40" x14ac:dyDescent="0.25">
      <c r="A67">
        <v>2.5</v>
      </c>
      <c r="B67">
        <f t="shared" si="16"/>
        <v>8.6458082328952912</v>
      </c>
      <c r="C67">
        <f t="shared" si="17"/>
        <v>-8.6458082328952912</v>
      </c>
      <c r="D67">
        <f t="shared" si="4"/>
        <v>7.5993420767853319</v>
      </c>
      <c r="E67">
        <f t="shared" si="5"/>
        <v>-7.5993420767853319</v>
      </c>
      <c r="F67">
        <f t="shared" si="6"/>
        <v>6.5383484153110105</v>
      </c>
      <c r="G67">
        <f t="shared" si="7"/>
        <v>-6.5383484153110105</v>
      </c>
      <c r="H67">
        <f t="shared" si="8"/>
        <v>5.4543560573178569</v>
      </c>
      <c r="I67">
        <f t="shared" si="9"/>
        <v>-5.4543560573178569</v>
      </c>
      <c r="J67">
        <f t="shared" si="10"/>
        <v>4.3301270189221936</v>
      </c>
      <c r="K67">
        <f t="shared" si="11"/>
        <v>-4.3301270189221936</v>
      </c>
      <c r="L67">
        <f t="shared" si="12"/>
        <v>3.1224989991991992</v>
      </c>
      <c r="M67">
        <f t="shared" si="13"/>
        <v>-3.1224989991991992</v>
      </c>
      <c r="N67">
        <f t="shared" si="14"/>
        <v>1.6583123951776999</v>
      </c>
      <c r="O67">
        <f t="shared" si="15"/>
        <v>-1.6583123951776999</v>
      </c>
    </row>
    <row r="68" spans="1:40" x14ac:dyDescent="0.25">
      <c r="A68">
        <v>2.4</v>
      </c>
      <c r="B68">
        <f t="shared" si="16"/>
        <v>8.6740993768805765</v>
      </c>
      <c r="C68">
        <f t="shared" si="17"/>
        <v>-8.6740993768805765</v>
      </c>
      <c r="D68">
        <f t="shared" si="4"/>
        <v>7.6315136113355653</v>
      </c>
      <c r="E68">
        <f t="shared" si="5"/>
        <v>-7.6315136113355653</v>
      </c>
      <c r="F68">
        <f t="shared" si="6"/>
        <v>6.5757128891094387</v>
      </c>
      <c r="G68">
        <f t="shared" si="7"/>
        <v>-6.5757128891094387</v>
      </c>
      <c r="H68">
        <f t="shared" si="8"/>
        <v>5.4990908339470082</v>
      </c>
      <c r="I68">
        <f t="shared" si="9"/>
        <v>-5.4990908339470082</v>
      </c>
      <c r="J68">
        <f t="shared" si="10"/>
        <v>4.3863424398922621</v>
      </c>
      <c r="K68">
        <f t="shared" si="11"/>
        <v>-4.3863424398922621</v>
      </c>
      <c r="L68">
        <f t="shared" si="12"/>
        <v>3.2</v>
      </c>
      <c r="M68">
        <f t="shared" si="13"/>
        <v>-3.2</v>
      </c>
      <c r="N68">
        <f t="shared" si="14"/>
        <v>1.8</v>
      </c>
      <c r="O68">
        <f t="shared" si="15"/>
        <v>-1.8</v>
      </c>
    </row>
    <row r="69" spans="1:40" x14ac:dyDescent="0.25">
      <c r="A69">
        <v>2.2999999999999998</v>
      </c>
      <c r="B69">
        <f t="shared" si="16"/>
        <v>8.7011493493675882</v>
      </c>
      <c r="C69">
        <f t="shared" si="17"/>
        <v>-8.7011493493675882</v>
      </c>
      <c r="D69">
        <f t="shared" si="4"/>
        <v>7.6622451017962092</v>
      </c>
      <c r="E69">
        <f t="shared" si="5"/>
        <v>-7.6622451017962092</v>
      </c>
      <c r="F69">
        <f t="shared" si="6"/>
        <v>6.611353870426238</v>
      </c>
      <c r="G69">
        <f t="shared" si="7"/>
        <v>-6.611353870426238</v>
      </c>
      <c r="H69">
        <f t="shared" si="8"/>
        <v>5.5416604009989641</v>
      </c>
      <c r="I69">
        <f t="shared" si="9"/>
        <v>-5.5416604009989641</v>
      </c>
      <c r="J69">
        <f t="shared" si="10"/>
        <v>4.4395945760846232</v>
      </c>
      <c r="K69">
        <f t="shared" si="11"/>
        <v>-4.4395945760846232</v>
      </c>
      <c r="L69">
        <f t="shared" si="12"/>
        <v>3.2726136343907144</v>
      </c>
      <c r="M69">
        <f t="shared" si="13"/>
        <v>-3.2726136343907144</v>
      </c>
      <c r="N69">
        <f t="shared" si="14"/>
        <v>1.9261360284258224</v>
      </c>
      <c r="O69">
        <f t="shared" si="15"/>
        <v>-1.9261360284258224</v>
      </c>
    </row>
    <row r="70" spans="1:40" x14ac:dyDescent="0.25">
      <c r="A70">
        <v>2.2000000000000002</v>
      </c>
      <c r="B70">
        <f t="shared" si="16"/>
        <v>8.7269696917085717</v>
      </c>
      <c r="C70">
        <f t="shared" si="17"/>
        <v>-8.7269696917085717</v>
      </c>
      <c r="D70">
        <f t="shared" si="4"/>
        <v>7.6915538092117641</v>
      </c>
      <c r="E70">
        <f t="shared" si="5"/>
        <v>-7.6915538092117641</v>
      </c>
      <c r="F70">
        <f t="shared" si="6"/>
        <v>6.6452990903344595</v>
      </c>
      <c r="G70">
        <f t="shared" si="7"/>
        <v>-6.6452990903344595</v>
      </c>
      <c r="H70">
        <f t="shared" si="8"/>
        <v>5.5821142947811451</v>
      </c>
      <c r="I70">
        <f t="shared" si="9"/>
        <v>-5.5821142947811451</v>
      </c>
      <c r="J70">
        <f t="shared" si="10"/>
        <v>4.4899888641287298</v>
      </c>
      <c r="K70">
        <f t="shared" si="11"/>
        <v>-4.4899888641287298</v>
      </c>
      <c r="L70">
        <f t="shared" si="12"/>
        <v>3.3406586176980131</v>
      </c>
      <c r="M70">
        <f t="shared" si="13"/>
        <v>-3.3406586176980131</v>
      </c>
      <c r="N70">
        <f t="shared" si="14"/>
        <v>2.0396078054371136</v>
      </c>
      <c r="O70">
        <f t="shared" si="15"/>
        <v>-2.0396078054371136</v>
      </c>
    </row>
    <row r="71" spans="1:40" x14ac:dyDescent="0.25">
      <c r="A71">
        <v>2.1</v>
      </c>
      <c r="B71">
        <f t="shared" si="16"/>
        <v>8.7515712874888933</v>
      </c>
      <c r="C71">
        <f t="shared" si="17"/>
        <v>-8.7515712874888933</v>
      </c>
      <c r="D71">
        <f t="shared" si="4"/>
        <v>7.7194559393781113</v>
      </c>
      <c r="E71">
        <f t="shared" si="5"/>
        <v>-7.7194559393781113</v>
      </c>
      <c r="F71">
        <f t="shared" si="6"/>
        <v>6.6775744099186198</v>
      </c>
      <c r="G71">
        <f t="shared" si="7"/>
        <v>-6.6775744099186198</v>
      </c>
      <c r="H71">
        <f t="shared" si="8"/>
        <v>5.6204981985585585</v>
      </c>
      <c r="I71">
        <f t="shared" si="9"/>
        <v>-5.6204981985585585</v>
      </c>
      <c r="J71">
        <f t="shared" si="10"/>
        <v>4.5376205218153709</v>
      </c>
      <c r="K71">
        <f t="shared" si="11"/>
        <v>-4.5376205218153709</v>
      </c>
      <c r="L71">
        <f t="shared" si="12"/>
        <v>3.4044089061098401</v>
      </c>
      <c r="M71">
        <f t="shared" si="13"/>
        <v>-3.4044089061098401</v>
      </c>
      <c r="N71">
        <f t="shared" si="14"/>
        <v>2.142428528562855</v>
      </c>
      <c r="O71">
        <f t="shared" si="15"/>
        <v>-2.142428528562855</v>
      </c>
    </row>
    <row r="72" spans="1:40" x14ac:dyDescent="0.25">
      <c r="A72">
        <v>2</v>
      </c>
      <c r="B72">
        <f t="shared" si="16"/>
        <v>8.7749643873921226</v>
      </c>
      <c r="C72">
        <f t="shared" si="17"/>
        <v>-8.7749643873921226</v>
      </c>
      <c r="D72">
        <f t="shared" si="4"/>
        <v>7.745966692414834</v>
      </c>
      <c r="E72">
        <f t="shared" si="5"/>
        <v>-7.745966692414834</v>
      </c>
      <c r="F72">
        <f t="shared" si="6"/>
        <v>6.7082039324993694</v>
      </c>
      <c r="G72">
        <f t="shared" si="7"/>
        <v>-6.7082039324993694</v>
      </c>
      <c r="H72">
        <f t="shared" si="8"/>
        <v>5.6568542494923806</v>
      </c>
      <c r="I72">
        <f t="shared" si="9"/>
        <v>-5.6568542494923806</v>
      </c>
      <c r="J72">
        <f t="shared" si="10"/>
        <v>4.5825756949558398</v>
      </c>
      <c r="K72">
        <f t="shared" si="11"/>
        <v>-4.5825756949558398</v>
      </c>
      <c r="L72">
        <f t="shared" si="12"/>
        <v>3.4641016151377544</v>
      </c>
      <c r="M72">
        <f t="shared" si="13"/>
        <v>-3.4641016151377544</v>
      </c>
      <c r="N72">
        <f t="shared" si="14"/>
        <v>2.2360679774997898</v>
      </c>
      <c r="O72">
        <f t="shared" si="15"/>
        <v>-2.2360679774997898</v>
      </c>
      <c r="P72">
        <f t="shared" ref="P72:P112" si="18">+SQRT(4-A72^2)</f>
        <v>0</v>
      </c>
      <c r="Q72">
        <f t="shared" ref="Q72:Q112" si="19">-P72</f>
        <v>0</v>
      </c>
    </row>
    <row r="73" spans="1:40" x14ac:dyDescent="0.25">
      <c r="A73">
        <v>1.9</v>
      </c>
      <c r="B73">
        <f t="shared" si="16"/>
        <v>8.7971586321948294</v>
      </c>
      <c r="C73">
        <f t="shared" si="17"/>
        <v>-8.7971586321948294</v>
      </c>
      <c r="D73">
        <f t="shared" si="4"/>
        <v>7.7711003081931711</v>
      </c>
      <c r="E73">
        <f t="shared" si="5"/>
        <v>-7.7711003081931711</v>
      </c>
      <c r="F73">
        <f t="shared" si="6"/>
        <v>6.7372101050805888</v>
      </c>
      <c r="G73">
        <f t="shared" si="7"/>
        <v>-6.7372101050805888</v>
      </c>
      <c r="H73">
        <f t="shared" si="8"/>
        <v>5.6912213100528781</v>
      </c>
      <c r="I73">
        <f t="shared" si="9"/>
        <v>-5.6912213100528781</v>
      </c>
      <c r="J73">
        <f t="shared" si="10"/>
        <v>4.6249324319388707</v>
      </c>
      <c r="K73">
        <f t="shared" si="11"/>
        <v>-4.6249324319388707</v>
      </c>
      <c r="L73">
        <f t="shared" si="12"/>
        <v>3.5199431813596083</v>
      </c>
      <c r="M73">
        <f t="shared" si="13"/>
        <v>-3.5199431813596083</v>
      </c>
      <c r="N73">
        <f t="shared" si="14"/>
        <v>2.32163735324878</v>
      </c>
      <c r="O73">
        <f t="shared" si="15"/>
        <v>-2.32163735324878</v>
      </c>
      <c r="P73">
        <f t="shared" si="18"/>
        <v>0.62449979983983994</v>
      </c>
      <c r="Q73">
        <f t="shared" si="19"/>
        <v>-0.62449979983983994</v>
      </c>
    </row>
    <row r="74" spans="1:40" ht="15" customHeight="1" x14ac:dyDescent="0.25">
      <c r="A74">
        <v>1.8</v>
      </c>
      <c r="B74">
        <f t="shared" si="16"/>
        <v>8.8181630740194414</v>
      </c>
      <c r="C74">
        <f t="shared" si="17"/>
        <v>-8.8181630740194414</v>
      </c>
      <c r="D74">
        <f t="shared" si="4"/>
        <v>7.7948701079620308</v>
      </c>
      <c r="E74">
        <f t="shared" si="5"/>
        <v>-7.7948701079620308</v>
      </c>
      <c r="F74">
        <f t="shared" si="6"/>
        <v>6.7646138101151054</v>
      </c>
      <c r="G74">
        <f t="shared" si="7"/>
        <v>-6.7646138101151054</v>
      </c>
      <c r="H74">
        <f t="shared" si="8"/>
        <v>5.7236352085016735</v>
      </c>
      <c r="I74">
        <f t="shared" si="9"/>
        <v>-5.7236352085016735</v>
      </c>
      <c r="J74">
        <f t="shared" si="10"/>
        <v>4.6647615158762399</v>
      </c>
      <c r="K74">
        <f t="shared" si="11"/>
        <v>-4.6647615158762399</v>
      </c>
      <c r="L74">
        <f t="shared" si="12"/>
        <v>3.5721142198983502</v>
      </c>
      <c r="M74">
        <f t="shared" si="13"/>
        <v>-3.5721142198983502</v>
      </c>
      <c r="N74">
        <f t="shared" si="14"/>
        <v>2.4</v>
      </c>
      <c r="O74">
        <f t="shared" si="15"/>
        <v>-2.4</v>
      </c>
      <c r="P74">
        <f t="shared" si="18"/>
        <v>0.87177978870813455</v>
      </c>
      <c r="Q74">
        <f t="shared" si="19"/>
        <v>-0.87177978870813455</v>
      </c>
      <c r="AN74" s="57"/>
    </row>
    <row r="75" spans="1:40" x14ac:dyDescent="0.25">
      <c r="A75">
        <v>1.7</v>
      </c>
      <c r="B75">
        <f t="shared" si="16"/>
        <v>8.8379861959611592</v>
      </c>
      <c r="C75">
        <f t="shared" si="17"/>
        <v>-8.8379861959611592</v>
      </c>
      <c r="D75">
        <f t="shared" si="4"/>
        <v>7.8172885324772299</v>
      </c>
      <c r="E75">
        <f t="shared" si="5"/>
        <v>-7.8172885324772299</v>
      </c>
      <c r="F75">
        <f t="shared" si="6"/>
        <v>6.7904344485459838</v>
      </c>
      <c r="G75">
        <f t="shared" si="7"/>
        <v>-6.7904344485459838</v>
      </c>
      <c r="H75">
        <f t="shared" si="8"/>
        <v>5.7541289523263206</v>
      </c>
      <c r="I75">
        <f t="shared" si="9"/>
        <v>-5.7541289523263206</v>
      </c>
      <c r="J75">
        <f t="shared" si="10"/>
        <v>4.702127178203499</v>
      </c>
      <c r="K75">
        <f t="shared" si="11"/>
        <v>-4.702127178203499</v>
      </c>
      <c r="L75">
        <f t="shared" si="12"/>
        <v>3.6207733980463344</v>
      </c>
      <c r="M75">
        <f t="shared" si="13"/>
        <v>-3.6207733980463344</v>
      </c>
      <c r="N75">
        <f t="shared" si="14"/>
        <v>2.4718414188616551</v>
      </c>
      <c r="O75">
        <f t="shared" si="15"/>
        <v>-2.4718414188616551</v>
      </c>
      <c r="P75">
        <f t="shared" si="18"/>
        <v>1.0535653752852741</v>
      </c>
      <c r="Q75">
        <f t="shared" si="19"/>
        <v>-1.0535653752852741</v>
      </c>
      <c r="AN75" s="57"/>
    </row>
    <row r="76" spans="1:40" x14ac:dyDescent="0.25">
      <c r="A76">
        <v>1.6</v>
      </c>
      <c r="B76">
        <f t="shared" si="16"/>
        <v>8.8566359301938107</v>
      </c>
      <c r="C76">
        <f t="shared" si="17"/>
        <v>-8.8566359301938107</v>
      </c>
      <c r="D76">
        <f t="shared" ref="D76:D139" si="20">+SQRT(64-A76^2)</f>
        <v>7.8383671769061696</v>
      </c>
      <c r="E76">
        <f t="shared" ref="E76:E139" si="21">-D76</f>
        <v>-7.8383671769061696</v>
      </c>
      <c r="F76">
        <f t="shared" si="6"/>
        <v>6.8146900149603278</v>
      </c>
      <c r="G76">
        <f t="shared" si="7"/>
        <v>-6.8146900149603278</v>
      </c>
      <c r="H76">
        <f t="shared" si="8"/>
        <v>5.7827329179203844</v>
      </c>
      <c r="I76">
        <f t="shared" si="9"/>
        <v>-5.7827329179203844</v>
      </c>
      <c r="J76">
        <f t="shared" si="10"/>
        <v>4.737087712930804</v>
      </c>
      <c r="K76">
        <f t="shared" si="11"/>
        <v>-4.737087712930804</v>
      </c>
      <c r="L76">
        <f t="shared" si="12"/>
        <v>3.666060555964672</v>
      </c>
      <c r="M76">
        <f t="shared" si="13"/>
        <v>-3.666060555964672</v>
      </c>
      <c r="N76">
        <f t="shared" si="14"/>
        <v>2.5377155080899039</v>
      </c>
      <c r="O76">
        <f t="shared" si="15"/>
        <v>-2.5377155080899039</v>
      </c>
      <c r="P76">
        <f t="shared" si="18"/>
        <v>1.1999999999999997</v>
      </c>
      <c r="Q76">
        <f t="shared" si="19"/>
        <v>-1.1999999999999997</v>
      </c>
      <c r="AN76" s="57"/>
    </row>
    <row r="77" spans="1:40" x14ac:dyDescent="0.25">
      <c r="A77">
        <v>1.5</v>
      </c>
      <c r="B77">
        <f t="shared" si="16"/>
        <v>8.8741196746494246</v>
      </c>
      <c r="C77">
        <f t="shared" si="17"/>
        <v>-8.8741196746494246</v>
      </c>
      <c r="D77">
        <f t="shared" si="20"/>
        <v>7.8581168227508558</v>
      </c>
      <c r="E77">
        <f t="shared" si="21"/>
        <v>-7.8581168227508558</v>
      </c>
      <c r="F77">
        <f t="shared" si="6"/>
        <v>6.8373971655886718</v>
      </c>
      <c r="G77">
        <f t="shared" si="7"/>
        <v>-6.8373971655886718</v>
      </c>
      <c r="H77">
        <f t="shared" si="8"/>
        <v>5.8094750193111251</v>
      </c>
      <c r="I77">
        <f t="shared" si="9"/>
        <v>-5.8094750193111251</v>
      </c>
      <c r="J77">
        <f t="shared" si="10"/>
        <v>4.7696960070847281</v>
      </c>
      <c r="K77">
        <f t="shared" si="11"/>
        <v>-4.7696960070847281</v>
      </c>
      <c r="L77">
        <f t="shared" si="12"/>
        <v>3.7080992435478315</v>
      </c>
      <c r="M77">
        <f t="shared" si="13"/>
        <v>-3.7080992435478315</v>
      </c>
      <c r="N77">
        <f t="shared" si="14"/>
        <v>2.598076211353316</v>
      </c>
      <c r="O77">
        <f t="shared" si="15"/>
        <v>-2.598076211353316</v>
      </c>
      <c r="P77">
        <f t="shared" si="18"/>
        <v>1.3228756555322954</v>
      </c>
      <c r="Q77">
        <f t="shared" si="19"/>
        <v>-1.3228756555322954</v>
      </c>
      <c r="AN77" s="57"/>
    </row>
    <row r="78" spans="1:40" x14ac:dyDescent="0.25">
      <c r="A78">
        <v>1.4</v>
      </c>
      <c r="B78">
        <f t="shared" si="16"/>
        <v>8.8904443083571483</v>
      </c>
      <c r="C78">
        <f t="shared" si="17"/>
        <v>-8.8904443083571483</v>
      </c>
      <c r="D78">
        <f t="shared" si="20"/>
        <v>7.8765474670060867</v>
      </c>
      <c r="E78">
        <f t="shared" si="21"/>
        <v>-7.8765474670060867</v>
      </c>
      <c r="F78">
        <f t="shared" si="6"/>
        <v>6.8585712797928986</v>
      </c>
      <c r="G78">
        <f t="shared" si="7"/>
        <v>-6.8585712797928986</v>
      </c>
      <c r="H78">
        <f t="shared" si="8"/>
        <v>5.8343808583259289</v>
      </c>
      <c r="I78">
        <f t="shared" si="9"/>
        <v>-5.8343808583259289</v>
      </c>
      <c r="J78">
        <f t="shared" si="10"/>
        <v>4.8</v>
      </c>
      <c r="K78">
        <f t="shared" si="11"/>
        <v>-4.8</v>
      </c>
      <c r="L78">
        <f t="shared" si="12"/>
        <v>3.746998799039039</v>
      </c>
      <c r="M78">
        <f t="shared" si="13"/>
        <v>-3.746998799039039</v>
      </c>
      <c r="N78">
        <f t="shared" si="14"/>
        <v>2.6532998322843198</v>
      </c>
      <c r="O78">
        <f t="shared" si="15"/>
        <v>-2.6532998322843198</v>
      </c>
      <c r="P78">
        <f t="shared" si="18"/>
        <v>1.42828568570857</v>
      </c>
      <c r="Q78">
        <f t="shared" si="19"/>
        <v>-1.42828568570857</v>
      </c>
    </row>
    <row r="79" spans="1:40" x14ac:dyDescent="0.25">
      <c r="A79">
        <v>1.3</v>
      </c>
      <c r="B79">
        <f t="shared" si="16"/>
        <v>8.9056162055188519</v>
      </c>
      <c r="C79">
        <f t="shared" si="17"/>
        <v>-8.9056162055188519</v>
      </c>
      <c r="D79">
        <f t="shared" si="20"/>
        <v>7.8936683487463544</v>
      </c>
      <c r="E79">
        <f t="shared" si="21"/>
        <v>-7.8936683487463544</v>
      </c>
      <c r="F79">
        <f t="shared" si="6"/>
        <v>6.8782265156070572</v>
      </c>
      <c r="G79">
        <f t="shared" si="7"/>
        <v>-6.8782265156070572</v>
      </c>
      <c r="H79">
        <f t="shared" si="8"/>
        <v>5.8574738582429884</v>
      </c>
      <c r="I79">
        <f t="shared" si="9"/>
        <v>-5.8574738582429884</v>
      </c>
      <c r="J79">
        <f t="shared" si="10"/>
        <v>4.8280430818293238</v>
      </c>
      <c r="K79">
        <f t="shared" si="11"/>
        <v>-4.8280430818293238</v>
      </c>
      <c r="L79">
        <f t="shared" si="12"/>
        <v>3.7828560638755477</v>
      </c>
      <c r="M79">
        <f t="shared" si="13"/>
        <v>-3.7828560638755477</v>
      </c>
      <c r="N79">
        <f t="shared" si="14"/>
        <v>2.7037011669191546</v>
      </c>
      <c r="O79">
        <f t="shared" si="15"/>
        <v>-2.7037011669191546</v>
      </c>
      <c r="P79">
        <f t="shared" si="18"/>
        <v>1.5198684153570663</v>
      </c>
      <c r="Q79">
        <f t="shared" si="19"/>
        <v>-1.5198684153570663</v>
      </c>
    </row>
    <row r="80" spans="1:40" x14ac:dyDescent="0.25">
      <c r="A80">
        <v>1.2</v>
      </c>
      <c r="B80">
        <f t="shared" si="16"/>
        <v>8.9196412483911036</v>
      </c>
      <c r="C80">
        <f t="shared" si="17"/>
        <v>-8.9196412483911036</v>
      </c>
      <c r="D80">
        <f t="shared" si="20"/>
        <v>7.9094879733140759</v>
      </c>
      <c r="E80">
        <f t="shared" si="21"/>
        <v>-7.9094879733140759</v>
      </c>
      <c r="F80">
        <f t="shared" si="6"/>
        <v>6.8963758598266676</v>
      </c>
      <c r="G80">
        <f t="shared" si="7"/>
        <v>-6.8963758598266676</v>
      </c>
      <c r="H80">
        <f t="shared" si="8"/>
        <v>5.8787753826796276</v>
      </c>
      <c r="I80">
        <f t="shared" si="9"/>
        <v>-5.8787753826796276</v>
      </c>
      <c r="J80">
        <f t="shared" si="10"/>
        <v>4.8538644398046387</v>
      </c>
      <c r="K80">
        <f t="shared" si="11"/>
        <v>-4.8538644398046387</v>
      </c>
      <c r="L80">
        <f t="shared" si="12"/>
        <v>3.8157568056677826</v>
      </c>
      <c r="M80">
        <f t="shared" si="13"/>
        <v>-3.8157568056677826</v>
      </c>
      <c r="N80">
        <f t="shared" si="14"/>
        <v>2.7495454169735041</v>
      </c>
      <c r="O80">
        <f t="shared" si="15"/>
        <v>-2.7495454169735041</v>
      </c>
      <c r="P80">
        <f t="shared" si="18"/>
        <v>1.6</v>
      </c>
      <c r="Q80">
        <f t="shared" si="19"/>
        <v>-1.6</v>
      </c>
      <c r="AN80" s="58"/>
    </row>
    <row r="81" spans="1:116" x14ac:dyDescent="0.25">
      <c r="A81">
        <v>1.1000000000000001</v>
      </c>
      <c r="B81">
        <f t="shared" si="16"/>
        <v>8.9325248390362741</v>
      </c>
      <c r="C81">
        <f t="shared" si="17"/>
        <v>-8.9325248390362741</v>
      </c>
      <c r="D81">
        <f t="shared" si="20"/>
        <v>7.9240141342630128</v>
      </c>
      <c r="E81">
        <f t="shared" si="21"/>
        <v>-7.9240141342630128</v>
      </c>
      <c r="F81">
        <f t="shared" si="6"/>
        <v>6.9130311730817473</v>
      </c>
      <c r="G81">
        <f t="shared" si="7"/>
        <v>-6.9130311730817473</v>
      </c>
      <c r="H81">
        <f t="shared" si="8"/>
        <v>5.8983048412234513</v>
      </c>
      <c r="I81">
        <f t="shared" si="9"/>
        <v>-5.8983048412234513</v>
      </c>
      <c r="J81">
        <f t="shared" si="10"/>
        <v>4.8774993593028793</v>
      </c>
      <c r="K81">
        <f t="shared" si="11"/>
        <v>-4.8774993593028793</v>
      </c>
      <c r="L81">
        <f t="shared" si="12"/>
        <v>3.8457769046058821</v>
      </c>
      <c r="M81">
        <f t="shared" si="13"/>
        <v>-3.8457769046058821</v>
      </c>
      <c r="N81">
        <f t="shared" si="14"/>
        <v>2.7910571473905725</v>
      </c>
      <c r="O81">
        <f t="shared" si="15"/>
        <v>-2.7910571473905725</v>
      </c>
      <c r="P81">
        <f t="shared" si="18"/>
        <v>1.6703293088490065</v>
      </c>
      <c r="Q81">
        <f t="shared" si="19"/>
        <v>-1.6703293088490065</v>
      </c>
    </row>
    <row r="82" spans="1:116" x14ac:dyDescent="0.25">
      <c r="A82">
        <v>1</v>
      </c>
      <c r="B82">
        <f t="shared" si="16"/>
        <v>8.9442719099991592</v>
      </c>
      <c r="C82">
        <f t="shared" si="17"/>
        <v>-8.9442719099991592</v>
      </c>
      <c r="D82">
        <f t="shared" si="20"/>
        <v>7.9372539331937721</v>
      </c>
      <c r="E82">
        <f t="shared" si="21"/>
        <v>-7.9372539331937721</v>
      </c>
      <c r="F82">
        <f t="shared" si="6"/>
        <v>6.9282032302755088</v>
      </c>
      <c r="G82">
        <f t="shared" si="7"/>
        <v>-6.9282032302755088</v>
      </c>
      <c r="H82">
        <f t="shared" si="8"/>
        <v>5.9160797830996161</v>
      </c>
      <c r="I82">
        <f t="shared" si="9"/>
        <v>-5.9160797830996161</v>
      </c>
      <c r="J82">
        <f t="shared" si="10"/>
        <v>4.8989794855663558</v>
      </c>
      <c r="K82">
        <f t="shared" si="11"/>
        <v>-4.8989794855663558</v>
      </c>
      <c r="L82">
        <f t="shared" si="12"/>
        <v>3.872983346207417</v>
      </c>
      <c r="M82">
        <f t="shared" si="13"/>
        <v>-3.872983346207417</v>
      </c>
      <c r="N82">
        <f t="shared" si="14"/>
        <v>2.8284271247461903</v>
      </c>
      <c r="O82">
        <f t="shared" si="15"/>
        <v>-2.8284271247461903</v>
      </c>
      <c r="P82">
        <f t="shared" si="18"/>
        <v>1.7320508075688772</v>
      </c>
      <c r="Q82">
        <f t="shared" si="19"/>
        <v>-1.7320508075688772</v>
      </c>
      <c r="R82">
        <f t="shared" ref="R82:R102" si="22">+SQRT(1-A82^2)</f>
        <v>0</v>
      </c>
      <c r="S82">
        <f t="shared" ref="S82:S102" si="23">-R82</f>
        <v>0</v>
      </c>
    </row>
    <row r="83" spans="1:116" x14ac:dyDescent="0.25">
      <c r="A83">
        <v>0.9</v>
      </c>
      <c r="B83">
        <f t="shared" si="16"/>
        <v>8.95488693395958</v>
      </c>
      <c r="C83">
        <f t="shared" si="17"/>
        <v>-8.95488693395958</v>
      </c>
      <c r="D83">
        <f t="shared" si="20"/>
        <v>7.94921379760288</v>
      </c>
      <c r="E83">
        <f t="shared" si="21"/>
        <v>-7.94921379760288</v>
      </c>
      <c r="F83">
        <f t="shared" si="6"/>
        <v>6.9419017567234409</v>
      </c>
      <c r="G83">
        <f t="shared" si="7"/>
        <v>-6.9419017567234409</v>
      </c>
      <c r="H83">
        <f t="shared" si="8"/>
        <v>5.9321159799855563</v>
      </c>
      <c r="I83">
        <f t="shared" si="9"/>
        <v>-5.9321159799855563</v>
      </c>
      <c r="J83">
        <f t="shared" si="10"/>
        <v>4.9183330509431755</v>
      </c>
      <c r="K83">
        <f t="shared" si="11"/>
        <v>-4.9183330509431755</v>
      </c>
      <c r="L83">
        <f t="shared" si="12"/>
        <v>3.8974350539810154</v>
      </c>
      <c r="M83">
        <f t="shared" si="13"/>
        <v>-3.8974350539810154</v>
      </c>
      <c r="N83">
        <f t="shared" si="14"/>
        <v>2.8618176042508368</v>
      </c>
      <c r="O83">
        <f t="shared" si="15"/>
        <v>-2.8618176042508368</v>
      </c>
      <c r="P83">
        <f t="shared" si="18"/>
        <v>1.7860571099491751</v>
      </c>
      <c r="Q83">
        <f t="shared" si="19"/>
        <v>-1.7860571099491751</v>
      </c>
      <c r="R83">
        <f t="shared" si="22"/>
        <v>0.43588989435406728</v>
      </c>
      <c r="S83">
        <f t="shared" si="23"/>
        <v>-0.43588989435406728</v>
      </c>
      <c r="AN83" s="155" t="s">
        <v>92</v>
      </c>
      <c r="AO83" s="155">
        <v>1</v>
      </c>
      <c r="AP83" s="315"/>
      <c r="AQ83" s="315"/>
      <c r="AR83" s="328"/>
      <c r="AY83" s="155" t="s">
        <v>92</v>
      </c>
      <c r="AZ83" s="155">
        <v>1</v>
      </c>
      <c r="BA83" s="315"/>
      <c r="BB83" s="315"/>
      <c r="BC83" s="316"/>
      <c r="BJ83" s="155" t="s">
        <v>92</v>
      </c>
      <c r="BK83" s="155">
        <v>1</v>
      </c>
      <c r="BL83" s="315"/>
      <c r="BM83" s="315"/>
      <c r="BN83" s="316"/>
      <c r="BU83" s="155" t="s">
        <v>92</v>
      </c>
      <c r="BV83" s="155">
        <v>1</v>
      </c>
      <c r="BW83" s="315"/>
      <c r="BX83" s="315"/>
      <c r="BY83" s="316"/>
      <c r="CF83" s="155" t="s">
        <v>92</v>
      </c>
      <c r="CG83" s="155">
        <v>1</v>
      </c>
      <c r="CH83" s="315"/>
      <c r="CI83" s="315"/>
      <c r="CJ83" s="316"/>
      <c r="CQ83" s="155" t="s">
        <v>92</v>
      </c>
      <c r="CR83" s="155">
        <v>21</v>
      </c>
      <c r="CS83" s="315"/>
      <c r="CT83" s="315"/>
      <c r="CU83" s="316"/>
      <c r="DB83" s="155" t="s">
        <v>92</v>
      </c>
      <c r="DC83" s="155">
        <v>1</v>
      </c>
      <c r="DD83" s="315"/>
      <c r="DE83" s="315"/>
      <c r="DF83" s="316"/>
    </row>
    <row r="84" spans="1:116" x14ac:dyDescent="0.25">
      <c r="A84">
        <v>0.8</v>
      </c>
      <c r="B84">
        <f t="shared" si="16"/>
        <v>8.964373932405989</v>
      </c>
      <c r="C84">
        <f t="shared" si="17"/>
        <v>-8.964373932405989</v>
      </c>
      <c r="D84">
        <f t="shared" si="20"/>
        <v>7.9598994968529597</v>
      </c>
      <c r="E84">
        <f t="shared" si="21"/>
        <v>-7.9598994968529597</v>
      </c>
      <c r="F84">
        <f t="shared" si="6"/>
        <v>6.9541354602854843</v>
      </c>
      <c r="G84">
        <f t="shared" si="7"/>
        <v>-6.9541354602854843</v>
      </c>
      <c r="H84">
        <f t="shared" si="8"/>
        <v>5.9464274989274024</v>
      </c>
      <c r="I84">
        <f t="shared" si="9"/>
        <v>-5.9464274989274024</v>
      </c>
      <c r="J84">
        <f t="shared" si="10"/>
        <v>4.935585071701226</v>
      </c>
      <c r="K84">
        <f t="shared" si="11"/>
        <v>-4.935585071701226</v>
      </c>
      <c r="L84">
        <f t="shared" si="12"/>
        <v>3.9191835884530848</v>
      </c>
      <c r="M84">
        <f t="shared" si="13"/>
        <v>-3.9191835884530848</v>
      </c>
      <c r="N84">
        <f t="shared" si="14"/>
        <v>2.8913664589601922</v>
      </c>
      <c r="O84">
        <f t="shared" si="15"/>
        <v>-2.8913664589601922</v>
      </c>
      <c r="P84">
        <f t="shared" si="18"/>
        <v>1.833030277982336</v>
      </c>
      <c r="Q84">
        <f t="shared" si="19"/>
        <v>-1.833030277982336</v>
      </c>
      <c r="R84">
        <f t="shared" si="22"/>
        <v>0.59999999999999987</v>
      </c>
      <c r="S84">
        <f t="shared" si="23"/>
        <v>-0.59999999999999987</v>
      </c>
      <c r="V84" s="319"/>
      <c r="Z84" s="319"/>
      <c r="AN84" s="155" t="s">
        <v>91</v>
      </c>
      <c r="AO84" s="155">
        <v>2</v>
      </c>
      <c r="AP84" s="315"/>
      <c r="AQ84" s="315"/>
      <c r="AR84" s="328"/>
      <c r="AY84" s="155" t="s">
        <v>91</v>
      </c>
      <c r="AZ84" s="155">
        <v>3</v>
      </c>
      <c r="BA84" s="315"/>
      <c r="BB84" s="315"/>
      <c r="BC84" s="316"/>
      <c r="BJ84" s="155" t="s">
        <v>91</v>
      </c>
      <c r="BK84" s="155">
        <v>4</v>
      </c>
      <c r="BL84" s="315"/>
      <c r="BM84" s="315"/>
      <c r="BN84" s="316"/>
      <c r="BU84" s="155" t="s">
        <v>91</v>
      </c>
      <c r="BV84" s="155">
        <v>5</v>
      </c>
      <c r="BW84" s="315"/>
      <c r="BX84" s="315"/>
      <c r="BY84" s="316"/>
      <c r="CF84" s="155" t="s">
        <v>91</v>
      </c>
      <c r="CG84" s="155">
        <v>6</v>
      </c>
      <c r="CH84" s="315"/>
      <c r="CI84" s="315"/>
      <c r="CJ84" s="316"/>
      <c r="CQ84" s="155" t="s">
        <v>91</v>
      </c>
      <c r="CR84" s="155">
        <v>6</v>
      </c>
      <c r="CS84" s="315"/>
      <c r="CT84" s="315"/>
      <c r="CU84" s="316"/>
      <c r="DB84" s="155" t="s">
        <v>91</v>
      </c>
      <c r="DC84" s="155">
        <v>1</v>
      </c>
      <c r="DD84" s="315"/>
      <c r="DE84" s="315"/>
      <c r="DF84" s="316"/>
    </row>
    <row r="85" spans="1:116" x14ac:dyDescent="0.25">
      <c r="A85">
        <v>0.7</v>
      </c>
      <c r="B85">
        <f t="shared" si="16"/>
        <v>8.9727364833700545</v>
      </c>
      <c r="C85">
        <f t="shared" si="17"/>
        <v>-8.9727364833700545</v>
      </c>
      <c r="D85">
        <f t="shared" si="20"/>
        <v>7.9693161563587118</v>
      </c>
      <c r="E85">
        <f t="shared" si="21"/>
        <v>-7.9693161563587118</v>
      </c>
      <c r="F85">
        <f t="shared" si="6"/>
        <v>6.9649120597463394</v>
      </c>
      <c r="G85">
        <f t="shared" si="7"/>
        <v>-6.9649120597463394</v>
      </c>
      <c r="H85">
        <f t="shared" si="8"/>
        <v>5.9590267661758327</v>
      </c>
      <c r="I85">
        <f t="shared" si="9"/>
        <v>-5.9590267661758327</v>
      </c>
      <c r="J85">
        <f t="shared" si="10"/>
        <v>4.9507575177946253</v>
      </c>
      <c r="K85">
        <f t="shared" si="11"/>
        <v>-4.9507575177946253</v>
      </c>
      <c r="L85">
        <f t="shared" si="12"/>
        <v>3.9382737335030433</v>
      </c>
      <c r="M85">
        <f t="shared" si="13"/>
        <v>-3.9382737335030433</v>
      </c>
      <c r="N85">
        <f t="shared" si="14"/>
        <v>2.9171904291629644</v>
      </c>
      <c r="O85">
        <f t="shared" si="15"/>
        <v>-2.9171904291629644</v>
      </c>
      <c r="P85">
        <f t="shared" si="18"/>
        <v>1.8734993995195195</v>
      </c>
      <c r="Q85">
        <f t="shared" si="19"/>
        <v>-1.8734993995195195</v>
      </c>
      <c r="R85">
        <f t="shared" si="22"/>
        <v>0.71414284285428498</v>
      </c>
      <c r="S85">
        <f t="shared" si="23"/>
        <v>-0.71414284285428498</v>
      </c>
      <c r="U85" s="153" t="s">
        <v>89</v>
      </c>
      <c r="V85" s="319"/>
      <c r="W85" s="153" t="s">
        <v>42</v>
      </c>
      <c r="X85" s="153" t="s">
        <v>43</v>
      </c>
      <c r="Y85" s="153" t="s">
        <v>89</v>
      </c>
      <c r="Z85" s="319"/>
      <c r="AA85" s="153" t="s">
        <v>42</v>
      </c>
      <c r="AB85" s="153" t="s">
        <v>43</v>
      </c>
      <c r="AP85" s="154">
        <f>+IF(AO84=$AI$63,AO83,IF(AO84=$AJ$63,$AI$64+AO83,IF(AO84=$AK$63,$AI$64+$AJ$64+AO83,IF(AO84=$AL$63,$AI$64+$AJ$64+$AK$64+AO83,IF(AO84=$AM$63,$AI$64+$AJ$64+$AK$64+$AL$64+AO83,IF(AO84=$AN$63,$AI$64+$AJ$64+$AK$64+$AL$64+$AM$64+AO83,IF(AO84=$AO$63,$AI$64+$AJ$64+$AK$64+$AL$64+$AM$64+$AN$64+AO83,IF(AO84=$AP$63,$AI$64+$AJ$64+$AK$64+$AL$64+$AM$64+$AN$64+$AO$64+AO83,IF(AO84=$AQ$63,$AI$64+$AJ$64+$AK$64+$AL$64+$AM$64+$AN$64+$AO$64+$AP$64+AO83,IF(AO84=$AR$63,$AI$64+$AJ$64+$AK$64+$AL$64+$AM$64+$AN$64+$AO$64+$AP$64+$AQ$64+AO83,IF(AO84=$AS$63,$AI$64+$AJ$64+$AK$64+$AL$64+$AM$64+$AN$64+$AO$64+$AP$64+$AQ$64+$AR$64+AO83,IF(AO84=$AT$63,$AI$64+$AJ$64+$AK$64+$AL$64+$AM$64+$AN$64+$AO$64+$AP$64+$AQ$64+$AR$64+$AS$64+AO83,"error"))))))))))))</f>
        <v>32</v>
      </c>
      <c r="AQ85" s="38">
        <f>23.45*SIN(RADIANS(360*((284+AP85)/365)))</f>
        <v>-17.516495456484215</v>
      </c>
      <c r="AR85" s="155">
        <f>+IF(ABS('Control Solar 1er Sem'!$H$4)&gt;89.9,89.9,IF(ABS('Control Solar 1er Sem'!$H$4)&lt;-89.9,-89.9,ABS('Control Solar 1er Sem'!$H$4)))</f>
        <v>29.08</v>
      </c>
      <c r="BA85" s="154">
        <f>+IF(AZ84=$AI$63,AZ83,IF(AZ84=$AJ$63,$AI$64+AZ83,IF(AZ84=$AK$63,$AI$64+$AJ$64+AZ83,IF(AZ84=$AL$63,$AI$64+$AJ$64+$AK$64+AZ83,IF(AZ84=$AM$63,$AI$64+$AJ$64+$AK$64+$AL$64+AZ83,IF(AZ84=$AN$63,$AI$64+$AJ$64+$AK$64+$AL$64+$AM$64+AZ83,IF(AZ84=$AO$63,$AI$64+$AJ$64+$AK$64+$AL$64+$AM$64+$AN$64+AZ83,IF(AZ84=$AP$63,$AI$64+$AJ$64+$AK$64+$AL$64+$AM$64+$AN$64+$AO$64+AZ83,IF(AZ84=$AQ$63,$AI$64+$AJ$64+$AK$64+$AL$64+$AM$64+$AN$64+$AO$64+$AP$64+AZ83,IF(AZ84=$AR$63,$AI$64+$AJ$64+$AK$64+$AL$64+$AM$64+$AN$64+$AO$64+$AP$64+$AQ$64+AZ83,IF(AZ84=$AS$63,$AI$64+$AJ$64+$AK$64+$AL$64+$AM$64+$AN$64+$AO$64+$AP$64+$AQ$64+$AR$64+AZ83,IF(AZ84=$AT$63,$AI$64+$AJ$64+$AK$64+$AL$64+$AM$64+$AN$64+$AO$64+$AP$64+$AQ$64+$AR$64+$AS$64+AZ83,"error"))))))))))))</f>
        <v>60</v>
      </c>
      <c r="BB85" s="38">
        <f>23.45*SIN(RADIANS(360*((284+BA85)/365)))</f>
        <v>-8.2937050650359065</v>
      </c>
      <c r="BC85" s="155">
        <f>+IF(ABS('Control Solar 1er Sem'!$H$4)&gt;89.9,89.9,IF(ABS('Control Solar 1er Sem'!$H$4)&lt;-89.9,-89.9,ABS('Control Solar 1er Sem'!$H$4)))</f>
        <v>29.08</v>
      </c>
      <c r="BL85" s="154">
        <f>+IF(BK84=$AI$63,BK83,IF(BK84=$AJ$63,$AI$64+BK83,IF(BK84=$AK$63,$AI$64+$AJ$64+BK83,IF(BK84=$AL$63,$AI$64+$AJ$64+$AK$64+BK83,IF(BK84=$AM$63,$AI$64+$AJ$64+$AK$64+$AL$64+BK83,IF(BK84=$AN$63,$AI$64+$AJ$64+$AK$64+$AL$64+$AM$64+BK83,IF(BK84=$AO$63,$AI$64+$AJ$64+$AK$64+$AL$64+$AM$64+$AN$64+BK83,IF(BK84=$AP$63,$AI$64+$AJ$64+$AK$64+$AL$64+$AM$64+$AN$64+$AO$64+BK83,IF(BK84=$AQ$63,$AI$64+$AJ$64+$AK$64+$AL$64+$AM$64+$AN$64+$AO$64+$AP$64+BK83,IF(BK84=$AR$63,$AI$64+$AJ$64+$AK$64+$AL$64+$AM$64+$AN$64+$AO$64+$AP$64+$AQ$64+BK83,IF(BK84=$AS$63,$AI$64+$AJ$64+$AK$64+$AL$64+$AM$64+$AN$64+$AO$64+$AP$64+$AQ$64+$AR$64+BK83,IF(BK84=$AT$63,$AI$64+$AJ$64+$AK$64+$AL$64+$AM$64+$AN$64+$AO$64+$AP$64+$AQ$64+$AR$64+$AS$64+BK83,"error"))))))))))))</f>
        <v>91</v>
      </c>
      <c r="BM85" s="38">
        <f>23.45*SIN(RADIANS(360*((284+BL85)/365)))</f>
        <v>4.0168242310556641</v>
      </c>
      <c r="BN85" s="155">
        <f>+IF(ABS('Control Solar 1er Sem'!$H$4)&gt;89.9,89.9,IF(ABS('Control Solar 1er Sem'!$H$4)&lt;-89.9,-89.9,ABS('Control Solar 1er Sem'!$H$4)))</f>
        <v>29.08</v>
      </c>
      <c r="BW85" s="154">
        <f>+IF(BV84=$AI$63,BV83,IF(BV84=$AJ$63,$AI$64+BV83,IF(BV84=$AK$63,$AI$64+$AJ$64+BV83,IF(BV84=$AL$63,$AI$64+$AJ$64+$AK$64+BV83,IF(BV84=$AM$63,$AI$64+$AJ$64+$AK$64+$AL$64+BV83,IF(BV84=$AN$63,$AI$64+$AJ$64+$AK$64+$AL$64+$AM$64+BV83,IF(BV84=$AO$63,$AI$64+$AJ$64+$AK$64+$AL$64+$AM$64+$AN$64+BV83,IF(BV84=$AP$63,$AI$64+$AJ$64+$AK$64+$AL$64+$AM$64+$AN$64+$AO$64+BV83,IF(BV84=$AQ$63,$AI$64+$AJ$64+$AK$64+$AL$64+$AM$64+$AN$64+$AO$64+$AP$64+BV83,IF(BV84=$AR$63,$AI$64+$AJ$64+$AK$64+$AL$64+$AM$64+$AN$64+$AO$64+$AP$64+$AQ$64+BV83,IF(BV84=$AS$63,$AI$64+$AJ$64+$AK$64+$AL$64+$AM$64+$AN$64+$AO$64+$AP$64+$AQ$64+$AR$64+BV83,IF(BV84=$AT$63,$AI$64+$AJ$64+$AK$64+$AL$64+$AM$64+$AN$64+$AO$64+$AP$64+$AQ$64+$AR$64+$AS$64+BV83,"error"))))))))))))</f>
        <v>121</v>
      </c>
      <c r="BX85" s="38">
        <f>23.45*SIN(RADIANS(360*((284+BW85)/365)))</f>
        <v>14.90088745587467</v>
      </c>
      <c r="BY85" s="155">
        <f>+IF(ABS('Control Solar 1er Sem'!$H$4)&gt;89.9,89.9,IF(ABS('Control Solar 1er Sem'!$H$4)&lt;-89.9,-89.9,ABS('Control Solar 1er Sem'!$H$4)))</f>
        <v>29.08</v>
      </c>
      <c r="CH85" s="154">
        <f>+IF(CG84=$AI$63,CG83,IF(CG84=$AJ$63,$AI$64+CG83,IF(CG84=$AK$63,$AI$64+$AJ$64+CG83,IF(CG84=$AL$63,$AI$64+$AJ$64+$AK$64+CG83,IF(CG84=$AM$63,$AI$64+$AJ$64+$AK$64+$AL$64+CG83,IF(CG84=$AN$63,$AI$64+$AJ$64+$AK$64+$AL$64+$AM$64+CG83,IF(CG84=$AO$63,$AI$64+$AJ$64+$AK$64+$AL$64+$AM$64+$AN$64+CG83,IF(CG84=$AP$63,$AI$64+$AJ$64+$AK$64+$AL$64+$AM$64+$AN$64+$AO$64+CG83,IF(CG84=$AQ$63,$AI$64+$AJ$64+$AK$64+$AL$64+$AM$64+$AN$64+$AO$64+$AP$64+CG83,IF(CG84=$AR$63,$AI$64+$AJ$64+$AK$64+$AL$64+$AM$64+$AN$64+$AO$64+$AP$64+$AQ$64+CG83,IF(CG84=$AS$63,$AI$64+$AJ$64+$AK$64+$AL$64+$AM$64+$AN$64+$AO$64+$AP$64+$AQ$64+$AR$64+CG83,IF(CG84=$AT$63,$AI$64+$AJ$64+$AK$64+$AL$64+$AM$64+$AN$64+$AO$64+$AP$64+$AQ$64+$AR$64+$AS$64+CG83,"error"))))))))))))</f>
        <v>152</v>
      </c>
      <c r="CI85" s="38">
        <f>23.45*SIN(RADIANS(360*((284+CH85)/365)))</f>
        <v>22.039624558737447</v>
      </c>
      <c r="CJ85" s="155">
        <f>+IF(ABS('Control Solar 1er Sem'!$H$4)&gt;89.9,89.9,IF(ABS('Control Solar 1er Sem'!$H$4)&lt;-89.9,-89.9,ABS('Control Solar 1er Sem'!$H$4)))</f>
        <v>29.08</v>
      </c>
      <c r="CS85" s="154">
        <f>+IF(CR84=$AI$63,CR83,IF(CR84=$AJ$63,$AI$64+CR83,IF(CR84=$AK$63,$AI$64+$AJ$64+CR83,IF(CR84=$AL$63,$AI$64+$AJ$64+$AK$64+CR83,IF(CR84=$AM$63,$AI$64+$AJ$64+$AK$64+$AL$64+CR83,IF(CR84=$AN$63,$AI$64+$AJ$64+$AK$64+$AL$64+$AM$64+CR83,IF(CR84=$AO$63,$AI$64+$AJ$64+$AK$64+$AL$64+$AM$64+$AN$64+CR83,IF(CR84=$AP$63,$AI$64+$AJ$64+$AK$64+$AL$64+$AM$64+$AN$64+$AO$64+CR83,IF(CR84=$AQ$63,$AI$64+$AJ$64+$AK$64+$AL$64+$AM$64+$AN$64+$AO$64+$AP$64+CR83,IF(CR84=$AR$63,$AI$64+$AJ$64+$AK$64+$AL$64+$AM$64+$AN$64+$AO$64+$AP$64+$AQ$64+CR83,IF(CR84=$AS$63,$AI$64+$AJ$64+$AK$64+$AL$64+$AM$64+$AN$64+$AO$64+$AP$64+$AQ$64+$AR$64+CR83,IF(CR84=$AT$63,$AI$64+$AJ$64+$AK$64+$AL$64+$AM$64+$AN$64+$AO$64+$AP$64+$AQ$64+$AR$64+$AS$64+CR83,"error"))))))))))))</f>
        <v>172</v>
      </c>
      <c r="CT85" s="38">
        <f>23.45*SIN(RADIANS(360*((284+CS85)/365)))</f>
        <v>23.449782846813658</v>
      </c>
      <c r="CU85" s="155">
        <f>+IF(ABS('Control Solar 1er Sem'!$H$4)&gt;89.9,89.9,IF(ABS('Control Solar 1er Sem'!$H$4)&lt;-89.9,-89.9,ABS('Control Solar 1er Sem'!$H$4)))</f>
        <v>29.08</v>
      </c>
      <c r="DD85" s="154">
        <f>+IF(DC84=$AI$63,DC83,IF(DC84=$AJ$63,$AI$64+DC83,IF(DC84=$AK$63,$AI$64+$AJ$64+DC83,IF(DC84=$AL$63,$AI$64+$AJ$64+$AK$64+DC83,IF(DC84=$AM$63,$AI$64+$AJ$64+$AK$64+$AL$64+DC83,IF(DC84=$AN$63,$AI$64+$AJ$64+$AK$64+$AL$64+$AM$64+DC83,IF(DC84=$AO$63,$AI$64+$AJ$64+$AK$64+$AL$64+$AM$64+$AN$64+DC83,IF(DC84=$AP$63,$AI$64+$AJ$64+$AK$64+$AL$64+$AM$64+$AN$64+$AO$64+DC83,IF(DC84=$AQ$63,$AI$64+$AJ$64+$AK$64+$AL$64+$AM$64+$AN$64+$AO$64+$AP$64+DC83,IF(DC84=$AR$63,$AI$64+$AJ$64+$AK$64+$AL$64+$AM$64+$AN$64+$AO$64+$AP$64+$AQ$64+DC83,IF(DC84=$AS$63,$AI$64+$AJ$64+$AK$64+$AL$64+$AM$64+$AN$64+$AO$64+$AP$64+$AQ$64+$AR$64+DC83,IF(DC84=$AT$63,$AI$64+$AJ$64+$AK$64+$AL$64+$AM$64+$AN$64+$AO$64+$AP$64+$AQ$64+$AR$64+$AS$64+DC83,"error"))))))))))))</f>
        <v>1</v>
      </c>
      <c r="DE85" s="38">
        <f>23.45*SIN(RADIANS(360*((284+DD85)/365)))</f>
        <v>-23.011636727869238</v>
      </c>
      <c r="DF85" s="155">
        <f>+IF(ABS('Control Solar 1er Sem'!$H$4)&gt;89.9,89.9,IF(ABS('Control Solar 1er Sem'!$H$4)&lt;-89.9,-89.9,ABS('Control Solar 1er Sem'!$H$4)))</f>
        <v>29.08</v>
      </c>
    </row>
    <row r="86" spans="1:116" x14ac:dyDescent="0.25">
      <c r="A86">
        <v>0.6</v>
      </c>
      <c r="B86">
        <f t="shared" si="16"/>
        <v>8.9799777282574595</v>
      </c>
      <c r="C86">
        <f t="shared" si="17"/>
        <v>-8.9799777282574595</v>
      </c>
      <c r="D86">
        <f t="shared" si="20"/>
        <v>7.9774682700716522</v>
      </c>
      <c r="E86">
        <f t="shared" si="21"/>
        <v>-7.9774682700716522</v>
      </c>
      <c r="F86">
        <f t="shared" ref="F86:F149" si="24">+SQRT(49-A86^2)</f>
        <v>6.9742383096650773</v>
      </c>
      <c r="G86">
        <f t="shared" ref="G86:G149" si="25">-F86</f>
        <v>-6.9742383096650773</v>
      </c>
      <c r="H86">
        <f t="shared" si="8"/>
        <v>5.96992462263972</v>
      </c>
      <c r="I86">
        <f t="shared" si="9"/>
        <v>-5.96992462263972</v>
      </c>
      <c r="J86">
        <f t="shared" si="10"/>
        <v>4.963869458396343</v>
      </c>
      <c r="K86">
        <f t="shared" si="11"/>
        <v>-4.963869458396343</v>
      </c>
      <c r="L86">
        <f t="shared" si="12"/>
        <v>3.954743986657038</v>
      </c>
      <c r="M86">
        <f t="shared" si="13"/>
        <v>-3.954743986657038</v>
      </c>
      <c r="N86">
        <f t="shared" si="14"/>
        <v>2.9393876913398138</v>
      </c>
      <c r="O86">
        <f t="shared" si="15"/>
        <v>-2.9393876913398138</v>
      </c>
      <c r="P86">
        <f t="shared" si="18"/>
        <v>1.9078784028338913</v>
      </c>
      <c r="Q86">
        <f t="shared" si="19"/>
        <v>-1.9078784028338913</v>
      </c>
      <c r="R86">
        <f t="shared" si="22"/>
        <v>0.8</v>
      </c>
      <c r="S86">
        <f t="shared" si="23"/>
        <v>-0.8</v>
      </c>
      <c r="U86" s="153">
        <v>9</v>
      </c>
      <c r="V86" s="153">
        <v>0</v>
      </c>
      <c r="W86" s="153">
        <f t="shared" ref="W86:W104" si="26">+U86*COS(RADIANS(V86))</f>
        <v>9</v>
      </c>
      <c r="X86" s="153">
        <f t="shared" ref="X86:X104" si="27">+U86*SIN(RADIANS(V86))</f>
        <v>0</v>
      </c>
      <c r="Y86" s="153">
        <v>9</v>
      </c>
      <c r="Z86" s="153">
        <v>180</v>
      </c>
      <c r="AA86" s="153">
        <f t="shared" ref="AA86:AA104" si="28">+Y86*COS(RADIANS(Z86))</f>
        <v>-9</v>
      </c>
      <c r="AB86" s="153">
        <f t="shared" ref="AB86:AB104" si="29">+Y86*SIN(RADIANS(Z86))</f>
        <v>1.102633609417758E-15</v>
      </c>
      <c r="AO86" s="317" t="s">
        <v>90</v>
      </c>
      <c r="AP86" s="315"/>
      <c r="AQ86" s="315"/>
      <c r="AR86" s="315"/>
      <c r="AT86" s="319" t="s">
        <v>89</v>
      </c>
      <c r="AU86" s="319"/>
      <c r="AV86" s="319" t="s">
        <v>42</v>
      </c>
      <c r="AW86" s="319" t="s">
        <v>43</v>
      </c>
      <c r="AZ86" s="317" t="s">
        <v>90</v>
      </c>
      <c r="BA86" s="315"/>
      <c r="BB86" s="315"/>
      <c r="BC86" s="315"/>
      <c r="BE86" s="319" t="s">
        <v>89</v>
      </c>
      <c r="BF86" s="319"/>
      <c r="BG86" s="319" t="s">
        <v>42</v>
      </c>
      <c r="BH86" s="319" t="s">
        <v>43</v>
      </c>
      <c r="BK86" s="317" t="s">
        <v>90</v>
      </c>
      <c r="BL86" s="315"/>
      <c r="BM86" s="315"/>
      <c r="BN86" s="315"/>
      <c r="BP86" s="319" t="s">
        <v>89</v>
      </c>
      <c r="BQ86" s="319"/>
      <c r="BR86" s="319" t="s">
        <v>42</v>
      </c>
      <c r="BS86" s="319" t="s">
        <v>43</v>
      </c>
      <c r="BV86" s="317" t="s">
        <v>90</v>
      </c>
      <c r="BW86" s="315"/>
      <c r="BX86" s="315"/>
      <c r="BY86" s="315"/>
      <c r="CA86" s="319" t="s">
        <v>89</v>
      </c>
      <c r="CB86" s="319"/>
      <c r="CC86" s="319" t="s">
        <v>42</v>
      </c>
      <c r="CD86" s="319" t="s">
        <v>43</v>
      </c>
      <c r="CG86" s="317" t="s">
        <v>90</v>
      </c>
      <c r="CH86" s="315"/>
      <c r="CI86" s="315"/>
      <c r="CJ86" s="315"/>
      <c r="CL86" s="319" t="s">
        <v>89</v>
      </c>
      <c r="CM86" s="319"/>
      <c r="CN86" s="319" t="s">
        <v>42</v>
      </c>
      <c r="CO86" s="319" t="s">
        <v>43</v>
      </c>
      <c r="CR86" s="317" t="s">
        <v>90</v>
      </c>
      <c r="CS86" s="315"/>
      <c r="CT86" s="315"/>
      <c r="CU86" s="315"/>
      <c r="CW86" s="319" t="s">
        <v>89</v>
      </c>
      <c r="CX86" s="319"/>
      <c r="CY86" s="319" t="s">
        <v>42</v>
      </c>
      <c r="CZ86" s="319" t="s">
        <v>43</v>
      </c>
      <c r="DC86" s="317" t="s">
        <v>90</v>
      </c>
      <c r="DD86" s="315"/>
      <c r="DE86" s="315"/>
      <c r="DF86" s="315"/>
      <c r="DH86" s="319" t="s">
        <v>89</v>
      </c>
      <c r="DI86" s="319"/>
      <c r="DJ86" s="319" t="s">
        <v>42</v>
      </c>
      <c r="DK86" s="319" t="s">
        <v>43</v>
      </c>
    </row>
    <row r="87" spans="1:116" x14ac:dyDescent="0.25">
      <c r="A87">
        <v>0.5</v>
      </c>
      <c r="B87">
        <f t="shared" si="16"/>
        <v>8.9861003778057142</v>
      </c>
      <c r="C87">
        <f t="shared" si="17"/>
        <v>-8.9861003778057142</v>
      </c>
      <c r="D87">
        <f t="shared" si="20"/>
        <v>7.9843597113356557</v>
      </c>
      <c r="E87">
        <f t="shared" si="21"/>
        <v>-7.9843597113356557</v>
      </c>
      <c r="F87">
        <f t="shared" si="24"/>
        <v>6.9821200218844703</v>
      </c>
      <c r="G87">
        <f t="shared" si="25"/>
        <v>-6.9821200218844703</v>
      </c>
      <c r="H87">
        <f t="shared" si="8"/>
        <v>5.9791303715506992</v>
      </c>
      <c r="I87">
        <f t="shared" si="9"/>
        <v>-5.9791303715506992</v>
      </c>
      <c r="J87">
        <f t="shared" si="10"/>
        <v>4.9749371855330997</v>
      </c>
      <c r="K87">
        <f t="shared" si="11"/>
        <v>-4.9749371855330997</v>
      </c>
      <c r="L87">
        <f t="shared" si="12"/>
        <v>3.9686269665968861</v>
      </c>
      <c r="M87">
        <f t="shared" si="13"/>
        <v>-3.9686269665968861</v>
      </c>
      <c r="N87">
        <f t="shared" si="14"/>
        <v>2.9580398915498081</v>
      </c>
      <c r="O87">
        <f t="shared" si="15"/>
        <v>-2.9580398915498081</v>
      </c>
      <c r="P87">
        <f t="shared" si="18"/>
        <v>1.9364916731037085</v>
      </c>
      <c r="Q87">
        <f t="shared" si="19"/>
        <v>-1.9364916731037085</v>
      </c>
      <c r="R87">
        <f t="shared" si="22"/>
        <v>0.8660254037844386</v>
      </c>
      <c r="S87">
        <f t="shared" si="23"/>
        <v>-0.8660254037844386</v>
      </c>
      <c r="U87" s="153">
        <v>9</v>
      </c>
      <c r="V87" s="153">
        <v>10</v>
      </c>
      <c r="W87" s="153">
        <f t="shared" si="26"/>
        <v>8.8632697771098723</v>
      </c>
      <c r="X87" s="153">
        <f t="shared" si="27"/>
        <v>1.562833599002373</v>
      </c>
      <c r="Y87" s="153">
        <v>9</v>
      </c>
      <c r="Z87" s="153">
        <v>190</v>
      </c>
      <c r="AA87" s="153">
        <f t="shared" si="28"/>
        <v>-8.8632697771098723</v>
      </c>
      <c r="AB87" s="153">
        <f t="shared" si="29"/>
        <v>-1.5628335990023743</v>
      </c>
      <c r="AO87" s="318"/>
      <c r="AP87" s="315"/>
      <c r="AQ87" s="315"/>
      <c r="AR87" s="315"/>
      <c r="AT87" s="319"/>
      <c r="AU87" s="319"/>
      <c r="AV87" s="319"/>
      <c r="AW87" s="319"/>
      <c r="AZ87" s="318"/>
      <c r="BA87" s="315"/>
      <c r="BB87" s="315"/>
      <c r="BC87" s="315"/>
      <c r="BE87" s="319"/>
      <c r="BF87" s="319"/>
      <c r="BG87" s="319"/>
      <c r="BH87" s="319"/>
      <c r="BK87" s="318"/>
      <c r="BL87" s="315"/>
      <c r="BM87" s="315"/>
      <c r="BN87" s="315"/>
      <c r="BP87" s="319"/>
      <c r="BQ87" s="319"/>
      <c r="BR87" s="319"/>
      <c r="BS87" s="319"/>
      <c r="BV87" s="318"/>
      <c r="BW87" s="315"/>
      <c r="BX87" s="315"/>
      <c r="BY87" s="315"/>
      <c r="CA87" s="319"/>
      <c r="CB87" s="319"/>
      <c r="CC87" s="319"/>
      <c r="CD87" s="319"/>
      <c r="CG87" s="318"/>
      <c r="CH87" s="315"/>
      <c r="CI87" s="315"/>
      <c r="CJ87" s="315"/>
      <c r="CL87" s="319"/>
      <c r="CM87" s="319"/>
      <c r="CN87" s="319"/>
      <c r="CO87" s="319"/>
      <c r="CR87" s="318"/>
      <c r="CS87" s="315"/>
      <c r="CT87" s="315"/>
      <c r="CU87" s="315"/>
      <c r="CW87" s="319"/>
      <c r="CX87" s="319"/>
      <c r="CY87" s="319"/>
      <c r="CZ87" s="319"/>
      <c r="DC87" s="318"/>
      <c r="DD87" s="315"/>
      <c r="DE87" s="315"/>
      <c r="DF87" s="315"/>
      <c r="DH87" s="319"/>
      <c r="DI87" s="319"/>
      <c r="DJ87" s="319"/>
      <c r="DK87" s="319"/>
    </row>
    <row r="88" spans="1:116" x14ac:dyDescent="0.25">
      <c r="A88">
        <v>0.4</v>
      </c>
      <c r="B88">
        <f t="shared" si="16"/>
        <v>8.9911067171956098</v>
      </c>
      <c r="C88">
        <f t="shared" si="17"/>
        <v>-8.9911067171956098</v>
      </c>
      <c r="D88">
        <f t="shared" si="20"/>
        <v>7.9899937421752716</v>
      </c>
      <c r="E88">
        <f t="shared" si="21"/>
        <v>-7.9899937421752716</v>
      </c>
      <c r="F88">
        <f t="shared" si="24"/>
        <v>6.9885620838624591</v>
      </c>
      <c r="G88">
        <f t="shared" si="25"/>
        <v>-6.9885620838624591</v>
      </c>
      <c r="H88">
        <f t="shared" si="8"/>
        <v>5.9866518188383067</v>
      </c>
      <c r="I88">
        <f t="shared" si="9"/>
        <v>-5.9866518188383067</v>
      </c>
      <c r="J88">
        <f t="shared" si="10"/>
        <v>4.9839743177508451</v>
      </c>
      <c r="K88">
        <f t="shared" si="11"/>
        <v>-4.9839743177508451</v>
      </c>
      <c r="L88">
        <f t="shared" si="12"/>
        <v>3.9799497484264799</v>
      </c>
      <c r="M88">
        <f t="shared" si="13"/>
        <v>-3.9799497484264799</v>
      </c>
      <c r="N88">
        <f t="shared" si="14"/>
        <v>2.9732137494637012</v>
      </c>
      <c r="O88">
        <f t="shared" si="15"/>
        <v>-2.9732137494637012</v>
      </c>
      <c r="P88">
        <f t="shared" si="18"/>
        <v>1.9595917942265424</v>
      </c>
      <c r="Q88">
        <f t="shared" si="19"/>
        <v>-1.9595917942265424</v>
      </c>
      <c r="R88">
        <f t="shared" si="22"/>
        <v>0.91651513899116799</v>
      </c>
      <c r="S88">
        <f t="shared" si="23"/>
        <v>-0.91651513899116799</v>
      </c>
      <c r="U88" s="153">
        <v>9</v>
      </c>
      <c r="V88" s="153">
        <v>20</v>
      </c>
      <c r="W88" s="153">
        <f t="shared" si="26"/>
        <v>8.4572335870731763</v>
      </c>
      <c r="X88" s="153">
        <f t="shared" si="27"/>
        <v>3.0781812899310186</v>
      </c>
      <c r="Y88" s="153">
        <v>9</v>
      </c>
      <c r="Z88" s="153">
        <v>200</v>
      </c>
      <c r="AA88" s="153">
        <f t="shared" si="28"/>
        <v>-8.4572335870731763</v>
      </c>
      <c r="AB88" s="153">
        <f t="shared" si="29"/>
        <v>-3.0781812899310177</v>
      </c>
      <c r="AO88" s="39">
        <v>4.1666666666666664E-2</v>
      </c>
      <c r="AP88" s="38">
        <v>165</v>
      </c>
      <c r="AQ88" s="38">
        <f t="shared" ref="AQ88:AQ112" si="30">+DEGREES(ASIN(COS(RADIANS($AR$85))*COS(RADIANS($AQ$85))*COS(RADIANS(AP88))+SIN(RADIANS($AR$85))*SIN(RADIANS($AQ$85))))</f>
        <v>-72.046150944645134</v>
      </c>
      <c r="AR88" s="38">
        <f t="shared" ref="AR88:AR98" si="31">180-DEGREES(ACOS((((SIN(RADIANS(AQ88)))*SIN(RADIANS($AR$85)))-SIN(RADIANS($AQ$85)))/((COS(RADIANS(AQ88)))*COS(RADIANS($AR$85)))))</f>
        <v>53.197388177510931</v>
      </c>
      <c r="AT88">
        <f t="shared" ref="AT88:AT112" si="32">IF((9-(AQ88/10))&gt;9,9,9-(AQ88/10))</f>
        <v>9</v>
      </c>
      <c r="AU88">
        <f t="shared" ref="AU88:AU99" si="33">IF((9-(AQ88/10))&gt;9,90-(180-DEGREES(ACOS((((SIN(RADIANS(0)))*SIN(RADIANS($AR$85)))-SIN(RADIANS($AQ$85)))/((COS(RADIANS(0)))*COS(RADIANS($AR$85)))))),90-AR88)</f>
        <v>-20.144807960754491</v>
      </c>
      <c r="AV88" s="153">
        <f t="shared" ref="AV88:AV112" si="34">+AT88*COS(RADIANS(AU88))</f>
        <v>8.4494268639521586</v>
      </c>
      <c r="AW88" s="153">
        <f t="shared" ref="AW88:AW112" si="35">+AT88*SIN(RADIANS(AU88))</f>
        <v>-3.0995460426848935</v>
      </c>
      <c r="AX88" s="39">
        <v>4.1666666666666699E-2</v>
      </c>
      <c r="AZ88" s="39">
        <v>4.1666666666666699E-2</v>
      </c>
      <c r="BA88" s="38">
        <v>165</v>
      </c>
      <c r="BB88" s="38">
        <f t="shared" ref="BB88:BB112" si="36">+DEGREES(ASIN(COS(RADIANS($BC$85))*COS(RADIANS($BB$85))*COS(RADIANS(BA88))+SIN(RADIANS($BC$85))*SIN(RADIANS($BB$85))))</f>
        <v>-64.883038153692766</v>
      </c>
      <c r="BC88" s="38">
        <f t="shared" ref="BC88:BC98" si="37">180-DEGREES(ACOS((((SIN(RADIANS(BB88)))*SIN(RADIANS($BC$85)))-SIN(RADIANS($BB$85)))/((COS(RADIANS(BB88)))*COS(RADIANS($BC$85)))))</f>
        <v>37.111855036527061</v>
      </c>
      <c r="BE88">
        <f t="shared" ref="BE88:BE112" si="38">IF((9-(BB88/10))&gt;9,9,9-(BB88/10))</f>
        <v>9</v>
      </c>
      <c r="BF88">
        <f t="shared" ref="BF88:BF99" si="39">IF((9-(BB88/10))&gt;9,90-(180-DEGREES(ACOS((((SIN(RADIANS(0)))*SIN(RADIANS($BC$85)))-SIN(RADIANS($BB$85)))/((COS(RADIANS(0)))*COS(RADIANS($BC$85)))))),90-BC88)</f>
        <v>-9.5003629282162763</v>
      </c>
      <c r="BG88" s="153">
        <f t="shared" ref="BG88:BG112" si="40">+BE88*COS(RADIANS(BF88))</f>
        <v>8.87656100451896</v>
      </c>
      <c r="BH88" s="153">
        <f t="shared" ref="BH88:BH112" si="41">+BE88*SIN(RADIANS(BF88))</f>
        <v>-1.4854846795081202</v>
      </c>
      <c r="BI88" s="39">
        <v>4.1666666666666699E-2</v>
      </c>
      <c r="BK88" s="39">
        <v>4.1666666666666699E-2</v>
      </c>
      <c r="BL88" s="38">
        <v>165</v>
      </c>
      <c r="BM88" s="38">
        <f t="shared" ref="BM88:BM112" si="42">+DEGREES(ASIN(COS(RADIANS($BN$85))*COS(RADIANS($BM$85))*COS(RADIANS(BL88))+SIN(RADIANS($BN$85))*SIN(RADIANS($BM$85))))</f>
        <v>-53.905193379238668</v>
      </c>
      <c r="BN88" s="38">
        <f t="shared" ref="BN88:BN98" si="43">180-DEGREES(ACOS((((SIN(RADIANS(BM88)))*SIN(RADIANS($BN$85)))-SIN(RADIANS($BM$85)))/((COS(RADIANS(BM88)))*COS(RADIANS($BN$85)))))</f>
        <v>25.992283534126898</v>
      </c>
      <c r="BP88">
        <f t="shared" ref="BP88:BP112" si="44">IF((9-(BM88/10))&gt;9,9,9-(BM88/10))</f>
        <v>9</v>
      </c>
      <c r="BQ88">
        <f t="shared" ref="BQ88:BQ99" si="45">IF((9-(BM88/10))&gt;9,90-(180-DEGREES(ACOS((((SIN(RADIANS(0)))*SIN(RADIANS($BN$85)))-SIN(RADIANS($BM$85)))/((COS(RADIANS(0)))*COS(RADIANS($BN$85)))))),90-BN88)</f>
        <v>4.5973816683220292</v>
      </c>
      <c r="BR88" s="153">
        <f t="shared" ref="BR88:BR93" si="46">IF(BP88&gt;9,BR89,BP88*COS(RADIANS(BQ88)))</f>
        <v>8.9710428814800558</v>
      </c>
      <c r="BS88" s="153">
        <f t="shared" ref="BS88:BS93" si="47">IF(BP88&gt;9,BS89,BP88*SIN(RADIANS(BQ88)))</f>
        <v>0.72138035643204523</v>
      </c>
      <c r="BT88" s="39">
        <v>4.1666666666666699E-2</v>
      </c>
      <c r="BV88" s="39">
        <v>4.1666666666666699E-2</v>
      </c>
      <c r="BW88" s="38">
        <v>165</v>
      </c>
      <c r="BX88" s="38">
        <f t="shared" ref="BX88:BX112" si="48">+DEGREES(ASIN(COS(RADIANS($BY$85))*COS(RADIANS($BX$85))*COS(RADIANS(BW88))+SIN(RADIANS($BY$85))*SIN(RADIANS($BX$85))))</f>
        <v>-43.692996391273049</v>
      </c>
      <c r="BY88" s="38">
        <f t="shared" ref="BY88:BY98" si="49">180-DEGREES(ACOS((((SIN(RADIANS(BX88)))*SIN(RADIANS($BY$85)))-SIN(RADIANS($BX$85)))/((COS(RADIANS(BX88)))*COS(RADIANS($BY$85)))))</f>
        <v>20.237754688613791</v>
      </c>
      <c r="CA88">
        <f t="shared" ref="CA88:CA112" si="50">IF((9-(BX88/10))&gt;9,9,9-(BX88/10))</f>
        <v>9</v>
      </c>
      <c r="CB88">
        <f t="shared" ref="CB88:CB99" si="51">IF((9-(BX88/10))&gt;9,90-(180-DEGREES(ACOS((((SIN(RADIANS(0)))*SIN(RADIANS($BY$85)))-SIN(RADIANS($BX$85)))/((COS(RADIANS(0)))*COS(RADIANS($BY$85)))))),90-BY88)</f>
        <v>17.111907421504654</v>
      </c>
      <c r="CC88" s="153">
        <f t="shared" ref="CC88:CC112" si="52">+CA88*COS(RADIANS(CB88))</f>
        <v>8.601586970459481</v>
      </c>
      <c r="CD88" s="153">
        <f t="shared" ref="CD88:CD112" si="53">+CA88*SIN(RADIANS(CB88))</f>
        <v>2.6481505979875286</v>
      </c>
      <c r="CE88" s="39">
        <v>4.1666666666666699E-2</v>
      </c>
      <c r="CG88" s="39">
        <v>4.1666666666666699E-2</v>
      </c>
      <c r="CH88" s="38">
        <v>165</v>
      </c>
      <c r="CI88" s="38">
        <f t="shared" ref="CI88:CI112" si="54">+DEGREES(ASIN(COS(RADIANS($CJ$85))*COS(RADIANS($CI$85))*COS(RADIANS(CH88))+SIN(RADIANS($CJ$85))*SIN(RADIANS($CI$85))))</f>
        <v>-36.876609818260775</v>
      </c>
      <c r="CJ88" s="38">
        <f t="shared" ref="CJ88:CJ98" si="55">180-DEGREES(ACOS((((SIN(RADIANS(CI88)))*SIN(RADIANS($CJ$85)))-SIN(RADIANS($CI$85)))/((COS(RADIANS(CI88)))*COS(RADIANS($CJ$85)))))</f>
        <v>17.452108433901259</v>
      </c>
      <c r="CL88">
        <f t="shared" ref="CL88:CL112" si="56">IF((9-(CI88/10))&gt;9,9,9-(CI88/10))</f>
        <v>9</v>
      </c>
      <c r="CM88">
        <f t="shared" ref="CM88:CM99" si="57">IF((9-(CI88/10))&gt;9,90-(180-DEGREES(ACOS((((SIN(RADIANS(0)))*SIN(RADIANS($CJ$85)))-SIN(RADIANS($CI$85)))/((COS(RADIANS(0)))*COS(RADIANS($CJ$85)))))),90-CJ88)</f>
        <v>25.427823287350506</v>
      </c>
      <c r="CN88" s="153">
        <f t="shared" ref="CN88:CN112" si="58">+CL88*COS(RADIANS(CM88))</f>
        <v>8.1281420283668258</v>
      </c>
      <c r="CO88" s="153">
        <f t="shared" ref="CO88:CO112" si="59">+CL88*SIN(RADIANS(CM88))</f>
        <v>3.8643637466854508</v>
      </c>
      <c r="CP88" s="39">
        <v>4.1666666666666699E-2</v>
      </c>
      <c r="CR88" s="39">
        <v>4.1666666666666699E-2</v>
      </c>
      <c r="CS88" s="38">
        <v>165</v>
      </c>
      <c r="CT88" s="38">
        <f t="shared" ref="CT88:CT112" si="60">+DEGREES(ASIN(COS(RADIANS($CU$85))*COS(RADIANS($CT$85))*COS(RADIANS(CS88))+SIN(RADIANS($CU$85))*SIN(RADIANS($CT$85))))</f>
        <v>-35.522989333110012</v>
      </c>
      <c r="CU88" s="38">
        <f t="shared" ref="CU88:CU98" si="61">180-DEGREES(ACOS((((SIN(RADIANS(CT88)))*SIN(RADIANS($CU$85)))-SIN(RADIANS($CT$85)))/((COS(RADIANS(CT88)))*COS(RADIANS($CU$85)))))</f>
        <v>16.962222906987591</v>
      </c>
      <c r="CW88">
        <f t="shared" ref="CW88:CW112" si="62">IF((9-(CT88/10))&gt;9,9,9-(CT88/10))</f>
        <v>9</v>
      </c>
      <c r="CX88">
        <f t="shared" ref="CX88:CX99" si="63">IF((9-(CT88/10))&gt;9,90-(180-DEGREES(ACOS((((SIN(RADIANS(0)))*SIN(RADIANS($CU$85)))-SIN(RADIANS($CT$85)))/((COS(RADIANS(0)))*COS(RADIANS($CU$85)))))),90-CU88)</f>
        <v>27.0871391084072</v>
      </c>
      <c r="CY88" s="153">
        <f t="shared" ref="CY88:CY112" si="64">+CW88*COS(RADIANS(CX88))</f>
        <v>8.0128353242451471</v>
      </c>
      <c r="CZ88" s="153">
        <f t="shared" ref="CZ88:CZ112" si="65">+CW88*SIN(RADIANS(CX88))</f>
        <v>4.0981056680531269</v>
      </c>
      <c r="DA88" s="39">
        <v>4.1666666666666699E-2</v>
      </c>
      <c r="DC88" s="39">
        <v>4.1666666666666699E-2</v>
      </c>
      <c r="DD88" s="38">
        <v>165</v>
      </c>
      <c r="DE88" s="38">
        <f t="shared" ref="DE88:DE112" si="66">+DEGREES(ASIN(COS(RADIANS($DF$85))*COS(RADIANS($DE$85))*COS(RADIANS(DD88))+SIN(RADIANS($DF$85))*SIN(RADIANS($DE$85))))</f>
        <v>-75.23679981258222</v>
      </c>
      <c r="DF88" s="38">
        <f t="shared" ref="DF88:DF98" si="67">180-DEGREES(ACOS((((SIN(RADIANS(DE88)))*SIN(RADIANS($DF$85)))-SIN(RADIANS($DE$85)))/((COS(RADIANS(DE88)))*COS(RADIANS($DF$85)))))</f>
        <v>69.204392711010712</v>
      </c>
      <c r="DH88">
        <f t="shared" ref="DH88:DH112" si="68">IF((9-(DE88/10))&gt;9,9,9-(DE88/10))</f>
        <v>9</v>
      </c>
      <c r="DI88">
        <f t="shared" ref="DI88:DI99" si="69">IF((9-(DE88/10))&gt;9,90-(180-DEGREES(ACOS((((SIN(RADIANS(0)))*SIN(RADIANS($DF$85)))-SIN(RADIANS($DE$85)))/((COS(RADIANS(0)))*COS(RADIANS($DF$85)))))),90-DF88)</f>
        <v>-26.570868306911436</v>
      </c>
      <c r="DJ88" s="153">
        <f t="shared" ref="DJ88:DJ112" si="70">+DH88*COS(RADIANS(DI88))</f>
        <v>8.0494360349177878</v>
      </c>
      <c r="DK88" s="153">
        <f t="shared" ref="DK88:DK112" si="71">+DH88*SIN(RADIANS(DI88))</f>
        <v>-4.0257396239407983</v>
      </c>
      <c r="DL88" s="39">
        <v>4.1666666666666699E-2</v>
      </c>
    </row>
    <row r="89" spans="1:116" x14ac:dyDescent="0.25">
      <c r="A89">
        <v>0.3</v>
      </c>
      <c r="B89">
        <f t="shared" si="16"/>
        <v>8.9949986103389694</v>
      </c>
      <c r="C89">
        <f t="shared" si="17"/>
        <v>-8.9949986103389694</v>
      </c>
      <c r="D89">
        <f t="shared" si="20"/>
        <v>7.994373021069257</v>
      </c>
      <c r="E89">
        <f t="shared" si="21"/>
        <v>-7.994373021069257</v>
      </c>
      <c r="F89">
        <f t="shared" si="24"/>
        <v>6.9935684739623447</v>
      </c>
      <c r="G89">
        <f t="shared" si="25"/>
        <v>-6.9935684739623447</v>
      </c>
      <c r="H89">
        <f t="shared" si="8"/>
        <v>5.9924953066314535</v>
      </c>
      <c r="I89">
        <f t="shared" si="9"/>
        <v>-5.9924953066314535</v>
      </c>
      <c r="J89">
        <f t="shared" si="10"/>
        <v>4.9909918853871122</v>
      </c>
      <c r="K89">
        <f t="shared" si="11"/>
        <v>-4.9909918853871122</v>
      </c>
      <c r="L89">
        <f t="shared" si="12"/>
        <v>3.9887341350358261</v>
      </c>
      <c r="M89">
        <f t="shared" si="13"/>
        <v>-3.9887341350358261</v>
      </c>
      <c r="N89">
        <f t="shared" si="14"/>
        <v>2.98496231131986</v>
      </c>
      <c r="O89">
        <f t="shared" si="15"/>
        <v>-2.98496231131986</v>
      </c>
      <c r="P89">
        <f t="shared" si="18"/>
        <v>1.977371993328519</v>
      </c>
      <c r="Q89">
        <f t="shared" si="19"/>
        <v>-1.977371993328519</v>
      </c>
      <c r="R89">
        <f t="shared" si="22"/>
        <v>0.95393920141694566</v>
      </c>
      <c r="S89">
        <f t="shared" si="23"/>
        <v>-0.95393920141694566</v>
      </c>
      <c r="U89" s="153">
        <v>9</v>
      </c>
      <c r="V89" s="153">
        <v>30</v>
      </c>
      <c r="W89" s="153">
        <f t="shared" si="26"/>
        <v>7.794228634059948</v>
      </c>
      <c r="X89" s="153">
        <f t="shared" si="27"/>
        <v>4.4999999999999991</v>
      </c>
      <c r="Y89" s="153">
        <v>9</v>
      </c>
      <c r="Z89" s="153">
        <v>210</v>
      </c>
      <c r="AA89" s="153">
        <f t="shared" si="28"/>
        <v>-7.7942286340599471</v>
      </c>
      <c r="AB89" s="153">
        <f t="shared" si="29"/>
        <v>-4.5000000000000009</v>
      </c>
      <c r="AO89" s="39">
        <v>8.3333333333333301E-2</v>
      </c>
      <c r="AP89" s="38">
        <v>150</v>
      </c>
      <c r="AQ89" s="38">
        <f t="shared" si="30"/>
        <v>-60.232400619509299</v>
      </c>
      <c r="AR89" s="38">
        <f t="shared" si="31"/>
        <v>73.818841067034114</v>
      </c>
      <c r="AT89">
        <f t="shared" si="32"/>
        <v>9</v>
      </c>
      <c r="AU89">
        <f t="shared" si="33"/>
        <v>-20.144807960754491</v>
      </c>
      <c r="AV89" s="153">
        <f t="shared" si="34"/>
        <v>8.4494268639521586</v>
      </c>
      <c r="AW89" s="153">
        <f t="shared" si="35"/>
        <v>-3.0995460426848935</v>
      </c>
      <c r="AX89" s="39">
        <v>8.3333333333333301E-2</v>
      </c>
      <c r="AZ89" s="39">
        <v>8.3333333333333301E-2</v>
      </c>
      <c r="BA89" s="38">
        <v>150</v>
      </c>
      <c r="BB89" s="38">
        <f t="shared" si="36"/>
        <v>-54.989718040976605</v>
      </c>
      <c r="BC89" s="38">
        <f t="shared" si="37"/>
        <v>59.585502367486896</v>
      </c>
      <c r="BE89">
        <f t="shared" si="38"/>
        <v>9</v>
      </c>
      <c r="BF89">
        <f t="shared" si="39"/>
        <v>-9.5003629282162763</v>
      </c>
      <c r="BG89" s="153">
        <f t="shared" si="40"/>
        <v>8.87656100451896</v>
      </c>
      <c r="BH89" s="153">
        <f t="shared" si="41"/>
        <v>-1.4854846795081202</v>
      </c>
      <c r="BI89" s="39">
        <v>8.3333333333333301E-2</v>
      </c>
      <c r="BK89" s="39">
        <v>8.3333333333333301E-2</v>
      </c>
      <c r="BL89" s="38">
        <v>150</v>
      </c>
      <c r="BM89" s="38">
        <f t="shared" si="42"/>
        <v>-46.133018433380855</v>
      </c>
      <c r="BN89" s="38">
        <f t="shared" si="43"/>
        <v>46.033218302412109</v>
      </c>
      <c r="BP89">
        <f t="shared" si="44"/>
        <v>9</v>
      </c>
      <c r="BQ89">
        <f t="shared" si="45"/>
        <v>4.5973816683220292</v>
      </c>
      <c r="BR89" s="153">
        <f t="shared" si="46"/>
        <v>8.9710428814800558</v>
      </c>
      <c r="BS89" s="153">
        <f t="shared" si="47"/>
        <v>0.72138035643204523</v>
      </c>
      <c r="BT89" s="39">
        <v>8.3333333333333301E-2</v>
      </c>
      <c r="BV89" s="39">
        <v>8.3333333333333301E-2</v>
      </c>
      <c r="BW89" s="38">
        <v>150</v>
      </c>
      <c r="BX89" s="38">
        <f t="shared" si="48"/>
        <v>-37.33129672095771</v>
      </c>
      <c r="BY89" s="38">
        <f t="shared" si="49"/>
        <v>37.421390721411996</v>
      </c>
      <c r="CA89">
        <f t="shared" si="50"/>
        <v>9</v>
      </c>
      <c r="CB89">
        <f t="shared" si="51"/>
        <v>17.111907421504654</v>
      </c>
      <c r="CC89" s="153">
        <f t="shared" si="52"/>
        <v>8.601586970459481</v>
      </c>
      <c r="CD89" s="153">
        <f t="shared" si="53"/>
        <v>2.6481505979875286</v>
      </c>
      <c r="CE89" s="39">
        <v>8.3333333333333301E-2</v>
      </c>
      <c r="CG89" s="39">
        <v>8.3333333333333301E-2</v>
      </c>
      <c r="CH89" s="38">
        <v>150</v>
      </c>
      <c r="CI89" s="38">
        <f t="shared" si="54"/>
        <v>-31.276362355278998</v>
      </c>
      <c r="CJ89" s="38">
        <f t="shared" si="55"/>
        <v>32.838198459563159</v>
      </c>
      <c r="CL89">
        <f t="shared" si="56"/>
        <v>9</v>
      </c>
      <c r="CM89">
        <f t="shared" si="57"/>
        <v>25.427823287350506</v>
      </c>
      <c r="CN89" s="153">
        <f t="shared" si="58"/>
        <v>8.1281420283668258</v>
      </c>
      <c r="CO89" s="153">
        <f t="shared" si="59"/>
        <v>3.8643637466854508</v>
      </c>
      <c r="CP89" s="39">
        <v>8.3333333333333301E-2</v>
      </c>
      <c r="CR89" s="39">
        <v>8.3333333333333301E-2</v>
      </c>
      <c r="CS89" s="38">
        <v>150</v>
      </c>
      <c r="CT89" s="38">
        <f t="shared" si="60"/>
        <v>-30.061756873161897</v>
      </c>
      <c r="CU89" s="38">
        <f t="shared" si="61"/>
        <v>32.005223707712958</v>
      </c>
      <c r="CW89">
        <f t="shared" si="62"/>
        <v>9</v>
      </c>
      <c r="CX89">
        <f t="shared" si="63"/>
        <v>27.0871391084072</v>
      </c>
      <c r="CY89" s="153">
        <f t="shared" si="64"/>
        <v>8.0128353242451471</v>
      </c>
      <c r="CZ89" s="153">
        <f t="shared" si="65"/>
        <v>4.0981056680531269</v>
      </c>
      <c r="DA89" s="39">
        <v>8.3333333333333301E-2</v>
      </c>
      <c r="DC89" s="39">
        <v>8.3333333333333301E-2</v>
      </c>
      <c r="DD89" s="38">
        <v>150</v>
      </c>
      <c r="DE89" s="38">
        <f t="shared" si="66"/>
        <v>-62.452473976782521</v>
      </c>
      <c r="DF89" s="38">
        <f t="shared" si="67"/>
        <v>84.319044517006716</v>
      </c>
      <c r="DH89">
        <f t="shared" si="68"/>
        <v>9</v>
      </c>
      <c r="DI89">
        <f t="shared" si="69"/>
        <v>-26.570868306911436</v>
      </c>
      <c r="DJ89" s="153">
        <f t="shared" si="70"/>
        <v>8.0494360349177878</v>
      </c>
      <c r="DK89" s="153">
        <f t="shared" si="71"/>
        <v>-4.0257396239407983</v>
      </c>
      <c r="DL89" s="39">
        <v>8.3333333333333301E-2</v>
      </c>
    </row>
    <row r="90" spans="1:116" x14ac:dyDescent="0.25">
      <c r="A90">
        <v>0.2</v>
      </c>
      <c r="B90">
        <f t="shared" si="16"/>
        <v>8.9977775033615934</v>
      </c>
      <c r="C90">
        <f t="shared" si="17"/>
        <v>-8.9977775033615934</v>
      </c>
      <c r="D90">
        <f t="shared" si="20"/>
        <v>7.9974996092528823</v>
      </c>
      <c r="E90">
        <f t="shared" si="21"/>
        <v>-7.9974996092528823</v>
      </c>
      <c r="F90">
        <f t="shared" si="24"/>
        <v>6.9971422738143607</v>
      </c>
      <c r="G90">
        <f t="shared" si="25"/>
        <v>-6.9971422738143607</v>
      </c>
      <c r="H90">
        <f t="shared" si="8"/>
        <v>5.9966657402259802</v>
      </c>
      <c r="I90">
        <f t="shared" si="9"/>
        <v>-5.9966657402259802</v>
      </c>
      <c r="J90">
        <f t="shared" si="10"/>
        <v>4.9959983987187186</v>
      </c>
      <c r="K90">
        <f t="shared" si="11"/>
        <v>-4.9959983987187186</v>
      </c>
      <c r="L90">
        <f t="shared" si="12"/>
        <v>3.9949968710876358</v>
      </c>
      <c r="M90">
        <f t="shared" si="13"/>
        <v>-3.9949968710876358</v>
      </c>
      <c r="N90">
        <f t="shared" si="14"/>
        <v>2.9933259094191533</v>
      </c>
      <c r="O90">
        <f t="shared" si="15"/>
        <v>-2.9933259094191533</v>
      </c>
      <c r="P90">
        <f t="shared" si="18"/>
        <v>1.9899748742132399</v>
      </c>
      <c r="Q90">
        <f t="shared" si="19"/>
        <v>-1.9899748742132399</v>
      </c>
      <c r="R90">
        <f t="shared" si="22"/>
        <v>0.9797958971132712</v>
      </c>
      <c r="S90">
        <f t="shared" si="23"/>
        <v>-0.9797958971132712</v>
      </c>
      <c r="U90" s="153">
        <v>9</v>
      </c>
      <c r="V90" s="153">
        <v>40</v>
      </c>
      <c r="W90" s="153">
        <f t="shared" si="26"/>
        <v>6.894399988070802</v>
      </c>
      <c r="X90" s="153">
        <f t="shared" si="27"/>
        <v>5.7850884871788537</v>
      </c>
      <c r="Y90" s="153">
        <v>9</v>
      </c>
      <c r="Z90" s="153">
        <v>220</v>
      </c>
      <c r="AA90" s="153">
        <f t="shared" si="28"/>
        <v>-6.894399988070802</v>
      </c>
      <c r="AB90" s="153">
        <f t="shared" si="29"/>
        <v>-5.7850884871788537</v>
      </c>
      <c r="AO90" s="39">
        <v>0.125</v>
      </c>
      <c r="AP90" s="38">
        <v>135</v>
      </c>
      <c r="AQ90" s="38">
        <f t="shared" si="30"/>
        <v>-47.358006013278754</v>
      </c>
      <c r="AR90" s="38">
        <f t="shared" si="31"/>
        <v>84.519330155836997</v>
      </c>
      <c r="AT90">
        <f t="shared" si="32"/>
        <v>9</v>
      </c>
      <c r="AU90">
        <f t="shared" si="33"/>
        <v>-20.144807960754491</v>
      </c>
      <c r="AV90" s="153">
        <f t="shared" si="34"/>
        <v>8.4494268639521586</v>
      </c>
      <c r="AW90" s="153">
        <f t="shared" si="35"/>
        <v>-3.0995460426848935</v>
      </c>
      <c r="AX90" s="39">
        <v>0.125</v>
      </c>
      <c r="AZ90" s="39">
        <v>0.125</v>
      </c>
      <c r="BA90" s="38">
        <v>135</v>
      </c>
      <c r="BB90" s="38">
        <f t="shared" si="36"/>
        <v>-42.970049900882437</v>
      </c>
      <c r="BC90" s="38">
        <f t="shared" si="37"/>
        <v>72.992972749272582</v>
      </c>
      <c r="BE90">
        <f t="shared" si="38"/>
        <v>9</v>
      </c>
      <c r="BF90">
        <f t="shared" si="39"/>
        <v>-9.5003629282162763</v>
      </c>
      <c r="BG90" s="153">
        <f t="shared" si="40"/>
        <v>8.87656100451896</v>
      </c>
      <c r="BH90" s="153">
        <f t="shared" si="41"/>
        <v>-1.4854846795081202</v>
      </c>
      <c r="BI90" s="39">
        <v>0.125</v>
      </c>
      <c r="BK90" s="39">
        <v>0.125</v>
      </c>
      <c r="BL90" s="38">
        <v>135</v>
      </c>
      <c r="BM90" s="38">
        <f t="shared" si="42"/>
        <v>-35.619953941187866</v>
      </c>
      <c r="BN90" s="38">
        <f t="shared" si="43"/>
        <v>60.195037330045565</v>
      </c>
      <c r="BP90">
        <f t="shared" si="44"/>
        <v>9</v>
      </c>
      <c r="BQ90">
        <f t="shared" si="45"/>
        <v>4.5973816683220292</v>
      </c>
      <c r="BR90" s="153">
        <f t="shared" si="46"/>
        <v>8.9710428814800558</v>
      </c>
      <c r="BS90" s="153">
        <f t="shared" si="47"/>
        <v>0.72138035643204523</v>
      </c>
      <c r="BT90" s="39">
        <v>0.125</v>
      </c>
      <c r="BV90" s="39">
        <v>0.125</v>
      </c>
      <c r="BW90" s="38">
        <v>135</v>
      </c>
      <c r="BX90" s="38">
        <f t="shared" si="48"/>
        <v>-28.177692758769616</v>
      </c>
      <c r="BY90" s="38">
        <f t="shared" si="49"/>
        <v>50.823092297341248</v>
      </c>
      <c r="CA90">
        <f t="shared" si="50"/>
        <v>9</v>
      </c>
      <c r="CB90">
        <f t="shared" si="51"/>
        <v>17.111907421504654</v>
      </c>
      <c r="CC90" s="153">
        <f t="shared" si="52"/>
        <v>8.601586970459481</v>
      </c>
      <c r="CD90" s="153">
        <f t="shared" si="53"/>
        <v>2.6481505979875286</v>
      </c>
      <c r="CE90" s="39">
        <v>0.125</v>
      </c>
      <c r="CG90" s="39">
        <v>0.125</v>
      </c>
      <c r="CH90" s="38">
        <v>135</v>
      </c>
      <c r="CI90" s="38">
        <f t="shared" si="54"/>
        <v>-22.981260259153483</v>
      </c>
      <c r="CJ90" s="38">
        <f t="shared" si="55"/>
        <v>45.392932124001135</v>
      </c>
      <c r="CL90">
        <f t="shared" si="56"/>
        <v>9</v>
      </c>
      <c r="CM90">
        <f t="shared" si="57"/>
        <v>25.427823287350506</v>
      </c>
      <c r="CN90" s="153">
        <f t="shared" si="58"/>
        <v>8.1281420283668258</v>
      </c>
      <c r="CO90" s="153">
        <f t="shared" si="59"/>
        <v>3.8643637466854508</v>
      </c>
      <c r="CP90" s="39">
        <v>0.125</v>
      </c>
      <c r="CR90" s="39">
        <v>0.125</v>
      </c>
      <c r="CS90" s="38">
        <v>135</v>
      </c>
      <c r="CT90" s="38">
        <f t="shared" si="60"/>
        <v>-21.932757611792816</v>
      </c>
      <c r="CU90" s="38">
        <f t="shared" si="61"/>
        <v>44.372564277814263</v>
      </c>
      <c r="CW90">
        <f t="shared" si="62"/>
        <v>9</v>
      </c>
      <c r="CX90">
        <f t="shared" si="63"/>
        <v>27.0871391084072</v>
      </c>
      <c r="CY90" s="153">
        <f t="shared" si="64"/>
        <v>8.0128353242451471</v>
      </c>
      <c r="CZ90" s="153">
        <f t="shared" si="65"/>
        <v>4.0981056680531269</v>
      </c>
      <c r="DA90" s="39">
        <v>0.125</v>
      </c>
      <c r="DC90" s="39">
        <v>0.125</v>
      </c>
      <c r="DD90" s="38">
        <v>135</v>
      </c>
      <c r="DE90" s="38">
        <f t="shared" si="66"/>
        <v>-49.357961668366194</v>
      </c>
      <c r="DF90" s="38">
        <f t="shared" si="67"/>
        <v>92.227199589722318</v>
      </c>
      <c r="DH90">
        <f t="shared" si="68"/>
        <v>9</v>
      </c>
      <c r="DI90">
        <f t="shared" si="69"/>
        <v>-26.570868306911436</v>
      </c>
      <c r="DJ90" s="153">
        <f t="shared" si="70"/>
        <v>8.0494360349177878</v>
      </c>
      <c r="DK90" s="153">
        <f t="shared" si="71"/>
        <v>-4.0257396239407983</v>
      </c>
      <c r="DL90" s="39">
        <v>0.125</v>
      </c>
    </row>
    <row r="91" spans="1:116" x14ac:dyDescent="0.25">
      <c r="A91">
        <v>0.1</v>
      </c>
      <c r="B91">
        <f t="shared" si="16"/>
        <v>8.9994444272966092</v>
      </c>
      <c r="C91">
        <f t="shared" si="17"/>
        <v>-8.9994444272966092</v>
      </c>
      <c r="D91">
        <f t="shared" si="20"/>
        <v>7.99937497558403</v>
      </c>
      <c r="E91">
        <f t="shared" si="21"/>
        <v>-7.99937497558403</v>
      </c>
      <c r="F91">
        <f t="shared" si="24"/>
        <v>6.9992856778388468</v>
      </c>
      <c r="G91">
        <f t="shared" si="25"/>
        <v>-6.9992856778388468</v>
      </c>
      <c r="H91">
        <f t="shared" si="8"/>
        <v>5.9991666087882578</v>
      </c>
      <c r="I91">
        <f t="shared" si="9"/>
        <v>-5.9991666087882578</v>
      </c>
      <c r="J91">
        <f t="shared" si="10"/>
        <v>4.9989998999799949</v>
      </c>
      <c r="K91">
        <f t="shared" si="11"/>
        <v>-4.9989998999799949</v>
      </c>
      <c r="L91">
        <f t="shared" si="12"/>
        <v>3.9987498046264411</v>
      </c>
      <c r="M91">
        <f t="shared" si="13"/>
        <v>-3.9987498046264411</v>
      </c>
      <c r="N91">
        <f t="shared" si="14"/>
        <v>2.9983328701129901</v>
      </c>
      <c r="O91">
        <f t="shared" si="15"/>
        <v>-2.9983328701129901</v>
      </c>
      <c r="P91">
        <f t="shared" si="18"/>
        <v>1.9974984355438179</v>
      </c>
      <c r="Q91">
        <f t="shared" si="19"/>
        <v>-1.9974984355438179</v>
      </c>
      <c r="R91">
        <f t="shared" si="22"/>
        <v>0.99498743710661997</v>
      </c>
      <c r="S91">
        <f t="shared" si="23"/>
        <v>-0.99498743710661997</v>
      </c>
      <c r="U91" s="153">
        <v>9</v>
      </c>
      <c r="V91" s="153">
        <v>50</v>
      </c>
      <c r="W91" s="153">
        <f t="shared" si="26"/>
        <v>5.7850884871788546</v>
      </c>
      <c r="X91" s="153">
        <f t="shared" si="27"/>
        <v>6.894399988070802</v>
      </c>
      <c r="Y91" s="153">
        <v>9</v>
      </c>
      <c r="Z91" s="153">
        <v>230</v>
      </c>
      <c r="AA91" s="153">
        <f t="shared" si="28"/>
        <v>-5.7850884871788555</v>
      </c>
      <c r="AB91" s="153">
        <f t="shared" si="29"/>
        <v>-6.8943999880708011</v>
      </c>
      <c r="AO91" s="39">
        <v>0.16666666666666699</v>
      </c>
      <c r="AP91" s="38">
        <v>120</v>
      </c>
      <c r="AQ91" s="38">
        <f t="shared" si="30"/>
        <v>-34.263131703153903</v>
      </c>
      <c r="AR91" s="38">
        <f t="shared" si="31"/>
        <v>92.169938930599614</v>
      </c>
      <c r="AT91">
        <f t="shared" si="32"/>
        <v>9</v>
      </c>
      <c r="AU91">
        <f t="shared" si="33"/>
        <v>-20.144807960754491</v>
      </c>
      <c r="AV91" s="153">
        <f t="shared" si="34"/>
        <v>8.4494268639521586</v>
      </c>
      <c r="AW91" s="153">
        <f t="shared" si="35"/>
        <v>-3.0995460426848935</v>
      </c>
      <c r="AX91" s="39">
        <v>0.16666666666666699</v>
      </c>
      <c r="AZ91" s="39">
        <v>0.16666666666666699</v>
      </c>
      <c r="BA91" s="38">
        <v>120</v>
      </c>
      <c r="BB91" s="38">
        <f t="shared" si="36"/>
        <v>-30.166174654908502</v>
      </c>
      <c r="BC91" s="38">
        <f t="shared" si="37"/>
        <v>82.395681730571113</v>
      </c>
      <c r="BE91">
        <f t="shared" si="38"/>
        <v>9</v>
      </c>
      <c r="BF91">
        <f t="shared" si="39"/>
        <v>-9.5003629282162763</v>
      </c>
      <c r="BG91" s="153">
        <f t="shared" si="40"/>
        <v>8.87656100451896</v>
      </c>
      <c r="BH91" s="153">
        <f t="shared" si="41"/>
        <v>-1.4854846795081202</v>
      </c>
      <c r="BI91" s="39">
        <v>0.16666666666666699</v>
      </c>
      <c r="BK91" s="39">
        <v>0.16666666666666699</v>
      </c>
      <c r="BL91" s="38">
        <v>120</v>
      </c>
      <c r="BM91" s="38">
        <f t="shared" si="42"/>
        <v>-23.693971230022676</v>
      </c>
      <c r="BN91" s="38">
        <f t="shared" si="43"/>
        <v>70.634773561073217</v>
      </c>
      <c r="BP91">
        <f t="shared" si="44"/>
        <v>9</v>
      </c>
      <c r="BQ91">
        <f t="shared" si="45"/>
        <v>4.5973816683220292</v>
      </c>
      <c r="BR91" s="153">
        <f t="shared" si="46"/>
        <v>8.9710428814800558</v>
      </c>
      <c r="BS91" s="153">
        <f t="shared" si="47"/>
        <v>0.72138035643204523</v>
      </c>
      <c r="BT91" s="39">
        <v>0.16666666666666699</v>
      </c>
      <c r="BV91" s="39">
        <v>0.16666666666666699</v>
      </c>
      <c r="BW91" s="38">
        <v>120</v>
      </c>
      <c r="BX91" s="38">
        <f t="shared" si="48"/>
        <v>-17.295202768452899</v>
      </c>
      <c r="BY91" s="38">
        <f t="shared" si="49"/>
        <v>61.227129569630065</v>
      </c>
      <c r="CA91">
        <f t="shared" si="50"/>
        <v>9</v>
      </c>
      <c r="CB91">
        <f t="shared" si="51"/>
        <v>17.111907421504654</v>
      </c>
      <c r="CC91" s="153">
        <f t="shared" si="52"/>
        <v>8.601586970459481</v>
      </c>
      <c r="CD91" s="153">
        <f t="shared" si="53"/>
        <v>2.6481505979875286</v>
      </c>
      <c r="CE91" s="39">
        <v>0.16666666666666699</v>
      </c>
      <c r="CG91" s="39">
        <v>0.16666666666666699</v>
      </c>
      <c r="CH91" s="38">
        <v>120</v>
      </c>
      <c r="CI91" s="38">
        <f t="shared" si="54"/>
        <v>-12.865159481895564</v>
      </c>
      <c r="CJ91" s="38">
        <f t="shared" si="55"/>
        <v>55.427667993562665</v>
      </c>
      <c r="CL91">
        <f t="shared" si="56"/>
        <v>9</v>
      </c>
      <c r="CM91">
        <f t="shared" si="57"/>
        <v>25.427823287350506</v>
      </c>
      <c r="CN91" s="153">
        <f t="shared" si="58"/>
        <v>8.1281420283668258</v>
      </c>
      <c r="CO91" s="153">
        <f t="shared" si="59"/>
        <v>3.8643637466854508</v>
      </c>
      <c r="CP91" s="39">
        <v>0.16666666666666699</v>
      </c>
      <c r="CR91" s="39">
        <v>0.16666666666666699</v>
      </c>
      <c r="CS91" s="38">
        <v>120</v>
      </c>
      <c r="CT91" s="38">
        <f t="shared" si="60"/>
        <v>-11.973998043852708</v>
      </c>
      <c r="CU91" s="38">
        <f t="shared" si="61"/>
        <v>54.308590994652675</v>
      </c>
      <c r="CW91">
        <f t="shared" si="62"/>
        <v>9</v>
      </c>
      <c r="CX91">
        <f t="shared" si="63"/>
        <v>27.0871391084072</v>
      </c>
      <c r="CY91" s="153">
        <f t="shared" si="64"/>
        <v>8.0128353242451471</v>
      </c>
      <c r="CZ91" s="153">
        <f t="shared" si="65"/>
        <v>4.0981056680531269</v>
      </c>
      <c r="DA91" s="39">
        <v>0.16666666666666699</v>
      </c>
      <c r="DC91" s="39">
        <v>0.16666666666666699</v>
      </c>
      <c r="DD91" s="38">
        <v>120</v>
      </c>
      <c r="DE91" s="38">
        <f t="shared" si="66"/>
        <v>-36.313087788252069</v>
      </c>
      <c r="DF91" s="38">
        <f t="shared" si="67"/>
        <v>98.417944530448025</v>
      </c>
      <c r="DH91">
        <f t="shared" si="68"/>
        <v>9</v>
      </c>
      <c r="DI91">
        <f t="shared" si="69"/>
        <v>-26.570868306911436</v>
      </c>
      <c r="DJ91" s="153">
        <f t="shared" si="70"/>
        <v>8.0494360349177878</v>
      </c>
      <c r="DK91" s="153">
        <f t="shared" si="71"/>
        <v>-4.0257396239407983</v>
      </c>
      <c r="DL91" s="39">
        <v>0.16666666666666699</v>
      </c>
    </row>
    <row r="92" spans="1:116" x14ac:dyDescent="0.25">
      <c r="A92">
        <v>0</v>
      </c>
      <c r="B92">
        <f t="shared" si="16"/>
        <v>9</v>
      </c>
      <c r="C92">
        <f t="shared" si="17"/>
        <v>-9</v>
      </c>
      <c r="D92">
        <f t="shared" si="20"/>
        <v>8</v>
      </c>
      <c r="E92">
        <f t="shared" si="21"/>
        <v>-8</v>
      </c>
      <c r="F92">
        <f t="shared" si="24"/>
        <v>7</v>
      </c>
      <c r="G92">
        <f t="shared" si="25"/>
        <v>-7</v>
      </c>
      <c r="H92">
        <f t="shared" si="8"/>
        <v>6</v>
      </c>
      <c r="I92">
        <f t="shared" si="9"/>
        <v>-6</v>
      </c>
      <c r="J92">
        <f t="shared" si="10"/>
        <v>5</v>
      </c>
      <c r="K92">
        <f t="shared" si="11"/>
        <v>-5</v>
      </c>
      <c r="L92">
        <f t="shared" si="12"/>
        <v>4</v>
      </c>
      <c r="M92">
        <f t="shared" si="13"/>
        <v>-4</v>
      </c>
      <c r="N92">
        <f t="shared" si="14"/>
        <v>3</v>
      </c>
      <c r="O92">
        <f t="shared" si="15"/>
        <v>-3</v>
      </c>
      <c r="P92">
        <f t="shared" si="18"/>
        <v>2</v>
      </c>
      <c r="Q92">
        <f t="shared" si="19"/>
        <v>-2</v>
      </c>
      <c r="R92">
        <f t="shared" si="22"/>
        <v>1</v>
      </c>
      <c r="S92">
        <f t="shared" si="23"/>
        <v>-1</v>
      </c>
      <c r="U92" s="153">
        <v>9</v>
      </c>
      <c r="V92" s="153">
        <v>60</v>
      </c>
      <c r="W92" s="153">
        <f t="shared" si="26"/>
        <v>4.5000000000000009</v>
      </c>
      <c r="X92" s="153">
        <f t="shared" si="27"/>
        <v>7.7942286340599471</v>
      </c>
      <c r="Y92" s="153">
        <v>9</v>
      </c>
      <c r="Z92" s="153">
        <v>240</v>
      </c>
      <c r="AA92" s="153">
        <f t="shared" si="28"/>
        <v>-4.5000000000000036</v>
      </c>
      <c r="AB92" s="153">
        <f t="shared" si="29"/>
        <v>-7.7942286340599454</v>
      </c>
      <c r="AO92" s="39">
        <v>0.20833333333333334</v>
      </c>
      <c r="AP92" s="38">
        <v>105</v>
      </c>
      <c r="AQ92" s="38">
        <f t="shared" si="30"/>
        <v>-21.222454332100078</v>
      </c>
      <c r="AR92" s="38">
        <f t="shared" si="31"/>
        <v>98.829098209067979</v>
      </c>
      <c r="AT92">
        <f t="shared" si="32"/>
        <v>9</v>
      </c>
      <c r="AU92">
        <f t="shared" si="33"/>
        <v>-20.144807960754491</v>
      </c>
      <c r="AV92" s="153">
        <f t="shared" si="34"/>
        <v>8.4494268639521586</v>
      </c>
      <c r="AW92" s="153">
        <f t="shared" si="35"/>
        <v>-3.0995460426848935</v>
      </c>
      <c r="AX92" s="39">
        <v>0.20833333333333334</v>
      </c>
      <c r="AZ92" s="39">
        <v>0.20833333333333334</v>
      </c>
      <c r="BA92" s="38">
        <v>105</v>
      </c>
      <c r="BB92" s="38">
        <f t="shared" si="36"/>
        <v>-17.093738200635286</v>
      </c>
      <c r="BC92" s="38">
        <f t="shared" si="37"/>
        <v>90.095047630469693</v>
      </c>
      <c r="BE92">
        <f t="shared" si="38"/>
        <v>9</v>
      </c>
      <c r="BF92">
        <f t="shared" si="39"/>
        <v>-9.5003629282162763</v>
      </c>
      <c r="BG92" s="153">
        <f t="shared" si="40"/>
        <v>8.87656100451896</v>
      </c>
      <c r="BH92" s="153">
        <f t="shared" si="41"/>
        <v>-1.4854846795081202</v>
      </c>
      <c r="BI92" s="39">
        <v>0.20833333333333334</v>
      </c>
      <c r="BK92" s="39">
        <v>0.20833333333333334</v>
      </c>
      <c r="BL92" s="38">
        <v>105</v>
      </c>
      <c r="BM92" s="38">
        <f t="shared" si="42"/>
        <v>-11.045650532058881</v>
      </c>
      <c r="BN92" s="38">
        <f t="shared" si="43"/>
        <v>79.033909310679306</v>
      </c>
      <c r="BP92">
        <f t="shared" si="44"/>
        <v>9</v>
      </c>
      <c r="BQ92">
        <f t="shared" si="45"/>
        <v>4.5973816683220292</v>
      </c>
      <c r="BR92" s="153">
        <f t="shared" si="46"/>
        <v>8.9710428814800558</v>
      </c>
      <c r="BS92" s="153">
        <f t="shared" si="47"/>
        <v>0.72138035643204523</v>
      </c>
      <c r="BT92" s="39">
        <v>0.20833333333333334</v>
      </c>
      <c r="BV92" s="39">
        <v>0.20833333333333334</v>
      </c>
      <c r="BW92" s="38">
        <v>105</v>
      </c>
      <c r="BX92" s="38">
        <f t="shared" si="48"/>
        <v>-5.3710235152583179</v>
      </c>
      <c r="BY92" s="38">
        <f t="shared" si="49"/>
        <v>69.645777513673181</v>
      </c>
      <c r="CA92">
        <f t="shared" si="50"/>
        <v>9</v>
      </c>
      <c r="CB92">
        <f t="shared" si="51"/>
        <v>17.111907421504654</v>
      </c>
      <c r="CC92" s="153">
        <f t="shared" si="52"/>
        <v>8.601586970459481</v>
      </c>
      <c r="CD92" s="153">
        <f t="shared" si="53"/>
        <v>2.6481505979875286</v>
      </c>
      <c r="CE92" s="39">
        <v>0.20833333333333334</v>
      </c>
      <c r="CG92" s="39">
        <v>0.20833333333333334</v>
      </c>
      <c r="CH92" s="38">
        <v>105</v>
      </c>
      <c r="CI92" s="38">
        <f t="shared" si="54"/>
        <v>-1.5633314612030205</v>
      </c>
      <c r="CJ92" s="38">
        <f t="shared" si="55"/>
        <v>63.595103972539462</v>
      </c>
      <c r="CL92">
        <f t="shared" si="56"/>
        <v>9</v>
      </c>
      <c r="CM92">
        <f t="shared" si="57"/>
        <v>25.427823287350506</v>
      </c>
      <c r="CN92" s="153">
        <f t="shared" si="58"/>
        <v>8.1281420283668258</v>
      </c>
      <c r="CO92" s="153">
        <f t="shared" si="59"/>
        <v>3.8643637466854508</v>
      </c>
      <c r="CP92" s="39">
        <v>0.20833333333333334</v>
      </c>
      <c r="CR92" s="39">
        <v>0.20833333333333334</v>
      </c>
      <c r="CS92" s="38">
        <v>105</v>
      </c>
      <c r="CT92" s="38">
        <f t="shared" si="60"/>
        <v>-0.80777986614324515</v>
      </c>
      <c r="CU92" s="38">
        <f t="shared" si="61"/>
        <v>62.404173266606605</v>
      </c>
      <c r="CW92">
        <f t="shared" si="62"/>
        <v>9</v>
      </c>
      <c r="CX92">
        <f t="shared" si="63"/>
        <v>27.0871391084072</v>
      </c>
      <c r="CY92" s="153">
        <f t="shared" si="64"/>
        <v>8.0128353242451471</v>
      </c>
      <c r="CZ92" s="153">
        <f t="shared" si="65"/>
        <v>4.0981056680531269</v>
      </c>
      <c r="DA92" s="39">
        <v>0.20833333333333334</v>
      </c>
      <c r="DC92" s="39">
        <v>0.20833333333333334</v>
      </c>
      <c r="DD92" s="38">
        <v>105</v>
      </c>
      <c r="DE92" s="38">
        <f t="shared" si="66"/>
        <v>-23.465180129092047</v>
      </c>
      <c r="DF92" s="38">
        <f t="shared" si="67"/>
        <v>104.25379012152538</v>
      </c>
      <c r="DH92">
        <f t="shared" si="68"/>
        <v>9</v>
      </c>
      <c r="DI92">
        <f t="shared" si="69"/>
        <v>-26.570868306911436</v>
      </c>
      <c r="DJ92" s="153">
        <f t="shared" si="70"/>
        <v>8.0494360349177878</v>
      </c>
      <c r="DK92" s="153">
        <f t="shared" si="71"/>
        <v>-4.0257396239407983</v>
      </c>
      <c r="DL92" s="39">
        <v>0.20833333333333334</v>
      </c>
    </row>
    <row r="93" spans="1:116" x14ac:dyDescent="0.25">
      <c r="A93">
        <v>-0.1</v>
      </c>
      <c r="B93">
        <f t="shared" si="16"/>
        <v>8.9994444272966092</v>
      </c>
      <c r="C93">
        <f t="shared" si="17"/>
        <v>-8.9994444272966092</v>
      </c>
      <c r="D93">
        <f t="shared" si="20"/>
        <v>7.99937497558403</v>
      </c>
      <c r="E93">
        <f t="shared" si="21"/>
        <v>-7.99937497558403</v>
      </c>
      <c r="F93">
        <f t="shared" si="24"/>
        <v>6.9992856778388468</v>
      </c>
      <c r="G93">
        <f t="shared" si="25"/>
        <v>-6.9992856778388468</v>
      </c>
      <c r="H93">
        <f t="shared" si="8"/>
        <v>5.9991666087882578</v>
      </c>
      <c r="I93">
        <f t="shared" si="9"/>
        <v>-5.9991666087882578</v>
      </c>
      <c r="J93">
        <f t="shared" si="10"/>
        <v>4.9989998999799949</v>
      </c>
      <c r="K93">
        <f t="shared" si="11"/>
        <v>-4.9989998999799949</v>
      </c>
      <c r="L93">
        <f t="shared" si="12"/>
        <v>3.9987498046264411</v>
      </c>
      <c r="M93">
        <f t="shared" si="13"/>
        <v>-3.9987498046264411</v>
      </c>
      <c r="N93">
        <f t="shared" si="14"/>
        <v>2.9983328701129901</v>
      </c>
      <c r="O93">
        <f t="shared" si="15"/>
        <v>-2.9983328701129901</v>
      </c>
      <c r="P93">
        <f t="shared" si="18"/>
        <v>1.9974984355438179</v>
      </c>
      <c r="Q93">
        <f t="shared" si="19"/>
        <v>-1.9974984355438179</v>
      </c>
      <c r="R93">
        <f t="shared" si="22"/>
        <v>0.99498743710661997</v>
      </c>
      <c r="S93">
        <f t="shared" si="23"/>
        <v>-0.99498743710661997</v>
      </c>
      <c r="U93" s="153">
        <v>9</v>
      </c>
      <c r="V93" s="153">
        <v>70</v>
      </c>
      <c r="W93" s="153">
        <f t="shared" si="26"/>
        <v>3.0781812899310195</v>
      </c>
      <c r="X93" s="153">
        <f t="shared" si="27"/>
        <v>8.4572335870731745</v>
      </c>
      <c r="Y93" s="153">
        <v>9</v>
      </c>
      <c r="Z93" s="153">
        <v>250</v>
      </c>
      <c r="AA93" s="153">
        <f t="shared" si="28"/>
        <v>-3.0781812899310168</v>
      </c>
      <c r="AB93" s="153">
        <f t="shared" si="29"/>
        <v>-8.4572335870731763</v>
      </c>
      <c r="AO93" s="39">
        <v>0.25</v>
      </c>
      <c r="AP93" s="38">
        <v>90</v>
      </c>
      <c r="AQ93" s="38">
        <f t="shared" si="30"/>
        <v>-8.4117319355326003</v>
      </c>
      <c r="AR93" s="38">
        <f t="shared" si="31"/>
        <v>105.42042609675256</v>
      </c>
      <c r="AT93">
        <f t="shared" si="32"/>
        <v>9</v>
      </c>
      <c r="AU93">
        <f t="shared" si="33"/>
        <v>-20.144807960754491</v>
      </c>
      <c r="AV93" s="153">
        <f t="shared" si="34"/>
        <v>8.4494268639521586</v>
      </c>
      <c r="AW93" s="153">
        <f t="shared" si="35"/>
        <v>-3.0995460426848935</v>
      </c>
      <c r="AX93" s="39">
        <v>0.25</v>
      </c>
      <c r="AZ93" s="39">
        <v>0.25</v>
      </c>
      <c r="BA93" s="38">
        <v>90</v>
      </c>
      <c r="BB93" s="38">
        <f t="shared" si="36"/>
        <v>-4.0202279922027584</v>
      </c>
      <c r="BC93" s="38">
        <f t="shared" si="37"/>
        <v>97.260160733971048</v>
      </c>
      <c r="BE93">
        <f t="shared" si="38"/>
        <v>9</v>
      </c>
      <c r="BF93">
        <f t="shared" si="39"/>
        <v>-9.5003629282162763</v>
      </c>
      <c r="BG93" s="153">
        <f t="shared" si="40"/>
        <v>8.87656100451896</v>
      </c>
      <c r="BH93" s="153">
        <f t="shared" si="41"/>
        <v>-1.4854846795081202</v>
      </c>
      <c r="BI93" s="39">
        <v>0.25</v>
      </c>
      <c r="BK93" s="39">
        <v>0.25</v>
      </c>
      <c r="BL93" s="38">
        <v>90</v>
      </c>
      <c r="BM93" s="38">
        <f t="shared" si="42"/>
        <v>1.9510766725967672</v>
      </c>
      <c r="BN93" s="38">
        <f t="shared" si="43"/>
        <v>86.488170658290201</v>
      </c>
      <c r="BP93">
        <f t="shared" si="44"/>
        <v>8.804892332740323</v>
      </c>
      <c r="BQ93">
        <f t="shared" si="45"/>
        <v>3.5118293417097988</v>
      </c>
      <c r="BR93" s="153">
        <f t="shared" si="46"/>
        <v>8.7883582682606036</v>
      </c>
      <c r="BS93" s="153">
        <f t="shared" si="47"/>
        <v>0.53934028205281404</v>
      </c>
      <c r="BT93" s="39">
        <v>0.25</v>
      </c>
      <c r="BV93" s="39">
        <v>0.25</v>
      </c>
      <c r="BW93" s="38">
        <v>90</v>
      </c>
      <c r="BX93" s="38">
        <f t="shared" si="48"/>
        <v>7.1796941081018506</v>
      </c>
      <c r="BY93" s="38">
        <f t="shared" si="49"/>
        <v>76.908415468616056</v>
      </c>
      <c r="CA93">
        <f t="shared" si="50"/>
        <v>8.2820305891898158</v>
      </c>
      <c r="CB93">
        <f t="shared" si="51"/>
        <v>13.091584531383944</v>
      </c>
      <c r="CC93" s="153">
        <f t="shared" si="52"/>
        <v>8.0667743759958661</v>
      </c>
      <c r="CD93" s="153">
        <f t="shared" si="53"/>
        <v>1.8759482527650697</v>
      </c>
      <c r="CE93" s="39">
        <v>0.25</v>
      </c>
      <c r="CG93" s="39">
        <v>0.25</v>
      </c>
      <c r="CH93" s="38">
        <v>90</v>
      </c>
      <c r="CI93" s="38">
        <f t="shared" si="54"/>
        <v>10.508522694850116</v>
      </c>
      <c r="CJ93" s="38">
        <f t="shared" si="55"/>
        <v>70.516285917220941</v>
      </c>
      <c r="CL93">
        <f t="shared" si="56"/>
        <v>7.9491477305149889</v>
      </c>
      <c r="CM93">
        <f t="shared" si="57"/>
        <v>19.483714082779059</v>
      </c>
      <c r="CN93" s="153">
        <f t="shared" si="58"/>
        <v>7.4939503996922818</v>
      </c>
      <c r="CO93" s="153">
        <f t="shared" si="59"/>
        <v>2.6513500426204568</v>
      </c>
      <c r="CP93" s="39">
        <v>0.25</v>
      </c>
      <c r="CR93" s="39">
        <v>0.25</v>
      </c>
      <c r="CS93" s="38">
        <v>90</v>
      </c>
      <c r="CT93" s="38">
        <f t="shared" si="60"/>
        <v>11.152054967319165</v>
      </c>
      <c r="CU93" s="38">
        <f t="shared" si="61"/>
        <v>69.238766580276192</v>
      </c>
      <c r="CW93">
        <f t="shared" si="62"/>
        <v>7.8847945032680835</v>
      </c>
      <c r="CX93">
        <f t="shared" si="63"/>
        <v>20.761233419723808</v>
      </c>
      <c r="CY93" s="153">
        <f t="shared" si="64"/>
        <v>7.3728011230173927</v>
      </c>
      <c r="CZ93" s="153">
        <f t="shared" si="65"/>
        <v>2.7949575952418426</v>
      </c>
      <c r="DA93" s="39">
        <v>0.25</v>
      </c>
      <c r="DC93" s="39">
        <v>0.25</v>
      </c>
      <c r="DD93" s="38">
        <v>90</v>
      </c>
      <c r="DE93" s="38">
        <f t="shared" si="66"/>
        <v>-10.952670234464714</v>
      </c>
      <c r="DF93" s="38">
        <f t="shared" si="67"/>
        <v>110.36370911494541</v>
      </c>
      <c r="DH93">
        <f t="shared" si="68"/>
        <v>9</v>
      </c>
      <c r="DI93">
        <f t="shared" si="69"/>
        <v>-26.570868306911436</v>
      </c>
      <c r="DJ93" s="153">
        <f t="shared" si="70"/>
        <v>8.0494360349177878</v>
      </c>
      <c r="DK93" s="153">
        <f t="shared" si="71"/>
        <v>-4.0257396239407983</v>
      </c>
      <c r="DL93" s="39">
        <v>0.25</v>
      </c>
    </row>
    <row r="94" spans="1:116" x14ac:dyDescent="0.25">
      <c r="A94">
        <v>-0.2</v>
      </c>
      <c r="B94">
        <f t="shared" si="16"/>
        <v>8.9977775033615934</v>
      </c>
      <c r="C94">
        <f t="shared" si="17"/>
        <v>-8.9977775033615934</v>
      </c>
      <c r="D94">
        <f t="shared" si="20"/>
        <v>7.9974996092528823</v>
      </c>
      <c r="E94">
        <f t="shared" si="21"/>
        <v>-7.9974996092528823</v>
      </c>
      <c r="F94">
        <f t="shared" si="24"/>
        <v>6.9971422738143607</v>
      </c>
      <c r="G94">
        <f t="shared" si="25"/>
        <v>-6.9971422738143607</v>
      </c>
      <c r="H94">
        <f t="shared" si="8"/>
        <v>5.9966657402259802</v>
      </c>
      <c r="I94">
        <f t="shared" si="9"/>
        <v>-5.9966657402259802</v>
      </c>
      <c r="J94">
        <f t="shared" si="10"/>
        <v>4.9959983987187186</v>
      </c>
      <c r="K94">
        <f t="shared" si="11"/>
        <v>-4.9959983987187186</v>
      </c>
      <c r="L94">
        <f t="shared" si="12"/>
        <v>3.9949968710876358</v>
      </c>
      <c r="M94">
        <f t="shared" si="13"/>
        <v>-3.9949968710876358</v>
      </c>
      <c r="N94">
        <f t="shared" si="14"/>
        <v>2.9933259094191533</v>
      </c>
      <c r="O94">
        <f t="shared" si="15"/>
        <v>-2.9933259094191533</v>
      </c>
      <c r="P94">
        <f t="shared" si="18"/>
        <v>1.9899748742132399</v>
      </c>
      <c r="Q94">
        <f t="shared" si="19"/>
        <v>-1.9899748742132399</v>
      </c>
      <c r="R94">
        <f t="shared" si="22"/>
        <v>0.9797958971132712</v>
      </c>
      <c r="S94">
        <f t="shared" si="23"/>
        <v>-0.9797958971132712</v>
      </c>
      <c r="U94" s="153">
        <v>9</v>
      </c>
      <c r="V94" s="153">
        <v>80</v>
      </c>
      <c r="W94" s="153">
        <f t="shared" si="26"/>
        <v>1.5628335990023738</v>
      </c>
      <c r="X94" s="153">
        <f t="shared" si="27"/>
        <v>8.8632697771098723</v>
      </c>
      <c r="Y94" s="153">
        <v>9</v>
      </c>
      <c r="Z94" s="153">
        <v>260</v>
      </c>
      <c r="AA94" s="153">
        <f t="shared" si="28"/>
        <v>-1.562833599002373</v>
      </c>
      <c r="AB94" s="153">
        <f t="shared" si="29"/>
        <v>-8.8632697771098723</v>
      </c>
      <c r="AO94" s="39">
        <v>0.29166666666666702</v>
      </c>
      <c r="AP94" s="38">
        <v>75</v>
      </c>
      <c r="AQ94" s="38">
        <f t="shared" si="30"/>
        <v>3.9806023907424599</v>
      </c>
      <c r="AR94" s="38">
        <f t="shared" si="31"/>
        <v>112.5771078319798</v>
      </c>
      <c r="AT94">
        <f t="shared" si="32"/>
        <v>8.6019397609257542</v>
      </c>
      <c r="AU94">
        <f t="shared" si="33"/>
        <v>-22.577107831979802</v>
      </c>
      <c r="AV94" s="153">
        <f t="shared" si="34"/>
        <v>7.9427188060969565</v>
      </c>
      <c r="AW94" s="153">
        <f t="shared" si="35"/>
        <v>-3.3025120163095778</v>
      </c>
      <c r="AX94" s="39">
        <v>0.29166666666666702</v>
      </c>
      <c r="AZ94" s="39">
        <v>0.29166666666666702</v>
      </c>
      <c r="BA94" s="38">
        <v>75</v>
      </c>
      <c r="BB94" s="38">
        <f t="shared" si="36"/>
        <v>8.8424843209748119</v>
      </c>
      <c r="BC94" s="38">
        <f t="shared" si="37"/>
        <v>104.68802822282147</v>
      </c>
      <c r="BE94">
        <f t="shared" si="38"/>
        <v>8.1157515679025192</v>
      </c>
      <c r="BF94">
        <f t="shared" si="39"/>
        <v>-14.688028222821472</v>
      </c>
      <c r="BG94" s="153">
        <f t="shared" si="40"/>
        <v>7.8505349227251555</v>
      </c>
      <c r="BH94" s="153">
        <f t="shared" si="41"/>
        <v>-2.0577961364005248</v>
      </c>
      <c r="BI94" s="39">
        <v>0.29166666666666702</v>
      </c>
      <c r="BK94" s="39">
        <v>0.29166666666666702</v>
      </c>
      <c r="BL94" s="38">
        <v>75</v>
      </c>
      <c r="BM94" s="38">
        <f t="shared" si="42"/>
        <v>15.051271742006362</v>
      </c>
      <c r="BN94" s="38">
        <f t="shared" si="43"/>
        <v>93.815787356682009</v>
      </c>
      <c r="BP94">
        <f t="shared" si="44"/>
        <v>7.494872825799364</v>
      </c>
      <c r="BQ94">
        <f t="shared" si="45"/>
        <v>-3.8157873566820086</v>
      </c>
      <c r="BR94" s="153">
        <f t="shared" ref="BR94:BR112" si="72">+BP94*COS(RADIANS(BQ94))</f>
        <v>7.4782579609816162</v>
      </c>
      <c r="BS94" s="153">
        <f t="shared" ref="BS94:BS112" si="73">+BP94*SIN(RADIANS(BQ94))</f>
        <v>-0.49877504340216094</v>
      </c>
      <c r="BT94" s="39">
        <v>0.29166666666666702</v>
      </c>
      <c r="BV94" s="39">
        <v>0.29166666666666702</v>
      </c>
      <c r="BW94" s="38">
        <v>75</v>
      </c>
      <c r="BX94" s="38">
        <f t="shared" si="48"/>
        <v>20.094408212134532</v>
      </c>
      <c r="BY94" s="38">
        <f t="shared" si="49"/>
        <v>83.69300591455243</v>
      </c>
      <c r="CA94">
        <f t="shared" si="50"/>
        <v>6.9905591787865466</v>
      </c>
      <c r="CB94">
        <f t="shared" si="51"/>
        <v>6.3069940854475703</v>
      </c>
      <c r="CC94" s="153">
        <f t="shared" si="52"/>
        <v>6.9482491884736275</v>
      </c>
      <c r="CD94" s="153">
        <f t="shared" si="53"/>
        <v>0.76795237286723683</v>
      </c>
      <c r="CE94" s="39">
        <v>0.29166666666666702</v>
      </c>
      <c r="CG94" s="39">
        <v>0.29166666666666702</v>
      </c>
      <c r="CH94" s="38">
        <v>75</v>
      </c>
      <c r="CI94" s="38">
        <f t="shared" si="54"/>
        <v>23.081833865003894</v>
      </c>
      <c r="CJ94" s="38">
        <f t="shared" si="55"/>
        <v>76.718561537440678</v>
      </c>
      <c r="CL94">
        <f t="shared" si="56"/>
        <v>6.6918166134996104</v>
      </c>
      <c r="CM94">
        <f t="shared" si="57"/>
        <v>13.281438462559322</v>
      </c>
      <c r="CN94" s="153">
        <f t="shared" si="58"/>
        <v>6.5128329273581409</v>
      </c>
      <c r="CO94" s="153">
        <f t="shared" si="59"/>
        <v>1.5373408369743473</v>
      </c>
      <c r="CP94" s="39">
        <v>0.29166666666666702</v>
      </c>
      <c r="CR94" s="39">
        <v>0.29166666666666702</v>
      </c>
      <c r="CS94" s="38">
        <v>75</v>
      </c>
      <c r="CT94" s="38">
        <f t="shared" si="60"/>
        <v>23.63600454935963</v>
      </c>
      <c r="CU94" s="38">
        <f t="shared" si="61"/>
        <v>75.306075969479892</v>
      </c>
      <c r="CW94">
        <f t="shared" si="62"/>
        <v>6.6363995450640374</v>
      </c>
      <c r="CX94">
        <f t="shared" si="63"/>
        <v>14.693924030520108</v>
      </c>
      <c r="CY94" s="153">
        <f t="shared" si="64"/>
        <v>6.4193538234426155</v>
      </c>
      <c r="CZ94" s="153">
        <f t="shared" si="65"/>
        <v>1.6833583727711796</v>
      </c>
      <c r="DA94" s="39">
        <v>0.29166666666666702</v>
      </c>
      <c r="DC94" s="39">
        <v>0.29166666666666702</v>
      </c>
      <c r="DD94" s="38">
        <v>75</v>
      </c>
      <c r="DE94" s="38">
        <f t="shared" si="66"/>
        <v>1.0425877010819102</v>
      </c>
      <c r="DF94" s="38">
        <f t="shared" si="67"/>
        <v>117.22586297915178</v>
      </c>
      <c r="DH94">
        <f t="shared" si="68"/>
        <v>8.8957412298918097</v>
      </c>
      <c r="DI94">
        <f t="shared" si="69"/>
        <v>-27.225862979151785</v>
      </c>
      <c r="DJ94" s="153">
        <f t="shared" si="70"/>
        <v>7.9101816263441691</v>
      </c>
      <c r="DK94" s="153">
        <f t="shared" si="71"/>
        <v>-4.0697958999738741</v>
      </c>
      <c r="DL94" s="39">
        <v>0.29166666666666702</v>
      </c>
    </row>
    <row r="95" spans="1:116" x14ac:dyDescent="0.25">
      <c r="A95">
        <v>-0.3</v>
      </c>
      <c r="B95">
        <f t="shared" si="16"/>
        <v>8.9949986103389694</v>
      </c>
      <c r="C95">
        <f t="shared" si="17"/>
        <v>-8.9949986103389694</v>
      </c>
      <c r="D95">
        <f t="shared" si="20"/>
        <v>7.994373021069257</v>
      </c>
      <c r="E95">
        <f t="shared" si="21"/>
        <v>-7.994373021069257</v>
      </c>
      <c r="F95">
        <f t="shared" si="24"/>
        <v>6.9935684739623447</v>
      </c>
      <c r="G95">
        <f t="shared" si="25"/>
        <v>-6.9935684739623447</v>
      </c>
      <c r="H95">
        <f t="shared" si="8"/>
        <v>5.9924953066314535</v>
      </c>
      <c r="I95">
        <f t="shared" si="9"/>
        <v>-5.9924953066314535</v>
      </c>
      <c r="J95">
        <f t="shared" si="10"/>
        <v>4.9909918853871122</v>
      </c>
      <c r="K95">
        <f t="shared" si="11"/>
        <v>-4.9909918853871122</v>
      </c>
      <c r="L95">
        <f t="shared" si="12"/>
        <v>3.9887341350358261</v>
      </c>
      <c r="M95">
        <f t="shared" si="13"/>
        <v>-3.9887341350358261</v>
      </c>
      <c r="N95">
        <f t="shared" si="14"/>
        <v>2.98496231131986</v>
      </c>
      <c r="O95">
        <f t="shared" si="15"/>
        <v>-2.98496231131986</v>
      </c>
      <c r="P95">
        <f t="shared" si="18"/>
        <v>1.977371993328519</v>
      </c>
      <c r="Q95">
        <f t="shared" si="19"/>
        <v>-1.977371993328519</v>
      </c>
      <c r="R95">
        <f t="shared" si="22"/>
        <v>0.95393920141694566</v>
      </c>
      <c r="S95">
        <f t="shared" si="23"/>
        <v>-0.95393920141694566</v>
      </c>
      <c r="U95" s="153">
        <v>9</v>
      </c>
      <c r="V95" s="153">
        <v>90</v>
      </c>
      <c r="W95" s="153">
        <f t="shared" si="26"/>
        <v>5.51316804708879E-16</v>
      </c>
      <c r="X95" s="153">
        <f t="shared" si="27"/>
        <v>9</v>
      </c>
      <c r="Y95" s="153">
        <v>9</v>
      </c>
      <c r="Z95" s="153">
        <v>270</v>
      </c>
      <c r="AA95" s="153">
        <f t="shared" si="28"/>
        <v>-1.653950414126637E-15</v>
      </c>
      <c r="AB95" s="153">
        <f t="shared" si="29"/>
        <v>-9</v>
      </c>
      <c r="AO95" s="39">
        <v>0.33333333333333298</v>
      </c>
      <c r="AP95" s="38">
        <v>60</v>
      </c>
      <c r="AQ95" s="38">
        <f t="shared" si="30"/>
        <v>15.689450108647346</v>
      </c>
      <c r="AR95" s="38">
        <f t="shared" si="31"/>
        <v>120.92625519511847</v>
      </c>
      <c r="AT95">
        <f t="shared" si="32"/>
        <v>7.4310549891352657</v>
      </c>
      <c r="AU95">
        <f t="shared" si="33"/>
        <v>-30.926255195118472</v>
      </c>
      <c r="AV95" s="153">
        <f t="shared" si="34"/>
        <v>6.3745781167226729</v>
      </c>
      <c r="AW95" s="153">
        <f t="shared" si="35"/>
        <v>-3.819074768232817</v>
      </c>
      <c r="AX95" s="39">
        <v>0.33333333333333298</v>
      </c>
      <c r="AZ95" s="39">
        <v>0.33333333333333298</v>
      </c>
      <c r="BA95" s="38">
        <v>60</v>
      </c>
      <c r="BB95" s="38">
        <f t="shared" si="36"/>
        <v>21.241041758651765</v>
      </c>
      <c r="BC95" s="38">
        <f t="shared" si="37"/>
        <v>113.15708853016723</v>
      </c>
      <c r="BE95">
        <f t="shared" si="38"/>
        <v>6.8758958241348234</v>
      </c>
      <c r="BF95">
        <f t="shared" si="39"/>
        <v>-23.157088530167229</v>
      </c>
      <c r="BG95" s="153">
        <f t="shared" si="40"/>
        <v>6.3219057421889273</v>
      </c>
      <c r="BH95" s="153">
        <f t="shared" si="41"/>
        <v>-2.7039695211361687</v>
      </c>
      <c r="BI95" s="39">
        <v>0.33333333333333298</v>
      </c>
      <c r="BK95" s="39">
        <v>0.33333333333333298</v>
      </c>
      <c r="BL95" s="38">
        <v>60</v>
      </c>
      <c r="BM95" s="38">
        <f t="shared" si="42"/>
        <v>28.03064132064042</v>
      </c>
      <c r="BN95" s="38">
        <f t="shared" si="43"/>
        <v>101.84583698554694</v>
      </c>
      <c r="BP95">
        <f t="shared" si="44"/>
        <v>6.1969358679359576</v>
      </c>
      <c r="BQ95">
        <f t="shared" si="45"/>
        <v>-11.845836985546939</v>
      </c>
      <c r="BR95" s="153">
        <f t="shared" si="72"/>
        <v>6.0649626831945911</v>
      </c>
      <c r="BS95" s="153">
        <f t="shared" si="73"/>
        <v>-1.2721013335297824</v>
      </c>
      <c r="BT95" s="39">
        <v>0.33333333333333298</v>
      </c>
      <c r="BV95" s="39">
        <v>0.33333333333333298</v>
      </c>
      <c r="BW95" s="38">
        <v>60</v>
      </c>
      <c r="BX95" s="38">
        <f t="shared" si="48"/>
        <v>33.179114183303909</v>
      </c>
      <c r="BY95" s="38">
        <f t="shared" si="49"/>
        <v>90.692173646055892</v>
      </c>
      <c r="CA95">
        <f t="shared" si="50"/>
        <v>5.6820885816696087</v>
      </c>
      <c r="CB95">
        <f t="shared" si="51"/>
        <v>-0.69217364605589182</v>
      </c>
      <c r="CC95" s="153">
        <f t="shared" si="52"/>
        <v>5.681673954671612</v>
      </c>
      <c r="CD95" s="153">
        <f t="shared" si="53"/>
        <v>-6.8641989673889181E-2</v>
      </c>
      <c r="CE95" s="39">
        <v>0.33333333333333298</v>
      </c>
      <c r="CG95" s="39">
        <v>0.33333333333333298</v>
      </c>
      <c r="CH95" s="38">
        <v>60</v>
      </c>
      <c r="CI95" s="38">
        <f t="shared" si="54"/>
        <v>35.974200517974971</v>
      </c>
      <c r="CJ95" s="38">
        <f t="shared" si="55"/>
        <v>82.710211003016923</v>
      </c>
      <c r="CL95">
        <f t="shared" si="56"/>
        <v>5.4025799482025025</v>
      </c>
      <c r="CM95">
        <f t="shared" si="57"/>
        <v>7.2897889969830771</v>
      </c>
      <c r="CN95" s="153">
        <f t="shared" si="58"/>
        <v>5.3589112820436533</v>
      </c>
      <c r="CO95" s="153">
        <f t="shared" si="59"/>
        <v>0.68552167573681089</v>
      </c>
      <c r="CP95" s="39">
        <v>0.33333333333333298</v>
      </c>
      <c r="CR95" s="39">
        <v>0.33333333333333298</v>
      </c>
      <c r="CS95" s="38">
        <v>60</v>
      </c>
      <c r="CT95" s="38">
        <f t="shared" si="60"/>
        <v>36.462362723804389</v>
      </c>
      <c r="CU95" s="38">
        <f t="shared" si="61"/>
        <v>81.070349439875727</v>
      </c>
      <c r="CW95">
        <f t="shared" si="62"/>
        <v>5.3537637276195609</v>
      </c>
      <c r="CX95">
        <f t="shared" si="63"/>
        <v>8.9296505601242728</v>
      </c>
      <c r="CY95" s="153">
        <f t="shared" si="64"/>
        <v>5.2888743491714614</v>
      </c>
      <c r="CZ95" s="153">
        <f t="shared" si="65"/>
        <v>0.83101995755279379</v>
      </c>
      <c r="DA95" s="39">
        <v>0.33333333333333298</v>
      </c>
      <c r="DC95" s="39">
        <v>0.33333333333333298</v>
      </c>
      <c r="DD95" s="38">
        <v>60</v>
      </c>
      <c r="DE95" s="38">
        <f t="shared" si="66"/>
        <v>12.251377298592953</v>
      </c>
      <c r="DF95" s="38">
        <f t="shared" si="67"/>
        <v>125.34452095224731</v>
      </c>
      <c r="DH95">
        <f t="shared" si="68"/>
        <v>7.7748622701407051</v>
      </c>
      <c r="DI95">
        <f t="shared" si="69"/>
        <v>-35.344520952247308</v>
      </c>
      <c r="DJ95" s="153">
        <f t="shared" si="70"/>
        <v>6.3418643967501813</v>
      </c>
      <c r="DK95" s="153">
        <f t="shared" si="71"/>
        <v>-4.4976926632318861</v>
      </c>
      <c r="DL95" s="39">
        <v>0.33333333333333298</v>
      </c>
    </row>
    <row r="96" spans="1:116" x14ac:dyDescent="0.25">
      <c r="A96">
        <v>-0.4</v>
      </c>
      <c r="B96">
        <f t="shared" si="16"/>
        <v>8.9911067171956098</v>
      </c>
      <c r="C96">
        <f t="shared" si="17"/>
        <v>-8.9911067171956098</v>
      </c>
      <c r="D96">
        <f t="shared" si="20"/>
        <v>7.9899937421752716</v>
      </c>
      <c r="E96">
        <f t="shared" si="21"/>
        <v>-7.9899937421752716</v>
      </c>
      <c r="F96">
        <f t="shared" si="24"/>
        <v>6.9885620838624591</v>
      </c>
      <c r="G96">
        <f t="shared" si="25"/>
        <v>-6.9885620838624591</v>
      </c>
      <c r="H96">
        <f t="shared" ref="H96:H152" si="74">+SQRT(36-A96^2)</f>
        <v>5.9866518188383067</v>
      </c>
      <c r="I96">
        <f t="shared" ref="I96:I152" si="75">-H96</f>
        <v>-5.9866518188383067</v>
      </c>
      <c r="J96">
        <f t="shared" si="10"/>
        <v>4.9839743177508451</v>
      </c>
      <c r="K96">
        <f t="shared" si="11"/>
        <v>-4.9839743177508451</v>
      </c>
      <c r="L96">
        <f t="shared" si="12"/>
        <v>3.9799497484264799</v>
      </c>
      <c r="M96">
        <f t="shared" si="13"/>
        <v>-3.9799497484264799</v>
      </c>
      <c r="N96">
        <f t="shared" si="14"/>
        <v>2.9732137494637012</v>
      </c>
      <c r="O96">
        <f t="shared" si="15"/>
        <v>-2.9732137494637012</v>
      </c>
      <c r="P96">
        <f t="shared" si="18"/>
        <v>1.9595917942265424</v>
      </c>
      <c r="Q96">
        <f t="shared" si="19"/>
        <v>-1.9595917942265424</v>
      </c>
      <c r="R96">
        <f t="shared" si="22"/>
        <v>0.91651513899116799</v>
      </c>
      <c r="S96">
        <f t="shared" si="23"/>
        <v>-0.91651513899116799</v>
      </c>
      <c r="U96" s="153">
        <v>9</v>
      </c>
      <c r="V96" s="153">
        <v>100</v>
      </c>
      <c r="W96" s="153">
        <f t="shared" si="26"/>
        <v>-1.5628335990023727</v>
      </c>
      <c r="X96" s="153">
        <f t="shared" si="27"/>
        <v>8.8632697771098723</v>
      </c>
      <c r="Y96" s="153">
        <v>9</v>
      </c>
      <c r="Z96" s="153">
        <v>280</v>
      </c>
      <c r="AA96" s="153">
        <f t="shared" si="28"/>
        <v>1.5628335990023698</v>
      </c>
      <c r="AB96" s="153">
        <f t="shared" si="29"/>
        <v>-8.8632697771098741</v>
      </c>
      <c r="AO96" s="39">
        <v>0.375</v>
      </c>
      <c r="AP96" s="38">
        <v>45</v>
      </c>
      <c r="AQ96" s="38">
        <f t="shared" si="30"/>
        <v>26.297342212361595</v>
      </c>
      <c r="AR96" s="38">
        <f t="shared" si="31"/>
        <v>131.22199491730089</v>
      </c>
      <c r="AT96">
        <f t="shared" si="32"/>
        <v>6.3702657787638408</v>
      </c>
      <c r="AU96">
        <f t="shared" si="33"/>
        <v>-41.22199491730089</v>
      </c>
      <c r="AV96" s="153">
        <f t="shared" si="34"/>
        <v>4.7914718059899393</v>
      </c>
      <c r="AW96" s="153">
        <f t="shared" si="35"/>
        <v>-4.1978666039421961</v>
      </c>
      <c r="AX96" s="39">
        <v>0.375</v>
      </c>
      <c r="AZ96" s="39">
        <v>0.375</v>
      </c>
      <c r="BA96" s="38">
        <v>45</v>
      </c>
      <c r="BB96" s="38">
        <f t="shared" si="36"/>
        <v>32.778902474630826</v>
      </c>
      <c r="BC96" s="38">
        <f t="shared" si="37"/>
        <v>123.67138966374844</v>
      </c>
      <c r="BE96">
        <f t="shared" si="38"/>
        <v>5.7221097525369178</v>
      </c>
      <c r="BF96">
        <f t="shared" si="39"/>
        <v>-33.671389663748442</v>
      </c>
      <c r="BG96" s="153">
        <f t="shared" si="40"/>
        <v>4.7621175617680649</v>
      </c>
      <c r="BH96" s="153">
        <f t="shared" si="41"/>
        <v>-3.1725031675284874</v>
      </c>
      <c r="BI96" s="39">
        <v>0.375</v>
      </c>
      <c r="BK96" s="39">
        <v>0.375</v>
      </c>
      <c r="BL96" s="38">
        <v>45</v>
      </c>
      <c r="BM96" s="38">
        <f t="shared" si="42"/>
        <v>40.579187314260722</v>
      </c>
      <c r="BN96" s="38">
        <f t="shared" si="43"/>
        <v>111.76387408261022</v>
      </c>
      <c r="BP96">
        <f t="shared" si="44"/>
        <v>4.9420812685739275</v>
      </c>
      <c r="BQ96">
        <f t="shared" si="45"/>
        <v>-21.763874082610215</v>
      </c>
      <c r="BR96" s="153">
        <f t="shared" si="72"/>
        <v>4.5898087062962007</v>
      </c>
      <c r="BS96" s="153">
        <f t="shared" si="73"/>
        <v>-1.8324364394971171</v>
      </c>
      <c r="BT96" s="39">
        <v>0.375</v>
      </c>
      <c r="BV96" s="39">
        <v>0.375</v>
      </c>
      <c r="BW96" s="38">
        <v>45</v>
      </c>
      <c r="BX96" s="38">
        <f t="shared" si="48"/>
        <v>46.234000924702507</v>
      </c>
      <c r="BY96" s="38">
        <f t="shared" si="49"/>
        <v>98.931073312987834</v>
      </c>
      <c r="CA96">
        <f t="shared" si="50"/>
        <v>4.3765999075297497</v>
      </c>
      <c r="CB96">
        <f t="shared" si="51"/>
        <v>-8.9310733129878344</v>
      </c>
      <c r="CC96" s="153">
        <f t="shared" si="52"/>
        <v>4.3235372056031043</v>
      </c>
      <c r="CD96" s="153">
        <f t="shared" si="53"/>
        <v>-0.67945035312016167</v>
      </c>
      <c r="CE96" s="39">
        <v>0.375</v>
      </c>
      <c r="CG96" s="39">
        <v>0.375</v>
      </c>
      <c r="CH96" s="38">
        <v>45</v>
      </c>
      <c r="CI96" s="38">
        <f t="shared" si="54"/>
        <v>49.04228910837859</v>
      </c>
      <c r="CJ96" s="38">
        <f t="shared" si="55"/>
        <v>89.179775376606813</v>
      </c>
      <c r="CL96">
        <f t="shared" si="56"/>
        <v>4.0957710891621408</v>
      </c>
      <c r="CM96">
        <f t="shared" si="57"/>
        <v>0.82022462339318736</v>
      </c>
      <c r="CN96" s="153">
        <f t="shared" si="58"/>
        <v>4.0953514088422205</v>
      </c>
      <c r="CO96" s="153">
        <f t="shared" si="59"/>
        <v>5.8631501008162723E-2</v>
      </c>
      <c r="CP96" s="39">
        <v>0.375</v>
      </c>
      <c r="CR96" s="39">
        <v>0.375</v>
      </c>
      <c r="CS96" s="38">
        <v>45</v>
      </c>
      <c r="CT96" s="38">
        <f t="shared" si="60"/>
        <v>49.494624805188728</v>
      </c>
      <c r="CU96" s="38">
        <f t="shared" si="61"/>
        <v>87.132774729162193</v>
      </c>
      <c r="CW96">
        <f t="shared" si="62"/>
        <v>4.0505375194811268</v>
      </c>
      <c r="CX96">
        <f t="shared" si="63"/>
        <v>2.8672252708378068</v>
      </c>
      <c r="CY96" s="153">
        <f t="shared" si="64"/>
        <v>4.0454667905311457</v>
      </c>
      <c r="CZ96" s="153">
        <f t="shared" si="65"/>
        <v>0.20261451930685959</v>
      </c>
      <c r="DA96" s="39">
        <v>0.375</v>
      </c>
      <c r="DC96" s="39">
        <v>0.375</v>
      </c>
      <c r="DD96" s="38">
        <v>45</v>
      </c>
      <c r="DE96" s="38">
        <f t="shared" si="66"/>
        <v>22.259218825541542</v>
      </c>
      <c r="DF96" s="38">
        <f t="shared" si="67"/>
        <v>135.31204694577815</v>
      </c>
      <c r="DH96">
        <f t="shared" si="68"/>
        <v>6.7740781174458462</v>
      </c>
      <c r="DI96">
        <f t="shared" si="69"/>
        <v>-45.31204694577815</v>
      </c>
      <c r="DJ96" s="153">
        <f t="shared" si="70"/>
        <v>4.763838160119902</v>
      </c>
      <c r="DK96" s="153">
        <f t="shared" si="71"/>
        <v>-4.8160129075246552</v>
      </c>
      <c r="DL96" s="39">
        <v>0.375</v>
      </c>
    </row>
    <row r="97" spans="1:116" x14ac:dyDescent="0.25">
      <c r="A97">
        <v>-0.5</v>
      </c>
      <c r="B97">
        <f t="shared" si="16"/>
        <v>8.9861003778057142</v>
      </c>
      <c r="C97">
        <f t="shared" si="17"/>
        <v>-8.9861003778057142</v>
      </c>
      <c r="D97">
        <f t="shared" si="20"/>
        <v>7.9843597113356557</v>
      </c>
      <c r="E97">
        <f t="shared" si="21"/>
        <v>-7.9843597113356557</v>
      </c>
      <c r="F97">
        <f t="shared" si="24"/>
        <v>6.9821200218844703</v>
      </c>
      <c r="G97">
        <f t="shared" si="25"/>
        <v>-6.9821200218844703</v>
      </c>
      <c r="H97">
        <f t="shared" si="74"/>
        <v>5.9791303715506992</v>
      </c>
      <c r="I97">
        <f t="shared" si="75"/>
        <v>-5.9791303715506992</v>
      </c>
      <c r="J97">
        <f t="shared" si="10"/>
        <v>4.9749371855330997</v>
      </c>
      <c r="K97">
        <f t="shared" si="11"/>
        <v>-4.9749371855330997</v>
      </c>
      <c r="L97">
        <f t="shared" si="12"/>
        <v>3.9686269665968861</v>
      </c>
      <c r="M97">
        <f t="shared" si="13"/>
        <v>-3.9686269665968861</v>
      </c>
      <c r="N97">
        <f t="shared" si="14"/>
        <v>2.9580398915498081</v>
      </c>
      <c r="O97">
        <f t="shared" si="15"/>
        <v>-2.9580398915498081</v>
      </c>
      <c r="P97">
        <f t="shared" si="18"/>
        <v>1.9364916731037085</v>
      </c>
      <c r="Q97">
        <f t="shared" si="19"/>
        <v>-1.9364916731037085</v>
      </c>
      <c r="R97">
        <f t="shared" si="22"/>
        <v>0.8660254037844386</v>
      </c>
      <c r="S97">
        <f t="shared" si="23"/>
        <v>-0.8660254037844386</v>
      </c>
      <c r="U97" s="153">
        <v>9</v>
      </c>
      <c r="V97" s="153">
        <v>110</v>
      </c>
      <c r="W97" s="153">
        <f t="shared" si="26"/>
        <v>-3.0781812899310186</v>
      </c>
      <c r="X97" s="153">
        <f t="shared" si="27"/>
        <v>8.4572335870731763</v>
      </c>
      <c r="Y97" s="153">
        <v>9</v>
      </c>
      <c r="Z97" s="153">
        <v>290</v>
      </c>
      <c r="AA97" s="153">
        <f t="shared" si="28"/>
        <v>3.0781812899310208</v>
      </c>
      <c r="AB97" s="153">
        <f t="shared" si="29"/>
        <v>-8.4572335870731745</v>
      </c>
      <c r="AO97" s="39">
        <v>0.41666666666666602</v>
      </c>
      <c r="AP97" s="38">
        <v>30</v>
      </c>
      <c r="AQ97" s="38">
        <f t="shared" si="30"/>
        <v>35.132915612826856</v>
      </c>
      <c r="AR97" s="38">
        <f t="shared" si="31"/>
        <v>144.33588641082156</v>
      </c>
      <c r="AT97">
        <f t="shared" si="32"/>
        <v>5.4867084387173142</v>
      </c>
      <c r="AU97">
        <f t="shared" si="33"/>
        <v>-54.335886410821558</v>
      </c>
      <c r="AV97" s="153">
        <f t="shared" si="34"/>
        <v>3.1989291170115344</v>
      </c>
      <c r="AW97" s="153">
        <f t="shared" si="35"/>
        <v>-4.4576700187236371</v>
      </c>
      <c r="AX97" s="39">
        <v>0.41666666666666602</v>
      </c>
      <c r="AZ97" s="39">
        <v>0.41666666666666602</v>
      </c>
      <c r="BA97" s="38">
        <v>30</v>
      </c>
      <c r="BB97" s="38">
        <f t="shared" si="36"/>
        <v>42.752422426604682</v>
      </c>
      <c r="BC97" s="38">
        <f t="shared" si="37"/>
        <v>137.63858177436344</v>
      </c>
      <c r="BE97">
        <f t="shared" si="38"/>
        <v>4.7247577573395318</v>
      </c>
      <c r="BF97">
        <f t="shared" si="39"/>
        <v>-47.638581774363445</v>
      </c>
      <c r="BG97" s="153">
        <f t="shared" si="40"/>
        <v>3.1835652798692924</v>
      </c>
      <c r="BH97" s="153">
        <f t="shared" si="41"/>
        <v>-3.4911671364102341</v>
      </c>
      <c r="BI97" s="39">
        <v>0.41666666666666602</v>
      </c>
      <c r="BK97" s="39">
        <v>0.41666666666666602</v>
      </c>
      <c r="BL97" s="38">
        <v>30</v>
      </c>
      <c r="BM97" s="38">
        <f t="shared" si="42"/>
        <v>52.096153918797427</v>
      </c>
      <c r="BN97" s="38">
        <f t="shared" si="43"/>
        <v>125.71951693085082</v>
      </c>
      <c r="BP97">
        <f t="shared" si="44"/>
        <v>3.7903846081202577</v>
      </c>
      <c r="BQ97">
        <f t="shared" si="45"/>
        <v>-35.719516930850816</v>
      </c>
      <c r="BR97" s="153">
        <f t="shared" si="72"/>
        <v>3.077355290895408</v>
      </c>
      <c r="BS97" s="153">
        <f t="shared" si="73"/>
        <v>-2.2128940080973147</v>
      </c>
      <c r="BT97" s="39">
        <v>0.41666666666666602</v>
      </c>
      <c r="BV97" s="39">
        <v>0.41666666666666602</v>
      </c>
      <c r="BW97" s="38">
        <v>30</v>
      </c>
      <c r="BX97" s="38">
        <f t="shared" si="48"/>
        <v>58.913198956609463</v>
      </c>
      <c r="BY97" s="38">
        <f t="shared" si="49"/>
        <v>110.64261236918068</v>
      </c>
      <c r="CA97">
        <f t="shared" si="50"/>
        <v>3.1086801043390535</v>
      </c>
      <c r="CB97">
        <f t="shared" si="51"/>
        <v>-20.642612369180682</v>
      </c>
      <c r="CC97" s="153">
        <f t="shared" si="52"/>
        <v>2.9090953902894121</v>
      </c>
      <c r="CD97" s="153">
        <f t="shared" si="53"/>
        <v>-1.0959270054663139</v>
      </c>
      <c r="CE97" s="39">
        <v>0.41666666666666602</v>
      </c>
      <c r="CG97" s="39">
        <v>0.41666666666666602</v>
      </c>
      <c r="CH97" s="38">
        <v>30</v>
      </c>
      <c r="CI97" s="38">
        <f t="shared" si="54"/>
        <v>62.120147714715685</v>
      </c>
      <c r="CJ97" s="38">
        <f t="shared" si="55"/>
        <v>97.645217635946267</v>
      </c>
      <c r="CL97">
        <f t="shared" si="56"/>
        <v>2.7879852285284317</v>
      </c>
      <c r="CM97">
        <f t="shared" si="57"/>
        <v>-7.6452176359462669</v>
      </c>
      <c r="CN97" s="153">
        <f t="shared" si="58"/>
        <v>2.7632024243694069</v>
      </c>
      <c r="CO97" s="153">
        <f t="shared" si="59"/>
        <v>-0.37090968772972588</v>
      </c>
      <c r="CP97" s="39">
        <v>0.41666666666666602</v>
      </c>
      <c r="CR97" s="39">
        <v>0.41666666666666602</v>
      </c>
      <c r="CS97" s="38">
        <v>30</v>
      </c>
      <c r="CT97" s="38">
        <f t="shared" si="60"/>
        <v>62.593106094089499</v>
      </c>
      <c r="CU97" s="38">
        <f t="shared" si="61"/>
        <v>94.781580028246267</v>
      </c>
      <c r="CW97">
        <f t="shared" si="62"/>
        <v>2.7406893905910499</v>
      </c>
      <c r="CX97">
        <f t="shared" si="63"/>
        <v>-4.7815800282462675</v>
      </c>
      <c r="CY97" s="153">
        <f t="shared" si="64"/>
        <v>2.731150994716121</v>
      </c>
      <c r="CZ97" s="153">
        <f t="shared" si="65"/>
        <v>-0.22845695384356915</v>
      </c>
      <c r="DA97" s="39">
        <v>0.41666666666666602</v>
      </c>
      <c r="DC97" s="39">
        <v>0.41666666666666602</v>
      </c>
      <c r="DD97" s="38">
        <v>30</v>
      </c>
      <c r="DE97" s="38">
        <f t="shared" si="66"/>
        <v>30.439709654260056</v>
      </c>
      <c r="DF97" s="38">
        <f t="shared" si="67"/>
        <v>147.73819825211658</v>
      </c>
      <c r="DH97">
        <f t="shared" si="68"/>
        <v>5.9560290345739944</v>
      </c>
      <c r="DI97">
        <f t="shared" si="69"/>
        <v>-57.738198252116575</v>
      </c>
      <c r="DJ97" s="153">
        <f t="shared" si="70"/>
        <v>3.1792610376260351</v>
      </c>
      <c r="DK97" s="153">
        <f t="shared" si="71"/>
        <v>-5.036524706116456</v>
      </c>
      <c r="DL97" s="39">
        <v>0.41666666666666602</v>
      </c>
    </row>
    <row r="98" spans="1:116" x14ac:dyDescent="0.25">
      <c r="A98">
        <v>-0.6</v>
      </c>
      <c r="B98">
        <f t="shared" si="16"/>
        <v>8.9799777282574595</v>
      </c>
      <c r="C98">
        <f t="shared" si="17"/>
        <v>-8.9799777282574595</v>
      </c>
      <c r="D98">
        <f t="shared" si="20"/>
        <v>7.9774682700716522</v>
      </c>
      <c r="E98">
        <f t="shared" si="21"/>
        <v>-7.9774682700716522</v>
      </c>
      <c r="F98">
        <f t="shared" si="24"/>
        <v>6.9742383096650773</v>
      </c>
      <c r="G98">
        <f t="shared" si="25"/>
        <v>-6.9742383096650773</v>
      </c>
      <c r="H98">
        <f t="shared" si="74"/>
        <v>5.96992462263972</v>
      </c>
      <c r="I98">
        <f t="shared" si="75"/>
        <v>-5.96992462263972</v>
      </c>
      <c r="J98">
        <f t="shared" si="10"/>
        <v>4.963869458396343</v>
      </c>
      <c r="K98">
        <f t="shared" si="11"/>
        <v>-4.963869458396343</v>
      </c>
      <c r="L98">
        <f t="shared" si="12"/>
        <v>3.954743986657038</v>
      </c>
      <c r="M98">
        <f t="shared" si="13"/>
        <v>-3.954743986657038</v>
      </c>
      <c r="N98">
        <f t="shared" si="14"/>
        <v>2.9393876913398138</v>
      </c>
      <c r="O98">
        <f t="shared" si="15"/>
        <v>-2.9393876913398138</v>
      </c>
      <c r="P98">
        <f t="shared" si="18"/>
        <v>1.9078784028338913</v>
      </c>
      <c r="Q98">
        <f t="shared" si="19"/>
        <v>-1.9078784028338913</v>
      </c>
      <c r="R98">
        <f t="shared" si="22"/>
        <v>0.8</v>
      </c>
      <c r="S98">
        <f t="shared" si="23"/>
        <v>-0.8</v>
      </c>
      <c r="U98" s="153">
        <v>9</v>
      </c>
      <c r="V98" s="153">
        <v>120</v>
      </c>
      <c r="W98" s="153">
        <f t="shared" si="26"/>
        <v>-4.4999999999999982</v>
      </c>
      <c r="X98" s="153">
        <f t="shared" si="27"/>
        <v>7.794228634059948</v>
      </c>
      <c r="Y98" s="153">
        <v>9</v>
      </c>
      <c r="Z98" s="153">
        <v>300</v>
      </c>
      <c r="AA98" s="153">
        <f t="shared" si="28"/>
        <v>4.5000000000000009</v>
      </c>
      <c r="AB98" s="153">
        <f t="shared" si="29"/>
        <v>-7.7942286340599471</v>
      </c>
      <c r="AO98" s="39">
        <v>0.45833333333333298</v>
      </c>
      <c r="AP98" s="38">
        <v>15</v>
      </c>
      <c r="AQ98" s="38">
        <f t="shared" si="30"/>
        <v>41.203386965463082</v>
      </c>
      <c r="AR98" s="38">
        <f t="shared" si="31"/>
        <v>160.84947792309023</v>
      </c>
      <c r="AT98">
        <f t="shared" si="32"/>
        <v>4.879661303453692</v>
      </c>
      <c r="AU98">
        <f t="shared" si="33"/>
        <v>-70.849477923090234</v>
      </c>
      <c r="AV98" s="153">
        <f t="shared" si="34"/>
        <v>1.6007777970337362</v>
      </c>
      <c r="AW98" s="153">
        <f t="shared" si="35"/>
        <v>-4.6096209042552729</v>
      </c>
      <c r="AX98" s="39">
        <v>0.45833333333333298</v>
      </c>
      <c r="AZ98" s="39">
        <v>0.45833333333333298</v>
      </c>
      <c r="BA98" s="38">
        <v>15</v>
      </c>
      <c r="BB98" s="38">
        <f t="shared" si="36"/>
        <v>49.927090631227195</v>
      </c>
      <c r="BC98" s="38">
        <f t="shared" si="37"/>
        <v>156.55697888534539</v>
      </c>
      <c r="BE98">
        <f t="shared" si="38"/>
        <v>4.0072909368772809</v>
      </c>
      <c r="BF98">
        <f t="shared" si="39"/>
        <v>-66.556978885345387</v>
      </c>
      <c r="BG98" s="153">
        <f t="shared" si="40"/>
        <v>1.5942481393866368</v>
      </c>
      <c r="BH98" s="153">
        <f t="shared" si="41"/>
        <v>-3.6765137729703996</v>
      </c>
      <c r="BI98" s="39">
        <v>0.45833333333333298</v>
      </c>
      <c r="BK98" s="39">
        <v>0.45833333333333298</v>
      </c>
      <c r="BL98" s="38">
        <v>15</v>
      </c>
      <c r="BM98" s="38">
        <f t="shared" si="42"/>
        <v>61.179653601104718</v>
      </c>
      <c r="BN98" s="38">
        <f t="shared" si="43"/>
        <v>147.61688935411229</v>
      </c>
      <c r="BP98">
        <f t="shared" si="44"/>
        <v>2.882034639889528</v>
      </c>
      <c r="BQ98">
        <f t="shared" si="45"/>
        <v>-57.616889354112288</v>
      </c>
      <c r="BR98" s="153">
        <f t="shared" si="72"/>
        <v>1.5435540171470266</v>
      </c>
      <c r="BS98" s="153">
        <f t="shared" si="73"/>
        <v>-2.4338374353420646</v>
      </c>
      <c r="BT98" s="39">
        <v>0.45833333333333298</v>
      </c>
      <c r="BV98" s="39">
        <v>0.45833333333333298</v>
      </c>
      <c r="BW98" s="38">
        <v>15</v>
      </c>
      <c r="BX98" s="38">
        <f t="shared" si="48"/>
        <v>70.179120424793908</v>
      </c>
      <c r="BY98" s="38">
        <f t="shared" si="49"/>
        <v>132.47024428392857</v>
      </c>
      <c r="CA98">
        <f t="shared" si="50"/>
        <v>1.9820879575206094</v>
      </c>
      <c r="CB98">
        <f t="shared" si="51"/>
        <v>-42.470244283928565</v>
      </c>
      <c r="CC98" s="153">
        <f t="shared" si="52"/>
        <v>1.4620437645376918</v>
      </c>
      <c r="CD98" s="153">
        <f t="shared" si="53"/>
        <v>-1.3383201044311768</v>
      </c>
      <c r="CE98" s="39">
        <v>0.45833333333333298</v>
      </c>
      <c r="CG98" s="39">
        <v>0.45833333333333298</v>
      </c>
      <c r="CH98" s="38">
        <v>15</v>
      </c>
      <c r="CI98" s="38">
        <f t="shared" si="54"/>
        <v>74.765245687919915</v>
      </c>
      <c r="CJ98" s="38">
        <f t="shared" si="55"/>
        <v>114.0806639695666</v>
      </c>
      <c r="CL98">
        <f t="shared" si="56"/>
        <v>1.5234754312080083</v>
      </c>
      <c r="CM98">
        <f t="shared" si="57"/>
        <v>-24.080663969566601</v>
      </c>
      <c r="CN98" s="153">
        <f t="shared" si="58"/>
        <v>1.3908903010032683</v>
      </c>
      <c r="CO98" s="153">
        <f t="shared" si="59"/>
        <v>-0.62161206557584159</v>
      </c>
      <c r="CP98" s="39">
        <v>0.45833333333333298</v>
      </c>
      <c r="CR98" s="39">
        <v>0.45833333333333298</v>
      </c>
      <c r="CS98" s="38">
        <v>15</v>
      </c>
      <c r="CT98" s="38">
        <f t="shared" si="60"/>
        <v>75.433504705998018</v>
      </c>
      <c r="CU98" s="38">
        <f t="shared" si="61"/>
        <v>109.24906860936896</v>
      </c>
      <c r="CW98">
        <f t="shared" si="62"/>
        <v>1.456649529400198</v>
      </c>
      <c r="CX98">
        <f t="shared" si="63"/>
        <v>-19.249068609368962</v>
      </c>
      <c r="CY98" s="153">
        <f t="shared" si="64"/>
        <v>1.3752146338471711</v>
      </c>
      <c r="CZ98" s="153">
        <f t="shared" si="65"/>
        <v>-0.48022136807352639</v>
      </c>
      <c r="DA98" s="39">
        <v>0.45833333333333298</v>
      </c>
      <c r="DC98" s="39">
        <v>0.45833333333333298</v>
      </c>
      <c r="DD98" s="38">
        <v>15</v>
      </c>
      <c r="DE98" s="38">
        <f t="shared" si="66"/>
        <v>35.943781380086349</v>
      </c>
      <c r="DF98" s="38">
        <f t="shared" si="67"/>
        <v>162.88737099929463</v>
      </c>
      <c r="DH98">
        <f t="shared" si="68"/>
        <v>5.4056218619913654</v>
      </c>
      <c r="DI98">
        <f t="shared" si="69"/>
        <v>-72.887370999294632</v>
      </c>
      <c r="DJ98" s="153">
        <f t="shared" si="70"/>
        <v>1.5906095938181593</v>
      </c>
      <c r="DK98" s="153">
        <f t="shared" si="71"/>
        <v>-5.1663051434165812</v>
      </c>
      <c r="DL98" s="39">
        <v>0.45833333333333298</v>
      </c>
    </row>
    <row r="99" spans="1:116" x14ac:dyDescent="0.25">
      <c r="A99">
        <v>-0.7</v>
      </c>
      <c r="B99">
        <f t="shared" si="16"/>
        <v>8.9727364833700545</v>
      </c>
      <c r="C99">
        <f t="shared" si="17"/>
        <v>-8.9727364833700545</v>
      </c>
      <c r="D99">
        <f t="shared" si="20"/>
        <v>7.9693161563587118</v>
      </c>
      <c r="E99">
        <f t="shared" si="21"/>
        <v>-7.9693161563587118</v>
      </c>
      <c r="F99">
        <f t="shared" si="24"/>
        <v>6.9649120597463394</v>
      </c>
      <c r="G99">
        <f t="shared" si="25"/>
        <v>-6.9649120597463394</v>
      </c>
      <c r="H99">
        <f t="shared" si="74"/>
        <v>5.9590267661758327</v>
      </c>
      <c r="I99">
        <f t="shared" si="75"/>
        <v>-5.9590267661758327</v>
      </c>
      <c r="J99">
        <f t="shared" si="10"/>
        <v>4.9507575177946253</v>
      </c>
      <c r="K99">
        <f t="shared" si="11"/>
        <v>-4.9507575177946253</v>
      </c>
      <c r="L99">
        <f t="shared" si="12"/>
        <v>3.9382737335030433</v>
      </c>
      <c r="M99">
        <f t="shared" si="13"/>
        <v>-3.9382737335030433</v>
      </c>
      <c r="N99">
        <f t="shared" si="14"/>
        <v>2.9171904291629644</v>
      </c>
      <c r="O99">
        <f t="shared" si="15"/>
        <v>-2.9171904291629644</v>
      </c>
      <c r="P99">
        <f t="shared" si="18"/>
        <v>1.8734993995195195</v>
      </c>
      <c r="Q99">
        <f t="shared" si="19"/>
        <v>-1.8734993995195195</v>
      </c>
      <c r="R99">
        <f t="shared" si="22"/>
        <v>0.71414284285428498</v>
      </c>
      <c r="S99">
        <f t="shared" si="23"/>
        <v>-0.71414284285428498</v>
      </c>
      <c r="U99" s="153">
        <v>9</v>
      </c>
      <c r="V99" s="153">
        <v>130</v>
      </c>
      <c r="W99" s="153">
        <f t="shared" si="26"/>
        <v>-5.7850884871788546</v>
      </c>
      <c r="X99" s="153">
        <f t="shared" si="27"/>
        <v>6.894399988070802</v>
      </c>
      <c r="Y99" s="153">
        <v>9</v>
      </c>
      <c r="Z99" s="153">
        <v>310</v>
      </c>
      <c r="AA99" s="153">
        <f t="shared" si="28"/>
        <v>5.7850884871788537</v>
      </c>
      <c r="AB99" s="153">
        <f t="shared" si="29"/>
        <v>-6.8943999880708029</v>
      </c>
      <c r="AO99" s="39">
        <v>0.5</v>
      </c>
      <c r="AP99" s="38">
        <v>0</v>
      </c>
      <c r="AQ99" s="38">
        <f t="shared" si="30"/>
        <v>43.40350454351578</v>
      </c>
      <c r="AR99" s="38">
        <f>+IF(AR85&gt;=-19,180,0)</f>
        <v>180</v>
      </c>
      <c r="AT99">
        <f t="shared" si="32"/>
        <v>4.6596495456484224</v>
      </c>
      <c r="AU99">
        <f t="shared" si="33"/>
        <v>-90</v>
      </c>
      <c r="AV99" s="153">
        <f t="shared" si="34"/>
        <v>2.8543812206334089E-16</v>
      </c>
      <c r="AW99" s="153">
        <f t="shared" si="35"/>
        <v>-4.6596495456484224</v>
      </c>
      <c r="AX99" s="39">
        <v>0.5</v>
      </c>
      <c r="AZ99" s="39">
        <v>0.5</v>
      </c>
      <c r="BA99" s="38">
        <v>0</v>
      </c>
      <c r="BB99" s="38">
        <f t="shared" si="36"/>
        <v>52.626294934964093</v>
      </c>
      <c r="BC99" s="38">
        <f>+IF(BC85&gt;=-11,180,0)</f>
        <v>180</v>
      </c>
      <c r="BE99">
        <f t="shared" si="38"/>
        <v>3.7373705065035905</v>
      </c>
      <c r="BF99">
        <f t="shared" si="39"/>
        <v>-90</v>
      </c>
      <c r="BG99" s="153">
        <f t="shared" si="40"/>
        <v>2.2894168507319601E-16</v>
      </c>
      <c r="BH99" s="153">
        <f t="shared" si="41"/>
        <v>-3.7373705065035905</v>
      </c>
      <c r="BI99" s="39">
        <v>0.5</v>
      </c>
      <c r="BK99" s="39">
        <v>0.5</v>
      </c>
      <c r="BL99" s="38">
        <v>0</v>
      </c>
      <c r="BM99" s="38">
        <f t="shared" si="42"/>
        <v>64.936824231055681</v>
      </c>
      <c r="BN99" s="38">
        <f>+IF(BN85&gt;=0,180,0)</f>
        <v>180</v>
      </c>
      <c r="BP99">
        <f t="shared" si="44"/>
        <v>2.5063175768944319</v>
      </c>
      <c r="BQ99">
        <f t="shared" si="45"/>
        <v>-90</v>
      </c>
      <c r="BR99" s="153">
        <f t="shared" si="72"/>
        <v>1.5353055534212649E-16</v>
      </c>
      <c r="BS99" s="153">
        <f t="shared" si="73"/>
        <v>-2.5063175768944319</v>
      </c>
      <c r="BT99" s="39">
        <v>0.5</v>
      </c>
      <c r="BV99" s="39">
        <v>0.5</v>
      </c>
      <c r="BW99" s="38">
        <v>0</v>
      </c>
      <c r="BX99" s="38">
        <f t="shared" si="48"/>
        <v>75.820887455874669</v>
      </c>
      <c r="BY99" s="38">
        <f>IF(BY85&lt;12,0,180)</f>
        <v>180</v>
      </c>
      <c r="CA99">
        <f t="shared" si="50"/>
        <v>1.417911254412533</v>
      </c>
      <c r="CB99">
        <f t="shared" si="51"/>
        <v>-90</v>
      </c>
      <c r="CC99" s="153">
        <f t="shared" si="52"/>
        <v>8.6857589127052893E-17</v>
      </c>
      <c r="CD99" s="153">
        <f t="shared" si="53"/>
        <v>-1.417911254412533</v>
      </c>
      <c r="CE99" s="39">
        <v>0.5</v>
      </c>
      <c r="CG99" s="39">
        <v>0.5</v>
      </c>
      <c r="CH99" s="38">
        <v>0</v>
      </c>
      <c r="CI99" s="38">
        <f t="shared" si="54"/>
        <v>82.959624558737431</v>
      </c>
      <c r="CJ99" s="38">
        <f>IF(CJ85&lt;20,0,180)</f>
        <v>180</v>
      </c>
      <c r="CL99">
        <f t="shared" si="56"/>
        <v>0.70403754412625652</v>
      </c>
      <c r="CM99">
        <f t="shared" si="57"/>
        <v>-90</v>
      </c>
      <c r="CN99" s="153">
        <f t="shared" si="58"/>
        <v>4.312752546919713E-17</v>
      </c>
      <c r="CO99" s="153">
        <f t="shared" si="59"/>
        <v>-0.70403754412625652</v>
      </c>
      <c r="CP99" s="39">
        <v>0.5</v>
      </c>
      <c r="CR99" s="39">
        <v>0.5</v>
      </c>
      <c r="CS99" s="38">
        <v>0</v>
      </c>
      <c r="CT99" s="38">
        <f t="shared" si="60"/>
        <v>84.369782846813621</v>
      </c>
      <c r="CU99" s="38">
        <f>IF(CU85&lt;23.45,0,180)</f>
        <v>180</v>
      </c>
      <c r="CW99">
        <f t="shared" si="62"/>
        <v>0.56302171531863721</v>
      </c>
      <c r="CX99">
        <f t="shared" si="63"/>
        <v>-90</v>
      </c>
      <c r="CY99" s="153">
        <f t="shared" si="64"/>
        <v>3.4489259230131462E-17</v>
      </c>
      <c r="CZ99" s="153">
        <f t="shared" si="65"/>
        <v>-0.56302171531863721</v>
      </c>
      <c r="DA99" s="39">
        <v>0.5</v>
      </c>
      <c r="DC99" s="39">
        <v>0.5</v>
      </c>
      <c r="DD99" s="38">
        <v>0</v>
      </c>
      <c r="DE99" s="38">
        <f t="shared" si="66"/>
        <v>37.908363272130764</v>
      </c>
      <c r="DF99" s="38">
        <f>+IF(DF85&gt;=-23,180,0)</f>
        <v>180</v>
      </c>
      <c r="DH99">
        <f t="shared" si="68"/>
        <v>5.2091636727869233</v>
      </c>
      <c r="DI99">
        <f t="shared" si="69"/>
        <v>-90</v>
      </c>
      <c r="DJ99" s="153">
        <f t="shared" si="70"/>
        <v>3.1909994125405056E-16</v>
      </c>
      <c r="DK99" s="153">
        <f t="shared" si="71"/>
        <v>-5.2091636727869233</v>
      </c>
      <c r="DL99" s="39">
        <v>0.5</v>
      </c>
    </row>
    <row r="100" spans="1:116" x14ac:dyDescent="0.25">
      <c r="A100">
        <v>-0.8</v>
      </c>
      <c r="B100">
        <f t="shared" si="16"/>
        <v>8.964373932405989</v>
      </c>
      <c r="C100">
        <f t="shared" si="17"/>
        <v>-8.964373932405989</v>
      </c>
      <c r="D100">
        <f t="shared" si="20"/>
        <v>7.9598994968529597</v>
      </c>
      <c r="E100">
        <f t="shared" si="21"/>
        <v>-7.9598994968529597</v>
      </c>
      <c r="F100">
        <f t="shared" si="24"/>
        <v>6.9541354602854843</v>
      </c>
      <c r="G100">
        <f t="shared" si="25"/>
        <v>-6.9541354602854843</v>
      </c>
      <c r="H100">
        <f t="shared" si="74"/>
        <v>5.9464274989274024</v>
      </c>
      <c r="I100">
        <f t="shared" si="75"/>
        <v>-5.9464274989274024</v>
      </c>
      <c r="J100">
        <f t="shared" si="10"/>
        <v>4.935585071701226</v>
      </c>
      <c r="K100">
        <f t="shared" si="11"/>
        <v>-4.935585071701226</v>
      </c>
      <c r="L100">
        <f t="shared" si="12"/>
        <v>3.9191835884530848</v>
      </c>
      <c r="M100">
        <f t="shared" si="13"/>
        <v>-3.9191835884530848</v>
      </c>
      <c r="N100">
        <f t="shared" si="14"/>
        <v>2.8913664589601922</v>
      </c>
      <c r="O100">
        <f t="shared" si="15"/>
        <v>-2.8913664589601922</v>
      </c>
      <c r="P100">
        <f t="shared" si="18"/>
        <v>1.833030277982336</v>
      </c>
      <c r="Q100">
        <f t="shared" si="19"/>
        <v>-1.833030277982336</v>
      </c>
      <c r="R100">
        <f t="shared" si="22"/>
        <v>0.59999999999999987</v>
      </c>
      <c r="S100">
        <f t="shared" si="23"/>
        <v>-0.59999999999999987</v>
      </c>
      <c r="U100" s="153">
        <v>9</v>
      </c>
      <c r="V100" s="153">
        <v>140</v>
      </c>
      <c r="W100" s="153">
        <f t="shared" si="26"/>
        <v>-6.8943999880708011</v>
      </c>
      <c r="X100" s="153">
        <f t="shared" si="27"/>
        <v>5.7850884871788555</v>
      </c>
      <c r="Y100" s="153">
        <v>9</v>
      </c>
      <c r="Z100" s="153">
        <v>320</v>
      </c>
      <c r="AA100" s="153">
        <f t="shared" si="28"/>
        <v>6.8943999880708002</v>
      </c>
      <c r="AB100" s="153">
        <f t="shared" si="29"/>
        <v>-5.7850884871788564</v>
      </c>
      <c r="AO100" s="39">
        <v>0.54166666666666596</v>
      </c>
      <c r="AP100" s="38">
        <v>-15</v>
      </c>
      <c r="AQ100" s="38">
        <f t="shared" si="30"/>
        <v>41.203386965463082</v>
      </c>
      <c r="AR100" s="38">
        <f t="shared" ref="AR100:AR110" si="76">-(180-DEGREES(ACOS((((SIN(RADIANS(AQ100)))*SIN(RADIANS($AR$85)))-SIN(RADIANS($AQ$85)))/((COS(RADIANS(AQ100)))*COS(RADIANS($AR$85))))))</f>
        <v>-160.84947792309023</v>
      </c>
      <c r="AT100">
        <f t="shared" si="32"/>
        <v>4.879661303453692</v>
      </c>
      <c r="AU100">
        <f t="shared" ref="AU100:AU112" si="77">IF((9-(AQ100/10))&gt;9,90+(180-DEGREES(ACOS((((SIN(RADIANS(0)))*SIN(RADIANS($AR$85)))-SIN(RADIANS($AQ$85)))/((COS(RADIANS(0)))*COS(RADIANS($AR$85)))))),90-AR100)</f>
        <v>250.84947792309023</v>
      </c>
      <c r="AV100" s="153">
        <f t="shared" si="34"/>
        <v>-1.6007777970337347</v>
      </c>
      <c r="AW100" s="153">
        <f t="shared" si="35"/>
        <v>-4.6096209042552738</v>
      </c>
      <c r="AX100" s="39">
        <v>0.54166666666666596</v>
      </c>
      <c r="AZ100" s="39">
        <v>0.54166666666666596</v>
      </c>
      <c r="BA100" s="38">
        <v>-15</v>
      </c>
      <c r="BB100" s="38">
        <f t="shared" si="36"/>
        <v>49.927090631227195</v>
      </c>
      <c r="BC100" s="38">
        <f t="shared" ref="BC100:BC110" si="78">-(180-DEGREES(ACOS((((SIN(RADIANS(BB100)))*SIN(RADIANS($BC$85)))-SIN(RADIANS($BB$85)))/((COS(RADIANS(BB100)))*COS(RADIANS($BC$85))))))</f>
        <v>-156.55697888534539</v>
      </c>
      <c r="BE100">
        <f t="shared" si="38"/>
        <v>4.0072909368772809</v>
      </c>
      <c r="BF100">
        <f t="shared" ref="BF100:BF112" si="79">IF((9-(BB100/10))&gt;9,90+(180-DEGREES(ACOS((((SIN(RADIANS(0)))*SIN(RADIANS($BC$85)))-SIN(RADIANS($BB$85)))/((COS(RADIANS(0)))*COS(RADIANS($BC$85)))))),90-BC100)</f>
        <v>246.55697888534539</v>
      </c>
      <c r="BG100" s="153">
        <f t="shared" si="40"/>
        <v>-1.5942481393866366</v>
      </c>
      <c r="BH100" s="153">
        <f t="shared" si="41"/>
        <v>-3.6765137729703996</v>
      </c>
      <c r="BI100" s="39">
        <v>0.54166666666666596</v>
      </c>
      <c r="BK100" s="39">
        <v>0.54166666666666596</v>
      </c>
      <c r="BL100" s="38">
        <v>-15</v>
      </c>
      <c r="BM100" s="38">
        <f t="shared" si="42"/>
        <v>61.179653601104718</v>
      </c>
      <c r="BN100" s="38">
        <f t="shared" ref="BN100:BN110" si="80">-(180-DEGREES(ACOS((((SIN(RADIANS(BM100)))*SIN(RADIANS($BN$85)))-SIN(RADIANS($BM$85)))/((COS(RADIANS(BM100)))*COS(RADIANS($BN$85))))))</f>
        <v>-147.61688935411229</v>
      </c>
      <c r="BP100">
        <f t="shared" si="44"/>
        <v>2.882034639889528</v>
      </c>
      <c r="BQ100">
        <f t="shared" ref="BQ100:BQ112" si="81">IF((9-(BM100/10))&gt;9,90+(180-DEGREES(ACOS((((SIN(RADIANS(0)))*SIN(RADIANS($BN$85)))-SIN(RADIANS($BM$85)))/((COS(RADIANS(0)))*COS(RADIANS($BN$85)))))),90-BN100)</f>
        <v>237.61688935411229</v>
      </c>
      <c r="BR100" s="153">
        <f t="shared" si="72"/>
        <v>-1.5435540171470266</v>
      </c>
      <c r="BS100" s="153">
        <f t="shared" si="73"/>
        <v>-2.4338374353420642</v>
      </c>
      <c r="BT100" s="39">
        <v>0.54166666666666596</v>
      </c>
      <c r="BV100" s="39">
        <v>0.54166666666666596</v>
      </c>
      <c r="BW100" s="38">
        <v>-15</v>
      </c>
      <c r="BX100" s="38">
        <f t="shared" si="48"/>
        <v>70.179120424793908</v>
      </c>
      <c r="BY100" s="38">
        <f t="shared" ref="BY100:BY110" si="82">-(180-DEGREES(ACOS((((SIN(RADIANS(BX100)))*SIN(RADIANS($BY$85)))-SIN(RADIANS($BX$85)))/((COS(RADIANS(BX100)))*COS(RADIANS($BY$85))))))</f>
        <v>-132.47024428392857</v>
      </c>
      <c r="CA100">
        <f t="shared" si="50"/>
        <v>1.9820879575206094</v>
      </c>
      <c r="CB100">
        <f t="shared" ref="CB100:CB112" si="83">IF((9-(BX100/10))&gt;9,90+(180-DEGREES(ACOS((((SIN(RADIANS(0)))*SIN(RADIANS($BY$85)))-SIN(RADIANS($BX$85)))/((COS(RADIANS(0)))*COS(RADIANS($BY$85)))))),90-BY100)</f>
        <v>222.47024428392857</v>
      </c>
      <c r="CC100" s="153">
        <f t="shared" si="52"/>
        <v>-1.4620437645376916</v>
      </c>
      <c r="CD100" s="153">
        <f t="shared" si="53"/>
        <v>-1.338320104431177</v>
      </c>
      <c r="CE100" s="39">
        <v>0.54166666666666596</v>
      </c>
      <c r="CG100" s="39">
        <v>0.54166666666666596</v>
      </c>
      <c r="CH100" s="38">
        <v>-15</v>
      </c>
      <c r="CI100" s="38">
        <f t="shared" si="54"/>
        <v>74.765245687919915</v>
      </c>
      <c r="CJ100" s="38">
        <f t="shared" ref="CJ100:CJ110" si="84">-(180-DEGREES(ACOS((((SIN(RADIANS(CI100)))*SIN(RADIANS($CJ$85)))-SIN(RADIANS($CI$85)))/((COS(RADIANS(CI100)))*COS(RADIANS($CJ$85))))))</f>
        <v>-114.0806639695666</v>
      </c>
      <c r="CL100">
        <f t="shared" si="56"/>
        <v>1.5234754312080083</v>
      </c>
      <c r="CM100">
        <f t="shared" ref="CM100:CM112" si="85">IF((9-(CI100/10))&gt;9,90+(180-DEGREES(ACOS((((SIN(RADIANS(0)))*SIN(RADIANS($CJ$85)))-SIN(RADIANS($CI$85)))/((COS(RADIANS(0)))*COS(RADIANS($CJ$85)))))),90-CJ100)</f>
        <v>204.08066396956661</v>
      </c>
      <c r="CN100" s="153">
        <f t="shared" si="58"/>
        <v>-1.3908903010032683</v>
      </c>
      <c r="CO100" s="153">
        <f t="shared" si="59"/>
        <v>-0.62161206557584214</v>
      </c>
      <c r="CP100" s="39">
        <v>0.54166666666666596</v>
      </c>
      <c r="CR100" s="39">
        <v>0.54166666666666596</v>
      </c>
      <c r="CS100" s="38">
        <v>-15</v>
      </c>
      <c r="CT100" s="38">
        <f t="shared" si="60"/>
        <v>75.433504705998018</v>
      </c>
      <c r="CU100" s="38">
        <f t="shared" ref="CU100:CU110" si="86">-(180-DEGREES(ACOS((((SIN(RADIANS(CT100)))*SIN(RADIANS($CU$85)))-SIN(RADIANS($CT$85)))/((COS(RADIANS(CT100)))*COS(RADIANS($CU$85))))))</f>
        <v>-109.24906860936896</v>
      </c>
      <c r="CW100">
        <f t="shared" si="62"/>
        <v>1.456649529400198</v>
      </c>
      <c r="CX100">
        <f t="shared" ref="CX100:CX111" si="87">IF((9-(CT100/10))&gt;9,90+(180-DEGREES(ACOS((((SIN(RADIANS(0)))*SIN(RADIANS($CU$85)))-SIN(RADIANS($CT$85)))/((COS(RADIANS(0)))*COS(RADIANS($CU$85)))))),90-CU100)</f>
        <v>199.24906860936898</v>
      </c>
      <c r="CY100" s="153">
        <f t="shared" si="64"/>
        <v>-1.3752146338471709</v>
      </c>
      <c r="CZ100" s="153">
        <f t="shared" si="65"/>
        <v>-0.48022136807352689</v>
      </c>
      <c r="DA100" s="39">
        <v>0.54166666666666596</v>
      </c>
      <c r="DC100" s="39">
        <v>0.54166666666666596</v>
      </c>
      <c r="DD100" s="38">
        <v>-15</v>
      </c>
      <c r="DE100" s="38">
        <f t="shared" si="66"/>
        <v>35.943781380086349</v>
      </c>
      <c r="DF100" s="38">
        <f t="shared" ref="DF100:DF110" si="88">-(180-DEGREES(ACOS((((SIN(RADIANS(DE100)))*SIN(RADIANS($DF$85)))-SIN(RADIANS($DE$85)))/((COS(RADIANS(DE100)))*COS(RADIANS($DF$85))))))</f>
        <v>-162.88737099929463</v>
      </c>
      <c r="DH100">
        <f t="shared" si="68"/>
        <v>5.4056218619913654</v>
      </c>
      <c r="DI100">
        <f t="shared" ref="DI100:DI112" si="89">IF((9-(DE100/10))&gt;9,90+(180-DEGREES(ACOS((((SIN(RADIANS(0)))*SIN(RADIANS($DF$85)))-SIN(RADIANS($DE$85)))/((COS(RADIANS(0)))*COS(RADIANS($DF$85)))))),90-DF100)</f>
        <v>252.88737099929463</v>
      </c>
      <c r="DJ100" s="153">
        <f t="shared" si="70"/>
        <v>-1.5906095938181599</v>
      </c>
      <c r="DK100" s="153">
        <f t="shared" si="71"/>
        <v>-5.1663051434165812</v>
      </c>
      <c r="DL100" s="39">
        <v>0.54166666666666596</v>
      </c>
    </row>
    <row r="101" spans="1:116" x14ac:dyDescent="0.25">
      <c r="A101">
        <v>-0.9</v>
      </c>
      <c r="B101">
        <f t="shared" si="16"/>
        <v>8.95488693395958</v>
      </c>
      <c r="C101">
        <f t="shared" si="17"/>
        <v>-8.95488693395958</v>
      </c>
      <c r="D101">
        <f t="shared" si="20"/>
        <v>7.94921379760288</v>
      </c>
      <c r="E101">
        <f t="shared" si="21"/>
        <v>-7.94921379760288</v>
      </c>
      <c r="F101">
        <f t="shared" si="24"/>
        <v>6.9419017567234409</v>
      </c>
      <c r="G101">
        <f t="shared" si="25"/>
        <v>-6.9419017567234409</v>
      </c>
      <c r="H101">
        <f t="shared" si="74"/>
        <v>5.9321159799855563</v>
      </c>
      <c r="I101">
        <f t="shared" si="75"/>
        <v>-5.9321159799855563</v>
      </c>
      <c r="J101">
        <f t="shared" si="10"/>
        <v>4.9183330509431755</v>
      </c>
      <c r="K101">
        <f t="shared" si="11"/>
        <v>-4.9183330509431755</v>
      </c>
      <c r="L101">
        <f t="shared" si="12"/>
        <v>3.8974350539810154</v>
      </c>
      <c r="M101">
        <f t="shared" si="13"/>
        <v>-3.8974350539810154</v>
      </c>
      <c r="N101">
        <f t="shared" si="14"/>
        <v>2.8618176042508368</v>
      </c>
      <c r="O101">
        <f t="shared" si="15"/>
        <v>-2.8618176042508368</v>
      </c>
      <c r="P101">
        <f t="shared" si="18"/>
        <v>1.7860571099491751</v>
      </c>
      <c r="Q101">
        <f t="shared" si="19"/>
        <v>-1.7860571099491751</v>
      </c>
      <c r="R101">
        <f t="shared" si="22"/>
        <v>0.43588989435406728</v>
      </c>
      <c r="S101">
        <f t="shared" si="23"/>
        <v>-0.43588989435406728</v>
      </c>
      <c r="U101" s="153">
        <v>9</v>
      </c>
      <c r="V101" s="153">
        <v>150</v>
      </c>
      <c r="W101" s="153">
        <f t="shared" si="26"/>
        <v>-7.794228634059948</v>
      </c>
      <c r="X101" s="153">
        <f t="shared" si="27"/>
        <v>4.4999999999999991</v>
      </c>
      <c r="Y101" s="153">
        <v>9</v>
      </c>
      <c r="Z101" s="153">
        <v>330</v>
      </c>
      <c r="AA101" s="153">
        <f t="shared" si="28"/>
        <v>7.7942286340599454</v>
      </c>
      <c r="AB101" s="153">
        <f t="shared" si="29"/>
        <v>-4.5000000000000036</v>
      </c>
      <c r="AO101" s="39">
        <v>0.58333333333333304</v>
      </c>
      <c r="AP101" s="38">
        <v>-30</v>
      </c>
      <c r="AQ101" s="38">
        <f t="shared" si="30"/>
        <v>35.132915612826856</v>
      </c>
      <c r="AR101" s="38">
        <f t="shared" si="76"/>
        <v>-144.33588641082156</v>
      </c>
      <c r="AT101">
        <f t="shared" si="32"/>
        <v>5.4867084387173142</v>
      </c>
      <c r="AU101">
        <f t="shared" si="77"/>
        <v>234.33588641082156</v>
      </c>
      <c r="AV101" s="153">
        <f t="shared" si="34"/>
        <v>-3.1989291170115348</v>
      </c>
      <c r="AW101" s="153">
        <f t="shared" si="35"/>
        <v>-4.4576700187236371</v>
      </c>
      <c r="AX101" s="39">
        <v>0.58333333333333304</v>
      </c>
      <c r="AZ101" s="39">
        <v>0.58333333333333304</v>
      </c>
      <c r="BA101" s="38">
        <v>-30</v>
      </c>
      <c r="BB101" s="38">
        <f t="shared" si="36"/>
        <v>42.752422426604682</v>
      </c>
      <c r="BC101" s="38">
        <f t="shared" si="78"/>
        <v>-137.63858177436344</v>
      </c>
      <c r="BE101">
        <f t="shared" si="38"/>
        <v>4.7247577573395318</v>
      </c>
      <c r="BF101">
        <f t="shared" si="79"/>
        <v>227.63858177436344</v>
      </c>
      <c r="BG101" s="153">
        <f t="shared" si="40"/>
        <v>-3.1835652798692937</v>
      </c>
      <c r="BH101" s="153">
        <f t="shared" si="41"/>
        <v>-3.4911671364102332</v>
      </c>
      <c r="BI101" s="39">
        <v>0.58333333333333304</v>
      </c>
      <c r="BK101" s="39">
        <v>0.58333333333333304</v>
      </c>
      <c r="BL101" s="38">
        <v>-30</v>
      </c>
      <c r="BM101" s="38">
        <f t="shared" si="42"/>
        <v>52.096153918797427</v>
      </c>
      <c r="BN101" s="38">
        <f t="shared" si="80"/>
        <v>-125.71951693085082</v>
      </c>
      <c r="BP101">
        <f t="shared" si="44"/>
        <v>3.7903846081202577</v>
      </c>
      <c r="BQ101">
        <f t="shared" si="81"/>
        <v>215.71951693085083</v>
      </c>
      <c r="BR101" s="153">
        <f t="shared" si="72"/>
        <v>-3.0773552908954072</v>
      </c>
      <c r="BS101" s="153">
        <f t="shared" si="73"/>
        <v>-2.2128940080973156</v>
      </c>
      <c r="BT101" s="39">
        <v>0.58333333333333304</v>
      </c>
      <c r="BV101" s="39">
        <v>0.58333333333333304</v>
      </c>
      <c r="BW101" s="38">
        <v>-30</v>
      </c>
      <c r="BX101" s="38">
        <f t="shared" si="48"/>
        <v>58.913198956609463</v>
      </c>
      <c r="BY101" s="38">
        <f t="shared" si="82"/>
        <v>-110.64261236918068</v>
      </c>
      <c r="CA101">
        <f t="shared" si="50"/>
        <v>3.1086801043390535</v>
      </c>
      <c r="CB101">
        <f t="shared" si="83"/>
        <v>200.64261236918068</v>
      </c>
      <c r="CC101" s="153">
        <f t="shared" si="52"/>
        <v>-2.9090953902894121</v>
      </c>
      <c r="CD101" s="153">
        <f t="shared" si="53"/>
        <v>-1.0959270054663137</v>
      </c>
      <c r="CE101" s="39">
        <v>0.58333333333333304</v>
      </c>
      <c r="CG101" s="39">
        <v>0.58333333333333304</v>
      </c>
      <c r="CH101" s="38">
        <v>-30</v>
      </c>
      <c r="CI101" s="38">
        <f t="shared" si="54"/>
        <v>62.120147714715685</v>
      </c>
      <c r="CJ101" s="38">
        <f t="shared" si="84"/>
        <v>-97.645217635946267</v>
      </c>
      <c r="CL101">
        <f t="shared" si="56"/>
        <v>2.7879852285284317</v>
      </c>
      <c r="CM101">
        <f t="shared" si="85"/>
        <v>187.64521763594627</v>
      </c>
      <c r="CN101" s="153">
        <f t="shared" si="58"/>
        <v>-2.7632024243694073</v>
      </c>
      <c r="CO101" s="153">
        <f t="shared" si="59"/>
        <v>-0.37090968772972527</v>
      </c>
      <c r="CP101" s="39">
        <v>0.58333333333333304</v>
      </c>
      <c r="CR101" s="39">
        <v>0.58333333333333304</v>
      </c>
      <c r="CS101" s="38">
        <v>-30</v>
      </c>
      <c r="CT101" s="38">
        <f t="shared" si="60"/>
        <v>62.593106094089499</v>
      </c>
      <c r="CU101" s="38">
        <f t="shared" si="86"/>
        <v>-94.781580028246267</v>
      </c>
      <c r="CW101">
        <f t="shared" si="62"/>
        <v>2.7406893905910499</v>
      </c>
      <c r="CX101">
        <f t="shared" si="87"/>
        <v>184.78158002824625</v>
      </c>
      <c r="CY101" s="153">
        <f t="shared" si="64"/>
        <v>-2.731150994716121</v>
      </c>
      <c r="CZ101" s="153">
        <f t="shared" si="65"/>
        <v>-0.22845695384356787</v>
      </c>
      <c r="DA101" s="39">
        <v>0.58333333333333304</v>
      </c>
      <c r="DC101" s="39">
        <v>0.58333333333333304</v>
      </c>
      <c r="DD101" s="38">
        <v>-30</v>
      </c>
      <c r="DE101" s="38">
        <f t="shared" si="66"/>
        <v>30.439709654260056</v>
      </c>
      <c r="DF101" s="38">
        <f t="shared" si="88"/>
        <v>-147.73819825211658</v>
      </c>
      <c r="DH101">
        <f t="shared" si="68"/>
        <v>5.9560290345739944</v>
      </c>
      <c r="DI101">
        <f t="shared" si="89"/>
        <v>237.73819825211658</v>
      </c>
      <c r="DJ101" s="153">
        <f t="shared" si="70"/>
        <v>-3.1792610376260346</v>
      </c>
      <c r="DK101" s="153">
        <f t="shared" si="71"/>
        <v>-5.0365247061164569</v>
      </c>
      <c r="DL101" s="39">
        <v>0.58333333333333304</v>
      </c>
    </row>
    <row r="102" spans="1:116" x14ac:dyDescent="0.25">
      <c r="A102">
        <v>-1</v>
      </c>
      <c r="B102">
        <f t="shared" si="16"/>
        <v>8.9442719099991592</v>
      </c>
      <c r="C102">
        <f t="shared" si="17"/>
        <v>-8.9442719099991592</v>
      </c>
      <c r="D102">
        <f t="shared" si="20"/>
        <v>7.9372539331937721</v>
      </c>
      <c r="E102">
        <f t="shared" si="21"/>
        <v>-7.9372539331937721</v>
      </c>
      <c r="F102">
        <f t="shared" si="24"/>
        <v>6.9282032302755088</v>
      </c>
      <c r="G102">
        <f t="shared" si="25"/>
        <v>-6.9282032302755088</v>
      </c>
      <c r="H102">
        <f t="shared" si="74"/>
        <v>5.9160797830996161</v>
      </c>
      <c r="I102">
        <f t="shared" si="75"/>
        <v>-5.9160797830996161</v>
      </c>
      <c r="J102">
        <f t="shared" si="10"/>
        <v>4.8989794855663558</v>
      </c>
      <c r="K102">
        <f t="shared" si="11"/>
        <v>-4.8989794855663558</v>
      </c>
      <c r="L102">
        <f t="shared" si="12"/>
        <v>3.872983346207417</v>
      </c>
      <c r="M102">
        <f t="shared" si="13"/>
        <v>-3.872983346207417</v>
      </c>
      <c r="N102">
        <f t="shared" si="14"/>
        <v>2.8284271247461903</v>
      </c>
      <c r="O102">
        <f t="shared" si="15"/>
        <v>-2.8284271247461903</v>
      </c>
      <c r="P102">
        <f t="shared" si="18"/>
        <v>1.7320508075688772</v>
      </c>
      <c r="Q102">
        <f t="shared" si="19"/>
        <v>-1.7320508075688772</v>
      </c>
      <c r="R102">
        <f t="shared" si="22"/>
        <v>0</v>
      </c>
      <c r="S102">
        <f t="shared" si="23"/>
        <v>0</v>
      </c>
      <c r="U102" s="153">
        <v>9</v>
      </c>
      <c r="V102" s="153">
        <v>160</v>
      </c>
      <c r="W102" s="153">
        <f t="shared" si="26"/>
        <v>-8.4572335870731745</v>
      </c>
      <c r="X102" s="153">
        <f t="shared" si="27"/>
        <v>3.0781812899310199</v>
      </c>
      <c r="Y102" s="153">
        <v>9</v>
      </c>
      <c r="Z102" s="153">
        <v>340</v>
      </c>
      <c r="AA102" s="153">
        <f t="shared" si="28"/>
        <v>8.4572335870731763</v>
      </c>
      <c r="AB102" s="153">
        <f t="shared" si="29"/>
        <v>-3.0781812899310173</v>
      </c>
      <c r="AO102" s="39">
        <v>0.625</v>
      </c>
      <c r="AP102" s="38">
        <v>-45</v>
      </c>
      <c r="AQ102" s="38">
        <f t="shared" si="30"/>
        <v>26.297342212361595</v>
      </c>
      <c r="AR102" s="38">
        <f t="shared" si="76"/>
        <v>-131.22199491730089</v>
      </c>
      <c r="AT102">
        <f t="shared" si="32"/>
        <v>6.3702657787638408</v>
      </c>
      <c r="AU102">
        <f t="shared" si="77"/>
        <v>221.22199491730089</v>
      </c>
      <c r="AV102" s="153">
        <f t="shared" si="34"/>
        <v>-4.7914718059899393</v>
      </c>
      <c r="AW102" s="153">
        <f t="shared" si="35"/>
        <v>-4.197866603942197</v>
      </c>
      <c r="AX102" s="39">
        <v>0.625</v>
      </c>
      <c r="AZ102" s="39">
        <v>0.625</v>
      </c>
      <c r="BA102" s="38">
        <v>-45</v>
      </c>
      <c r="BB102" s="38">
        <f t="shared" si="36"/>
        <v>32.778902474630826</v>
      </c>
      <c r="BC102" s="38">
        <f t="shared" si="78"/>
        <v>-123.67138966374844</v>
      </c>
      <c r="BE102">
        <f t="shared" si="38"/>
        <v>5.7221097525369178</v>
      </c>
      <c r="BF102">
        <f t="shared" si="79"/>
        <v>213.67138966374844</v>
      </c>
      <c r="BG102" s="153">
        <f t="shared" si="40"/>
        <v>-4.7621175617680658</v>
      </c>
      <c r="BH102" s="153">
        <f t="shared" si="41"/>
        <v>-3.1725031675284869</v>
      </c>
      <c r="BI102" s="39">
        <v>0.625</v>
      </c>
      <c r="BK102" s="39">
        <v>0.625</v>
      </c>
      <c r="BL102" s="38">
        <v>-45</v>
      </c>
      <c r="BM102" s="38">
        <f t="shared" si="42"/>
        <v>40.579187314260722</v>
      </c>
      <c r="BN102" s="38">
        <f t="shared" si="80"/>
        <v>-111.76387408261022</v>
      </c>
      <c r="BP102">
        <f t="shared" si="44"/>
        <v>4.9420812685739275</v>
      </c>
      <c r="BQ102">
        <f t="shared" si="81"/>
        <v>201.76387408261022</v>
      </c>
      <c r="BR102" s="153">
        <f t="shared" si="72"/>
        <v>-4.5898087062962007</v>
      </c>
      <c r="BS102" s="153">
        <f t="shared" si="73"/>
        <v>-1.8324364394971171</v>
      </c>
      <c r="BT102" s="39">
        <v>0.625</v>
      </c>
      <c r="BV102" s="39">
        <v>0.625</v>
      </c>
      <c r="BW102" s="38">
        <v>-45</v>
      </c>
      <c r="BX102" s="38">
        <f t="shared" si="48"/>
        <v>46.234000924702507</v>
      </c>
      <c r="BY102" s="38">
        <f t="shared" si="82"/>
        <v>-98.931073312987834</v>
      </c>
      <c r="CA102">
        <f t="shared" si="50"/>
        <v>4.3765999075297497</v>
      </c>
      <c r="CB102">
        <f t="shared" si="83"/>
        <v>188.93107331298785</v>
      </c>
      <c r="CC102" s="153">
        <f t="shared" si="52"/>
        <v>-4.3235372056031043</v>
      </c>
      <c r="CD102" s="153">
        <f t="shared" si="53"/>
        <v>-0.67945035312016244</v>
      </c>
      <c r="CE102" s="39">
        <v>0.625</v>
      </c>
      <c r="CG102" s="39">
        <v>0.625</v>
      </c>
      <c r="CH102" s="38">
        <v>-45</v>
      </c>
      <c r="CI102" s="38">
        <f t="shared" si="54"/>
        <v>49.04228910837859</v>
      </c>
      <c r="CJ102" s="38">
        <f t="shared" si="84"/>
        <v>-89.179775376606813</v>
      </c>
      <c r="CL102">
        <f t="shared" si="56"/>
        <v>4.0957710891621408</v>
      </c>
      <c r="CM102">
        <f t="shared" si="85"/>
        <v>179.17977537660681</v>
      </c>
      <c r="CN102" s="153">
        <f t="shared" si="58"/>
        <v>-4.0953514088422205</v>
      </c>
      <c r="CO102" s="153">
        <f t="shared" si="59"/>
        <v>5.8631501008163472E-2</v>
      </c>
      <c r="CP102" s="39">
        <v>0.625</v>
      </c>
      <c r="CR102" s="39">
        <v>0.625</v>
      </c>
      <c r="CS102" s="38">
        <v>-45</v>
      </c>
      <c r="CT102" s="38">
        <f t="shared" si="60"/>
        <v>49.494624805188728</v>
      </c>
      <c r="CU102" s="38">
        <f t="shared" si="86"/>
        <v>-87.132774729162193</v>
      </c>
      <c r="CW102">
        <f t="shared" si="62"/>
        <v>4.0505375194811268</v>
      </c>
      <c r="CX102">
        <f t="shared" si="87"/>
        <v>177.13277472916218</v>
      </c>
      <c r="CY102" s="153">
        <f t="shared" si="64"/>
        <v>-4.0454667905311457</v>
      </c>
      <c r="CZ102" s="153">
        <f t="shared" si="65"/>
        <v>0.20261451930686047</v>
      </c>
      <c r="DA102" s="39">
        <v>0.625</v>
      </c>
      <c r="DC102" s="39">
        <v>0.625</v>
      </c>
      <c r="DD102" s="38">
        <v>-45</v>
      </c>
      <c r="DE102" s="38">
        <f t="shared" si="66"/>
        <v>22.259218825541542</v>
      </c>
      <c r="DF102" s="38">
        <f t="shared" si="88"/>
        <v>-135.31204694577815</v>
      </c>
      <c r="DH102">
        <f t="shared" si="68"/>
        <v>6.7740781174458462</v>
      </c>
      <c r="DI102">
        <f t="shared" si="89"/>
        <v>225.31204694577815</v>
      </c>
      <c r="DJ102" s="153">
        <f t="shared" si="70"/>
        <v>-4.7638381601199011</v>
      </c>
      <c r="DK102" s="153">
        <f t="shared" si="71"/>
        <v>-4.8160129075246561</v>
      </c>
      <c r="DL102" s="39">
        <v>0.625</v>
      </c>
    </row>
    <row r="103" spans="1:116" x14ac:dyDescent="0.25">
      <c r="A103">
        <v>-1.1000000000000001</v>
      </c>
      <c r="B103">
        <f t="shared" si="16"/>
        <v>8.9325248390362741</v>
      </c>
      <c r="C103">
        <f t="shared" si="17"/>
        <v>-8.9325248390362741</v>
      </c>
      <c r="D103">
        <f t="shared" si="20"/>
        <v>7.9240141342630128</v>
      </c>
      <c r="E103">
        <f t="shared" si="21"/>
        <v>-7.9240141342630128</v>
      </c>
      <c r="F103">
        <f t="shared" si="24"/>
        <v>6.9130311730817473</v>
      </c>
      <c r="G103">
        <f t="shared" si="25"/>
        <v>-6.9130311730817473</v>
      </c>
      <c r="H103">
        <f t="shared" si="74"/>
        <v>5.8983048412234513</v>
      </c>
      <c r="I103">
        <f t="shared" si="75"/>
        <v>-5.8983048412234513</v>
      </c>
      <c r="J103">
        <f t="shared" si="10"/>
        <v>4.8774993593028793</v>
      </c>
      <c r="K103">
        <f t="shared" si="11"/>
        <v>-4.8774993593028793</v>
      </c>
      <c r="L103">
        <f t="shared" si="12"/>
        <v>3.8457769046058821</v>
      </c>
      <c r="M103">
        <f t="shared" si="13"/>
        <v>-3.8457769046058821</v>
      </c>
      <c r="N103">
        <f t="shared" si="14"/>
        <v>2.7910571473905725</v>
      </c>
      <c r="O103">
        <f t="shared" si="15"/>
        <v>-2.7910571473905725</v>
      </c>
      <c r="P103">
        <f t="shared" si="18"/>
        <v>1.6703293088490065</v>
      </c>
      <c r="Q103">
        <f t="shared" si="19"/>
        <v>-1.6703293088490065</v>
      </c>
      <c r="U103" s="153">
        <v>9</v>
      </c>
      <c r="V103" s="153">
        <v>170</v>
      </c>
      <c r="W103" s="153">
        <f t="shared" si="26"/>
        <v>-8.8632697771098723</v>
      </c>
      <c r="X103" s="153">
        <f t="shared" si="27"/>
        <v>1.5628335990023725</v>
      </c>
      <c r="Y103" s="153">
        <v>9</v>
      </c>
      <c r="Z103" s="153">
        <v>350</v>
      </c>
      <c r="AA103" s="153">
        <f t="shared" si="28"/>
        <v>8.8632697771098723</v>
      </c>
      <c r="AB103" s="153">
        <f t="shared" si="29"/>
        <v>-1.5628335990023734</v>
      </c>
      <c r="AO103" s="39">
        <v>0.66666666666666596</v>
      </c>
      <c r="AP103" s="38">
        <v>-60</v>
      </c>
      <c r="AQ103" s="38">
        <f t="shared" si="30"/>
        <v>15.689450108647346</v>
      </c>
      <c r="AR103" s="38">
        <f t="shared" si="76"/>
        <v>-120.92625519511847</v>
      </c>
      <c r="AT103">
        <f t="shared" si="32"/>
        <v>7.4310549891352657</v>
      </c>
      <c r="AU103">
        <f t="shared" si="77"/>
        <v>210.92625519511847</v>
      </c>
      <c r="AV103" s="153">
        <f t="shared" si="34"/>
        <v>-6.3745781167226738</v>
      </c>
      <c r="AW103" s="153">
        <f t="shared" si="35"/>
        <v>-3.8190747682328157</v>
      </c>
      <c r="AX103" s="39">
        <v>0.66666666666666596</v>
      </c>
      <c r="AZ103" s="39">
        <v>0.66666666666666596</v>
      </c>
      <c r="BA103" s="38">
        <v>-60</v>
      </c>
      <c r="BB103" s="38">
        <f t="shared" si="36"/>
        <v>21.241041758651765</v>
      </c>
      <c r="BC103" s="38">
        <f t="shared" si="78"/>
        <v>-113.15708853016723</v>
      </c>
      <c r="BE103">
        <f t="shared" si="38"/>
        <v>6.8758958241348234</v>
      </c>
      <c r="BF103">
        <f t="shared" si="79"/>
        <v>203.15708853016724</v>
      </c>
      <c r="BG103" s="153">
        <f t="shared" si="40"/>
        <v>-6.3219057421889273</v>
      </c>
      <c r="BH103" s="153">
        <f t="shared" si="41"/>
        <v>-2.7039695211361696</v>
      </c>
      <c r="BI103" s="39">
        <v>0.66666666666666596</v>
      </c>
      <c r="BK103" s="39">
        <v>0.66666666666666596</v>
      </c>
      <c r="BL103" s="38">
        <v>-60</v>
      </c>
      <c r="BM103" s="38">
        <f t="shared" si="42"/>
        <v>28.03064132064042</v>
      </c>
      <c r="BN103" s="38">
        <f t="shared" si="80"/>
        <v>-101.84583698554694</v>
      </c>
      <c r="BP103">
        <f t="shared" si="44"/>
        <v>6.1969358679359576</v>
      </c>
      <c r="BQ103">
        <f t="shared" si="81"/>
        <v>191.84583698554695</v>
      </c>
      <c r="BR103" s="153">
        <f t="shared" si="72"/>
        <v>-6.0649626831945911</v>
      </c>
      <c r="BS103" s="153">
        <f t="shared" si="73"/>
        <v>-1.2721013335297828</v>
      </c>
      <c r="BT103" s="39">
        <v>0.66666666666666596</v>
      </c>
      <c r="BV103" s="39">
        <v>0.66666666666666596</v>
      </c>
      <c r="BW103" s="38">
        <v>-60</v>
      </c>
      <c r="BX103" s="38">
        <f t="shared" si="48"/>
        <v>33.179114183303909</v>
      </c>
      <c r="BY103" s="38">
        <f t="shared" si="82"/>
        <v>-90.692173646055892</v>
      </c>
      <c r="CA103">
        <f t="shared" si="50"/>
        <v>5.6820885816696087</v>
      </c>
      <c r="CB103">
        <f t="shared" si="83"/>
        <v>180.69217364605589</v>
      </c>
      <c r="CC103" s="153">
        <f t="shared" si="52"/>
        <v>-5.681673954671612</v>
      </c>
      <c r="CD103" s="153">
        <f t="shared" si="53"/>
        <v>-6.8641989673888751E-2</v>
      </c>
      <c r="CE103" s="39">
        <v>0.66666666666666596</v>
      </c>
      <c r="CG103" s="39">
        <v>0.66666666666666596</v>
      </c>
      <c r="CH103" s="38">
        <v>-60</v>
      </c>
      <c r="CI103" s="38">
        <f t="shared" si="54"/>
        <v>35.974200517974971</v>
      </c>
      <c r="CJ103" s="38">
        <f t="shared" si="84"/>
        <v>-82.710211003016923</v>
      </c>
      <c r="CL103">
        <f t="shared" si="56"/>
        <v>5.4025799482025025</v>
      </c>
      <c r="CM103">
        <f t="shared" si="85"/>
        <v>172.71021100301692</v>
      </c>
      <c r="CN103" s="153">
        <f t="shared" si="58"/>
        <v>-5.3589112820436533</v>
      </c>
      <c r="CO103" s="153">
        <f t="shared" si="59"/>
        <v>0.68552167573681033</v>
      </c>
      <c r="CP103" s="39">
        <v>0.66666666666666596</v>
      </c>
      <c r="CR103" s="39">
        <v>0.66666666666666596</v>
      </c>
      <c r="CS103" s="38">
        <v>-60</v>
      </c>
      <c r="CT103" s="38">
        <f t="shared" si="60"/>
        <v>36.462362723804389</v>
      </c>
      <c r="CU103" s="38">
        <f t="shared" si="86"/>
        <v>-81.070349439875727</v>
      </c>
      <c r="CW103">
        <f t="shared" si="62"/>
        <v>5.3537637276195609</v>
      </c>
      <c r="CX103">
        <f t="shared" si="87"/>
        <v>171.07034943987571</v>
      </c>
      <c r="CY103" s="153">
        <f t="shared" si="64"/>
        <v>-5.2888743491714614</v>
      </c>
      <c r="CZ103" s="153">
        <f t="shared" si="65"/>
        <v>0.83101995755279434</v>
      </c>
      <c r="DA103" s="39">
        <v>0.66666666666666596</v>
      </c>
      <c r="DC103" s="39">
        <v>0.66666666666666596</v>
      </c>
      <c r="DD103" s="38">
        <v>-60</v>
      </c>
      <c r="DE103" s="38">
        <f t="shared" si="66"/>
        <v>12.251377298592953</v>
      </c>
      <c r="DF103" s="38">
        <f t="shared" si="88"/>
        <v>-125.34452095224731</v>
      </c>
      <c r="DH103">
        <f t="shared" si="68"/>
        <v>7.7748622701407051</v>
      </c>
      <c r="DI103">
        <f t="shared" si="89"/>
        <v>215.34452095224731</v>
      </c>
      <c r="DJ103" s="153">
        <f t="shared" si="70"/>
        <v>-6.3418643967501813</v>
      </c>
      <c r="DK103" s="153">
        <f t="shared" si="71"/>
        <v>-4.4976926632318852</v>
      </c>
      <c r="DL103" s="39">
        <v>0.66666666666666596</v>
      </c>
    </row>
    <row r="104" spans="1:116" x14ac:dyDescent="0.25">
      <c r="A104">
        <v>-1.2</v>
      </c>
      <c r="B104">
        <f t="shared" si="16"/>
        <v>8.9196412483911036</v>
      </c>
      <c r="C104">
        <f t="shared" si="17"/>
        <v>-8.9196412483911036</v>
      </c>
      <c r="D104">
        <f t="shared" si="20"/>
        <v>7.9094879733140759</v>
      </c>
      <c r="E104">
        <f t="shared" si="21"/>
        <v>-7.9094879733140759</v>
      </c>
      <c r="F104">
        <f t="shared" si="24"/>
        <v>6.8963758598266676</v>
      </c>
      <c r="G104">
        <f t="shared" si="25"/>
        <v>-6.8963758598266676</v>
      </c>
      <c r="H104">
        <f t="shared" si="74"/>
        <v>5.8787753826796276</v>
      </c>
      <c r="I104">
        <f t="shared" si="75"/>
        <v>-5.8787753826796276</v>
      </c>
      <c r="J104">
        <f t="shared" si="10"/>
        <v>4.8538644398046387</v>
      </c>
      <c r="K104">
        <f t="shared" si="11"/>
        <v>-4.8538644398046387</v>
      </c>
      <c r="L104">
        <f t="shared" si="12"/>
        <v>3.8157568056677826</v>
      </c>
      <c r="M104">
        <f t="shared" si="13"/>
        <v>-3.8157568056677826</v>
      </c>
      <c r="N104">
        <f t="shared" si="14"/>
        <v>2.7495454169735041</v>
      </c>
      <c r="O104">
        <f t="shared" si="15"/>
        <v>-2.7495454169735041</v>
      </c>
      <c r="P104">
        <f t="shared" si="18"/>
        <v>1.6</v>
      </c>
      <c r="Q104">
        <f t="shared" si="19"/>
        <v>-1.6</v>
      </c>
      <c r="U104" s="153">
        <v>9</v>
      </c>
      <c r="V104" s="153">
        <v>180</v>
      </c>
      <c r="W104" s="153">
        <f t="shared" si="26"/>
        <v>-9</v>
      </c>
      <c r="X104" s="153">
        <f t="shared" si="27"/>
        <v>1.102633609417758E-15</v>
      </c>
      <c r="Y104" s="153">
        <v>9</v>
      </c>
      <c r="Z104" s="153">
        <v>360</v>
      </c>
      <c r="AA104" s="153">
        <f t="shared" si="28"/>
        <v>9</v>
      </c>
      <c r="AB104" s="153">
        <f t="shared" si="29"/>
        <v>-2.205267218835516E-15</v>
      </c>
      <c r="AO104" s="39">
        <v>0.70833333333333304</v>
      </c>
      <c r="AP104" s="38">
        <v>-75</v>
      </c>
      <c r="AQ104" s="38">
        <f t="shared" si="30"/>
        <v>3.9806023907424599</v>
      </c>
      <c r="AR104" s="38">
        <f t="shared" si="76"/>
        <v>-112.5771078319798</v>
      </c>
      <c r="AT104">
        <f t="shared" si="32"/>
        <v>8.6019397609257542</v>
      </c>
      <c r="AU104">
        <f t="shared" si="77"/>
        <v>202.57710783197979</v>
      </c>
      <c r="AV104" s="153">
        <f t="shared" si="34"/>
        <v>-7.9427188060969565</v>
      </c>
      <c r="AW104" s="153">
        <f t="shared" si="35"/>
        <v>-3.3025120163095769</v>
      </c>
      <c r="AX104" s="39">
        <v>0.70833333333333304</v>
      </c>
      <c r="AZ104" s="39">
        <v>0.70833333333333304</v>
      </c>
      <c r="BA104" s="38">
        <v>-75</v>
      </c>
      <c r="BB104" s="38">
        <f t="shared" si="36"/>
        <v>8.8424843209748119</v>
      </c>
      <c r="BC104" s="38">
        <f t="shared" si="78"/>
        <v>-104.68802822282147</v>
      </c>
      <c r="BE104">
        <f t="shared" si="38"/>
        <v>8.1157515679025192</v>
      </c>
      <c r="BF104">
        <f t="shared" si="79"/>
        <v>194.68802822282146</v>
      </c>
      <c r="BG104" s="153">
        <f t="shared" si="40"/>
        <v>-7.8505349227251564</v>
      </c>
      <c r="BH104" s="153">
        <f t="shared" si="41"/>
        <v>-2.0577961364005222</v>
      </c>
      <c r="BI104" s="39">
        <v>0.70833333333333304</v>
      </c>
      <c r="BK104" s="39">
        <v>0.70833333333333304</v>
      </c>
      <c r="BL104" s="38">
        <v>-75</v>
      </c>
      <c r="BM104" s="38">
        <f t="shared" si="42"/>
        <v>15.051271742006362</v>
      </c>
      <c r="BN104" s="38">
        <f t="shared" si="80"/>
        <v>-93.815787356682009</v>
      </c>
      <c r="BP104">
        <f t="shared" si="44"/>
        <v>7.494872825799364</v>
      </c>
      <c r="BQ104">
        <f t="shared" si="81"/>
        <v>183.81578735668199</v>
      </c>
      <c r="BR104" s="153">
        <f t="shared" si="72"/>
        <v>-7.4782579609816162</v>
      </c>
      <c r="BS104" s="153">
        <f t="shared" si="73"/>
        <v>-0.49877504340215972</v>
      </c>
      <c r="BT104" s="39">
        <v>0.70833333333333304</v>
      </c>
      <c r="BV104" s="39">
        <v>0.70833333333333304</v>
      </c>
      <c r="BW104" s="38">
        <v>-75</v>
      </c>
      <c r="BX104" s="38">
        <f t="shared" si="48"/>
        <v>20.094408212134532</v>
      </c>
      <c r="BY104" s="38">
        <f t="shared" si="82"/>
        <v>-83.69300591455243</v>
      </c>
      <c r="CA104">
        <f t="shared" si="50"/>
        <v>6.9905591787865466</v>
      </c>
      <c r="CB104">
        <f t="shared" si="83"/>
        <v>173.69300591455243</v>
      </c>
      <c r="CC104" s="153">
        <f t="shared" si="52"/>
        <v>-6.9482491884736275</v>
      </c>
      <c r="CD104" s="153">
        <f t="shared" si="53"/>
        <v>0.76795237286723794</v>
      </c>
      <c r="CE104" s="39">
        <v>0.70833333333333304</v>
      </c>
      <c r="CG104" s="39">
        <v>0.70833333333333304</v>
      </c>
      <c r="CH104" s="38">
        <v>-75</v>
      </c>
      <c r="CI104" s="38">
        <f t="shared" si="54"/>
        <v>23.081833865003894</v>
      </c>
      <c r="CJ104" s="38">
        <f t="shared" si="84"/>
        <v>-76.718561537440678</v>
      </c>
      <c r="CL104">
        <f t="shared" si="56"/>
        <v>6.6918166134996104</v>
      </c>
      <c r="CM104">
        <f t="shared" si="85"/>
        <v>166.71856153744068</v>
      </c>
      <c r="CN104" s="153">
        <f t="shared" si="58"/>
        <v>-6.5128329273581409</v>
      </c>
      <c r="CO104" s="153">
        <f t="shared" si="59"/>
        <v>1.5373408369743473</v>
      </c>
      <c r="CP104" s="39">
        <v>0.70833333333333304</v>
      </c>
      <c r="CR104" s="39">
        <v>0.70833333333333304</v>
      </c>
      <c r="CS104" s="38">
        <v>-75</v>
      </c>
      <c r="CT104" s="38">
        <f t="shared" si="60"/>
        <v>23.63600454935963</v>
      </c>
      <c r="CU104" s="38">
        <f t="shared" si="86"/>
        <v>-75.306075969479892</v>
      </c>
      <c r="CW104">
        <f t="shared" si="62"/>
        <v>6.6363995450640374</v>
      </c>
      <c r="CX104">
        <f t="shared" si="87"/>
        <v>165.30607596947988</v>
      </c>
      <c r="CY104" s="153">
        <f t="shared" si="64"/>
        <v>-6.4193538234426146</v>
      </c>
      <c r="CZ104" s="153">
        <f t="shared" si="65"/>
        <v>1.6833583727711809</v>
      </c>
      <c r="DA104" s="39">
        <v>0.70833333333333304</v>
      </c>
      <c r="DC104" s="39">
        <v>0.70833333333333304</v>
      </c>
      <c r="DD104" s="38">
        <v>-75</v>
      </c>
      <c r="DE104" s="38">
        <f t="shared" si="66"/>
        <v>1.0425877010819102</v>
      </c>
      <c r="DF104" s="38">
        <f t="shared" si="88"/>
        <v>-117.22586297915178</v>
      </c>
      <c r="DH104">
        <f t="shared" si="68"/>
        <v>8.8957412298918097</v>
      </c>
      <c r="DI104">
        <f t="shared" si="89"/>
        <v>207.22586297915177</v>
      </c>
      <c r="DJ104" s="153">
        <f t="shared" si="70"/>
        <v>-7.91018162634417</v>
      </c>
      <c r="DK104" s="153">
        <f t="shared" si="71"/>
        <v>-4.0697958999738733</v>
      </c>
      <c r="DL104" s="39">
        <v>0.70833333333333304</v>
      </c>
    </row>
    <row r="105" spans="1:116" x14ac:dyDescent="0.25">
      <c r="A105">
        <v>-1.3</v>
      </c>
      <c r="B105">
        <f t="shared" si="16"/>
        <v>8.9056162055188519</v>
      </c>
      <c r="C105">
        <f t="shared" si="17"/>
        <v>-8.9056162055188519</v>
      </c>
      <c r="D105">
        <f t="shared" si="20"/>
        <v>7.8936683487463544</v>
      </c>
      <c r="E105">
        <f t="shared" si="21"/>
        <v>-7.8936683487463544</v>
      </c>
      <c r="F105">
        <f t="shared" si="24"/>
        <v>6.8782265156070572</v>
      </c>
      <c r="G105">
        <f t="shared" si="25"/>
        <v>-6.8782265156070572</v>
      </c>
      <c r="H105">
        <f t="shared" si="74"/>
        <v>5.8574738582429884</v>
      </c>
      <c r="I105">
        <f t="shared" si="75"/>
        <v>-5.8574738582429884</v>
      </c>
      <c r="J105">
        <f t="shared" si="10"/>
        <v>4.8280430818293238</v>
      </c>
      <c r="K105">
        <f t="shared" si="11"/>
        <v>-4.8280430818293238</v>
      </c>
      <c r="L105">
        <f t="shared" si="12"/>
        <v>3.7828560638755477</v>
      </c>
      <c r="M105">
        <f t="shared" si="13"/>
        <v>-3.7828560638755477</v>
      </c>
      <c r="N105">
        <f t="shared" si="14"/>
        <v>2.7037011669191546</v>
      </c>
      <c r="O105">
        <f t="shared" si="15"/>
        <v>-2.7037011669191546</v>
      </c>
      <c r="P105">
        <f t="shared" si="18"/>
        <v>1.5198684153570663</v>
      </c>
      <c r="Q105">
        <f t="shared" si="19"/>
        <v>-1.5198684153570663</v>
      </c>
      <c r="U105" s="153"/>
      <c r="V105" s="153"/>
      <c r="W105" s="153"/>
      <c r="X105" s="153"/>
      <c r="Y105" s="153"/>
      <c r="Z105" s="153"/>
      <c r="AA105" s="153"/>
      <c r="AB105" s="153"/>
      <c r="AO105" s="39">
        <v>0.75</v>
      </c>
      <c r="AP105" s="38">
        <v>-90</v>
      </c>
      <c r="AQ105" s="38">
        <f t="shared" si="30"/>
        <v>-8.4117319355326003</v>
      </c>
      <c r="AR105" s="38">
        <f t="shared" si="76"/>
        <v>-105.42042609675256</v>
      </c>
      <c r="AT105">
        <f t="shared" si="32"/>
        <v>9</v>
      </c>
      <c r="AU105">
        <f t="shared" si="77"/>
        <v>200.14480796075449</v>
      </c>
      <c r="AV105" s="153">
        <f t="shared" si="34"/>
        <v>-8.4494268639521586</v>
      </c>
      <c r="AW105" s="153">
        <f t="shared" si="35"/>
        <v>-3.0995460426848935</v>
      </c>
      <c r="AX105" s="39">
        <v>0.75</v>
      </c>
      <c r="AZ105" s="39">
        <v>0.75</v>
      </c>
      <c r="BA105" s="38">
        <v>-90</v>
      </c>
      <c r="BB105" s="38">
        <f t="shared" si="36"/>
        <v>-4.0202279922027584</v>
      </c>
      <c r="BC105" s="38">
        <f t="shared" si="78"/>
        <v>-97.260160733971048</v>
      </c>
      <c r="BE105">
        <f t="shared" si="38"/>
        <v>9</v>
      </c>
      <c r="BF105">
        <f t="shared" si="79"/>
        <v>189.50036292821628</v>
      </c>
      <c r="BG105" s="153">
        <f t="shared" si="40"/>
        <v>-8.87656100451896</v>
      </c>
      <c r="BH105" s="153">
        <f t="shared" si="41"/>
        <v>-1.4854846795081202</v>
      </c>
      <c r="BI105" s="39">
        <v>0.75</v>
      </c>
      <c r="BK105" s="39">
        <v>0.75</v>
      </c>
      <c r="BL105" s="38">
        <v>-90</v>
      </c>
      <c r="BM105" s="38">
        <f t="shared" si="42"/>
        <v>1.9510766725967672</v>
      </c>
      <c r="BN105" s="38">
        <f t="shared" si="80"/>
        <v>-86.488170658290201</v>
      </c>
      <c r="BP105">
        <f t="shared" si="44"/>
        <v>8.804892332740323</v>
      </c>
      <c r="BQ105">
        <f t="shared" si="81"/>
        <v>176.48817065829019</v>
      </c>
      <c r="BR105" s="153">
        <f t="shared" si="72"/>
        <v>-8.7883582682606036</v>
      </c>
      <c r="BS105" s="153">
        <f t="shared" si="73"/>
        <v>0.53934028205281592</v>
      </c>
      <c r="BT105" s="39">
        <v>0.75</v>
      </c>
      <c r="BV105" s="39">
        <v>0.75</v>
      </c>
      <c r="BW105" s="38">
        <v>-90</v>
      </c>
      <c r="BX105" s="38">
        <f t="shared" si="48"/>
        <v>7.1796941081018506</v>
      </c>
      <c r="BY105" s="38">
        <f t="shared" si="82"/>
        <v>-76.908415468616056</v>
      </c>
      <c r="CA105">
        <f t="shared" si="50"/>
        <v>8.2820305891898158</v>
      </c>
      <c r="CB105">
        <f t="shared" si="83"/>
        <v>166.90841546861606</v>
      </c>
      <c r="CC105" s="153">
        <f t="shared" si="52"/>
        <v>-8.0667743759958661</v>
      </c>
      <c r="CD105" s="153">
        <f t="shared" si="53"/>
        <v>1.8759482527650715</v>
      </c>
      <c r="CE105" s="39">
        <v>0.75</v>
      </c>
      <c r="CG105" s="39">
        <v>0.75</v>
      </c>
      <c r="CH105" s="38">
        <v>-90</v>
      </c>
      <c r="CI105" s="38">
        <f t="shared" si="54"/>
        <v>10.508522694850116</v>
      </c>
      <c r="CJ105" s="38">
        <f t="shared" si="84"/>
        <v>-70.516285917220941</v>
      </c>
      <c r="CL105">
        <f t="shared" si="56"/>
        <v>7.9491477305149889</v>
      </c>
      <c r="CM105">
        <f t="shared" si="85"/>
        <v>160.51628591722096</v>
      </c>
      <c r="CN105" s="153">
        <f t="shared" si="58"/>
        <v>-7.4939503996922818</v>
      </c>
      <c r="CO105" s="153">
        <f t="shared" si="59"/>
        <v>2.6513500426204546</v>
      </c>
      <c r="CP105" s="39">
        <v>0.75</v>
      </c>
      <c r="CR105" s="39">
        <v>0.75</v>
      </c>
      <c r="CS105" s="38">
        <v>-90</v>
      </c>
      <c r="CT105" s="38">
        <f t="shared" si="60"/>
        <v>11.152054967319165</v>
      </c>
      <c r="CU105" s="38">
        <f t="shared" si="86"/>
        <v>-69.238766580276192</v>
      </c>
      <c r="CW105">
        <f t="shared" si="62"/>
        <v>7.8847945032680835</v>
      </c>
      <c r="CX105">
        <f t="shared" si="87"/>
        <v>159.23876658027621</v>
      </c>
      <c r="CY105" s="153">
        <f t="shared" si="64"/>
        <v>-7.3728011230173927</v>
      </c>
      <c r="CZ105" s="153">
        <f t="shared" si="65"/>
        <v>2.7949575952418431</v>
      </c>
      <c r="DA105" s="39">
        <v>0.75</v>
      </c>
      <c r="DC105" s="39">
        <v>0.75</v>
      </c>
      <c r="DD105" s="38">
        <v>-90</v>
      </c>
      <c r="DE105" s="38">
        <f t="shared" si="66"/>
        <v>-10.952670234464714</v>
      </c>
      <c r="DF105" s="38">
        <f t="shared" si="88"/>
        <v>-110.36370911494541</v>
      </c>
      <c r="DH105">
        <f t="shared" si="68"/>
        <v>9</v>
      </c>
      <c r="DI105">
        <f t="shared" si="89"/>
        <v>206.57086830691145</v>
      </c>
      <c r="DJ105" s="153">
        <f t="shared" si="70"/>
        <v>-8.049436034917786</v>
      </c>
      <c r="DK105" s="153">
        <f t="shared" si="71"/>
        <v>-4.025739623940801</v>
      </c>
      <c r="DL105" s="39">
        <v>0.75</v>
      </c>
    </row>
    <row r="106" spans="1:116" x14ac:dyDescent="0.25">
      <c r="A106">
        <v>-1.4</v>
      </c>
      <c r="B106">
        <f t="shared" si="16"/>
        <v>8.8904443083571483</v>
      </c>
      <c r="C106">
        <f t="shared" si="17"/>
        <v>-8.8904443083571483</v>
      </c>
      <c r="D106">
        <f t="shared" si="20"/>
        <v>7.8765474670060867</v>
      </c>
      <c r="E106">
        <f t="shared" si="21"/>
        <v>-7.8765474670060867</v>
      </c>
      <c r="F106">
        <f t="shared" si="24"/>
        <v>6.8585712797928986</v>
      </c>
      <c r="G106">
        <f t="shared" si="25"/>
        <v>-6.8585712797928986</v>
      </c>
      <c r="H106">
        <f t="shared" si="74"/>
        <v>5.8343808583259289</v>
      </c>
      <c r="I106">
        <f t="shared" si="75"/>
        <v>-5.8343808583259289</v>
      </c>
      <c r="J106">
        <f t="shared" ref="J106:J142" si="90">+SQRT(25-A106^2)</f>
        <v>4.8</v>
      </c>
      <c r="K106">
        <f t="shared" ref="K106:K137" si="91">-J106</f>
        <v>-4.8</v>
      </c>
      <c r="L106">
        <f t="shared" si="12"/>
        <v>3.746998799039039</v>
      </c>
      <c r="M106">
        <f t="shared" si="13"/>
        <v>-3.746998799039039</v>
      </c>
      <c r="N106">
        <f t="shared" si="14"/>
        <v>2.6532998322843198</v>
      </c>
      <c r="O106">
        <f t="shared" si="15"/>
        <v>-2.6532998322843198</v>
      </c>
      <c r="P106">
        <f t="shared" si="18"/>
        <v>1.42828568570857</v>
      </c>
      <c r="Q106">
        <f t="shared" si="19"/>
        <v>-1.42828568570857</v>
      </c>
      <c r="U106" s="153"/>
      <c r="V106" s="153"/>
      <c r="W106" s="153"/>
      <c r="X106" s="153"/>
      <c r="Y106" s="153"/>
      <c r="Z106" s="153"/>
      <c r="AA106" s="153"/>
      <c r="AB106" s="153"/>
      <c r="AO106" s="39">
        <v>0.79166666666666663</v>
      </c>
      <c r="AP106" s="38">
        <v>-105</v>
      </c>
      <c r="AQ106" s="38">
        <f t="shared" si="30"/>
        <v>-21.222454332100078</v>
      </c>
      <c r="AR106" s="38">
        <f t="shared" si="76"/>
        <v>-98.829098209067979</v>
      </c>
      <c r="AT106">
        <f t="shared" si="32"/>
        <v>9</v>
      </c>
      <c r="AU106">
        <f t="shared" si="77"/>
        <v>200.14480796075449</v>
      </c>
      <c r="AV106" s="153">
        <f t="shared" si="34"/>
        <v>-8.4494268639521586</v>
      </c>
      <c r="AW106" s="153">
        <f t="shared" si="35"/>
        <v>-3.0995460426848935</v>
      </c>
      <c r="AX106" s="39">
        <v>0.79166666666666663</v>
      </c>
      <c r="AZ106" s="39">
        <v>0.79166666666666663</v>
      </c>
      <c r="BA106" s="38">
        <v>-105</v>
      </c>
      <c r="BB106" s="38">
        <f t="shared" si="36"/>
        <v>-17.093738200635286</v>
      </c>
      <c r="BC106" s="38">
        <f t="shared" si="78"/>
        <v>-90.095047630469693</v>
      </c>
      <c r="BE106">
        <f t="shared" si="38"/>
        <v>9</v>
      </c>
      <c r="BF106">
        <f t="shared" si="79"/>
        <v>189.50036292821628</v>
      </c>
      <c r="BG106" s="153">
        <f t="shared" si="40"/>
        <v>-8.87656100451896</v>
      </c>
      <c r="BH106" s="153">
        <f t="shared" si="41"/>
        <v>-1.4854846795081202</v>
      </c>
      <c r="BI106" s="39">
        <v>0.79166666666666663</v>
      </c>
      <c r="BK106" s="39">
        <v>0.79166666666666663</v>
      </c>
      <c r="BL106" s="38">
        <v>-105</v>
      </c>
      <c r="BM106" s="38">
        <f t="shared" si="42"/>
        <v>-11.045650532058881</v>
      </c>
      <c r="BN106" s="38">
        <f t="shared" si="80"/>
        <v>-79.033909310679306</v>
      </c>
      <c r="BP106">
        <f t="shared" si="44"/>
        <v>9</v>
      </c>
      <c r="BQ106">
        <f t="shared" si="81"/>
        <v>175.40261833167796</v>
      </c>
      <c r="BR106" s="153">
        <f t="shared" si="72"/>
        <v>-8.9710428814800558</v>
      </c>
      <c r="BS106" s="153">
        <f t="shared" si="73"/>
        <v>0.72138035643204745</v>
      </c>
      <c r="BT106" s="39">
        <v>0.79166666666666663</v>
      </c>
      <c r="BV106" s="39">
        <v>0.79166666666666663</v>
      </c>
      <c r="BW106" s="38">
        <v>-105</v>
      </c>
      <c r="BX106" s="38">
        <f t="shared" si="48"/>
        <v>-5.3710235152583179</v>
      </c>
      <c r="BY106" s="38">
        <f t="shared" si="82"/>
        <v>-69.645777513673181</v>
      </c>
      <c r="CA106">
        <f t="shared" si="50"/>
        <v>9</v>
      </c>
      <c r="CB106">
        <f t="shared" si="83"/>
        <v>162.88809257849533</v>
      </c>
      <c r="CC106" s="153">
        <f t="shared" si="52"/>
        <v>-8.6015869704594792</v>
      </c>
      <c r="CD106" s="153">
        <f t="shared" si="53"/>
        <v>2.6481505979875326</v>
      </c>
      <c r="CE106" s="39">
        <v>0.79166666666666663</v>
      </c>
      <c r="CG106" s="39">
        <v>0.79166666666666663</v>
      </c>
      <c r="CH106" s="38">
        <v>-105</v>
      </c>
      <c r="CI106" s="38">
        <f t="shared" si="54"/>
        <v>-1.5633314612030205</v>
      </c>
      <c r="CJ106" s="38">
        <f t="shared" si="84"/>
        <v>-63.595103972539462</v>
      </c>
      <c r="CL106">
        <f t="shared" si="56"/>
        <v>9</v>
      </c>
      <c r="CM106">
        <f t="shared" si="85"/>
        <v>154.57217671264948</v>
      </c>
      <c r="CN106" s="153">
        <f t="shared" si="58"/>
        <v>-8.1281420283668258</v>
      </c>
      <c r="CO106" s="153">
        <f t="shared" si="59"/>
        <v>3.8643637466854521</v>
      </c>
      <c r="CP106" s="39">
        <v>0.79166666666666663</v>
      </c>
      <c r="CR106" s="39">
        <v>0.79166666666666663</v>
      </c>
      <c r="CS106" s="38">
        <v>-105</v>
      </c>
      <c r="CT106" s="38">
        <f t="shared" si="60"/>
        <v>-0.80777986614324515</v>
      </c>
      <c r="CU106" s="38">
        <f t="shared" si="86"/>
        <v>-62.404173266606605</v>
      </c>
      <c r="CW106">
        <f t="shared" si="62"/>
        <v>9</v>
      </c>
      <c r="CX106">
        <f t="shared" si="87"/>
        <v>152.9128608915928</v>
      </c>
      <c r="CY106" s="153">
        <f t="shared" si="64"/>
        <v>-8.0128353242451471</v>
      </c>
      <c r="CZ106" s="153">
        <f t="shared" si="65"/>
        <v>4.0981056680531287</v>
      </c>
      <c r="DA106" s="39">
        <v>0.79166666666666663</v>
      </c>
      <c r="DC106" s="39">
        <v>0.79166666666666663</v>
      </c>
      <c r="DD106" s="38">
        <v>-105</v>
      </c>
      <c r="DE106" s="38">
        <f t="shared" si="66"/>
        <v>-23.465180129092047</v>
      </c>
      <c r="DF106" s="38">
        <f t="shared" si="88"/>
        <v>-104.25379012152538</v>
      </c>
      <c r="DH106">
        <f t="shared" si="68"/>
        <v>9</v>
      </c>
      <c r="DI106">
        <f t="shared" si="89"/>
        <v>206.57086830691145</v>
      </c>
      <c r="DJ106" s="153">
        <f t="shared" si="70"/>
        <v>-8.049436034917786</v>
      </c>
      <c r="DK106" s="153">
        <f t="shared" si="71"/>
        <v>-4.025739623940801</v>
      </c>
      <c r="DL106" s="39">
        <v>0.79166666666666663</v>
      </c>
    </row>
    <row r="107" spans="1:116" x14ac:dyDescent="0.25">
      <c r="A107">
        <v>-1.5</v>
      </c>
      <c r="B107">
        <f t="shared" si="16"/>
        <v>8.8741196746494246</v>
      </c>
      <c r="C107">
        <f t="shared" si="17"/>
        <v>-8.8741196746494246</v>
      </c>
      <c r="D107">
        <f t="shared" si="20"/>
        <v>7.8581168227508558</v>
      </c>
      <c r="E107">
        <f t="shared" si="21"/>
        <v>-7.8581168227508558</v>
      </c>
      <c r="F107">
        <f t="shared" si="24"/>
        <v>6.8373971655886718</v>
      </c>
      <c r="G107">
        <f t="shared" si="25"/>
        <v>-6.8373971655886718</v>
      </c>
      <c r="H107">
        <f t="shared" si="74"/>
        <v>5.8094750193111251</v>
      </c>
      <c r="I107">
        <f t="shared" si="75"/>
        <v>-5.8094750193111251</v>
      </c>
      <c r="J107">
        <f t="shared" si="90"/>
        <v>4.7696960070847281</v>
      </c>
      <c r="K107">
        <f t="shared" si="91"/>
        <v>-4.7696960070847281</v>
      </c>
      <c r="L107">
        <f t="shared" si="12"/>
        <v>3.7080992435478315</v>
      </c>
      <c r="M107">
        <f t="shared" si="13"/>
        <v>-3.7080992435478315</v>
      </c>
      <c r="N107">
        <f t="shared" si="14"/>
        <v>2.598076211353316</v>
      </c>
      <c r="O107">
        <f t="shared" si="15"/>
        <v>-2.598076211353316</v>
      </c>
      <c r="P107">
        <f t="shared" si="18"/>
        <v>1.3228756555322954</v>
      </c>
      <c r="Q107">
        <f t="shared" si="19"/>
        <v>-1.3228756555322954</v>
      </c>
      <c r="U107" s="153"/>
      <c r="V107" s="153"/>
      <c r="W107" s="153"/>
      <c r="X107" s="153"/>
      <c r="Y107" s="153"/>
      <c r="Z107" s="153"/>
      <c r="AA107" s="153"/>
      <c r="AB107" s="153"/>
      <c r="AO107" s="39">
        <v>0.83333333333333304</v>
      </c>
      <c r="AP107" s="38">
        <v>-120</v>
      </c>
      <c r="AQ107" s="38">
        <f t="shared" si="30"/>
        <v>-34.263131703153903</v>
      </c>
      <c r="AR107" s="38">
        <f t="shared" si="76"/>
        <v>-92.169938930599614</v>
      </c>
      <c r="AT107">
        <f t="shared" si="32"/>
        <v>9</v>
      </c>
      <c r="AU107">
        <f t="shared" si="77"/>
        <v>200.14480796075449</v>
      </c>
      <c r="AV107" s="153">
        <f t="shared" si="34"/>
        <v>-8.4494268639521586</v>
      </c>
      <c r="AW107" s="153">
        <f t="shared" si="35"/>
        <v>-3.0995460426848935</v>
      </c>
      <c r="AX107" s="39">
        <v>0.83333333333333304</v>
      </c>
      <c r="AZ107" s="39">
        <v>0.83333333333333304</v>
      </c>
      <c r="BA107" s="38">
        <v>-120</v>
      </c>
      <c r="BB107" s="38">
        <f t="shared" si="36"/>
        <v>-30.166174654908502</v>
      </c>
      <c r="BC107" s="38">
        <f t="shared" si="78"/>
        <v>-82.395681730571113</v>
      </c>
      <c r="BE107">
        <f t="shared" si="38"/>
        <v>9</v>
      </c>
      <c r="BF107">
        <f t="shared" si="79"/>
        <v>189.50036292821628</v>
      </c>
      <c r="BG107" s="153">
        <f t="shared" si="40"/>
        <v>-8.87656100451896</v>
      </c>
      <c r="BH107" s="153">
        <f t="shared" si="41"/>
        <v>-1.4854846795081202</v>
      </c>
      <c r="BI107" s="39">
        <v>0.83333333333333304</v>
      </c>
      <c r="BK107" s="39">
        <v>0.83333333333333304</v>
      </c>
      <c r="BL107" s="38">
        <v>-120</v>
      </c>
      <c r="BM107" s="38">
        <f t="shared" si="42"/>
        <v>-23.693971230022676</v>
      </c>
      <c r="BN107" s="38">
        <f t="shared" si="80"/>
        <v>-70.634773561073217</v>
      </c>
      <c r="BP107">
        <f t="shared" si="44"/>
        <v>9</v>
      </c>
      <c r="BQ107">
        <f t="shared" si="81"/>
        <v>175.40261833167796</v>
      </c>
      <c r="BR107" s="153">
        <f t="shared" si="72"/>
        <v>-8.9710428814800558</v>
      </c>
      <c r="BS107" s="153">
        <f t="shared" si="73"/>
        <v>0.72138035643204745</v>
      </c>
      <c r="BT107" s="39">
        <v>0.83333333333333304</v>
      </c>
      <c r="BV107" s="39">
        <v>0.83333333333333304</v>
      </c>
      <c r="BW107" s="38">
        <v>-120</v>
      </c>
      <c r="BX107" s="38">
        <f t="shared" si="48"/>
        <v>-17.295202768452899</v>
      </c>
      <c r="BY107" s="38">
        <f t="shared" si="82"/>
        <v>-61.227129569630065</v>
      </c>
      <c r="CA107">
        <f t="shared" si="50"/>
        <v>9</v>
      </c>
      <c r="CB107">
        <f t="shared" si="83"/>
        <v>162.88809257849533</v>
      </c>
      <c r="CC107" s="153">
        <f t="shared" si="52"/>
        <v>-8.6015869704594792</v>
      </c>
      <c r="CD107" s="153">
        <f t="shared" si="53"/>
        <v>2.6481505979875326</v>
      </c>
      <c r="CE107" s="39">
        <v>0.83333333333333304</v>
      </c>
      <c r="CG107" s="39">
        <v>0.83333333333333304</v>
      </c>
      <c r="CH107" s="38">
        <v>-120</v>
      </c>
      <c r="CI107" s="38">
        <f t="shared" si="54"/>
        <v>-12.865159481895564</v>
      </c>
      <c r="CJ107" s="38">
        <f t="shared" si="84"/>
        <v>-55.427667993562665</v>
      </c>
      <c r="CL107">
        <f t="shared" si="56"/>
        <v>9</v>
      </c>
      <c r="CM107">
        <f t="shared" si="85"/>
        <v>154.57217671264948</v>
      </c>
      <c r="CN107" s="153">
        <f t="shared" si="58"/>
        <v>-8.1281420283668258</v>
      </c>
      <c r="CO107" s="153">
        <f t="shared" si="59"/>
        <v>3.8643637466854521</v>
      </c>
      <c r="CP107" s="39">
        <v>0.83333333333333304</v>
      </c>
      <c r="CR107" s="39">
        <v>0.83333333333333304</v>
      </c>
      <c r="CS107" s="38">
        <v>-120</v>
      </c>
      <c r="CT107" s="38">
        <f t="shared" si="60"/>
        <v>-11.973998043852708</v>
      </c>
      <c r="CU107" s="38">
        <f t="shared" si="86"/>
        <v>-54.308590994652675</v>
      </c>
      <c r="CW107">
        <f t="shared" si="62"/>
        <v>9</v>
      </c>
      <c r="CX107">
        <f t="shared" si="87"/>
        <v>152.9128608915928</v>
      </c>
      <c r="CY107" s="153">
        <f t="shared" si="64"/>
        <v>-8.0128353242451471</v>
      </c>
      <c r="CZ107" s="153">
        <f t="shared" si="65"/>
        <v>4.0981056680531287</v>
      </c>
      <c r="DA107" s="39">
        <v>0.83333333333333304</v>
      </c>
      <c r="DC107" s="39">
        <v>0.83333333333333304</v>
      </c>
      <c r="DD107" s="38">
        <v>-120</v>
      </c>
      <c r="DE107" s="38">
        <f t="shared" si="66"/>
        <v>-36.313087788252069</v>
      </c>
      <c r="DF107" s="38">
        <f t="shared" si="88"/>
        <v>-98.417944530448025</v>
      </c>
      <c r="DH107">
        <f t="shared" si="68"/>
        <v>9</v>
      </c>
      <c r="DI107">
        <f t="shared" si="89"/>
        <v>206.57086830691145</v>
      </c>
      <c r="DJ107" s="153">
        <f t="shared" si="70"/>
        <v>-8.049436034917786</v>
      </c>
      <c r="DK107" s="153">
        <f t="shared" si="71"/>
        <v>-4.025739623940801</v>
      </c>
      <c r="DL107" s="39">
        <v>0.83333333333333304</v>
      </c>
    </row>
    <row r="108" spans="1:116" x14ac:dyDescent="0.25">
      <c r="A108">
        <v>-1.6</v>
      </c>
      <c r="B108">
        <f t="shared" si="16"/>
        <v>8.8566359301938107</v>
      </c>
      <c r="C108">
        <f t="shared" si="17"/>
        <v>-8.8566359301938107</v>
      </c>
      <c r="D108">
        <f t="shared" si="20"/>
        <v>7.8383671769061696</v>
      </c>
      <c r="E108">
        <f t="shared" si="21"/>
        <v>-7.8383671769061696</v>
      </c>
      <c r="F108">
        <f t="shared" si="24"/>
        <v>6.8146900149603278</v>
      </c>
      <c r="G108">
        <f t="shared" si="25"/>
        <v>-6.8146900149603278</v>
      </c>
      <c r="H108">
        <f t="shared" si="74"/>
        <v>5.7827329179203844</v>
      </c>
      <c r="I108">
        <f t="shared" si="75"/>
        <v>-5.7827329179203844</v>
      </c>
      <c r="J108">
        <f t="shared" si="90"/>
        <v>4.737087712930804</v>
      </c>
      <c r="K108">
        <f t="shared" si="91"/>
        <v>-4.737087712930804</v>
      </c>
      <c r="L108">
        <f t="shared" si="12"/>
        <v>3.666060555964672</v>
      </c>
      <c r="M108">
        <f t="shared" si="13"/>
        <v>-3.666060555964672</v>
      </c>
      <c r="N108">
        <f t="shared" si="14"/>
        <v>2.5377155080899039</v>
      </c>
      <c r="O108">
        <f t="shared" si="15"/>
        <v>-2.5377155080899039</v>
      </c>
      <c r="P108">
        <f t="shared" si="18"/>
        <v>1.1999999999999997</v>
      </c>
      <c r="Q108">
        <f t="shared" si="19"/>
        <v>-1.1999999999999997</v>
      </c>
      <c r="U108" s="153"/>
      <c r="V108" s="153"/>
      <c r="W108" s="153"/>
      <c r="X108" s="153"/>
      <c r="Y108" s="153"/>
      <c r="Z108" s="153"/>
      <c r="AA108" s="153"/>
      <c r="AB108" s="153"/>
      <c r="AO108" s="39">
        <v>0.875</v>
      </c>
      <c r="AP108" s="38">
        <v>-135</v>
      </c>
      <c r="AQ108" s="38">
        <f t="shared" si="30"/>
        <v>-47.358006013278754</v>
      </c>
      <c r="AR108" s="38">
        <f t="shared" si="76"/>
        <v>-84.519330155836997</v>
      </c>
      <c r="AT108">
        <f t="shared" si="32"/>
        <v>9</v>
      </c>
      <c r="AU108">
        <f t="shared" si="77"/>
        <v>200.14480796075449</v>
      </c>
      <c r="AV108" s="153">
        <f t="shared" si="34"/>
        <v>-8.4494268639521586</v>
      </c>
      <c r="AW108" s="153">
        <f t="shared" si="35"/>
        <v>-3.0995460426848935</v>
      </c>
      <c r="AX108" s="39">
        <v>0.875</v>
      </c>
      <c r="AZ108" s="39">
        <v>0.875</v>
      </c>
      <c r="BA108" s="38">
        <v>-135</v>
      </c>
      <c r="BB108" s="38">
        <f t="shared" si="36"/>
        <v>-42.970049900882437</v>
      </c>
      <c r="BC108" s="38">
        <f t="shared" si="78"/>
        <v>-72.992972749272582</v>
      </c>
      <c r="BE108">
        <f t="shared" si="38"/>
        <v>9</v>
      </c>
      <c r="BF108">
        <f t="shared" si="79"/>
        <v>189.50036292821628</v>
      </c>
      <c r="BG108" s="153">
        <f t="shared" si="40"/>
        <v>-8.87656100451896</v>
      </c>
      <c r="BH108" s="153">
        <f t="shared" si="41"/>
        <v>-1.4854846795081202</v>
      </c>
      <c r="BI108" s="39">
        <v>0.875</v>
      </c>
      <c r="BK108" s="39">
        <v>0.875</v>
      </c>
      <c r="BL108" s="38">
        <v>-135</v>
      </c>
      <c r="BM108" s="38">
        <f t="shared" si="42"/>
        <v>-35.619953941187866</v>
      </c>
      <c r="BN108" s="38">
        <f t="shared" si="80"/>
        <v>-60.195037330045565</v>
      </c>
      <c r="BP108">
        <f t="shared" si="44"/>
        <v>9</v>
      </c>
      <c r="BQ108">
        <f t="shared" si="81"/>
        <v>175.40261833167796</v>
      </c>
      <c r="BR108" s="153">
        <f t="shared" si="72"/>
        <v>-8.9710428814800558</v>
      </c>
      <c r="BS108" s="153">
        <f t="shared" si="73"/>
        <v>0.72138035643204745</v>
      </c>
      <c r="BT108" s="39">
        <v>0.875</v>
      </c>
      <c r="BV108" s="39">
        <v>0.875</v>
      </c>
      <c r="BW108" s="38">
        <v>-135</v>
      </c>
      <c r="BX108" s="38">
        <f t="shared" si="48"/>
        <v>-28.177692758769616</v>
      </c>
      <c r="BY108" s="38">
        <f t="shared" si="82"/>
        <v>-50.823092297341248</v>
      </c>
      <c r="CA108">
        <f t="shared" si="50"/>
        <v>9</v>
      </c>
      <c r="CB108">
        <f t="shared" si="83"/>
        <v>162.88809257849533</v>
      </c>
      <c r="CC108" s="153">
        <f t="shared" si="52"/>
        <v>-8.6015869704594792</v>
      </c>
      <c r="CD108" s="153">
        <f t="shared" si="53"/>
        <v>2.6481505979875326</v>
      </c>
      <c r="CE108" s="39">
        <v>0.875</v>
      </c>
      <c r="CG108" s="39">
        <v>0.875</v>
      </c>
      <c r="CH108" s="38">
        <v>-135</v>
      </c>
      <c r="CI108" s="38">
        <f t="shared" si="54"/>
        <v>-22.981260259153483</v>
      </c>
      <c r="CJ108" s="38">
        <f t="shared" si="84"/>
        <v>-45.392932124001135</v>
      </c>
      <c r="CL108">
        <f t="shared" si="56"/>
        <v>9</v>
      </c>
      <c r="CM108">
        <f t="shared" si="85"/>
        <v>154.57217671264948</v>
      </c>
      <c r="CN108" s="153">
        <f t="shared" si="58"/>
        <v>-8.1281420283668258</v>
      </c>
      <c r="CO108" s="153">
        <f t="shared" si="59"/>
        <v>3.8643637466854521</v>
      </c>
      <c r="CP108" s="39">
        <v>0.875</v>
      </c>
      <c r="CR108" s="39">
        <v>0.875</v>
      </c>
      <c r="CS108" s="38">
        <v>-135</v>
      </c>
      <c r="CT108" s="38">
        <f t="shared" si="60"/>
        <v>-21.932757611792816</v>
      </c>
      <c r="CU108" s="38">
        <f t="shared" si="86"/>
        <v>-44.372564277814263</v>
      </c>
      <c r="CW108">
        <f t="shared" si="62"/>
        <v>9</v>
      </c>
      <c r="CX108">
        <f t="shared" si="87"/>
        <v>152.9128608915928</v>
      </c>
      <c r="CY108" s="153">
        <f t="shared" si="64"/>
        <v>-8.0128353242451471</v>
      </c>
      <c r="CZ108" s="153">
        <f t="shared" si="65"/>
        <v>4.0981056680531287</v>
      </c>
      <c r="DA108" s="39">
        <v>0.875</v>
      </c>
      <c r="DC108" s="39">
        <v>0.875</v>
      </c>
      <c r="DD108" s="38">
        <v>-135</v>
      </c>
      <c r="DE108" s="38">
        <f t="shared" si="66"/>
        <v>-49.357961668366194</v>
      </c>
      <c r="DF108" s="38">
        <f t="shared" si="88"/>
        <v>-92.227199589722318</v>
      </c>
      <c r="DH108">
        <f t="shared" si="68"/>
        <v>9</v>
      </c>
      <c r="DI108">
        <f t="shared" si="89"/>
        <v>206.57086830691145</v>
      </c>
      <c r="DJ108" s="153">
        <f t="shared" si="70"/>
        <v>-8.049436034917786</v>
      </c>
      <c r="DK108" s="153">
        <f t="shared" si="71"/>
        <v>-4.025739623940801</v>
      </c>
      <c r="DL108" s="39">
        <v>0.875</v>
      </c>
    </row>
    <row r="109" spans="1:116" x14ac:dyDescent="0.25">
      <c r="A109">
        <v>-1.7</v>
      </c>
      <c r="B109">
        <f t="shared" si="16"/>
        <v>8.8379861959611592</v>
      </c>
      <c r="C109">
        <f t="shared" si="17"/>
        <v>-8.8379861959611592</v>
      </c>
      <c r="D109">
        <f t="shared" si="20"/>
        <v>7.8172885324772299</v>
      </c>
      <c r="E109">
        <f t="shared" si="21"/>
        <v>-7.8172885324772299</v>
      </c>
      <c r="F109">
        <f t="shared" si="24"/>
        <v>6.7904344485459838</v>
      </c>
      <c r="G109">
        <f t="shared" si="25"/>
        <v>-6.7904344485459838</v>
      </c>
      <c r="H109">
        <f t="shared" si="74"/>
        <v>5.7541289523263206</v>
      </c>
      <c r="I109">
        <f t="shared" si="75"/>
        <v>-5.7541289523263206</v>
      </c>
      <c r="J109">
        <f t="shared" si="90"/>
        <v>4.702127178203499</v>
      </c>
      <c r="K109">
        <f t="shared" si="91"/>
        <v>-4.702127178203499</v>
      </c>
      <c r="L109">
        <f t="shared" si="12"/>
        <v>3.6207733980463344</v>
      </c>
      <c r="M109">
        <f t="shared" si="13"/>
        <v>-3.6207733980463344</v>
      </c>
      <c r="N109">
        <f t="shared" si="14"/>
        <v>2.4718414188616551</v>
      </c>
      <c r="O109">
        <f t="shared" si="15"/>
        <v>-2.4718414188616551</v>
      </c>
      <c r="P109">
        <f t="shared" si="18"/>
        <v>1.0535653752852741</v>
      </c>
      <c r="Q109">
        <f t="shared" si="19"/>
        <v>-1.0535653752852741</v>
      </c>
      <c r="U109" s="153"/>
      <c r="V109" s="153"/>
      <c r="W109" s="153"/>
      <c r="X109" s="153"/>
      <c r="Y109" s="153"/>
      <c r="Z109" s="153"/>
      <c r="AA109" s="153"/>
      <c r="AB109" s="153"/>
      <c r="AO109" s="39">
        <v>0.91666666666666696</v>
      </c>
      <c r="AP109" s="38">
        <v>-150</v>
      </c>
      <c r="AQ109" s="38">
        <f t="shared" si="30"/>
        <v>-60.232400619509299</v>
      </c>
      <c r="AR109" s="38">
        <f t="shared" si="76"/>
        <v>-73.818841067034114</v>
      </c>
      <c r="AT109">
        <f t="shared" si="32"/>
        <v>9</v>
      </c>
      <c r="AU109">
        <f t="shared" si="77"/>
        <v>200.14480796075449</v>
      </c>
      <c r="AV109" s="153">
        <f t="shared" si="34"/>
        <v>-8.4494268639521586</v>
      </c>
      <c r="AW109" s="153">
        <f t="shared" si="35"/>
        <v>-3.0995460426848935</v>
      </c>
      <c r="AX109" s="39">
        <v>0.91666666666666696</v>
      </c>
      <c r="AY109" s="13"/>
      <c r="AZ109" s="39">
        <v>0.91666666666666696</v>
      </c>
      <c r="BA109" s="38">
        <v>-150</v>
      </c>
      <c r="BB109" s="38">
        <f t="shared" si="36"/>
        <v>-54.989718040976605</v>
      </c>
      <c r="BC109" s="38">
        <f t="shared" si="78"/>
        <v>-59.585502367486896</v>
      </c>
      <c r="BE109">
        <f t="shared" si="38"/>
        <v>9</v>
      </c>
      <c r="BF109">
        <f t="shared" si="79"/>
        <v>189.50036292821628</v>
      </c>
      <c r="BG109" s="153">
        <f t="shared" si="40"/>
        <v>-8.87656100451896</v>
      </c>
      <c r="BH109" s="153">
        <f t="shared" si="41"/>
        <v>-1.4854846795081202</v>
      </c>
      <c r="BI109" s="39">
        <v>0.91666666666666696</v>
      </c>
      <c r="BK109" s="39">
        <v>0.91666666666666696</v>
      </c>
      <c r="BL109" s="38">
        <v>-150</v>
      </c>
      <c r="BM109" s="38">
        <f t="shared" si="42"/>
        <v>-46.133018433380855</v>
      </c>
      <c r="BN109" s="38">
        <f t="shared" si="80"/>
        <v>-46.033218302412109</v>
      </c>
      <c r="BP109">
        <f t="shared" si="44"/>
        <v>9</v>
      </c>
      <c r="BQ109">
        <f t="shared" si="81"/>
        <v>175.40261833167796</v>
      </c>
      <c r="BR109" s="153">
        <f t="shared" si="72"/>
        <v>-8.9710428814800558</v>
      </c>
      <c r="BS109" s="153">
        <f t="shared" si="73"/>
        <v>0.72138035643204745</v>
      </c>
      <c r="BT109" s="39">
        <v>0.91666666666666696</v>
      </c>
      <c r="BV109" s="39">
        <v>0.91666666666666696</v>
      </c>
      <c r="BW109" s="38">
        <v>-150</v>
      </c>
      <c r="BX109" s="38">
        <f t="shared" si="48"/>
        <v>-37.33129672095771</v>
      </c>
      <c r="BY109" s="38">
        <f t="shared" si="82"/>
        <v>-37.421390721411996</v>
      </c>
      <c r="CA109">
        <f t="shared" si="50"/>
        <v>9</v>
      </c>
      <c r="CB109">
        <f t="shared" si="83"/>
        <v>162.88809257849533</v>
      </c>
      <c r="CC109" s="153">
        <f t="shared" si="52"/>
        <v>-8.6015869704594792</v>
      </c>
      <c r="CD109" s="153">
        <f t="shared" si="53"/>
        <v>2.6481505979875326</v>
      </c>
      <c r="CE109" s="39">
        <v>0.91666666666666696</v>
      </c>
      <c r="CG109" s="39">
        <v>0.91666666666666696</v>
      </c>
      <c r="CH109" s="38">
        <v>-150</v>
      </c>
      <c r="CI109" s="38">
        <f t="shared" si="54"/>
        <v>-31.276362355278998</v>
      </c>
      <c r="CJ109" s="38">
        <f t="shared" si="84"/>
        <v>-32.838198459563159</v>
      </c>
      <c r="CL109">
        <f t="shared" si="56"/>
        <v>9</v>
      </c>
      <c r="CM109">
        <f t="shared" si="85"/>
        <v>154.57217671264948</v>
      </c>
      <c r="CN109" s="153">
        <f t="shared" si="58"/>
        <v>-8.1281420283668258</v>
      </c>
      <c r="CO109" s="153">
        <f t="shared" si="59"/>
        <v>3.8643637466854521</v>
      </c>
      <c r="CP109" s="39">
        <v>0.91666666666666696</v>
      </c>
      <c r="CR109" s="39">
        <v>0.91666666666666696</v>
      </c>
      <c r="CS109" s="38">
        <v>-150</v>
      </c>
      <c r="CT109" s="38">
        <f t="shared" si="60"/>
        <v>-30.061756873161897</v>
      </c>
      <c r="CU109" s="38">
        <f t="shared" si="86"/>
        <v>-32.005223707712958</v>
      </c>
      <c r="CW109">
        <f t="shared" si="62"/>
        <v>9</v>
      </c>
      <c r="CX109">
        <f t="shared" si="87"/>
        <v>152.9128608915928</v>
      </c>
      <c r="CY109" s="153">
        <f t="shared" si="64"/>
        <v>-8.0128353242451471</v>
      </c>
      <c r="CZ109" s="153">
        <f t="shared" si="65"/>
        <v>4.0981056680531287</v>
      </c>
      <c r="DA109" s="39">
        <v>0.91666666666666696</v>
      </c>
      <c r="DC109" s="39">
        <v>0.91666666666666696</v>
      </c>
      <c r="DD109" s="38">
        <v>-150</v>
      </c>
      <c r="DE109" s="38">
        <f t="shared" si="66"/>
        <v>-62.452473976782521</v>
      </c>
      <c r="DF109" s="38">
        <f t="shared" si="88"/>
        <v>-84.319044517006716</v>
      </c>
      <c r="DH109">
        <f t="shared" si="68"/>
        <v>9</v>
      </c>
      <c r="DI109">
        <f t="shared" si="89"/>
        <v>206.57086830691145</v>
      </c>
      <c r="DJ109" s="153">
        <f t="shared" si="70"/>
        <v>-8.049436034917786</v>
      </c>
      <c r="DK109" s="153">
        <f t="shared" si="71"/>
        <v>-4.025739623940801</v>
      </c>
      <c r="DL109" s="39">
        <v>0.91666666666666696</v>
      </c>
    </row>
    <row r="110" spans="1:116" x14ac:dyDescent="0.25">
      <c r="A110">
        <v>-1.8</v>
      </c>
      <c r="B110">
        <f t="shared" si="16"/>
        <v>8.8181630740194414</v>
      </c>
      <c r="C110">
        <f t="shared" si="17"/>
        <v>-8.8181630740194414</v>
      </c>
      <c r="D110">
        <f t="shared" si="20"/>
        <v>7.7948701079620308</v>
      </c>
      <c r="E110">
        <f t="shared" si="21"/>
        <v>-7.7948701079620308</v>
      </c>
      <c r="F110">
        <f t="shared" si="24"/>
        <v>6.7646138101151054</v>
      </c>
      <c r="G110">
        <f t="shared" si="25"/>
        <v>-6.7646138101151054</v>
      </c>
      <c r="H110">
        <f t="shared" si="74"/>
        <v>5.7236352085016735</v>
      </c>
      <c r="I110">
        <f t="shared" si="75"/>
        <v>-5.7236352085016735</v>
      </c>
      <c r="J110">
        <f t="shared" si="90"/>
        <v>4.6647615158762399</v>
      </c>
      <c r="K110">
        <f t="shared" si="91"/>
        <v>-4.6647615158762399</v>
      </c>
      <c r="L110">
        <f t="shared" si="12"/>
        <v>3.5721142198983502</v>
      </c>
      <c r="M110">
        <f t="shared" si="13"/>
        <v>-3.5721142198983502</v>
      </c>
      <c r="N110">
        <f t="shared" si="14"/>
        <v>2.4</v>
      </c>
      <c r="O110">
        <f t="shared" si="15"/>
        <v>-2.4</v>
      </c>
      <c r="P110">
        <f t="shared" si="18"/>
        <v>0.87177978870813455</v>
      </c>
      <c r="Q110">
        <f t="shared" si="19"/>
        <v>-0.87177978870813455</v>
      </c>
      <c r="U110" s="153"/>
      <c r="V110" s="153"/>
      <c r="W110" s="153"/>
      <c r="X110" s="153"/>
      <c r="Y110" s="153"/>
      <c r="Z110" s="153"/>
      <c r="AA110" s="153"/>
      <c r="AB110" s="153"/>
      <c r="AE110" t="s">
        <v>108</v>
      </c>
      <c r="AF110" t="str">
        <f>+'Control Solar 1er Sem'!N12</f>
        <v>SI</v>
      </c>
      <c r="AO110" s="39">
        <v>0.95833333333333304</v>
      </c>
      <c r="AP110" s="38">
        <v>-165</v>
      </c>
      <c r="AQ110" s="38">
        <f t="shared" si="30"/>
        <v>-72.046150944645134</v>
      </c>
      <c r="AR110" s="38">
        <f t="shared" si="76"/>
        <v>-53.197388177510931</v>
      </c>
      <c r="AT110">
        <f t="shared" si="32"/>
        <v>9</v>
      </c>
      <c r="AU110">
        <f t="shared" si="77"/>
        <v>200.14480796075449</v>
      </c>
      <c r="AV110" s="153">
        <f t="shared" si="34"/>
        <v>-8.4494268639521586</v>
      </c>
      <c r="AW110" s="153">
        <f t="shared" si="35"/>
        <v>-3.0995460426848935</v>
      </c>
      <c r="AX110" s="39">
        <v>0.95833333333333304</v>
      </c>
      <c r="AY110" s="13"/>
      <c r="AZ110" s="39">
        <v>0.95833333333333304</v>
      </c>
      <c r="BA110" s="38">
        <v>-165</v>
      </c>
      <c r="BB110" s="38">
        <f t="shared" si="36"/>
        <v>-64.883038153692766</v>
      </c>
      <c r="BC110" s="38">
        <f t="shared" si="78"/>
        <v>-37.111855036527061</v>
      </c>
      <c r="BE110">
        <f t="shared" si="38"/>
        <v>9</v>
      </c>
      <c r="BF110">
        <f t="shared" si="79"/>
        <v>189.50036292821628</v>
      </c>
      <c r="BG110" s="153">
        <f t="shared" si="40"/>
        <v>-8.87656100451896</v>
      </c>
      <c r="BH110" s="153">
        <f t="shared" si="41"/>
        <v>-1.4854846795081202</v>
      </c>
      <c r="BI110" s="39">
        <v>0.95833333333333304</v>
      </c>
      <c r="BK110" s="39">
        <v>0.95833333333333304</v>
      </c>
      <c r="BL110" s="38">
        <v>-165</v>
      </c>
      <c r="BM110" s="38">
        <f t="shared" si="42"/>
        <v>-53.905193379238668</v>
      </c>
      <c r="BN110" s="38">
        <f t="shared" si="80"/>
        <v>-25.992283534126898</v>
      </c>
      <c r="BP110">
        <f t="shared" si="44"/>
        <v>9</v>
      </c>
      <c r="BQ110">
        <f t="shared" si="81"/>
        <v>175.40261833167796</v>
      </c>
      <c r="BR110" s="153">
        <f t="shared" si="72"/>
        <v>-8.9710428814800558</v>
      </c>
      <c r="BS110" s="153">
        <f t="shared" si="73"/>
        <v>0.72138035643204745</v>
      </c>
      <c r="BT110" s="39">
        <v>0.95833333333333304</v>
      </c>
      <c r="BV110" s="39">
        <v>0.95833333333333304</v>
      </c>
      <c r="BW110" s="38">
        <v>-165</v>
      </c>
      <c r="BX110" s="38">
        <f t="shared" si="48"/>
        <v>-43.692996391273049</v>
      </c>
      <c r="BY110" s="38">
        <f t="shared" si="82"/>
        <v>-20.237754688613791</v>
      </c>
      <c r="CA110">
        <f t="shared" si="50"/>
        <v>9</v>
      </c>
      <c r="CB110">
        <f t="shared" si="83"/>
        <v>162.88809257849533</v>
      </c>
      <c r="CC110" s="153">
        <f t="shared" si="52"/>
        <v>-8.6015869704594792</v>
      </c>
      <c r="CD110" s="153">
        <f t="shared" si="53"/>
        <v>2.6481505979875326</v>
      </c>
      <c r="CE110" s="39">
        <v>0.95833333333333304</v>
      </c>
      <c r="CG110" s="39">
        <v>0.95833333333333304</v>
      </c>
      <c r="CH110" s="38">
        <v>-165</v>
      </c>
      <c r="CI110" s="38">
        <f t="shared" si="54"/>
        <v>-36.876609818260775</v>
      </c>
      <c r="CJ110" s="38">
        <f t="shared" si="84"/>
        <v>-17.452108433901259</v>
      </c>
      <c r="CL110">
        <f t="shared" si="56"/>
        <v>9</v>
      </c>
      <c r="CM110">
        <f t="shared" si="85"/>
        <v>154.57217671264948</v>
      </c>
      <c r="CN110" s="153">
        <f t="shared" si="58"/>
        <v>-8.1281420283668258</v>
      </c>
      <c r="CO110" s="153">
        <f t="shared" si="59"/>
        <v>3.8643637466854521</v>
      </c>
      <c r="CP110" s="39">
        <v>0.95833333333333304</v>
      </c>
      <c r="CR110" s="39">
        <v>0.95833333333333304</v>
      </c>
      <c r="CS110" s="38">
        <v>-165</v>
      </c>
      <c r="CT110" s="38">
        <f t="shared" si="60"/>
        <v>-35.522989333110012</v>
      </c>
      <c r="CU110" s="38">
        <f t="shared" si="86"/>
        <v>-16.962222906987591</v>
      </c>
      <c r="CW110">
        <f t="shared" si="62"/>
        <v>9</v>
      </c>
      <c r="CX110">
        <f t="shared" si="87"/>
        <v>152.9128608915928</v>
      </c>
      <c r="CY110" s="153">
        <f t="shared" si="64"/>
        <v>-8.0128353242451471</v>
      </c>
      <c r="CZ110" s="153">
        <f t="shared" si="65"/>
        <v>4.0981056680531287</v>
      </c>
      <c r="DA110" s="39">
        <v>0.95833333333333304</v>
      </c>
      <c r="DC110" s="39">
        <v>0.95833333333333304</v>
      </c>
      <c r="DD110" s="38">
        <v>-165</v>
      </c>
      <c r="DE110" s="38">
        <f t="shared" si="66"/>
        <v>-75.23679981258222</v>
      </c>
      <c r="DF110" s="38">
        <f t="shared" si="88"/>
        <v>-69.204392711010712</v>
      </c>
      <c r="DH110">
        <f t="shared" si="68"/>
        <v>9</v>
      </c>
      <c r="DI110">
        <f t="shared" si="89"/>
        <v>206.57086830691145</v>
      </c>
      <c r="DJ110" s="153">
        <f t="shared" si="70"/>
        <v>-8.049436034917786</v>
      </c>
      <c r="DK110" s="153">
        <f t="shared" si="71"/>
        <v>-4.025739623940801</v>
      </c>
      <c r="DL110" s="39">
        <v>0.95833333333333304</v>
      </c>
    </row>
    <row r="111" spans="1:116" x14ac:dyDescent="0.25">
      <c r="A111">
        <v>-1.9</v>
      </c>
      <c r="B111">
        <f t="shared" si="16"/>
        <v>8.7971586321948294</v>
      </c>
      <c r="C111">
        <f t="shared" si="17"/>
        <v>-8.7971586321948294</v>
      </c>
      <c r="D111">
        <f t="shared" si="20"/>
        <v>7.7711003081931711</v>
      </c>
      <c r="E111">
        <f t="shared" si="21"/>
        <v>-7.7711003081931711</v>
      </c>
      <c r="F111">
        <f t="shared" si="24"/>
        <v>6.7372101050805888</v>
      </c>
      <c r="G111">
        <f t="shared" si="25"/>
        <v>-6.7372101050805888</v>
      </c>
      <c r="H111">
        <f t="shared" si="74"/>
        <v>5.6912213100528781</v>
      </c>
      <c r="I111">
        <f t="shared" si="75"/>
        <v>-5.6912213100528781</v>
      </c>
      <c r="J111">
        <f t="shared" si="90"/>
        <v>4.6249324319388707</v>
      </c>
      <c r="K111">
        <f t="shared" si="91"/>
        <v>-4.6249324319388707</v>
      </c>
      <c r="L111">
        <f t="shared" si="12"/>
        <v>3.5199431813596083</v>
      </c>
      <c r="M111">
        <f t="shared" si="13"/>
        <v>-3.5199431813596083</v>
      </c>
      <c r="N111">
        <f t="shared" si="14"/>
        <v>2.32163735324878</v>
      </c>
      <c r="O111">
        <f t="shared" si="15"/>
        <v>-2.32163735324878</v>
      </c>
      <c r="P111">
        <f t="shared" si="18"/>
        <v>0.62449979983983994</v>
      </c>
      <c r="Q111">
        <f t="shared" si="19"/>
        <v>-0.62449979983983994</v>
      </c>
      <c r="U111" s="153"/>
      <c r="V111" s="153"/>
      <c r="W111" s="153"/>
      <c r="X111" s="153"/>
      <c r="Y111" s="153"/>
      <c r="Z111" s="153"/>
      <c r="AA111" s="153"/>
      <c r="AB111" s="153"/>
      <c r="AE111" t="s">
        <v>107</v>
      </c>
      <c r="AF111" t="str">
        <f>+'Control Solar 1er Sem'!N26</f>
        <v>si</v>
      </c>
      <c r="AO111" s="39">
        <v>1</v>
      </c>
      <c r="AP111" s="38">
        <v>-180</v>
      </c>
      <c r="AQ111" s="38">
        <f t="shared" si="30"/>
        <v>-78.436495456484224</v>
      </c>
      <c r="AR111" s="38">
        <f>IF(((((SIN(RADIANS(AQ111)))*SIN(RADIANS($AR$85)))-SIN(RADIANS($AQ$85)))/((COS(RADIANS(AQ111)))*COS(RADIANS($AR$85))))&lt;=-1,-(180-DEGREES(ACOS(-1))),IF(((((SIN(RADIANS(AQ111)))*SIN(RADIANS($AR$85)))-SIN(RADIANS($AQ$85)))/((COS(RADIANS(AQ111)))*COS(RADIANS($AR$85))))&gt;=1,-(180-DEGREES(ACOS(1))),-(180-DEGREES(ACOS((((SIN(RADIANS(AQ111)))*SIN(RADIANS($AR$85)))-SIN(RADIANS($AQ$85)))/((COS(RADIANS(AQ111)))*COS(RADIANS($AR$85))))))))</f>
        <v>0</v>
      </c>
      <c r="AT111">
        <f t="shared" si="32"/>
        <v>9</v>
      </c>
      <c r="AU111">
        <f t="shared" si="77"/>
        <v>200.14480796075449</v>
      </c>
      <c r="AV111" s="153">
        <f t="shared" si="34"/>
        <v>-8.4494268639521586</v>
      </c>
      <c r="AW111" s="153">
        <f t="shared" si="35"/>
        <v>-3.0995460426848935</v>
      </c>
      <c r="AX111" s="39">
        <v>1</v>
      </c>
      <c r="AY111" s="13"/>
      <c r="AZ111" s="39">
        <v>1</v>
      </c>
      <c r="BA111" s="38">
        <v>-180</v>
      </c>
      <c r="BB111" s="38">
        <f t="shared" si="36"/>
        <v>-69.213705065035924</v>
      </c>
      <c r="BC111" s="38">
        <f>IF(((((SIN(RADIANS(BB111)))*SIN(RADIANS($BC$85)))-SIN(RADIANS($BC$85)))/((COS(RADIANS(BB111)))*COS(RADIANS($BC$85))))&lt;=-1,-(180-DEGREES(ACOS(-1))),IF(((((SIN(RADIANS(BB111)))*SIN(RADIANS($BC$85)))-SIN(RADIANS($BC$85)))/((COS(RADIANS(BB111)))*COS(RADIANS($BC$85))))&gt;=1,-(180-DEGREES(ACOS(1))),-(180-DEGREES(ACOS((((SIN(RADIANS(BB111)))*SIN(RADIANS($BC$85)))-SIN(RADIANS($BB$85)))/((COS(RADIANS(BB111)))*COS(RADIANS($BC$85))))))))</f>
        <v>0</v>
      </c>
      <c r="BE111">
        <f t="shared" si="38"/>
        <v>9</v>
      </c>
      <c r="BF111">
        <f t="shared" si="79"/>
        <v>189.50036292821628</v>
      </c>
      <c r="BG111" s="153">
        <f t="shared" si="40"/>
        <v>-8.87656100451896</v>
      </c>
      <c r="BH111" s="153">
        <f t="shared" si="41"/>
        <v>-1.4854846795081202</v>
      </c>
      <c r="BI111" s="39">
        <v>1</v>
      </c>
      <c r="BK111" s="39">
        <v>1</v>
      </c>
      <c r="BL111" s="38">
        <v>-180</v>
      </c>
      <c r="BM111" s="38">
        <f t="shared" si="42"/>
        <v>-56.903175768944351</v>
      </c>
      <c r="BN111" s="38">
        <f>IF(((((SIN(RADIANS(BM111)))*SIN(RADIANS($BN$85)))-SIN(RADIANS($BN$85)))/((COS(RADIANS(BM111)))*COS(RADIANS($BN$85))))&lt;=-1,-(180-DEGREES(ACOS(-1))),-(180-DEGREES(ACOS((((SIN(RADIANS(BM111)))*SIN(RADIANS($BN$85)))-SIN(RADIANS($BM$85)))/((COS(RADIANS(BM111)))*COS(RADIANS($BN$85)))))))</f>
        <v>0</v>
      </c>
      <c r="BP111">
        <f t="shared" si="44"/>
        <v>9</v>
      </c>
      <c r="BQ111">
        <f t="shared" si="81"/>
        <v>175.40261833167796</v>
      </c>
      <c r="BR111" s="153">
        <f t="shared" si="72"/>
        <v>-8.9710428814800558</v>
      </c>
      <c r="BS111" s="153">
        <f t="shared" si="73"/>
        <v>0.72138035643204745</v>
      </c>
      <c r="BT111" s="39">
        <v>1</v>
      </c>
      <c r="BV111" s="39">
        <v>1</v>
      </c>
      <c r="BW111" s="38">
        <v>-180</v>
      </c>
      <c r="BX111" s="38">
        <f t="shared" si="48"/>
        <v>-46.019112544125342</v>
      </c>
      <c r="BY111" s="38">
        <f>IF(((((SIN(RADIANS(BX111)))*SIN(RADIANS($BY$85)))-SIN(RADIANS($BX$85)))/((COS(RADIANS(BX111)))*COS(RADIANS($BY$85))))&gt;=-1,-(180-DEGREES(ACOS(-1))),-(180-DEGREES(ACOS((((SIN(RADIANS(BX111)))*SIN(RADIANS($BY$85)))-SIN(RADIANS($BX$85)))/((COS(RADIANS(BX111)))*COS(RADIANS($BY$85)))))))</f>
        <v>0</v>
      </c>
      <c r="CA111">
        <f t="shared" si="50"/>
        <v>9</v>
      </c>
      <c r="CB111">
        <f t="shared" si="83"/>
        <v>162.88809257849533</v>
      </c>
      <c r="CC111" s="153">
        <f t="shared" si="52"/>
        <v>-8.6015869704594792</v>
      </c>
      <c r="CD111" s="153">
        <f t="shared" si="53"/>
        <v>2.6481505979875326</v>
      </c>
      <c r="CE111" s="39">
        <v>1</v>
      </c>
      <c r="CG111" s="39">
        <v>1</v>
      </c>
      <c r="CH111" s="38">
        <v>-180</v>
      </c>
      <c r="CI111" s="38">
        <f t="shared" si="54"/>
        <v>-38.880375441262558</v>
      </c>
      <c r="CJ111" s="38">
        <f>IF(((((SIN(RADIANS(CI111)))*SIN(RADIANS($CJ$85)))-SIN(RADIANS($CI$85)))/((COS(RADIANS(CI111)))*COS(RADIANS($CJ$85))))&lt;=-1,-(180-DEGREES(ACOS(-1))),-(180-DEGREES(ACOS((((SIN(RADIANS(CI111)))*SIN(RADIANS($CJ$85)))-SIN(RADIANS($CI$85)))/((COS(RADIANS(CI111)))*COS(RADIANS($CJ$85)))))))</f>
        <v>0</v>
      </c>
      <c r="CL111">
        <f t="shared" si="56"/>
        <v>9</v>
      </c>
      <c r="CM111">
        <f t="shared" si="85"/>
        <v>154.57217671264948</v>
      </c>
      <c r="CN111" s="153">
        <f t="shared" si="58"/>
        <v>-8.1281420283668258</v>
      </c>
      <c r="CO111" s="153">
        <f t="shared" si="59"/>
        <v>3.8643637466854521</v>
      </c>
      <c r="CP111" s="39">
        <v>1</v>
      </c>
      <c r="CR111" s="39">
        <v>1</v>
      </c>
      <c r="CS111" s="38">
        <v>-180</v>
      </c>
      <c r="CT111" s="38">
        <f t="shared" si="60"/>
        <v>-37.47021715318634</v>
      </c>
      <c r="CU111" s="38">
        <f>IF(((((SIN(RADIANS(CT111)))*SIN(RADIANS($CU$85)))-SIN(RADIANS($CT$85)))/((COS(RADIANS(CT111)))*COS(RADIANS($CU$85))))&gt;=-1,-(180-DEGREES(ACOS(-1))),-(180-DEGREES(ACOS((((SIN(RADIANS(CT111)))*SIN(RADIANS($CU$85)))-SIN(RADIANS($CT$85)))/((COS(RADIANS(CT111)))*COS(RADIANS($CU$85)))))))</f>
        <v>0</v>
      </c>
      <c r="CW111">
        <f t="shared" si="62"/>
        <v>9</v>
      </c>
      <c r="CX111">
        <f t="shared" si="87"/>
        <v>152.9128608915928</v>
      </c>
      <c r="CY111" s="153">
        <f t="shared" si="64"/>
        <v>-8.0128353242451471</v>
      </c>
      <c r="CZ111" s="153">
        <f t="shared" si="65"/>
        <v>4.0981056680531287</v>
      </c>
      <c r="DA111" s="39">
        <v>1</v>
      </c>
      <c r="DC111" s="39">
        <v>1</v>
      </c>
      <c r="DD111" s="38">
        <v>-180</v>
      </c>
      <c r="DE111" s="38">
        <f t="shared" si="66"/>
        <v>-83.931636727869119</v>
      </c>
      <c r="DF111" s="38">
        <f>IF(((((SIN(RADIANS(DE111)))*SIN(RADIANS($DF$85)))-SIN(RADIANS($DF$85)))/((COS(RADIANS(DE111)))*COS(RADIANS($DF$85))))&lt;=-1,-(180-DEGREES(ACOS(-1))),IF(((((SIN(RADIANS(DE111)))*SIN(RADIANS($DF$85)))-SIN(RADIANS($DF$85)))/((COS(RADIANS(DE111)))*COS(RADIANS($DF$85))))&gt;=1,-(180-DEGREES(ACOS(1))),-(180-DEGREES(ACOS((((SIN(RADIANS(DE111)))*SIN(RADIANS($DF$85)))-SIN(RADIANS($DE$85)))/((COS(RADIANS(DE111)))*COS(RADIANS($DF$85))))))))</f>
        <v>0</v>
      </c>
      <c r="DH111">
        <f t="shared" si="68"/>
        <v>9</v>
      </c>
      <c r="DI111">
        <f t="shared" si="89"/>
        <v>206.57086830691145</v>
      </c>
      <c r="DJ111" s="153">
        <f t="shared" si="70"/>
        <v>-8.049436034917786</v>
      </c>
      <c r="DK111" s="153">
        <f t="shared" si="71"/>
        <v>-4.025739623940801</v>
      </c>
      <c r="DL111" s="39">
        <v>1</v>
      </c>
    </row>
    <row r="112" spans="1:116" x14ac:dyDescent="0.25">
      <c r="A112">
        <v>-2</v>
      </c>
      <c r="B112">
        <f t="shared" si="16"/>
        <v>8.7749643873921226</v>
      </c>
      <c r="C112">
        <f t="shared" si="17"/>
        <v>-8.7749643873921226</v>
      </c>
      <c r="D112">
        <f t="shared" si="20"/>
        <v>7.745966692414834</v>
      </c>
      <c r="E112">
        <f t="shared" si="21"/>
        <v>-7.745966692414834</v>
      </c>
      <c r="F112">
        <f t="shared" si="24"/>
        <v>6.7082039324993694</v>
      </c>
      <c r="G112">
        <f t="shared" si="25"/>
        <v>-6.7082039324993694</v>
      </c>
      <c r="H112">
        <f t="shared" si="74"/>
        <v>5.6568542494923806</v>
      </c>
      <c r="I112">
        <f t="shared" si="75"/>
        <v>-5.6568542494923806</v>
      </c>
      <c r="J112">
        <f t="shared" si="90"/>
        <v>4.5825756949558398</v>
      </c>
      <c r="K112">
        <f t="shared" si="91"/>
        <v>-4.5825756949558398</v>
      </c>
      <c r="L112">
        <f t="shared" si="12"/>
        <v>3.4641016151377544</v>
      </c>
      <c r="M112">
        <f t="shared" si="13"/>
        <v>-3.4641016151377544</v>
      </c>
      <c r="N112">
        <f t="shared" si="14"/>
        <v>2.2360679774997898</v>
      </c>
      <c r="O112">
        <f t="shared" si="15"/>
        <v>-2.2360679774997898</v>
      </c>
      <c r="P112">
        <f t="shared" si="18"/>
        <v>0</v>
      </c>
      <c r="Q112">
        <f t="shared" si="19"/>
        <v>0</v>
      </c>
      <c r="U112" s="153"/>
      <c r="V112" s="153"/>
      <c r="W112" s="153"/>
      <c r="X112" s="153"/>
      <c r="Y112" s="153"/>
      <c r="Z112" s="153"/>
      <c r="AA112" s="153"/>
      <c r="AB112" s="153"/>
      <c r="AO112" s="39">
        <v>1.0416666666666701</v>
      </c>
      <c r="AP112" s="38">
        <v>-195</v>
      </c>
      <c r="AQ112" s="38">
        <f t="shared" si="30"/>
        <v>-72.046150944645134</v>
      </c>
      <c r="AR112" s="38">
        <f>-(180-DEGREES(ACOS((((SIN(RADIANS(AQ112)))*SIN(RADIANS($AR$85)))-SIN(RADIANS($AQ$85)))/((COS(RADIANS(AQ112)))*COS(RADIANS($AR$85))))))</f>
        <v>-53.197388177510931</v>
      </c>
      <c r="AT112">
        <f t="shared" si="32"/>
        <v>9</v>
      </c>
      <c r="AU112">
        <f t="shared" si="77"/>
        <v>200.14480796075449</v>
      </c>
      <c r="AV112" s="153">
        <f t="shared" si="34"/>
        <v>-8.4494268639521586</v>
      </c>
      <c r="AW112" s="153">
        <f t="shared" si="35"/>
        <v>-3.0995460426848935</v>
      </c>
      <c r="AX112" s="39">
        <v>1.0416666666666701</v>
      </c>
      <c r="AZ112" s="39">
        <v>1.0416666666666701</v>
      </c>
      <c r="BA112" s="38">
        <v>-195</v>
      </c>
      <c r="BB112" s="38">
        <f t="shared" si="36"/>
        <v>-64.88303815369278</v>
      </c>
      <c r="BC112" s="38">
        <f>-(180-DEGREES(ACOS((((SIN(RADIANS(BB112)))*SIN(RADIANS($BC$85)))-SIN(RADIANS($BB$85)))/((COS(RADIANS(BB112)))*COS(RADIANS($BC$85))))))</f>
        <v>-37.111855036526975</v>
      </c>
      <c r="BE112">
        <f t="shared" si="38"/>
        <v>9</v>
      </c>
      <c r="BF112">
        <f t="shared" si="79"/>
        <v>189.50036292821628</v>
      </c>
      <c r="BG112" s="153">
        <f t="shared" si="40"/>
        <v>-8.87656100451896</v>
      </c>
      <c r="BH112" s="153">
        <f t="shared" si="41"/>
        <v>-1.4854846795081202</v>
      </c>
      <c r="BI112" s="39">
        <v>1.0416666666666701</v>
      </c>
      <c r="BK112" s="39">
        <v>1.0416666666666701</v>
      </c>
      <c r="BL112" s="38">
        <v>-195</v>
      </c>
      <c r="BM112" s="38">
        <f t="shared" si="42"/>
        <v>-53.905193379238675</v>
      </c>
      <c r="BN112" s="38">
        <f>-(180-DEGREES(ACOS((((SIN(RADIANS(BM112)))*SIN(RADIANS($BN$85)))-SIN(RADIANS($BM$85)))/((COS(RADIANS(BM112)))*COS(RADIANS($BN$85))))))</f>
        <v>-25.992283534126898</v>
      </c>
      <c r="BP112">
        <f t="shared" si="44"/>
        <v>9</v>
      </c>
      <c r="BQ112">
        <f t="shared" si="81"/>
        <v>175.40261833167796</v>
      </c>
      <c r="BR112" s="153">
        <f t="shared" si="72"/>
        <v>-8.9710428814800558</v>
      </c>
      <c r="BS112" s="153">
        <f t="shared" si="73"/>
        <v>0.72138035643204745</v>
      </c>
      <c r="BT112" s="39">
        <v>1.0416666666666701</v>
      </c>
      <c r="BV112" s="39">
        <v>1.0416666666666701</v>
      </c>
      <c r="BW112" s="38">
        <v>-195</v>
      </c>
      <c r="BX112" s="38">
        <f t="shared" si="48"/>
        <v>-43.692996391273056</v>
      </c>
      <c r="BY112" s="38">
        <f>-(180-DEGREES(ACOS((((SIN(RADIANS(BX112)))*SIN(RADIANS($BY$85)))-SIN(RADIANS($BX$85)))/((COS(RADIANS(BX112)))*COS(RADIANS($BY$85))))))</f>
        <v>-20.237754688613734</v>
      </c>
      <c r="CA112">
        <f t="shared" si="50"/>
        <v>9</v>
      </c>
      <c r="CB112">
        <f t="shared" si="83"/>
        <v>162.88809257849533</v>
      </c>
      <c r="CC112" s="153">
        <f t="shared" si="52"/>
        <v>-8.6015869704594792</v>
      </c>
      <c r="CD112" s="153">
        <f t="shared" si="53"/>
        <v>2.6481505979875326</v>
      </c>
      <c r="CE112" s="39">
        <v>1.0416666666666701</v>
      </c>
      <c r="CG112" s="39">
        <v>1.0416666666666701</v>
      </c>
      <c r="CH112" s="38">
        <v>-195</v>
      </c>
      <c r="CI112" s="38">
        <f t="shared" si="54"/>
        <v>-36.876609818260782</v>
      </c>
      <c r="CJ112" s="38">
        <f>-(180-DEGREES(ACOS((((SIN(RADIANS(CI112)))*SIN(RADIANS($CJ$85)))-SIN(RADIANS($CI$85)))/((COS(RADIANS(CI112)))*COS(RADIANS($CJ$85))))))</f>
        <v>-17.45210843390123</v>
      </c>
      <c r="CL112">
        <f t="shared" si="56"/>
        <v>9</v>
      </c>
      <c r="CM112">
        <f t="shared" si="85"/>
        <v>154.57217671264948</v>
      </c>
      <c r="CN112" s="153">
        <f t="shared" si="58"/>
        <v>-8.1281420283668258</v>
      </c>
      <c r="CO112" s="153">
        <f t="shared" si="59"/>
        <v>3.8643637466854521</v>
      </c>
      <c r="CP112" s="39">
        <v>1.0416666666666701</v>
      </c>
      <c r="CR112" s="39">
        <v>1.0416666666666701</v>
      </c>
      <c r="CS112" s="38">
        <v>-195</v>
      </c>
      <c r="CT112" s="38">
        <f t="shared" si="60"/>
        <v>-35.522989333110026</v>
      </c>
      <c r="CU112" s="38">
        <f>-(180-DEGREES(ACOS((((SIN(RADIANS(CT112)))*SIN(RADIANS($CU$85)))-SIN(RADIANS($CT$85)))/((COS(RADIANS(CT112)))*COS(RADIANS($CU$85))))))</f>
        <v>-16.962222906987535</v>
      </c>
      <c r="CW112">
        <f t="shared" si="62"/>
        <v>9</v>
      </c>
      <c r="CX112">
        <f>IF((9-(CT88/10))&gt;9,90-(180-DEGREES(ACOS((((SIN(RADIANS(0)))*SIN(RADIANS($CU$85)))-SIN(RADIANS($CT$85)))/((COS(RADIANS(0)))*COS(RADIANS($CU$85)))))),90-CU88)</f>
        <v>27.0871391084072</v>
      </c>
      <c r="CY112" s="153">
        <f t="shared" si="64"/>
        <v>8.0128353242451471</v>
      </c>
      <c r="CZ112" s="153">
        <f t="shared" si="65"/>
        <v>4.0981056680531269</v>
      </c>
      <c r="DA112" s="39">
        <v>4.1666666666666699E-2</v>
      </c>
      <c r="DC112" s="39">
        <v>1.0416666666666701</v>
      </c>
      <c r="DD112" s="38">
        <v>-195</v>
      </c>
      <c r="DE112" s="38">
        <f t="shared" si="66"/>
        <v>-75.23679981258222</v>
      </c>
      <c r="DF112" s="38">
        <f>-(180-DEGREES(ACOS((((SIN(RADIANS(DE112)))*SIN(RADIANS($DF$85)))-SIN(RADIANS($DE$85)))/((COS(RADIANS(DE112)))*COS(RADIANS($DF$85))))))</f>
        <v>-69.204392711010712</v>
      </c>
      <c r="DH112">
        <f t="shared" si="68"/>
        <v>9</v>
      </c>
      <c r="DI112">
        <f t="shared" si="89"/>
        <v>206.57086830691145</v>
      </c>
      <c r="DJ112" s="153">
        <f t="shared" si="70"/>
        <v>-8.049436034917786</v>
      </c>
      <c r="DK112" s="153">
        <f t="shared" si="71"/>
        <v>-4.025739623940801</v>
      </c>
      <c r="DL112" s="39">
        <v>1.0416666666666701</v>
      </c>
    </row>
    <row r="113" spans="1:116" x14ac:dyDescent="0.25">
      <c r="A113">
        <v>-2.1</v>
      </c>
      <c r="B113">
        <f t="shared" si="16"/>
        <v>8.7515712874888933</v>
      </c>
      <c r="C113">
        <f t="shared" si="17"/>
        <v>-8.7515712874888933</v>
      </c>
      <c r="D113">
        <f t="shared" si="20"/>
        <v>7.7194559393781113</v>
      </c>
      <c r="E113">
        <f t="shared" si="21"/>
        <v>-7.7194559393781113</v>
      </c>
      <c r="F113">
        <f t="shared" si="24"/>
        <v>6.6775744099186198</v>
      </c>
      <c r="G113">
        <f t="shared" si="25"/>
        <v>-6.6775744099186198</v>
      </c>
      <c r="H113">
        <f t="shared" si="74"/>
        <v>5.6204981985585585</v>
      </c>
      <c r="I113">
        <f t="shared" si="75"/>
        <v>-5.6204981985585585</v>
      </c>
      <c r="J113">
        <f t="shared" si="90"/>
        <v>4.5376205218153709</v>
      </c>
      <c r="K113">
        <f t="shared" si="91"/>
        <v>-4.5376205218153709</v>
      </c>
      <c r="L113">
        <f t="shared" si="12"/>
        <v>3.4044089061098401</v>
      </c>
      <c r="M113">
        <f t="shared" si="13"/>
        <v>-3.4044089061098401</v>
      </c>
      <c r="N113">
        <f t="shared" si="14"/>
        <v>2.142428528562855</v>
      </c>
      <c r="O113">
        <f t="shared" si="15"/>
        <v>-2.142428528562855</v>
      </c>
      <c r="U113" s="153"/>
      <c r="V113" s="153"/>
      <c r="W113" s="153"/>
      <c r="X113" s="153"/>
      <c r="Y113" s="153"/>
      <c r="Z113" s="153"/>
      <c r="AA113" s="153"/>
      <c r="AB113" s="153"/>
    </row>
    <row r="114" spans="1:116" x14ac:dyDescent="0.25">
      <c r="A114">
        <v>-2.2000000000000002</v>
      </c>
      <c r="B114">
        <f t="shared" si="16"/>
        <v>8.7269696917085717</v>
      </c>
      <c r="C114">
        <f t="shared" si="17"/>
        <v>-8.7269696917085717</v>
      </c>
      <c r="D114">
        <f t="shared" si="20"/>
        <v>7.6915538092117641</v>
      </c>
      <c r="E114">
        <f t="shared" si="21"/>
        <v>-7.6915538092117641</v>
      </c>
      <c r="F114">
        <f t="shared" si="24"/>
        <v>6.6452990903344595</v>
      </c>
      <c r="G114">
        <f t="shared" si="25"/>
        <v>-6.6452990903344595</v>
      </c>
      <c r="H114">
        <f t="shared" si="74"/>
        <v>5.5821142947811451</v>
      </c>
      <c r="I114">
        <f t="shared" si="75"/>
        <v>-5.5821142947811451</v>
      </c>
      <c r="J114">
        <f t="shared" si="90"/>
        <v>4.4899888641287298</v>
      </c>
      <c r="K114">
        <f t="shared" si="91"/>
        <v>-4.4899888641287298</v>
      </c>
      <c r="L114">
        <f t="shared" si="12"/>
        <v>3.3406586176980131</v>
      </c>
      <c r="M114">
        <f t="shared" si="13"/>
        <v>-3.3406586176980131</v>
      </c>
      <c r="N114">
        <f t="shared" si="14"/>
        <v>2.0396078054371136</v>
      </c>
      <c r="O114">
        <f t="shared" si="15"/>
        <v>-2.0396078054371136</v>
      </c>
      <c r="U114" s="153"/>
      <c r="V114" s="153"/>
      <c r="W114" s="153"/>
      <c r="X114" s="153"/>
      <c r="Y114" s="153"/>
      <c r="Z114" s="153"/>
      <c r="AA114" s="153"/>
      <c r="AB114" s="153"/>
    </row>
    <row r="115" spans="1:116" x14ac:dyDescent="0.25">
      <c r="A115">
        <v>-2.2999999999999998</v>
      </c>
      <c r="B115">
        <f t="shared" si="16"/>
        <v>8.7011493493675882</v>
      </c>
      <c r="C115">
        <f t="shared" si="17"/>
        <v>-8.7011493493675882</v>
      </c>
      <c r="D115">
        <f t="shared" si="20"/>
        <v>7.6622451017962092</v>
      </c>
      <c r="E115">
        <f t="shared" si="21"/>
        <v>-7.6622451017962092</v>
      </c>
      <c r="F115">
        <f t="shared" si="24"/>
        <v>6.611353870426238</v>
      </c>
      <c r="G115">
        <f t="shared" si="25"/>
        <v>-6.611353870426238</v>
      </c>
      <c r="H115">
        <f t="shared" si="74"/>
        <v>5.5416604009989641</v>
      </c>
      <c r="I115">
        <f t="shared" si="75"/>
        <v>-5.5416604009989641</v>
      </c>
      <c r="J115">
        <f t="shared" si="90"/>
        <v>4.4395945760846232</v>
      </c>
      <c r="K115">
        <f t="shared" si="91"/>
        <v>-4.4395945760846232</v>
      </c>
      <c r="L115">
        <f t="shared" si="12"/>
        <v>3.2726136343907144</v>
      </c>
      <c r="M115">
        <f t="shared" si="13"/>
        <v>-3.2726136343907144</v>
      </c>
      <c r="N115">
        <f t="shared" si="14"/>
        <v>1.9261360284258224</v>
      </c>
      <c r="O115">
        <f t="shared" si="15"/>
        <v>-1.9261360284258224</v>
      </c>
      <c r="U115" s="153"/>
      <c r="V115" s="153"/>
      <c r="W115" s="153"/>
      <c r="X115" s="153"/>
      <c r="Y115" s="153"/>
      <c r="Z115" s="153"/>
      <c r="AA115" s="153"/>
      <c r="AB115" s="153"/>
      <c r="AN115" s="155" t="s">
        <v>92</v>
      </c>
      <c r="AO115" s="155">
        <v>21</v>
      </c>
      <c r="AP115" s="315"/>
      <c r="AQ115" s="315"/>
      <c r="AR115" s="328"/>
      <c r="AY115" s="155" t="s">
        <v>92</v>
      </c>
      <c r="AZ115" s="155">
        <v>21</v>
      </c>
      <c r="BA115" s="315"/>
      <c r="BB115" s="315"/>
      <c r="BC115" s="316"/>
      <c r="BJ115" s="155" t="s">
        <v>92</v>
      </c>
      <c r="BK115" s="155">
        <v>21</v>
      </c>
      <c r="BL115" s="315"/>
      <c r="BM115" s="315"/>
      <c r="BN115" s="316"/>
      <c r="BU115" s="155" t="s">
        <v>92</v>
      </c>
      <c r="BV115" s="155">
        <v>21</v>
      </c>
      <c r="BW115" s="315"/>
      <c r="BX115" s="315"/>
      <c r="BY115" s="316"/>
      <c r="CF115" s="155" t="s">
        <v>92</v>
      </c>
      <c r="CG115" s="155">
        <v>21</v>
      </c>
      <c r="CH115" s="315"/>
      <c r="CI115" s="315"/>
      <c r="CJ115" s="316"/>
      <c r="CQ115" s="155" t="s">
        <v>92</v>
      </c>
      <c r="CR115" s="155">
        <v>21</v>
      </c>
      <c r="CS115" s="315"/>
      <c r="CT115" s="315"/>
      <c r="CU115" s="316"/>
      <c r="DB115" s="155" t="s">
        <v>92</v>
      </c>
      <c r="DC115" s="155">
        <v>21</v>
      </c>
      <c r="DD115" s="315"/>
      <c r="DE115" s="315"/>
      <c r="DF115" s="316"/>
    </row>
    <row r="116" spans="1:116" x14ac:dyDescent="0.25">
      <c r="A116">
        <v>-2.4</v>
      </c>
      <c r="B116">
        <f t="shared" si="16"/>
        <v>8.6740993768805765</v>
      </c>
      <c r="C116">
        <f t="shared" si="17"/>
        <v>-8.6740993768805765</v>
      </c>
      <c r="D116">
        <f t="shared" si="20"/>
        <v>7.6315136113355653</v>
      </c>
      <c r="E116">
        <f t="shared" si="21"/>
        <v>-7.6315136113355653</v>
      </c>
      <c r="F116">
        <f t="shared" si="24"/>
        <v>6.5757128891094387</v>
      </c>
      <c r="G116">
        <f t="shared" si="25"/>
        <v>-6.5757128891094387</v>
      </c>
      <c r="H116">
        <f t="shared" si="74"/>
        <v>5.4990908339470082</v>
      </c>
      <c r="I116">
        <f t="shared" si="75"/>
        <v>-5.4990908339470082</v>
      </c>
      <c r="J116">
        <f t="shared" si="90"/>
        <v>4.3863424398922621</v>
      </c>
      <c r="K116">
        <f t="shared" si="91"/>
        <v>-4.3863424398922621</v>
      </c>
      <c r="L116">
        <f t="shared" ref="L116:L132" si="92">+SQRT(16-A116^2)</f>
        <v>3.2</v>
      </c>
      <c r="M116">
        <f t="shared" ref="M116:M132" si="93">-L116</f>
        <v>-3.2</v>
      </c>
      <c r="N116">
        <f t="shared" si="14"/>
        <v>1.8</v>
      </c>
      <c r="O116">
        <f t="shared" si="15"/>
        <v>-1.8</v>
      </c>
      <c r="U116" s="153"/>
      <c r="V116" s="153"/>
      <c r="W116" s="153"/>
      <c r="X116" s="153"/>
      <c r="Y116" s="153"/>
      <c r="Z116" s="153"/>
      <c r="AA116" s="153"/>
      <c r="AB116" s="153"/>
      <c r="AN116" s="155" t="s">
        <v>91</v>
      </c>
      <c r="AO116" s="155">
        <v>1</v>
      </c>
      <c r="AP116" s="315"/>
      <c r="AQ116" s="315"/>
      <c r="AR116" s="328"/>
      <c r="AY116" s="155" t="s">
        <v>91</v>
      </c>
      <c r="AZ116" s="155">
        <v>2</v>
      </c>
      <c r="BA116" s="315"/>
      <c r="BB116" s="315"/>
      <c r="BC116" s="316"/>
      <c r="BJ116" s="155" t="s">
        <v>91</v>
      </c>
      <c r="BK116" s="155">
        <v>3</v>
      </c>
      <c r="BL116" s="315"/>
      <c r="BM116" s="315"/>
      <c r="BN116" s="316"/>
      <c r="BU116" s="155" t="s">
        <v>91</v>
      </c>
      <c r="BV116" s="155">
        <v>4</v>
      </c>
      <c r="BW116" s="315"/>
      <c r="BX116" s="315"/>
      <c r="BY116" s="316"/>
      <c r="CF116" s="155" t="s">
        <v>91</v>
      </c>
      <c r="CG116" s="155">
        <v>5</v>
      </c>
      <c r="CH116" s="315"/>
      <c r="CI116" s="315"/>
      <c r="CJ116" s="316"/>
      <c r="CQ116" s="155" t="s">
        <v>91</v>
      </c>
      <c r="CR116" s="155">
        <v>6</v>
      </c>
      <c r="CS116" s="315"/>
      <c r="CT116" s="315"/>
      <c r="CU116" s="316"/>
      <c r="DB116" s="155" t="s">
        <v>91</v>
      </c>
      <c r="DC116" s="155">
        <v>12</v>
      </c>
      <c r="DD116" s="315"/>
      <c r="DE116" s="315"/>
      <c r="DF116" s="316"/>
    </row>
    <row r="117" spans="1:116" x14ac:dyDescent="0.25">
      <c r="A117">
        <v>-2.5</v>
      </c>
      <c r="B117">
        <f t="shared" si="16"/>
        <v>8.6458082328952912</v>
      </c>
      <c r="C117">
        <f t="shared" si="17"/>
        <v>-8.6458082328952912</v>
      </c>
      <c r="D117">
        <f t="shared" si="20"/>
        <v>7.5993420767853319</v>
      </c>
      <c r="E117">
        <f t="shared" si="21"/>
        <v>-7.5993420767853319</v>
      </c>
      <c r="F117">
        <f t="shared" si="24"/>
        <v>6.5383484153110105</v>
      </c>
      <c r="G117">
        <f t="shared" si="25"/>
        <v>-6.5383484153110105</v>
      </c>
      <c r="H117">
        <f t="shared" si="74"/>
        <v>5.4543560573178569</v>
      </c>
      <c r="I117">
        <f t="shared" si="75"/>
        <v>-5.4543560573178569</v>
      </c>
      <c r="J117">
        <f t="shared" si="90"/>
        <v>4.3301270189221936</v>
      </c>
      <c r="K117">
        <f t="shared" si="91"/>
        <v>-4.3301270189221936</v>
      </c>
      <c r="L117">
        <f t="shared" si="92"/>
        <v>3.1224989991991992</v>
      </c>
      <c r="M117">
        <f t="shared" si="93"/>
        <v>-3.1224989991991992</v>
      </c>
      <c r="N117">
        <f t="shared" si="14"/>
        <v>1.6583123951776999</v>
      </c>
      <c r="O117">
        <f t="shared" si="15"/>
        <v>-1.6583123951776999</v>
      </c>
      <c r="U117" s="153"/>
      <c r="V117" s="153"/>
      <c r="W117" s="153"/>
      <c r="X117" s="153"/>
      <c r="Y117" s="153"/>
      <c r="Z117" s="153"/>
      <c r="AA117" s="153"/>
      <c r="AB117" s="153"/>
      <c r="AP117" s="154">
        <f>+IF(AO116=$AI$63,AO115,IF(AO116=$AJ$63,$AI$64+AO115,IF(AO116=$AK$63,$AI$64+$AJ$64+AO115,IF(AO116=$AL$63,$AI$64+$AJ$64+$AK$64+AO115,IF(AO116=$AM$63,$AI$64+$AJ$64+$AK$64+$AL$64+AO115,IF(AO116=$AN$63,$AI$64+$AJ$64+$AK$64+$AL$64+$AM$64+AO115,IF(AO116=$AO$63,$AI$64+$AJ$64+$AK$64+$AL$64+$AM$64+$AN$64+AO115,IF(AO116=$AP$63,$AI$64+$AJ$64+$AK$64+$AL$64+$AM$64+$AN$64+$AO$64+AO115,IF(AO116=$AQ$63,$AI$64+$AJ$64+$AK$64+$AL$64+$AM$64+$AN$64+$AO$64+$AP$64+AO115,IF(AO116=$AR$63,$AI$64+$AJ$64+$AK$64+$AL$64+$AM$64+$AN$64+$AO$64+$AP$64+$AQ$64+AO115,IF(AO116=$AS$63,$AI$64+$AJ$64+$AK$64+$AL$64+$AM$64+$AN$64+$AO$64+$AP$64+$AQ$64+$AR$64+AO115,IF(AO116=$AT$63,$AI$64+$AJ$64+$AK$64+$AL$64+$AM$64+$AN$64+$AO$64+$AP$64+$AQ$64+$AR$64+$AS$64+AO115,"error"))))))))))))</f>
        <v>21</v>
      </c>
      <c r="AQ117" s="38">
        <f>23.45*SIN(RADIANS(360*((284+AP117)/365)))</f>
        <v>-20.13801482156758</v>
      </c>
      <c r="AR117" s="155">
        <f>+IF(ABS('Control Solar 1er Sem'!$H$4)&gt;89.9,89.9,IF(ABS('Control Solar 1er Sem'!$H$4)&lt;-89.9,-89.9,ABS('Control Solar 1er Sem'!$H$4)))</f>
        <v>29.08</v>
      </c>
      <c r="BA117" s="154">
        <f>+IF(AZ116=$AI$63,AZ115,IF(AZ116=$AJ$63,$AI$64+AZ115,IF(AZ116=$AK$63,$AI$64+$AJ$64+AZ115,IF(AZ116=$AL$63,$AI$64+$AJ$64+$AK$64+AZ115,IF(AZ116=$AM$63,$AI$64+$AJ$64+$AK$64+$AL$64+AZ115,IF(AZ116=$AN$63,$AI$64+$AJ$64+$AK$64+$AL$64+$AM$64+AZ115,IF(AZ116=$AO$63,$AI$64+$AJ$64+$AK$64+$AL$64+$AM$64+$AN$64+AZ115,IF(AZ116=$AP$63,$AI$64+$AJ$64+$AK$64+$AL$64+$AM$64+$AN$64+$AO$64+AZ115,IF(AZ116=$AQ$63,$AI$64+$AJ$64+$AK$64+$AL$64+$AM$64+$AN$64+$AO$64+$AP$64+AZ115,IF(AZ116=$AR$63,$AI$64+$AJ$64+$AK$64+$AL$64+$AM$64+$AN$64+$AO$64+$AP$64+$AQ$64+AZ115,IF(AZ116=$AS$63,$AI$64+$AJ$64+$AK$64+$AL$64+$AM$64+$AN$64+$AO$64+$AP$64+$AQ$64+$AR$64+AZ115,IF(AZ116=$AT$63,$AI$64+$AJ$64+$AK$64+$AL$64+$AM$64+$AN$64+$AO$64+$AP$64+$AQ$64+$AR$64+$AS$64+AZ115,"error"))))))))))))</f>
        <v>52</v>
      </c>
      <c r="BB117" s="38">
        <f>23.45*SIN(RADIANS(360*((284+BA117)/365)))</f>
        <v>-11.226308550715235</v>
      </c>
      <c r="BC117" s="155">
        <f>+IF(ABS('Control Solar 1er Sem'!$H$4)&gt;89.9,89.9,IF(ABS('Control Solar 1er Sem'!$H$4)&lt;-89.9,-89.9,ABS('Control Solar 1er Sem'!$H$4)))</f>
        <v>29.08</v>
      </c>
      <c r="BL117" s="154">
        <f>+IF(BK116=$AI$63,BK115,IF(BK116=$AJ$63,$AI$64+BK115,IF(BK116=$AK$63,$AI$64+$AJ$64+BK115,IF(BK116=$AL$63,$AI$64+$AJ$64+$AK$64+BK115,IF(BK116=$AM$63,$AI$64+$AJ$64+$AK$64+$AL$64+BK115,IF(BK116=$AN$63,$AI$64+$AJ$64+$AK$64+$AL$64+$AM$64+BK115,IF(BK116=$AO$63,$AI$64+$AJ$64+$AK$64+$AL$64+$AM$64+$AN$64+BK115,IF(BK116=$AP$63,$AI$64+$AJ$64+$AK$64+$AL$64+$AM$64+$AN$64+$AO$64+BK115,IF(BK116=$AQ$63,$AI$64+$AJ$64+$AK$64+$AL$64+$AM$64+$AN$64+$AO$64+$AP$64+BK115,IF(BK116=$AR$63,$AI$64+$AJ$64+$AK$64+$AL$64+$AM$64+$AN$64+$AO$64+$AP$64+$AQ$64+BK115,IF(BK116=$AS$63,$AI$64+$AJ$64+$AK$64+$AL$64+$AM$64+$AN$64+$AO$64+$AP$64+$AQ$64+$AR$64+BK115,IF(BK116=$AT$63,$AI$64+$AJ$64+$AK$64+$AL$64+$AM$64+$AN$64+$AO$64+$AP$64+$AQ$64+$AR$64+$AS$64+BK115,"error"))))))))))))</f>
        <v>80</v>
      </c>
      <c r="BM117" s="38">
        <f>23.45*SIN(RADIANS(360*((284+BL117)/365)))</f>
        <v>-0.40365320185431652</v>
      </c>
      <c r="BN117" s="155">
        <f>+IF(ABS('Control Solar 1er Sem'!$H$4)&gt;89.9,89.9,IF(ABS('Control Solar 1er Sem'!$H$4)&lt;-89.9,-89.9,ABS('Control Solar 1er Sem'!$H$4)))</f>
        <v>29.08</v>
      </c>
      <c r="BW117" s="154">
        <f>+IF(BV116=$AI$63,BV115,IF(BV116=$AJ$63,$AI$64+BV115,IF(BV116=$AK$63,$AI$64+$AJ$64+BV115,IF(BV116=$AL$63,$AI$64+$AJ$64+$AK$64+BV115,IF(BV116=$AM$63,$AI$64+$AJ$64+$AK$64+$AL$64+BV115,IF(BV116=$AN$63,$AI$64+$AJ$64+$AK$64+$AL$64+$AM$64+BV115,IF(BV116=$AO$63,$AI$64+$AJ$64+$AK$64+$AL$64+$AM$64+$AN$64+BV115,IF(BV116=$AP$63,$AI$64+$AJ$64+$AK$64+$AL$64+$AM$64+$AN$64+$AO$64+BV115,IF(BV116=$AQ$63,$AI$64+$AJ$64+$AK$64+$AL$64+$AM$64+$AN$64+$AO$64+$AP$64+BV115,IF(BV116=$AR$63,$AI$64+$AJ$64+$AK$64+$AL$64+$AM$64+$AN$64+$AO$64+$AP$64+$AQ$64+BV115,IF(BV116=$AS$63,$AI$64+$AJ$64+$AK$64+$AL$64+$AM$64+$AN$64+$AO$64+$AP$64+$AQ$64+$AR$64+BV115,IF(BV116=$AT$63,$AI$64+$AJ$64+$AK$64+$AL$64+$AM$64+$AN$64+$AO$64+$AP$64+$AQ$64+$AR$64+$AS$64+BV115,"error"))))))))))))</f>
        <v>111</v>
      </c>
      <c r="BX117" s="38">
        <f>23.45*SIN(RADIANS(360*((284+BW117)/365)))</f>
        <v>11.57903665125146</v>
      </c>
      <c r="BY117" s="155">
        <f>+IF(ABS('Control Solar 1er Sem'!$H$4)&gt;89.9,89.9,IF(ABS('Control Solar 1er Sem'!$H$4)&lt;-89.9,-89.9,ABS('Control Solar 1er Sem'!$H$4)))</f>
        <v>29.08</v>
      </c>
      <c r="CH117" s="154">
        <f>+IF(CG116=$AI$63,CG115,IF(CG116=$AJ$63,$AI$64+CG115,IF(CG116=$AK$63,$AI$64+$AJ$64+CG115,IF(CG116=$AL$63,$AI$64+$AJ$64+$AK$64+CG115,IF(CG116=$AM$63,$AI$64+$AJ$64+$AK$64+$AL$64+CG115,IF(CG116=$AN$63,$AI$64+$AJ$64+$AK$64+$AL$64+$AM$64+CG115,IF(CG116=$AO$63,$AI$64+$AJ$64+$AK$64+$AL$64+$AM$64+$AN$64+CG115,IF(CG116=$AP$63,$AI$64+$AJ$64+$AK$64+$AL$64+$AM$64+$AN$64+$AO$64+CG115,IF(CG116=$AQ$63,$AI$64+$AJ$64+$AK$64+$AL$64+$AM$64+$AN$64+$AO$64+$AP$64+CG115,IF(CG116=$AR$63,$AI$64+$AJ$64+$AK$64+$AL$64+$AM$64+$AN$64+$AO$64+$AP$64+$AQ$64+CG115,IF(CG116=$AS$63,$AI$64+$AJ$64+$AK$64+$AL$64+$AM$64+$AN$64+$AO$64+$AP$64+$AQ$64+$AR$64+CG115,IF(CG116=$AT$63,$AI$64+$AJ$64+$AK$64+$AL$64+$AM$64+$AN$64+$AO$64+$AP$64+$AQ$64+$AR$64+$AS$64+CG115,"error"))))))))))))</f>
        <v>141</v>
      </c>
      <c r="CI117" s="38">
        <f>23.45*SIN(RADIANS(360*((284+CH117)/365)))</f>
        <v>20.138014821567584</v>
      </c>
      <c r="CJ117" s="155">
        <f>+IF(ABS('Control Solar 1er Sem'!$H$4)&gt;89.9,89.9,IF(ABS('Control Solar 1er Sem'!$H$4)&lt;-89.9,-89.9,ABS('Control Solar 1er Sem'!$H$4)))</f>
        <v>29.08</v>
      </c>
      <c r="CS117" s="154">
        <f>+IF(CR116=$AI$63,CR115,IF(CR116=$AJ$63,$AI$64+CR115,IF(CR116=$AK$63,$AI$64+$AJ$64+CR115,IF(CR116=$AL$63,$AI$64+$AJ$64+$AK$64+CR115,IF(CR116=$AM$63,$AI$64+$AJ$64+$AK$64+$AL$64+CR115,IF(CR116=$AN$63,$AI$64+$AJ$64+$AK$64+$AL$64+$AM$64+CR115,IF(CR116=$AO$63,$AI$64+$AJ$64+$AK$64+$AL$64+$AM$64+$AN$64+CR115,IF(CR116=$AP$63,$AI$64+$AJ$64+$AK$64+$AL$64+$AM$64+$AN$64+$AO$64+CR115,IF(CR116=$AQ$63,$AI$64+$AJ$64+$AK$64+$AL$64+$AM$64+$AN$64+$AO$64+$AP$64+CR115,IF(CR116=$AR$63,$AI$64+$AJ$64+$AK$64+$AL$64+$AM$64+$AN$64+$AO$64+$AP$64+$AQ$64+CR115,IF(CR116=$AS$63,$AI$64+$AJ$64+$AK$64+$AL$64+$AM$64+$AN$64+$AO$64+$AP$64+$AQ$64+$AR$64+CR115,IF(CR116=$AT$63,$AI$64+$AJ$64+$AK$64+$AL$64+$AM$64+$AN$64+$AO$64+$AP$64+$AQ$64+$AR$64+$AS$64+CR115,"error"))))))))))))</f>
        <v>172</v>
      </c>
      <c r="CT117" s="38">
        <f>23.45*SIN(RADIANS(360*((284+CS117)/365)))</f>
        <v>23.449782846813658</v>
      </c>
      <c r="CU117" s="155">
        <f>+IF(ABS('Control Solar 1er Sem'!$H$4)&gt;89.9,89.9,IF(ABS('Control Solar 1er Sem'!$H$4)&lt;-89.9,-89.9,ABS('Control Solar 1er Sem'!$H$4)))</f>
        <v>29.08</v>
      </c>
      <c r="DD117" s="154">
        <f>+IF(DC116=$AI$63,DC115,IF(DC116=$AJ$63,$AI$64+DC115,IF(DC116=$AK$63,$AI$64+$AJ$64+DC115,IF(DC116=$AL$63,$AI$64+$AJ$64+$AK$64+DC115,IF(DC116=$AM$63,$AI$64+$AJ$64+$AK$64+$AL$64+DC115,IF(DC116=$AN$63,$AI$64+$AJ$64+$AK$64+$AL$64+$AM$64+DC115,IF(DC116=$AO$63,$AI$64+$AJ$64+$AK$64+$AL$64+$AM$64+$AN$64+DC115,IF(DC116=$AP$63,$AI$64+$AJ$64+$AK$64+$AL$64+$AM$64+$AN$64+$AO$64+DC115,IF(DC116=$AQ$63,$AI$64+$AJ$64+$AK$64+$AL$64+$AM$64+$AN$64+$AO$64+$AP$64+DC115,IF(DC116=$AR$63,$AI$64+$AJ$64+$AK$64+$AL$64+$AM$64+$AN$64+$AO$64+$AP$64+$AQ$64+DC115,IF(DC116=$AS$63,$AI$64+$AJ$64+$AK$64+$AL$64+$AM$64+$AN$64+$AO$64+$AP$64+$AQ$64+$AR$64+DC115,IF(DC116=$AT$63,$AI$64+$AJ$64+$AK$64+$AL$64+$AM$64+$AN$64+$AO$64+$AP$64+$AQ$64+$AR$64+$AS$64+DC115,"error"))))))))))))</f>
        <v>355</v>
      </c>
      <c r="DE117" s="38">
        <f>23.45*SIN(RADIANS(360*((284+DD117)/365)))</f>
        <v>-23.449782846813658</v>
      </c>
      <c r="DF117" s="155">
        <f>+IF(ABS('Control Solar 1er Sem'!$H$4)&gt;89.9,89.9,IF(ABS('Control Solar 1er Sem'!$H$4)&lt;-89.9,-89.9,ABS('Control Solar 1er Sem'!$H$4)))</f>
        <v>29.08</v>
      </c>
    </row>
    <row r="118" spans="1:116" x14ac:dyDescent="0.25">
      <c r="A118">
        <v>-2.6</v>
      </c>
      <c r="B118">
        <f t="shared" si="16"/>
        <v>8.616263691415206</v>
      </c>
      <c r="C118">
        <f t="shared" si="17"/>
        <v>-8.616263691415206</v>
      </c>
      <c r="D118">
        <f t="shared" si="20"/>
        <v>7.5657121277510955</v>
      </c>
      <c r="E118">
        <f t="shared" si="21"/>
        <v>-7.5657121277510955</v>
      </c>
      <c r="F118">
        <f t="shared" si="24"/>
        <v>6.4992307237087683</v>
      </c>
      <c r="G118">
        <f t="shared" si="25"/>
        <v>-6.4992307237087683</v>
      </c>
      <c r="H118">
        <f t="shared" si="74"/>
        <v>5.4074023338383093</v>
      </c>
      <c r="I118">
        <f t="shared" si="75"/>
        <v>-5.4074023338383093</v>
      </c>
      <c r="J118">
        <f t="shared" si="90"/>
        <v>4.2708313008125245</v>
      </c>
      <c r="K118">
        <f t="shared" si="91"/>
        <v>-4.2708313008125245</v>
      </c>
      <c r="L118">
        <f t="shared" si="92"/>
        <v>3.0397368307141326</v>
      </c>
      <c r="M118">
        <f t="shared" si="93"/>
        <v>-3.0397368307141326</v>
      </c>
      <c r="N118">
        <f t="shared" si="14"/>
        <v>1.4966629547095762</v>
      </c>
      <c r="O118">
        <f t="shared" si="15"/>
        <v>-1.4966629547095762</v>
      </c>
      <c r="U118" s="153"/>
      <c r="V118" s="153"/>
      <c r="W118" s="153"/>
      <c r="X118" s="153"/>
      <c r="Y118" s="153"/>
      <c r="Z118" s="153"/>
      <c r="AA118" s="153"/>
      <c r="AB118" s="153"/>
      <c r="AO118" s="317" t="s">
        <v>90</v>
      </c>
      <c r="AP118" s="315"/>
      <c r="AQ118" s="315"/>
      <c r="AR118" s="315"/>
      <c r="AT118" s="319" t="s">
        <v>89</v>
      </c>
      <c r="AU118" s="319"/>
      <c r="AV118" s="319" t="s">
        <v>42</v>
      </c>
      <c r="AW118" s="319" t="s">
        <v>43</v>
      </c>
      <c r="AZ118" s="317" t="s">
        <v>90</v>
      </c>
      <c r="BA118" s="315"/>
      <c r="BB118" s="315"/>
      <c r="BC118" s="315"/>
      <c r="BE118" s="319" t="s">
        <v>89</v>
      </c>
      <c r="BF118" s="319"/>
      <c r="BG118" s="319" t="s">
        <v>42</v>
      </c>
      <c r="BH118" s="319" t="s">
        <v>43</v>
      </c>
      <c r="BK118" s="317" t="s">
        <v>90</v>
      </c>
      <c r="BL118" s="315"/>
      <c r="BM118" s="315"/>
      <c r="BN118" s="315"/>
      <c r="BP118" s="319" t="s">
        <v>89</v>
      </c>
      <c r="BQ118" s="319"/>
      <c r="BR118" s="319" t="s">
        <v>42</v>
      </c>
      <c r="BS118" s="319" t="s">
        <v>43</v>
      </c>
      <c r="BV118" s="317" t="s">
        <v>90</v>
      </c>
      <c r="BW118" s="315"/>
      <c r="BX118" s="315"/>
      <c r="BY118" s="315"/>
      <c r="CA118" s="319" t="s">
        <v>89</v>
      </c>
      <c r="CB118" s="319"/>
      <c r="CC118" s="319" t="s">
        <v>42</v>
      </c>
      <c r="CD118" s="319" t="s">
        <v>43</v>
      </c>
      <c r="CG118" s="317" t="s">
        <v>90</v>
      </c>
      <c r="CH118" s="315"/>
      <c r="CI118" s="315"/>
      <c r="CJ118" s="315"/>
      <c r="CL118" s="319" t="s">
        <v>89</v>
      </c>
      <c r="CM118" s="319"/>
      <c r="CN118" s="319" t="s">
        <v>42</v>
      </c>
      <c r="CO118" s="319" t="s">
        <v>43</v>
      </c>
      <c r="CR118" s="317" t="s">
        <v>90</v>
      </c>
      <c r="CS118" s="315"/>
      <c r="CT118" s="315"/>
      <c r="CU118" s="315"/>
      <c r="CW118" s="319" t="s">
        <v>89</v>
      </c>
      <c r="CX118" s="319"/>
      <c r="CY118" s="319" t="s">
        <v>42</v>
      </c>
      <c r="CZ118" s="319" t="s">
        <v>43</v>
      </c>
      <c r="DC118" s="317" t="s">
        <v>90</v>
      </c>
      <c r="DD118" s="315"/>
      <c r="DE118" s="315"/>
      <c r="DF118" s="315"/>
      <c r="DH118" s="319" t="s">
        <v>89</v>
      </c>
      <c r="DI118" s="319"/>
      <c r="DJ118" s="319" t="s">
        <v>42</v>
      </c>
      <c r="DK118" s="319" t="s">
        <v>43</v>
      </c>
    </row>
    <row r="119" spans="1:116" x14ac:dyDescent="0.25">
      <c r="A119">
        <v>-2.7</v>
      </c>
      <c r="B119">
        <f t="shared" si="16"/>
        <v>8.5854528127525107</v>
      </c>
      <c r="C119">
        <f t="shared" si="17"/>
        <v>-8.5854528127525107</v>
      </c>
      <c r="D119">
        <f t="shared" si="20"/>
        <v>7.5306042254257397</v>
      </c>
      <c r="E119">
        <f t="shared" si="21"/>
        <v>-7.5306042254257397</v>
      </c>
      <c r="F119">
        <f t="shared" si="24"/>
        <v>6.4583279569870093</v>
      </c>
      <c r="G119">
        <f t="shared" si="25"/>
        <v>-6.4583279569870093</v>
      </c>
      <c r="H119">
        <f t="shared" si="74"/>
        <v>5.3581713298475258</v>
      </c>
      <c r="I119">
        <f t="shared" si="75"/>
        <v>-5.3581713298475258</v>
      </c>
      <c r="J119">
        <f t="shared" si="90"/>
        <v>4.2083250825001626</v>
      </c>
      <c r="K119">
        <f t="shared" si="91"/>
        <v>-4.2083250825001626</v>
      </c>
      <c r="L119">
        <f t="shared" si="92"/>
        <v>2.9512709126747412</v>
      </c>
      <c r="M119">
        <f t="shared" si="93"/>
        <v>-2.9512709126747412</v>
      </c>
      <c r="N119">
        <f t="shared" si="14"/>
        <v>1.3076696830622017</v>
      </c>
      <c r="O119">
        <f t="shared" si="15"/>
        <v>-1.3076696830622017</v>
      </c>
      <c r="U119" s="153"/>
      <c r="V119" s="153"/>
      <c r="W119" s="153"/>
      <c r="X119" s="153"/>
      <c r="Y119" s="153"/>
      <c r="Z119" s="153"/>
      <c r="AA119" s="153"/>
      <c r="AB119" s="153"/>
      <c r="AO119" s="318"/>
      <c r="AP119" s="315"/>
      <c r="AQ119" s="315"/>
      <c r="AR119" s="315"/>
      <c r="AT119" s="319"/>
      <c r="AU119" s="319"/>
      <c r="AV119" s="319"/>
      <c r="AW119" s="319"/>
      <c r="AZ119" s="318"/>
      <c r="BA119" s="315"/>
      <c r="BB119" s="315"/>
      <c r="BC119" s="315"/>
      <c r="BE119" s="319"/>
      <c r="BF119" s="319"/>
      <c r="BG119" s="319"/>
      <c r="BH119" s="319"/>
      <c r="BK119" s="318"/>
      <c r="BL119" s="315"/>
      <c r="BM119" s="315"/>
      <c r="BN119" s="315"/>
      <c r="BP119" s="319"/>
      <c r="BQ119" s="319"/>
      <c r="BR119" s="319"/>
      <c r="BS119" s="319"/>
      <c r="BV119" s="318"/>
      <c r="BW119" s="315"/>
      <c r="BX119" s="315"/>
      <c r="BY119" s="315"/>
      <c r="CA119" s="319"/>
      <c r="CB119" s="319"/>
      <c r="CC119" s="319"/>
      <c r="CD119" s="319"/>
      <c r="CG119" s="318"/>
      <c r="CH119" s="315"/>
      <c r="CI119" s="315"/>
      <c r="CJ119" s="315"/>
      <c r="CL119" s="319"/>
      <c r="CM119" s="319"/>
      <c r="CN119" s="319"/>
      <c r="CO119" s="319"/>
      <c r="CR119" s="318"/>
      <c r="CS119" s="315"/>
      <c r="CT119" s="315"/>
      <c r="CU119" s="315"/>
      <c r="CW119" s="319"/>
      <c r="CX119" s="319"/>
      <c r="CY119" s="319"/>
      <c r="CZ119" s="319"/>
      <c r="DC119" s="318"/>
      <c r="DD119" s="315"/>
      <c r="DE119" s="315"/>
      <c r="DF119" s="315"/>
      <c r="DH119" s="319"/>
      <c r="DI119" s="319"/>
      <c r="DJ119" s="319"/>
      <c r="DK119" s="319"/>
    </row>
    <row r="120" spans="1:116" x14ac:dyDescent="0.25">
      <c r="A120">
        <v>-2.8</v>
      </c>
      <c r="B120">
        <f t="shared" si="16"/>
        <v>8.5533619121372393</v>
      </c>
      <c r="C120">
        <f t="shared" si="17"/>
        <v>-8.5533619121372393</v>
      </c>
      <c r="D120">
        <f t="shared" si="20"/>
        <v>7.493997598078078</v>
      </c>
      <c r="E120">
        <f t="shared" si="21"/>
        <v>-7.493997598078078</v>
      </c>
      <c r="F120">
        <f t="shared" si="24"/>
        <v>6.4156059729381765</v>
      </c>
      <c r="G120">
        <f t="shared" si="25"/>
        <v>-6.4156059729381765</v>
      </c>
      <c r="H120">
        <f t="shared" si="74"/>
        <v>5.3065996645686395</v>
      </c>
      <c r="I120">
        <f t="shared" si="75"/>
        <v>-5.3065996645686395</v>
      </c>
      <c r="J120">
        <f t="shared" si="90"/>
        <v>4.1424630354415957</v>
      </c>
      <c r="K120">
        <f t="shared" si="91"/>
        <v>-4.1424630354415957</v>
      </c>
      <c r="L120">
        <f t="shared" si="92"/>
        <v>2.8565713714171399</v>
      </c>
      <c r="M120">
        <f t="shared" si="93"/>
        <v>-2.8565713714171399</v>
      </c>
      <c r="N120">
        <f t="shared" si="14"/>
        <v>1.0770329614269012</v>
      </c>
      <c r="O120">
        <f t="shared" si="15"/>
        <v>-1.0770329614269012</v>
      </c>
      <c r="U120" s="153"/>
      <c r="V120" s="153"/>
      <c r="W120" s="153"/>
      <c r="X120" s="153"/>
      <c r="Y120" s="153"/>
      <c r="Z120" s="153"/>
      <c r="AA120" s="153"/>
      <c r="AB120" s="153"/>
      <c r="AO120" s="39">
        <v>4.1666666666666664E-2</v>
      </c>
      <c r="AP120" s="38">
        <v>165</v>
      </c>
      <c r="AQ120" s="38">
        <f t="shared" ref="AQ120:AQ143" si="94">+DEGREES(ASIN(COS(RADIANS($AR$85))*COS(RADIANS($AQ$85))*COS(RADIANS(AP120))+SIN(RADIANS($AR$85))*SIN(RADIANS($AQ$85))))</f>
        <v>-72.046150944645134</v>
      </c>
      <c r="AR120" s="38">
        <f t="shared" ref="AR120:AR130" si="95">180-DEGREES(ACOS((((SIN(RADIANS(AQ120)))*SIN(RADIANS($AR$85)))-SIN(RADIANS($AQ$85)))/((COS(RADIANS(AQ120)))*COS(RADIANS($AR$85)))))</f>
        <v>53.197388177510931</v>
      </c>
      <c r="AT120">
        <f t="shared" ref="AT120:AT143" si="96">9-(AQ120/10)</f>
        <v>16.204615094464515</v>
      </c>
      <c r="AU120">
        <f t="shared" ref="AU120:AU143" si="97">90-AR120</f>
        <v>36.802611822489069</v>
      </c>
      <c r="AV120" s="153">
        <f t="shared" ref="AV120:AV143" si="98">+AT120*COS(RADIANS(AU120))</f>
        <v>12.975101156585923</v>
      </c>
      <c r="AW120" s="153">
        <f t="shared" ref="AW120:AW143" si="99">+AT120*SIN(RADIANS(AU120))</f>
        <v>9.7075383252454799</v>
      </c>
      <c r="AX120" s="39">
        <v>4.1666666666666699E-2</v>
      </c>
      <c r="AZ120" s="39">
        <v>4.1666666666666699E-2</v>
      </c>
      <c r="BA120" s="38">
        <v>165</v>
      </c>
      <c r="BB120" s="38">
        <f t="shared" ref="BB120:BB143" si="100">+DEGREES(ASIN(COS(RADIANS($BC$85))*COS(RADIANS($BB$85))*COS(RADIANS(BA120))+SIN(RADIANS($BC$85))*SIN(RADIANS($BB$85))))</f>
        <v>-64.883038153692766</v>
      </c>
      <c r="BC120" s="38">
        <f t="shared" ref="BC120:BC130" si="101">180-DEGREES(ACOS((((SIN(RADIANS(BB120)))*SIN(RADIANS($BC$85)))-SIN(RADIANS($BB$85)))/((COS(RADIANS(BB120)))*COS(RADIANS($BC$85)))))</f>
        <v>37.111855036527061</v>
      </c>
      <c r="BE120">
        <f t="shared" ref="BE120:BE143" si="102">9-(BB120/10)</f>
        <v>15.488303815369276</v>
      </c>
      <c r="BF120">
        <f t="shared" ref="BF120:BF143" si="103">90-BC120</f>
        <v>52.888144963472939</v>
      </c>
      <c r="BG120" s="153">
        <f t="shared" ref="BG120:BG143" si="104">+BE120*COS(RADIANS(BF120))</f>
        <v>9.3452243760977662</v>
      </c>
      <c r="BH120" s="153">
        <f t="shared" ref="BH120:BH143" si="105">+BE120*SIN(RADIANS(BF120))</f>
        <v>12.351288857344832</v>
      </c>
      <c r="BI120" s="39">
        <v>4.1666666666666699E-2</v>
      </c>
      <c r="BK120" s="39">
        <v>4.1666666666666699E-2</v>
      </c>
      <c r="BL120" s="38">
        <v>165</v>
      </c>
      <c r="BM120" s="38">
        <f t="shared" ref="BM120:BM143" si="106">+DEGREES(ASIN(COS(RADIANS($BN$85))*COS(RADIANS($BM$85))*COS(RADIANS(BL120))+SIN(RADIANS($BN$85))*SIN(RADIANS($BM$85))))</f>
        <v>-53.905193379238668</v>
      </c>
      <c r="BN120" s="38">
        <f t="shared" ref="BN120:BN130" si="107">180-DEGREES(ACOS((((SIN(RADIANS(BM120)))*SIN(RADIANS($BN$85)))-SIN(RADIANS($BM$85)))/((COS(RADIANS(BM120)))*COS(RADIANS($BN$85)))))</f>
        <v>25.992283534126898</v>
      </c>
      <c r="BP120">
        <f t="shared" ref="BP120:BP143" si="108">9-(BM120/10)</f>
        <v>14.390519337923866</v>
      </c>
      <c r="BQ120">
        <f t="shared" ref="BQ120:BQ143" si="109">90-BN120</f>
        <v>64.007716465873102</v>
      </c>
      <c r="BR120" s="153">
        <f t="shared" ref="BR120:BR143" si="110">+BP120*COS(RADIANS(BQ120))</f>
        <v>6.3066464707789178</v>
      </c>
      <c r="BS120" s="153">
        <f t="shared" ref="BS120:BS143" si="111">+BP120*SIN(RADIANS(BQ120))</f>
        <v>12.934962586253297</v>
      </c>
      <c r="BT120" s="39">
        <v>4.1666666666666699E-2</v>
      </c>
      <c r="BV120" s="39">
        <v>4.1666666666666699E-2</v>
      </c>
      <c r="BW120" s="38">
        <v>165</v>
      </c>
      <c r="BX120" s="38">
        <f t="shared" ref="BX120:BX143" si="112">+DEGREES(ASIN(COS(RADIANS($BY$85))*COS(RADIANS($BX$85))*COS(RADIANS(BW120))+SIN(RADIANS($BY$85))*SIN(RADIANS($BX$85))))</f>
        <v>-43.692996391273049</v>
      </c>
      <c r="BY120" s="38">
        <f t="shared" ref="BY120:BY130" si="113">180-DEGREES(ACOS((((SIN(RADIANS(BX120)))*SIN(RADIANS($BY$85)))-SIN(RADIANS($BX$85)))/((COS(RADIANS(BX120)))*COS(RADIANS($BY$85)))))</f>
        <v>20.237754688613791</v>
      </c>
      <c r="CA120">
        <f t="shared" ref="CA120:CA143" si="114">9-(BX120/10)</f>
        <v>13.369299639127306</v>
      </c>
      <c r="CB120">
        <f t="shared" ref="CB120:CB143" si="115">90-BY120</f>
        <v>69.762245311386209</v>
      </c>
      <c r="CC120" s="153">
        <f t="shared" ref="CC120:CC143" si="116">+CA120*COS(RADIANS(CB120))</f>
        <v>4.6246618464143561</v>
      </c>
      <c r="CD120" s="153">
        <f t="shared" ref="CD120:CD143" si="117">+CA120*SIN(RADIANS(CB120))</f>
        <v>12.543949762618187</v>
      </c>
      <c r="CE120" s="39">
        <v>4.1666666666666699E-2</v>
      </c>
      <c r="CG120" s="39">
        <v>4.1666666666666699E-2</v>
      </c>
      <c r="CH120" s="38">
        <v>165</v>
      </c>
      <c r="CI120" s="38">
        <f t="shared" ref="CI120:CI143" si="118">+DEGREES(ASIN(COS(RADIANS($CJ$85))*COS(RADIANS($CI$85))*COS(RADIANS(CH120))+SIN(RADIANS($CJ$85))*SIN(RADIANS($CI$85))))</f>
        <v>-36.876609818260775</v>
      </c>
      <c r="CJ120" s="38">
        <f t="shared" ref="CJ120:CJ130" si="119">180-DEGREES(ACOS((((SIN(RADIANS(CI120)))*SIN(RADIANS($CJ$85)))-SIN(RADIANS($CI$85)))/((COS(RADIANS(CI120)))*COS(RADIANS($CJ$85)))))</f>
        <v>17.452108433901259</v>
      </c>
      <c r="CL120">
        <f t="shared" ref="CL120:CL143" si="120">9-(CI120/10)</f>
        <v>12.687660981826077</v>
      </c>
      <c r="CM120">
        <f t="shared" ref="CM120:CM143" si="121">90-CJ120</f>
        <v>72.547891566098741</v>
      </c>
      <c r="CN120" s="153">
        <f t="shared" ref="CN120:CN143" si="122">+CL120*COS(RADIANS(CM120))</f>
        <v>3.8051375694932532</v>
      </c>
      <c r="CO120" s="153">
        <f t="shared" ref="CO120:CO143" si="123">+CL120*SIN(RADIANS(CM120))</f>
        <v>12.103622154833769</v>
      </c>
      <c r="CP120" s="39">
        <v>4.1666666666666699E-2</v>
      </c>
      <c r="CR120" s="39">
        <v>4.1666666666666699E-2</v>
      </c>
      <c r="CS120" s="38">
        <v>165</v>
      </c>
      <c r="CT120" s="38">
        <f t="shared" ref="CT120:CT143" si="124">+DEGREES(ASIN(COS(RADIANS($CU$85))*COS(RADIANS($CT$85))*COS(RADIANS(CS120))+SIN(RADIANS($CU$85))*SIN(RADIANS($CT$85))))</f>
        <v>-35.522989333110012</v>
      </c>
      <c r="CU120" s="38">
        <f t="shared" ref="CU120:CU130" si="125">180-DEGREES(ACOS((((SIN(RADIANS(CT120)))*SIN(RADIANS($CU$85)))-SIN(RADIANS($CT$85)))/((COS(RADIANS(CT120)))*COS(RADIANS($CU$85)))))</f>
        <v>16.962222906987591</v>
      </c>
      <c r="CW120">
        <f t="shared" ref="CW120:CW143" si="126">9-(CT120/10)</f>
        <v>12.552298933311</v>
      </c>
      <c r="CX120">
        <f t="shared" ref="CX120:CX143" si="127">90-CU120</f>
        <v>73.037777093012409</v>
      </c>
      <c r="CY120" s="153">
        <f t="shared" ref="CY120:CY143" si="128">+CW120*COS(RADIANS(CX120))</f>
        <v>3.6620217035873996</v>
      </c>
      <c r="CZ120" s="153">
        <f t="shared" ref="CZ120:CZ143" si="129">+CW120*SIN(RADIANS(CX120))</f>
        <v>12.006240275525695</v>
      </c>
      <c r="DA120" s="39">
        <v>4.1666666666666699E-2</v>
      </c>
      <c r="DC120" s="39">
        <v>4.1666666666666699E-2</v>
      </c>
      <c r="DD120" s="38">
        <v>165</v>
      </c>
      <c r="DE120" s="38">
        <f t="shared" ref="DE120:DE143" si="130">+DEGREES(ASIN(COS(RADIANS($DF$85))*COS(RADIANS($DE$85))*COS(RADIANS(DD120))+SIN(RADIANS($DF$85))*SIN(RADIANS($DE$85))))</f>
        <v>-75.23679981258222</v>
      </c>
      <c r="DF120" s="38">
        <f t="shared" ref="DF120:DF130" si="131">180-DEGREES(ACOS((((SIN(RADIANS(DE120)))*SIN(RADIANS($DF$85)))-SIN(RADIANS($DE$85)))/((COS(RADIANS(DE120)))*COS(RADIANS($DF$85)))))</f>
        <v>69.204392711010712</v>
      </c>
      <c r="DH120">
        <f t="shared" ref="DH120:DH143" si="132">9-(DE120/10)</f>
        <v>16.523679981258223</v>
      </c>
      <c r="DI120">
        <f t="shared" ref="DI120:DI143" si="133">90-DF120</f>
        <v>20.795607288989288</v>
      </c>
      <c r="DJ120" s="153">
        <f t="shared" ref="DJ120:DJ143" si="134">+DH120*COS(RADIANS(DI120))</f>
        <v>15.447210128166809</v>
      </c>
      <c r="DK120" s="153">
        <f t="shared" ref="DK120:DK143" si="135">+DH120*SIN(RADIANS(DI120))</f>
        <v>5.8664895277580156</v>
      </c>
      <c r="DL120" s="39">
        <v>4.1666666666666699E-2</v>
      </c>
    </row>
    <row r="121" spans="1:116" x14ac:dyDescent="0.25">
      <c r="A121">
        <v>-2.9</v>
      </c>
      <c r="B121">
        <f t="shared" si="16"/>
        <v>8.519976525789259</v>
      </c>
      <c r="C121">
        <f t="shared" si="17"/>
        <v>-8.519976525789259</v>
      </c>
      <c r="D121">
        <f t="shared" si="20"/>
        <v>7.4558701705434762</v>
      </c>
      <c r="E121">
        <f t="shared" si="21"/>
        <v>-7.4558701705434762</v>
      </c>
      <c r="F121">
        <f t="shared" si="24"/>
        <v>6.3710281744785906</v>
      </c>
      <c r="G121">
        <f t="shared" si="25"/>
        <v>-6.3710281744785906</v>
      </c>
      <c r="H121">
        <f t="shared" si="74"/>
        <v>5.2526183946675582</v>
      </c>
      <c r="I121">
        <f t="shared" si="75"/>
        <v>-5.2526183946675582</v>
      </c>
      <c r="J121">
        <f t="shared" si="90"/>
        <v>4.0730823708832604</v>
      </c>
      <c r="K121">
        <f t="shared" si="91"/>
        <v>-4.0730823708832604</v>
      </c>
      <c r="L121">
        <f t="shared" si="92"/>
        <v>2.7549954627911823</v>
      </c>
      <c r="M121">
        <f t="shared" si="93"/>
        <v>-2.7549954627911823</v>
      </c>
      <c r="N121">
        <f t="shared" si="14"/>
        <v>0.76811457478686074</v>
      </c>
      <c r="O121">
        <f t="shared" si="15"/>
        <v>-0.76811457478686074</v>
      </c>
      <c r="U121" s="153"/>
      <c r="V121" s="153"/>
      <c r="W121" s="153"/>
      <c r="X121" s="153"/>
      <c r="Y121" s="153"/>
      <c r="Z121" s="153"/>
      <c r="AA121" s="153"/>
      <c r="AB121" s="153"/>
      <c r="AO121" s="39">
        <v>8.3333333333333301E-2</v>
      </c>
      <c r="AP121" s="38">
        <v>150</v>
      </c>
      <c r="AQ121" s="38">
        <f t="shared" si="94"/>
        <v>-60.232400619509299</v>
      </c>
      <c r="AR121" s="38">
        <f t="shared" si="95"/>
        <v>73.818841067034114</v>
      </c>
      <c r="AT121">
        <f t="shared" si="96"/>
        <v>15.023240061950929</v>
      </c>
      <c r="AU121">
        <f t="shared" si="97"/>
        <v>16.181158932965886</v>
      </c>
      <c r="AV121" s="153">
        <f t="shared" si="98"/>
        <v>14.428100067872327</v>
      </c>
      <c r="AW121" s="153">
        <f t="shared" si="99"/>
        <v>4.1866060706101669</v>
      </c>
      <c r="AX121" s="39">
        <v>8.3333333333333301E-2</v>
      </c>
      <c r="AZ121" s="39">
        <v>8.3333333333333301E-2</v>
      </c>
      <c r="BA121" s="38">
        <v>150</v>
      </c>
      <c r="BB121" s="38">
        <f t="shared" si="100"/>
        <v>-54.989718040976605</v>
      </c>
      <c r="BC121" s="38">
        <f t="shared" si="101"/>
        <v>59.585502367486896</v>
      </c>
      <c r="BE121">
        <f t="shared" si="102"/>
        <v>14.498971804097661</v>
      </c>
      <c r="BF121">
        <f t="shared" si="103"/>
        <v>30.414497632513104</v>
      </c>
      <c r="BG121" s="153">
        <f t="shared" si="104"/>
        <v>12.503704486408054</v>
      </c>
      <c r="BH121" s="153">
        <f t="shared" si="105"/>
        <v>7.3401333429712334</v>
      </c>
      <c r="BI121" s="39">
        <v>8.3333333333333301E-2</v>
      </c>
      <c r="BK121" s="39">
        <v>8.3333333333333301E-2</v>
      </c>
      <c r="BL121" s="38">
        <v>150</v>
      </c>
      <c r="BM121" s="38">
        <f t="shared" si="106"/>
        <v>-46.133018433380855</v>
      </c>
      <c r="BN121" s="38">
        <f t="shared" si="107"/>
        <v>46.033218302412109</v>
      </c>
      <c r="BP121">
        <f t="shared" si="108"/>
        <v>13.613301843338085</v>
      </c>
      <c r="BQ121">
        <f t="shared" si="109"/>
        <v>43.966781697587891</v>
      </c>
      <c r="BR121" s="153">
        <f t="shared" si="110"/>
        <v>9.7980708215459078</v>
      </c>
      <c r="BS121" s="153">
        <f t="shared" si="111"/>
        <v>9.4509150484914848</v>
      </c>
      <c r="BT121" s="39">
        <v>8.3333333333333301E-2</v>
      </c>
      <c r="BV121" s="39">
        <v>8.3333333333333301E-2</v>
      </c>
      <c r="BW121" s="38">
        <v>150</v>
      </c>
      <c r="BX121" s="38">
        <f t="shared" si="112"/>
        <v>-37.33129672095771</v>
      </c>
      <c r="BY121" s="38">
        <f t="shared" si="113"/>
        <v>37.421390721411996</v>
      </c>
      <c r="CA121">
        <f t="shared" si="114"/>
        <v>12.733129672095771</v>
      </c>
      <c r="CB121">
        <f t="shared" si="115"/>
        <v>52.578609278588004</v>
      </c>
      <c r="CC121" s="153">
        <f t="shared" si="116"/>
        <v>7.7375712504447289</v>
      </c>
      <c r="CD121" s="153">
        <f t="shared" si="117"/>
        <v>10.112496348117856</v>
      </c>
      <c r="CE121" s="39">
        <v>8.3333333333333301E-2</v>
      </c>
      <c r="CG121" s="39">
        <v>8.3333333333333301E-2</v>
      </c>
      <c r="CH121" s="38">
        <v>150</v>
      </c>
      <c r="CI121" s="38">
        <f t="shared" si="118"/>
        <v>-31.276362355278998</v>
      </c>
      <c r="CJ121" s="38">
        <f t="shared" si="119"/>
        <v>32.838198459563159</v>
      </c>
      <c r="CL121">
        <f t="shared" si="120"/>
        <v>12.1276362355279</v>
      </c>
      <c r="CM121">
        <f t="shared" si="121"/>
        <v>57.161801540436841</v>
      </c>
      <c r="CN121" s="153">
        <f t="shared" si="122"/>
        <v>6.5764349434517442</v>
      </c>
      <c r="CO121" s="153">
        <f t="shared" si="123"/>
        <v>10.189703827679988</v>
      </c>
      <c r="CP121" s="39">
        <v>8.3333333333333301E-2</v>
      </c>
      <c r="CR121" s="39">
        <v>8.3333333333333301E-2</v>
      </c>
      <c r="CS121" s="38">
        <v>150</v>
      </c>
      <c r="CT121" s="38">
        <f t="shared" si="124"/>
        <v>-30.061756873161897</v>
      </c>
      <c r="CU121" s="38">
        <f t="shared" si="125"/>
        <v>32.005223707712958</v>
      </c>
      <c r="CW121">
        <f t="shared" si="126"/>
        <v>12.00617568731619</v>
      </c>
      <c r="CX121">
        <f t="shared" si="127"/>
        <v>57.994776292287042</v>
      </c>
      <c r="CY121" s="153">
        <f t="shared" si="128"/>
        <v>6.3632320452066073</v>
      </c>
      <c r="CZ121" s="153">
        <f t="shared" si="129"/>
        <v>10.181234334478219</v>
      </c>
      <c r="DA121" s="39">
        <v>8.3333333333333301E-2</v>
      </c>
      <c r="DC121" s="39">
        <v>8.3333333333333301E-2</v>
      </c>
      <c r="DD121" s="38">
        <v>150</v>
      </c>
      <c r="DE121" s="38">
        <f t="shared" si="130"/>
        <v>-62.452473976782521</v>
      </c>
      <c r="DF121" s="38">
        <f t="shared" si="131"/>
        <v>84.319044517006716</v>
      </c>
      <c r="DH121">
        <f t="shared" si="132"/>
        <v>15.245247397678252</v>
      </c>
      <c r="DI121">
        <f t="shared" si="133"/>
        <v>5.6809554829932836</v>
      </c>
      <c r="DJ121" s="153">
        <f t="shared" si="134"/>
        <v>15.170370789465272</v>
      </c>
      <c r="DK121" s="153">
        <f t="shared" si="135"/>
        <v>1.5091117674162819</v>
      </c>
      <c r="DL121" s="39">
        <v>8.3333333333333301E-2</v>
      </c>
    </row>
    <row r="122" spans="1:116" x14ac:dyDescent="0.25">
      <c r="A122">
        <v>-3</v>
      </c>
      <c r="B122">
        <f t="shared" si="16"/>
        <v>8.4852813742385695</v>
      </c>
      <c r="C122">
        <f t="shared" si="17"/>
        <v>-8.4852813742385695</v>
      </c>
      <c r="D122">
        <f t="shared" si="20"/>
        <v>7.416198487095663</v>
      </c>
      <c r="E122">
        <f t="shared" si="21"/>
        <v>-7.416198487095663</v>
      </c>
      <c r="F122">
        <f t="shared" si="24"/>
        <v>6.324555320336759</v>
      </c>
      <c r="G122">
        <f t="shared" si="25"/>
        <v>-6.324555320336759</v>
      </c>
      <c r="H122">
        <f t="shared" si="74"/>
        <v>5.196152422706632</v>
      </c>
      <c r="I122">
        <f t="shared" si="75"/>
        <v>-5.196152422706632</v>
      </c>
      <c r="J122">
        <f t="shared" si="90"/>
        <v>4</v>
      </c>
      <c r="K122">
        <f t="shared" si="91"/>
        <v>-4</v>
      </c>
      <c r="L122">
        <f t="shared" si="92"/>
        <v>2.6457513110645907</v>
      </c>
      <c r="M122">
        <f t="shared" si="93"/>
        <v>-2.6457513110645907</v>
      </c>
      <c r="N122">
        <f t="shared" si="14"/>
        <v>0</v>
      </c>
      <c r="O122">
        <f t="shared" si="15"/>
        <v>0</v>
      </c>
      <c r="U122" s="153"/>
      <c r="V122" s="153"/>
      <c r="AO122" s="39">
        <v>0.125</v>
      </c>
      <c r="AP122" s="38">
        <v>135</v>
      </c>
      <c r="AQ122" s="38">
        <f t="shared" si="94"/>
        <v>-47.358006013278754</v>
      </c>
      <c r="AR122" s="38">
        <f t="shared" si="95"/>
        <v>84.519330155836997</v>
      </c>
      <c r="AT122">
        <f t="shared" si="96"/>
        <v>13.735800601327876</v>
      </c>
      <c r="AU122">
        <f t="shared" si="97"/>
        <v>5.4806698441630033</v>
      </c>
      <c r="AV122" s="153">
        <f t="shared" si="98"/>
        <v>13.673007082095582</v>
      </c>
      <c r="AW122" s="153">
        <f t="shared" si="99"/>
        <v>1.311905290942623</v>
      </c>
      <c r="AX122" s="39">
        <v>0.125</v>
      </c>
      <c r="AZ122" s="39">
        <v>0.125</v>
      </c>
      <c r="BA122" s="38">
        <v>135</v>
      </c>
      <c r="BB122" s="38">
        <f t="shared" si="100"/>
        <v>-42.970049900882437</v>
      </c>
      <c r="BC122" s="38">
        <f t="shared" si="101"/>
        <v>72.992972749272582</v>
      </c>
      <c r="BE122">
        <f t="shared" si="102"/>
        <v>13.297004990088244</v>
      </c>
      <c r="BF122">
        <f t="shared" si="103"/>
        <v>17.007027250727418</v>
      </c>
      <c r="BG122" s="153">
        <f t="shared" si="104"/>
        <v>12.715512199162722</v>
      </c>
      <c r="BH122" s="153">
        <f t="shared" si="105"/>
        <v>3.8892275864721073</v>
      </c>
      <c r="BI122" s="39">
        <v>0.125</v>
      </c>
      <c r="BK122" s="39">
        <v>0.125</v>
      </c>
      <c r="BL122" s="38">
        <v>135</v>
      </c>
      <c r="BM122" s="38">
        <f t="shared" si="106"/>
        <v>-35.619953941187866</v>
      </c>
      <c r="BN122" s="38">
        <f t="shared" si="107"/>
        <v>60.195037330045565</v>
      </c>
      <c r="BP122">
        <f t="shared" si="108"/>
        <v>12.561995394118787</v>
      </c>
      <c r="BQ122">
        <f t="shared" si="109"/>
        <v>29.804962669954435</v>
      </c>
      <c r="BR122" s="153">
        <f t="shared" si="110"/>
        <v>10.900324851829213</v>
      </c>
      <c r="BS122" s="153">
        <f t="shared" si="111"/>
        <v>6.2439287637236935</v>
      </c>
      <c r="BT122" s="39">
        <v>0.125</v>
      </c>
      <c r="BV122" s="39">
        <v>0.125</v>
      </c>
      <c r="BW122" s="38">
        <v>135</v>
      </c>
      <c r="BX122" s="38">
        <f t="shared" si="112"/>
        <v>-28.177692758769616</v>
      </c>
      <c r="BY122" s="38">
        <f t="shared" si="113"/>
        <v>50.823092297341248</v>
      </c>
      <c r="CA122">
        <f t="shared" si="114"/>
        <v>11.817769275876962</v>
      </c>
      <c r="CB122">
        <f t="shared" si="115"/>
        <v>39.176907702658752</v>
      </c>
      <c r="CC122" s="153">
        <f t="shared" si="116"/>
        <v>9.1611247768654742</v>
      </c>
      <c r="CD122" s="153">
        <f t="shared" si="117"/>
        <v>7.465484812158083</v>
      </c>
      <c r="CE122" s="39">
        <v>0.125</v>
      </c>
      <c r="CG122" s="39">
        <v>0.125</v>
      </c>
      <c r="CH122" s="38">
        <v>135</v>
      </c>
      <c r="CI122" s="38">
        <f t="shared" si="118"/>
        <v>-22.981260259153483</v>
      </c>
      <c r="CJ122" s="38">
        <f t="shared" si="119"/>
        <v>45.392932124001135</v>
      </c>
      <c r="CL122">
        <f t="shared" si="120"/>
        <v>11.298126025915348</v>
      </c>
      <c r="CM122">
        <f t="shared" si="121"/>
        <v>44.607067875998865</v>
      </c>
      <c r="CN122" s="153">
        <f t="shared" si="122"/>
        <v>8.0435813417555835</v>
      </c>
      <c r="CO122" s="153">
        <f t="shared" si="123"/>
        <v>7.934005980337246</v>
      </c>
      <c r="CP122" s="39">
        <v>0.125</v>
      </c>
      <c r="CR122" s="39">
        <v>0.125</v>
      </c>
      <c r="CS122" s="38">
        <v>135</v>
      </c>
      <c r="CT122" s="38">
        <f t="shared" si="124"/>
        <v>-21.932757611792816</v>
      </c>
      <c r="CU122" s="38">
        <f t="shared" si="125"/>
        <v>44.372564277814263</v>
      </c>
      <c r="CW122">
        <f t="shared" si="126"/>
        <v>11.193275761179281</v>
      </c>
      <c r="CX122">
        <f t="shared" si="127"/>
        <v>45.627435722185737</v>
      </c>
      <c r="CY122" s="153">
        <f t="shared" si="128"/>
        <v>7.8276943609688994</v>
      </c>
      <c r="CZ122" s="153">
        <f t="shared" si="129"/>
        <v>8.0010388861109352</v>
      </c>
      <c r="DA122" s="39">
        <v>0.125</v>
      </c>
      <c r="DC122" s="39">
        <v>0.125</v>
      </c>
      <c r="DD122" s="38">
        <v>135</v>
      </c>
      <c r="DE122" s="38">
        <f t="shared" si="130"/>
        <v>-49.357961668366194</v>
      </c>
      <c r="DF122" s="38">
        <f t="shared" si="131"/>
        <v>92.227199589722318</v>
      </c>
      <c r="DH122">
        <f t="shared" si="132"/>
        <v>13.935796166836619</v>
      </c>
      <c r="DI122">
        <f t="shared" si="133"/>
        <v>-2.2271995897223178</v>
      </c>
      <c r="DJ122" s="153">
        <f t="shared" si="134"/>
        <v>13.9252687913333</v>
      </c>
      <c r="DK122" s="153">
        <f t="shared" si="135"/>
        <v>-0.5415753804753205</v>
      </c>
      <c r="DL122" s="39">
        <v>0.125</v>
      </c>
    </row>
    <row r="123" spans="1:116" x14ac:dyDescent="0.25">
      <c r="A123">
        <v>-3.1</v>
      </c>
      <c r="B123">
        <f t="shared" si="16"/>
        <v>8.4492603226554692</v>
      </c>
      <c r="C123">
        <f t="shared" si="17"/>
        <v>-8.4492603226554692</v>
      </c>
      <c r="D123">
        <f t="shared" si="20"/>
        <v>7.3749576269969168</v>
      </c>
      <c r="E123">
        <f t="shared" si="21"/>
        <v>-7.3749576269969168</v>
      </c>
      <c r="F123">
        <f t="shared" si="24"/>
        <v>6.2761453138052818</v>
      </c>
      <c r="G123">
        <f t="shared" si="25"/>
        <v>-6.2761453138052818</v>
      </c>
      <c r="H123">
        <f t="shared" si="74"/>
        <v>5.1371198156165292</v>
      </c>
      <c r="I123">
        <f t="shared" si="75"/>
        <v>-5.1371198156165292</v>
      </c>
      <c r="J123">
        <f t="shared" si="90"/>
        <v>3.9230090491866059</v>
      </c>
      <c r="K123">
        <f t="shared" si="91"/>
        <v>-3.9230090491866059</v>
      </c>
      <c r="L123">
        <f t="shared" si="92"/>
        <v>2.5278449319529073</v>
      </c>
      <c r="M123">
        <f t="shared" si="93"/>
        <v>-2.5278449319529073</v>
      </c>
      <c r="U123" s="153"/>
      <c r="AO123" s="39">
        <v>0.16666666666666699</v>
      </c>
      <c r="AP123" s="38">
        <v>120</v>
      </c>
      <c r="AQ123" s="38">
        <f t="shared" si="94"/>
        <v>-34.263131703153903</v>
      </c>
      <c r="AR123" s="38">
        <f t="shared" si="95"/>
        <v>92.169938930599614</v>
      </c>
      <c r="AT123">
        <f t="shared" si="96"/>
        <v>12.426313170315391</v>
      </c>
      <c r="AU123">
        <f t="shared" si="97"/>
        <v>-2.1699389305996135</v>
      </c>
      <c r="AV123" s="153">
        <f t="shared" si="98"/>
        <v>12.417402504704228</v>
      </c>
      <c r="AW123" s="153">
        <f t="shared" si="99"/>
        <v>-0.47050403071482749</v>
      </c>
      <c r="AX123" s="39">
        <v>0.16666666666666699</v>
      </c>
      <c r="AZ123" s="39">
        <v>0.16666666666666699</v>
      </c>
      <c r="BA123" s="38">
        <v>120</v>
      </c>
      <c r="BB123" s="38">
        <f t="shared" si="100"/>
        <v>-30.166174654908502</v>
      </c>
      <c r="BC123" s="38">
        <f t="shared" si="101"/>
        <v>82.395681730571113</v>
      </c>
      <c r="BE123">
        <f t="shared" si="102"/>
        <v>12.01661746549085</v>
      </c>
      <c r="BF123">
        <f t="shared" si="103"/>
        <v>7.6043182694288873</v>
      </c>
      <c r="BG123" s="153">
        <f t="shared" si="104"/>
        <v>11.910938158755613</v>
      </c>
      <c r="BH123" s="153">
        <f t="shared" si="105"/>
        <v>1.5901721574216976</v>
      </c>
      <c r="BI123" s="39">
        <v>0.16666666666666699</v>
      </c>
      <c r="BK123" s="39">
        <v>0.16666666666666699</v>
      </c>
      <c r="BL123" s="38">
        <v>120</v>
      </c>
      <c r="BM123" s="38">
        <f t="shared" si="106"/>
        <v>-23.693971230022676</v>
      </c>
      <c r="BN123" s="38">
        <f t="shared" si="107"/>
        <v>70.634773561073217</v>
      </c>
      <c r="BP123">
        <f t="shared" si="108"/>
        <v>11.369397123002267</v>
      </c>
      <c r="BQ123">
        <f t="shared" si="109"/>
        <v>19.365226438926783</v>
      </c>
      <c r="BR123" s="153">
        <f t="shared" si="110"/>
        <v>10.726162988788303</v>
      </c>
      <c r="BS123" s="153">
        <f t="shared" si="111"/>
        <v>3.7699626627435197</v>
      </c>
      <c r="BT123" s="39">
        <v>0.16666666666666699</v>
      </c>
      <c r="BV123" s="39">
        <v>0.16666666666666699</v>
      </c>
      <c r="BW123" s="38">
        <v>120</v>
      </c>
      <c r="BX123" s="38">
        <f t="shared" si="112"/>
        <v>-17.295202768452899</v>
      </c>
      <c r="BY123" s="38">
        <f t="shared" si="113"/>
        <v>61.227129569630065</v>
      </c>
      <c r="CA123">
        <f t="shared" si="114"/>
        <v>10.729520276845291</v>
      </c>
      <c r="CB123">
        <f t="shared" si="115"/>
        <v>28.772870430369935</v>
      </c>
      <c r="CC123" s="153">
        <f t="shared" si="116"/>
        <v>9.4047967545686468</v>
      </c>
      <c r="CD123" s="153">
        <f t="shared" si="117"/>
        <v>5.1645332196132978</v>
      </c>
      <c r="CE123" s="39">
        <v>0.16666666666666699</v>
      </c>
      <c r="CG123" s="39">
        <v>0.16666666666666699</v>
      </c>
      <c r="CH123" s="38">
        <v>120</v>
      </c>
      <c r="CI123" s="38">
        <f t="shared" si="118"/>
        <v>-12.865159481895564</v>
      </c>
      <c r="CJ123" s="38">
        <f t="shared" si="119"/>
        <v>55.427667993562665</v>
      </c>
      <c r="CL123">
        <f t="shared" si="120"/>
        <v>10.286515948189557</v>
      </c>
      <c r="CM123">
        <f t="shared" si="121"/>
        <v>34.572332006437335</v>
      </c>
      <c r="CN123" s="153">
        <f t="shared" si="122"/>
        <v>8.470025064497646</v>
      </c>
      <c r="CO123" s="153">
        <f t="shared" si="123"/>
        <v>5.8370442656484753</v>
      </c>
      <c r="CP123" s="39">
        <v>0.16666666666666699</v>
      </c>
      <c r="CR123" s="39">
        <v>0.16666666666666699</v>
      </c>
      <c r="CS123" s="38">
        <v>120</v>
      </c>
      <c r="CT123" s="38">
        <f t="shared" si="124"/>
        <v>-11.973998043852708</v>
      </c>
      <c r="CU123" s="38">
        <f t="shared" si="125"/>
        <v>54.308590994652675</v>
      </c>
      <c r="CW123">
        <f t="shared" si="126"/>
        <v>10.19739980438527</v>
      </c>
      <c r="CX123">
        <f t="shared" si="127"/>
        <v>35.691409005347325</v>
      </c>
      <c r="CY123" s="153">
        <f t="shared" si="128"/>
        <v>8.2820325453967421</v>
      </c>
      <c r="CZ123" s="153">
        <f t="shared" si="129"/>
        <v>5.9493612839922481</v>
      </c>
      <c r="DA123" s="39">
        <v>0.16666666666666699</v>
      </c>
      <c r="DC123" s="39">
        <v>0.16666666666666699</v>
      </c>
      <c r="DD123" s="38">
        <v>120</v>
      </c>
      <c r="DE123" s="38">
        <f t="shared" si="130"/>
        <v>-36.313087788252069</v>
      </c>
      <c r="DF123" s="38">
        <f t="shared" si="131"/>
        <v>98.417944530448025</v>
      </c>
      <c r="DH123">
        <f t="shared" si="132"/>
        <v>12.631308778825208</v>
      </c>
      <c r="DI123">
        <f t="shared" si="133"/>
        <v>-8.4179445304480254</v>
      </c>
      <c r="DJ123" s="153">
        <f t="shared" si="134"/>
        <v>12.495225784661383</v>
      </c>
      <c r="DK123" s="153">
        <f t="shared" si="135"/>
        <v>-1.8491333257394087</v>
      </c>
      <c r="DL123" s="39">
        <v>0.16666666666666699</v>
      </c>
    </row>
    <row r="124" spans="1:116" x14ac:dyDescent="0.25">
      <c r="A124">
        <v>-3.2</v>
      </c>
      <c r="B124">
        <f t="shared" si="16"/>
        <v>8.4118963379252349</v>
      </c>
      <c r="C124">
        <f t="shared" si="17"/>
        <v>-8.4118963379252349</v>
      </c>
      <c r="D124">
        <f t="shared" si="20"/>
        <v>7.3321211119293439</v>
      </c>
      <c r="E124">
        <f t="shared" si="21"/>
        <v>-7.3321211119293439</v>
      </c>
      <c r="F124">
        <f t="shared" si="24"/>
        <v>6.2257529665093525</v>
      </c>
      <c r="G124">
        <f t="shared" si="25"/>
        <v>-6.2257529665093525</v>
      </c>
      <c r="H124">
        <f t="shared" si="74"/>
        <v>5.0754310161798077</v>
      </c>
      <c r="I124">
        <f t="shared" si="75"/>
        <v>-5.0754310161798077</v>
      </c>
      <c r="J124">
        <f t="shared" si="90"/>
        <v>3.8418745424597089</v>
      </c>
      <c r="K124">
        <f t="shared" si="91"/>
        <v>-3.8418745424597089</v>
      </c>
      <c r="L124">
        <f t="shared" si="92"/>
        <v>2.3999999999999995</v>
      </c>
      <c r="M124">
        <f t="shared" si="93"/>
        <v>-2.3999999999999995</v>
      </c>
      <c r="U124" s="153"/>
      <c r="AA124" t="s">
        <v>53</v>
      </c>
      <c r="AC124" t="s">
        <v>57</v>
      </c>
      <c r="AE124" t="s">
        <v>58</v>
      </c>
      <c r="AG124" t="s">
        <v>59</v>
      </c>
      <c r="AI124" t="s">
        <v>60</v>
      </c>
      <c r="AK124" t="s">
        <v>61</v>
      </c>
      <c r="AO124" s="39">
        <v>0.20833333333333334</v>
      </c>
      <c r="AP124" s="38">
        <v>105</v>
      </c>
      <c r="AQ124" s="38">
        <f t="shared" si="94"/>
        <v>-21.222454332100078</v>
      </c>
      <c r="AR124" s="38">
        <f t="shared" si="95"/>
        <v>98.829098209067979</v>
      </c>
      <c r="AT124">
        <f t="shared" si="96"/>
        <v>11.122245433210008</v>
      </c>
      <c r="AU124">
        <f t="shared" si="97"/>
        <v>-8.829098209067979</v>
      </c>
      <c r="AV124" s="153">
        <f t="shared" si="98"/>
        <v>10.990453038698439</v>
      </c>
      <c r="AW124" s="153">
        <f t="shared" si="99"/>
        <v>-1.7071278454542096</v>
      </c>
      <c r="AX124" s="39">
        <v>0.20833333333333334</v>
      </c>
      <c r="AZ124" s="39">
        <v>0.20833333333333334</v>
      </c>
      <c r="BA124" s="38">
        <v>105</v>
      </c>
      <c r="BB124" s="38">
        <f t="shared" si="100"/>
        <v>-17.093738200635286</v>
      </c>
      <c r="BC124" s="38">
        <f t="shared" si="101"/>
        <v>90.095047630469693</v>
      </c>
      <c r="BE124">
        <f t="shared" si="102"/>
        <v>10.709373820063529</v>
      </c>
      <c r="BF124">
        <f t="shared" si="103"/>
        <v>-9.5047630469693445E-2</v>
      </c>
      <c r="BG124" s="153">
        <f t="shared" si="104"/>
        <v>10.709359084345353</v>
      </c>
      <c r="BH124" s="153">
        <f t="shared" si="105"/>
        <v>-1.7765708874136463E-2</v>
      </c>
      <c r="BI124" s="39">
        <v>0.20833333333333334</v>
      </c>
      <c r="BK124" s="39">
        <v>0.20833333333333334</v>
      </c>
      <c r="BL124" s="38">
        <v>105</v>
      </c>
      <c r="BM124" s="38">
        <f t="shared" si="106"/>
        <v>-11.045650532058881</v>
      </c>
      <c r="BN124" s="38">
        <f t="shared" si="107"/>
        <v>79.033909310679306</v>
      </c>
      <c r="BP124">
        <f t="shared" si="108"/>
        <v>10.104565053205889</v>
      </c>
      <c r="BQ124">
        <f t="shared" si="109"/>
        <v>10.966090689320694</v>
      </c>
      <c r="BR124" s="153">
        <f t="shared" si="110"/>
        <v>9.9200550673093009</v>
      </c>
      <c r="BS124" s="153">
        <f t="shared" si="111"/>
        <v>1.9221712660480537</v>
      </c>
      <c r="BT124" s="39">
        <v>0.20833333333333334</v>
      </c>
      <c r="BV124" s="39">
        <v>0.20833333333333334</v>
      </c>
      <c r="BW124" s="38">
        <v>105</v>
      </c>
      <c r="BX124" s="38">
        <f t="shared" si="112"/>
        <v>-5.3710235152583179</v>
      </c>
      <c r="BY124" s="38">
        <f t="shared" si="113"/>
        <v>69.645777513673181</v>
      </c>
      <c r="CA124">
        <f t="shared" si="114"/>
        <v>9.5371023515258315</v>
      </c>
      <c r="CB124">
        <f t="shared" si="115"/>
        <v>20.354222486326819</v>
      </c>
      <c r="CC124" s="153">
        <f t="shared" si="116"/>
        <v>8.9416074768578966</v>
      </c>
      <c r="CD124" s="153">
        <f t="shared" si="117"/>
        <v>3.3172242904691451</v>
      </c>
      <c r="CE124" s="39">
        <v>0.20833333333333334</v>
      </c>
      <c r="CG124" s="39">
        <v>0.20833333333333334</v>
      </c>
      <c r="CH124" s="38">
        <v>105</v>
      </c>
      <c r="CI124" s="38">
        <f t="shared" si="118"/>
        <v>-1.5633314612030205</v>
      </c>
      <c r="CJ124" s="38">
        <f t="shared" si="119"/>
        <v>63.595103972539462</v>
      </c>
      <c r="CL124">
        <f t="shared" si="120"/>
        <v>9.1563331461203017</v>
      </c>
      <c r="CM124">
        <f t="shared" si="121"/>
        <v>26.404896027460538</v>
      </c>
      <c r="CN124" s="153">
        <f t="shared" si="122"/>
        <v>8.2010873559628532</v>
      </c>
      <c r="CO124" s="153">
        <f t="shared" si="123"/>
        <v>4.0719286416399205</v>
      </c>
      <c r="CP124" s="39">
        <v>0.20833333333333334</v>
      </c>
      <c r="CR124" s="39">
        <v>0.20833333333333334</v>
      </c>
      <c r="CS124" s="38">
        <v>105</v>
      </c>
      <c r="CT124" s="38">
        <f t="shared" si="124"/>
        <v>-0.80777986614324515</v>
      </c>
      <c r="CU124" s="38">
        <f t="shared" si="125"/>
        <v>62.404173266606605</v>
      </c>
      <c r="CW124">
        <f t="shared" si="126"/>
        <v>9.0807779866143239</v>
      </c>
      <c r="CX124">
        <f t="shared" si="127"/>
        <v>27.595826733393395</v>
      </c>
      <c r="CY124" s="153">
        <f t="shared" si="128"/>
        <v>8.0477243653167001</v>
      </c>
      <c r="CZ124" s="153">
        <f t="shared" si="129"/>
        <v>4.2065022741069811</v>
      </c>
      <c r="DA124" s="39">
        <v>0.20833333333333334</v>
      </c>
      <c r="DC124" s="39">
        <v>0.20833333333333334</v>
      </c>
      <c r="DD124" s="38">
        <v>105</v>
      </c>
      <c r="DE124" s="38">
        <f t="shared" si="130"/>
        <v>-23.465180129092047</v>
      </c>
      <c r="DF124" s="38">
        <f t="shared" si="131"/>
        <v>104.25379012152538</v>
      </c>
      <c r="DH124">
        <f t="shared" si="132"/>
        <v>11.346518012909204</v>
      </c>
      <c r="DI124">
        <f t="shared" si="133"/>
        <v>-14.253790121525384</v>
      </c>
      <c r="DJ124" s="153">
        <f t="shared" si="134"/>
        <v>10.997211195505972</v>
      </c>
      <c r="DK124" s="153">
        <f t="shared" si="135"/>
        <v>-2.7937102460189251</v>
      </c>
      <c r="DL124" s="39">
        <v>0.20833333333333334</v>
      </c>
    </row>
    <row r="125" spans="1:116" x14ac:dyDescent="0.25">
      <c r="A125">
        <v>-3.3</v>
      </c>
      <c r="B125">
        <f t="shared" si="16"/>
        <v>8.3731714421717172</v>
      </c>
      <c r="C125">
        <f t="shared" si="17"/>
        <v>-8.3731714421717172</v>
      </c>
      <c r="D125">
        <f t="shared" si="20"/>
        <v>7.2876608044008195</v>
      </c>
      <c r="E125">
        <f t="shared" si="21"/>
        <v>-7.2876608044008195</v>
      </c>
      <c r="F125">
        <f t="shared" si="24"/>
        <v>6.1733297336202604</v>
      </c>
      <c r="G125">
        <f t="shared" si="25"/>
        <v>-6.1733297336202604</v>
      </c>
      <c r="H125">
        <f t="shared" si="74"/>
        <v>5.0109879265470196</v>
      </c>
      <c r="I125">
        <f t="shared" si="75"/>
        <v>-5.0109879265470196</v>
      </c>
      <c r="J125">
        <f t="shared" si="90"/>
        <v>3.7563279941985899</v>
      </c>
      <c r="K125">
        <f t="shared" si="91"/>
        <v>-3.7563279941985899</v>
      </c>
      <c r="L125">
        <f t="shared" si="92"/>
        <v>2.2605309110914633</v>
      </c>
      <c r="M125">
        <f t="shared" si="93"/>
        <v>-2.2605309110914633</v>
      </c>
      <c r="U125" s="153"/>
      <c r="AA125" s="55">
        <v>0.25</v>
      </c>
      <c r="AB125" s="153">
        <f>IF('Control Solar 1er Sem'!$N$8="si",IF(Isorreq!C10=-1,0,"si"),0)</f>
        <v>0</v>
      </c>
      <c r="AC125" s="55">
        <v>0.25</v>
      </c>
      <c r="AD125" s="153">
        <f>IF('Control Solar 1er Sem'!$N$8="si",IF(Isorreq!D10=-1,0,"si"),0)</f>
        <v>0</v>
      </c>
      <c r="AE125" s="55">
        <v>0.25</v>
      </c>
      <c r="AF125" s="153">
        <f>IF('Control Solar 1er Sem'!$N$8="si",IF(Isorreq!E10=-1,0,"si"),0)</f>
        <v>0</v>
      </c>
      <c r="AG125" s="55">
        <v>0.25</v>
      </c>
      <c r="AH125" s="153">
        <f>IF('Control Solar 1er Sem'!$N$8="si",IF(Isorreq!F10=-1,0,"si"),0)</f>
        <v>0</v>
      </c>
      <c r="AI125" s="55">
        <v>0.25</v>
      </c>
      <c r="AJ125" s="153">
        <f>IF('Control Solar 1er Sem'!$N$8="si",IF(Isorreq!G10=-1,0,"si"),0)</f>
        <v>0</v>
      </c>
      <c r="AK125" s="55">
        <v>0.25</v>
      </c>
      <c r="AL125" s="153">
        <f>IF('Control Solar 1er Sem'!$N$8="si",IF(Isorreq!H10=-1,0,"si"),0)</f>
        <v>0</v>
      </c>
      <c r="AO125" s="39">
        <v>0.25</v>
      </c>
      <c r="AP125" s="38">
        <v>90</v>
      </c>
      <c r="AQ125" s="38">
        <f t="shared" si="94"/>
        <v>-8.4117319355326003</v>
      </c>
      <c r="AR125" s="38">
        <f t="shared" si="95"/>
        <v>105.42042609675256</v>
      </c>
      <c r="AT125">
        <f t="shared" si="96"/>
        <v>9.84117319355326</v>
      </c>
      <c r="AU125">
        <f t="shared" si="97"/>
        <v>-15.420426096752564</v>
      </c>
      <c r="AV125" s="153">
        <f t="shared" si="98"/>
        <v>9.4868975670639042</v>
      </c>
      <c r="AW125" s="153">
        <f t="shared" si="99"/>
        <v>-2.616766015055271</v>
      </c>
      <c r="AX125" s="39">
        <v>0.25</v>
      </c>
      <c r="AZ125" s="39">
        <v>0.25</v>
      </c>
      <c r="BA125" s="38">
        <v>90</v>
      </c>
      <c r="BB125" s="38">
        <f t="shared" si="100"/>
        <v>-4.0202279922027584</v>
      </c>
      <c r="BC125" s="38">
        <f t="shared" si="101"/>
        <v>97.260160733971048</v>
      </c>
      <c r="BE125">
        <f t="shared" si="102"/>
        <v>9.4020227992202763</v>
      </c>
      <c r="BF125">
        <f t="shared" si="103"/>
        <v>-7.2601607339710483</v>
      </c>
      <c r="BG125" s="153">
        <f t="shared" si="104"/>
        <v>9.3266425907843757</v>
      </c>
      <c r="BH125" s="153">
        <f t="shared" si="105"/>
        <v>-1.1881795743172854</v>
      </c>
      <c r="BI125" s="39">
        <v>0.25</v>
      </c>
      <c r="BK125" s="39">
        <v>0.25</v>
      </c>
      <c r="BL125" s="38">
        <v>90</v>
      </c>
      <c r="BM125" s="38">
        <f t="shared" si="106"/>
        <v>1.9510766725967672</v>
      </c>
      <c r="BN125" s="38">
        <f t="shared" si="107"/>
        <v>86.488170658290201</v>
      </c>
      <c r="BP125">
        <f t="shared" si="108"/>
        <v>8.804892332740323</v>
      </c>
      <c r="BQ125">
        <f t="shared" si="109"/>
        <v>3.5118293417097988</v>
      </c>
      <c r="BR125" s="153">
        <f t="shared" si="110"/>
        <v>8.7883582682606036</v>
      </c>
      <c r="BS125" s="153">
        <f t="shared" si="111"/>
        <v>0.53934028205281404</v>
      </c>
      <c r="BT125" s="39">
        <v>0.25</v>
      </c>
      <c r="BV125" s="39">
        <v>0.25</v>
      </c>
      <c r="BW125" s="38">
        <v>90</v>
      </c>
      <c r="BX125" s="38">
        <f t="shared" si="112"/>
        <v>7.1796941081018506</v>
      </c>
      <c r="BY125" s="38">
        <f t="shared" si="113"/>
        <v>76.908415468616056</v>
      </c>
      <c r="CA125">
        <f t="shared" si="114"/>
        <v>8.2820305891898158</v>
      </c>
      <c r="CB125">
        <f t="shared" si="115"/>
        <v>13.091584531383944</v>
      </c>
      <c r="CC125" s="153">
        <f t="shared" si="116"/>
        <v>8.0667743759958661</v>
      </c>
      <c r="CD125" s="153">
        <f t="shared" si="117"/>
        <v>1.8759482527650697</v>
      </c>
      <c r="CE125" s="39">
        <v>0.25</v>
      </c>
      <c r="CG125" s="39">
        <v>0.25</v>
      </c>
      <c r="CH125" s="38">
        <v>90</v>
      </c>
      <c r="CI125" s="38">
        <f t="shared" si="118"/>
        <v>10.508522694850116</v>
      </c>
      <c r="CJ125" s="38">
        <f t="shared" si="119"/>
        <v>70.516285917220941</v>
      </c>
      <c r="CL125">
        <f t="shared" si="120"/>
        <v>7.9491477305149889</v>
      </c>
      <c r="CM125">
        <f t="shared" si="121"/>
        <v>19.483714082779059</v>
      </c>
      <c r="CN125" s="153">
        <f t="shared" si="122"/>
        <v>7.4939503996922818</v>
      </c>
      <c r="CO125" s="153">
        <f t="shared" si="123"/>
        <v>2.6513500426204568</v>
      </c>
      <c r="CP125" s="39">
        <v>0.25</v>
      </c>
      <c r="CR125" s="39">
        <v>0.25</v>
      </c>
      <c r="CS125" s="38">
        <v>90</v>
      </c>
      <c r="CT125" s="38">
        <f t="shared" si="124"/>
        <v>11.152054967319165</v>
      </c>
      <c r="CU125" s="38">
        <f t="shared" si="125"/>
        <v>69.238766580276192</v>
      </c>
      <c r="CW125">
        <f t="shared" si="126"/>
        <v>7.8847945032680835</v>
      </c>
      <c r="CX125">
        <f t="shared" si="127"/>
        <v>20.761233419723808</v>
      </c>
      <c r="CY125" s="153">
        <f t="shared" si="128"/>
        <v>7.3728011230173927</v>
      </c>
      <c r="CZ125" s="153">
        <f t="shared" si="129"/>
        <v>2.7949575952418426</v>
      </c>
      <c r="DA125" s="39">
        <v>0.25</v>
      </c>
      <c r="DC125" s="39">
        <v>0.25</v>
      </c>
      <c r="DD125" s="38">
        <v>90</v>
      </c>
      <c r="DE125" s="38">
        <f t="shared" si="130"/>
        <v>-10.952670234464714</v>
      </c>
      <c r="DF125" s="38">
        <f t="shared" si="131"/>
        <v>110.36370911494541</v>
      </c>
      <c r="DH125">
        <f t="shared" si="132"/>
        <v>10.095267023446471</v>
      </c>
      <c r="DI125">
        <f t="shared" si="133"/>
        <v>-20.363709114945408</v>
      </c>
      <c r="DJ125" s="153">
        <f t="shared" si="134"/>
        <v>9.4643389348438767</v>
      </c>
      <c r="DK125" s="153">
        <f t="shared" si="135"/>
        <v>-3.5129339306460108</v>
      </c>
      <c r="DL125" s="39">
        <v>0.25</v>
      </c>
    </row>
    <row r="126" spans="1:116" x14ac:dyDescent="0.25">
      <c r="A126">
        <v>-3.4</v>
      </c>
      <c r="B126">
        <f t="shared" si="16"/>
        <v>8.3330666623998635</v>
      </c>
      <c r="C126">
        <f t="shared" si="17"/>
        <v>-8.3330666623998635</v>
      </c>
      <c r="D126">
        <f t="shared" si="20"/>
        <v>7.2415467960926687</v>
      </c>
      <c r="E126">
        <f t="shared" si="21"/>
        <v>-7.2415467960926687</v>
      </c>
      <c r="F126">
        <f t="shared" si="24"/>
        <v>6.1188234163113417</v>
      </c>
      <c r="G126">
        <f t="shared" si="25"/>
        <v>-6.1188234163113417</v>
      </c>
      <c r="H126">
        <f t="shared" si="74"/>
        <v>4.9436828377233102</v>
      </c>
      <c r="I126">
        <f t="shared" si="75"/>
        <v>-4.9436828377233102</v>
      </c>
      <c r="J126">
        <f t="shared" si="90"/>
        <v>3.6660605559646724</v>
      </c>
      <c r="K126">
        <f t="shared" si="91"/>
        <v>-3.6660605559646724</v>
      </c>
      <c r="L126">
        <f t="shared" si="92"/>
        <v>2.1071307505705481</v>
      </c>
      <c r="M126">
        <f t="shared" si="93"/>
        <v>-2.1071307505705481</v>
      </c>
      <c r="U126" s="153"/>
      <c r="AA126" s="55">
        <v>0.29166666666666702</v>
      </c>
      <c r="AB126" s="153">
        <f>IF('Control Solar 1er Sem'!$N$8="si",IF(Isorreq!C11=-1,0,"si"),0)</f>
        <v>0</v>
      </c>
      <c r="AC126" s="55">
        <v>0.29166666666666702</v>
      </c>
      <c r="AD126" s="153">
        <f>IF('Control Solar 1er Sem'!$N$8="si",IF(Isorreq!D11=-1,0,"si"),0)</f>
        <v>0</v>
      </c>
      <c r="AE126" s="55">
        <v>0.29166666666666702</v>
      </c>
      <c r="AF126" s="153">
        <f>IF('Control Solar 1er Sem'!$N$8="si",IF(Isorreq!E11=-1,0,"si"),0)</f>
        <v>0</v>
      </c>
      <c r="AG126" s="55">
        <v>0.29166666666666702</v>
      </c>
      <c r="AH126" s="153">
        <f>IF('Control Solar 1er Sem'!$N$8="si",IF(Isorreq!F11=-1,0,"si"),0)</f>
        <v>0</v>
      </c>
      <c r="AI126" s="55">
        <v>0.29166666666666702</v>
      </c>
      <c r="AJ126" s="153">
        <f>IF('Control Solar 1er Sem'!$N$8="si",IF(Isorreq!G11=-1,0,"si"),0)</f>
        <v>0</v>
      </c>
      <c r="AK126" s="55">
        <v>0.29166666666666702</v>
      </c>
      <c r="AL126" s="153" t="str">
        <f>IF('Control Solar 1er Sem'!$N$8="si",IF(Isorreq!H11=-1,0,"si"),0)</f>
        <v>si</v>
      </c>
      <c r="AO126" s="39">
        <v>0.29166666666666702</v>
      </c>
      <c r="AP126" s="38">
        <v>75</v>
      </c>
      <c r="AQ126" s="38">
        <f t="shared" si="94"/>
        <v>3.9806023907424599</v>
      </c>
      <c r="AR126" s="38">
        <f t="shared" si="95"/>
        <v>112.5771078319798</v>
      </c>
      <c r="AT126">
        <f t="shared" si="96"/>
        <v>8.6019397609257542</v>
      </c>
      <c r="AU126">
        <f t="shared" si="97"/>
        <v>-22.577107831979802</v>
      </c>
      <c r="AV126" s="153">
        <f t="shared" si="98"/>
        <v>7.9427188060969565</v>
      </c>
      <c r="AW126" s="153">
        <f t="shared" si="99"/>
        <v>-3.3025120163095778</v>
      </c>
      <c r="AX126" s="39">
        <v>0.29166666666666702</v>
      </c>
      <c r="AZ126" s="39">
        <v>0.29166666666666702</v>
      </c>
      <c r="BA126" s="38">
        <v>75</v>
      </c>
      <c r="BB126" s="38">
        <f t="shared" si="100"/>
        <v>8.8424843209748119</v>
      </c>
      <c r="BC126" s="38">
        <f t="shared" si="101"/>
        <v>104.68802822282147</v>
      </c>
      <c r="BE126">
        <f t="shared" si="102"/>
        <v>8.1157515679025192</v>
      </c>
      <c r="BF126">
        <f t="shared" si="103"/>
        <v>-14.688028222821472</v>
      </c>
      <c r="BG126" s="153">
        <f t="shared" si="104"/>
        <v>7.8505349227251555</v>
      </c>
      <c r="BH126" s="153">
        <f t="shared" si="105"/>
        <v>-2.0577961364005248</v>
      </c>
      <c r="BI126" s="39">
        <v>0.29166666666666702</v>
      </c>
      <c r="BK126" s="39">
        <v>0.29166666666666702</v>
      </c>
      <c r="BL126" s="38">
        <v>75</v>
      </c>
      <c r="BM126" s="38">
        <f t="shared" si="106"/>
        <v>15.051271742006362</v>
      </c>
      <c r="BN126" s="38">
        <f t="shared" si="107"/>
        <v>93.815787356682009</v>
      </c>
      <c r="BP126">
        <f t="shared" si="108"/>
        <v>7.494872825799364</v>
      </c>
      <c r="BQ126">
        <f t="shared" si="109"/>
        <v>-3.8157873566820086</v>
      </c>
      <c r="BR126" s="153">
        <f t="shared" si="110"/>
        <v>7.4782579609816162</v>
      </c>
      <c r="BS126" s="153">
        <f t="shared" si="111"/>
        <v>-0.49877504340216094</v>
      </c>
      <c r="BT126" s="39">
        <v>0.29166666666666702</v>
      </c>
      <c r="BV126" s="39">
        <v>0.29166666666666702</v>
      </c>
      <c r="BW126" s="38">
        <v>75</v>
      </c>
      <c r="BX126" s="38">
        <f t="shared" si="112"/>
        <v>20.094408212134532</v>
      </c>
      <c r="BY126" s="38">
        <f t="shared" si="113"/>
        <v>83.69300591455243</v>
      </c>
      <c r="CA126">
        <f t="shared" si="114"/>
        <v>6.9905591787865466</v>
      </c>
      <c r="CB126">
        <f t="shared" si="115"/>
        <v>6.3069940854475703</v>
      </c>
      <c r="CC126" s="153">
        <f t="shared" si="116"/>
        <v>6.9482491884736275</v>
      </c>
      <c r="CD126" s="153">
        <f t="shared" si="117"/>
        <v>0.76795237286723683</v>
      </c>
      <c r="CE126" s="39">
        <v>0.29166666666666702</v>
      </c>
      <c r="CG126" s="39">
        <v>0.29166666666666702</v>
      </c>
      <c r="CH126" s="38">
        <v>75</v>
      </c>
      <c r="CI126" s="38">
        <f t="shared" si="118"/>
        <v>23.081833865003894</v>
      </c>
      <c r="CJ126" s="38">
        <f t="shared" si="119"/>
        <v>76.718561537440678</v>
      </c>
      <c r="CL126">
        <f t="shared" si="120"/>
        <v>6.6918166134996104</v>
      </c>
      <c r="CM126">
        <f t="shared" si="121"/>
        <v>13.281438462559322</v>
      </c>
      <c r="CN126" s="153">
        <f t="shared" si="122"/>
        <v>6.5128329273581409</v>
      </c>
      <c r="CO126" s="153">
        <f t="shared" si="123"/>
        <v>1.5373408369743473</v>
      </c>
      <c r="CP126" s="39">
        <v>0.29166666666666702</v>
      </c>
      <c r="CR126" s="39">
        <v>0.29166666666666702</v>
      </c>
      <c r="CS126" s="38">
        <v>75</v>
      </c>
      <c r="CT126" s="38">
        <f t="shared" si="124"/>
        <v>23.63600454935963</v>
      </c>
      <c r="CU126" s="38">
        <f t="shared" si="125"/>
        <v>75.306075969479892</v>
      </c>
      <c r="CW126">
        <f t="shared" si="126"/>
        <v>6.6363995450640374</v>
      </c>
      <c r="CX126">
        <f t="shared" si="127"/>
        <v>14.693924030520108</v>
      </c>
      <c r="CY126" s="153">
        <f t="shared" si="128"/>
        <v>6.4193538234426155</v>
      </c>
      <c r="CZ126" s="153">
        <f t="shared" si="129"/>
        <v>1.6833583727711796</v>
      </c>
      <c r="DA126" s="39">
        <v>0.29166666666666702</v>
      </c>
      <c r="DC126" s="39">
        <v>0.29166666666666702</v>
      </c>
      <c r="DD126" s="38">
        <v>75</v>
      </c>
      <c r="DE126" s="38">
        <f t="shared" si="130"/>
        <v>1.0425877010819102</v>
      </c>
      <c r="DF126" s="38">
        <f t="shared" si="131"/>
        <v>117.22586297915178</v>
      </c>
      <c r="DH126">
        <f t="shared" si="132"/>
        <v>8.8957412298918097</v>
      </c>
      <c r="DI126">
        <f t="shared" si="133"/>
        <v>-27.225862979151785</v>
      </c>
      <c r="DJ126" s="153">
        <f t="shared" si="134"/>
        <v>7.9101816263441691</v>
      </c>
      <c r="DK126" s="153">
        <f t="shared" si="135"/>
        <v>-4.0697958999738741</v>
      </c>
      <c r="DL126" s="39">
        <v>0.29166666666666702</v>
      </c>
    </row>
    <row r="127" spans="1:116" x14ac:dyDescent="0.25">
      <c r="A127">
        <v>-3.5</v>
      </c>
      <c r="B127">
        <f t="shared" si="16"/>
        <v>8.2915619758885004</v>
      </c>
      <c r="C127">
        <f t="shared" si="17"/>
        <v>-8.2915619758885004</v>
      </c>
      <c r="D127">
        <f t="shared" si="20"/>
        <v>7.1937472849690796</v>
      </c>
      <c r="E127">
        <f t="shared" si="21"/>
        <v>-7.1937472849690796</v>
      </c>
      <c r="F127">
        <f t="shared" si="24"/>
        <v>6.0621778264910704</v>
      </c>
      <c r="G127">
        <f t="shared" si="25"/>
        <v>-6.0621778264910704</v>
      </c>
      <c r="H127">
        <f t="shared" si="74"/>
        <v>4.8733971724044816</v>
      </c>
      <c r="I127">
        <f t="shared" si="75"/>
        <v>-4.8733971724044816</v>
      </c>
      <c r="J127">
        <f t="shared" si="90"/>
        <v>3.5707142142714252</v>
      </c>
      <c r="K127">
        <f t="shared" si="91"/>
        <v>-3.5707142142714252</v>
      </c>
      <c r="L127">
        <f t="shared" si="92"/>
        <v>1.9364916731037085</v>
      </c>
      <c r="M127">
        <f t="shared" si="93"/>
        <v>-1.9364916731037085</v>
      </c>
      <c r="U127" s="153"/>
      <c r="AA127" s="55">
        <v>0.33333333333333298</v>
      </c>
      <c r="AB127" s="153">
        <f>IF('Control Solar 1er Sem'!$N$8="si",IF(Isorreq!C12=-1,0,"si"),0)</f>
        <v>0</v>
      </c>
      <c r="AC127" s="55">
        <v>0.33333333333333298</v>
      </c>
      <c r="AD127" s="153">
        <f>IF('Control Solar 1er Sem'!$N$8="si",IF(Isorreq!D12=-1,0,"si"),0)</f>
        <v>0</v>
      </c>
      <c r="AE127" s="55">
        <v>0.33333333333333298</v>
      </c>
      <c r="AF127" s="153">
        <f>IF('Control Solar 1er Sem'!$N$8="si",IF(Isorreq!E12=-1,0,"si"),0)</f>
        <v>0</v>
      </c>
      <c r="AG127" s="55">
        <v>0.33333333333333298</v>
      </c>
      <c r="AH127" s="153">
        <f>IF('Control Solar 1er Sem'!$N$8="si",IF(Isorreq!F12=-1,0,"si"),0)</f>
        <v>0</v>
      </c>
      <c r="AI127" s="55">
        <v>0.33333333333333298</v>
      </c>
      <c r="AJ127" s="153" t="str">
        <f>IF('Control Solar 1er Sem'!$N$8="si",IF(Isorreq!G12=-1,0,"si"),0)</f>
        <v>si</v>
      </c>
      <c r="AK127" s="55">
        <v>0.33333333333333298</v>
      </c>
      <c r="AL127" s="153" t="str">
        <f>IF('Control Solar 1er Sem'!$N$8="si",IF(Isorreq!H12=-1,0,"si"),0)</f>
        <v>si</v>
      </c>
      <c r="AO127" s="39">
        <v>0.33333333333333298</v>
      </c>
      <c r="AP127" s="38">
        <v>60</v>
      </c>
      <c r="AQ127" s="38">
        <f t="shared" si="94"/>
        <v>15.689450108647346</v>
      </c>
      <c r="AR127" s="38">
        <f t="shared" si="95"/>
        <v>120.92625519511847</v>
      </c>
      <c r="AT127">
        <f t="shared" si="96"/>
        <v>7.4310549891352657</v>
      </c>
      <c r="AU127">
        <f t="shared" si="97"/>
        <v>-30.926255195118472</v>
      </c>
      <c r="AV127" s="153">
        <f t="shared" si="98"/>
        <v>6.3745781167226729</v>
      </c>
      <c r="AW127" s="153">
        <f t="shared" si="99"/>
        <v>-3.819074768232817</v>
      </c>
      <c r="AX127" s="39">
        <v>0.33333333333333298</v>
      </c>
      <c r="AZ127" s="39">
        <v>0.33333333333333298</v>
      </c>
      <c r="BA127" s="38">
        <v>60</v>
      </c>
      <c r="BB127" s="38">
        <f t="shared" si="100"/>
        <v>21.241041758651765</v>
      </c>
      <c r="BC127" s="38">
        <f t="shared" si="101"/>
        <v>113.15708853016723</v>
      </c>
      <c r="BE127">
        <f t="shared" si="102"/>
        <v>6.8758958241348234</v>
      </c>
      <c r="BF127">
        <f t="shared" si="103"/>
        <v>-23.157088530167229</v>
      </c>
      <c r="BG127" s="153">
        <f t="shared" si="104"/>
        <v>6.3219057421889273</v>
      </c>
      <c r="BH127" s="153">
        <f t="shared" si="105"/>
        <v>-2.7039695211361687</v>
      </c>
      <c r="BI127" s="39">
        <v>0.33333333333333298</v>
      </c>
      <c r="BK127" s="39">
        <v>0.33333333333333298</v>
      </c>
      <c r="BL127" s="38">
        <v>60</v>
      </c>
      <c r="BM127" s="38">
        <f t="shared" si="106"/>
        <v>28.03064132064042</v>
      </c>
      <c r="BN127" s="38">
        <f t="shared" si="107"/>
        <v>101.84583698554694</v>
      </c>
      <c r="BP127">
        <f t="shared" si="108"/>
        <v>6.1969358679359576</v>
      </c>
      <c r="BQ127">
        <f t="shared" si="109"/>
        <v>-11.845836985546939</v>
      </c>
      <c r="BR127" s="153">
        <f t="shared" si="110"/>
        <v>6.0649626831945911</v>
      </c>
      <c r="BS127" s="153">
        <f t="shared" si="111"/>
        <v>-1.2721013335297824</v>
      </c>
      <c r="BT127" s="39">
        <v>0.33333333333333298</v>
      </c>
      <c r="BV127" s="39">
        <v>0.33333333333333298</v>
      </c>
      <c r="BW127" s="38">
        <v>60</v>
      </c>
      <c r="BX127" s="38">
        <f t="shared" si="112"/>
        <v>33.179114183303909</v>
      </c>
      <c r="BY127" s="38">
        <f t="shared" si="113"/>
        <v>90.692173646055892</v>
      </c>
      <c r="CA127">
        <f t="shared" si="114"/>
        <v>5.6820885816696087</v>
      </c>
      <c r="CB127">
        <f t="shared" si="115"/>
        <v>-0.69217364605589182</v>
      </c>
      <c r="CC127" s="153">
        <f t="shared" si="116"/>
        <v>5.681673954671612</v>
      </c>
      <c r="CD127" s="153">
        <f t="shared" si="117"/>
        <v>-6.8641989673889181E-2</v>
      </c>
      <c r="CE127" s="39">
        <v>0.33333333333333298</v>
      </c>
      <c r="CG127" s="39">
        <v>0.33333333333333298</v>
      </c>
      <c r="CH127" s="38">
        <v>60</v>
      </c>
      <c r="CI127" s="38">
        <f t="shared" si="118"/>
        <v>35.974200517974971</v>
      </c>
      <c r="CJ127" s="38">
        <f t="shared" si="119"/>
        <v>82.710211003016923</v>
      </c>
      <c r="CL127">
        <f t="shared" si="120"/>
        <v>5.4025799482025025</v>
      </c>
      <c r="CM127">
        <f t="shared" si="121"/>
        <v>7.2897889969830771</v>
      </c>
      <c r="CN127" s="153">
        <f t="shared" si="122"/>
        <v>5.3589112820436533</v>
      </c>
      <c r="CO127" s="153">
        <f t="shared" si="123"/>
        <v>0.68552167573681089</v>
      </c>
      <c r="CP127" s="39">
        <v>0.33333333333333298</v>
      </c>
      <c r="CR127" s="39">
        <v>0.33333333333333298</v>
      </c>
      <c r="CS127" s="38">
        <v>60</v>
      </c>
      <c r="CT127" s="38">
        <f t="shared" si="124"/>
        <v>36.462362723804389</v>
      </c>
      <c r="CU127" s="38">
        <f t="shared" si="125"/>
        <v>81.070349439875727</v>
      </c>
      <c r="CW127">
        <f t="shared" si="126"/>
        <v>5.3537637276195609</v>
      </c>
      <c r="CX127">
        <f t="shared" si="127"/>
        <v>8.9296505601242728</v>
      </c>
      <c r="CY127" s="153">
        <f t="shared" si="128"/>
        <v>5.2888743491714614</v>
      </c>
      <c r="CZ127" s="153">
        <f t="shared" si="129"/>
        <v>0.83101995755279379</v>
      </c>
      <c r="DA127" s="39">
        <v>0.33333333333333298</v>
      </c>
      <c r="DC127" s="39">
        <v>0.33333333333333298</v>
      </c>
      <c r="DD127" s="38">
        <v>60</v>
      </c>
      <c r="DE127" s="38">
        <f t="shared" si="130"/>
        <v>12.251377298592953</v>
      </c>
      <c r="DF127" s="38">
        <f t="shared" si="131"/>
        <v>125.34452095224731</v>
      </c>
      <c r="DH127">
        <f t="shared" si="132"/>
        <v>7.7748622701407051</v>
      </c>
      <c r="DI127">
        <f t="shared" si="133"/>
        <v>-35.344520952247308</v>
      </c>
      <c r="DJ127" s="153">
        <f t="shared" si="134"/>
        <v>6.3418643967501813</v>
      </c>
      <c r="DK127" s="153">
        <f t="shared" si="135"/>
        <v>-4.4976926632318861</v>
      </c>
      <c r="DL127" s="39">
        <v>0.33333333333333298</v>
      </c>
    </row>
    <row r="128" spans="1:116" x14ac:dyDescent="0.25">
      <c r="A128">
        <v>-3.6</v>
      </c>
      <c r="B128">
        <f t="shared" si="16"/>
        <v>8.2486362509205122</v>
      </c>
      <c r="C128">
        <f t="shared" si="17"/>
        <v>-8.2486362509205122</v>
      </c>
      <c r="D128">
        <f t="shared" si="20"/>
        <v>7.1442284397967004</v>
      </c>
      <c r="E128">
        <f t="shared" si="21"/>
        <v>-7.1442284397967004</v>
      </c>
      <c r="F128">
        <f t="shared" si="24"/>
        <v>6.0033324079214534</v>
      </c>
      <c r="G128">
        <f t="shared" si="25"/>
        <v>-6.0033324079214534</v>
      </c>
      <c r="H128">
        <f t="shared" si="74"/>
        <v>4.8</v>
      </c>
      <c r="I128">
        <f t="shared" si="75"/>
        <v>-4.8</v>
      </c>
      <c r="J128">
        <f t="shared" si="90"/>
        <v>3.4698703145794942</v>
      </c>
      <c r="K128">
        <f t="shared" si="91"/>
        <v>-3.4698703145794942</v>
      </c>
      <c r="L128">
        <f t="shared" si="92"/>
        <v>1.7435595774162691</v>
      </c>
      <c r="M128">
        <f t="shared" si="93"/>
        <v>-1.7435595774162691</v>
      </c>
      <c r="U128" s="153"/>
      <c r="AA128" s="55">
        <v>0.375</v>
      </c>
      <c r="AB128" s="153">
        <f>IF('Control Solar 1er Sem'!$N$8="si",IF(Isorreq!C13=-1,0,"si"),0)</f>
        <v>0</v>
      </c>
      <c r="AC128" s="55">
        <v>0.375</v>
      </c>
      <c r="AD128" s="153">
        <f>IF('Control Solar 1er Sem'!$N$8="si",IF(Isorreq!D13=-1,0,"si"),0)</f>
        <v>0</v>
      </c>
      <c r="AE128" s="55">
        <v>0.375</v>
      </c>
      <c r="AF128" s="153">
        <f>IF('Control Solar 1er Sem'!$N$8="si",IF(Isorreq!E13=-1,0,"si"),0)</f>
        <v>0</v>
      </c>
      <c r="AG128" s="55">
        <v>0.375</v>
      </c>
      <c r="AH128" s="153" t="str">
        <f>IF('Control Solar 1er Sem'!$N$8="si",IF(Isorreq!F13=-1,0,"si"),0)</f>
        <v>si</v>
      </c>
      <c r="AI128" s="55">
        <v>0.375</v>
      </c>
      <c r="AJ128" s="153" t="str">
        <f>IF('Control Solar 1er Sem'!$N$8="si",IF(Isorreq!G13=-1,0,"si"),0)</f>
        <v>si</v>
      </c>
      <c r="AK128" s="55">
        <v>0.375</v>
      </c>
      <c r="AL128" s="153" t="str">
        <f>IF('Control Solar 1er Sem'!$N$8="si",IF(Isorreq!H13=-1,0,"si"),0)</f>
        <v>si</v>
      </c>
      <c r="AO128" s="39">
        <v>0.375</v>
      </c>
      <c r="AP128" s="38">
        <v>45</v>
      </c>
      <c r="AQ128" s="38">
        <f t="shared" si="94"/>
        <v>26.297342212361595</v>
      </c>
      <c r="AR128" s="38">
        <f t="shared" si="95"/>
        <v>131.22199491730089</v>
      </c>
      <c r="AT128">
        <f t="shared" si="96"/>
        <v>6.3702657787638408</v>
      </c>
      <c r="AU128">
        <f t="shared" si="97"/>
        <v>-41.22199491730089</v>
      </c>
      <c r="AV128" s="153">
        <f t="shared" si="98"/>
        <v>4.7914718059899393</v>
      </c>
      <c r="AW128" s="153">
        <f t="shared" si="99"/>
        <v>-4.1978666039421961</v>
      </c>
      <c r="AX128" s="39">
        <v>0.375</v>
      </c>
      <c r="AZ128" s="39">
        <v>0.375</v>
      </c>
      <c r="BA128" s="38">
        <v>45</v>
      </c>
      <c r="BB128" s="38">
        <f t="shared" si="100"/>
        <v>32.778902474630826</v>
      </c>
      <c r="BC128" s="38">
        <f t="shared" si="101"/>
        <v>123.67138966374844</v>
      </c>
      <c r="BE128">
        <f t="shared" si="102"/>
        <v>5.7221097525369178</v>
      </c>
      <c r="BF128">
        <f t="shared" si="103"/>
        <v>-33.671389663748442</v>
      </c>
      <c r="BG128" s="153">
        <f t="shared" si="104"/>
        <v>4.7621175617680649</v>
      </c>
      <c r="BH128" s="153">
        <f t="shared" si="105"/>
        <v>-3.1725031675284874</v>
      </c>
      <c r="BI128" s="39">
        <v>0.375</v>
      </c>
      <c r="BK128" s="39">
        <v>0.375</v>
      </c>
      <c r="BL128" s="38">
        <v>45</v>
      </c>
      <c r="BM128" s="38">
        <f t="shared" si="106"/>
        <v>40.579187314260722</v>
      </c>
      <c r="BN128" s="38">
        <f t="shared" si="107"/>
        <v>111.76387408261022</v>
      </c>
      <c r="BP128">
        <f t="shared" si="108"/>
        <v>4.9420812685739275</v>
      </c>
      <c r="BQ128">
        <f t="shared" si="109"/>
        <v>-21.763874082610215</v>
      </c>
      <c r="BR128" s="153">
        <f t="shared" si="110"/>
        <v>4.5898087062962007</v>
      </c>
      <c r="BS128" s="153">
        <f t="shared" si="111"/>
        <v>-1.8324364394971171</v>
      </c>
      <c r="BT128" s="39">
        <v>0.375</v>
      </c>
      <c r="BV128" s="39">
        <v>0.375</v>
      </c>
      <c r="BW128" s="38">
        <v>45</v>
      </c>
      <c r="BX128" s="38">
        <f t="shared" si="112"/>
        <v>46.234000924702507</v>
      </c>
      <c r="BY128" s="38">
        <f t="shared" si="113"/>
        <v>98.931073312987834</v>
      </c>
      <c r="CA128">
        <f t="shared" si="114"/>
        <v>4.3765999075297497</v>
      </c>
      <c r="CB128">
        <f t="shared" si="115"/>
        <v>-8.9310733129878344</v>
      </c>
      <c r="CC128" s="153">
        <f t="shared" si="116"/>
        <v>4.3235372056031043</v>
      </c>
      <c r="CD128" s="153">
        <f t="shared" si="117"/>
        <v>-0.67945035312016167</v>
      </c>
      <c r="CE128" s="39">
        <v>0.375</v>
      </c>
      <c r="CG128" s="39">
        <v>0.375</v>
      </c>
      <c r="CH128" s="38">
        <v>45</v>
      </c>
      <c r="CI128" s="38">
        <f t="shared" si="118"/>
        <v>49.04228910837859</v>
      </c>
      <c r="CJ128" s="38">
        <f t="shared" si="119"/>
        <v>89.179775376606813</v>
      </c>
      <c r="CL128">
        <f t="shared" si="120"/>
        <v>4.0957710891621408</v>
      </c>
      <c r="CM128">
        <f t="shared" si="121"/>
        <v>0.82022462339318736</v>
      </c>
      <c r="CN128" s="153">
        <f t="shared" si="122"/>
        <v>4.0953514088422205</v>
      </c>
      <c r="CO128" s="153">
        <f t="shared" si="123"/>
        <v>5.8631501008162723E-2</v>
      </c>
      <c r="CP128" s="39">
        <v>0.375</v>
      </c>
      <c r="CR128" s="39">
        <v>0.375</v>
      </c>
      <c r="CS128" s="38">
        <v>45</v>
      </c>
      <c r="CT128" s="38">
        <f t="shared" si="124"/>
        <v>49.494624805188728</v>
      </c>
      <c r="CU128" s="38">
        <f t="shared" si="125"/>
        <v>87.132774729162193</v>
      </c>
      <c r="CW128">
        <f t="shared" si="126"/>
        <v>4.0505375194811268</v>
      </c>
      <c r="CX128">
        <f t="shared" si="127"/>
        <v>2.8672252708378068</v>
      </c>
      <c r="CY128" s="153">
        <f t="shared" si="128"/>
        <v>4.0454667905311457</v>
      </c>
      <c r="CZ128" s="153">
        <f t="shared" si="129"/>
        <v>0.20261451930685959</v>
      </c>
      <c r="DA128" s="39">
        <v>0.375</v>
      </c>
      <c r="DC128" s="39">
        <v>0.375</v>
      </c>
      <c r="DD128" s="38">
        <v>45</v>
      </c>
      <c r="DE128" s="38">
        <f t="shared" si="130"/>
        <v>22.259218825541542</v>
      </c>
      <c r="DF128" s="38">
        <f t="shared" si="131"/>
        <v>135.31204694577815</v>
      </c>
      <c r="DH128">
        <f t="shared" si="132"/>
        <v>6.7740781174458462</v>
      </c>
      <c r="DI128">
        <f t="shared" si="133"/>
        <v>-45.31204694577815</v>
      </c>
      <c r="DJ128" s="153">
        <f t="shared" si="134"/>
        <v>4.763838160119902</v>
      </c>
      <c r="DK128" s="153">
        <f t="shared" si="135"/>
        <v>-4.8160129075246552</v>
      </c>
      <c r="DL128" s="39">
        <v>0.375</v>
      </c>
    </row>
    <row r="129" spans="1:116" x14ac:dyDescent="0.25">
      <c r="A129">
        <v>-3.7</v>
      </c>
      <c r="B129">
        <f t="shared" si="16"/>
        <v>8.2042671823874684</v>
      </c>
      <c r="C129">
        <f t="shared" si="17"/>
        <v>-8.2042671823874684</v>
      </c>
      <c r="D129">
        <f t="shared" si="20"/>
        <v>7.0929542505221335</v>
      </c>
      <c r="E129">
        <f t="shared" si="21"/>
        <v>-7.0929542505221335</v>
      </c>
      <c r="F129">
        <f t="shared" si="24"/>
        <v>5.9422218066982317</v>
      </c>
      <c r="G129">
        <f t="shared" si="25"/>
        <v>-5.9422218066982317</v>
      </c>
      <c r="H129">
        <f t="shared" si="74"/>
        <v>4.7233462714478174</v>
      </c>
      <c r="I129">
        <f t="shared" si="75"/>
        <v>-4.7233462714478174</v>
      </c>
      <c r="J129">
        <f t="shared" si="90"/>
        <v>3.363034344160047</v>
      </c>
      <c r="K129">
        <f t="shared" si="91"/>
        <v>-3.363034344160047</v>
      </c>
      <c r="L129">
        <f t="shared" si="92"/>
        <v>1.5198684153570658</v>
      </c>
      <c r="M129">
        <f t="shared" si="93"/>
        <v>-1.5198684153570658</v>
      </c>
      <c r="U129" s="153"/>
      <c r="AA129" s="55">
        <v>0.41666666666666602</v>
      </c>
      <c r="AB129" s="153">
        <f>IF('Control Solar 1er Sem'!$N$8="si",IF(Isorreq!C14=-1,0,"si"),0)</f>
        <v>0</v>
      </c>
      <c r="AC129" s="55">
        <v>0.41666666666666602</v>
      </c>
      <c r="AD129" s="153">
        <f>IF('Control Solar 1er Sem'!$N$8="si",IF(Isorreq!D14=-1,0,"si"),0)</f>
        <v>0</v>
      </c>
      <c r="AE129" s="55">
        <v>0.41666666666666602</v>
      </c>
      <c r="AF129" s="153" t="str">
        <f>IF('Control Solar 1er Sem'!$N$8="si",IF(Isorreq!E14=-1,0,"si"),0)</f>
        <v>si</v>
      </c>
      <c r="AG129" s="55">
        <v>0.41666666666666602</v>
      </c>
      <c r="AH129" s="153" t="str">
        <f>IF('Control Solar 1er Sem'!$N$8="si",IF(Isorreq!F14=-1,0,"si"),0)</f>
        <v>si</v>
      </c>
      <c r="AI129" s="55">
        <v>0.41666666666666602</v>
      </c>
      <c r="AJ129" s="153" t="str">
        <f>IF('Control Solar 1er Sem'!$N$8="si",IF(Isorreq!G14=-1,0,"si"),0)</f>
        <v>si</v>
      </c>
      <c r="AK129" s="55">
        <v>0.41666666666666602</v>
      </c>
      <c r="AL129" s="153" t="str">
        <f>IF('Control Solar 1er Sem'!$N$8="si",IF(Isorreq!H14=-1,0,"si"),0)</f>
        <v>si</v>
      </c>
      <c r="AO129" s="39">
        <v>0.41666666666666602</v>
      </c>
      <c r="AP129" s="38">
        <v>30</v>
      </c>
      <c r="AQ129" s="38">
        <f t="shared" si="94"/>
        <v>35.132915612826856</v>
      </c>
      <c r="AR129" s="38">
        <f t="shared" si="95"/>
        <v>144.33588641082156</v>
      </c>
      <c r="AT129">
        <f t="shared" si="96"/>
        <v>5.4867084387173142</v>
      </c>
      <c r="AU129">
        <f t="shared" si="97"/>
        <v>-54.335886410821558</v>
      </c>
      <c r="AV129" s="153">
        <f t="shared" si="98"/>
        <v>3.1989291170115344</v>
      </c>
      <c r="AW129" s="153">
        <f t="shared" si="99"/>
        <v>-4.4576700187236371</v>
      </c>
      <c r="AX129" s="39">
        <v>0.41666666666666602</v>
      </c>
      <c r="AZ129" s="39">
        <v>0.41666666666666602</v>
      </c>
      <c r="BA129" s="38">
        <v>30</v>
      </c>
      <c r="BB129" s="38">
        <f t="shared" si="100"/>
        <v>42.752422426604682</v>
      </c>
      <c r="BC129" s="38">
        <f t="shared" si="101"/>
        <v>137.63858177436344</v>
      </c>
      <c r="BE129">
        <f t="shared" si="102"/>
        <v>4.7247577573395318</v>
      </c>
      <c r="BF129">
        <f t="shared" si="103"/>
        <v>-47.638581774363445</v>
      </c>
      <c r="BG129" s="153">
        <f t="shared" si="104"/>
        <v>3.1835652798692924</v>
      </c>
      <c r="BH129" s="153">
        <f t="shared" si="105"/>
        <v>-3.4911671364102341</v>
      </c>
      <c r="BI129" s="39">
        <v>0.41666666666666602</v>
      </c>
      <c r="BK129" s="39">
        <v>0.41666666666666602</v>
      </c>
      <c r="BL129" s="38">
        <v>30</v>
      </c>
      <c r="BM129" s="38">
        <f t="shared" si="106"/>
        <v>52.096153918797427</v>
      </c>
      <c r="BN129" s="38">
        <f t="shared" si="107"/>
        <v>125.71951693085082</v>
      </c>
      <c r="BP129">
        <f t="shared" si="108"/>
        <v>3.7903846081202577</v>
      </c>
      <c r="BQ129">
        <f t="shared" si="109"/>
        <v>-35.719516930850816</v>
      </c>
      <c r="BR129" s="153">
        <f t="shared" si="110"/>
        <v>3.077355290895408</v>
      </c>
      <c r="BS129" s="153">
        <f t="shared" si="111"/>
        <v>-2.2128940080973147</v>
      </c>
      <c r="BT129" s="39">
        <v>0.41666666666666602</v>
      </c>
      <c r="BV129" s="39">
        <v>0.41666666666666602</v>
      </c>
      <c r="BW129" s="38">
        <v>30</v>
      </c>
      <c r="BX129" s="38">
        <f t="shared" si="112"/>
        <v>58.913198956609463</v>
      </c>
      <c r="BY129" s="38">
        <f t="shared" si="113"/>
        <v>110.64261236918068</v>
      </c>
      <c r="CA129">
        <f t="shared" si="114"/>
        <v>3.1086801043390535</v>
      </c>
      <c r="CB129">
        <f t="shared" si="115"/>
        <v>-20.642612369180682</v>
      </c>
      <c r="CC129" s="153">
        <f t="shared" si="116"/>
        <v>2.9090953902894121</v>
      </c>
      <c r="CD129" s="153">
        <f t="shared" si="117"/>
        <v>-1.0959270054663139</v>
      </c>
      <c r="CE129" s="39">
        <v>0.41666666666666602</v>
      </c>
      <c r="CG129" s="39">
        <v>0.41666666666666602</v>
      </c>
      <c r="CH129" s="38">
        <v>30</v>
      </c>
      <c r="CI129" s="38">
        <f t="shared" si="118"/>
        <v>62.120147714715685</v>
      </c>
      <c r="CJ129" s="38">
        <f t="shared" si="119"/>
        <v>97.645217635946267</v>
      </c>
      <c r="CL129">
        <f t="shared" si="120"/>
        <v>2.7879852285284317</v>
      </c>
      <c r="CM129">
        <f t="shared" si="121"/>
        <v>-7.6452176359462669</v>
      </c>
      <c r="CN129" s="153">
        <f t="shared" si="122"/>
        <v>2.7632024243694069</v>
      </c>
      <c r="CO129" s="153">
        <f t="shared" si="123"/>
        <v>-0.37090968772972588</v>
      </c>
      <c r="CP129" s="39">
        <v>0.41666666666666602</v>
      </c>
      <c r="CR129" s="39">
        <v>0.41666666666666602</v>
      </c>
      <c r="CS129" s="38">
        <v>30</v>
      </c>
      <c r="CT129" s="38">
        <f t="shared" si="124"/>
        <v>62.593106094089499</v>
      </c>
      <c r="CU129" s="38">
        <f t="shared" si="125"/>
        <v>94.781580028246267</v>
      </c>
      <c r="CW129">
        <f t="shared" si="126"/>
        <v>2.7406893905910499</v>
      </c>
      <c r="CX129">
        <f t="shared" si="127"/>
        <v>-4.7815800282462675</v>
      </c>
      <c r="CY129" s="153">
        <f t="shared" si="128"/>
        <v>2.731150994716121</v>
      </c>
      <c r="CZ129" s="153">
        <f t="shared" si="129"/>
        <v>-0.22845695384356915</v>
      </c>
      <c r="DA129" s="39">
        <v>0.41666666666666602</v>
      </c>
      <c r="DC129" s="39">
        <v>0.41666666666666602</v>
      </c>
      <c r="DD129" s="38">
        <v>30</v>
      </c>
      <c r="DE129" s="38">
        <f t="shared" si="130"/>
        <v>30.439709654260056</v>
      </c>
      <c r="DF129" s="38">
        <f t="shared" si="131"/>
        <v>147.73819825211658</v>
      </c>
      <c r="DH129">
        <f t="shared" si="132"/>
        <v>5.9560290345739944</v>
      </c>
      <c r="DI129">
        <f t="shared" si="133"/>
        <v>-57.738198252116575</v>
      </c>
      <c r="DJ129" s="153">
        <f t="shared" si="134"/>
        <v>3.1792610376260351</v>
      </c>
      <c r="DK129" s="153">
        <f t="shared" si="135"/>
        <v>-5.036524706116456</v>
      </c>
      <c r="DL129" s="39">
        <v>0.41666666666666602</v>
      </c>
    </row>
    <row r="130" spans="1:116" x14ac:dyDescent="0.25">
      <c r="A130">
        <v>-3.8</v>
      </c>
      <c r="B130">
        <f t="shared" ref="B130:B182" si="136">+SQRT(81-A130^2)</f>
        <v>8.1584312217484563</v>
      </c>
      <c r="C130">
        <f t="shared" ref="C130:C182" si="137">-B130</f>
        <v>-8.1584312217484563</v>
      </c>
      <c r="D130">
        <f t="shared" si="20"/>
        <v>7.0398863627192165</v>
      </c>
      <c r="E130">
        <f t="shared" si="21"/>
        <v>-7.0398863627192165</v>
      </c>
      <c r="F130">
        <f t="shared" si="24"/>
        <v>5.8787753826796276</v>
      </c>
      <c r="G130">
        <f t="shared" si="25"/>
        <v>-5.8787753826796276</v>
      </c>
      <c r="H130">
        <f t="shared" si="74"/>
        <v>4.6432747064975599</v>
      </c>
      <c r="I130">
        <f t="shared" si="75"/>
        <v>-4.6432747064975599</v>
      </c>
      <c r="J130">
        <f t="shared" si="90"/>
        <v>3.2496153618543842</v>
      </c>
      <c r="K130">
        <f t="shared" si="91"/>
        <v>-3.2496153618543842</v>
      </c>
      <c r="L130">
        <f t="shared" si="92"/>
        <v>1.2489995996796799</v>
      </c>
      <c r="M130">
        <f t="shared" si="93"/>
        <v>-1.2489995996796799</v>
      </c>
      <c r="U130" s="153"/>
      <c r="AA130" s="55">
        <v>0.45833333333333298</v>
      </c>
      <c r="AB130" s="153">
        <f>IF('Control Solar 1er Sem'!$N$8="si",IF(Isorreq!C15=-1,0,"si"),0)</f>
        <v>0</v>
      </c>
      <c r="AC130" s="55">
        <v>0.45833333333333298</v>
      </c>
      <c r="AD130" s="153" t="str">
        <f>IF('Control Solar 1er Sem'!$N$8="si",IF(Isorreq!D15=-1,0,"si"),0)</f>
        <v>si</v>
      </c>
      <c r="AE130" s="55">
        <v>0.45833333333333298</v>
      </c>
      <c r="AF130" s="153" t="str">
        <f>IF('Control Solar 1er Sem'!$N$8="si",IF(Isorreq!E15=-1,0,"si"),0)</f>
        <v>si</v>
      </c>
      <c r="AG130" s="55">
        <v>0.45833333333333298</v>
      </c>
      <c r="AH130" s="153" t="str">
        <f>IF('Control Solar 1er Sem'!$N$8="si",IF(Isorreq!F15=-1,0,"si"),0)</f>
        <v>si</v>
      </c>
      <c r="AI130" s="55">
        <v>0.45833333333333298</v>
      </c>
      <c r="AJ130" s="153" t="str">
        <f>IF('Control Solar 1er Sem'!$N$8="si",IF(Isorreq!G15=-1,0,"si"),0)</f>
        <v>si</v>
      </c>
      <c r="AK130" s="55">
        <v>0.45833333333333298</v>
      </c>
      <c r="AL130" s="153" t="str">
        <f>IF('Control Solar 1er Sem'!$N$8="si",IF(Isorreq!H15=-1,0,"si"),0)</f>
        <v>si</v>
      </c>
      <c r="AO130" s="39">
        <v>0.45833333333333298</v>
      </c>
      <c r="AP130" s="38">
        <v>15</v>
      </c>
      <c r="AQ130" s="38">
        <f t="shared" si="94"/>
        <v>41.203386965463082</v>
      </c>
      <c r="AR130" s="38">
        <f t="shared" si="95"/>
        <v>160.84947792309023</v>
      </c>
      <c r="AT130">
        <f t="shared" si="96"/>
        <v>4.879661303453692</v>
      </c>
      <c r="AU130">
        <f t="shared" si="97"/>
        <v>-70.849477923090234</v>
      </c>
      <c r="AV130" s="153">
        <f t="shared" si="98"/>
        <v>1.6007777970337362</v>
      </c>
      <c r="AW130" s="153">
        <f t="shared" si="99"/>
        <v>-4.6096209042552729</v>
      </c>
      <c r="AX130" s="39">
        <v>0.45833333333333298</v>
      </c>
      <c r="AZ130" s="39">
        <v>0.45833333333333298</v>
      </c>
      <c r="BA130" s="38">
        <v>15</v>
      </c>
      <c r="BB130" s="38">
        <f t="shared" si="100"/>
        <v>49.927090631227195</v>
      </c>
      <c r="BC130" s="38">
        <f t="shared" si="101"/>
        <v>156.55697888534539</v>
      </c>
      <c r="BE130">
        <f t="shared" si="102"/>
        <v>4.0072909368772809</v>
      </c>
      <c r="BF130">
        <f t="shared" si="103"/>
        <v>-66.556978885345387</v>
      </c>
      <c r="BG130" s="153">
        <f t="shared" si="104"/>
        <v>1.5942481393866368</v>
      </c>
      <c r="BH130" s="153">
        <f t="shared" si="105"/>
        <v>-3.6765137729703996</v>
      </c>
      <c r="BI130" s="39">
        <v>0.45833333333333298</v>
      </c>
      <c r="BK130" s="39">
        <v>0.45833333333333298</v>
      </c>
      <c r="BL130" s="38">
        <v>15</v>
      </c>
      <c r="BM130" s="38">
        <f t="shared" si="106"/>
        <v>61.179653601104718</v>
      </c>
      <c r="BN130" s="38">
        <f t="shared" si="107"/>
        <v>147.61688935411229</v>
      </c>
      <c r="BP130">
        <f t="shared" si="108"/>
        <v>2.882034639889528</v>
      </c>
      <c r="BQ130">
        <f t="shared" si="109"/>
        <v>-57.616889354112288</v>
      </c>
      <c r="BR130" s="153">
        <f t="shared" si="110"/>
        <v>1.5435540171470266</v>
      </c>
      <c r="BS130" s="153">
        <f t="shared" si="111"/>
        <v>-2.4338374353420646</v>
      </c>
      <c r="BT130" s="39">
        <v>0.45833333333333298</v>
      </c>
      <c r="BV130" s="39">
        <v>0.45833333333333298</v>
      </c>
      <c r="BW130" s="38">
        <v>15</v>
      </c>
      <c r="BX130" s="38">
        <f t="shared" si="112"/>
        <v>70.179120424793908</v>
      </c>
      <c r="BY130" s="38">
        <f t="shared" si="113"/>
        <v>132.47024428392857</v>
      </c>
      <c r="CA130">
        <f t="shared" si="114"/>
        <v>1.9820879575206094</v>
      </c>
      <c r="CB130">
        <f t="shared" si="115"/>
        <v>-42.470244283928565</v>
      </c>
      <c r="CC130" s="153">
        <f t="shared" si="116"/>
        <v>1.4620437645376918</v>
      </c>
      <c r="CD130" s="153">
        <f t="shared" si="117"/>
        <v>-1.3383201044311768</v>
      </c>
      <c r="CE130" s="39">
        <v>0.45833333333333298</v>
      </c>
      <c r="CG130" s="39">
        <v>0.45833333333333298</v>
      </c>
      <c r="CH130" s="38">
        <v>15</v>
      </c>
      <c r="CI130" s="38">
        <f t="shared" si="118"/>
        <v>74.765245687919915</v>
      </c>
      <c r="CJ130" s="38">
        <f t="shared" si="119"/>
        <v>114.0806639695666</v>
      </c>
      <c r="CL130">
        <f t="shared" si="120"/>
        <v>1.5234754312080083</v>
      </c>
      <c r="CM130">
        <f t="shared" si="121"/>
        <v>-24.080663969566601</v>
      </c>
      <c r="CN130" s="153">
        <f t="shared" si="122"/>
        <v>1.3908903010032683</v>
      </c>
      <c r="CO130" s="153">
        <f t="shared" si="123"/>
        <v>-0.62161206557584159</v>
      </c>
      <c r="CP130" s="39">
        <v>0.45833333333333298</v>
      </c>
      <c r="CR130" s="39">
        <v>0.45833333333333298</v>
      </c>
      <c r="CS130" s="38">
        <v>15</v>
      </c>
      <c r="CT130" s="38">
        <f t="shared" si="124"/>
        <v>75.433504705998018</v>
      </c>
      <c r="CU130" s="38">
        <f t="shared" si="125"/>
        <v>109.24906860936896</v>
      </c>
      <c r="CW130">
        <f t="shared" si="126"/>
        <v>1.456649529400198</v>
      </c>
      <c r="CX130">
        <f t="shared" si="127"/>
        <v>-19.249068609368962</v>
      </c>
      <c r="CY130" s="153">
        <f t="shared" si="128"/>
        <v>1.3752146338471711</v>
      </c>
      <c r="CZ130" s="153">
        <f t="shared" si="129"/>
        <v>-0.48022136807352639</v>
      </c>
      <c r="DA130" s="39">
        <v>0.45833333333333298</v>
      </c>
      <c r="DC130" s="39">
        <v>0.45833333333333298</v>
      </c>
      <c r="DD130" s="38">
        <v>15</v>
      </c>
      <c r="DE130" s="38">
        <f t="shared" si="130"/>
        <v>35.943781380086349</v>
      </c>
      <c r="DF130" s="38">
        <f t="shared" si="131"/>
        <v>162.88737099929463</v>
      </c>
      <c r="DH130">
        <f t="shared" si="132"/>
        <v>5.4056218619913654</v>
      </c>
      <c r="DI130">
        <f t="shared" si="133"/>
        <v>-72.887370999294632</v>
      </c>
      <c r="DJ130" s="153">
        <f t="shared" si="134"/>
        <v>1.5906095938181593</v>
      </c>
      <c r="DK130" s="153">
        <f t="shared" si="135"/>
        <v>-5.1663051434165812</v>
      </c>
      <c r="DL130" s="39">
        <v>0.45833333333333298</v>
      </c>
    </row>
    <row r="131" spans="1:116" x14ac:dyDescent="0.25">
      <c r="A131">
        <v>-3.9</v>
      </c>
      <c r="B131">
        <f t="shared" si="136"/>
        <v>8.1111035007574657</v>
      </c>
      <c r="C131">
        <f t="shared" si="137"/>
        <v>-8.1111035007574657</v>
      </c>
      <c r="D131">
        <f t="shared" si="20"/>
        <v>6.9849838940401288</v>
      </c>
      <c r="E131">
        <f t="shared" si="21"/>
        <v>-6.9849838940401288</v>
      </c>
      <c r="F131">
        <f t="shared" si="24"/>
        <v>5.8129166517334481</v>
      </c>
      <c r="G131">
        <f t="shared" si="25"/>
        <v>-5.8129166517334481</v>
      </c>
      <c r="H131">
        <f t="shared" si="74"/>
        <v>4.5596052460711993</v>
      </c>
      <c r="I131">
        <f t="shared" si="75"/>
        <v>-4.5596052460711993</v>
      </c>
      <c r="J131">
        <f t="shared" si="90"/>
        <v>3.1288975694324033</v>
      </c>
      <c r="K131">
        <f t="shared" si="91"/>
        <v>-3.1288975694324033</v>
      </c>
      <c r="L131">
        <f t="shared" si="92"/>
        <v>0.88881944173155936</v>
      </c>
      <c r="M131">
        <f t="shared" si="93"/>
        <v>-0.88881944173155936</v>
      </c>
      <c r="U131" s="153"/>
      <c r="AA131" s="55">
        <v>0.5</v>
      </c>
      <c r="AB131" s="153" t="str">
        <f>IF('Control Solar 1er Sem'!$N$8="si",IF(Isorreq!C16=-1,0,"si"),0)</f>
        <v>si</v>
      </c>
      <c r="AC131" s="55">
        <v>0.5</v>
      </c>
      <c r="AD131" s="153" t="str">
        <f>IF('Control Solar 1er Sem'!$N$8="si",IF(Isorreq!D16=-1,0,"si"),0)</f>
        <v>si</v>
      </c>
      <c r="AE131" s="55">
        <v>0.5</v>
      </c>
      <c r="AF131" s="153" t="str">
        <f>IF('Control Solar 1er Sem'!$N$8="si",IF(Isorreq!E16=-1,0,"si"),0)</f>
        <v>si</v>
      </c>
      <c r="AG131" s="55">
        <v>0.5</v>
      </c>
      <c r="AH131" s="153" t="str">
        <f>IF('Control Solar 1er Sem'!$N$8="si",IF(Isorreq!F16=-1,0,"si"),0)</f>
        <v>si</v>
      </c>
      <c r="AI131" s="55">
        <v>0.5</v>
      </c>
      <c r="AJ131" s="153" t="str">
        <f>IF('Control Solar 1er Sem'!$N$8="si",IF(Isorreq!G16=-1,0,"si"),0)</f>
        <v>si</v>
      </c>
      <c r="AK131" s="55">
        <v>0.5</v>
      </c>
      <c r="AL131" s="153" t="str">
        <f>IF('Control Solar 1er Sem'!$N$8="si",IF(Isorreq!H16=-1,0,"si"),0)</f>
        <v>si</v>
      </c>
      <c r="AO131" s="39">
        <v>0.5</v>
      </c>
      <c r="AP131" s="38">
        <v>0</v>
      </c>
      <c r="AQ131" s="38">
        <f t="shared" si="94"/>
        <v>43.40350454351578</v>
      </c>
      <c r="AR131" s="38">
        <f>+IF(AR117&gt;=-19,180,0)</f>
        <v>180</v>
      </c>
      <c r="AT131">
        <f t="shared" si="96"/>
        <v>4.6596495456484224</v>
      </c>
      <c r="AU131">
        <f t="shared" si="97"/>
        <v>-90</v>
      </c>
      <c r="AV131" s="153">
        <f t="shared" si="98"/>
        <v>2.8543812206334089E-16</v>
      </c>
      <c r="AW131" s="153">
        <f t="shared" si="99"/>
        <v>-4.6596495456484224</v>
      </c>
      <c r="AX131" s="39">
        <v>0.5</v>
      </c>
      <c r="AZ131" s="39">
        <v>0.5</v>
      </c>
      <c r="BA131" s="38">
        <v>0</v>
      </c>
      <c r="BB131" s="38">
        <f t="shared" si="100"/>
        <v>52.626294934964093</v>
      </c>
      <c r="BC131" s="38">
        <f>+IF(BC117&gt;=-11,180,0)</f>
        <v>180</v>
      </c>
      <c r="BE131">
        <f t="shared" si="102"/>
        <v>3.7373705065035905</v>
      </c>
      <c r="BF131">
        <f t="shared" si="103"/>
        <v>-90</v>
      </c>
      <c r="BG131" s="153">
        <f t="shared" si="104"/>
        <v>2.2894168507319601E-16</v>
      </c>
      <c r="BH131" s="153">
        <f t="shared" si="105"/>
        <v>-3.7373705065035905</v>
      </c>
      <c r="BI131" s="39">
        <v>0.5</v>
      </c>
      <c r="BK131" s="39">
        <v>0.5</v>
      </c>
      <c r="BL131" s="38">
        <v>0</v>
      </c>
      <c r="BM131" s="38">
        <f t="shared" si="106"/>
        <v>64.936824231055681</v>
      </c>
      <c r="BN131" s="38">
        <f>+IF(BN117&gt;=0,180,0)</f>
        <v>180</v>
      </c>
      <c r="BP131">
        <f t="shared" si="108"/>
        <v>2.5063175768944319</v>
      </c>
      <c r="BQ131">
        <f t="shared" si="109"/>
        <v>-90</v>
      </c>
      <c r="BR131" s="153">
        <f t="shared" si="110"/>
        <v>1.5353055534212649E-16</v>
      </c>
      <c r="BS131" s="153">
        <f t="shared" si="111"/>
        <v>-2.5063175768944319</v>
      </c>
      <c r="BT131" s="39">
        <v>0.5</v>
      </c>
      <c r="BV131" s="39">
        <v>0.5</v>
      </c>
      <c r="BW131" s="38">
        <v>0</v>
      </c>
      <c r="BX131" s="38">
        <f t="shared" si="112"/>
        <v>75.820887455874669</v>
      </c>
      <c r="BY131" s="38">
        <f>IF(BY117&lt;12,0,180)</f>
        <v>180</v>
      </c>
      <c r="CA131">
        <f t="shared" si="114"/>
        <v>1.417911254412533</v>
      </c>
      <c r="CB131">
        <f t="shared" si="115"/>
        <v>-90</v>
      </c>
      <c r="CC131" s="153">
        <f t="shared" si="116"/>
        <v>8.6857589127052893E-17</v>
      </c>
      <c r="CD131" s="153">
        <f t="shared" si="117"/>
        <v>-1.417911254412533</v>
      </c>
      <c r="CE131" s="39">
        <v>0.5</v>
      </c>
      <c r="CG131" s="39">
        <v>0.5</v>
      </c>
      <c r="CH131" s="38">
        <v>0</v>
      </c>
      <c r="CI131" s="38">
        <f t="shared" si="118"/>
        <v>82.959624558737431</v>
      </c>
      <c r="CJ131" s="38">
        <f>IF(CJ117&lt;20,0,180)</f>
        <v>180</v>
      </c>
      <c r="CL131">
        <f t="shared" si="120"/>
        <v>0.70403754412625652</v>
      </c>
      <c r="CM131">
        <f t="shared" si="121"/>
        <v>-90</v>
      </c>
      <c r="CN131" s="153">
        <f t="shared" si="122"/>
        <v>4.312752546919713E-17</v>
      </c>
      <c r="CO131" s="153">
        <f t="shared" si="123"/>
        <v>-0.70403754412625652</v>
      </c>
      <c r="CP131" s="39">
        <v>0.5</v>
      </c>
      <c r="CR131" s="39">
        <v>0.5</v>
      </c>
      <c r="CS131" s="38">
        <v>0</v>
      </c>
      <c r="CT131" s="38">
        <f t="shared" si="124"/>
        <v>84.369782846813621</v>
      </c>
      <c r="CU131" s="38">
        <f>IF(CU117&lt;23.45,0,180)</f>
        <v>180</v>
      </c>
      <c r="CW131">
        <f t="shared" si="126"/>
        <v>0.56302171531863721</v>
      </c>
      <c r="CX131">
        <f t="shared" si="127"/>
        <v>-90</v>
      </c>
      <c r="CY131" s="153">
        <f t="shared" si="128"/>
        <v>3.4489259230131462E-17</v>
      </c>
      <c r="CZ131" s="153">
        <f t="shared" si="129"/>
        <v>-0.56302171531863721</v>
      </c>
      <c r="DA131" s="39">
        <v>0.5</v>
      </c>
      <c r="DC131" s="39">
        <v>0.5</v>
      </c>
      <c r="DD131" s="38">
        <v>0</v>
      </c>
      <c r="DE131" s="38">
        <f t="shared" si="130"/>
        <v>37.908363272130764</v>
      </c>
      <c r="DF131" s="38">
        <f>+IF(DF117&gt;=-23,180,0)</f>
        <v>180</v>
      </c>
      <c r="DH131">
        <f t="shared" si="132"/>
        <v>5.2091636727869233</v>
      </c>
      <c r="DI131">
        <f t="shared" si="133"/>
        <v>-90</v>
      </c>
      <c r="DJ131" s="153">
        <f t="shared" si="134"/>
        <v>3.1909994125405056E-16</v>
      </c>
      <c r="DK131" s="153">
        <f t="shared" si="135"/>
        <v>-5.2091636727869233</v>
      </c>
      <c r="DL131" s="39">
        <v>0.5</v>
      </c>
    </row>
    <row r="132" spans="1:116" x14ac:dyDescent="0.25">
      <c r="A132">
        <v>-4</v>
      </c>
      <c r="B132">
        <f t="shared" si="136"/>
        <v>8.0622577482985491</v>
      </c>
      <c r="C132">
        <f t="shared" si="137"/>
        <v>-8.0622577482985491</v>
      </c>
      <c r="D132">
        <f t="shared" si="20"/>
        <v>6.9282032302755088</v>
      </c>
      <c r="E132">
        <f t="shared" si="21"/>
        <v>-6.9282032302755088</v>
      </c>
      <c r="F132">
        <f t="shared" si="24"/>
        <v>5.7445626465380286</v>
      </c>
      <c r="G132">
        <f t="shared" si="25"/>
        <v>-5.7445626465380286</v>
      </c>
      <c r="H132">
        <f t="shared" si="74"/>
        <v>4.4721359549995796</v>
      </c>
      <c r="I132">
        <f t="shared" si="75"/>
        <v>-4.4721359549995796</v>
      </c>
      <c r="J132">
        <f t="shared" si="90"/>
        <v>3</v>
      </c>
      <c r="K132">
        <f t="shared" si="91"/>
        <v>-3</v>
      </c>
      <c r="L132">
        <f t="shared" si="92"/>
        <v>0</v>
      </c>
      <c r="M132">
        <f t="shared" si="93"/>
        <v>0</v>
      </c>
      <c r="U132" s="153"/>
      <c r="AA132" s="55">
        <v>0.54166666666666596</v>
      </c>
      <c r="AB132" s="153" t="str">
        <f>IF('Control Solar 1er Sem'!$N$8="si",IF(Isorreq!C17=-1,0,"si"),0)</f>
        <v>si</v>
      </c>
      <c r="AC132" s="55">
        <v>0.54166666666666596</v>
      </c>
      <c r="AD132" s="153" t="str">
        <f>IF('Control Solar 1er Sem'!$N$8="si",IF(Isorreq!D17=-1,0,"si"),0)</f>
        <v>si</v>
      </c>
      <c r="AE132" s="55">
        <v>0.54166666666666596</v>
      </c>
      <c r="AF132" s="153" t="str">
        <f>IF('Control Solar 1er Sem'!$N$8="si",IF(Isorreq!E17=-1,0,"si"),0)</f>
        <v>si</v>
      </c>
      <c r="AG132" s="55">
        <v>0.54166666666666596</v>
      </c>
      <c r="AH132" s="153" t="str">
        <f>IF('Control Solar 1er Sem'!$N$8="si",IF(Isorreq!F17=-1,0,"si"),0)</f>
        <v>si</v>
      </c>
      <c r="AI132" s="55">
        <v>0.54166666666666596</v>
      </c>
      <c r="AJ132" s="153" t="str">
        <f>IF('Control Solar 1er Sem'!$N$8="si",IF(Isorreq!G17=-1,0,"si"),0)</f>
        <v>si</v>
      </c>
      <c r="AK132" s="55">
        <v>0.54166666666666596</v>
      </c>
      <c r="AL132" s="153" t="str">
        <f>IF('Control Solar 1er Sem'!$N$8="si",IF(Isorreq!H17=-1,0,"si"),0)</f>
        <v>si</v>
      </c>
      <c r="AO132" s="39">
        <v>0.54166666666666596</v>
      </c>
      <c r="AP132" s="38">
        <v>-15</v>
      </c>
      <c r="AQ132" s="38">
        <f t="shared" si="94"/>
        <v>41.203386965463082</v>
      </c>
      <c r="AR132" s="38">
        <f t="shared" ref="AR132:AR143" si="138">-(180-DEGREES(ACOS((((SIN(RADIANS(AQ132)))*SIN(RADIANS($AR$85)))-SIN(RADIANS($AQ$85)))/((COS(RADIANS(AQ132)))*COS(RADIANS($AR$85))))))</f>
        <v>-160.84947792309023</v>
      </c>
      <c r="AT132">
        <f t="shared" si="96"/>
        <v>4.879661303453692</v>
      </c>
      <c r="AU132">
        <f t="shared" si="97"/>
        <v>250.84947792309023</v>
      </c>
      <c r="AV132" s="153">
        <f t="shared" si="98"/>
        <v>-1.6007777970337347</v>
      </c>
      <c r="AW132" s="153">
        <f t="shared" si="99"/>
        <v>-4.6096209042552738</v>
      </c>
      <c r="AX132" s="39">
        <v>0.54166666666666596</v>
      </c>
      <c r="AZ132" s="39">
        <v>0.54166666666666596</v>
      </c>
      <c r="BA132" s="38">
        <v>-15</v>
      </c>
      <c r="BB132" s="38">
        <f t="shared" si="100"/>
        <v>49.927090631227195</v>
      </c>
      <c r="BC132" s="38">
        <f t="shared" ref="BC132:BC143" si="139">-(180-DEGREES(ACOS((((SIN(RADIANS(BB132)))*SIN(RADIANS($BC$85)))-SIN(RADIANS($BB$85)))/((COS(RADIANS(BB132)))*COS(RADIANS($BC$85))))))</f>
        <v>-156.55697888534539</v>
      </c>
      <c r="BE132">
        <f t="shared" si="102"/>
        <v>4.0072909368772809</v>
      </c>
      <c r="BF132">
        <f t="shared" si="103"/>
        <v>246.55697888534539</v>
      </c>
      <c r="BG132" s="153">
        <f t="shared" si="104"/>
        <v>-1.5942481393866366</v>
      </c>
      <c r="BH132" s="153">
        <f t="shared" si="105"/>
        <v>-3.6765137729703996</v>
      </c>
      <c r="BI132" s="39">
        <v>0.54166666666666596</v>
      </c>
      <c r="BK132" s="39">
        <v>0.54166666666666596</v>
      </c>
      <c r="BL132" s="38">
        <v>-15</v>
      </c>
      <c r="BM132" s="38">
        <f t="shared" si="106"/>
        <v>61.179653601104718</v>
      </c>
      <c r="BN132" s="38">
        <f t="shared" ref="BN132:BN143" si="140">-(180-DEGREES(ACOS((((SIN(RADIANS(BM132)))*SIN(RADIANS($BN$85)))-SIN(RADIANS($BM$85)))/((COS(RADIANS(BM132)))*COS(RADIANS($BN$85))))))</f>
        <v>-147.61688935411229</v>
      </c>
      <c r="BP132">
        <f t="shared" si="108"/>
        <v>2.882034639889528</v>
      </c>
      <c r="BQ132">
        <f t="shared" si="109"/>
        <v>237.61688935411229</v>
      </c>
      <c r="BR132" s="153">
        <f t="shared" si="110"/>
        <v>-1.5435540171470266</v>
      </c>
      <c r="BS132" s="153">
        <f t="shared" si="111"/>
        <v>-2.4338374353420642</v>
      </c>
      <c r="BT132" s="39">
        <v>0.54166666666666596</v>
      </c>
      <c r="BV132" s="39">
        <v>0.54166666666666596</v>
      </c>
      <c r="BW132" s="38">
        <v>-15</v>
      </c>
      <c r="BX132" s="38">
        <f t="shared" si="112"/>
        <v>70.179120424793908</v>
      </c>
      <c r="BY132" s="38">
        <f t="shared" ref="BY132:BY143" si="141">-(180-DEGREES(ACOS((((SIN(RADIANS(BX132)))*SIN(RADIANS($BY$85)))-SIN(RADIANS($BX$85)))/((COS(RADIANS(BX132)))*COS(RADIANS($BY$85))))))</f>
        <v>-132.47024428392857</v>
      </c>
      <c r="CA132">
        <f t="shared" si="114"/>
        <v>1.9820879575206094</v>
      </c>
      <c r="CB132">
        <f t="shared" si="115"/>
        <v>222.47024428392857</v>
      </c>
      <c r="CC132" s="153">
        <f t="shared" si="116"/>
        <v>-1.4620437645376916</v>
      </c>
      <c r="CD132" s="153">
        <f t="shared" si="117"/>
        <v>-1.338320104431177</v>
      </c>
      <c r="CE132" s="39">
        <v>0.54166666666666596</v>
      </c>
      <c r="CG132" s="39">
        <v>0.54166666666666596</v>
      </c>
      <c r="CH132" s="38">
        <v>-15</v>
      </c>
      <c r="CI132" s="38">
        <f t="shared" si="118"/>
        <v>74.765245687919915</v>
      </c>
      <c r="CJ132" s="38">
        <f t="shared" ref="CJ132:CJ143" si="142">-(180-DEGREES(ACOS((((SIN(RADIANS(CI132)))*SIN(RADIANS($CJ$85)))-SIN(RADIANS($CI$85)))/((COS(RADIANS(CI132)))*COS(RADIANS($CJ$85))))))</f>
        <v>-114.0806639695666</v>
      </c>
      <c r="CL132">
        <f t="shared" si="120"/>
        <v>1.5234754312080083</v>
      </c>
      <c r="CM132">
        <f t="shared" si="121"/>
        <v>204.08066396956661</v>
      </c>
      <c r="CN132" s="153">
        <f t="shared" si="122"/>
        <v>-1.3908903010032683</v>
      </c>
      <c r="CO132" s="153">
        <f t="shared" si="123"/>
        <v>-0.62161206557584214</v>
      </c>
      <c r="CP132" s="39">
        <v>0.54166666666666596</v>
      </c>
      <c r="CR132" s="39">
        <v>0.54166666666666596</v>
      </c>
      <c r="CS132" s="38">
        <v>-15</v>
      </c>
      <c r="CT132" s="38">
        <f t="shared" si="124"/>
        <v>75.433504705998018</v>
      </c>
      <c r="CU132" s="38">
        <f t="shared" ref="CU132:CU143" si="143">-(180-DEGREES(ACOS((((SIN(RADIANS(CT132)))*SIN(RADIANS($CU$85)))-SIN(RADIANS($CT$85)))/((COS(RADIANS(CT132)))*COS(RADIANS($CU$85))))))</f>
        <v>-109.24906860936896</v>
      </c>
      <c r="CW132">
        <f t="shared" si="126"/>
        <v>1.456649529400198</v>
      </c>
      <c r="CX132">
        <f t="shared" si="127"/>
        <v>199.24906860936898</v>
      </c>
      <c r="CY132" s="153">
        <f t="shared" si="128"/>
        <v>-1.3752146338471709</v>
      </c>
      <c r="CZ132" s="153">
        <f t="shared" si="129"/>
        <v>-0.48022136807352689</v>
      </c>
      <c r="DA132" s="39">
        <v>0.54166666666666596</v>
      </c>
      <c r="DC132" s="39">
        <v>0.54166666666666596</v>
      </c>
      <c r="DD132" s="38">
        <v>-15</v>
      </c>
      <c r="DE132" s="38">
        <f t="shared" si="130"/>
        <v>35.943781380086349</v>
      </c>
      <c r="DF132" s="38">
        <f t="shared" ref="DF132:DF143" si="144">-(180-DEGREES(ACOS((((SIN(RADIANS(DE132)))*SIN(RADIANS($DF$85)))-SIN(RADIANS($DE$85)))/((COS(RADIANS(DE132)))*COS(RADIANS($DF$85))))))</f>
        <v>-162.88737099929463</v>
      </c>
      <c r="DH132">
        <f t="shared" si="132"/>
        <v>5.4056218619913654</v>
      </c>
      <c r="DI132">
        <f t="shared" si="133"/>
        <v>252.88737099929463</v>
      </c>
      <c r="DJ132" s="153">
        <f t="shared" si="134"/>
        <v>-1.5906095938181599</v>
      </c>
      <c r="DK132" s="153">
        <f t="shared" si="135"/>
        <v>-5.1663051434165812</v>
      </c>
      <c r="DL132" s="39">
        <v>0.54166666666666596</v>
      </c>
    </row>
    <row r="133" spans="1:116" x14ac:dyDescent="0.25">
      <c r="A133">
        <v>-4.0999999999999996</v>
      </c>
      <c r="B133">
        <f t="shared" si="136"/>
        <v>8.0118661995817178</v>
      </c>
      <c r="C133">
        <f t="shared" si="137"/>
        <v>-8.0118661995817178</v>
      </c>
      <c r="D133">
        <f t="shared" si="20"/>
        <v>6.8694977982382381</v>
      </c>
      <c r="E133">
        <f t="shared" si="21"/>
        <v>-6.8694977982382381</v>
      </c>
      <c r="F133">
        <f t="shared" si="24"/>
        <v>5.6736231810017133</v>
      </c>
      <c r="G133">
        <f t="shared" si="25"/>
        <v>-5.6736231810017133</v>
      </c>
      <c r="H133">
        <f t="shared" si="74"/>
        <v>4.3806392227619018</v>
      </c>
      <c r="I133">
        <f t="shared" si="75"/>
        <v>-4.3806392227619018</v>
      </c>
      <c r="J133">
        <f t="shared" si="90"/>
        <v>2.8618176042508372</v>
      </c>
      <c r="K133">
        <f t="shared" si="91"/>
        <v>-2.8618176042508372</v>
      </c>
      <c r="U133" s="153"/>
      <c r="AA133" s="55">
        <v>0.58333333333333304</v>
      </c>
      <c r="AB133" s="153" t="str">
        <f>IF('Control Solar 1er Sem'!$N$8="si",IF(Isorreq!C18=-1,0,"si"),0)</f>
        <v>si</v>
      </c>
      <c r="AC133" s="55">
        <v>0.58333333333333304</v>
      </c>
      <c r="AD133" s="153" t="str">
        <f>IF('Control Solar 1er Sem'!$N$8="si",IF(Isorreq!D18=-1,0,"si"),0)</f>
        <v>si</v>
      </c>
      <c r="AE133" s="55">
        <v>0.58333333333333304</v>
      </c>
      <c r="AF133" s="153" t="str">
        <f>IF('Control Solar 1er Sem'!$N$8="si",IF(Isorreq!E18=-1,0,"si"),0)</f>
        <v>si</v>
      </c>
      <c r="AG133" s="55">
        <v>0.58333333333333304</v>
      </c>
      <c r="AH133" s="153" t="str">
        <f>IF('Control Solar 1er Sem'!$N$8="si",IF(Isorreq!F18=-1,0,"si"),0)</f>
        <v>si</v>
      </c>
      <c r="AI133" s="55">
        <v>0.58333333333333304</v>
      </c>
      <c r="AJ133" s="153" t="str">
        <f>IF('Control Solar 1er Sem'!$N$8="si",IF(Isorreq!G18=-1,0,"si"),0)</f>
        <v>si</v>
      </c>
      <c r="AK133" s="55">
        <v>0.58333333333333304</v>
      </c>
      <c r="AL133" s="153" t="str">
        <f>IF('Control Solar 1er Sem'!$N$8="si",IF(Isorreq!H18=-1,0,"si"),0)</f>
        <v>si</v>
      </c>
      <c r="AO133" s="39">
        <v>0.58333333333333304</v>
      </c>
      <c r="AP133" s="38">
        <v>-30</v>
      </c>
      <c r="AQ133" s="38">
        <f t="shared" si="94"/>
        <v>35.132915612826856</v>
      </c>
      <c r="AR133" s="38">
        <f t="shared" si="138"/>
        <v>-144.33588641082156</v>
      </c>
      <c r="AT133">
        <f t="shared" si="96"/>
        <v>5.4867084387173142</v>
      </c>
      <c r="AU133">
        <f t="shared" si="97"/>
        <v>234.33588641082156</v>
      </c>
      <c r="AV133" s="153">
        <f t="shared" si="98"/>
        <v>-3.1989291170115348</v>
      </c>
      <c r="AW133" s="153">
        <f t="shared" si="99"/>
        <v>-4.4576700187236371</v>
      </c>
      <c r="AX133" s="39">
        <v>0.58333333333333304</v>
      </c>
      <c r="AZ133" s="39">
        <v>0.58333333333333304</v>
      </c>
      <c r="BA133" s="38">
        <v>-30</v>
      </c>
      <c r="BB133" s="38">
        <f t="shared" si="100"/>
        <v>42.752422426604682</v>
      </c>
      <c r="BC133" s="38">
        <f t="shared" si="139"/>
        <v>-137.63858177436344</v>
      </c>
      <c r="BE133">
        <f t="shared" si="102"/>
        <v>4.7247577573395318</v>
      </c>
      <c r="BF133">
        <f t="shared" si="103"/>
        <v>227.63858177436344</v>
      </c>
      <c r="BG133" s="153">
        <f t="shared" si="104"/>
        <v>-3.1835652798692937</v>
      </c>
      <c r="BH133" s="153">
        <f t="shared" si="105"/>
        <v>-3.4911671364102332</v>
      </c>
      <c r="BI133" s="39">
        <v>0.58333333333333304</v>
      </c>
      <c r="BK133" s="39">
        <v>0.58333333333333304</v>
      </c>
      <c r="BL133" s="38">
        <v>-30</v>
      </c>
      <c r="BM133" s="38">
        <f t="shared" si="106"/>
        <v>52.096153918797427</v>
      </c>
      <c r="BN133" s="38">
        <f t="shared" si="140"/>
        <v>-125.71951693085082</v>
      </c>
      <c r="BP133">
        <f t="shared" si="108"/>
        <v>3.7903846081202577</v>
      </c>
      <c r="BQ133">
        <f t="shared" si="109"/>
        <v>215.71951693085083</v>
      </c>
      <c r="BR133" s="153">
        <f t="shared" si="110"/>
        <v>-3.0773552908954072</v>
      </c>
      <c r="BS133" s="153">
        <f t="shared" si="111"/>
        <v>-2.2128940080973156</v>
      </c>
      <c r="BT133" s="39">
        <v>0.58333333333333304</v>
      </c>
      <c r="BV133" s="39">
        <v>0.58333333333333304</v>
      </c>
      <c r="BW133" s="38">
        <v>-30</v>
      </c>
      <c r="BX133" s="38">
        <f t="shared" si="112"/>
        <v>58.913198956609463</v>
      </c>
      <c r="BY133" s="38">
        <f t="shared" si="141"/>
        <v>-110.64261236918068</v>
      </c>
      <c r="CA133">
        <f t="shared" si="114"/>
        <v>3.1086801043390535</v>
      </c>
      <c r="CB133">
        <f t="shared" si="115"/>
        <v>200.64261236918068</v>
      </c>
      <c r="CC133" s="153">
        <f t="shared" si="116"/>
        <v>-2.9090953902894121</v>
      </c>
      <c r="CD133" s="153">
        <f t="shared" si="117"/>
        <v>-1.0959270054663137</v>
      </c>
      <c r="CE133" s="39">
        <v>0.58333333333333304</v>
      </c>
      <c r="CG133" s="39">
        <v>0.58333333333333304</v>
      </c>
      <c r="CH133" s="38">
        <v>-30</v>
      </c>
      <c r="CI133" s="38">
        <f t="shared" si="118"/>
        <v>62.120147714715685</v>
      </c>
      <c r="CJ133" s="38">
        <f t="shared" si="142"/>
        <v>-97.645217635946267</v>
      </c>
      <c r="CL133">
        <f t="shared" si="120"/>
        <v>2.7879852285284317</v>
      </c>
      <c r="CM133">
        <f t="shared" si="121"/>
        <v>187.64521763594627</v>
      </c>
      <c r="CN133" s="153">
        <f t="shared" si="122"/>
        <v>-2.7632024243694073</v>
      </c>
      <c r="CO133" s="153">
        <f t="shared" si="123"/>
        <v>-0.37090968772972527</v>
      </c>
      <c r="CP133" s="39">
        <v>0.58333333333333304</v>
      </c>
      <c r="CR133" s="39">
        <v>0.58333333333333304</v>
      </c>
      <c r="CS133" s="38">
        <v>-30</v>
      </c>
      <c r="CT133" s="38">
        <f t="shared" si="124"/>
        <v>62.593106094089499</v>
      </c>
      <c r="CU133" s="38">
        <f t="shared" si="143"/>
        <v>-94.781580028246267</v>
      </c>
      <c r="CW133">
        <f t="shared" si="126"/>
        <v>2.7406893905910499</v>
      </c>
      <c r="CX133">
        <f t="shared" si="127"/>
        <v>184.78158002824625</v>
      </c>
      <c r="CY133" s="153">
        <f t="shared" si="128"/>
        <v>-2.731150994716121</v>
      </c>
      <c r="CZ133" s="153">
        <f t="shared" si="129"/>
        <v>-0.22845695384356787</v>
      </c>
      <c r="DA133" s="39">
        <v>0.58333333333333304</v>
      </c>
      <c r="DC133" s="39">
        <v>0.58333333333333304</v>
      </c>
      <c r="DD133" s="38">
        <v>-30</v>
      </c>
      <c r="DE133" s="38">
        <f t="shared" si="130"/>
        <v>30.439709654260056</v>
      </c>
      <c r="DF133" s="38">
        <f t="shared" si="144"/>
        <v>-147.73819825211658</v>
      </c>
      <c r="DH133">
        <f t="shared" si="132"/>
        <v>5.9560290345739944</v>
      </c>
      <c r="DI133">
        <f t="shared" si="133"/>
        <v>237.73819825211658</v>
      </c>
      <c r="DJ133" s="153">
        <f t="shared" si="134"/>
        <v>-3.1792610376260346</v>
      </c>
      <c r="DK133" s="153">
        <f t="shared" si="135"/>
        <v>-5.0365247061164569</v>
      </c>
      <c r="DL133" s="39">
        <v>0.58333333333333304</v>
      </c>
    </row>
    <row r="134" spans="1:116" x14ac:dyDescent="0.25">
      <c r="A134">
        <v>-4.2</v>
      </c>
      <c r="B134">
        <f t="shared" si="136"/>
        <v>7.9598994968529597</v>
      </c>
      <c r="C134">
        <f t="shared" si="137"/>
        <v>-7.9598994968529597</v>
      </c>
      <c r="D134">
        <f t="shared" si="20"/>
        <v>6.8088178122196803</v>
      </c>
      <c r="E134">
        <f t="shared" si="21"/>
        <v>-6.8088178122196803</v>
      </c>
      <c r="F134">
        <f t="shared" si="24"/>
        <v>5.6</v>
      </c>
      <c r="G134">
        <f t="shared" si="25"/>
        <v>-5.6</v>
      </c>
      <c r="H134">
        <f t="shared" si="74"/>
        <v>4.2848570571257101</v>
      </c>
      <c r="I134">
        <f t="shared" si="75"/>
        <v>-4.2848570571257101</v>
      </c>
      <c r="J134">
        <f t="shared" si="90"/>
        <v>2.7129319932501073</v>
      </c>
      <c r="K134">
        <f t="shared" si="91"/>
        <v>-2.7129319932501073</v>
      </c>
      <c r="U134" s="153"/>
      <c r="AA134" s="55">
        <v>0.625</v>
      </c>
      <c r="AB134" s="153" t="str">
        <f>IF('Control Solar 1er Sem'!$N$8="si",IF(Isorreq!C19=-1,0,"si"),0)</f>
        <v>si</v>
      </c>
      <c r="AC134" s="55">
        <v>0.625</v>
      </c>
      <c r="AD134" s="153" t="str">
        <f>IF('Control Solar 1er Sem'!$N$8="si",IF(Isorreq!D19=-1,0,"si"),0)</f>
        <v>si</v>
      </c>
      <c r="AE134" s="55">
        <v>0.625</v>
      </c>
      <c r="AF134" s="153" t="str">
        <f>IF('Control Solar 1er Sem'!$N$8="si",IF(Isorreq!E19=-1,0,"si"),0)</f>
        <v>si</v>
      </c>
      <c r="AG134" s="55">
        <v>0.625</v>
      </c>
      <c r="AH134" s="153" t="str">
        <f>IF('Control Solar 1er Sem'!$N$8="si",IF(Isorreq!F19=-1,0,"si"),0)</f>
        <v>si</v>
      </c>
      <c r="AI134" s="55">
        <v>0.625</v>
      </c>
      <c r="AJ134" s="153" t="str">
        <f>IF('Control Solar 1er Sem'!$N$8="si",IF(Isorreq!G19=-1,0,"si"),0)</f>
        <v>si</v>
      </c>
      <c r="AK134" s="55">
        <v>0.625</v>
      </c>
      <c r="AL134" s="153" t="str">
        <f>IF('Control Solar 1er Sem'!$N$8="si",IF(Isorreq!H19=-1,0,"si"),0)</f>
        <v>si</v>
      </c>
      <c r="AO134" s="39">
        <v>0.625</v>
      </c>
      <c r="AP134" s="38">
        <v>-45</v>
      </c>
      <c r="AQ134" s="38">
        <f t="shared" si="94"/>
        <v>26.297342212361595</v>
      </c>
      <c r="AR134" s="38">
        <f t="shared" si="138"/>
        <v>-131.22199491730089</v>
      </c>
      <c r="AT134">
        <f t="shared" si="96"/>
        <v>6.3702657787638408</v>
      </c>
      <c r="AU134">
        <f t="shared" si="97"/>
        <v>221.22199491730089</v>
      </c>
      <c r="AV134" s="153">
        <f t="shared" si="98"/>
        <v>-4.7914718059899393</v>
      </c>
      <c r="AW134" s="153">
        <f t="shared" si="99"/>
        <v>-4.197866603942197</v>
      </c>
      <c r="AX134" s="39">
        <v>0.625</v>
      </c>
      <c r="AZ134" s="39">
        <v>0.625</v>
      </c>
      <c r="BA134" s="38">
        <v>-45</v>
      </c>
      <c r="BB134" s="38">
        <f t="shared" si="100"/>
        <v>32.778902474630826</v>
      </c>
      <c r="BC134" s="38">
        <f t="shared" si="139"/>
        <v>-123.67138966374844</v>
      </c>
      <c r="BE134">
        <f t="shared" si="102"/>
        <v>5.7221097525369178</v>
      </c>
      <c r="BF134">
        <f t="shared" si="103"/>
        <v>213.67138966374844</v>
      </c>
      <c r="BG134" s="153">
        <f t="shared" si="104"/>
        <v>-4.7621175617680658</v>
      </c>
      <c r="BH134" s="153">
        <f t="shared" si="105"/>
        <v>-3.1725031675284869</v>
      </c>
      <c r="BI134" s="39">
        <v>0.625</v>
      </c>
      <c r="BK134" s="39">
        <v>0.625</v>
      </c>
      <c r="BL134" s="38">
        <v>-45</v>
      </c>
      <c r="BM134" s="38">
        <f t="shared" si="106"/>
        <v>40.579187314260722</v>
      </c>
      <c r="BN134" s="38">
        <f t="shared" si="140"/>
        <v>-111.76387408261022</v>
      </c>
      <c r="BP134">
        <f t="shared" si="108"/>
        <v>4.9420812685739275</v>
      </c>
      <c r="BQ134">
        <f t="shared" si="109"/>
        <v>201.76387408261022</v>
      </c>
      <c r="BR134" s="153">
        <f t="shared" si="110"/>
        <v>-4.5898087062962007</v>
      </c>
      <c r="BS134" s="153">
        <f t="shared" si="111"/>
        <v>-1.8324364394971171</v>
      </c>
      <c r="BT134" s="39">
        <v>0.625</v>
      </c>
      <c r="BV134" s="39">
        <v>0.625</v>
      </c>
      <c r="BW134" s="38">
        <v>-45</v>
      </c>
      <c r="BX134" s="38">
        <f t="shared" si="112"/>
        <v>46.234000924702507</v>
      </c>
      <c r="BY134" s="38">
        <f t="shared" si="141"/>
        <v>-98.931073312987834</v>
      </c>
      <c r="CA134">
        <f t="shared" si="114"/>
        <v>4.3765999075297497</v>
      </c>
      <c r="CB134">
        <f t="shared" si="115"/>
        <v>188.93107331298785</v>
      </c>
      <c r="CC134" s="153">
        <f t="shared" si="116"/>
        <v>-4.3235372056031043</v>
      </c>
      <c r="CD134" s="153">
        <f t="shared" si="117"/>
        <v>-0.67945035312016244</v>
      </c>
      <c r="CE134" s="39">
        <v>0.625</v>
      </c>
      <c r="CG134" s="39">
        <v>0.625</v>
      </c>
      <c r="CH134" s="38">
        <v>-45</v>
      </c>
      <c r="CI134" s="38">
        <f t="shared" si="118"/>
        <v>49.04228910837859</v>
      </c>
      <c r="CJ134" s="38">
        <f t="shared" si="142"/>
        <v>-89.179775376606813</v>
      </c>
      <c r="CL134">
        <f t="shared" si="120"/>
        <v>4.0957710891621408</v>
      </c>
      <c r="CM134">
        <f t="shared" si="121"/>
        <v>179.17977537660681</v>
      </c>
      <c r="CN134" s="153">
        <f t="shared" si="122"/>
        <v>-4.0953514088422205</v>
      </c>
      <c r="CO134" s="153">
        <f t="shared" si="123"/>
        <v>5.8631501008163472E-2</v>
      </c>
      <c r="CP134" s="39">
        <v>0.625</v>
      </c>
      <c r="CR134" s="39">
        <v>0.625</v>
      </c>
      <c r="CS134" s="38">
        <v>-45</v>
      </c>
      <c r="CT134" s="38">
        <f t="shared" si="124"/>
        <v>49.494624805188728</v>
      </c>
      <c r="CU134" s="38">
        <f t="shared" si="143"/>
        <v>-87.132774729162193</v>
      </c>
      <c r="CW134">
        <f t="shared" si="126"/>
        <v>4.0505375194811268</v>
      </c>
      <c r="CX134">
        <f t="shared" si="127"/>
        <v>177.13277472916218</v>
      </c>
      <c r="CY134" s="153">
        <f t="shared" si="128"/>
        <v>-4.0454667905311457</v>
      </c>
      <c r="CZ134" s="153">
        <f t="shared" si="129"/>
        <v>0.20261451930686047</v>
      </c>
      <c r="DA134" s="39">
        <v>0.625</v>
      </c>
      <c r="DC134" s="39">
        <v>0.625</v>
      </c>
      <c r="DD134" s="38">
        <v>-45</v>
      </c>
      <c r="DE134" s="38">
        <f t="shared" si="130"/>
        <v>22.259218825541542</v>
      </c>
      <c r="DF134" s="38">
        <f t="shared" si="144"/>
        <v>-135.31204694577815</v>
      </c>
      <c r="DH134">
        <f t="shared" si="132"/>
        <v>6.7740781174458462</v>
      </c>
      <c r="DI134">
        <f t="shared" si="133"/>
        <v>225.31204694577815</v>
      </c>
      <c r="DJ134" s="153">
        <f t="shared" si="134"/>
        <v>-4.7638381601199011</v>
      </c>
      <c r="DK134" s="153">
        <f t="shared" si="135"/>
        <v>-4.8160129075246561</v>
      </c>
      <c r="DL134" s="39">
        <v>0.625</v>
      </c>
    </row>
    <row r="135" spans="1:116" x14ac:dyDescent="0.25">
      <c r="A135">
        <v>-4.3</v>
      </c>
      <c r="B135">
        <f t="shared" si="136"/>
        <v>7.9063265806567848</v>
      </c>
      <c r="C135">
        <f t="shared" si="137"/>
        <v>-7.9063265806567848</v>
      </c>
      <c r="D135">
        <f t="shared" si="20"/>
        <v>6.746109990209173</v>
      </c>
      <c r="E135">
        <f t="shared" si="21"/>
        <v>-6.746109990209173</v>
      </c>
      <c r="F135">
        <f t="shared" si="24"/>
        <v>5.5235857918565907</v>
      </c>
      <c r="G135">
        <f t="shared" si="25"/>
        <v>-5.5235857918565907</v>
      </c>
      <c r="H135">
        <f t="shared" si="74"/>
        <v>4.1844951905815355</v>
      </c>
      <c r="I135">
        <f t="shared" si="75"/>
        <v>-4.1844951905815355</v>
      </c>
      <c r="J135">
        <f t="shared" si="90"/>
        <v>2.5514701644346149</v>
      </c>
      <c r="K135">
        <f t="shared" si="91"/>
        <v>-2.5514701644346149</v>
      </c>
      <c r="U135" s="153"/>
      <c r="AA135" s="55">
        <v>0.66666666666666596</v>
      </c>
      <c r="AB135" s="153" t="str">
        <f>IF('Control Solar 1er Sem'!$N$8="si",IF(Isorreq!C20=-1,0,"si"),0)</f>
        <v>si</v>
      </c>
      <c r="AC135" s="55">
        <v>0.66666666666666596</v>
      </c>
      <c r="AD135" s="153" t="str">
        <f>IF('Control Solar 1er Sem'!$N$8="si",IF(Isorreq!D20=-1,0,"si"),0)</f>
        <v>si</v>
      </c>
      <c r="AE135" s="55">
        <v>0.66666666666666596</v>
      </c>
      <c r="AF135" s="153" t="str">
        <f>IF('Control Solar 1er Sem'!$N$8="si",IF(Isorreq!E20=-1,0,"si"),0)</f>
        <v>si</v>
      </c>
      <c r="AG135" s="55">
        <v>0.66666666666666596</v>
      </c>
      <c r="AH135" s="153" t="str">
        <f>IF('Control Solar 1er Sem'!$N$8="si",IF(Isorreq!F20=-1,0,"si"),0)</f>
        <v>si</v>
      </c>
      <c r="AI135" s="55">
        <v>0.66666666666666596</v>
      </c>
      <c r="AJ135" s="153" t="str">
        <f>IF('Control Solar 1er Sem'!$N$8="si",IF(Isorreq!G20=-1,0,"si"),0)</f>
        <v>si</v>
      </c>
      <c r="AK135" s="55">
        <v>0.66666666666666596</v>
      </c>
      <c r="AL135" s="153" t="str">
        <f>IF('Control Solar 1er Sem'!$N$8="si",IF(Isorreq!H20=-1,0,"si"),0)</f>
        <v>si</v>
      </c>
      <c r="AO135" s="39">
        <v>0.66666666666666596</v>
      </c>
      <c r="AP135" s="38">
        <v>-60</v>
      </c>
      <c r="AQ135" s="38">
        <f t="shared" si="94"/>
        <v>15.689450108647346</v>
      </c>
      <c r="AR135" s="38">
        <f t="shared" si="138"/>
        <v>-120.92625519511847</v>
      </c>
      <c r="AT135">
        <f t="shared" si="96"/>
        <v>7.4310549891352657</v>
      </c>
      <c r="AU135">
        <f t="shared" si="97"/>
        <v>210.92625519511847</v>
      </c>
      <c r="AV135" s="153">
        <f t="shared" si="98"/>
        <v>-6.3745781167226738</v>
      </c>
      <c r="AW135" s="153">
        <f t="shared" si="99"/>
        <v>-3.8190747682328157</v>
      </c>
      <c r="AX135" s="39">
        <v>0.66666666666666596</v>
      </c>
      <c r="AZ135" s="39">
        <v>0.66666666666666596</v>
      </c>
      <c r="BA135" s="38">
        <v>-60</v>
      </c>
      <c r="BB135" s="38">
        <f t="shared" si="100"/>
        <v>21.241041758651765</v>
      </c>
      <c r="BC135" s="38">
        <f t="shared" si="139"/>
        <v>-113.15708853016723</v>
      </c>
      <c r="BE135">
        <f t="shared" si="102"/>
        <v>6.8758958241348234</v>
      </c>
      <c r="BF135">
        <f t="shared" si="103"/>
        <v>203.15708853016724</v>
      </c>
      <c r="BG135" s="153">
        <f t="shared" si="104"/>
        <v>-6.3219057421889273</v>
      </c>
      <c r="BH135" s="153">
        <f t="shared" si="105"/>
        <v>-2.7039695211361696</v>
      </c>
      <c r="BI135" s="39">
        <v>0.66666666666666596</v>
      </c>
      <c r="BK135" s="39">
        <v>0.66666666666666596</v>
      </c>
      <c r="BL135" s="38">
        <v>-60</v>
      </c>
      <c r="BM135" s="38">
        <f t="shared" si="106"/>
        <v>28.03064132064042</v>
      </c>
      <c r="BN135" s="38">
        <f t="shared" si="140"/>
        <v>-101.84583698554694</v>
      </c>
      <c r="BP135">
        <f t="shared" si="108"/>
        <v>6.1969358679359576</v>
      </c>
      <c r="BQ135">
        <f t="shared" si="109"/>
        <v>191.84583698554695</v>
      </c>
      <c r="BR135" s="153">
        <f t="shared" si="110"/>
        <v>-6.0649626831945911</v>
      </c>
      <c r="BS135" s="153">
        <f t="shared" si="111"/>
        <v>-1.2721013335297828</v>
      </c>
      <c r="BT135" s="39">
        <v>0.66666666666666596</v>
      </c>
      <c r="BV135" s="39">
        <v>0.66666666666666596</v>
      </c>
      <c r="BW135" s="38">
        <v>-60</v>
      </c>
      <c r="BX135" s="38">
        <f t="shared" si="112"/>
        <v>33.179114183303909</v>
      </c>
      <c r="BY135" s="38">
        <f t="shared" si="141"/>
        <v>-90.692173646055892</v>
      </c>
      <c r="CA135">
        <f t="shared" si="114"/>
        <v>5.6820885816696087</v>
      </c>
      <c r="CB135">
        <f t="shared" si="115"/>
        <v>180.69217364605589</v>
      </c>
      <c r="CC135" s="153">
        <f t="shared" si="116"/>
        <v>-5.681673954671612</v>
      </c>
      <c r="CD135" s="153">
        <f t="shared" si="117"/>
        <v>-6.8641989673888751E-2</v>
      </c>
      <c r="CE135" s="39">
        <v>0.66666666666666596</v>
      </c>
      <c r="CG135" s="39">
        <v>0.66666666666666596</v>
      </c>
      <c r="CH135" s="38">
        <v>-60</v>
      </c>
      <c r="CI135" s="38">
        <f t="shared" si="118"/>
        <v>35.974200517974971</v>
      </c>
      <c r="CJ135" s="38">
        <f t="shared" si="142"/>
        <v>-82.710211003016923</v>
      </c>
      <c r="CL135">
        <f t="shared" si="120"/>
        <v>5.4025799482025025</v>
      </c>
      <c r="CM135">
        <f t="shared" si="121"/>
        <v>172.71021100301692</v>
      </c>
      <c r="CN135" s="153">
        <f t="shared" si="122"/>
        <v>-5.3589112820436533</v>
      </c>
      <c r="CO135" s="153">
        <f t="shared" si="123"/>
        <v>0.68552167573681033</v>
      </c>
      <c r="CP135" s="39">
        <v>0.66666666666666596</v>
      </c>
      <c r="CR135" s="39">
        <v>0.66666666666666596</v>
      </c>
      <c r="CS135" s="38">
        <v>-60</v>
      </c>
      <c r="CT135" s="38">
        <f t="shared" si="124"/>
        <v>36.462362723804389</v>
      </c>
      <c r="CU135" s="38">
        <f t="shared" si="143"/>
        <v>-81.070349439875727</v>
      </c>
      <c r="CW135">
        <f t="shared" si="126"/>
        <v>5.3537637276195609</v>
      </c>
      <c r="CX135">
        <f t="shared" si="127"/>
        <v>171.07034943987571</v>
      </c>
      <c r="CY135" s="153">
        <f t="shared" si="128"/>
        <v>-5.2888743491714614</v>
      </c>
      <c r="CZ135" s="153">
        <f t="shared" si="129"/>
        <v>0.83101995755279434</v>
      </c>
      <c r="DA135" s="39">
        <v>0.66666666666666596</v>
      </c>
      <c r="DC135" s="39">
        <v>0.66666666666666596</v>
      </c>
      <c r="DD135" s="38">
        <v>-60</v>
      </c>
      <c r="DE135" s="38">
        <f t="shared" si="130"/>
        <v>12.251377298592953</v>
      </c>
      <c r="DF135" s="38">
        <f t="shared" si="144"/>
        <v>-125.34452095224731</v>
      </c>
      <c r="DH135">
        <f t="shared" si="132"/>
        <v>7.7748622701407051</v>
      </c>
      <c r="DI135">
        <f t="shared" si="133"/>
        <v>215.34452095224731</v>
      </c>
      <c r="DJ135" s="153">
        <f t="shared" si="134"/>
        <v>-6.3418643967501813</v>
      </c>
      <c r="DK135" s="153">
        <f t="shared" si="135"/>
        <v>-4.4976926632318852</v>
      </c>
      <c r="DL135" s="39">
        <v>0.66666666666666596</v>
      </c>
    </row>
    <row r="136" spans="1:116" x14ac:dyDescent="0.25">
      <c r="A136">
        <v>-4.4000000000000004</v>
      </c>
      <c r="B136">
        <f t="shared" si="136"/>
        <v>7.8511145705562084</v>
      </c>
      <c r="C136">
        <f t="shared" si="137"/>
        <v>-7.8511145705562084</v>
      </c>
      <c r="D136">
        <f t="shared" si="20"/>
        <v>6.6813172353960262</v>
      </c>
      <c r="E136">
        <f t="shared" si="21"/>
        <v>-6.6813172353960262</v>
      </c>
      <c r="F136">
        <f t="shared" si="24"/>
        <v>5.4442630355264798</v>
      </c>
      <c r="G136">
        <f t="shared" si="25"/>
        <v>-5.4442630355264798</v>
      </c>
      <c r="H136">
        <f t="shared" si="74"/>
        <v>4.0792156108742272</v>
      </c>
      <c r="I136">
        <f t="shared" si="75"/>
        <v>-4.0792156108742272</v>
      </c>
      <c r="J136">
        <f t="shared" si="90"/>
        <v>2.3748684174075829</v>
      </c>
      <c r="K136">
        <f t="shared" si="91"/>
        <v>-2.3748684174075829</v>
      </c>
      <c r="AA136" s="55">
        <v>0.70833333333333304</v>
      </c>
      <c r="AB136" s="153" t="str">
        <f>IF('Control Solar 1er Sem'!$N$8="si",IF(Isorreq!C21=-1,0,"si"),0)</f>
        <v>si</v>
      </c>
      <c r="AC136" s="55">
        <v>0.70833333333333304</v>
      </c>
      <c r="AD136" s="153" t="str">
        <f>IF('Control Solar 1er Sem'!$N$8="si",IF(Isorreq!D21=-1,0,"si"),0)</f>
        <v>si</v>
      </c>
      <c r="AE136" s="55">
        <v>0.70833333333333304</v>
      </c>
      <c r="AF136" s="153" t="str">
        <f>IF('Control Solar 1er Sem'!$N$8="si",IF(Isorreq!E21=-1,0,"si"),0)</f>
        <v>si</v>
      </c>
      <c r="AG136" s="55">
        <v>0.70833333333333304</v>
      </c>
      <c r="AH136" s="153" t="str">
        <f>IF('Control Solar 1er Sem'!$N$8="si",IF(Isorreq!F21=-1,0,"si"),0)</f>
        <v>si</v>
      </c>
      <c r="AI136" s="55">
        <v>0.70833333333333304</v>
      </c>
      <c r="AJ136" s="153" t="str">
        <f>IF('Control Solar 1er Sem'!$N$8="si",IF(Isorreq!G21=-1,0,"si"),0)</f>
        <v>si</v>
      </c>
      <c r="AK136" s="55">
        <v>0.70833333333333304</v>
      </c>
      <c r="AL136" s="153" t="str">
        <f>IF('Control Solar 1er Sem'!$N$8="si",IF(Isorreq!H21=-1,0,"si"),0)</f>
        <v>si</v>
      </c>
      <c r="AO136" s="39">
        <v>0.70833333333333304</v>
      </c>
      <c r="AP136" s="38">
        <v>-75</v>
      </c>
      <c r="AQ136" s="38">
        <f t="shared" si="94"/>
        <v>3.9806023907424599</v>
      </c>
      <c r="AR136" s="38">
        <f t="shared" si="138"/>
        <v>-112.5771078319798</v>
      </c>
      <c r="AT136">
        <f t="shared" si="96"/>
        <v>8.6019397609257542</v>
      </c>
      <c r="AU136">
        <f t="shared" si="97"/>
        <v>202.57710783197979</v>
      </c>
      <c r="AV136" s="153">
        <f t="shared" si="98"/>
        <v>-7.9427188060969565</v>
      </c>
      <c r="AW136" s="153">
        <f t="shared" si="99"/>
        <v>-3.3025120163095769</v>
      </c>
      <c r="AX136" s="39">
        <v>0.70833333333333304</v>
      </c>
      <c r="AZ136" s="39">
        <v>0.70833333333333304</v>
      </c>
      <c r="BA136" s="38">
        <v>-75</v>
      </c>
      <c r="BB136" s="38">
        <f t="shared" si="100"/>
        <v>8.8424843209748119</v>
      </c>
      <c r="BC136" s="38">
        <f t="shared" si="139"/>
        <v>-104.68802822282147</v>
      </c>
      <c r="BE136">
        <f t="shared" si="102"/>
        <v>8.1157515679025192</v>
      </c>
      <c r="BF136">
        <f t="shared" si="103"/>
        <v>194.68802822282146</v>
      </c>
      <c r="BG136" s="153">
        <f t="shared" si="104"/>
        <v>-7.8505349227251564</v>
      </c>
      <c r="BH136" s="153">
        <f t="shared" si="105"/>
        <v>-2.0577961364005222</v>
      </c>
      <c r="BI136" s="39">
        <v>0.70833333333333304</v>
      </c>
      <c r="BK136" s="39">
        <v>0.70833333333333304</v>
      </c>
      <c r="BL136" s="38">
        <v>-75</v>
      </c>
      <c r="BM136" s="38">
        <f t="shared" si="106"/>
        <v>15.051271742006362</v>
      </c>
      <c r="BN136" s="38">
        <f t="shared" si="140"/>
        <v>-93.815787356682009</v>
      </c>
      <c r="BP136">
        <f t="shared" si="108"/>
        <v>7.494872825799364</v>
      </c>
      <c r="BQ136">
        <f t="shared" si="109"/>
        <v>183.81578735668199</v>
      </c>
      <c r="BR136" s="153">
        <f t="shared" si="110"/>
        <v>-7.4782579609816162</v>
      </c>
      <c r="BS136" s="153">
        <f t="shared" si="111"/>
        <v>-0.49877504340215972</v>
      </c>
      <c r="BT136" s="39">
        <v>0.70833333333333304</v>
      </c>
      <c r="BV136" s="39">
        <v>0.70833333333333304</v>
      </c>
      <c r="BW136" s="38">
        <v>-75</v>
      </c>
      <c r="BX136" s="38">
        <f t="shared" si="112"/>
        <v>20.094408212134532</v>
      </c>
      <c r="BY136" s="38">
        <f t="shared" si="141"/>
        <v>-83.69300591455243</v>
      </c>
      <c r="CA136">
        <f t="shared" si="114"/>
        <v>6.9905591787865466</v>
      </c>
      <c r="CB136">
        <f t="shared" si="115"/>
        <v>173.69300591455243</v>
      </c>
      <c r="CC136" s="153">
        <f t="shared" si="116"/>
        <v>-6.9482491884736275</v>
      </c>
      <c r="CD136" s="153">
        <f t="shared" si="117"/>
        <v>0.76795237286723794</v>
      </c>
      <c r="CE136" s="39">
        <v>0.70833333333333304</v>
      </c>
      <c r="CG136" s="39">
        <v>0.70833333333333304</v>
      </c>
      <c r="CH136" s="38">
        <v>-75</v>
      </c>
      <c r="CI136" s="38">
        <f t="shared" si="118"/>
        <v>23.081833865003894</v>
      </c>
      <c r="CJ136" s="38">
        <f t="shared" si="142"/>
        <v>-76.718561537440678</v>
      </c>
      <c r="CL136">
        <f t="shared" si="120"/>
        <v>6.6918166134996104</v>
      </c>
      <c r="CM136">
        <f t="shared" si="121"/>
        <v>166.71856153744068</v>
      </c>
      <c r="CN136" s="153">
        <f t="shared" si="122"/>
        <v>-6.5128329273581409</v>
      </c>
      <c r="CO136" s="153">
        <f t="shared" si="123"/>
        <v>1.5373408369743473</v>
      </c>
      <c r="CP136" s="39">
        <v>0.70833333333333304</v>
      </c>
      <c r="CR136" s="39">
        <v>0.70833333333333304</v>
      </c>
      <c r="CS136" s="38">
        <v>-75</v>
      </c>
      <c r="CT136" s="38">
        <f t="shared" si="124"/>
        <v>23.63600454935963</v>
      </c>
      <c r="CU136" s="38">
        <f t="shared" si="143"/>
        <v>-75.306075969479892</v>
      </c>
      <c r="CW136">
        <f t="shared" si="126"/>
        <v>6.6363995450640374</v>
      </c>
      <c r="CX136">
        <f t="shared" si="127"/>
        <v>165.30607596947988</v>
      </c>
      <c r="CY136" s="153">
        <f t="shared" si="128"/>
        <v>-6.4193538234426146</v>
      </c>
      <c r="CZ136" s="153">
        <f t="shared" si="129"/>
        <v>1.6833583727711809</v>
      </c>
      <c r="DA136" s="39">
        <v>0.70833333333333304</v>
      </c>
      <c r="DC136" s="39">
        <v>0.70833333333333304</v>
      </c>
      <c r="DD136" s="38">
        <v>-75</v>
      </c>
      <c r="DE136" s="38">
        <f t="shared" si="130"/>
        <v>1.0425877010819102</v>
      </c>
      <c r="DF136" s="38">
        <f t="shared" si="144"/>
        <v>-117.22586297915178</v>
      </c>
      <c r="DH136">
        <f t="shared" si="132"/>
        <v>8.8957412298918097</v>
      </c>
      <c r="DI136">
        <f t="shared" si="133"/>
        <v>207.22586297915177</v>
      </c>
      <c r="DJ136" s="153">
        <f t="shared" si="134"/>
        <v>-7.91018162634417</v>
      </c>
      <c r="DK136" s="153">
        <f t="shared" si="135"/>
        <v>-4.0697958999738733</v>
      </c>
      <c r="DL136" s="39">
        <v>0.70833333333333304</v>
      </c>
    </row>
    <row r="137" spans="1:116" x14ac:dyDescent="0.25">
      <c r="A137">
        <v>-4.5</v>
      </c>
      <c r="B137">
        <f t="shared" si="136"/>
        <v>7.794228634059948</v>
      </c>
      <c r="C137">
        <f t="shared" si="137"/>
        <v>-7.794228634059948</v>
      </c>
      <c r="D137">
        <f t="shared" si="20"/>
        <v>6.6143782776614763</v>
      </c>
      <c r="E137">
        <f t="shared" si="21"/>
        <v>-6.6143782776614763</v>
      </c>
      <c r="F137">
        <f t="shared" si="24"/>
        <v>5.3619026473818039</v>
      </c>
      <c r="G137">
        <f t="shared" si="25"/>
        <v>-5.3619026473818039</v>
      </c>
      <c r="H137">
        <f t="shared" si="74"/>
        <v>3.9686269665968861</v>
      </c>
      <c r="I137">
        <f t="shared" si="75"/>
        <v>-3.9686269665968861</v>
      </c>
      <c r="J137">
        <f t="shared" si="90"/>
        <v>2.179449471770337</v>
      </c>
      <c r="K137">
        <f t="shared" si="91"/>
        <v>-2.179449471770337</v>
      </c>
      <c r="AA137" s="55">
        <v>0.75</v>
      </c>
      <c r="AB137" s="153" t="str">
        <f>IF('Control Solar 1er Sem'!$N$8="si",IF(Isorreq!C22=-1,0,"si"),0)</f>
        <v>si</v>
      </c>
      <c r="AC137" s="55">
        <v>0.75</v>
      </c>
      <c r="AD137" s="153" t="str">
        <f>IF('Control Solar 1er Sem'!$N$8="si",IF(Isorreq!D22=-1,0,"si"),0)</f>
        <v>si</v>
      </c>
      <c r="AE137" s="55">
        <v>0.75</v>
      </c>
      <c r="AF137" s="153" t="str">
        <f>IF('Control Solar 1er Sem'!$N$8="si",IF(Isorreq!E22=-1,0,"si"),0)</f>
        <v>si</v>
      </c>
      <c r="AG137" s="55">
        <v>0.75</v>
      </c>
      <c r="AH137" s="153" t="str">
        <f>IF('Control Solar 1er Sem'!$N$8="si",IF(Isorreq!F22=-1,0,"si"),0)</f>
        <v>si</v>
      </c>
      <c r="AI137" s="55">
        <v>0.75</v>
      </c>
      <c r="AJ137" s="153" t="str">
        <f>IF('Control Solar 1er Sem'!$N$8="si",IF(Isorreq!G22=-1,0,"si"),0)</f>
        <v>si</v>
      </c>
      <c r="AK137" s="55">
        <v>0.75</v>
      </c>
      <c r="AL137" s="153" t="str">
        <f>IF('Control Solar 1er Sem'!$N$8="si",IF(Isorreq!H22=-1,0,"si"),0)</f>
        <v>si</v>
      </c>
      <c r="AO137" s="39">
        <v>0.75</v>
      </c>
      <c r="AP137" s="38">
        <v>-90</v>
      </c>
      <c r="AQ137" s="38">
        <f t="shared" si="94"/>
        <v>-8.4117319355326003</v>
      </c>
      <c r="AR137" s="38">
        <f t="shared" si="138"/>
        <v>-105.42042609675256</v>
      </c>
      <c r="AT137">
        <f t="shared" si="96"/>
        <v>9.84117319355326</v>
      </c>
      <c r="AU137">
        <f t="shared" si="97"/>
        <v>195.42042609675258</v>
      </c>
      <c r="AV137" s="153">
        <f t="shared" si="98"/>
        <v>-9.4868975670639042</v>
      </c>
      <c r="AW137" s="153">
        <f t="shared" si="99"/>
        <v>-2.6167660150552736</v>
      </c>
      <c r="AX137" s="39">
        <v>0.75</v>
      </c>
      <c r="AZ137" s="39">
        <v>0.75</v>
      </c>
      <c r="BA137" s="38">
        <v>-90</v>
      </c>
      <c r="BB137" s="38">
        <f t="shared" si="100"/>
        <v>-4.0202279922027584</v>
      </c>
      <c r="BC137" s="38">
        <f t="shared" si="139"/>
        <v>-97.260160733971048</v>
      </c>
      <c r="BE137">
        <f t="shared" si="102"/>
        <v>9.4020227992202763</v>
      </c>
      <c r="BF137">
        <f t="shared" si="103"/>
        <v>187.26016073397105</v>
      </c>
      <c r="BG137" s="153">
        <f t="shared" si="104"/>
        <v>-9.3266425907843757</v>
      </c>
      <c r="BH137" s="153">
        <f t="shared" si="105"/>
        <v>-1.1881795743172858</v>
      </c>
      <c r="BI137" s="39">
        <v>0.75</v>
      </c>
      <c r="BK137" s="39">
        <v>0.75</v>
      </c>
      <c r="BL137" s="38">
        <v>-90</v>
      </c>
      <c r="BM137" s="38">
        <f t="shared" si="106"/>
        <v>1.9510766725967672</v>
      </c>
      <c r="BN137" s="38">
        <f t="shared" si="140"/>
        <v>-86.488170658290201</v>
      </c>
      <c r="BP137">
        <f t="shared" si="108"/>
        <v>8.804892332740323</v>
      </c>
      <c r="BQ137">
        <f t="shared" si="109"/>
        <v>176.48817065829019</v>
      </c>
      <c r="BR137" s="153">
        <f t="shared" si="110"/>
        <v>-8.7883582682606036</v>
      </c>
      <c r="BS137" s="153">
        <f t="shared" si="111"/>
        <v>0.53934028205281592</v>
      </c>
      <c r="BT137" s="39">
        <v>0.75</v>
      </c>
      <c r="BV137" s="39">
        <v>0.75</v>
      </c>
      <c r="BW137" s="38">
        <v>-90</v>
      </c>
      <c r="BX137" s="38">
        <f t="shared" si="112"/>
        <v>7.1796941081018506</v>
      </c>
      <c r="BY137" s="38">
        <f t="shared" si="141"/>
        <v>-76.908415468616056</v>
      </c>
      <c r="CA137">
        <f t="shared" si="114"/>
        <v>8.2820305891898158</v>
      </c>
      <c r="CB137">
        <f t="shared" si="115"/>
        <v>166.90841546861606</v>
      </c>
      <c r="CC137" s="153">
        <f t="shared" si="116"/>
        <v>-8.0667743759958661</v>
      </c>
      <c r="CD137" s="153">
        <f t="shared" si="117"/>
        <v>1.8759482527650715</v>
      </c>
      <c r="CE137" s="39">
        <v>0.75</v>
      </c>
      <c r="CG137" s="39">
        <v>0.75</v>
      </c>
      <c r="CH137" s="38">
        <v>-90</v>
      </c>
      <c r="CI137" s="38">
        <f t="shared" si="118"/>
        <v>10.508522694850116</v>
      </c>
      <c r="CJ137" s="38">
        <f t="shared" si="142"/>
        <v>-70.516285917220941</v>
      </c>
      <c r="CL137">
        <f t="shared" si="120"/>
        <v>7.9491477305149889</v>
      </c>
      <c r="CM137">
        <f t="shared" si="121"/>
        <v>160.51628591722096</v>
      </c>
      <c r="CN137" s="153">
        <f t="shared" si="122"/>
        <v>-7.4939503996922818</v>
      </c>
      <c r="CO137" s="153">
        <f t="shared" si="123"/>
        <v>2.6513500426204546</v>
      </c>
      <c r="CP137" s="39">
        <v>0.75</v>
      </c>
      <c r="CR137" s="39">
        <v>0.75</v>
      </c>
      <c r="CS137" s="38">
        <v>-90</v>
      </c>
      <c r="CT137" s="38">
        <f t="shared" si="124"/>
        <v>11.152054967319165</v>
      </c>
      <c r="CU137" s="38">
        <f t="shared" si="143"/>
        <v>-69.238766580276192</v>
      </c>
      <c r="CW137">
        <f t="shared" si="126"/>
        <v>7.8847945032680835</v>
      </c>
      <c r="CX137">
        <f t="shared" si="127"/>
        <v>159.23876658027621</v>
      </c>
      <c r="CY137" s="153">
        <f t="shared" si="128"/>
        <v>-7.3728011230173927</v>
      </c>
      <c r="CZ137" s="153">
        <f t="shared" si="129"/>
        <v>2.7949575952418431</v>
      </c>
      <c r="DA137" s="39">
        <v>0.75</v>
      </c>
      <c r="DC137" s="39">
        <v>0.75</v>
      </c>
      <c r="DD137" s="38">
        <v>-90</v>
      </c>
      <c r="DE137" s="38">
        <f t="shared" si="130"/>
        <v>-10.952670234464714</v>
      </c>
      <c r="DF137" s="38">
        <f t="shared" si="144"/>
        <v>-110.36370911494541</v>
      </c>
      <c r="DH137">
        <f t="shared" si="132"/>
        <v>10.095267023446471</v>
      </c>
      <c r="DI137">
        <f t="shared" si="133"/>
        <v>200.36370911494541</v>
      </c>
      <c r="DJ137" s="153">
        <f t="shared" si="134"/>
        <v>-9.4643389348438767</v>
      </c>
      <c r="DK137" s="153">
        <f t="shared" si="135"/>
        <v>-3.5129339306460108</v>
      </c>
      <c r="DL137" s="39">
        <v>0.75</v>
      </c>
    </row>
    <row r="138" spans="1:116" x14ac:dyDescent="0.25">
      <c r="A138">
        <v>-4.5999999999999996</v>
      </c>
      <c r="B138">
        <f t="shared" si="136"/>
        <v>7.7356318423254864</v>
      </c>
      <c r="C138">
        <f t="shared" si="137"/>
        <v>-7.7356318423254864</v>
      </c>
      <c r="D138">
        <f t="shared" si="20"/>
        <v>6.5452272687814288</v>
      </c>
      <c r="E138">
        <f t="shared" si="21"/>
        <v>-6.5452272687814288</v>
      </c>
      <c r="F138">
        <f t="shared" si="24"/>
        <v>5.2763623833091682</v>
      </c>
      <c r="G138">
        <f t="shared" si="25"/>
        <v>-5.2763623833091682</v>
      </c>
      <c r="H138">
        <f t="shared" si="74"/>
        <v>3.8522720568516449</v>
      </c>
      <c r="I138">
        <f t="shared" si="75"/>
        <v>-3.8522720568516449</v>
      </c>
      <c r="J138">
        <f t="shared" si="90"/>
        <v>1.9595917942265433</v>
      </c>
      <c r="K138">
        <f>-J138</f>
        <v>-1.9595917942265433</v>
      </c>
      <c r="AO138" s="39">
        <v>0.79166666666666663</v>
      </c>
      <c r="AP138" s="38">
        <v>-105</v>
      </c>
      <c r="AQ138" s="38">
        <f t="shared" si="94"/>
        <v>-21.222454332100078</v>
      </c>
      <c r="AR138" s="38">
        <f t="shared" si="138"/>
        <v>-98.829098209067979</v>
      </c>
      <c r="AT138">
        <f t="shared" si="96"/>
        <v>11.122245433210008</v>
      </c>
      <c r="AU138">
        <f t="shared" si="97"/>
        <v>188.82909820906798</v>
      </c>
      <c r="AV138" s="153">
        <f t="shared" si="98"/>
        <v>-10.990453038698439</v>
      </c>
      <c r="AW138" s="153">
        <f t="shared" si="99"/>
        <v>-1.7071278454542105</v>
      </c>
      <c r="AX138" s="39">
        <v>0.79166666666666663</v>
      </c>
      <c r="AZ138" s="39">
        <v>0.79166666666666663</v>
      </c>
      <c r="BA138" s="38">
        <v>-105</v>
      </c>
      <c r="BB138" s="38">
        <f t="shared" si="100"/>
        <v>-17.093738200635286</v>
      </c>
      <c r="BC138" s="38">
        <f t="shared" si="139"/>
        <v>-90.095047630469693</v>
      </c>
      <c r="BE138">
        <f t="shared" si="102"/>
        <v>10.709373820063529</v>
      </c>
      <c r="BF138">
        <f t="shared" si="103"/>
        <v>180.09504763046971</v>
      </c>
      <c r="BG138" s="153">
        <f t="shared" si="104"/>
        <v>-10.709359084345353</v>
      </c>
      <c r="BH138" s="153">
        <f t="shared" si="105"/>
        <v>-1.7765708874136893E-2</v>
      </c>
      <c r="BI138" s="39">
        <v>0.79166666666666663</v>
      </c>
      <c r="BK138" s="39">
        <v>0.79166666666666663</v>
      </c>
      <c r="BL138" s="38">
        <v>-105</v>
      </c>
      <c r="BM138" s="38">
        <f t="shared" si="106"/>
        <v>-11.045650532058881</v>
      </c>
      <c r="BN138" s="38">
        <f t="shared" si="140"/>
        <v>-79.033909310679306</v>
      </c>
      <c r="BP138">
        <f t="shared" si="108"/>
        <v>10.104565053205889</v>
      </c>
      <c r="BQ138">
        <f t="shared" si="109"/>
        <v>169.03390931067929</v>
      </c>
      <c r="BR138" s="153">
        <f t="shared" si="110"/>
        <v>-9.9200550673093009</v>
      </c>
      <c r="BS138" s="153">
        <f t="shared" si="111"/>
        <v>1.9221712660480583</v>
      </c>
      <c r="BT138" s="39">
        <v>0.79166666666666663</v>
      </c>
      <c r="BV138" s="39">
        <v>0.79166666666666663</v>
      </c>
      <c r="BW138" s="38">
        <v>-105</v>
      </c>
      <c r="BX138" s="38">
        <f t="shared" si="112"/>
        <v>-5.3710235152583179</v>
      </c>
      <c r="BY138" s="38">
        <f t="shared" si="141"/>
        <v>-69.645777513673181</v>
      </c>
      <c r="CA138">
        <f t="shared" si="114"/>
        <v>9.5371023515258315</v>
      </c>
      <c r="CB138">
        <f t="shared" si="115"/>
        <v>159.64577751367318</v>
      </c>
      <c r="CC138" s="153">
        <f t="shared" si="116"/>
        <v>-8.9416074768578948</v>
      </c>
      <c r="CD138" s="153">
        <f t="shared" si="117"/>
        <v>3.317224290469146</v>
      </c>
      <c r="CE138" s="39">
        <v>0.79166666666666663</v>
      </c>
      <c r="CG138" s="39">
        <v>0.79166666666666663</v>
      </c>
      <c r="CH138" s="38">
        <v>-105</v>
      </c>
      <c r="CI138" s="38">
        <f t="shared" si="118"/>
        <v>-1.5633314612030205</v>
      </c>
      <c r="CJ138" s="38">
        <f t="shared" si="142"/>
        <v>-63.595103972539462</v>
      </c>
      <c r="CL138">
        <f t="shared" si="120"/>
        <v>9.1563331461203017</v>
      </c>
      <c r="CM138">
        <f t="shared" si="121"/>
        <v>153.59510397253945</v>
      </c>
      <c r="CN138" s="153">
        <f t="shared" si="122"/>
        <v>-8.2010873559628497</v>
      </c>
      <c r="CO138" s="153">
        <f t="shared" si="123"/>
        <v>4.0719286416399241</v>
      </c>
      <c r="CP138" s="39">
        <v>0.79166666666666663</v>
      </c>
      <c r="CR138" s="39">
        <v>0.79166666666666663</v>
      </c>
      <c r="CS138" s="38">
        <v>-105</v>
      </c>
      <c r="CT138" s="38">
        <f t="shared" si="124"/>
        <v>-0.80777986614324515</v>
      </c>
      <c r="CU138" s="38">
        <f t="shared" si="143"/>
        <v>-62.404173266606605</v>
      </c>
      <c r="CW138">
        <f t="shared" si="126"/>
        <v>9.0807779866143239</v>
      </c>
      <c r="CX138">
        <f t="shared" si="127"/>
        <v>152.40417326660662</v>
      </c>
      <c r="CY138" s="153">
        <f t="shared" si="128"/>
        <v>-8.0477243653167001</v>
      </c>
      <c r="CZ138" s="153">
        <f t="shared" si="129"/>
        <v>4.2065022741069811</v>
      </c>
      <c r="DA138" s="39">
        <v>0.79166666666666663</v>
      </c>
      <c r="DC138" s="39">
        <v>0.79166666666666663</v>
      </c>
      <c r="DD138" s="38">
        <v>-105</v>
      </c>
      <c r="DE138" s="38">
        <f t="shared" si="130"/>
        <v>-23.465180129092047</v>
      </c>
      <c r="DF138" s="38">
        <f t="shared" si="144"/>
        <v>-104.25379012152538</v>
      </c>
      <c r="DH138">
        <f t="shared" si="132"/>
        <v>11.346518012909204</v>
      </c>
      <c r="DI138">
        <f t="shared" si="133"/>
        <v>194.25379012152538</v>
      </c>
      <c r="DJ138" s="153">
        <f t="shared" si="134"/>
        <v>-10.997211195505972</v>
      </c>
      <c r="DK138" s="153">
        <f t="shared" si="135"/>
        <v>-2.7937102460189238</v>
      </c>
      <c r="DL138" s="39">
        <v>0.79166666666666663</v>
      </c>
    </row>
    <row r="139" spans="1:116" x14ac:dyDescent="0.25">
      <c r="A139">
        <v>-4.7</v>
      </c>
      <c r="B139">
        <f t="shared" si="136"/>
        <v>7.6752850109947053</v>
      </c>
      <c r="C139">
        <f t="shared" si="137"/>
        <v>-7.6752850109947053</v>
      </c>
      <c r="D139">
        <f t="shared" si="20"/>
        <v>6.473793323855805</v>
      </c>
      <c r="E139">
        <f t="shared" si="21"/>
        <v>-6.473793323855805</v>
      </c>
      <c r="F139">
        <f t="shared" si="24"/>
        <v>5.1874849397371747</v>
      </c>
      <c r="G139">
        <f t="shared" si="25"/>
        <v>-5.1874849397371747</v>
      </c>
      <c r="H139">
        <f t="shared" si="74"/>
        <v>3.7296112397943029</v>
      </c>
      <c r="I139">
        <f t="shared" si="75"/>
        <v>-3.7296112397943029</v>
      </c>
      <c r="J139">
        <f t="shared" si="90"/>
        <v>1.7058722109231972</v>
      </c>
      <c r="K139">
        <f>-J139</f>
        <v>-1.7058722109231972</v>
      </c>
      <c r="AO139" s="39">
        <v>0.83333333333333304</v>
      </c>
      <c r="AP139" s="38">
        <v>-120</v>
      </c>
      <c r="AQ139" s="38">
        <f t="shared" si="94"/>
        <v>-34.263131703153903</v>
      </c>
      <c r="AR139" s="38">
        <f t="shared" si="138"/>
        <v>-92.169938930599614</v>
      </c>
      <c r="AT139">
        <f t="shared" si="96"/>
        <v>12.426313170315391</v>
      </c>
      <c r="AU139">
        <f t="shared" si="97"/>
        <v>182.16993893059961</v>
      </c>
      <c r="AV139" s="153">
        <f t="shared" si="98"/>
        <v>-12.41740250470423</v>
      </c>
      <c r="AW139" s="153">
        <f t="shared" si="99"/>
        <v>-0.47050403071482649</v>
      </c>
      <c r="AX139" s="39">
        <v>0.83333333333333304</v>
      </c>
      <c r="AZ139" s="39">
        <v>0.83333333333333304</v>
      </c>
      <c r="BA139" s="38">
        <v>-120</v>
      </c>
      <c r="BB139" s="38">
        <f t="shared" si="100"/>
        <v>-30.166174654908502</v>
      </c>
      <c r="BC139" s="38">
        <f t="shared" si="139"/>
        <v>-82.395681730571113</v>
      </c>
      <c r="BE139">
        <f t="shared" si="102"/>
        <v>12.01661746549085</v>
      </c>
      <c r="BF139">
        <f t="shared" si="103"/>
        <v>172.39568173057111</v>
      </c>
      <c r="BG139" s="153">
        <f t="shared" si="104"/>
        <v>-11.910938158755613</v>
      </c>
      <c r="BH139" s="153">
        <f t="shared" si="105"/>
        <v>1.5901721574217003</v>
      </c>
      <c r="BI139" s="39">
        <v>0.83333333333333304</v>
      </c>
      <c r="BK139" s="39">
        <v>0.83333333333333304</v>
      </c>
      <c r="BL139" s="38">
        <v>-120</v>
      </c>
      <c r="BM139" s="38">
        <f t="shared" si="106"/>
        <v>-23.693971230022676</v>
      </c>
      <c r="BN139" s="38">
        <f t="shared" si="140"/>
        <v>-70.634773561073217</v>
      </c>
      <c r="BP139">
        <f t="shared" si="108"/>
        <v>11.369397123002267</v>
      </c>
      <c r="BQ139">
        <f t="shared" si="109"/>
        <v>160.63477356107322</v>
      </c>
      <c r="BR139" s="153">
        <f t="shared" si="110"/>
        <v>-10.726162988788303</v>
      </c>
      <c r="BS139" s="153">
        <f t="shared" si="111"/>
        <v>3.7699626627435183</v>
      </c>
      <c r="BT139" s="39">
        <v>0.83333333333333304</v>
      </c>
      <c r="BV139" s="39">
        <v>0.83333333333333304</v>
      </c>
      <c r="BW139" s="38">
        <v>-120</v>
      </c>
      <c r="BX139" s="38">
        <f t="shared" si="112"/>
        <v>-17.295202768452899</v>
      </c>
      <c r="BY139" s="38">
        <f t="shared" si="141"/>
        <v>-61.227129569630065</v>
      </c>
      <c r="CA139">
        <f t="shared" si="114"/>
        <v>10.729520276845291</v>
      </c>
      <c r="CB139">
        <f t="shared" si="115"/>
        <v>151.22712956963005</v>
      </c>
      <c r="CC139" s="153">
        <f t="shared" si="116"/>
        <v>-9.4047967545686433</v>
      </c>
      <c r="CD139" s="153">
        <f t="shared" si="117"/>
        <v>5.1645332196133023</v>
      </c>
      <c r="CE139" s="39">
        <v>0.83333333333333304</v>
      </c>
      <c r="CG139" s="39">
        <v>0.83333333333333304</v>
      </c>
      <c r="CH139" s="38">
        <v>-120</v>
      </c>
      <c r="CI139" s="38">
        <f t="shared" si="118"/>
        <v>-12.865159481895564</v>
      </c>
      <c r="CJ139" s="38">
        <f t="shared" si="142"/>
        <v>-55.427667993562665</v>
      </c>
      <c r="CL139">
        <f t="shared" si="120"/>
        <v>10.286515948189557</v>
      </c>
      <c r="CM139">
        <f t="shared" si="121"/>
        <v>145.42766799356266</v>
      </c>
      <c r="CN139" s="153">
        <f t="shared" si="122"/>
        <v>-8.470025064497646</v>
      </c>
      <c r="CO139" s="153">
        <f t="shared" si="123"/>
        <v>5.8370442656484762</v>
      </c>
      <c r="CP139" s="39">
        <v>0.83333333333333304</v>
      </c>
      <c r="CR139" s="39">
        <v>0.83333333333333304</v>
      </c>
      <c r="CS139" s="38">
        <v>-120</v>
      </c>
      <c r="CT139" s="38">
        <f t="shared" si="124"/>
        <v>-11.973998043852708</v>
      </c>
      <c r="CU139" s="38">
        <f t="shared" si="143"/>
        <v>-54.308590994652675</v>
      </c>
      <c r="CW139">
        <f t="shared" si="126"/>
        <v>10.19739980438527</v>
      </c>
      <c r="CX139">
        <f t="shared" si="127"/>
        <v>144.30859099465266</v>
      </c>
      <c r="CY139" s="153">
        <f t="shared" si="128"/>
        <v>-8.2820325453967403</v>
      </c>
      <c r="CZ139" s="153">
        <f t="shared" si="129"/>
        <v>5.9493612839922516</v>
      </c>
      <c r="DA139" s="39">
        <v>0.83333333333333304</v>
      </c>
      <c r="DC139" s="39">
        <v>0.83333333333333304</v>
      </c>
      <c r="DD139" s="38">
        <v>-120</v>
      </c>
      <c r="DE139" s="38">
        <f t="shared" si="130"/>
        <v>-36.313087788252069</v>
      </c>
      <c r="DF139" s="38">
        <f t="shared" si="144"/>
        <v>-98.417944530448025</v>
      </c>
      <c r="DH139">
        <f t="shared" si="132"/>
        <v>12.631308778825208</v>
      </c>
      <c r="DI139">
        <f t="shared" si="133"/>
        <v>188.41794453044804</v>
      </c>
      <c r="DJ139" s="153">
        <f t="shared" si="134"/>
        <v>-12.495225784661383</v>
      </c>
      <c r="DK139" s="153">
        <f t="shared" si="135"/>
        <v>-1.8491333257394118</v>
      </c>
      <c r="DL139" s="39">
        <v>0.83333333333333304</v>
      </c>
    </row>
    <row r="140" spans="1:116" x14ac:dyDescent="0.25">
      <c r="A140">
        <v>-4.8</v>
      </c>
      <c r="B140">
        <f t="shared" si="136"/>
        <v>7.6131465242697125</v>
      </c>
      <c r="C140">
        <f t="shared" si="137"/>
        <v>-7.6131465242697125</v>
      </c>
      <c r="D140">
        <f t="shared" ref="D140:D172" si="145">+SQRT(64-A140^2)</f>
        <v>6.4</v>
      </c>
      <c r="E140">
        <f t="shared" ref="E140:E171" si="146">-D140</f>
        <v>-6.4</v>
      </c>
      <c r="F140">
        <f t="shared" si="24"/>
        <v>5.0950956811427988</v>
      </c>
      <c r="G140">
        <f t="shared" si="25"/>
        <v>-5.0950956811427988</v>
      </c>
      <c r="H140">
        <f t="shared" si="74"/>
        <v>3.6</v>
      </c>
      <c r="I140">
        <f t="shared" si="75"/>
        <v>-3.6</v>
      </c>
      <c r="J140">
        <f t="shared" si="90"/>
        <v>1.4000000000000004</v>
      </c>
      <c r="K140">
        <f>-J140</f>
        <v>-1.4000000000000004</v>
      </c>
      <c r="AO140" s="39">
        <v>0.875</v>
      </c>
      <c r="AP140" s="38">
        <v>-135</v>
      </c>
      <c r="AQ140" s="38">
        <f t="shared" si="94"/>
        <v>-47.358006013278754</v>
      </c>
      <c r="AR140" s="38">
        <f t="shared" si="138"/>
        <v>-84.519330155836997</v>
      </c>
      <c r="AT140">
        <f t="shared" si="96"/>
        <v>13.735800601327876</v>
      </c>
      <c r="AU140">
        <f t="shared" si="97"/>
        <v>174.519330155837</v>
      </c>
      <c r="AV140" s="153">
        <f t="shared" si="98"/>
        <v>-13.673007082095584</v>
      </c>
      <c r="AW140" s="153">
        <f t="shared" si="99"/>
        <v>1.3119052909426219</v>
      </c>
      <c r="AX140" s="39">
        <v>0.875</v>
      </c>
      <c r="AZ140" s="39">
        <v>0.875</v>
      </c>
      <c r="BA140" s="38">
        <v>-135</v>
      </c>
      <c r="BB140" s="38">
        <f t="shared" si="100"/>
        <v>-42.970049900882437</v>
      </c>
      <c r="BC140" s="38">
        <f t="shared" si="139"/>
        <v>-72.992972749272582</v>
      </c>
      <c r="BE140">
        <f t="shared" si="102"/>
        <v>13.297004990088244</v>
      </c>
      <c r="BF140">
        <f t="shared" si="103"/>
        <v>162.99297274927258</v>
      </c>
      <c r="BG140" s="153">
        <f t="shared" si="104"/>
        <v>-12.715512199162722</v>
      </c>
      <c r="BH140" s="153">
        <f t="shared" si="105"/>
        <v>3.8892275864721073</v>
      </c>
      <c r="BI140" s="39">
        <v>0.875</v>
      </c>
      <c r="BK140" s="39">
        <v>0.875</v>
      </c>
      <c r="BL140" s="38">
        <v>-135</v>
      </c>
      <c r="BM140" s="38">
        <f t="shared" si="106"/>
        <v>-35.619953941187866</v>
      </c>
      <c r="BN140" s="38">
        <f t="shared" si="140"/>
        <v>-60.195037330045565</v>
      </c>
      <c r="BP140">
        <f t="shared" si="108"/>
        <v>12.561995394118787</v>
      </c>
      <c r="BQ140">
        <f t="shared" si="109"/>
        <v>150.19503733004558</v>
      </c>
      <c r="BR140" s="153">
        <f t="shared" si="110"/>
        <v>-10.900324851829215</v>
      </c>
      <c r="BS140" s="153">
        <f t="shared" si="111"/>
        <v>6.24392876372369</v>
      </c>
      <c r="BT140" s="39">
        <v>0.875</v>
      </c>
      <c r="BV140" s="39">
        <v>0.875</v>
      </c>
      <c r="BW140" s="38">
        <v>-135</v>
      </c>
      <c r="BX140" s="38">
        <f t="shared" si="112"/>
        <v>-28.177692758769616</v>
      </c>
      <c r="BY140" s="38">
        <f t="shared" si="141"/>
        <v>-50.823092297341248</v>
      </c>
      <c r="CA140">
        <f t="shared" si="114"/>
        <v>11.817769275876962</v>
      </c>
      <c r="CB140">
        <f t="shared" si="115"/>
        <v>140.82309229734125</v>
      </c>
      <c r="CC140" s="153">
        <f t="shared" si="116"/>
        <v>-9.1611247768654742</v>
      </c>
      <c r="CD140" s="153">
        <f t="shared" si="117"/>
        <v>7.4654848121580821</v>
      </c>
      <c r="CE140" s="39">
        <v>0.875</v>
      </c>
      <c r="CG140" s="39">
        <v>0.875</v>
      </c>
      <c r="CH140" s="38">
        <v>-135</v>
      </c>
      <c r="CI140" s="38">
        <f t="shared" si="118"/>
        <v>-22.981260259153483</v>
      </c>
      <c r="CJ140" s="38">
        <f t="shared" si="142"/>
        <v>-45.392932124001135</v>
      </c>
      <c r="CL140">
        <f t="shared" si="120"/>
        <v>11.298126025915348</v>
      </c>
      <c r="CM140">
        <f t="shared" si="121"/>
        <v>135.39293212400113</v>
      </c>
      <c r="CN140" s="153">
        <f t="shared" si="122"/>
        <v>-8.0435813417555835</v>
      </c>
      <c r="CO140" s="153">
        <f t="shared" si="123"/>
        <v>7.934005980337246</v>
      </c>
      <c r="CP140" s="39">
        <v>0.875</v>
      </c>
      <c r="CR140" s="39">
        <v>0.875</v>
      </c>
      <c r="CS140" s="38">
        <v>-135</v>
      </c>
      <c r="CT140" s="38">
        <f t="shared" si="124"/>
        <v>-21.932757611792816</v>
      </c>
      <c r="CU140" s="38">
        <f t="shared" si="143"/>
        <v>-44.372564277814263</v>
      </c>
      <c r="CW140">
        <f t="shared" si="126"/>
        <v>11.193275761179281</v>
      </c>
      <c r="CX140">
        <f t="shared" si="127"/>
        <v>134.37256427781426</v>
      </c>
      <c r="CY140" s="153">
        <f t="shared" si="128"/>
        <v>-7.8276943609689011</v>
      </c>
      <c r="CZ140" s="153">
        <f t="shared" si="129"/>
        <v>8.0010388861109334</v>
      </c>
      <c r="DA140" s="39">
        <v>0.875</v>
      </c>
      <c r="DC140" s="39">
        <v>0.875</v>
      </c>
      <c r="DD140" s="38">
        <v>-135</v>
      </c>
      <c r="DE140" s="38">
        <f t="shared" si="130"/>
        <v>-49.357961668366194</v>
      </c>
      <c r="DF140" s="38">
        <f t="shared" si="144"/>
        <v>-92.227199589722318</v>
      </c>
      <c r="DH140">
        <f t="shared" si="132"/>
        <v>13.935796166836619</v>
      </c>
      <c r="DI140">
        <f t="shared" si="133"/>
        <v>182.22719958972232</v>
      </c>
      <c r="DJ140" s="153">
        <f t="shared" si="134"/>
        <v>-13.9252687913333</v>
      </c>
      <c r="DK140" s="153">
        <f t="shared" si="135"/>
        <v>-0.54157538047532039</v>
      </c>
      <c r="DL140" s="39">
        <v>0.875</v>
      </c>
    </row>
    <row r="141" spans="1:116" x14ac:dyDescent="0.25">
      <c r="A141">
        <v>-4.9000000000000004</v>
      </c>
      <c r="B141">
        <f t="shared" si="136"/>
        <v>7.5491721400429066</v>
      </c>
      <c r="C141">
        <f t="shared" si="137"/>
        <v>-7.5491721400429066</v>
      </c>
      <c r="D141">
        <f t="shared" si="145"/>
        <v>6.3237647015049507</v>
      </c>
      <c r="E141">
        <f t="shared" si="146"/>
        <v>-6.3237647015049507</v>
      </c>
      <c r="F141">
        <f t="shared" si="24"/>
        <v>4.9989998999799941</v>
      </c>
      <c r="G141">
        <f t="shared" si="25"/>
        <v>-4.9989998999799941</v>
      </c>
      <c r="H141">
        <f t="shared" si="74"/>
        <v>3.4626579386361565</v>
      </c>
      <c r="I141">
        <f t="shared" si="75"/>
        <v>-3.4626579386361565</v>
      </c>
      <c r="J141">
        <f t="shared" si="90"/>
        <v>0.99498743710661741</v>
      </c>
      <c r="K141">
        <f>-J141</f>
        <v>-0.99498743710661741</v>
      </c>
      <c r="AO141" s="39">
        <v>0.91666666666666696</v>
      </c>
      <c r="AP141" s="38">
        <v>-150</v>
      </c>
      <c r="AQ141" s="38">
        <f t="shared" si="94"/>
        <v>-60.232400619509299</v>
      </c>
      <c r="AR141" s="38">
        <f t="shared" si="138"/>
        <v>-73.818841067034114</v>
      </c>
      <c r="AT141">
        <f t="shared" si="96"/>
        <v>15.023240061950929</v>
      </c>
      <c r="AU141">
        <f t="shared" si="97"/>
        <v>163.8188410670341</v>
      </c>
      <c r="AV141" s="153">
        <f t="shared" si="98"/>
        <v>-14.428100067872325</v>
      </c>
      <c r="AW141" s="153">
        <f t="shared" si="99"/>
        <v>4.186606070610174</v>
      </c>
      <c r="AX141" s="39">
        <v>0.91666666666666696</v>
      </c>
      <c r="AY141" s="13"/>
      <c r="AZ141" s="39">
        <v>0.91666666666666696</v>
      </c>
      <c r="BA141" s="38">
        <v>-150</v>
      </c>
      <c r="BB141" s="38">
        <f t="shared" si="100"/>
        <v>-54.989718040976605</v>
      </c>
      <c r="BC141" s="38">
        <f t="shared" si="139"/>
        <v>-59.585502367486896</v>
      </c>
      <c r="BE141">
        <f t="shared" si="102"/>
        <v>14.498971804097661</v>
      </c>
      <c r="BF141">
        <f t="shared" si="103"/>
        <v>149.5855023674869</v>
      </c>
      <c r="BG141" s="153">
        <f t="shared" si="104"/>
        <v>-12.503704486408052</v>
      </c>
      <c r="BH141" s="153">
        <f t="shared" si="105"/>
        <v>7.3401333429712352</v>
      </c>
      <c r="BI141" s="39">
        <v>0.91666666666666696</v>
      </c>
      <c r="BK141" s="39">
        <v>0.91666666666666696</v>
      </c>
      <c r="BL141" s="38">
        <v>-150</v>
      </c>
      <c r="BM141" s="38">
        <f t="shared" si="106"/>
        <v>-46.133018433380855</v>
      </c>
      <c r="BN141" s="38">
        <f t="shared" si="140"/>
        <v>-46.033218302412109</v>
      </c>
      <c r="BP141">
        <f t="shared" si="108"/>
        <v>13.613301843338085</v>
      </c>
      <c r="BQ141">
        <f t="shared" si="109"/>
        <v>136.03321830241211</v>
      </c>
      <c r="BR141" s="153">
        <f t="shared" si="110"/>
        <v>-9.7980708215459078</v>
      </c>
      <c r="BS141" s="153">
        <f t="shared" si="111"/>
        <v>9.4509150484914848</v>
      </c>
      <c r="BT141" s="39">
        <v>0.91666666666666696</v>
      </c>
      <c r="BV141" s="39">
        <v>0.91666666666666696</v>
      </c>
      <c r="BW141" s="38">
        <v>-150</v>
      </c>
      <c r="BX141" s="38">
        <f t="shared" si="112"/>
        <v>-37.33129672095771</v>
      </c>
      <c r="BY141" s="38">
        <f t="shared" si="141"/>
        <v>-37.421390721411996</v>
      </c>
      <c r="CA141">
        <f t="shared" si="114"/>
        <v>12.733129672095771</v>
      </c>
      <c r="CB141">
        <f t="shared" si="115"/>
        <v>127.421390721412</v>
      </c>
      <c r="CC141" s="153">
        <f t="shared" si="116"/>
        <v>-7.7375712504447289</v>
      </c>
      <c r="CD141" s="153">
        <f t="shared" si="117"/>
        <v>10.112496348117856</v>
      </c>
      <c r="CE141" s="39">
        <v>0.91666666666666696</v>
      </c>
      <c r="CG141" s="39">
        <v>0.91666666666666696</v>
      </c>
      <c r="CH141" s="38">
        <v>-150</v>
      </c>
      <c r="CI141" s="38">
        <f t="shared" si="118"/>
        <v>-31.276362355278998</v>
      </c>
      <c r="CJ141" s="38">
        <f t="shared" si="142"/>
        <v>-32.838198459563159</v>
      </c>
      <c r="CL141">
        <f t="shared" si="120"/>
        <v>12.1276362355279</v>
      </c>
      <c r="CM141">
        <f t="shared" si="121"/>
        <v>122.83819845956316</v>
      </c>
      <c r="CN141" s="153">
        <f t="shared" si="122"/>
        <v>-6.5764349434517442</v>
      </c>
      <c r="CO141" s="153">
        <f t="shared" si="123"/>
        <v>10.189703827679987</v>
      </c>
      <c r="CP141" s="39">
        <v>0.91666666666666696</v>
      </c>
      <c r="CR141" s="39">
        <v>0.91666666666666696</v>
      </c>
      <c r="CS141" s="38">
        <v>-150</v>
      </c>
      <c r="CT141" s="38">
        <f t="shared" si="124"/>
        <v>-30.061756873161897</v>
      </c>
      <c r="CU141" s="38">
        <f t="shared" si="143"/>
        <v>-32.005223707712958</v>
      </c>
      <c r="CW141">
        <f t="shared" si="126"/>
        <v>12.00617568731619</v>
      </c>
      <c r="CX141">
        <f t="shared" si="127"/>
        <v>122.00522370771296</v>
      </c>
      <c r="CY141" s="153">
        <f t="shared" si="128"/>
        <v>-6.3632320452066082</v>
      </c>
      <c r="CZ141" s="153">
        <f t="shared" si="129"/>
        <v>10.181234334478219</v>
      </c>
      <c r="DA141" s="39">
        <v>0.91666666666666696</v>
      </c>
      <c r="DC141" s="39">
        <v>0.91666666666666696</v>
      </c>
      <c r="DD141" s="38">
        <v>-150</v>
      </c>
      <c r="DE141" s="38">
        <f t="shared" si="130"/>
        <v>-62.452473976782521</v>
      </c>
      <c r="DF141" s="38">
        <f t="shared" si="144"/>
        <v>-84.319044517006716</v>
      </c>
      <c r="DH141">
        <f t="shared" si="132"/>
        <v>15.245247397678252</v>
      </c>
      <c r="DI141">
        <f t="shared" si="133"/>
        <v>174.31904451700672</v>
      </c>
      <c r="DJ141" s="153">
        <f t="shared" si="134"/>
        <v>-15.170370789465272</v>
      </c>
      <c r="DK141" s="153">
        <f t="shared" si="135"/>
        <v>1.5091117674162806</v>
      </c>
      <c r="DL141" s="39">
        <v>0.91666666666666696</v>
      </c>
    </row>
    <row r="142" spans="1:116" x14ac:dyDescent="0.25">
      <c r="A142">
        <v>-5</v>
      </c>
      <c r="B142">
        <f t="shared" si="136"/>
        <v>7.4833147735478827</v>
      </c>
      <c r="C142">
        <f t="shared" si="137"/>
        <v>-7.4833147735478827</v>
      </c>
      <c r="D142">
        <f t="shared" si="145"/>
        <v>6.2449979983983983</v>
      </c>
      <c r="E142">
        <f t="shared" si="146"/>
        <v>-6.2449979983983983</v>
      </c>
      <c r="F142">
        <f t="shared" si="24"/>
        <v>4.8989794855663558</v>
      </c>
      <c r="G142">
        <f t="shared" si="25"/>
        <v>-4.8989794855663558</v>
      </c>
      <c r="H142">
        <f t="shared" si="74"/>
        <v>3.3166247903553998</v>
      </c>
      <c r="I142">
        <f t="shared" si="75"/>
        <v>-3.3166247903553998</v>
      </c>
      <c r="J142">
        <f t="shared" si="90"/>
        <v>0</v>
      </c>
      <c r="K142">
        <f>-J142</f>
        <v>0</v>
      </c>
      <c r="AO142" s="39">
        <v>0.95833333333333304</v>
      </c>
      <c r="AP142" s="38">
        <v>-165</v>
      </c>
      <c r="AQ142" s="38">
        <f t="shared" si="94"/>
        <v>-72.046150944645134</v>
      </c>
      <c r="AR142" s="38">
        <f t="shared" si="138"/>
        <v>-53.197388177510931</v>
      </c>
      <c r="AT142">
        <f t="shared" si="96"/>
        <v>16.204615094464515</v>
      </c>
      <c r="AU142">
        <f t="shared" si="97"/>
        <v>143.19738817751093</v>
      </c>
      <c r="AV142" s="153">
        <f t="shared" si="98"/>
        <v>-12.975101156585922</v>
      </c>
      <c r="AW142" s="153">
        <f t="shared" si="99"/>
        <v>9.7075383252454817</v>
      </c>
      <c r="AX142" s="39">
        <v>0.95833333333333304</v>
      </c>
      <c r="AY142" s="13"/>
      <c r="AZ142" s="39">
        <v>0.95833333333333304</v>
      </c>
      <c r="BA142" s="38">
        <v>-165</v>
      </c>
      <c r="BB142" s="38">
        <f t="shared" si="100"/>
        <v>-64.883038153692766</v>
      </c>
      <c r="BC142" s="38">
        <f t="shared" si="139"/>
        <v>-37.111855036527061</v>
      </c>
      <c r="BE142">
        <f t="shared" si="102"/>
        <v>15.488303815369276</v>
      </c>
      <c r="BF142">
        <f t="shared" si="103"/>
        <v>127.11185503652706</v>
      </c>
      <c r="BG142" s="153">
        <f t="shared" si="104"/>
        <v>-9.3452243760977627</v>
      </c>
      <c r="BH142" s="153">
        <f t="shared" si="105"/>
        <v>12.351288857344835</v>
      </c>
      <c r="BI142" s="39">
        <v>0.95833333333333304</v>
      </c>
      <c r="BK142" s="39">
        <v>0.95833333333333304</v>
      </c>
      <c r="BL142" s="38">
        <v>-165</v>
      </c>
      <c r="BM142" s="38">
        <f t="shared" si="106"/>
        <v>-53.905193379238668</v>
      </c>
      <c r="BN142" s="38">
        <f t="shared" si="140"/>
        <v>-25.992283534126898</v>
      </c>
      <c r="BP142">
        <f t="shared" si="108"/>
        <v>14.390519337923866</v>
      </c>
      <c r="BQ142">
        <f t="shared" si="109"/>
        <v>115.9922835341269</v>
      </c>
      <c r="BR142" s="153">
        <f t="shared" si="110"/>
        <v>-6.3066464707789134</v>
      </c>
      <c r="BS142" s="153">
        <f t="shared" si="111"/>
        <v>12.934962586253297</v>
      </c>
      <c r="BT142" s="39">
        <v>0.95833333333333304</v>
      </c>
      <c r="BV142" s="39">
        <v>0.95833333333333304</v>
      </c>
      <c r="BW142" s="38">
        <v>-165</v>
      </c>
      <c r="BX142" s="38">
        <f t="shared" si="112"/>
        <v>-43.692996391273049</v>
      </c>
      <c r="BY142" s="38">
        <f t="shared" si="141"/>
        <v>-20.237754688613791</v>
      </c>
      <c r="CA142">
        <f t="shared" si="114"/>
        <v>13.369299639127306</v>
      </c>
      <c r="CB142">
        <f t="shared" si="115"/>
        <v>110.23775468861379</v>
      </c>
      <c r="CC142" s="153">
        <f t="shared" si="116"/>
        <v>-4.6246618464143543</v>
      </c>
      <c r="CD142" s="153">
        <f t="shared" si="117"/>
        <v>12.543949762618189</v>
      </c>
      <c r="CE142" s="39">
        <v>0.95833333333333304</v>
      </c>
      <c r="CG142" s="39">
        <v>0.95833333333333304</v>
      </c>
      <c r="CH142" s="38">
        <v>-165</v>
      </c>
      <c r="CI142" s="38">
        <f t="shared" si="118"/>
        <v>-36.876609818260775</v>
      </c>
      <c r="CJ142" s="38">
        <f t="shared" si="142"/>
        <v>-17.452108433901259</v>
      </c>
      <c r="CL142">
        <f t="shared" si="120"/>
        <v>12.687660981826077</v>
      </c>
      <c r="CM142">
        <f t="shared" si="121"/>
        <v>107.45210843390126</v>
      </c>
      <c r="CN142" s="153">
        <f t="shared" si="122"/>
        <v>-3.805137569493255</v>
      </c>
      <c r="CO142" s="153">
        <f t="shared" si="123"/>
        <v>12.103622154833769</v>
      </c>
      <c r="CP142" s="39">
        <v>0.95833333333333304</v>
      </c>
      <c r="CR142" s="39">
        <v>0.95833333333333304</v>
      </c>
      <c r="CS142" s="38">
        <v>-165</v>
      </c>
      <c r="CT142" s="38">
        <f t="shared" si="124"/>
        <v>-35.522989333110012</v>
      </c>
      <c r="CU142" s="38">
        <f t="shared" si="143"/>
        <v>-16.962222906987591</v>
      </c>
      <c r="CW142">
        <f t="shared" si="126"/>
        <v>12.552298933311</v>
      </c>
      <c r="CX142">
        <f t="shared" si="127"/>
        <v>106.96222290698759</v>
      </c>
      <c r="CY142" s="153">
        <f t="shared" si="128"/>
        <v>-3.6620217035873983</v>
      </c>
      <c r="CZ142" s="153">
        <f t="shared" si="129"/>
        <v>12.006240275525695</v>
      </c>
      <c r="DA142" s="39">
        <v>0.95833333333333304</v>
      </c>
      <c r="DC142" s="39">
        <v>0.95833333333333304</v>
      </c>
      <c r="DD142" s="38">
        <v>-165</v>
      </c>
      <c r="DE142" s="38">
        <f t="shared" si="130"/>
        <v>-75.23679981258222</v>
      </c>
      <c r="DF142" s="38">
        <f t="shared" si="144"/>
        <v>-69.204392711010712</v>
      </c>
      <c r="DH142">
        <f t="shared" si="132"/>
        <v>16.523679981258223</v>
      </c>
      <c r="DI142">
        <f t="shared" si="133"/>
        <v>159.20439271101071</v>
      </c>
      <c r="DJ142" s="153">
        <f t="shared" si="134"/>
        <v>-15.447210128166809</v>
      </c>
      <c r="DK142" s="153">
        <f t="shared" si="135"/>
        <v>5.8664895277580156</v>
      </c>
      <c r="DL142" s="39">
        <v>0.95833333333333304</v>
      </c>
    </row>
    <row r="143" spans="1:116" x14ac:dyDescent="0.25">
      <c r="A143">
        <v>-5.0999999999999996</v>
      </c>
      <c r="B143">
        <f t="shared" si="136"/>
        <v>7.4155242565849653</v>
      </c>
      <c r="C143">
        <f t="shared" si="137"/>
        <v>-7.4155242565849653</v>
      </c>
      <c r="D143">
        <f t="shared" si="145"/>
        <v>6.163602842493991</v>
      </c>
      <c r="E143">
        <f t="shared" si="146"/>
        <v>-6.163602842493991</v>
      </c>
      <c r="F143">
        <f t="shared" si="24"/>
        <v>4.7947888378947408</v>
      </c>
      <c r="G143">
        <f t="shared" si="25"/>
        <v>-4.7947888378947408</v>
      </c>
      <c r="H143">
        <f t="shared" si="74"/>
        <v>3.1606961258558219</v>
      </c>
      <c r="I143">
        <f t="shared" si="75"/>
        <v>-3.1606961258558219</v>
      </c>
      <c r="AO143" s="39">
        <v>1</v>
      </c>
      <c r="AP143" s="38">
        <v>-180</v>
      </c>
      <c r="AQ143" s="38">
        <f t="shared" si="94"/>
        <v>-78.436495456484224</v>
      </c>
      <c r="AR143" s="38" t="e">
        <f t="shared" si="138"/>
        <v>#NUM!</v>
      </c>
      <c r="AT143">
        <f t="shared" si="96"/>
        <v>16.843649545648422</v>
      </c>
      <c r="AU143" t="e">
        <f t="shared" si="97"/>
        <v>#NUM!</v>
      </c>
      <c r="AV143" s="153" t="e">
        <f t="shared" si="98"/>
        <v>#NUM!</v>
      </c>
      <c r="AW143" s="153" t="e">
        <f t="shared" si="99"/>
        <v>#NUM!</v>
      </c>
      <c r="AX143" s="39">
        <v>1</v>
      </c>
      <c r="AY143" s="13"/>
      <c r="AZ143" s="39">
        <v>1</v>
      </c>
      <c r="BA143" s="38">
        <v>-180</v>
      </c>
      <c r="BB143" s="38">
        <f t="shared" si="100"/>
        <v>-69.213705065035924</v>
      </c>
      <c r="BC143" s="38" t="e">
        <f t="shared" si="139"/>
        <v>#NUM!</v>
      </c>
      <c r="BE143">
        <f t="shared" si="102"/>
        <v>15.921370506503592</v>
      </c>
      <c r="BF143" t="e">
        <f t="shared" si="103"/>
        <v>#NUM!</v>
      </c>
      <c r="BG143" s="153" t="e">
        <f t="shared" si="104"/>
        <v>#NUM!</v>
      </c>
      <c r="BH143" s="153" t="e">
        <f t="shared" si="105"/>
        <v>#NUM!</v>
      </c>
      <c r="BI143" s="39">
        <v>1</v>
      </c>
      <c r="BK143" s="39">
        <v>1</v>
      </c>
      <c r="BL143" s="38">
        <v>-180</v>
      </c>
      <c r="BM143" s="38">
        <f t="shared" si="106"/>
        <v>-56.903175768944351</v>
      </c>
      <c r="BN143" s="38" t="e">
        <f t="shared" si="140"/>
        <v>#NUM!</v>
      </c>
      <c r="BP143">
        <f t="shared" si="108"/>
        <v>14.690317576894435</v>
      </c>
      <c r="BQ143" t="e">
        <f t="shared" si="109"/>
        <v>#NUM!</v>
      </c>
      <c r="BR143" s="153" t="e">
        <f t="shared" si="110"/>
        <v>#NUM!</v>
      </c>
      <c r="BS143" s="153" t="e">
        <f t="shared" si="111"/>
        <v>#NUM!</v>
      </c>
      <c r="BT143" s="39">
        <v>1</v>
      </c>
      <c r="BV143" s="39">
        <v>1</v>
      </c>
      <c r="BW143" s="38">
        <v>-180</v>
      </c>
      <c r="BX143" s="38">
        <f t="shared" si="112"/>
        <v>-46.019112544125342</v>
      </c>
      <c r="BY143" s="38" t="e">
        <f t="shared" si="141"/>
        <v>#NUM!</v>
      </c>
      <c r="CA143">
        <f t="shared" si="114"/>
        <v>13.601911254412535</v>
      </c>
      <c r="CB143" t="e">
        <f t="shared" si="115"/>
        <v>#NUM!</v>
      </c>
      <c r="CC143" s="153" t="e">
        <f t="shared" si="116"/>
        <v>#NUM!</v>
      </c>
      <c r="CD143" s="153" t="e">
        <f t="shared" si="117"/>
        <v>#NUM!</v>
      </c>
      <c r="CE143" s="39">
        <v>1</v>
      </c>
      <c r="CG143" s="39">
        <v>1</v>
      </c>
      <c r="CH143" s="38">
        <v>-180</v>
      </c>
      <c r="CI143" s="38">
        <f t="shared" si="118"/>
        <v>-38.880375441262558</v>
      </c>
      <c r="CJ143" s="38" t="e">
        <f t="shared" si="142"/>
        <v>#NUM!</v>
      </c>
      <c r="CL143">
        <f t="shared" si="120"/>
        <v>12.888037544126256</v>
      </c>
      <c r="CM143" t="e">
        <f t="shared" si="121"/>
        <v>#NUM!</v>
      </c>
      <c r="CN143" s="153" t="e">
        <f t="shared" si="122"/>
        <v>#NUM!</v>
      </c>
      <c r="CO143" s="153" t="e">
        <f t="shared" si="123"/>
        <v>#NUM!</v>
      </c>
      <c r="CP143" s="39">
        <v>1</v>
      </c>
      <c r="CR143" s="39">
        <v>1</v>
      </c>
      <c r="CS143" s="38">
        <v>-180</v>
      </c>
      <c r="CT143" s="38">
        <f t="shared" si="124"/>
        <v>-37.47021715318634</v>
      </c>
      <c r="CU143" s="38">
        <f t="shared" si="143"/>
        <v>0</v>
      </c>
      <c r="CW143">
        <f t="shared" si="126"/>
        <v>12.747021715318635</v>
      </c>
      <c r="CX143">
        <f t="shared" si="127"/>
        <v>90</v>
      </c>
      <c r="CY143" s="153">
        <f t="shared" si="128"/>
        <v>7.8084969796046266E-16</v>
      </c>
      <c r="CZ143" s="153">
        <f t="shared" si="129"/>
        <v>12.747021715318635</v>
      </c>
      <c r="DA143" s="39">
        <v>1</v>
      </c>
      <c r="DC143" s="39">
        <v>1</v>
      </c>
      <c r="DD143" s="38">
        <v>-180</v>
      </c>
      <c r="DE143" s="38">
        <f t="shared" si="130"/>
        <v>-83.931636727869119</v>
      </c>
      <c r="DF143" s="38">
        <f t="shared" si="144"/>
        <v>-1.1454575485458918E-5</v>
      </c>
      <c r="DH143">
        <f t="shared" si="132"/>
        <v>17.393163672786912</v>
      </c>
      <c r="DI143">
        <f t="shared" si="133"/>
        <v>90.000011454575485</v>
      </c>
      <c r="DJ143" s="153">
        <f t="shared" si="134"/>
        <v>-3.4772422671388359E-6</v>
      </c>
      <c r="DK143" s="153">
        <f t="shared" si="135"/>
        <v>17.393163672786564</v>
      </c>
      <c r="DL143" s="39">
        <v>1</v>
      </c>
    </row>
    <row r="144" spans="1:116" x14ac:dyDescent="0.25">
      <c r="A144">
        <v>-5.2</v>
      </c>
      <c r="B144">
        <f t="shared" si="136"/>
        <v>7.3457470688827824</v>
      </c>
      <c r="C144">
        <f t="shared" si="137"/>
        <v>-7.3457470688827824</v>
      </c>
      <c r="D144">
        <f t="shared" si="145"/>
        <v>6.0794736614282652</v>
      </c>
      <c r="E144">
        <f t="shared" si="146"/>
        <v>-6.0794736614282652</v>
      </c>
      <c r="F144">
        <f t="shared" si="24"/>
        <v>4.6861498055439927</v>
      </c>
      <c r="G144">
        <f t="shared" si="25"/>
        <v>-4.6861498055439927</v>
      </c>
      <c r="H144">
        <f t="shared" si="74"/>
        <v>2.9933259094191524</v>
      </c>
      <c r="I144">
        <f t="shared" si="75"/>
        <v>-2.9933259094191524</v>
      </c>
    </row>
    <row r="145" spans="1:88" x14ac:dyDescent="0.25">
      <c r="A145">
        <v>-5.3</v>
      </c>
      <c r="B145">
        <f t="shared" si="136"/>
        <v>7.2739260375673327</v>
      </c>
      <c r="C145">
        <f t="shared" si="137"/>
        <v>-7.2739260375673327</v>
      </c>
      <c r="D145">
        <f t="shared" si="145"/>
        <v>5.9924953066314535</v>
      </c>
      <c r="E145">
        <f t="shared" si="146"/>
        <v>-5.9924953066314535</v>
      </c>
      <c r="F145">
        <f t="shared" si="24"/>
        <v>4.5727453460694703</v>
      </c>
      <c r="G145">
        <f t="shared" si="25"/>
        <v>-4.5727453460694703</v>
      </c>
      <c r="H145">
        <f t="shared" si="74"/>
        <v>2.8124722220850469</v>
      </c>
      <c r="I145">
        <f t="shared" si="75"/>
        <v>-2.8124722220850469</v>
      </c>
    </row>
    <row r="146" spans="1:88" x14ac:dyDescent="0.25">
      <c r="A146">
        <v>-5.4</v>
      </c>
      <c r="B146">
        <f t="shared" si="136"/>
        <v>7.2</v>
      </c>
      <c r="C146">
        <f t="shared" si="137"/>
        <v>-7.2</v>
      </c>
      <c r="D146">
        <f t="shared" si="145"/>
        <v>5.9025418253494824</v>
      </c>
      <c r="E146">
        <f t="shared" si="146"/>
        <v>-5.9025418253494824</v>
      </c>
      <c r="F146">
        <f t="shared" si="24"/>
        <v>4.4542114902640169</v>
      </c>
      <c r="G146">
        <f t="shared" si="25"/>
        <v>-4.4542114902640169</v>
      </c>
      <c r="H146">
        <f t="shared" si="74"/>
        <v>2.6153393661244033</v>
      </c>
      <c r="I146">
        <f t="shared" si="75"/>
        <v>-2.6153393661244033</v>
      </c>
      <c r="AO146" s="326">
        <v>4.1666666666666664E-2</v>
      </c>
      <c r="AP146" s="292"/>
      <c r="AQ146" s="327">
        <v>8.3333333333333301E-2</v>
      </c>
      <c r="AR146" s="292"/>
      <c r="AS146" s="327">
        <v>0.125</v>
      </c>
      <c r="AT146" s="292"/>
      <c r="AU146" s="327">
        <v>0.16666666666666699</v>
      </c>
      <c r="AV146" s="292"/>
      <c r="AW146" s="327">
        <v>0.20833333333333301</v>
      </c>
      <c r="AX146" s="292"/>
      <c r="AY146" s="327">
        <v>0.25</v>
      </c>
      <c r="AZ146" s="292"/>
      <c r="BA146" s="327">
        <v>0.29166666666666702</v>
      </c>
      <c r="BB146" s="292"/>
      <c r="BC146" s="327">
        <v>0.33333333333333298</v>
      </c>
      <c r="BD146" s="292"/>
      <c r="BE146" s="327">
        <v>0.375</v>
      </c>
      <c r="BF146" s="292"/>
      <c r="BG146" s="327">
        <v>0.41666666666666702</v>
      </c>
      <c r="BH146" s="292"/>
      <c r="BI146" s="327">
        <v>0.45833333333333298</v>
      </c>
      <c r="BJ146" s="292"/>
      <c r="BK146" s="327">
        <v>0.5</v>
      </c>
      <c r="BL146" s="292"/>
      <c r="BM146" s="327">
        <v>0.54166666666666696</v>
      </c>
      <c r="BN146" s="292"/>
      <c r="BO146" s="327">
        <v>0.58333333333333304</v>
      </c>
      <c r="BP146" s="292"/>
      <c r="BQ146" s="327">
        <v>0.625</v>
      </c>
      <c r="BR146" s="292"/>
      <c r="BS146" s="327">
        <v>0.66666666666666696</v>
      </c>
      <c r="BT146" s="292"/>
      <c r="BU146" s="327">
        <v>0.70833333333333304</v>
      </c>
      <c r="BV146" s="292"/>
      <c r="BW146" s="327">
        <v>0.75</v>
      </c>
      <c r="BX146" s="292"/>
      <c r="BY146" s="327">
        <v>0.79166666666666696</v>
      </c>
      <c r="BZ146" s="292"/>
      <c r="CA146" s="327">
        <v>0.83333333333333304</v>
      </c>
      <c r="CB146" s="292"/>
      <c r="CC146" s="327">
        <v>0.875</v>
      </c>
      <c r="CD146" s="292"/>
      <c r="CE146" s="327">
        <v>0.91666666666666696</v>
      </c>
      <c r="CF146" s="292"/>
      <c r="CG146" s="327">
        <v>0.95833333333333304</v>
      </c>
      <c r="CH146" s="292"/>
      <c r="CI146" s="327">
        <v>1</v>
      </c>
      <c r="CJ146" s="292"/>
    </row>
    <row r="147" spans="1:88" x14ac:dyDescent="0.25">
      <c r="A147">
        <v>-5.5</v>
      </c>
      <c r="B147">
        <f t="shared" si="136"/>
        <v>7.1239034243875032</v>
      </c>
      <c r="C147">
        <f t="shared" si="137"/>
        <v>-7.1239034243875032</v>
      </c>
      <c r="D147">
        <f t="shared" si="145"/>
        <v>5.8094750193111251</v>
      </c>
      <c r="E147">
        <f t="shared" si="146"/>
        <v>-5.8094750193111251</v>
      </c>
      <c r="F147">
        <f t="shared" si="24"/>
        <v>4.3301270189221936</v>
      </c>
      <c r="G147">
        <f t="shared" si="25"/>
        <v>-4.3301270189221936</v>
      </c>
      <c r="H147">
        <f t="shared" si="74"/>
        <v>2.3979157616563596</v>
      </c>
      <c r="I147">
        <f t="shared" si="75"/>
        <v>-2.3979157616563596</v>
      </c>
      <c r="AO147" s="152" t="s">
        <v>42</v>
      </c>
      <c r="AP147" s="151" t="s">
        <v>43</v>
      </c>
      <c r="AQ147" s="150" t="s">
        <v>42</v>
      </c>
      <c r="AR147" s="151" t="s">
        <v>43</v>
      </c>
      <c r="AS147" s="150" t="s">
        <v>42</v>
      </c>
      <c r="AT147" s="151" t="s">
        <v>43</v>
      </c>
      <c r="AU147" s="150" t="s">
        <v>42</v>
      </c>
      <c r="AV147" s="151" t="s">
        <v>43</v>
      </c>
      <c r="AW147" s="150" t="s">
        <v>42</v>
      </c>
      <c r="AX147" s="151" t="s">
        <v>43</v>
      </c>
      <c r="AY147" s="150" t="s">
        <v>42</v>
      </c>
      <c r="AZ147" s="151" t="s">
        <v>43</v>
      </c>
      <c r="BA147" s="150" t="s">
        <v>42</v>
      </c>
      <c r="BB147" s="151" t="s">
        <v>43</v>
      </c>
      <c r="BC147" s="150" t="s">
        <v>42</v>
      </c>
      <c r="BD147" s="151" t="s">
        <v>43</v>
      </c>
      <c r="BE147" s="150" t="s">
        <v>42</v>
      </c>
      <c r="BF147" s="151" t="s">
        <v>43</v>
      </c>
      <c r="BG147" s="150" t="s">
        <v>42</v>
      </c>
      <c r="BH147" s="151" t="s">
        <v>43</v>
      </c>
      <c r="BI147" s="150" t="s">
        <v>42</v>
      </c>
      <c r="BJ147" s="151" t="s">
        <v>43</v>
      </c>
      <c r="BK147" s="150" t="s">
        <v>42</v>
      </c>
      <c r="BL147" s="151" t="s">
        <v>43</v>
      </c>
      <c r="BM147" s="150" t="s">
        <v>42</v>
      </c>
      <c r="BN147" s="151" t="s">
        <v>43</v>
      </c>
      <c r="BO147" s="150" t="s">
        <v>42</v>
      </c>
      <c r="BP147" s="151" t="s">
        <v>43</v>
      </c>
      <c r="BQ147" s="150" t="s">
        <v>42</v>
      </c>
      <c r="BR147" s="151" t="s">
        <v>43</v>
      </c>
      <c r="BS147" s="150" t="s">
        <v>42</v>
      </c>
      <c r="BT147" s="151" t="s">
        <v>43</v>
      </c>
      <c r="BU147" s="150" t="s">
        <v>42</v>
      </c>
      <c r="BV147" s="151" t="s">
        <v>43</v>
      </c>
      <c r="BW147" s="150" t="s">
        <v>42</v>
      </c>
      <c r="BX147" s="151" t="s">
        <v>43</v>
      </c>
      <c r="BY147" s="150" t="s">
        <v>42</v>
      </c>
      <c r="BZ147" s="151" t="s">
        <v>43</v>
      </c>
      <c r="CA147" s="150" t="s">
        <v>42</v>
      </c>
      <c r="CB147" s="151" t="s">
        <v>43</v>
      </c>
      <c r="CC147" s="150" t="s">
        <v>42</v>
      </c>
      <c r="CD147" s="151" t="s">
        <v>43</v>
      </c>
      <c r="CE147" s="150" t="s">
        <v>42</v>
      </c>
      <c r="CF147" s="151" t="s">
        <v>43</v>
      </c>
      <c r="CG147" s="150" t="s">
        <v>42</v>
      </c>
      <c r="CH147" s="151" t="s">
        <v>43</v>
      </c>
      <c r="CI147" s="150" t="s">
        <v>42</v>
      </c>
      <c r="CJ147" s="151" t="s">
        <v>43</v>
      </c>
    </row>
    <row r="148" spans="1:88" x14ac:dyDescent="0.25">
      <c r="A148">
        <v>-5.6</v>
      </c>
      <c r="B148">
        <f t="shared" si="136"/>
        <v>7.0455659815234153</v>
      </c>
      <c r="C148">
        <f t="shared" si="137"/>
        <v>-7.0455659815234153</v>
      </c>
      <c r="D148">
        <f t="shared" si="145"/>
        <v>5.7131427428342798</v>
      </c>
      <c r="E148">
        <f t="shared" si="146"/>
        <v>-5.7131427428342798</v>
      </c>
      <c r="F148">
        <f t="shared" si="24"/>
        <v>4.2</v>
      </c>
      <c r="G148">
        <f t="shared" si="25"/>
        <v>-4.2</v>
      </c>
      <c r="H148">
        <f t="shared" si="74"/>
        <v>2.1540659228538024</v>
      </c>
      <c r="I148">
        <f t="shared" si="75"/>
        <v>-2.1540659228538024</v>
      </c>
      <c r="AN148" s="13" t="s">
        <v>105</v>
      </c>
      <c r="AO148" s="50">
        <f>+DJ120</f>
        <v>15.447210128166809</v>
      </c>
      <c r="AP148" s="51">
        <f>+DK120</f>
        <v>5.8664895277580156</v>
      </c>
      <c r="AQ148" s="52">
        <f>+DJ121</f>
        <v>15.170370789465272</v>
      </c>
      <c r="AR148" s="51">
        <f>+DK121</f>
        <v>1.5091117674162819</v>
      </c>
      <c r="AS148" s="52">
        <f>+DJ122</f>
        <v>13.9252687913333</v>
      </c>
      <c r="AT148" s="51">
        <f>+DK122</f>
        <v>-0.5415753804753205</v>
      </c>
      <c r="AU148" s="52">
        <f>+DJ123</f>
        <v>12.495225784661383</v>
      </c>
      <c r="AV148" s="51">
        <f>+DK123</f>
        <v>-1.8491333257394087</v>
      </c>
      <c r="AW148" s="52">
        <f>+DJ124</f>
        <v>10.997211195505972</v>
      </c>
      <c r="AX148" s="51">
        <f>+DK124</f>
        <v>-2.7937102460189251</v>
      </c>
      <c r="AY148" s="52">
        <f>+DJ125</f>
        <v>9.4643389348438767</v>
      </c>
      <c r="AZ148" s="51">
        <f>+DK125</f>
        <v>-3.5129339306460108</v>
      </c>
      <c r="BA148" s="52">
        <f>+DJ126</f>
        <v>7.9101816263441691</v>
      </c>
      <c r="BB148" s="51">
        <f>+DK126</f>
        <v>-4.0697958999738741</v>
      </c>
      <c r="BC148" s="52">
        <f>+DJ127</f>
        <v>6.3418643967501813</v>
      </c>
      <c r="BD148" s="51">
        <f>+DK127</f>
        <v>-4.4976926632318861</v>
      </c>
      <c r="BE148" s="52">
        <f>+DJ128</f>
        <v>4.763838160119902</v>
      </c>
      <c r="BF148" s="51">
        <f>+DK128</f>
        <v>-4.8160129075246552</v>
      </c>
      <c r="BG148" s="52">
        <f>+DJ129</f>
        <v>3.1792610376260351</v>
      </c>
      <c r="BH148" s="51">
        <f>+DK129</f>
        <v>-5.036524706116456</v>
      </c>
      <c r="BI148" s="52">
        <f>+DJ130</f>
        <v>1.5906095938181593</v>
      </c>
      <c r="BJ148" s="51">
        <f>+DK130</f>
        <v>-5.1663051434165812</v>
      </c>
      <c r="BK148" s="52">
        <f>+DJ131</f>
        <v>3.1909994125405056E-16</v>
      </c>
      <c r="BL148" s="51">
        <f>+DK131</f>
        <v>-5.2091636727869233</v>
      </c>
      <c r="BM148" s="52">
        <f>+DJ132</f>
        <v>-1.5906095938181599</v>
      </c>
      <c r="BN148" s="51">
        <f>+DK132</f>
        <v>-5.1663051434165812</v>
      </c>
      <c r="BO148" s="52">
        <f>+DJ133</f>
        <v>-3.1792610376260346</v>
      </c>
      <c r="BP148" s="51">
        <f>+DK133</f>
        <v>-5.0365247061164569</v>
      </c>
      <c r="BQ148" s="52">
        <f>+DJ134</f>
        <v>-4.7638381601199011</v>
      </c>
      <c r="BR148" s="51">
        <f>+DK134</f>
        <v>-4.8160129075246561</v>
      </c>
      <c r="BS148" s="52">
        <f>+DJ135</f>
        <v>-6.3418643967501813</v>
      </c>
      <c r="BT148" s="51">
        <f>+DK135</f>
        <v>-4.4976926632318852</v>
      </c>
      <c r="BU148" s="52">
        <f>+DJ136</f>
        <v>-7.91018162634417</v>
      </c>
      <c r="BV148" s="51">
        <f>+DK136</f>
        <v>-4.0697958999738733</v>
      </c>
      <c r="BW148" s="52">
        <f>+DJ137</f>
        <v>-9.4643389348438767</v>
      </c>
      <c r="BX148" s="51">
        <f>+DK137</f>
        <v>-3.5129339306460108</v>
      </c>
      <c r="BY148" s="52">
        <f>+DJ138</f>
        <v>-10.997211195505972</v>
      </c>
      <c r="BZ148" s="51">
        <f>+DK138</f>
        <v>-2.7937102460189238</v>
      </c>
      <c r="CA148" s="52">
        <f>+DJ139</f>
        <v>-12.495225784661383</v>
      </c>
      <c r="CB148" s="51">
        <f>+DK139</f>
        <v>-1.8491333257394118</v>
      </c>
      <c r="CC148" s="52">
        <f>+DJ140</f>
        <v>-13.9252687913333</v>
      </c>
      <c r="CD148" s="51">
        <f>+DK140</f>
        <v>-0.54157538047532039</v>
      </c>
      <c r="CE148" s="52">
        <f>+DJ141</f>
        <v>-15.170370789465272</v>
      </c>
      <c r="CF148" s="51">
        <f>+DK141</f>
        <v>1.5091117674162806</v>
      </c>
      <c r="CG148" s="52">
        <f>+DJ142</f>
        <v>-15.447210128166809</v>
      </c>
      <c r="CH148" s="51">
        <f>+DK142</f>
        <v>5.8664895277580156</v>
      </c>
      <c r="CI148" s="52">
        <f>+DJ143</f>
        <v>-3.4772422671388359E-6</v>
      </c>
      <c r="CJ148" s="51">
        <f>+DK143</f>
        <v>17.393163672786564</v>
      </c>
    </row>
    <row r="149" spans="1:88" x14ac:dyDescent="0.25">
      <c r="A149">
        <v>-5.7</v>
      </c>
      <c r="B149">
        <f t="shared" si="136"/>
        <v>6.9649120597463394</v>
      </c>
      <c r="C149">
        <f t="shared" si="137"/>
        <v>-6.9649120597463394</v>
      </c>
      <c r="D149">
        <f t="shared" si="145"/>
        <v>5.6133768802744752</v>
      </c>
      <c r="E149">
        <f t="shared" si="146"/>
        <v>-5.6133768802744752</v>
      </c>
      <c r="F149">
        <f t="shared" si="24"/>
        <v>4.0632499307820087</v>
      </c>
      <c r="G149">
        <f t="shared" si="25"/>
        <v>-4.0632499307820087</v>
      </c>
      <c r="H149">
        <f t="shared" si="74"/>
        <v>1.8734993995195188</v>
      </c>
      <c r="I149">
        <f t="shared" si="75"/>
        <v>-1.8734993995195188</v>
      </c>
      <c r="AN149" t="s">
        <v>104</v>
      </c>
      <c r="AO149" s="50">
        <f>+AV120</f>
        <v>12.975101156585923</v>
      </c>
      <c r="AP149" s="51">
        <f>+AW120</f>
        <v>9.7075383252454799</v>
      </c>
      <c r="AQ149" s="16">
        <f>+AV121</f>
        <v>14.428100067872327</v>
      </c>
      <c r="AR149" s="14">
        <f>+AW121</f>
        <v>4.1866060706101669</v>
      </c>
      <c r="AS149" s="16">
        <f>+AV122</f>
        <v>13.673007082095582</v>
      </c>
      <c r="AT149" s="14">
        <f>+AW122</f>
        <v>1.311905290942623</v>
      </c>
      <c r="AU149" s="52">
        <f>+AV123</f>
        <v>12.417402504704228</v>
      </c>
      <c r="AV149" s="51">
        <f>+AW123</f>
        <v>-0.47050403071482749</v>
      </c>
      <c r="AW149" s="52">
        <f>+AV124</f>
        <v>10.990453038698439</v>
      </c>
      <c r="AX149" s="51">
        <f>+AW124</f>
        <v>-1.7071278454542096</v>
      </c>
      <c r="AY149" s="52">
        <f>+AV125</f>
        <v>9.4868975670639042</v>
      </c>
      <c r="AZ149" s="51">
        <f>+AW125</f>
        <v>-2.616766015055271</v>
      </c>
      <c r="BA149" s="52">
        <f>+AV126</f>
        <v>7.9427188060969565</v>
      </c>
      <c r="BB149" s="51">
        <f>+AW126</f>
        <v>-3.3025120163095778</v>
      </c>
      <c r="BC149" s="52">
        <f>+AV127</f>
        <v>6.3745781167226729</v>
      </c>
      <c r="BD149" s="51">
        <f>+AW127</f>
        <v>-3.819074768232817</v>
      </c>
      <c r="BE149" s="52">
        <f>+AV128</f>
        <v>4.7914718059899393</v>
      </c>
      <c r="BF149" s="51">
        <f>+AW128</f>
        <v>-4.1978666039421961</v>
      </c>
      <c r="BG149" s="52">
        <f>+AV129</f>
        <v>3.1989291170115344</v>
      </c>
      <c r="BH149" s="51">
        <f>+AW129</f>
        <v>-4.4576700187236371</v>
      </c>
      <c r="BI149" s="16">
        <f>+AV130</f>
        <v>1.6007777970337362</v>
      </c>
      <c r="BJ149" s="14">
        <f>+AW130</f>
        <v>-4.6096209042552729</v>
      </c>
      <c r="BK149" s="16">
        <f>+AV131</f>
        <v>2.8543812206334089E-16</v>
      </c>
      <c r="BL149" s="14">
        <f>+AW131</f>
        <v>-4.6596495456484224</v>
      </c>
      <c r="BM149" s="16">
        <f>+AV132</f>
        <v>-1.6007777970337347</v>
      </c>
      <c r="BN149" s="14">
        <f>+AW132</f>
        <v>-4.6096209042552738</v>
      </c>
      <c r="BO149" s="16">
        <f>+AV133</f>
        <v>-3.1989291170115348</v>
      </c>
      <c r="BP149" s="14">
        <f>+AW133</f>
        <v>-4.4576700187236371</v>
      </c>
      <c r="BQ149" s="16">
        <f>+AV134</f>
        <v>-4.7914718059899393</v>
      </c>
      <c r="BR149" s="14">
        <f>+AW134</f>
        <v>-4.197866603942197</v>
      </c>
      <c r="BS149" s="16">
        <f>+AV135</f>
        <v>-6.3745781167226738</v>
      </c>
      <c r="BT149" s="14">
        <f>+AW135</f>
        <v>-3.8190747682328157</v>
      </c>
      <c r="BU149" s="16">
        <f>+AV136</f>
        <v>-7.9427188060969565</v>
      </c>
      <c r="BV149" s="14">
        <f>+AW136</f>
        <v>-3.3025120163095769</v>
      </c>
      <c r="BW149" s="16">
        <f>+AV137</f>
        <v>-9.4868975670639042</v>
      </c>
      <c r="BX149" s="14">
        <f>+AW137</f>
        <v>-2.6167660150552736</v>
      </c>
      <c r="BY149" s="16">
        <f>+AV138</f>
        <v>-10.990453038698439</v>
      </c>
      <c r="BZ149" s="14">
        <f>+AW138</f>
        <v>-1.7071278454542105</v>
      </c>
      <c r="CA149" s="16">
        <f>+AV139</f>
        <v>-12.41740250470423</v>
      </c>
      <c r="CB149" s="14">
        <f>+AW139</f>
        <v>-0.47050403071482649</v>
      </c>
      <c r="CC149" s="16">
        <f>+AV140</f>
        <v>-13.673007082095584</v>
      </c>
      <c r="CD149" s="14">
        <f>+AW140</f>
        <v>1.3119052909426219</v>
      </c>
      <c r="CE149" s="16">
        <f>+AV141</f>
        <v>-14.428100067872325</v>
      </c>
      <c r="CF149" s="14">
        <f>+AW141</f>
        <v>4.186606070610174</v>
      </c>
      <c r="CG149" s="16">
        <f>+AV142</f>
        <v>-12.975101156585922</v>
      </c>
      <c r="CH149" s="14">
        <f>+AW142</f>
        <v>9.7075383252454817</v>
      </c>
      <c r="CI149" s="52" t="e">
        <f>+AV143</f>
        <v>#NUM!</v>
      </c>
      <c r="CJ149" s="51" t="e">
        <f>+AW143</f>
        <v>#NUM!</v>
      </c>
    </row>
    <row r="150" spans="1:88" x14ac:dyDescent="0.25">
      <c r="A150">
        <v>-5.8</v>
      </c>
      <c r="B150">
        <f t="shared" si="136"/>
        <v>6.8818602136341012</v>
      </c>
      <c r="C150">
        <f t="shared" si="137"/>
        <v>-6.8818602136341012</v>
      </c>
      <c r="D150">
        <f t="shared" si="145"/>
        <v>5.5099909255823647</v>
      </c>
      <c r="E150">
        <f t="shared" si="146"/>
        <v>-5.5099909255823647</v>
      </c>
      <c r="F150">
        <f t="shared" ref="F150:F162" si="147">+SQRT(49-A150^2)</f>
        <v>3.9191835884530848</v>
      </c>
      <c r="G150">
        <f t="shared" ref="G150:G162" si="148">-F150</f>
        <v>-3.9191835884530848</v>
      </c>
      <c r="H150">
        <f t="shared" si="74"/>
        <v>1.5362291495737215</v>
      </c>
      <c r="I150">
        <f t="shared" si="75"/>
        <v>-1.5362291495737215</v>
      </c>
      <c r="AN150" t="s">
        <v>103</v>
      </c>
      <c r="AO150" s="50">
        <f>+BG120</f>
        <v>9.3452243760977662</v>
      </c>
      <c r="AP150" s="51">
        <f>+BH120</f>
        <v>12.351288857344832</v>
      </c>
      <c r="AQ150" s="16">
        <f>+BG121</f>
        <v>12.503704486408054</v>
      </c>
      <c r="AR150" s="14">
        <f>+BH121</f>
        <v>7.3401333429712334</v>
      </c>
      <c r="AS150" s="16">
        <f>+BG122</f>
        <v>12.715512199162722</v>
      </c>
      <c r="AT150" s="14">
        <f>+BH122</f>
        <v>3.8892275864721073</v>
      </c>
      <c r="AU150" s="16">
        <f>+BG123</f>
        <v>11.910938158755613</v>
      </c>
      <c r="AV150" s="14">
        <f>+BH123</f>
        <v>1.5901721574216976</v>
      </c>
      <c r="AW150" s="52">
        <f>+BG124</f>
        <v>10.709359084345353</v>
      </c>
      <c r="AX150" s="51">
        <f>+BH124</f>
        <v>-1.7765708874136463E-2</v>
      </c>
      <c r="AY150" s="52">
        <f>+BG125</f>
        <v>9.3266425907843757</v>
      </c>
      <c r="AZ150" s="51">
        <f>+BH125</f>
        <v>-1.1881795743172854</v>
      </c>
      <c r="BA150" s="52">
        <f>+BG126</f>
        <v>7.8505349227251555</v>
      </c>
      <c r="BB150" s="51">
        <f>+BH126</f>
        <v>-2.0577961364005248</v>
      </c>
      <c r="BC150" s="52">
        <f>+BG127</f>
        <v>6.3219057421889273</v>
      </c>
      <c r="BD150" s="51">
        <f>+BH127</f>
        <v>-2.7039695211361687</v>
      </c>
      <c r="BE150" s="52">
        <f>+BG128</f>
        <v>4.7621175617680649</v>
      </c>
      <c r="BF150" s="51">
        <f>+BH128</f>
        <v>-3.1725031675284874</v>
      </c>
      <c r="BG150" s="52">
        <f>+BG129</f>
        <v>3.1835652798692924</v>
      </c>
      <c r="BH150" s="51">
        <f>+BH129</f>
        <v>-3.4911671364102341</v>
      </c>
      <c r="BI150" s="52">
        <f>+BG130</f>
        <v>1.5942481393866368</v>
      </c>
      <c r="BJ150" s="51">
        <f>+BH130</f>
        <v>-3.6765137729703996</v>
      </c>
      <c r="BK150" s="52">
        <f>+BG131</f>
        <v>2.2894168507319601E-16</v>
      </c>
      <c r="BL150" s="51">
        <f>+BH131</f>
        <v>-3.7373705065035905</v>
      </c>
      <c r="BM150" s="52">
        <f>+BG132</f>
        <v>-1.5942481393866366</v>
      </c>
      <c r="BN150" s="51">
        <f>+BH132</f>
        <v>-3.6765137729703996</v>
      </c>
      <c r="BO150" s="52">
        <f>+BG133</f>
        <v>-3.1835652798692937</v>
      </c>
      <c r="BP150" s="51">
        <f>+BH133</f>
        <v>-3.4911671364102332</v>
      </c>
      <c r="BQ150" s="52">
        <f>+BG134</f>
        <v>-4.7621175617680658</v>
      </c>
      <c r="BR150" s="51">
        <f>+BH134</f>
        <v>-3.1725031675284869</v>
      </c>
      <c r="BS150" s="52">
        <f>+BG135</f>
        <v>-6.3219057421889273</v>
      </c>
      <c r="BT150" s="51">
        <f>+BH135</f>
        <v>-2.7039695211361696</v>
      </c>
      <c r="BU150" s="52">
        <f>+BG136</f>
        <v>-7.8505349227251564</v>
      </c>
      <c r="BV150" s="51">
        <f>+BH136</f>
        <v>-2.0577961364005222</v>
      </c>
      <c r="BW150" s="52">
        <f>+BG137</f>
        <v>-9.3266425907843757</v>
      </c>
      <c r="BX150" s="51">
        <f>+BH137</f>
        <v>-1.1881795743172858</v>
      </c>
      <c r="BY150" s="52">
        <f>+BG138</f>
        <v>-10.709359084345353</v>
      </c>
      <c r="BZ150" s="51">
        <f>+BH138</f>
        <v>-1.7765708874136893E-2</v>
      </c>
      <c r="CA150" s="52">
        <f>+BG139</f>
        <v>-11.910938158755613</v>
      </c>
      <c r="CB150" s="51">
        <f>+BH139</f>
        <v>1.5901721574217003</v>
      </c>
      <c r="CC150" s="52">
        <f>+BG140</f>
        <v>-12.715512199162722</v>
      </c>
      <c r="CD150" s="51">
        <f>+BH140</f>
        <v>3.8892275864721073</v>
      </c>
      <c r="CE150" s="52">
        <f>+BG141</f>
        <v>-12.503704486408052</v>
      </c>
      <c r="CF150" s="51">
        <f>+BH141</f>
        <v>7.3401333429712352</v>
      </c>
      <c r="CG150" s="52">
        <f>+BG142</f>
        <v>-9.3452243760977627</v>
      </c>
      <c r="CH150" s="51">
        <f>+BH142</f>
        <v>12.351288857344835</v>
      </c>
      <c r="CI150" s="52" t="e">
        <f>+BG143</f>
        <v>#NUM!</v>
      </c>
      <c r="CJ150" s="51" t="e">
        <f>+BH143</f>
        <v>#NUM!</v>
      </c>
    </row>
    <row r="151" spans="1:88" x14ac:dyDescent="0.25">
      <c r="A151">
        <v>-5.9</v>
      </c>
      <c r="B151">
        <f t="shared" si="136"/>
        <v>6.7963225350184784</v>
      </c>
      <c r="C151">
        <f t="shared" si="137"/>
        <v>-6.7963225350184784</v>
      </c>
      <c r="D151">
        <f t="shared" si="145"/>
        <v>5.4027770636960391</v>
      </c>
      <c r="E151">
        <f t="shared" si="146"/>
        <v>-5.4027770636960391</v>
      </c>
      <c r="F151">
        <f t="shared" si="147"/>
        <v>3.7669616403674722</v>
      </c>
      <c r="G151">
        <f t="shared" si="148"/>
        <v>-3.7669616403674722</v>
      </c>
      <c r="H151">
        <f t="shared" si="74"/>
        <v>1.0908712114635704</v>
      </c>
      <c r="I151">
        <f t="shared" si="75"/>
        <v>-1.0908712114635704</v>
      </c>
      <c r="AN151" t="s">
        <v>102</v>
      </c>
      <c r="AO151" s="50">
        <f>+BR120</f>
        <v>6.3066464707789178</v>
      </c>
      <c r="AP151" s="51">
        <f>+BS120</f>
        <v>12.934962586253297</v>
      </c>
      <c r="AQ151" s="16">
        <f>+BR121</f>
        <v>9.7980708215459078</v>
      </c>
      <c r="AR151" s="14">
        <f>+BS121</f>
        <v>9.4509150484914848</v>
      </c>
      <c r="AS151" s="16">
        <f>+BR122</f>
        <v>10.900324851829213</v>
      </c>
      <c r="AT151" s="14">
        <f>+BS122</f>
        <v>6.2439287637236935</v>
      </c>
      <c r="AU151" s="52">
        <f>+BR123</f>
        <v>10.726162988788303</v>
      </c>
      <c r="AV151" s="51">
        <f>+BS123</f>
        <v>3.7699626627435197</v>
      </c>
      <c r="AW151" s="52">
        <f>+BR124</f>
        <v>9.9200550673093009</v>
      </c>
      <c r="AX151" s="51">
        <f>+BS124</f>
        <v>1.9221712660480537</v>
      </c>
      <c r="AY151" s="52">
        <f>+BR125</f>
        <v>8.7883582682606036</v>
      </c>
      <c r="AZ151" s="51">
        <f>+BS125</f>
        <v>0.53934028205281404</v>
      </c>
      <c r="BA151" s="52">
        <f>+BR126</f>
        <v>7.4782579609816162</v>
      </c>
      <c r="BB151" s="51">
        <f>+BS126</f>
        <v>-0.49877504340216094</v>
      </c>
      <c r="BC151" s="52">
        <f>+BR127</f>
        <v>6.0649626831945911</v>
      </c>
      <c r="BD151" s="51">
        <f>+BS127</f>
        <v>-1.2721013335297824</v>
      </c>
      <c r="BE151" s="52">
        <f>+BR128</f>
        <v>4.5898087062962007</v>
      </c>
      <c r="BF151" s="51">
        <f>+BS128</f>
        <v>-1.8324364394971171</v>
      </c>
      <c r="BG151" s="52">
        <f>+BR129</f>
        <v>3.077355290895408</v>
      </c>
      <c r="BH151" s="51">
        <f>+BS129</f>
        <v>-2.2128940080973147</v>
      </c>
      <c r="BI151" s="52">
        <f>+BR130</f>
        <v>1.5435540171470266</v>
      </c>
      <c r="BJ151" s="51">
        <f>+BS130</f>
        <v>-2.4338374353420646</v>
      </c>
      <c r="BK151" s="52">
        <f>+BR131</f>
        <v>1.5353055534212649E-16</v>
      </c>
      <c r="BL151" s="51">
        <f>+BS131</f>
        <v>-2.5063175768944319</v>
      </c>
      <c r="BM151" s="52">
        <f>+BR132</f>
        <v>-1.5435540171470266</v>
      </c>
      <c r="BN151" s="51">
        <f>+BS132</f>
        <v>-2.4338374353420642</v>
      </c>
      <c r="BO151" s="52">
        <f>+BR133</f>
        <v>-3.0773552908954072</v>
      </c>
      <c r="BP151" s="51">
        <f>+BS133</f>
        <v>-2.2128940080973156</v>
      </c>
      <c r="BQ151" s="52">
        <f>+BR134</f>
        <v>-4.5898087062962007</v>
      </c>
      <c r="BR151" s="51">
        <f>+BS134</f>
        <v>-1.8324364394971171</v>
      </c>
      <c r="BS151" s="52">
        <f>+BR135</f>
        <v>-6.0649626831945911</v>
      </c>
      <c r="BT151" s="51">
        <f>+BS135</f>
        <v>-1.2721013335297828</v>
      </c>
      <c r="BU151" s="52">
        <f>+BR136</f>
        <v>-7.4782579609816162</v>
      </c>
      <c r="BV151" s="51">
        <f>+BS136</f>
        <v>-0.49877504340215972</v>
      </c>
      <c r="BW151" s="52">
        <f>+BR137</f>
        <v>-8.7883582682606036</v>
      </c>
      <c r="BX151" s="51">
        <f>+BS137</f>
        <v>0.53934028205281592</v>
      </c>
      <c r="BY151" s="52">
        <f>+BR138</f>
        <v>-9.9200550673093009</v>
      </c>
      <c r="BZ151" s="51">
        <f>+BS138</f>
        <v>1.9221712660480583</v>
      </c>
      <c r="CA151" s="52">
        <f>+BR139</f>
        <v>-10.726162988788303</v>
      </c>
      <c r="CB151" s="51">
        <f>+BS139</f>
        <v>3.7699626627435183</v>
      </c>
      <c r="CC151" s="52">
        <f>+BR140</f>
        <v>-10.900324851829215</v>
      </c>
      <c r="CD151" s="51">
        <f>+BS140</f>
        <v>6.24392876372369</v>
      </c>
      <c r="CE151" s="52">
        <f>+BR141</f>
        <v>-9.7980708215459078</v>
      </c>
      <c r="CF151" s="51">
        <f>+BS141</f>
        <v>9.4509150484914848</v>
      </c>
      <c r="CG151" s="52">
        <f>+BR142</f>
        <v>-6.3066464707789134</v>
      </c>
      <c r="CH151" s="51">
        <f>+BS142</f>
        <v>12.934962586253297</v>
      </c>
      <c r="CI151" s="52" t="e">
        <f>+BR143</f>
        <v>#NUM!</v>
      </c>
      <c r="CJ151" s="51" t="e">
        <f>+BS143</f>
        <v>#NUM!</v>
      </c>
    </row>
    <row r="152" spans="1:88" x14ac:dyDescent="0.25">
      <c r="A152">
        <v>-6</v>
      </c>
      <c r="B152">
        <f t="shared" si="136"/>
        <v>6.7082039324993694</v>
      </c>
      <c r="C152">
        <f t="shared" si="137"/>
        <v>-6.7082039324993694</v>
      </c>
      <c r="D152">
        <f t="shared" si="145"/>
        <v>5.2915026221291814</v>
      </c>
      <c r="E152">
        <f t="shared" si="146"/>
        <v>-5.2915026221291814</v>
      </c>
      <c r="F152">
        <f t="shared" si="147"/>
        <v>3.6055512754639891</v>
      </c>
      <c r="G152">
        <f t="shared" si="148"/>
        <v>-3.6055512754639891</v>
      </c>
      <c r="H152">
        <f t="shared" si="74"/>
        <v>0</v>
      </c>
      <c r="I152">
        <f t="shared" si="75"/>
        <v>0</v>
      </c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44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44"/>
      <c r="AI152" s="13"/>
      <c r="AJ152" s="13"/>
      <c r="AK152" s="13"/>
      <c r="AL152" s="13"/>
      <c r="AM152" s="13"/>
      <c r="AN152" t="s">
        <v>101</v>
      </c>
      <c r="AO152" s="50">
        <f>+CC120</f>
        <v>4.6246618464143561</v>
      </c>
      <c r="AP152" s="51">
        <f>+CD120</f>
        <v>12.543949762618187</v>
      </c>
      <c r="AQ152" s="16">
        <f>+CC121</f>
        <v>7.7375712504447289</v>
      </c>
      <c r="AR152" s="14">
        <f>+CD121</f>
        <v>10.112496348117856</v>
      </c>
      <c r="AS152" s="54">
        <f>+CC122</f>
        <v>9.1611247768654742</v>
      </c>
      <c r="AT152" s="53">
        <f>+CD122</f>
        <v>7.465484812158083</v>
      </c>
      <c r="AU152" s="52">
        <f>+CC123</f>
        <v>9.4047967545686468</v>
      </c>
      <c r="AV152" s="51">
        <f>+CD123</f>
        <v>5.1645332196132978</v>
      </c>
      <c r="AW152" s="52">
        <f>+CC124</f>
        <v>8.9416074768578966</v>
      </c>
      <c r="AX152" s="51">
        <f>+CD124</f>
        <v>3.3172242904691451</v>
      </c>
      <c r="AY152" s="52">
        <f>+CC125</f>
        <v>8.0667743759958661</v>
      </c>
      <c r="AZ152" s="51">
        <f>+CD125</f>
        <v>1.8759482527650697</v>
      </c>
      <c r="BA152" s="52">
        <f>+CC126</f>
        <v>6.9482491884736275</v>
      </c>
      <c r="BB152" s="51">
        <f>+CD126</f>
        <v>0.76795237286723683</v>
      </c>
      <c r="BC152" s="52">
        <f>+CC127</f>
        <v>5.681673954671612</v>
      </c>
      <c r="BD152" s="51">
        <f>+CD127</f>
        <v>-6.8641989673889181E-2</v>
      </c>
      <c r="BE152" s="52">
        <f>+CC128</f>
        <v>4.3235372056031043</v>
      </c>
      <c r="BF152" s="51">
        <f>+CD128</f>
        <v>-0.67945035312016167</v>
      </c>
      <c r="BG152" s="52">
        <f>+CC129</f>
        <v>2.9090953902894121</v>
      </c>
      <c r="BH152" s="51">
        <f>+CD129</f>
        <v>-1.0959270054663139</v>
      </c>
      <c r="BI152" s="52">
        <f>+CC130</f>
        <v>1.4620437645376918</v>
      </c>
      <c r="BJ152" s="51">
        <f>+CD130</f>
        <v>-1.3383201044311768</v>
      </c>
      <c r="BK152" s="52">
        <f>+CC131</f>
        <v>8.6857589127052893E-17</v>
      </c>
      <c r="BL152" s="51">
        <f>+CD131</f>
        <v>-1.417911254412533</v>
      </c>
      <c r="BM152" s="52">
        <f>+CC132</f>
        <v>-1.4620437645376916</v>
      </c>
      <c r="BN152" s="51">
        <f>+CD132</f>
        <v>-1.338320104431177</v>
      </c>
      <c r="BO152" s="52">
        <f>+CC133</f>
        <v>-2.9090953902894121</v>
      </c>
      <c r="BP152" s="51">
        <f>+CD133</f>
        <v>-1.0959270054663137</v>
      </c>
      <c r="BQ152" s="52">
        <f>+CC134</f>
        <v>-4.3235372056031043</v>
      </c>
      <c r="BR152" s="51">
        <f>+CD134</f>
        <v>-0.67945035312016244</v>
      </c>
      <c r="BS152" s="52">
        <f>+CC135</f>
        <v>-5.681673954671612</v>
      </c>
      <c r="BT152" s="51">
        <f>+CD135</f>
        <v>-6.8641989673888751E-2</v>
      </c>
      <c r="BU152" s="52">
        <f>+CC136</f>
        <v>-6.9482491884736275</v>
      </c>
      <c r="BV152" s="51">
        <f>+CD136</f>
        <v>0.76795237286723794</v>
      </c>
      <c r="BW152" s="52">
        <f>+CC137</f>
        <v>-8.0667743759958661</v>
      </c>
      <c r="BX152" s="51">
        <f>+CD137</f>
        <v>1.8759482527650715</v>
      </c>
      <c r="BY152" s="52">
        <f>+CC138</f>
        <v>-8.9416074768578948</v>
      </c>
      <c r="BZ152" s="51">
        <f>+CD138</f>
        <v>3.317224290469146</v>
      </c>
      <c r="CA152" s="52">
        <f>+CC139</f>
        <v>-9.4047967545686433</v>
      </c>
      <c r="CB152" s="51">
        <f>+CD139</f>
        <v>5.1645332196133023</v>
      </c>
      <c r="CC152" s="52">
        <f>+CC140</f>
        <v>-9.1611247768654742</v>
      </c>
      <c r="CD152" s="51">
        <f>+CD140</f>
        <v>7.4654848121580821</v>
      </c>
      <c r="CE152" s="52">
        <f>+CC141</f>
        <v>-7.7375712504447289</v>
      </c>
      <c r="CF152" s="51">
        <f>+CD141</f>
        <v>10.112496348117856</v>
      </c>
      <c r="CG152" s="52">
        <f>+CC142</f>
        <v>-4.6246618464143543</v>
      </c>
      <c r="CH152" s="51">
        <f>+CD142</f>
        <v>12.543949762618189</v>
      </c>
      <c r="CI152" s="52" t="e">
        <f>+CC143</f>
        <v>#NUM!</v>
      </c>
      <c r="CJ152" s="51" t="e">
        <f>+CD143</f>
        <v>#NUM!</v>
      </c>
    </row>
    <row r="153" spans="1:88" x14ac:dyDescent="0.25">
      <c r="A153">
        <v>-6.1</v>
      </c>
      <c r="B153">
        <f t="shared" si="136"/>
        <v>6.6174013026262815</v>
      </c>
      <c r="C153">
        <f t="shared" si="137"/>
        <v>-6.6174013026262815</v>
      </c>
      <c r="D153">
        <f t="shared" si="145"/>
        <v>5.1759057178430137</v>
      </c>
      <c r="E153">
        <f t="shared" si="146"/>
        <v>-5.1759057178430137</v>
      </c>
      <c r="F153">
        <f t="shared" si="147"/>
        <v>3.4336569426778802</v>
      </c>
      <c r="G153">
        <f t="shared" si="148"/>
        <v>-3.4336569426778802</v>
      </c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44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44"/>
      <c r="AI153" s="13"/>
      <c r="AJ153" s="13"/>
      <c r="AK153" s="13"/>
      <c r="AL153" s="13"/>
      <c r="AM153" s="13"/>
      <c r="AN153" t="s">
        <v>100</v>
      </c>
      <c r="AO153" s="50">
        <f>+CN120</f>
        <v>3.8051375694932532</v>
      </c>
      <c r="AP153" s="51">
        <f>+CO120</f>
        <v>12.103622154833769</v>
      </c>
      <c r="AQ153" s="16">
        <f>+CN121</f>
        <v>6.5764349434517442</v>
      </c>
      <c r="AR153" s="14">
        <f>+CO121</f>
        <v>10.189703827679988</v>
      </c>
      <c r="AS153" s="54">
        <f>+CN122</f>
        <v>8.0435813417555835</v>
      </c>
      <c r="AT153" s="53">
        <f>+CO122</f>
        <v>7.934005980337246</v>
      </c>
      <c r="AU153" s="52">
        <f>+CN123</f>
        <v>8.470025064497646</v>
      </c>
      <c r="AV153" s="51">
        <f>+CO123</f>
        <v>5.8370442656484753</v>
      </c>
      <c r="AW153" s="52">
        <f>+CN124</f>
        <v>8.2010873559628532</v>
      </c>
      <c r="AX153" s="51">
        <f>+CO124</f>
        <v>4.0719286416399205</v>
      </c>
      <c r="AY153" s="52">
        <f>+CN125</f>
        <v>7.4939503996922818</v>
      </c>
      <c r="AZ153" s="51">
        <f>+CO125</f>
        <v>2.6513500426204568</v>
      </c>
      <c r="BA153" s="52">
        <f>+CN126</f>
        <v>6.5128329273581409</v>
      </c>
      <c r="BB153" s="51">
        <f>+CO126</f>
        <v>1.5373408369743473</v>
      </c>
      <c r="BC153" s="52">
        <f>+CN127</f>
        <v>5.3589112820436533</v>
      </c>
      <c r="BD153" s="51">
        <f>+CO127</f>
        <v>0.68552167573681089</v>
      </c>
      <c r="BE153" s="52">
        <f>+CN128</f>
        <v>4.0953514088422205</v>
      </c>
      <c r="BF153" s="51">
        <f>+CO128</f>
        <v>5.8631501008162723E-2</v>
      </c>
      <c r="BG153" s="52">
        <f>+CN129</f>
        <v>2.7632024243694069</v>
      </c>
      <c r="BH153" s="51">
        <f>+CO129</f>
        <v>-0.37090968772972588</v>
      </c>
      <c r="BI153" s="52">
        <f>+CN130</f>
        <v>1.3908903010032683</v>
      </c>
      <c r="BJ153" s="51">
        <f>+CO130</f>
        <v>-0.62161206557584159</v>
      </c>
      <c r="BK153" s="52">
        <f>+CN131</f>
        <v>4.312752546919713E-17</v>
      </c>
      <c r="BL153" s="51">
        <f>+CO131</f>
        <v>-0.70403754412625652</v>
      </c>
      <c r="BM153" s="52">
        <f>+CN132</f>
        <v>-1.3908903010032683</v>
      </c>
      <c r="BN153" s="51">
        <f>+CO132</f>
        <v>-0.62161206557584214</v>
      </c>
      <c r="BO153" s="52">
        <f>+CN133</f>
        <v>-2.7632024243694073</v>
      </c>
      <c r="BP153" s="51">
        <f>+CO133</f>
        <v>-0.37090968772972527</v>
      </c>
      <c r="BQ153" s="52">
        <f>+CN134</f>
        <v>-4.0953514088422205</v>
      </c>
      <c r="BR153" s="51">
        <f>+CO134</f>
        <v>5.8631501008163472E-2</v>
      </c>
      <c r="BS153" s="52">
        <f>+CN135</f>
        <v>-5.3589112820436533</v>
      </c>
      <c r="BT153" s="51">
        <f>+CO135</f>
        <v>0.68552167573681033</v>
      </c>
      <c r="BU153" s="52">
        <f>+CN136</f>
        <v>-6.5128329273581409</v>
      </c>
      <c r="BV153" s="51">
        <f>+CO136</f>
        <v>1.5373408369743473</v>
      </c>
      <c r="BW153" s="52">
        <f>+CN137</f>
        <v>-7.4939503996922818</v>
      </c>
      <c r="BX153" s="51">
        <f>+CO137</f>
        <v>2.6513500426204546</v>
      </c>
      <c r="BY153" s="52">
        <f>+CN138</f>
        <v>-8.2010873559628497</v>
      </c>
      <c r="BZ153" s="51">
        <f>+CO138</f>
        <v>4.0719286416399241</v>
      </c>
      <c r="CA153" s="52">
        <f>+CN139</f>
        <v>-8.470025064497646</v>
      </c>
      <c r="CB153" s="51">
        <f>+CO139</f>
        <v>5.8370442656484762</v>
      </c>
      <c r="CC153" s="52">
        <f>+CN140</f>
        <v>-8.0435813417555835</v>
      </c>
      <c r="CD153" s="51">
        <f>+CO140</f>
        <v>7.934005980337246</v>
      </c>
      <c r="CE153" s="52">
        <f>+CN141</f>
        <v>-6.5764349434517442</v>
      </c>
      <c r="CF153" s="51">
        <f>+CO141</f>
        <v>10.189703827679987</v>
      </c>
      <c r="CG153" s="52">
        <f>+CN142</f>
        <v>-3.805137569493255</v>
      </c>
      <c r="CH153" s="51">
        <f>+CO142</f>
        <v>12.103622154833769</v>
      </c>
      <c r="CI153" s="52" t="e">
        <f>+CN143</f>
        <v>#NUM!</v>
      </c>
      <c r="CJ153" s="51" t="e">
        <f>+CO143</f>
        <v>#NUM!</v>
      </c>
    </row>
    <row r="154" spans="1:88" x14ac:dyDescent="0.25">
      <c r="A154">
        <v>-6.2</v>
      </c>
      <c r="B154">
        <f t="shared" si="136"/>
        <v>6.5238025721200357</v>
      </c>
      <c r="C154">
        <f t="shared" si="137"/>
        <v>-6.5238025721200357</v>
      </c>
      <c r="D154">
        <f t="shared" si="145"/>
        <v>5.0556898639058145</v>
      </c>
      <c r="E154">
        <f t="shared" si="146"/>
        <v>-5.0556898639058145</v>
      </c>
      <c r="F154">
        <f t="shared" si="147"/>
        <v>3.2496153618543833</v>
      </c>
      <c r="G154">
        <f t="shared" si="148"/>
        <v>-3.2496153618543833</v>
      </c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44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44"/>
      <c r="AI154" s="13"/>
      <c r="AJ154" s="13"/>
      <c r="AK154" s="13"/>
      <c r="AL154" s="13"/>
      <c r="AM154" s="13"/>
      <c r="AN154" t="s">
        <v>99</v>
      </c>
      <c r="AO154" s="50">
        <f>+CY120</f>
        <v>3.6620217035873996</v>
      </c>
      <c r="AP154" s="51">
        <f>+CZ120</f>
        <v>12.006240275525695</v>
      </c>
      <c r="AQ154" s="16">
        <f>+CY121</f>
        <v>6.3632320452066073</v>
      </c>
      <c r="AR154" s="14">
        <f>+CZ121</f>
        <v>10.181234334478219</v>
      </c>
      <c r="AS154" s="54">
        <f>+CY122</f>
        <v>7.8276943609688994</v>
      </c>
      <c r="AT154" s="53">
        <f>+CZ122</f>
        <v>8.0010388861109352</v>
      </c>
      <c r="AU154" s="52">
        <f>+CY123</f>
        <v>8.2820325453967421</v>
      </c>
      <c r="AV154" s="51">
        <f>+CZ123</f>
        <v>5.9493612839922481</v>
      </c>
      <c r="AW154" s="52">
        <f>+CY124</f>
        <v>8.0477243653167001</v>
      </c>
      <c r="AX154" s="51">
        <f>+CZ124</f>
        <v>4.2065022741069811</v>
      </c>
      <c r="AY154" s="52">
        <f>+CY125</f>
        <v>7.3728011230173927</v>
      </c>
      <c r="AZ154" s="51">
        <f>+CZ125</f>
        <v>2.7949575952418426</v>
      </c>
      <c r="BA154" s="52">
        <f>+CY126</f>
        <v>6.4193538234426155</v>
      </c>
      <c r="BB154" s="51">
        <f>+CZ126</f>
        <v>1.6833583727711796</v>
      </c>
      <c r="BC154" s="52">
        <f>+CY127</f>
        <v>5.2888743491714614</v>
      </c>
      <c r="BD154" s="51">
        <f>+CZ127</f>
        <v>0.83101995755279379</v>
      </c>
      <c r="BE154" s="52">
        <f>+CY128</f>
        <v>4.0454667905311457</v>
      </c>
      <c r="BF154" s="51">
        <f>+CZ128</f>
        <v>0.20261451930685959</v>
      </c>
      <c r="BG154" s="52">
        <f>+CY129</f>
        <v>2.731150994716121</v>
      </c>
      <c r="BH154" s="51">
        <f>+CZ129</f>
        <v>-0.22845695384356915</v>
      </c>
      <c r="BI154" s="52">
        <f>+CY130</f>
        <v>1.3752146338471711</v>
      </c>
      <c r="BJ154" s="51">
        <f>+CZ130</f>
        <v>-0.48022136807352639</v>
      </c>
      <c r="BK154" s="52">
        <f>+CY131</f>
        <v>3.4489259230131462E-17</v>
      </c>
      <c r="BL154" s="51">
        <f>+CZ131</f>
        <v>-0.56302171531863721</v>
      </c>
      <c r="BM154" s="52">
        <f>+CY132</f>
        <v>-1.3752146338471709</v>
      </c>
      <c r="BN154" s="51">
        <f>+CZ132</f>
        <v>-0.48022136807352689</v>
      </c>
      <c r="BO154" s="52">
        <f>+CY133</f>
        <v>-2.731150994716121</v>
      </c>
      <c r="BP154" s="51">
        <f>+CZ133</f>
        <v>-0.22845695384356787</v>
      </c>
      <c r="BQ154" s="52">
        <f>+CY134</f>
        <v>-4.0454667905311457</v>
      </c>
      <c r="BR154" s="51">
        <f>+CZ134</f>
        <v>0.20261451930686047</v>
      </c>
      <c r="BS154" s="52">
        <f>+CY135</f>
        <v>-5.2888743491714614</v>
      </c>
      <c r="BT154" s="51">
        <f>+CZ135</f>
        <v>0.83101995755279434</v>
      </c>
      <c r="BU154" s="52">
        <f>+CY136</f>
        <v>-6.4193538234426146</v>
      </c>
      <c r="BV154" s="51">
        <f>+CZ136</f>
        <v>1.6833583727711809</v>
      </c>
      <c r="BW154" s="52">
        <f>+CY137</f>
        <v>-7.3728011230173927</v>
      </c>
      <c r="BX154" s="51">
        <f>+CZ137</f>
        <v>2.7949575952418431</v>
      </c>
      <c r="BY154" s="52">
        <f>+CY138</f>
        <v>-8.0477243653167001</v>
      </c>
      <c r="BZ154" s="51">
        <f>+CZ138</f>
        <v>4.2065022741069811</v>
      </c>
      <c r="CA154" s="52">
        <f>+CY139</f>
        <v>-8.2820325453967403</v>
      </c>
      <c r="CB154" s="51">
        <f>+CZ139</f>
        <v>5.9493612839922516</v>
      </c>
      <c r="CC154" s="52">
        <f>+CY140</f>
        <v>-7.8276943609689011</v>
      </c>
      <c r="CD154" s="51">
        <f>+CZ140</f>
        <v>8.0010388861109334</v>
      </c>
      <c r="CE154" s="52">
        <f>+CY141</f>
        <v>-6.3632320452066082</v>
      </c>
      <c r="CF154" s="51">
        <f>+CZ141</f>
        <v>10.181234334478219</v>
      </c>
      <c r="CG154" s="52">
        <f>+CY142</f>
        <v>-3.6620217035873983</v>
      </c>
      <c r="CH154" s="51">
        <f>+CZ142</f>
        <v>12.006240275525695</v>
      </c>
      <c r="CI154" s="52">
        <f>+CY143</f>
        <v>7.8084969796046266E-16</v>
      </c>
      <c r="CJ154" s="51">
        <f>+CZ143</f>
        <v>12.747021715318635</v>
      </c>
    </row>
    <row r="155" spans="1:88" x14ac:dyDescent="0.25">
      <c r="A155">
        <v>-6.3</v>
      </c>
      <c r="B155">
        <f t="shared" si="136"/>
        <v>6.4272855856885656</v>
      </c>
      <c r="C155">
        <f t="shared" si="137"/>
        <v>-6.4272855856885656</v>
      </c>
      <c r="D155">
        <f t="shared" si="145"/>
        <v>4.9305172142484199</v>
      </c>
      <c r="E155">
        <f t="shared" si="146"/>
        <v>-4.9305172142484199</v>
      </c>
      <c r="F155">
        <f t="shared" si="147"/>
        <v>3.0512292604784719</v>
      </c>
      <c r="G155">
        <f t="shared" si="148"/>
        <v>-3.0512292604784719</v>
      </c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44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44"/>
      <c r="AI155" s="13"/>
      <c r="AJ155" s="13"/>
      <c r="AK155" s="13"/>
      <c r="AL155" s="13"/>
      <c r="AM155" s="13"/>
      <c r="AO155" s="152" t="s">
        <v>89</v>
      </c>
      <c r="AP155" s="151" t="s">
        <v>93</v>
      </c>
      <c r="AQ155" s="150" t="s">
        <v>89</v>
      </c>
      <c r="AR155" s="151" t="s">
        <v>93</v>
      </c>
      <c r="AS155" s="150" t="s">
        <v>89</v>
      </c>
      <c r="AT155" s="151" t="s">
        <v>93</v>
      </c>
      <c r="AU155" s="150" t="s">
        <v>89</v>
      </c>
      <c r="AV155" s="151" t="s">
        <v>93</v>
      </c>
      <c r="AW155" s="150" t="s">
        <v>89</v>
      </c>
      <c r="AX155" s="151" t="s">
        <v>93</v>
      </c>
      <c r="AY155" s="150" t="s">
        <v>89</v>
      </c>
      <c r="AZ155" s="151" t="s">
        <v>93</v>
      </c>
      <c r="BA155" s="150" t="s">
        <v>89</v>
      </c>
      <c r="BB155" s="151" t="s">
        <v>93</v>
      </c>
      <c r="BC155" s="150" t="s">
        <v>89</v>
      </c>
      <c r="BD155" s="151" t="s">
        <v>93</v>
      </c>
      <c r="BE155" s="150" t="s">
        <v>89</v>
      </c>
      <c r="BF155" s="151" t="s">
        <v>93</v>
      </c>
      <c r="BG155" s="150" t="s">
        <v>89</v>
      </c>
      <c r="BH155" s="151" t="s">
        <v>93</v>
      </c>
      <c r="BI155" s="150" t="s">
        <v>89</v>
      </c>
      <c r="BJ155" s="151" t="s">
        <v>93</v>
      </c>
      <c r="BK155" s="150" t="s">
        <v>89</v>
      </c>
      <c r="BL155" s="151" t="s">
        <v>93</v>
      </c>
      <c r="BM155" s="150" t="s">
        <v>89</v>
      </c>
      <c r="BN155" s="151" t="s">
        <v>93</v>
      </c>
      <c r="BO155" s="150" t="s">
        <v>89</v>
      </c>
      <c r="BP155" s="151" t="s">
        <v>93</v>
      </c>
      <c r="BQ155" s="150" t="s">
        <v>89</v>
      </c>
      <c r="BR155" s="151" t="s">
        <v>93</v>
      </c>
      <c r="BS155" s="150" t="s">
        <v>89</v>
      </c>
      <c r="BT155" s="151" t="s">
        <v>93</v>
      </c>
      <c r="BU155" s="150" t="s">
        <v>89</v>
      </c>
      <c r="BV155" s="151" t="s">
        <v>93</v>
      </c>
      <c r="BW155" s="150" t="s">
        <v>89</v>
      </c>
      <c r="BX155" s="151" t="s">
        <v>93</v>
      </c>
      <c r="BY155" s="150" t="s">
        <v>89</v>
      </c>
      <c r="BZ155" s="151" t="s">
        <v>93</v>
      </c>
      <c r="CA155" s="150" t="s">
        <v>89</v>
      </c>
      <c r="CB155" s="151" t="s">
        <v>93</v>
      </c>
      <c r="CC155" s="150" t="s">
        <v>89</v>
      </c>
      <c r="CD155" s="151" t="s">
        <v>93</v>
      </c>
      <c r="CE155" s="150" t="s">
        <v>89</v>
      </c>
      <c r="CF155" s="151" t="s">
        <v>93</v>
      </c>
      <c r="CG155" s="150" t="s">
        <v>89</v>
      </c>
      <c r="CH155" s="151" t="s">
        <v>93</v>
      </c>
      <c r="CI155" s="150" t="s">
        <v>89</v>
      </c>
      <c r="CJ155" s="151" t="s">
        <v>93</v>
      </c>
    </row>
    <row r="156" spans="1:88" x14ac:dyDescent="0.25">
      <c r="A156">
        <v>-6.4</v>
      </c>
      <c r="B156">
        <f t="shared" si="136"/>
        <v>6.327716807822549</v>
      </c>
      <c r="C156">
        <f t="shared" si="137"/>
        <v>-6.327716807822549</v>
      </c>
      <c r="D156">
        <f t="shared" si="145"/>
        <v>4.7999999999999989</v>
      </c>
      <c r="E156">
        <f t="shared" si="146"/>
        <v>-4.7999999999999989</v>
      </c>
      <c r="F156">
        <f t="shared" si="147"/>
        <v>2.8354893757515636</v>
      </c>
      <c r="G156">
        <f t="shared" si="148"/>
        <v>-2.8354893757515636</v>
      </c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44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44"/>
      <c r="AI156" s="13"/>
      <c r="AJ156" s="13"/>
      <c r="AK156" s="13"/>
      <c r="AL156" s="13"/>
      <c r="AM156" s="13"/>
      <c r="AN156" s="13" t="s">
        <v>105</v>
      </c>
      <c r="AO156" s="13">
        <f t="shared" ref="AO156:AO161" si="149">+IF(AO157=0,0,IF(SQRT((AO148^2)+(AP148^2))&gt;9,9,SQRT((AO148^2)+(AP148^2))))</f>
        <v>0</v>
      </c>
      <c r="AP156" s="14">
        <f t="shared" ref="AP156:AP161" si="150">+IF(SQRT((AO148^2)+(AP148^2))&gt;9,(9-AO157)*(DEGREES(ATAN2(AO148,AP148))-AP157)/(SQRT((AO148^2)+(AP148^2))-AO157)+AP157,DEGREES(ATAN2(AO148,AP148)))</f>
        <v>32.496582487576674</v>
      </c>
      <c r="AQ156" s="16">
        <f t="shared" ref="AQ156:AQ161" si="151">+IF(AQ157=0,0,IF(SQRT((AQ148^2)+(AR148^2))&gt;9,9,SQRT((AQ148^2)+(AR148^2))))</f>
        <v>0</v>
      </c>
      <c r="AR156" s="14">
        <f t="shared" ref="AR156:AR161" si="152">+IF(SQRT((AQ148^2)+(AR148^2))&gt;9,(9-AQ157)*(DEGREES(ATAN2(AQ148,AR148))-AR157)/(SQRT((AQ148^2)+(AR148^2))-AQ157)+AR157,DEGREES(ATAN2(AQ148,AR148)))</f>
        <v>13.375755307618185</v>
      </c>
      <c r="AS156" s="16">
        <f t="shared" ref="AS156:AS161" si="153">+IF(AS157=0,0,IF(SQRT((AS148^2)+(AT148^2))&gt;9,9,SQRT((AS148^2)+(AT148^2))))</f>
        <v>0</v>
      </c>
      <c r="AT156" s="14">
        <f t="shared" ref="AT156:AT161" si="154">+IF(SQRT((AS148^2)+(AT148^2))&gt;9,(9-AS157)*(DEGREES(ATAN2(AS148,AT148))-AT157)/(SQRT((AS148^2)+(AT148^2))-AS157)+AT157,DEGREES(ATAN2(AS148,AT148)))</f>
        <v>2.5352484991192732</v>
      </c>
      <c r="AU156" s="16">
        <f t="shared" ref="AU156:AU161" si="155">+IF(AU157=0,0,IF(SQRT((AU148^2)+(AV148^2))&gt;9,9,SQRT((AU148^2)+(AV148^2))))</f>
        <v>0</v>
      </c>
      <c r="AV156" s="14">
        <f t="shared" ref="AV156:AV161" si="156">+IF(SQRT((AU148^2)+(AV148^2))&gt;9,(9-AU157)*(DEGREES(ATAN2(AU148,AV148))-AV157)/(SQRT((AU148^2)+(AV148^2))-AU157)+AV157,DEGREES(ATAN2(AU148,AV148)))</f>
        <v>-5.5699313806001207</v>
      </c>
      <c r="AW156" s="16">
        <f t="shared" ref="AW156:AW161" si="157">+IF(AW157=0,0,IF(SQRT((AW148^2)+(AX148^2))&gt;9,9,SQRT((AW148^2)+(AX148^2))))</f>
        <v>0</v>
      </c>
      <c r="AX156" s="14">
        <f t="shared" ref="AX156:AX161" si="158">+IF(SQRT((AW148^2)+(AX148^2))&gt;9,(9-AW157)*(DEGREES(ATAN2(AW148,AX148))-AX157)/(SQRT((AW148^2)+(AX148^2))-AW157)+AX157,DEGREES(ATAN2(AW148,AX148)))</f>
        <v>-12.710916745018331</v>
      </c>
      <c r="AY156" s="16">
        <f t="shared" ref="AY156:AY161" si="159">+IF(AY157=0,0,IF(SQRT((AY148^2)+(AZ148^2))&gt;9,9,SQRT((AY148^2)+(AZ148^2))))</f>
        <v>9</v>
      </c>
      <c r="AZ156" s="14">
        <f t="shared" ref="AZ156:AZ161" si="160">+IF(SQRT((AY148^2)+(AZ148^2))&gt;9,(9-AY157)*(DEGREES(ATAN2(AY148,AZ148))-AZ157)/(SQRT((AY148^2)+(AZ148^2))-AY157)+AZ157,DEGREES(ATAN2(AY148,AZ148)))</f>
        <v>-7.8334010068008553E-3</v>
      </c>
      <c r="BA156" s="16">
        <f t="shared" ref="BA156:BA161" si="161">+IF(BA157=0,0,IF(SQRT((BA148^2)+(BB148^2))&gt;9,9,SQRT((BA148^2)+(BB148^2))))</f>
        <v>8.8957412298918097</v>
      </c>
      <c r="BB156" s="14">
        <f t="shared" ref="BB156:BB161" si="162">+IF(SQRT((BA148^2)+(BB148^2))&gt;9,(9-BA157)*(DEGREES(ATAN2(BA148,BB148))-BB157)/(SQRT((BA148^2)+(BB148^2))-BA157)+BB157,DEGREES(ATAN2(BA148,BB148)))</f>
        <v>-27.225862979151785</v>
      </c>
      <c r="BC156" s="16">
        <f t="shared" ref="BC156:BC161" si="163">+IF(BC157=0,0,IF(SQRT((BC148^2)+(BD148^2))&gt;9,9,SQRT((BC148^2)+(BD148^2))))</f>
        <v>7.7748622701407051</v>
      </c>
      <c r="BD156" s="14">
        <f t="shared" ref="BD156:BD161" si="164">+IF(SQRT((BC148^2)+(BD148^2))&gt;9,(9-BC157)*(DEGREES(ATAN2(BC148,BD148))-BD157)/(SQRT((BC148^2)+(BD148^2))-BC157)+BD157,DEGREES(ATAN2(BC148,BD148)))</f>
        <v>-35.344520952247308</v>
      </c>
      <c r="BE156" s="16">
        <f t="shared" ref="BE156:BE161" si="165">+IF(BE157=0,0,IF(SQRT((BE148^2)+(BF148^2))&gt;9,9,SQRT((BE148^2)+(BF148^2))))</f>
        <v>6.7740781174458462</v>
      </c>
      <c r="BF156" s="14">
        <f t="shared" ref="BF156:BF161" si="166">+IF(SQRT((BE148^2)+(BF148^2))&gt;9,(9-BE157)*(DEGREES(ATAN2(BE148,BF148))-BF157)/(SQRT((BE148^2)+(BF148^2))-BE157)+BF157,DEGREES(ATAN2(BE148,BF148)))</f>
        <v>-45.312046945778157</v>
      </c>
      <c r="BG156" s="16">
        <f t="shared" ref="BG156:BG161" si="167">+IF(BG157=0,0,IF(SQRT((BG148^2)+(BH148^2))&gt;9,9,SQRT((BG148^2)+(BH148^2))))</f>
        <v>5.9560290345739935</v>
      </c>
      <c r="BH156" s="14">
        <f t="shared" ref="BH156:BH161" si="168">+IF(SQRT((BG148^2)+(BH148^2))&gt;9,(9-BG157)*(DEGREES(ATAN2(BG148,BH148))-BH157)/(SQRT((BG148^2)+(BH148^2))-BG157)+BH157,DEGREES(ATAN2(BG148,BH148)))</f>
        <v>-57.738198252116575</v>
      </c>
      <c r="BI156" s="16">
        <f t="shared" ref="BI156:BI161" si="169">+IF(BI157=0,0,IF(SQRT((BI148^2)+(BJ148^2))&gt;9,9,SQRT((BI148^2)+(BJ148^2))))</f>
        <v>5.4056218619913654</v>
      </c>
      <c r="BJ156" s="14">
        <f t="shared" ref="BJ156:BJ161" si="170">+IF(SQRT((BI148^2)+(BJ148^2))&gt;9,(9-BI157)*(DEGREES(ATAN2(BI148,BJ148))-BJ157)/(SQRT((BI148^2)+(BJ148^2))-BI157)+BJ157,DEGREES(ATAN2(BI148,BJ148)))</f>
        <v>-72.887370999294632</v>
      </c>
      <c r="BK156" s="16">
        <f t="shared" ref="BK156:BK161" si="171">+IF(BK157=0,0,IF(SQRT((BK148^2)+(BL148^2))&gt;9,9,SQRT((BK148^2)+(BL148^2))))</f>
        <v>5.2091636727869233</v>
      </c>
      <c r="BL156" s="14">
        <f t="shared" ref="BL156:BL161" si="172">+IF(SQRT((BK148^2)+(BL148^2))&gt;9,(9-BK157)*(DEGREES(ATAN2(BK148,BL148))-BL157)/(SQRT((BK148^2)+(BL148^2))-BK157)+BL157,DEGREES(ATAN2(BK148,BL148)))</f>
        <v>-90</v>
      </c>
      <c r="BM156" s="16">
        <f t="shared" ref="BM156:BM161" si="173">+IF(BM157=0,0,IF(SQRT((BM148^2)+(BN148^2))&gt;9,9,SQRT((BM148^2)+(BN148^2))))</f>
        <v>5.4056218619913654</v>
      </c>
      <c r="BN156" s="14">
        <f t="shared" ref="BN156:BN161" si="174">+IF(SQRT((BM148^2)+(BN148^2))&gt;9,IF(DEGREES(ATAN2(BM148,BN148))&lt;0,(9-BM157)*(360+DEGREES(ATAN2(BM148,BN148))-BN157)/(SQRT((BM148^2)+(BN148^2))-BM157)+BN157,(9-BM157)*(DEGREES(ATAN2(BM148,BN148))-BN157)/(SQRT((BM148^2)+(BN148^2))-BM157)+BN157),IF(DEGREES(ATAN2(BM148,BN148))&lt;0,360+DEGREES(ATAN2(BM148,BN148)),DEGREES(ATAN2(BM148,BN148))))</f>
        <v>252.8873709992946</v>
      </c>
      <c r="BO156" s="16">
        <f t="shared" ref="BO156:BO161" si="175">+IF(BO157=0,0,IF(SQRT((BO148^2)+(BP148^2))&gt;9,9,SQRT((BO148^2)+(BP148^2))))</f>
        <v>5.9560290345739952</v>
      </c>
      <c r="BP156" s="14">
        <f t="shared" ref="BP156:BP161" si="176">+IF(SQRT((BO148^2)+(BP148^2))&gt;9,IF(DEGREES(ATAN2(BO148,BP148))&lt;0,(9-BO157)*(360+DEGREES(ATAN2(BO148,BP148))-BP157)/(SQRT((BO148^2)+(BP148^2))-BO157)+BP157,(9-BO157)*(DEGREES(ATAN2(BO148,BP148))-BP157)/(SQRT((BO148^2)+(BP148^2))-BO157)+BP157),IF(DEGREES(ATAN2(BO148,BP148))&lt;0,360+DEGREES(ATAN2(BO148,BP148)),DEGREES(ATAN2(BO148,BP148))))</f>
        <v>237.7381982521166</v>
      </c>
      <c r="BQ156" s="16">
        <f t="shared" ref="BQ156:BQ161" si="177">+IF(BQ157=0,0,IF(SQRT((BQ148^2)+(BR148^2))&gt;9,9,SQRT((BQ148^2)+(BR148^2))))</f>
        <v>6.7740781174458462</v>
      </c>
      <c r="BR156" s="14">
        <f t="shared" ref="BR156:BR161" si="178">+IF(SQRT((BQ148^2)+(BR148^2))&gt;9,IF(DEGREES(ATAN2(BQ148,BR148))&lt;0,(9-BQ157)*(360+DEGREES(ATAN2(BQ148,BR148))-BR157)/(SQRT((BQ148^2)+(BR148^2))-BQ157)+BR157,(9-BQ157)*(DEGREES(ATAN2(BQ148,BR148))-BR157)/(SQRT((BQ148^2)+(BR148^2))-BQ157)+BR157),IF(DEGREES(ATAN2(BQ148,BR148))&lt;0,360+DEGREES(ATAN2(BQ148,BR148)),DEGREES(ATAN2(BQ148,BR148))))</f>
        <v>225.31204694577818</v>
      </c>
      <c r="BS156" s="16">
        <f t="shared" ref="BS156:BS161" si="179">+IF(BS157=0,0,IF(SQRT((BS148^2)+(BT148^2))&gt;9,9,SQRT((BS148^2)+(BT148^2))))</f>
        <v>7.7748622701407042</v>
      </c>
      <c r="BT156" s="14">
        <f t="shared" ref="BT156:BT161" si="180">+IF(SQRT((BS148^2)+(BT148^2))&gt;9,IF(DEGREES(ATAN2(BS148,BT148))&lt;0,(9-BS157)*(360+DEGREES(ATAN2(BS148,BT148))-BT157)/(SQRT((BS148^2)+(BT148^2))-BS157)+BT157,(9-BS157)*(DEGREES(ATAN2(BS148,BT148))-BT157)/(SQRT((BS148^2)+(BT148^2))-BS157)+BT157),IF(DEGREES(ATAN2(BS148,BT148))&lt;0,360+DEGREES(ATAN2(BS148,BT148)),DEGREES(ATAN2(BS148,BT148))))</f>
        <v>215.34452095224731</v>
      </c>
      <c r="BU156" s="16">
        <f t="shared" ref="BU156:BU161" si="181">+IF(BU157=0,0,IF(SQRT((BU148^2)+(BV148^2))&gt;9,9,SQRT((BU148^2)+(BV148^2))))</f>
        <v>8.8957412298918097</v>
      </c>
      <c r="BV156" s="14">
        <f t="shared" ref="BV156:BV161" si="182">+IF(SQRT((BU148^2)+(BV148^2))&gt;9,IF(DEGREES(ATAN2(BU148,BV148))&lt;0,(9-BU157)*(360+DEGREES(ATAN2(BU148,BV148))-BV157)/(SQRT((BU148^2)+(BV148^2))-BU157)+BV157,(9-BU157)*(DEGREES(ATAN2(BU148,BV148))-BV157)/(SQRT((BU148^2)+(BV148^2))-BU157)+BV157),IF(DEGREES(ATAN2(BU148,BV148))&lt;0,360+DEGREES(ATAN2(BU148,BV148)),DEGREES(ATAN2(BU148,BV148))))</f>
        <v>207.22586297915177</v>
      </c>
      <c r="BW156" s="16">
        <f t="shared" ref="BW156:BW161" si="183">+IF(BW157=0,0,IF(SQRT((BW148^2)+(BX148^2))&gt;9,9,SQRT((BW148^2)+(BX148^2))))</f>
        <v>9</v>
      </c>
      <c r="BX156" s="14">
        <f t="shared" ref="BX156:BX161" si="184">+IF(SQRT((BW148^2)+(BX148^2))&gt;9,IF(DEGREES(ATAN2(BW148,BX148))&lt;0,(9-BW157)*(360+DEGREES(ATAN2(BW148,BX148))-BX157)/(SQRT((BW148^2)+(BX148^2))-BW157)+BX157,(9-BW157)*(DEGREES(ATAN2(BW148,BX148))-BX157)/(SQRT((BW148^2)+(BX148^2))-BW157)+BX157),IF(DEGREES(ATAN2(BW148,BX148))&lt;0,360+DEGREES(ATAN2(BW148,BX148)),DEGREES(ATAN2(BW148,BX148))))</f>
        <v>180.00783340100679</v>
      </c>
      <c r="BY156" s="16">
        <f t="shared" ref="BY156:BY161" si="185">+IF(BY157=0,0,IF(SQRT((BY148^2)+(BZ148^2))&gt;9,9,SQRT((BY148^2)+(BZ148^2))))</f>
        <v>0</v>
      </c>
      <c r="BZ156" s="14">
        <f t="shared" ref="BZ156:BZ161" si="186">+IF(SQRT((BY148^2)+(BZ148^2))&gt;9,IF(DEGREES(ATAN2(BY148,BZ148))&lt;0,(9-BY157)*(360+DEGREES(ATAN2(BY148,BZ148))-BZ157)/(SQRT((BY148^2)+(BZ148^2))-BY157)+BZ157,(9-BY157)*(DEGREES(ATAN2(BY148,BZ148))-BZ157)/(SQRT((BY148^2)+(BZ148^2))-BY157)+BZ157),IF(DEGREES(ATAN2(BY148,BZ148))&lt;0,360+DEGREES(ATAN2(BY148,BZ148)),DEGREES(ATAN2(BY148,BZ148))))</f>
        <v>192.71091674501832</v>
      </c>
      <c r="CA156" s="16">
        <f t="shared" ref="CA156:CA161" si="187">+IF(CA157=0,0,IF(SQRT((CA148^2)+(CB148^2))&gt;9,9,SQRT((CA148^2)+(CB148^2))))</f>
        <v>0</v>
      </c>
      <c r="CB156" s="14">
        <f t="shared" ref="CB156:CB161" si="188">+IF(SQRT((CA148^2)+(CB148^2))&gt;9,IF(DEGREES(ATAN2(CA148,CB148))&lt;0,(9-CA157)*(360+DEGREES(ATAN2(CA148,CB148))-CB157)/(SQRT((CA148^2)+(CB148^2))-CA157)+CB157,(9-CA157)*(DEGREES(ATAN2(CA148,CB148))-CB157)/(SQRT((CA148^2)+(CB148^2))-CA157)+CB157),IF(DEGREES(ATAN2(CA148,CB148))&lt;0,360+DEGREES(ATAN2(CA148,CB148)),DEGREES(ATAN2(CA148,CB148))))</f>
        <v>185.56993138060014</v>
      </c>
      <c r="CC156" s="16">
        <f t="shared" ref="CC156:CC161" si="189">+IF(CC157=0,0,IF(SQRT((CC148^2)+(CD148^2))&gt;9,9,SQRT((CC148^2)+(CD148^2))))</f>
        <v>0</v>
      </c>
      <c r="CD156" s="14">
        <f t="shared" ref="CD156:CD161" si="190">+IF(SQRT((CC148^2)+(CD148^2))&gt;9,IF(DEGREES(ATAN2(CC148,CD148))&lt;0,(9-CC157)*(360+DEGREES(ATAN2(CC148,CD148))-CD157)/(SQRT((CC148^2)+(CD148^2))-CC157)+CD157,(9-CC157)*(DEGREES(ATAN2(CC148,CD148))-CD157)/(SQRT((CC148^2)+(CD148^2))-CC157)+CD157),IF(DEGREES(ATAN2(CC148,CD148))&lt;0,360+DEGREES(ATAN2(CC148,CD148)),DEGREES(ATAN2(CC148,CD148))))</f>
        <v>177.46475150088071</v>
      </c>
      <c r="CE156" s="16">
        <f t="shared" ref="CE156:CE161" si="191">+IF(CE157=0,0,IF(SQRT((CE148^2)+(CF148^2))&gt;9,9,SQRT((CE148^2)+(CF148^2))))</f>
        <v>0</v>
      </c>
      <c r="CF156" s="14">
        <f t="shared" ref="CF156:CF161" si="192">+IF(SQRT((CE148^2)+(CF148^2))&gt;9,IF(DEGREES(ATAN2(CE148,CF148))&lt;0,(9-CE157)*(360+DEGREES(ATAN2(CE148,CF148))-CF157)/(SQRT((CE148^2)+(CF148^2))-CE157)+CF157,(9-CE157)*(DEGREES(ATAN2(CE148,CF148))-CF157)/(SQRT((CE148^2)+(CF148^2))-CE157)+CF157),IF(DEGREES(ATAN2(CE148,CF148))&lt;0,360+DEGREES(ATAN2(CE148,CF148)),DEGREES(ATAN2(CE148,CF148))))</f>
        <v>166.62424469238181</v>
      </c>
      <c r="CG156" s="16">
        <f t="shared" ref="CG156:CG161" si="193">+IF(CG157=0,0,IF(SQRT((CG148^2)+(CH148^2))&gt;9,9,SQRT((CG148^2)+(CH148^2))))</f>
        <v>0</v>
      </c>
      <c r="CH156" s="14">
        <f t="shared" ref="CH156:CH161" si="194">+IF(SQRT((CG148^2)+(CH148^2))&gt;9,IF(DEGREES(ATAN2(CG148,CH148))&lt;0,(9-CG157)*(360+DEGREES(ATAN2(CG148,CH148))-CH157)/(SQRT((CG148^2)+(CH148^2))-CG157)+CH157,(9-CG157)*(DEGREES(ATAN2(CG148,CH148))-CH157)/(SQRT((CG148^2)+(CH148^2))-CG157)+CH157),IF(DEGREES(ATAN2(CG148,CH148))&lt;0,360+DEGREES(ATAN2(CG148,CH148)),DEGREES(ATAN2(CG148,CH148))))</f>
        <v>147.50341751242334</v>
      </c>
      <c r="CI156" s="16">
        <f t="shared" ref="CI156:CI161" si="195">+IF(CI157=0,0,IF(SQRT((CI148^2)+(CJ148^2))&gt;9,9,SQRT((CI148^2)+(CJ148^2))))</f>
        <v>0</v>
      </c>
      <c r="CJ156" s="14" t="e">
        <f t="shared" ref="CJ156:CJ161" si="196">+IF(SQRT((CI148^2)+(CJ148^2))&gt;9,IF(DEGREES(ATAN2(CI148,CJ148))&lt;0,(9-CI157)*(360+DEGREES(ATAN2(CI148,CJ148))-CJ157)/(SQRT((CI148^2)+(CJ148^2))-CI157)+CJ157,(9-CI157)*(DEGREES(ATAN2(CI148,CJ148))-CJ157)/(SQRT((CI148^2)+(CJ148^2))-CI157)+CJ157),IF(DEGREES(ATAN2(CI148,CJ148))&lt;0,360+DEGREES(ATAN2(CI148,CJ148)),DEGREES(ATAN2(CI148,CJ148))))</f>
        <v>#NUM!</v>
      </c>
    </row>
    <row r="157" spans="1:88" x14ac:dyDescent="0.25">
      <c r="A157">
        <v>-6.5</v>
      </c>
      <c r="B157">
        <f t="shared" si="136"/>
        <v>6.2249497989943663</v>
      </c>
      <c r="C157">
        <f t="shared" si="137"/>
        <v>-6.2249497989943663</v>
      </c>
      <c r="D157">
        <f t="shared" si="145"/>
        <v>4.6636895265444078</v>
      </c>
      <c r="E157">
        <f t="shared" si="146"/>
        <v>-4.6636895265444078</v>
      </c>
      <c r="F157">
        <f t="shared" si="147"/>
        <v>2.598076211353316</v>
      </c>
      <c r="G157">
        <f t="shared" si="148"/>
        <v>-2.598076211353316</v>
      </c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44"/>
      <c r="X157" s="50"/>
      <c r="Y157" s="50"/>
      <c r="Z157" s="13"/>
      <c r="AA157" s="13"/>
      <c r="AB157" s="13"/>
      <c r="AC157" s="13"/>
      <c r="AD157" s="13"/>
      <c r="AE157" s="13"/>
      <c r="AF157" s="13"/>
      <c r="AG157" s="13"/>
      <c r="AH157" s="44"/>
      <c r="AI157" s="50"/>
      <c r="AJ157" s="50"/>
      <c r="AK157" s="13"/>
      <c r="AL157" s="13"/>
      <c r="AM157" s="13"/>
      <c r="AN157" t="s">
        <v>104</v>
      </c>
      <c r="AO157" s="13">
        <f t="shared" si="149"/>
        <v>0</v>
      </c>
      <c r="AP157" s="14">
        <f t="shared" si="150"/>
        <v>46.493559638334645</v>
      </c>
      <c r="AQ157" s="16">
        <f t="shared" si="151"/>
        <v>0</v>
      </c>
      <c r="AR157" s="14">
        <f t="shared" si="152"/>
        <v>24.464699269609163</v>
      </c>
      <c r="AS157" s="16">
        <f t="shared" si="153"/>
        <v>0</v>
      </c>
      <c r="AT157" s="14">
        <f t="shared" si="154"/>
        <v>11.21916318092123</v>
      </c>
      <c r="AU157" s="16">
        <f t="shared" si="155"/>
        <v>0</v>
      </c>
      <c r="AV157" s="14">
        <f t="shared" si="156"/>
        <v>1.4887132871561679</v>
      </c>
      <c r="AW157" s="16">
        <f t="shared" si="157"/>
        <v>0</v>
      </c>
      <c r="AX157" s="14">
        <f t="shared" si="158"/>
        <v>-6.793271829372495</v>
      </c>
      <c r="AY157" s="16">
        <f t="shared" si="159"/>
        <v>9</v>
      </c>
      <c r="AZ157" s="14">
        <f t="shared" si="160"/>
        <v>-7.8334010068008553E-3</v>
      </c>
      <c r="BA157" s="16">
        <f t="shared" si="161"/>
        <v>8.6019397609257542</v>
      </c>
      <c r="BB157" s="14">
        <f t="shared" si="162"/>
        <v>-22.577107831979806</v>
      </c>
      <c r="BC157" s="16">
        <f t="shared" si="163"/>
        <v>7.4310549891352657</v>
      </c>
      <c r="BD157" s="14">
        <f t="shared" si="164"/>
        <v>-30.926255195118465</v>
      </c>
      <c r="BE157" s="16">
        <f t="shared" si="165"/>
        <v>6.3702657787638408</v>
      </c>
      <c r="BF157" s="14">
        <f t="shared" si="166"/>
        <v>-41.22199491730089</v>
      </c>
      <c r="BG157" s="16">
        <f t="shared" si="167"/>
        <v>5.4867084387173142</v>
      </c>
      <c r="BH157" s="14">
        <f t="shared" si="168"/>
        <v>-54.335886410821551</v>
      </c>
      <c r="BI157" s="16">
        <f t="shared" si="169"/>
        <v>4.879661303453692</v>
      </c>
      <c r="BJ157" s="14">
        <f t="shared" si="170"/>
        <v>-70.849477923090234</v>
      </c>
      <c r="BK157" s="16">
        <f t="shared" si="171"/>
        <v>4.6596495456484224</v>
      </c>
      <c r="BL157" s="14">
        <f t="shared" si="172"/>
        <v>-90</v>
      </c>
      <c r="BM157" s="16">
        <f t="shared" si="173"/>
        <v>4.879661303453692</v>
      </c>
      <c r="BN157" s="14">
        <f t="shared" si="174"/>
        <v>250.84947792309026</v>
      </c>
      <c r="BO157" s="16">
        <f t="shared" si="175"/>
        <v>5.4867084387173142</v>
      </c>
      <c r="BP157" s="14">
        <f t="shared" si="176"/>
        <v>234.33588641082156</v>
      </c>
      <c r="BQ157" s="16">
        <f t="shared" si="177"/>
        <v>6.3702657787638408</v>
      </c>
      <c r="BR157" s="14">
        <f t="shared" si="178"/>
        <v>221.22199491730089</v>
      </c>
      <c r="BS157" s="16">
        <f t="shared" si="179"/>
        <v>7.4310549891352657</v>
      </c>
      <c r="BT157" s="14">
        <f t="shared" si="180"/>
        <v>210.92625519511847</v>
      </c>
      <c r="BU157" s="16">
        <f t="shared" si="181"/>
        <v>8.6019397609257542</v>
      </c>
      <c r="BV157" s="14">
        <f t="shared" si="182"/>
        <v>202.57710783197982</v>
      </c>
      <c r="BW157" s="16">
        <f t="shared" si="183"/>
        <v>9</v>
      </c>
      <c r="BX157" s="14">
        <f t="shared" si="184"/>
        <v>180.00783340100679</v>
      </c>
      <c r="BY157" s="16">
        <f t="shared" si="185"/>
        <v>0</v>
      </c>
      <c r="BZ157" s="14">
        <f t="shared" si="186"/>
        <v>186.79327182937249</v>
      </c>
      <c r="CA157" s="16">
        <f t="shared" si="187"/>
        <v>0</v>
      </c>
      <c r="CB157" s="14">
        <f t="shared" si="188"/>
        <v>178.51128671284383</v>
      </c>
      <c r="CC157" s="16">
        <f t="shared" si="189"/>
        <v>0</v>
      </c>
      <c r="CD157" s="14">
        <f t="shared" si="190"/>
        <v>168.78083681907876</v>
      </c>
      <c r="CE157" s="16">
        <f t="shared" si="191"/>
        <v>0</v>
      </c>
      <c r="CF157" s="14">
        <f t="shared" si="192"/>
        <v>155.53530073039082</v>
      </c>
      <c r="CG157" s="16">
        <f t="shared" si="193"/>
        <v>0</v>
      </c>
      <c r="CH157" s="14">
        <f t="shared" si="194"/>
        <v>133.50644036166537</v>
      </c>
      <c r="CI157" s="16">
        <f t="shared" si="195"/>
        <v>0</v>
      </c>
      <c r="CJ157" s="14" t="e">
        <f t="shared" si="196"/>
        <v>#NUM!</v>
      </c>
    </row>
    <row r="158" spans="1:88" x14ac:dyDescent="0.25">
      <c r="A158">
        <v>-6.6</v>
      </c>
      <c r="B158">
        <f t="shared" si="136"/>
        <v>6.1188234163113426</v>
      </c>
      <c r="C158">
        <f t="shared" si="137"/>
        <v>-6.1188234163113426</v>
      </c>
      <c r="D158">
        <f t="shared" si="145"/>
        <v>4.5210618221829266</v>
      </c>
      <c r="E158">
        <f t="shared" si="146"/>
        <v>-4.5210618221829266</v>
      </c>
      <c r="F158">
        <f t="shared" si="147"/>
        <v>2.3323807579381213</v>
      </c>
      <c r="G158">
        <f t="shared" si="148"/>
        <v>-2.3323807579381213</v>
      </c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44"/>
      <c r="X158" s="50"/>
      <c r="Y158" s="50"/>
      <c r="Z158" s="13"/>
      <c r="AA158" s="13"/>
      <c r="AB158" s="13"/>
      <c r="AC158" s="13"/>
      <c r="AD158" s="13"/>
      <c r="AE158" s="13"/>
      <c r="AF158" s="13"/>
      <c r="AG158" s="13"/>
      <c r="AH158" s="44"/>
      <c r="AI158" s="50"/>
      <c r="AJ158" s="50"/>
      <c r="AK158" s="13"/>
      <c r="AL158" s="13"/>
      <c r="AM158" s="13"/>
      <c r="AN158" t="s">
        <v>103</v>
      </c>
      <c r="AO158" s="13">
        <f t="shared" si="149"/>
        <v>0</v>
      </c>
      <c r="AP158" s="14">
        <f t="shared" si="150"/>
        <v>58.599484687630095</v>
      </c>
      <c r="AQ158" s="16">
        <f t="shared" si="151"/>
        <v>0</v>
      </c>
      <c r="AR158" s="14">
        <f t="shared" si="152"/>
        <v>36.8420679720019</v>
      </c>
      <c r="AS158" s="16">
        <f t="shared" si="153"/>
        <v>0</v>
      </c>
      <c r="AT158" s="14">
        <f t="shared" si="154"/>
        <v>22.124698354075029</v>
      </c>
      <c r="AU158" s="16">
        <f t="shared" si="155"/>
        <v>0</v>
      </c>
      <c r="AV158" s="14">
        <f t="shared" si="156"/>
        <v>11.099005260779533</v>
      </c>
      <c r="AW158" s="16">
        <f t="shared" si="157"/>
        <v>0</v>
      </c>
      <c r="AX158" s="14">
        <f t="shared" si="158"/>
        <v>1.8402429990918634</v>
      </c>
      <c r="AY158" s="16">
        <f t="shared" si="159"/>
        <v>9</v>
      </c>
      <c r="AZ158" s="14">
        <f t="shared" si="160"/>
        <v>-7.8334010068008553E-3</v>
      </c>
      <c r="BA158" s="16">
        <f t="shared" si="161"/>
        <v>8.1157515679025192</v>
      </c>
      <c r="BB158" s="14">
        <f t="shared" si="162"/>
        <v>-14.688028222821471</v>
      </c>
      <c r="BC158" s="16">
        <f t="shared" si="163"/>
        <v>6.8758958241348234</v>
      </c>
      <c r="BD158" s="14">
        <f t="shared" si="164"/>
        <v>-23.157088530167229</v>
      </c>
      <c r="BE158" s="16">
        <f t="shared" si="165"/>
        <v>5.7221097525369178</v>
      </c>
      <c r="BF158" s="14">
        <f t="shared" si="166"/>
        <v>-33.671389663748442</v>
      </c>
      <c r="BG158" s="16">
        <f t="shared" si="167"/>
        <v>4.7247577573395318</v>
      </c>
      <c r="BH158" s="14">
        <f t="shared" si="168"/>
        <v>-47.638581774363452</v>
      </c>
      <c r="BI158" s="16">
        <f t="shared" si="169"/>
        <v>4.0072909368772809</v>
      </c>
      <c r="BJ158" s="14">
        <f t="shared" si="170"/>
        <v>-66.556978885345387</v>
      </c>
      <c r="BK158" s="16">
        <f t="shared" si="171"/>
        <v>3.7373705065035905</v>
      </c>
      <c r="BL158" s="14">
        <f t="shared" si="172"/>
        <v>-90</v>
      </c>
      <c r="BM158" s="16">
        <f t="shared" si="173"/>
        <v>4.0072909368772809</v>
      </c>
      <c r="BN158" s="14">
        <f t="shared" si="174"/>
        <v>246.55697888534539</v>
      </c>
      <c r="BO158" s="16">
        <f t="shared" si="175"/>
        <v>4.7247577573395318</v>
      </c>
      <c r="BP158" s="14">
        <f t="shared" si="176"/>
        <v>227.63858177436344</v>
      </c>
      <c r="BQ158" s="16">
        <f t="shared" si="177"/>
        <v>5.7221097525369178</v>
      </c>
      <c r="BR158" s="14">
        <f t="shared" si="178"/>
        <v>213.67138966374844</v>
      </c>
      <c r="BS158" s="16">
        <f t="shared" si="179"/>
        <v>6.8758958241348234</v>
      </c>
      <c r="BT158" s="14">
        <f t="shared" si="180"/>
        <v>203.15708853016724</v>
      </c>
      <c r="BU158" s="16">
        <f t="shared" si="181"/>
        <v>8.1157515679025192</v>
      </c>
      <c r="BV158" s="14">
        <f t="shared" si="182"/>
        <v>194.68802822282146</v>
      </c>
      <c r="BW158" s="16">
        <f t="shared" si="183"/>
        <v>9</v>
      </c>
      <c r="BX158" s="14">
        <f t="shared" si="184"/>
        <v>180.00783340100679</v>
      </c>
      <c r="BY158" s="16">
        <f t="shared" si="185"/>
        <v>0</v>
      </c>
      <c r="BZ158" s="14">
        <f t="shared" si="186"/>
        <v>178.15975700090814</v>
      </c>
      <c r="CA158" s="16">
        <f t="shared" si="187"/>
        <v>0</v>
      </c>
      <c r="CB158" s="14">
        <f t="shared" si="188"/>
        <v>168.90099473922047</v>
      </c>
      <c r="CC158" s="16">
        <f t="shared" si="189"/>
        <v>0</v>
      </c>
      <c r="CD158" s="14">
        <f t="shared" si="190"/>
        <v>157.87530164592496</v>
      </c>
      <c r="CE158" s="16">
        <f t="shared" si="191"/>
        <v>0</v>
      </c>
      <c r="CF158" s="14">
        <f t="shared" si="192"/>
        <v>143.1579320279981</v>
      </c>
      <c r="CG158" s="16">
        <f t="shared" si="193"/>
        <v>0</v>
      </c>
      <c r="CH158" s="14">
        <f t="shared" si="194"/>
        <v>121.40051531236989</v>
      </c>
      <c r="CI158" s="16">
        <f t="shared" si="195"/>
        <v>0</v>
      </c>
      <c r="CJ158" s="14" t="e">
        <f t="shared" si="196"/>
        <v>#NUM!</v>
      </c>
    </row>
    <row r="159" spans="1:88" x14ac:dyDescent="0.25">
      <c r="A159">
        <v>-6.7</v>
      </c>
      <c r="B159">
        <f t="shared" si="136"/>
        <v>6.009159675029446</v>
      </c>
      <c r="C159">
        <f t="shared" si="137"/>
        <v>-6.009159675029446</v>
      </c>
      <c r="D159">
        <f t="shared" si="145"/>
        <v>4.3714985988788788</v>
      </c>
      <c r="E159">
        <f t="shared" si="146"/>
        <v>-4.3714985988788788</v>
      </c>
      <c r="F159">
        <f t="shared" si="147"/>
        <v>2.027313493271329</v>
      </c>
      <c r="G159">
        <f t="shared" si="148"/>
        <v>-2.027313493271329</v>
      </c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44"/>
      <c r="X159" s="13"/>
      <c r="Y159" s="152"/>
      <c r="Z159" s="13"/>
      <c r="AA159" s="13"/>
      <c r="AB159" s="13"/>
      <c r="AC159" s="13"/>
      <c r="AD159" s="13"/>
      <c r="AE159" s="13"/>
      <c r="AF159" s="13"/>
      <c r="AG159" s="13"/>
      <c r="AH159" s="44"/>
      <c r="AI159" s="13"/>
      <c r="AJ159" s="152"/>
      <c r="AK159" s="13"/>
      <c r="AL159" s="13"/>
      <c r="AM159" s="13"/>
      <c r="AN159" t="s">
        <v>102</v>
      </c>
      <c r="AO159" s="13">
        <f t="shared" si="149"/>
        <v>0</v>
      </c>
      <c r="AP159" s="14">
        <f t="shared" si="150"/>
        <v>66.521748961947068</v>
      </c>
      <c r="AQ159" s="16">
        <f t="shared" si="151"/>
        <v>0</v>
      </c>
      <c r="AR159" s="14">
        <f t="shared" si="152"/>
        <v>47.361876968347815</v>
      </c>
      <c r="AS159" s="16">
        <f t="shared" si="153"/>
        <v>0</v>
      </c>
      <c r="AT159" s="14">
        <f t="shared" si="154"/>
        <v>32.843568831621909</v>
      </c>
      <c r="AU159" s="16">
        <f t="shared" si="155"/>
        <v>0</v>
      </c>
      <c r="AV159" s="14">
        <f t="shared" si="156"/>
        <v>21.525313296836089</v>
      </c>
      <c r="AW159" s="16">
        <f t="shared" si="157"/>
        <v>0</v>
      </c>
      <c r="AX159" s="14">
        <f t="shared" si="158"/>
        <v>12.029714407637632</v>
      </c>
      <c r="AY159" s="16">
        <f t="shared" si="159"/>
        <v>8.804892332740323</v>
      </c>
      <c r="AZ159" s="14">
        <f t="shared" si="160"/>
        <v>3.5118293417097988</v>
      </c>
      <c r="BA159" s="16">
        <f t="shared" si="161"/>
        <v>7.494872825799364</v>
      </c>
      <c r="BB159" s="14">
        <f t="shared" si="162"/>
        <v>-3.8157873566820086</v>
      </c>
      <c r="BC159" s="16">
        <f t="shared" si="163"/>
        <v>6.1969358679359576</v>
      </c>
      <c r="BD159" s="14">
        <f t="shared" si="164"/>
        <v>-11.84583698554694</v>
      </c>
      <c r="BE159" s="16">
        <f t="shared" si="165"/>
        <v>4.9420812685739266</v>
      </c>
      <c r="BF159" s="14">
        <f t="shared" si="166"/>
        <v>-21.763874082610215</v>
      </c>
      <c r="BG159" s="16">
        <f t="shared" si="167"/>
        <v>3.7903846081202581</v>
      </c>
      <c r="BH159" s="14">
        <f t="shared" si="168"/>
        <v>-35.719516930850816</v>
      </c>
      <c r="BI159" s="16">
        <f t="shared" si="169"/>
        <v>2.882034639889528</v>
      </c>
      <c r="BJ159" s="14">
        <f t="shared" si="170"/>
        <v>-57.616889354112288</v>
      </c>
      <c r="BK159" s="16">
        <f t="shared" si="171"/>
        <v>2.5063175768944319</v>
      </c>
      <c r="BL159" s="14">
        <f t="shared" si="172"/>
        <v>-90</v>
      </c>
      <c r="BM159" s="16">
        <f t="shared" si="173"/>
        <v>2.8820346398895276</v>
      </c>
      <c r="BN159" s="14">
        <f t="shared" si="174"/>
        <v>237.61688935411229</v>
      </c>
      <c r="BO159" s="16">
        <f t="shared" si="175"/>
        <v>3.7903846081202572</v>
      </c>
      <c r="BP159" s="14">
        <f t="shared" si="176"/>
        <v>215.71951693085083</v>
      </c>
      <c r="BQ159" s="16">
        <f t="shared" si="177"/>
        <v>4.9420812685739266</v>
      </c>
      <c r="BR159" s="14">
        <f t="shared" si="178"/>
        <v>201.76387408261022</v>
      </c>
      <c r="BS159" s="16">
        <f t="shared" si="179"/>
        <v>6.1969358679359576</v>
      </c>
      <c r="BT159" s="14">
        <f t="shared" si="180"/>
        <v>191.84583698554695</v>
      </c>
      <c r="BU159" s="16">
        <f t="shared" si="181"/>
        <v>7.494872825799364</v>
      </c>
      <c r="BV159" s="14">
        <f t="shared" si="182"/>
        <v>183.81578735668199</v>
      </c>
      <c r="BW159" s="16">
        <f t="shared" si="183"/>
        <v>8.804892332740323</v>
      </c>
      <c r="BX159" s="14">
        <f t="shared" si="184"/>
        <v>176.48817065829019</v>
      </c>
      <c r="BY159" s="16">
        <f t="shared" si="185"/>
        <v>0</v>
      </c>
      <c r="BZ159" s="14">
        <f t="shared" si="186"/>
        <v>167.97028559236236</v>
      </c>
      <c r="CA159" s="16">
        <f t="shared" si="187"/>
        <v>0</v>
      </c>
      <c r="CB159" s="14">
        <f t="shared" si="188"/>
        <v>158.47468670316391</v>
      </c>
      <c r="CC159" s="16">
        <f t="shared" si="189"/>
        <v>0</v>
      </c>
      <c r="CD159" s="14">
        <f t="shared" si="190"/>
        <v>147.15643116837811</v>
      </c>
      <c r="CE159" s="16">
        <f t="shared" si="191"/>
        <v>0</v>
      </c>
      <c r="CF159" s="14">
        <f t="shared" si="192"/>
        <v>132.63812303165219</v>
      </c>
      <c r="CG159" s="16">
        <f t="shared" si="193"/>
        <v>0</v>
      </c>
      <c r="CH159" s="14">
        <f t="shared" si="194"/>
        <v>113.47825103805292</v>
      </c>
      <c r="CI159" s="16">
        <f t="shared" si="195"/>
        <v>0</v>
      </c>
      <c r="CJ159" s="14" t="e">
        <f t="shared" si="196"/>
        <v>#NUM!</v>
      </c>
    </row>
    <row r="160" spans="1:88" x14ac:dyDescent="0.25">
      <c r="A160">
        <v>-6.8</v>
      </c>
      <c r="B160">
        <f t="shared" si="136"/>
        <v>5.89576118919347</v>
      </c>
      <c r="C160">
        <f t="shared" si="137"/>
        <v>-5.89576118919347</v>
      </c>
      <c r="D160">
        <f t="shared" si="145"/>
        <v>4.2142615011410962</v>
      </c>
      <c r="E160">
        <f t="shared" si="146"/>
        <v>-4.2142615011410962</v>
      </c>
      <c r="F160">
        <f t="shared" si="147"/>
        <v>1.6613247725836164</v>
      </c>
      <c r="G160">
        <f t="shared" si="148"/>
        <v>-1.6613247725836164</v>
      </c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13"/>
      <c r="U160" s="13"/>
      <c r="V160" s="13"/>
      <c r="W160" s="44"/>
      <c r="X160" s="50"/>
      <c r="Y160" s="50"/>
      <c r="Z160" s="13"/>
      <c r="AA160" s="50"/>
      <c r="AB160" s="50"/>
      <c r="AC160" s="50"/>
      <c r="AD160" s="50"/>
      <c r="AE160" s="13"/>
      <c r="AF160" s="13"/>
      <c r="AG160" s="13"/>
      <c r="AH160" s="44"/>
      <c r="AI160" s="50"/>
      <c r="AJ160" s="50"/>
      <c r="AK160" s="13"/>
      <c r="AL160" s="50"/>
      <c r="AM160" s="13"/>
      <c r="AN160" t="s">
        <v>101</v>
      </c>
      <c r="AO160" s="13">
        <f t="shared" si="149"/>
        <v>0</v>
      </c>
      <c r="AP160" s="14">
        <f t="shared" si="150"/>
        <v>70.719172446820437</v>
      </c>
      <c r="AQ160" s="16">
        <f t="shared" si="151"/>
        <v>0</v>
      </c>
      <c r="AR160" s="14">
        <f t="shared" si="152"/>
        <v>53.985301681162554</v>
      </c>
      <c r="AS160" s="16">
        <f t="shared" si="153"/>
        <v>0</v>
      </c>
      <c r="AT160" s="14">
        <f t="shared" si="154"/>
        <v>40.521135035149477</v>
      </c>
      <c r="AU160" s="16">
        <f t="shared" si="155"/>
        <v>0</v>
      </c>
      <c r="AV160" s="14">
        <f t="shared" si="156"/>
        <v>29.730261944933666</v>
      </c>
      <c r="AW160" s="16">
        <f t="shared" si="157"/>
        <v>0</v>
      </c>
      <c r="AX160" s="14">
        <f t="shared" si="158"/>
        <v>20.696124264683974</v>
      </c>
      <c r="AY160" s="16">
        <f t="shared" si="159"/>
        <v>8.2820305891898158</v>
      </c>
      <c r="AZ160" s="14">
        <f t="shared" si="160"/>
        <v>13.091584531383944</v>
      </c>
      <c r="BA160" s="16">
        <f t="shared" si="161"/>
        <v>6.9905591787865466</v>
      </c>
      <c r="BB160" s="14">
        <f t="shared" si="162"/>
        <v>6.3069940854475703</v>
      </c>
      <c r="BC160" s="16">
        <f t="shared" si="163"/>
        <v>5.6820885816696087</v>
      </c>
      <c r="BD160" s="14">
        <f t="shared" si="164"/>
        <v>-0.69217364605589182</v>
      </c>
      <c r="BE160" s="16">
        <f t="shared" si="165"/>
        <v>4.3765999075297497</v>
      </c>
      <c r="BF160" s="14">
        <f t="shared" si="166"/>
        <v>-8.9310733129878344</v>
      </c>
      <c r="BG160" s="16">
        <f t="shared" si="167"/>
        <v>3.1086801043390535</v>
      </c>
      <c r="BH160" s="14">
        <f t="shared" si="168"/>
        <v>-20.642612369180679</v>
      </c>
      <c r="BI160" s="16">
        <f t="shared" si="169"/>
        <v>1.9820879575206096</v>
      </c>
      <c r="BJ160" s="14">
        <f t="shared" si="170"/>
        <v>-42.470244283928565</v>
      </c>
      <c r="BK160" s="16">
        <f t="shared" si="171"/>
        <v>1.417911254412533</v>
      </c>
      <c r="BL160" s="14">
        <f t="shared" si="172"/>
        <v>-90</v>
      </c>
      <c r="BM160" s="16">
        <f t="shared" si="173"/>
        <v>1.9820879575206094</v>
      </c>
      <c r="BN160" s="14">
        <f t="shared" si="174"/>
        <v>222.47024428392857</v>
      </c>
      <c r="BO160" s="16">
        <f t="shared" si="175"/>
        <v>3.1086801043390535</v>
      </c>
      <c r="BP160" s="14">
        <f t="shared" si="176"/>
        <v>200.64261236918068</v>
      </c>
      <c r="BQ160" s="16">
        <f t="shared" si="177"/>
        <v>4.3765999075297497</v>
      </c>
      <c r="BR160" s="14">
        <f t="shared" si="178"/>
        <v>188.93107331298785</v>
      </c>
      <c r="BS160" s="16">
        <f t="shared" si="179"/>
        <v>5.6820885816696087</v>
      </c>
      <c r="BT160" s="14">
        <f t="shared" si="180"/>
        <v>180.69217364605589</v>
      </c>
      <c r="BU160" s="16">
        <f t="shared" si="181"/>
        <v>6.9905591787865475</v>
      </c>
      <c r="BV160" s="14">
        <f t="shared" si="182"/>
        <v>173.69300591455243</v>
      </c>
      <c r="BW160" s="16">
        <f t="shared" si="183"/>
        <v>8.2820305891898158</v>
      </c>
      <c r="BX160" s="14">
        <f t="shared" si="184"/>
        <v>166.90841546861606</v>
      </c>
      <c r="BY160" s="16">
        <f t="shared" si="185"/>
        <v>0</v>
      </c>
      <c r="BZ160" s="14">
        <f t="shared" si="186"/>
        <v>159.30387573531601</v>
      </c>
      <c r="CA160" s="16">
        <f t="shared" si="187"/>
        <v>0</v>
      </c>
      <c r="CB160" s="14">
        <f t="shared" si="188"/>
        <v>150.26973805506631</v>
      </c>
      <c r="CC160" s="16">
        <f t="shared" si="189"/>
        <v>0</v>
      </c>
      <c r="CD160" s="14">
        <f t="shared" si="190"/>
        <v>139.47886496485052</v>
      </c>
      <c r="CE160" s="16">
        <f t="shared" si="191"/>
        <v>0</v>
      </c>
      <c r="CF160" s="14">
        <f t="shared" si="192"/>
        <v>126.01469831883746</v>
      </c>
      <c r="CG160" s="16">
        <f t="shared" si="193"/>
        <v>0</v>
      </c>
      <c r="CH160" s="14">
        <f t="shared" si="194"/>
        <v>109.28082755317956</v>
      </c>
      <c r="CI160" s="16">
        <f t="shared" si="195"/>
        <v>0</v>
      </c>
      <c r="CJ160" s="14" t="e">
        <f t="shared" si="196"/>
        <v>#NUM!</v>
      </c>
    </row>
    <row r="161" spans="1:88" x14ac:dyDescent="0.25">
      <c r="A161">
        <v>-6.9</v>
      </c>
      <c r="B161">
        <f t="shared" si="136"/>
        <v>5.7784080852774666</v>
      </c>
      <c r="C161">
        <f t="shared" si="137"/>
        <v>-5.7784080852774666</v>
      </c>
      <c r="D161">
        <f t="shared" si="145"/>
        <v>4.0484564959994316</v>
      </c>
      <c r="E161">
        <f t="shared" si="146"/>
        <v>-4.0484564959994316</v>
      </c>
      <c r="F161">
        <f t="shared" si="147"/>
        <v>1.1789826122551568</v>
      </c>
      <c r="G161">
        <f t="shared" si="148"/>
        <v>-1.1789826122551568</v>
      </c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13"/>
      <c r="U161" s="13"/>
      <c r="V161" s="13"/>
      <c r="W161" s="44"/>
      <c r="X161" s="50"/>
      <c r="Y161" s="50"/>
      <c r="Z161" s="13"/>
      <c r="AA161" s="50"/>
      <c r="AB161" s="50"/>
      <c r="AC161" s="50"/>
      <c r="AD161" s="50"/>
      <c r="AE161" s="13"/>
      <c r="AF161" s="13"/>
      <c r="AG161" s="13"/>
      <c r="AH161" s="44"/>
      <c r="AI161" s="50"/>
      <c r="AJ161" s="50"/>
      <c r="AK161" s="13"/>
      <c r="AL161" s="50"/>
      <c r="AM161" s="13"/>
      <c r="AN161" t="s">
        <v>100</v>
      </c>
      <c r="AO161" s="13">
        <f t="shared" si="149"/>
        <v>0</v>
      </c>
      <c r="AP161" s="14">
        <f t="shared" si="150"/>
        <v>72.690276497864218</v>
      </c>
      <c r="AQ161" s="16">
        <f t="shared" si="151"/>
        <v>0</v>
      </c>
      <c r="AR161" s="14">
        <f t="shared" si="152"/>
        <v>57.376620155257633</v>
      </c>
      <c r="AS161" s="16">
        <f t="shared" si="153"/>
        <v>0</v>
      </c>
      <c r="AT161" s="14">
        <f t="shared" si="154"/>
        <v>44.814618570507889</v>
      </c>
      <c r="AU161" s="16">
        <f t="shared" si="155"/>
        <v>0</v>
      </c>
      <c r="AV161" s="14">
        <f t="shared" si="156"/>
        <v>34.712292943026675</v>
      </c>
      <c r="AW161" s="16">
        <f t="shared" si="157"/>
        <v>0</v>
      </c>
      <c r="AX161" s="14">
        <f t="shared" si="158"/>
        <v>26.425229707013109</v>
      </c>
      <c r="AY161" s="16">
        <f t="shared" si="159"/>
        <v>7.9491477305149889</v>
      </c>
      <c r="AZ161" s="14">
        <f t="shared" si="160"/>
        <v>19.483714082779059</v>
      </c>
      <c r="BA161" s="16">
        <f t="shared" si="161"/>
        <v>6.6918166134996104</v>
      </c>
      <c r="BB161" s="14">
        <f t="shared" si="162"/>
        <v>13.281438462559318</v>
      </c>
      <c r="BC161" s="16">
        <f t="shared" si="163"/>
        <v>5.4025799482025025</v>
      </c>
      <c r="BD161" s="14">
        <f t="shared" si="164"/>
        <v>7.2897889969830754</v>
      </c>
      <c r="BE161" s="16">
        <f t="shared" si="165"/>
        <v>4.0957710891621408</v>
      </c>
      <c r="BF161" s="14">
        <f t="shared" si="166"/>
        <v>0.82022462339318736</v>
      </c>
      <c r="BG161" s="16">
        <f t="shared" si="167"/>
        <v>2.7879852285284317</v>
      </c>
      <c r="BH161" s="14">
        <f t="shared" si="168"/>
        <v>-7.6452176359462669</v>
      </c>
      <c r="BI161" s="16">
        <f t="shared" si="169"/>
        <v>1.5234754312080081</v>
      </c>
      <c r="BJ161" s="14">
        <f t="shared" si="170"/>
        <v>-24.080663969566604</v>
      </c>
      <c r="BK161" s="16">
        <f t="shared" si="171"/>
        <v>0.70403754412625652</v>
      </c>
      <c r="BL161" s="14">
        <f t="shared" si="172"/>
        <v>-90</v>
      </c>
      <c r="BM161" s="16">
        <f t="shared" si="173"/>
        <v>1.5234754312080085</v>
      </c>
      <c r="BN161" s="14">
        <f t="shared" si="174"/>
        <v>204.08066396956664</v>
      </c>
      <c r="BO161" s="16">
        <f t="shared" si="175"/>
        <v>2.7879852285284321</v>
      </c>
      <c r="BP161" s="14">
        <f t="shared" si="176"/>
        <v>187.64521763594627</v>
      </c>
      <c r="BQ161" s="16">
        <f t="shared" si="177"/>
        <v>4.0957710891621408</v>
      </c>
      <c r="BR161" s="14">
        <f t="shared" si="178"/>
        <v>179.17977537660681</v>
      </c>
      <c r="BS161" s="16">
        <f t="shared" si="179"/>
        <v>5.4025799482025025</v>
      </c>
      <c r="BT161" s="14">
        <f t="shared" si="180"/>
        <v>172.71021100301692</v>
      </c>
      <c r="BU161" s="16">
        <f t="shared" si="181"/>
        <v>6.6918166134996104</v>
      </c>
      <c r="BV161" s="14">
        <f t="shared" si="182"/>
        <v>166.71856153744068</v>
      </c>
      <c r="BW161" s="16">
        <f t="shared" si="183"/>
        <v>7.9491477305149889</v>
      </c>
      <c r="BX161" s="14">
        <f t="shared" si="184"/>
        <v>160.51628591722096</v>
      </c>
      <c r="BY161" s="16">
        <f t="shared" si="185"/>
        <v>0</v>
      </c>
      <c r="BZ161" s="14">
        <f t="shared" si="186"/>
        <v>153.57477029298687</v>
      </c>
      <c r="CA161" s="16">
        <f t="shared" si="187"/>
        <v>0</v>
      </c>
      <c r="CB161" s="14">
        <f t="shared" si="188"/>
        <v>145.28770705697332</v>
      </c>
      <c r="CC161" s="16">
        <f t="shared" si="189"/>
        <v>0</v>
      </c>
      <c r="CD161" s="14">
        <f t="shared" si="190"/>
        <v>135.18538142949211</v>
      </c>
      <c r="CE161" s="16">
        <f t="shared" si="191"/>
        <v>0</v>
      </c>
      <c r="CF161" s="14">
        <f t="shared" si="192"/>
        <v>122.62337984474239</v>
      </c>
      <c r="CG161" s="16">
        <f t="shared" si="193"/>
        <v>0</v>
      </c>
      <c r="CH161" s="14">
        <f t="shared" si="194"/>
        <v>107.3097235021358</v>
      </c>
      <c r="CI161" s="16">
        <f t="shared" si="195"/>
        <v>0</v>
      </c>
      <c r="CJ161" s="14" t="e">
        <f t="shared" si="196"/>
        <v>#NUM!</v>
      </c>
    </row>
    <row r="162" spans="1:88" x14ac:dyDescent="0.25">
      <c r="A162">
        <v>-7</v>
      </c>
      <c r="B162">
        <f t="shared" si="136"/>
        <v>5.6568542494923806</v>
      </c>
      <c r="C162">
        <f t="shared" si="137"/>
        <v>-5.6568542494923806</v>
      </c>
      <c r="D162">
        <f t="shared" si="145"/>
        <v>3.872983346207417</v>
      </c>
      <c r="E162">
        <f t="shared" si="146"/>
        <v>-3.872983346207417</v>
      </c>
      <c r="F162">
        <f t="shared" si="147"/>
        <v>0</v>
      </c>
      <c r="G162">
        <f t="shared" si="148"/>
        <v>0</v>
      </c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52"/>
      <c r="S162" s="152"/>
      <c r="T162" s="13"/>
      <c r="U162" s="13"/>
      <c r="V162" s="13"/>
      <c r="W162" s="44"/>
      <c r="X162" s="13"/>
      <c r="Y162" s="13"/>
      <c r="Z162" s="13"/>
      <c r="AA162" s="13"/>
      <c r="AB162" s="13"/>
      <c r="AC162" s="152"/>
      <c r="AD162" s="152"/>
      <c r="AE162" s="13"/>
      <c r="AF162" s="13"/>
      <c r="AG162" s="13"/>
      <c r="AH162" s="44"/>
      <c r="AI162" s="13"/>
      <c r="AJ162" s="13"/>
      <c r="AK162" s="13"/>
      <c r="AL162" s="13"/>
      <c r="AM162" s="13"/>
      <c r="AN162" t="s">
        <v>99</v>
      </c>
      <c r="AO162" s="13">
        <f>+IF(SQRT((AO154^2)+(AP154^2))&gt;9,0,SQRT((AO154^2)+(AP154^2)))</f>
        <v>0</v>
      </c>
      <c r="AP162" s="14">
        <f>+DEGREES(ATAN2(AO154,AP154))</f>
        <v>73.037777093012409</v>
      </c>
      <c r="AQ162" s="16">
        <f>+IF(SQRT((AQ154^2)+(AR154^2))&gt;9,0,SQRT((AQ154^2)+(AR154^2)))</f>
        <v>0</v>
      </c>
      <c r="AR162" s="14">
        <f>+DEGREES(ATAN2(AQ154,AR154))</f>
        <v>57.994776292287042</v>
      </c>
      <c r="AS162" s="16">
        <f>+IF(SQRT((AS154^2)+(AT154^2))&gt;9,0,SQRT((AS154^2)+(AT154^2)))</f>
        <v>0</v>
      </c>
      <c r="AT162" s="14">
        <f>+DEGREES(ATAN2(AS154,AT154))</f>
        <v>45.627435722185737</v>
      </c>
      <c r="AU162" s="16">
        <f>+IF(SQRT((AU154^2)+(AV154^2))&gt;9,0,SQRT((AU154^2)+(AV154^2)))</f>
        <v>0</v>
      </c>
      <c r="AV162" s="14">
        <f>+DEGREES(ATAN2(AU154,AV154))</f>
        <v>35.691409005347332</v>
      </c>
      <c r="AW162" s="16">
        <f>+IF(SQRT((AW154^2)+(AX154^2))&gt;9,0,SQRT((AW154^2)+(AX154^2)))</f>
        <v>0</v>
      </c>
      <c r="AX162" s="14">
        <f>+DEGREES(ATAN2(AW154,AX154))</f>
        <v>27.595826733393398</v>
      </c>
      <c r="AY162" s="16">
        <f>+IF(SQRT((AY154^2)+(AZ154^2))&gt;9,0,SQRT((AY154^2)+(AZ154^2)))</f>
        <v>7.8847945032680835</v>
      </c>
      <c r="AZ162" s="14">
        <f>+DEGREES(ATAN2(AY154,AZ154))</f>
        <v>20.761233419723805</v>
      </c>
      <c r="BA162" s="16">
        <f>+IF(SQRT((BA154^2)+(BB154^2))&gt;9,0,SQRT((BA154^2)+(BB154^2)))</f>
        <v>6.6363995450640365</v>
      </c>
      <c r="BB162" s="14">
        <f>+DEGREES(ATAN2(BA154,BB154))</f>
        <v>14.69392403052011</v>
      </c>
      <c r="BC162" s="16">
        <f>+IF(SQRT((BC154^2)+(BD154^2))&gt;9,0,SQRT((BC154^2)+(BD154^2)))</f>
        <v>5.3537637276195609</v>
      </c>
      <c r="BD162" s="14">
        <f>+DEGREES(ATAN2(BC154,BD154))</f>
        <v>8.9296505601242746</v>
      </c>
      <c r="BE162" s="16">
        <f>+IF(SQRT((BE154^2)+(BF154^2))&gt;9,0,SQRT((BE154^2)+(BF154^2)))</f>
        <v>4.0505375194811268</v>
      </c>
      <c r="BF162" s="14">
        <f>+DEGREES(ATAN2(BE154,BF154))</f>
        <v>2.8672252708378072</v>
      </c>
      <c r="BG162" s="16">
        <f>+IF(SQRT((BG154^2)+(BH154^2))&gt;9,0,SQRT((BG154^2)+(BH154^2)))</f>
        <v>2.7406893905910499</v>
      </c>
      <c r="BH162" s="14">
        <f>+DEGREES(ATAN2(BG154,BH154))</f>
        <v>-4.7815800282462684</v>
      </c>
      <c r="BI162" s="16">
        <f>+IF(SQRT((BI154^2)+(BJ154^2))&gt;9,0,SQRT((BI154^2)+(BJ154^2)))</f>
        <v>1.456649529400198</v>
      </c>
      <c r="BJ162" s="14">
        <f>+DEGREES(ATAN2(BI154,BJ154))</f>
        <v>-19.249068609368962</v>
      </c>
      <c r="BK162" s="16">
        <f>+IF(SQRT((BK154^2)+(BL154^2))&gt;9,0,SQRT((BK154^2)+(BL154^2)))</f>
        <v>0.56302171531863721</v>
      </c>
      <c r="BL162" s="14">
        <f>+DEGREES(ATAN2(BK154,BL154))</f>
        <v>-90</v>
      </c>
      <c r="BM162" s="16">
        <f>+IF(SQRT((BM154^2)+(BN154^2))&gt;9,0,SQRT((BM154^2)+(BN154^2)))</f>
        <v>1.456649529400198</v>
      </c>
      <c r="BN162" s="14">
        <f>+IF(DEGREES(ATAN2(BM154,BN154))&lt;0,360+DEGREES(ATAN2(BM154,BN154)),DEGREES(ATAN2(BM154,BN154)))</f>
        <v>199.24906860936898</v>
      </c>
      <c r="BO162" s="16">
        <f>+IF(SQRT((BO154^2)+(BP154^2))&gt;9,0,SQRT((BO154^2)+(BP154^2)))</f>
        <v>2.7406893905910494</v>
      </c>
      <c r="BP162" s="14">
        <f>+IF(DEGREES(ATAN2(BO154,BP154))&lt;0,360+DEGREES(ATAN2(BO154,BP154)),DEGREES(ATAN2(BO154,BP154)))</f>
        <v>184.78158002824625</v>
      </c>
      <c r="BQ162" s="16">
        <f>+IF(SQRT((BQ154^2)+(BR154^2))&gt;9,0,SQRT((BQ154^2)+(BR154^2)))</f>
        <v>4.0505375194811268</v>
      </c>
      <c r="BR162" s="14">
        <f>+IF(DEGREES(ATAN2(BQ154,BR154))&lt;0,360+DEGREES(ATAN2(BQ154,BR154)),DEGREES(ATAN2(BQ154,BR154)))</f>
        <v>177.13277472916218</v>
      </c>
      <c r="BS162" s="16">
        <f>+IF(SQRT((BS154^2)+(BT154^2))&gt;9,0,SQRT((BS154^2)+(BT154^2)))</f>
        <v>5.3537637276195609</v>
      </c>
      <c r="BT162" s="14">
        <f>+IF(DEGREES(ATAN2(BS154,BT154))&lt;0,360+DEGREES(ATAN2(BS154,BT154)),DEGREES(ATAN2(BS154,BT154)))</f>
        <v>171.07034943987571</v>
      </c>
      <c r="BU162" s="16">
        <f>+IF(SQRT((BU154^2)+(BV154^2))&gt;9,0,SQRT((BU154^2)+(BV154^2)))</f>
        <v>6.6363995450640365</v>
      </c>
      <c r="BV162" s="14">
        <f>+IF(DEGREES(ATAN2(BU154,BV154))&lt;0,360+DEGREES(ATAN2(BU154,BV154)),DEGREES(ATAN2(BU154,BV154)))</f>
        <v>165.30607596947988</v>
      </c>
      <c r="BW162" s="16">
        <f>+IF(SQRT((BW154^2)+(BX154^2))&gt;9,0,SQRT((BW154^2)+(BX154^2)))</f>
        <v>7.8847945032680844</v>
      </c>
      <c r="BX162" s="14">
        <f>+IF(DEGREES(ATAN2(BW154,BX154))&lt;0,360+DEGREES(ATAN2(BW154,BX154)),DEGREES(ATAN2(BW154,BX154)))</f>
        <v>159.23876658027621</v>
      </c>
      <c r="BY162" s="16">
        <f>+IF(SQRT((BY154^2)+(BZ154^2))&gt;9,0,SQRT((BY154^2)+(BZ154^2)))</f>
        <v>0</v>
      </c>
      <c r="BZ162" s="14">
        <f>+IF(DEGREES(ATAN2(BY154,BZ154))&lt;0,360+DEGREES(ATAN2(BY154,BZ154)),DEGREES(ATAN2(BY154,BZ154)))</f>
        <v>152.40417326660662</v>
      </c>
      <c r="CA162" s="16">
        <f>+IF(SQRT((CA154^2)+(CB154^2))&gt;9,0,SQRT((CA154^2)+(CB154^2)))</f>
        <v>0</v>
      </c>
      <c r="CB162" s="14">
        <f>+IF(DEGREES(ATAN2(CA154,CB154))&lt;0,360+DEGREES(ATAN2(CA154,CB154)),DEGREES(ATAN2(CA154,CB154)))</f>
        <v>144.30859099465266</v>
      </c>
      <c r="CC162" s="16">
        <f>+IF(SQRT((CC154^2)+(CD154^2))&gt;9,0,SQRT((CC154^2)+(CD154^2)))</f>
        <v>0</v>
      </c>
      <c r="CD162" s="14">
        <f>+IF(DEGREES(ATAN2(CC154,CD154))&lt;0,360+DEGREES(ATAN2(CC154,CD154)),DEGREES(ATAN2(CC154,CD154)))</f>
        <v>134.37256427781426</v>
      </c>
      <c r="CE162" s="16">
        <f>+IF(SQRT((CE154^2)+(CF154^2))&gt;9,0,SQRT((CE154^2)+(CF154^2)))</f>
        <v>0</v>
      </c>
      <c r="CF162" s="14">
        <f>+IF(DEGREES(ATAN2(CE154,CF154))&lt;0,360+DEGREES(ATAN2(CE154,CF154)),DEGREES(ATAN2(CE154,CF154)))</f>
        <v>122.00522370771297</v>
      </c>
      <c r="CG162" s="16">
        <f>+IF(SQRT((CG154^2)+(CH154^2))&gt;9,0,SQRT((CG154^2)+(CH154^2)))</f>
        <v>0</v>
      </c>
      <c r="CH162" s="14">
        <f>+IF(DEGREES(ATAN2(CG154,CH154))&lt;0,360+DEGREES(ATAN2(CG154,CH154)),DEGREES(ATAN2(CG154,CH154)))</f>
        <v>106.96222290698759</v>
      </c>
      <c r="CI162" s="16">
        <f>+IF(SQRT((CI154^2)+(CJ154^2))&gt;9,0,SQRT((CI154^2)+(CJ154^2)))</f>
        <v>0</v>
      </c>
      <c r="CJ162" s="14">
        <f>+IF(DEGREES(ATAN2(CI154,CJ154))&lt;0,360+DEGREES(ATAN2(CI154,CJ154)),DEGREES(ATAN2(CI154,CJ154)))</f>
        <v>90</v>
      </c>
    </row>
    <row r="163" spans="1:88" x14ac:dyDescent="0.25">
      <c r="A163">
        <v>-7.1</v>
      </c>
      <c r="B163">
        <f t="shared" si="136"/>
        <v>5.5308227236099334</v>
      </c>
      <c r="C163">
        <f t="shared" si="137"/>
        <v>-5.5308227236099334</v>
      </c>
      <c r="D163">
        <f t="shared" si="145"/>
        <v>3.6864617182333528</v>
      </c>
      <c r="E163">
        <f t="shared" si="146"/>
        <v>-3.6864617182333528</v>
      </c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52"/>
      <c r="S163" s="152"/>
      <c r="T163" s="13"/>
      <c r="U163" s="13"/>
      <c r="V163" s="13"/>
      <c r="W163" s="44"/>
      <c r="X163" s="13"/>
      <c r="Y163" s="13"/>
      <c r="Z163" s="13"/>
      <c r="AA163" s="13"/>
      <c r="AB163" s="13"/>
      <c r="AC163" s="152"/>
      <c r="AD163" s="152"/>
      <c r="AE163" s="13"/>
      <c r="AF163" s="13"/>
      <c r="AG163" s="13"/>
      <c r="AH163" s="44"/>
      <c r="AI163" s="13"/>
      <c r="AJ163" s="13"/>
      <c r="AK163" s="13"/>
      <c r="AL163" s="13"/>
      <c r="AM163" s="13"/>
      <c r="AN163" s="152"/>
      <c r="AO163" s="152" t="s">
        <v>89</v>
      </c>
      <c r="AP163" s="151" t="s">
        <v>93</v>
      </c>
      <c r="AQ163" s="150" t="s">
        <v>89</v>
      </c>
      <c r="AR163" s="151" t="s">
        <v>93</v>
      </c>
      <c r="AS163" s="150" t="s">
        <v>89</v>
      </c>
      <c r="AT163" s="151" t="s">
        <v>93</v>
      </c>
      <c r="AU163" s="150" t="s">
        <v>89</v>
      </c>
      <c r="AV163" s="151" t="s">
        <v>93</v>
      </c>
      <c r="AW163" s="150" t="s">
        <v>89</v>
      </c>
      <c r="AX163" s="151" t="s">
        <v>93</v>
      </c>
      <c r="AY163" s="150" t="s">
        <v>89</v>
      </c>
      <c r="AZ163" s="151" t="s">
        <v>93</v>
      </c>
      <c r="BA163" s="150" t="s">
        <v>89</v>
      </c>
      <c r="BB163" s="151" t="s">
        <v>93</v>
      </c>
      <c r="BC163" s="150" t="s">
        <v>89</v>
      </c>
      <c r="BD163" s="151" t="s">
        <v>93</v>
      </c>
      <c r="BE163" s="150" t="s">
        <v>89</v>
      </c>
      <c r="BF163" s="151" t="s">
        <v>93</v>
      </c>
      <c r="BG163" s="150" t="s">
        <v>89</v>
      </c>
      <c r="BH163" s="151" t="s">
        <v>93</v>
      </c>
      <c r="BI163" s="150" t="s">
        <v>89</v>
      </c>
      <c r="BJ163" s="151" t="s">
        <v>93</v>
      </c>
      <c r="BK163" s="150" t="s">
        <v>89</v>
      </c>
      <c r="BL163" s="151" t="s">
        <v>93</v>
      </c>
      <c r="BM163" s="150" t="s">
        <v>89</v>
      </c>
      <c r="BN163" s="151" t="s">
        <v>93</v>
      </c>
      <c r="BO163" s="150" t="s">
        <v>89</v>
      </c>
      <c r="BP163" s="151" t="s">
        <v>93</v>
      </c>
      <c r="BQ163" s="150" t="s">
        <v>89</v>
      </c>
      <c r="BR163" s="151" t="s">
        <v>93</v>
      </c>
      <c r="BS163" s="150" t="s">
        <v>89</v>
      </c>
      <c r="BT163" s="151" t="s">
        <v>93</v>
      </c>
      <c r="BU163" s="150" t="s">
        <v>89</v>
      </c>
      <c r="BV163" s="151" t="s">
        <v>93</v>
      </c>
      <c r="BW163" s="150" t="s">
        <v>89</v>
      </c>
      <c r="BX163" s="151" t="s">
        <v>93</v>
      </c>
      <c r="BY163" s="150" t="s">
        <v>89</v>
      </c>
      <c r="BZ163" s="151" t="s">
        <v>93</v>
      </c>
      <c r="CA163" s="150" t="s">
        <v>89</v>
      </c>
      <c r="CB163" s="151" t="s">
        <v>93</v>
      </c>
      <c r="CC163" s="150" t="s">
        <v>89</v>
      </c>
      <c r="CD163" s="151" t="s">
        <v>93</v>
      </c>
      <c r="CE163" s="150" t="s">
        <v>89</v>
      </c>
      <c r="CF163" s="151" t="s">
        <v>93</v>
      </c>
      <c r="CG163" s="150" t="s">
        <v>89</v>
      </c>
      <c r="CH163" s="151" t="s">
        <v>93</v>
      </c>
      <c r="CI163" s="150" t="s">
        <v>89</v>
      </c>
      <c r="CJ163" s="151" t="s">
        <v>93</v>
      </c>
    </row>
    <row r="164" spans="1:88" x14ac:dyDescent="0.25">
      <c r="A164">
        <v>-7.2</v>
      </c>
      <c r="B164">
        <f t="shared" si="136"/>
        <v>5.3999999999999995</v>
      </c>
      <c r="C164">
        <f t="shared" si="137"/>
        <v>-5.3999999999999995</v>
      </c>
      <c r="D164">
        <f t="shared" si="145"/>
        <v>3.4871191548325382</v>
      </c>
      <c r="E164">
        <f t="shared" si="146"/>
        <v>-3.4871191548325382</v>
      </c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52"/>
      <c r="S164" s="152"/>
      <c r="T164" s="13"/>
      <c r="U164" s="13"/>
      <c r="V164" s="13"/>
      <c r="W164" s="44"/>
      <c r="X164" s="13"/>
      <c r="Y164" s="13"/>
      <c r="Z164" s="13"/>
      <c r="AA164" s="13"/>
      <c r="AB164" s="13"/>
      <c r="AC164" s="152"/>
      <c r="AD164" s="152"/>
      <c r="AE164" s="13"/>
      <c r="AF164" s="13"/>
      <c r="AG164" s="13"/>
      <c r="AH164" s="44"/>
      <c r="AI164" s="13"/>
      <c r="AJ164" s="13"/>
      <c r="AK164" s="13"/>
      <c r="AL164" s="13"/>
      <c r="AM164" s="13"/>
      <c r="AN164" s="13" t="s">
        <v>105</v>
      </c>
      <c r="AO164" s="13">
        <f>+IF(SQRT((AO148^2)+(AP148^2))&gt;9,0,SQRT((AO148^2)+(AP148^2)))</f>
        <v>0</v>
      </c>
      <c r="AP164" s="14">
        <f>+DEGREES(ATAN2(AO148,AP148))</f>
        <v>20.795607288989288</v>
      </c>
      <c r="AQ164" s="16">
        <f>+IF(SQRT((AQ148^2)+(AR148^2))&gt;9,0,SQRT((AQ148^2)+(AR148^2)))</f>
        <v>0</v>
      </c>
      <c r="AR164" s="14">
        <f>+DEGREES(ATAN2(AQ148,AR148))</f>
        <v>5.6809554829932836</v>
      </c>
      <c r="AS164" s="16">
        <f>+IF(SQRT((AS148^2)+(AT148^2))&gt;9,0,SQRT((AS148^2)+(AT148^2)))</f>
        <v>0</v>
      </c>
      <c r="AT164" s="14">
        <f>+DEGREES(ATAN2(AS148,AT148))</f>
        <v>-2.2271995897223182</v>
      </c>
      <c r="AU164" s="16">
        <f>+IF(SQRT((AU148^2)+(AV148^2))&gt;9,0,SQRT((AU148^2)+(AV148^2)))</f>
        <v>0</v>
      </c>
      <c r="AV164" s="14">
        <f>+DEGREES(ATAN2(AU148,AV148))</f>
        <v>-8.4179445304480254</v>
      </c>
      <c r="AW164" s="16">
        <f>+IF(SQRT((AW148^2)+(AX148^2))&gt;9,0,SQRT((AW148^2)+(AX148^2)))</f>
        <v>0</v>
      </c>
      <c r="AX164" s="14">
        <f>+DEGREES(ATAN2(AW148,AX148))</f>
        <v>-14.253790121525386</v>
      </c>
      <c r="AY164" s="16">
        <f>+IF(SQRT((AY148^2)+(AZ148^2))&gt;9,0,SQRT((AY148^2)+(AZ148^2)))</f>
        <v>0</v>
      </c>
      <c r="AZ164" s="14">
        <f>+DEGREES(ATAN2(AY148,AZ148))</f>
        <v>-20.363709114945408</v>
      </c>
      <c r="BA164" s="16">
        <f>+IF(SQRT((BA148^2)+(BB148^2))&gt;9,0,SQRT((BA148^2)+(BB148^2)))</f>
        <v>8.8957412298918097</v>
      </c>
      <c r="BB164" s="14">
        <f>+DEGREES(ATAN2(BA148,BB148))</f>
        <v>-27.225862979151785</v>
      </c>
      <c r="BC164" s="16">
        <f>+IF(SQRT((BC148^2)+(BD148^2))&gt;9,0,SQRT((BC148^2)+(BD148^2)))</f>
        <v>7.7748622701407051</v>
      </c>
      <c r="BD164" s="14">
        <f>+DEGREES(ATAN2(BC148,BD148))</f>
        <v>-35.344520952247308</v>
      </c>
      <c r="BE164" s="16">
        <f>+IF(SQRT((BE148^2)+(BF148^2))&gt;9,0,SQRT((BE148^2)+(BF148^2)))</f>
        <v>6.7740781174458462</v>
      </c>
      <c r="BF164" s="14">
        <f>+DEGREES(ATAN2(BE148,BF148))</f>
        <v>-45.312046945778157</v>
      </c>
      <c r="BG164" s="16">
        <f>+IF(SQRT((BG148^2)+(BH148^2))&gt;9,0,SQRT((BG148^2)+(BH148^2)))</f>
        <v>5.9560290345739935</v>
      </c>
      <c r="BH164" s="14">
        <f>+DEGREES(ATAN2(BG148,BH148))</f>
        <v>-57.738198252116575</v>
      </c>
      <c r="BI164" s="16">
        <f>+IF(SQRT((BI148^2)+(BJ148^2))&gt;9,0,SQRT((BI148^2)+(BJ148^2)))</f>
        <v>5.4056218619913654</v>
      </c>
      <c r="BJ164" s="14">
        <f>+DEGREES(ATAN2(BI148,BJ148))</f>
        <v>-72.887370999294632</v>
      </c>
      <c r="BK164" s="16">
        <f>+IF(SQRT((BK148^2)+(BL148^2))&gt;9,0,SQRT((BK148^2)+(BL148^2)))</f>
        <v>5.2091636727869233</v>
      </c>
      <c r="BL164" s="14">
        <f>+DEGREES(ATAN2(BK148,BL148))</f>
        <v>-90</v>
      </c>
      <c r="BM164" s="16">
        <f>+IF(SQRT((BM148^2)+(BN148^2))&gt;9,0,SQRT((BM148^2)+(BN148^2)))</f>
        <v>5.4056218619913654</v>
      </c>
      <c r="BN164" s="14">
        <f>+IF(DEGREES(ATAN2(BM148,BN148))&lt;0,360+DEGREES(ATAN2(BM148,BN148)),DEGREES(ATAN2(BM148,BN148)))</f>
        <v>252.8873709992946</v>
      </c>
      <c r="BO164" s="16">
        <f>+IF(SQRT((BO148^2)+(BP148^2))&gt;9,0,SQRT((BO148^2)+(BP148^2)))</f>
        <v>5.9560290345739952</v>
      </c>
      <c r="BP164" s="14">
        <f>+IF(DEGREES(ATAN2(BO148,BP148))&lt;0,360+DEGREES(ATAN2(BO148,BP148)),DEGREES(ATAN2(BO148,BP148)))</f>
        <v>237.7381982521166</v>
      </c>
      <c r="BQ164" s="16">
        <f>+IF(SQRT((BQ148^2)+(BR148^2))&gt;9,0,SQRT((BQ148^2)+(BR148^2)))</f>
        <v>6.7740781174458462</v>
      </c>
      <c r="BR164" s="14">
        <f>+IF(DEGREES(ATAN2(BQ148,BR148))&lt;0,360+DEGREES(ATAN2(BQ148,BR148)),DEGREES(ATAN2(BQ148,BR148)))</f>
        <v>225.31204694577818</v>
      </c>
      <c r="BS164" s="16">
        <f>+IF(SQRT((BS148^2)+(BT148^2))&gt;9,0,SQRT((BS148^2)+(BT148^2)))</f>
        <v>7.7748622701407042</v>
      </c>
      <c r="BT164" s="14">
        <f>+IF(DEGREES(ATAN2(BS148,BT148))&lt;0,360+DEGREES(ATAN2(BS148,BT148)),DEGREES(ATAN2(BS148,BT148)))</f>
        <v>215.34452095224731</v>
      </c>
      <c r="BU164" s="16">
        <f>+IF(SQRT((BU148^2)+(BV148^2))&gt;9,0,SQRT((BU148^2)+(BV148^2)))</f>
        <v>8.8957412298918097</v>
      </c>
      <c r="BV164" s="14">
        <f>+IF(DEGREES(ATAN2(BU148,BV148))&lt;0,360+DEGREES(ATAN2(BU148,BV148)),DEGREES(ATAN2(BU148,BV148)))</f>
        <v>207.22586297915177</v>
      </c>
      <c r="BW164" s="16">
        <f>+IF(SQRT((BW148^2)+(BX148^2))&gt;9,0,SQRT((BW148^2)+(BX148^2)))</f>
        <v>0</v>
      </c>
      <c r="BX164" s="14">
        <f>+IF(DEGREES(ATAN2(BW148,BX148))&lt;0,360+DEGREES(ATAN2(BW148,BX148)),DEGREES(ATAN2(BW148,BX148)))</f>
        <v>200.36370911494541</v>
      </c>
      <c r="BY164" s="16">
        <f>+IF(SQRT((BY148^2)+(BZ148^2))&gt;9,0,SQRT((BY148^2)+(BZ148^2)))</f>
        <v>0</v>
      </c>
      <c r="BZ164" s="14">
        <f>+IF(DEGREES(ATAN2(BY148,BZ148))&lt;0,360+DEGREES(ATAN2(BY148,BZ148)),DEGREES(ATAN2(BY148,BZ148)))</f>
        <v>194.25379012152538</v>
      </c>
      <c r="CA164" s="16">
        <f>+IF(SQRT((CA148^2)+(CB148^2))&gt;9,0,SQRT((CA148^2)+(CB148^2)))</f>
        <v>0</v>
      </c>
      <c r="CB164" s="14">
        <f>+IF(DEGREES(ATAN2(CA148,CB148))&lt;0,360+DEGREES(ATAN2(CA148,CB148)),DEGREES(ATAN2(CA148,CB148)))</f>
        <v>188.41794453044804</v>
      </c>
      <c r="CC164" s="16">
        <f>+IF(SQRT((CC148^2)+(CD148^2))&gt;9,0,SQRT((CC148^2)+(CD148^2)))</f>
        <v>0</v>
      </c>
      <c r="CD164" s="14">
        <f>+IF(DEGREES(ATAN2(CC148,CD148))&lt;0,360+DEGREES(ATAN2(CC148,CD148)),DEGREES(ATAN2(CC148,CD148)))</f>
        <v>182.22719958972232</v>
      </c>
      <c r="CE164" s="16">
        <f>+IF(SQRT((CE148^2)+(CF148^2))&gt;9,0,SQRT((CE148^2)+(CF148^2)))</f>
        <v>0</v>
      </c>
      <c r="CF164" s="14">
        <f>+IF(DEGREES(ATAN2(CE148,CF148))&lt;0,360+DEGREES(ATAN2(CE148,CF148)),DEGREES(ATAN2(CE148,CF148)))</f>
        <v>174.31904451700672</v>
      </c>
      <c r="CG164" s="16">
        <f>+IF(SQRT((CG148^2)+(CH148^2))&gt;9,0,SQRT((CG148^2)+(CH148^2)))</f>
        <v>0</v>
      </c>
      <c r="CH164" s="14">
        <f>+IF(DEGREES(ATAN2(CG148,CH148))&lt;0,360+DEGREES(ATAN2(CG148,CH148)),DEGREES(ATAN2(CG148,CH148)))</f>
        <v>159.20439271101071</v>
      </c>
      <c r="CI164" s="16">
        <f>+IF(SQRT((CI148^2)+(CJ148^2))&gt;9,0,SQRT((CI148^2)+(CJ148^2)))</f>
        <v>0</v>
      </c>
      <c r="CJ164" s="14">
        <f>+IF(DEGREES(ATAN2(CI148,CJ148))&lt;0,360+DEGREES(ATAN2(CI148,CJ148)),DEGREES(ATAN2(CI148,CJ148)))</f>
        <v>90.000011454575471</v>
      </c>
    </row>
    <row r="165" spans="1:88" x14ac:dyDescent="0.25">
      <c r="A165">
        <v>-7.3</v>
      </c>
      <c r="B165">
        <f t="shared" si="136"/>
        <v>5.2640288753007427</v>
      </c>
      <c r="C165">
        <f t="shared" si="137"/>
        <v>-5.2640288753007427</v>
      </c>
      <c r="D165">
        <f t="shared" si="145"/>
        <v>3.2726136343907144</v>
      </c>
      <c r="E165">
        <f t="shared" si="146"/>
        <v>-3.2726136343907144</v>
      </c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52"/>
      <c r="S165" s="152"/>
      <c r="T165" s="13"/>
      <c r="U165" s="13"/>
      <c r="V165" s="13"/>
      <c r="W165" s="44"/>
      <c r="X165" s="13"/>
      <c r="Y165" s="13"/>
      <c r="Z165" s="13"/>
      <c r="AA165" s="13"/>
      <c r="AB165" s="13"/>
      <c r="AC165" s="152"/>
      <c r="AD165" s="152"/>
      <c r="AE165" s="13"/>
      <c r="AF165" s="13"/>
      <c r="AG165" s="13"/>
      <c r="AH165" s="44"/>
      <c r="AI165" s="13"/>
      <c r="AJ165" s="13"/>
      <c r="AK165" s="13"/>
      <c r="AL165" s="13"/>
      <c r="AM165" s="13"/>
      <c r="AN165" t="s">
        <v>104</v>
      </c>
      <c r="AO165" s="13">
        <f t="shared" ref="AO165:AO170" si="197">+IF(AO164=0,0,IF(SQRT((AO149^2)+(AP149^2))&gt;9,9,SQRT((AO149^2)+(AP149^2))))</f>
        <v>0</v>
      </c>
      <c r="AP165" s="14">
        <f t="shared" ref="AP165:AP170" si="198">+IF(SQRT((AO149^2)+(AP149^2))&gt;9,(9-AO164)*(DEGREES(ATAN2(AO149,AP149))-AP164)/(SQRT((AO149^2)+(AP149^2))-AO164)+AP164,DEGREES(ATAN2(AO149,AP149)))</f>
        <v>29.685854910527052</v>
      </c>
      <c r="AQ165" s="16">
        <f t="shared" ref="AQ165:AQ170" si="199">+IF(AQ164=0,0,IF(SQRT((AQ149^2)+(AR149^2))&gt;9,9,SQRT((AQ149^2)+(AR149^2))))</f>
        <v>0</v>
      </c>
      <c r="AR165" s="14">
        <f t="shared" ref="AR165:AR170" si="200">+IF(SQRT((AQ149^2)+(AR149^2))&gt;9,(9-AQ164)*(DEGREES(ATAN2(AQ149,AR149))-AR164)/(SQRT((AQ149^2)+(AR149^2))-AQ164)+AR164,DEGREES(ATAN2(AQ149,AR149)))</f>
        <v>11.971331637541752</v>
      </c>
      <c r="AS165" s="16">
        <f t="shared" ref="AS165:AS170" si="201">+IF(AS164=0,0,IF(SQRT((AS149^2)+(AT149^2))&gt;9,9,SQRT((AS149^2)+(AT149^2))))</f>
        <v>0</v>
      </c>
      <c r="AT165" s="14">
        <f t="shared" ref="AT165:AT170" si="202">+IF(SQRT((AS149^2)+(AT149^2))&gt;9,(9-AS164)*(DEGREES(ATAN2(AS149,AT149))-AT164)/(SQRT((AS149^2)+(AT149^2))-AS164)+AT164,DEGREES(ATAN2(AS149,AT149)))</f>
        <v>2.8231667426385081</v>
      </c>
      <c r="AU165" s="16">
        <f t="shared" ref="AU165:AU170" si="203">+IF(AU164=0,0,IF(SQRT((AU149^2)+(AV149^2))&gt;9,9,SQRT((AU149^2)+(AV149^2))))</f>
        <v>0</v>
      </c>
      <c r="AV165" s="14">
        <f t="shared" ref="AV165:AV170" si="204">+IF(SQRT((AU149^2)+(AV149^2))&gt;9,(9-AU164)*(DEGREES(ATAN2(AU149,AV149))-AV164)/(SQRT((AU149^2)+(AV149^2))-AU164)+AV164,DEGREES(ATAN2(AU149,AV149)))</f>
        <v>-3.8927044509556064</v>
      </c>
      <c r="AW165" s="16">
        <f t="shared" ref="AW165:AW170" si="205">+IF(AW164=0,0,IF(SQRT((AW149^2)+(AX149^2))&gt;9,9,SQRT((AW149^2)+(AX149^2))))</f>
        <v>0</v>
      </c>
      <c r="AX165" s="14">
        <f t="shared" ref="AX165:AX170" si="206">+IF(SQRT((AW149^2)+(AX149^2))&gt;9,(9-AW164)*(DEGREES(ATAN2(AW149,AX149))-AX164)/(SQRT((AW149^2)+(AX149^2))-AW164)+AX164,DEGREES(ATAN2(AW149,AX149)))</f>
        <v>-9.8641884439416536</v>
      </c>
      <c r="AY165" s="16">
        <f t="shared" ref="AY165:AY170" si="207">+IF(AY164=0,0,IF(SQRT((AY149^2)+(AZ149^2))&gt;9,9,SQRT((AY149^2)+(AZ149^2))))</f>
        <v>0</v>
      </c>
      <c r="AZ165" s="14">
        <f t="shared" ref="AZ165:AZ170" si="208">+IF(SQRT((AY149^2)+(AZ149^2))&gt;9,(9-AY164)*(DEGREES(ATAN2(AY149,AZ149))-AZ164)/(SQRT((AY149^2)+(AZ149^2))-AY164)+AZ164,DEGREES(ATAN2(AY149,AZ149)))</f>
        <v>-15.842952667647058</v>
      </c>
      <c r="BA165" s="16">
        <f t="shared" ref="BA165:BA170" si="209">+IF(BA164=0,0,IF(SQRT((BA149^2)+(BB149^2))&gt;9,9,SQRT((BA149^2)+(BB149^2))))</f>
        <v>8.6019397609257542</v>
      </c>
      <c r="BB165" s="14">
        <f t="shared" ref="BB165:BB170" si="210">+IF(SQRT((BA149^2)+(BB149^2))&gt;9,(9-BA164)*(DEGREES(ATAN2(BA149,BB149))-BB164)/(SQRT((BA149^2)+(BB149^2))-BA164)+BB164,DEGREES(ATAN2(BA149,BB149)))</f>
        <v>-22.577107831979806</v>
      </c>
      <c r="BC165" s="16">
        <f t="shared" ref="BC165:BC170" si="211">+IF(BC164=0,0,IF(SQRT((BC149^2)+(BD149^2))&gt;9,9,SQRT((BC149^2)+(BD149^2))))</f>
        <v>7.4310549891352657</v>
      </c>
      <c r="BD165" s="14">
        <f t="shared" ref="BD165:BD170" si="212">+IF(SQRT((BC149^2)+(BD149^2))&gt;9,(9-BC164)*(DEGREES(ATAN2(BC149,BD149))-BD164)/(SQRT((BC149^2)+(BD149^2))-BC164)+BD164,DEGREES(ATAN2(BC149,BD149)))</f>
        <v>-30.926255195118465</v>
      </c>
      <c r="BE165" s="16">
        <f t="shared" ref="BE165:BE170" si="213">+IF(BE164=0,0,IF(SQRT((BE149^2)+(BF149^2))&gt;9,9,SQRT((BE149^2)+(BF149^2))))</f>
        <v>6.3702657787638408</v>
      </c>
      <c r="BF165" s="14">
        <f t="shared" ref="BF165:BF170" si="214">+IF(SQRT((BE149^2)+(BF149^2))&gt;9,(9-BE164)*(DEGREES(ATAN2(BE149,BF149))-BF164)/(SQRT((BE149^2)+(BF149^2))-BE164)+BF164,DEGREES(ATAN2(BE149,BF149)))</f>
        <v>-41.22199491730089</v>
      </c>
      <c r="BG165" s="16">
        <f t="shared" ref="BG165:BG170" si="215">+IF(BG164=0,0,IF(SQRT((BG149^2)+(BH149^2))&gt;9,9,SQRT((BG149^2)+(BH149^2))))</f>
        <v>5.4867084387173142</v>
      </c>
      <c r="BH165" s="14">
        <f t="shared" ref="BH165:BH170" si="216">+IF(SQRT((BG149^2)+(BH149^2))&gt;9,(9-BG164)*(DEGREES(ATAN2(BG149,BH149))-BH164)/(SQRT((BG149^2)+(BH149^2))-BG164)+BH164,DEGREES(ATAN2(BG149,BH149)))</f>
        <v>-54.335886410821551</v>
      </c>
      <c r="BI165" s="16">
        <f t="shared" ref="BI165:BI170" si="217">+IF(BI164=0,0,IF(SQRT((BI149^2)+(BJ149^2))&gt;9,9,SQRT((BI149^2)+(BJ149^2))))</f>
        <v>4.879661303453692</v>
      </c>
      <c r="BJ165" s="14">
        <f t="shared" ref="BJ165:BJ170" si="218">+IF(SQRT((BI149^2)+(BJ149^2))&gt;9,(9-BI164)*(DEGREES(ATAN2(BI149,BJ149))-BJ164)/(SQRT((BI149^2)+(BJ149^2))-BI164)+BJ164,DEGREES(ATAN2(BI149,BJ149)))</f>
        <v>-70.849477923090234</v>
      </c>
      <c r="BK165" s="16">
        <f t="shared" ref="BK165:BK170" si="219">+IF(BK164=0,0,IF(SQRT((BK149^2)+(BL149^2))&gt;9,9,SQRT((BK149^2)+(BL149^2))))</f>
        <v>4.6596495456484224</v>
      </c>
      <c r="BL165" s="14">
        <f t="shared" ref="BL165:BL170" si="220">+IF(SQRT((BK149^2)+(BL149^2))&gt;9,(9-BK164)*(DEGREES(ATAN2(BK149,BL149))-BL164)/(SQRT((BK149^2)+(BL149^2))-BK164)+BL164,DEGREES(ATAN2(BK149,BL149)))</f>
        <v>-90</v>
      </c>
      <c r="BM165" s="16">
        <f t="shared" ref="BM165:BM170" si="221">+IF(BM164=0,0,IF(SQRT((BM149^2)+(BN149^2))&gt;9,9,SQRT((BM149^2)+(BN149^2))))</f>
        <v>4.879661303453692</v>
      </c>
      <c r="BN165" s="14">
        <f t="shared" ref="BN165:BN170" si="222">+IF(SQRT((BM149^2)+(BN149^2))&gt;9,IF(DEGREES(ATAN2(BM149,BN149))&lt;0,(9-BM164)*(360+DEGREES(ATAN2(BM149,BN149))-BN164)/(SQRT((BM149^2)+(BN149^2))-BM164)+BN164,(9-BM164)*(DEGREES(ATAN2(BM149,BN149))-BN164)/(SQRT((BM149^2)+(BN149^2))-BM164)+BN164),IF(DEGREES(ATAN2(BM149,BN149))&lt;0,360+DEGREES(ATAN2(BM149,BN149)),DEGREES(ATAN2(BM149,BN149))))</f>
        <v>250.84947792309026</v>
      </c>
      <c r="BO165" s="16">
        <f t="shared" ref="BO165:BO170" si="223">+IF(BO164=0,0,IF(SQRT((BO149^2)+(BP149^2))&gt;9,9,SQRT((BO149^2)+(BP149^2))))</f>
        <v>5.4867084387173142</v>
      </c>
      <c r="BP165" s="14">
        <f t="shared" ref="BP165:BP170" si="224">+IF(SQRT((BO149^2)+(BP149^2))&gt;9,IF(DEGREES(ATAN2(BO149,BP149))&lt;0,(9-BO164)*(360+DEGREES(ATAN2(BO149,BP149))-BP164)/(SQRT((BO149^2)+(BP149^2))-BO164)+BP164,(9-BO164)*(DEGREES(ATAN2(BO149,BP149))-BP164)/(SQRT((BO149^2)+(BP149^2))-BO164)+BP164),IF(DEGREES(ATAN2(BO149,BP149))&lt;0,360+DEGREES(ATAN2(BO149,BP149)),DEGREES(ATAN2(BO149,BP149))))</f>
        <v>234.33588641082156</v>
      </c>
      <c r="BQ165" s="16">
        <f t="shared" ref="BQ165:BQ170" si="225">+IF(BQ164=0,0,IF(SQRT((BQ149^2)+(BR149^2))&gt;9,9,SQRT((BQ149^2)+(BR149^2))))</f>
        <v>6.3702657787638408</v>
      </c>
      <c r="BR165" s="14">
        <f t="shared" ref="BR165:BR170" si="226">+IF(SQRT((BQ149^2)+(BR149^2))&gt;9,IF(DEGREES(ATAN2(BQ149,BR149))&lt;0,(9-BQ164)*(360+DEGREES(ATAN2(BQ149,BR149))-BR164)/(SQRT((BQ149^2)+(BR149^2))-BQ164)+BR164,(9-BQ164)*(DEGREES(ATAN2(BQ149,BR149))-BR164)/(SQRT((BQ149^2)+(BR149^2))-BQ164)+BR164),IF(DEGREES(ATAN2(BQ149,BR149))&lt;0,360+DEGREES(ATAN2(BQ149,BR149)),DEGREES(ATAN2(BQ149,BR149))))</f>
        <v>221.22199491730089</v>
      </c>
      <c r="BS165" s="16">
        <f t="shared" ref="BS165:BS170" si="227">+IF(BS164=0,0,IF(SQRT((BS149^2)+(BT149^2))&gt;9,9,SQRT((BS149^2)+(BT149^2))))</f>
        <v>7.4310549891352657</v>
      </c>
      <c r="BT165" s="14">
        <f t="shared" ref="BT165:BT170" si="228">+IF(SQRT((BS149^2)+(BT149^2))&gt;9,IF(DEGREES(ATAN2(BS149,BT149))&lt;0,(9-BS164)*(360+DEGREES(ATAN2(BS149,BT149))-BT164)/(SQRT((BS149^2)+(BT149^2))-BS164)+BT164,(9-BS164)*(DEGREES(ATAN2(BS149,BT149))-BT164)/(SQRT((BS149^2)+(BT149^2))-BS164)+BT164),IF(DEGREES(ATAN2(BS149,BT149))&lt;0,360+DEGREES(ATAN2(BS149,BT149)),DEGREES(ATAN2(BS149,BT149))))</f>
        <v>210.92625519511847</v>
      </c>
      <c r="BU165" s="16">
        <f t="shared" ref="BU165:BU170" si="229">+IF(BU164=0,0,IF(SQRT((BU149^2)+(BV149^2))&gt;9,9,SQRT((BU149^2)+(BV149^2))))</f>
        <v>8.6019397609257542</v>
      </c>
      <c r="BV165" s="14">
        <f t="shared" ref="BV165:BV170" si="230">+IF(SQRT((BU149^2)+(BV149^2))&gt;9,IF(DEGREES(ATAN2(BU149,BV149))&lt;0,(9-BU164)*(360+DEGREES(ATAN2(BU149,BV149))-BV164)/(SQRT((BU149^2)+(BV149^2))-BU164)+BV164,(9-BU164)*(DEGREES(ATAN2(BU149,BV149))-BV164)/(SQRT((BU149^2)+(BV149^2))-BU164)+BV164),IF(DEGREES(ATAN2(BU149,BV149))&lt;0,360+DEGREES(ATAN2(BU149,BV149)),DEGREES(ATAN2(BU149,BV149))))</f>
        <v>202.57710783197982</v>
      </c>
      <c r="BW165" s="16">
        <f t="shared" ref="BW165:BW170" si="231">+IF(BW164=0,0,IF(SQRT((BW149^2)+(BX149^2))&gt;9,9,SQRT((BW149^2)+(BX149^2))))</f>
        <v>0</v>
      </c>
      <c r="BX165" s="14">
        <f t="shared" ref="BX165:BX170" si="232">+IF(SQRT((BW149^2)+(BX149^2))&gt;9,IF(DEGREES(ATAN2(BW149,BX149))&lt;0,(9-BW164)*(360+DEGREES(ATAN2(BW149,BX149))-BX164)/(SQRT((BW149^2)+(BX149^2))-BW164)+BX164,(9-BW164)*(DEGREES(ATAN2(BW149,BX149))-BX164)/(SQRT((BW149^2)+(BX149^2))-BW164)+BX164),IF(DEGREES(ATAN2(BW149,BX149))&lt;0,360+DEGREES(ATAN2(BW149,BX149)),DEGREES(ATAN2(BW149,BX149))))</f>
        <v>195.84295266764707</v>
      </c>
      <c r="BY165" s="16">
        <f t="shared" ref="BY165:BY170" si="233">+IF(BY164=0,0,IF(SQRT((BY149^2)+(BZ149^2))&gt;9,9,SQRT((BY149^2)+(BZ149^2))))</f>
        <v>0</v>
      </c>
      <c r="BZ165" s="14">
        <f t="shared" ref="BZ165:BZ170" si="234">+IF(SQRT((BY149^2)+(BZ149^2))&gt;9,IF(DEGREES(ATAN2(BY149,BZ149))&lt;0,(9-BY164)*(360+DEGREES(ATAN2(BY149,BZ149))-BZ164)/(SQRT((BY149^2)+(BZ149^2))-BY164)+BZ164,(9-BY164)*(DEGREES(ATAN2(BY149,BZ149))-BZ164)/(SQRT((BY149^2)+(BZ149^2))-BY164)+BZ164),IF(DEGREES(ATAN2(BY149,BZ149))&lt;0,360+DEGREES(ATAN2(BY149,BZ149)),DEGREES(ATAN2(BY149,BZ149))))</f>
        <v>189.86418844394166</v>
      </c>
      <c r="CA165" s="16">
        <f t="shared" ref="CA165:CA170" si="235">+IF(CA164=0,0,IF(SQRT((CA149^2)+(CB149^2))&gt;9,9,SQRT((CA149^2)+(CB149^2))))</f>
        <v>0</v>
      </c>
      <c r="CB165" s="14">
        <f t="shared" ref="CB165:CB170" si="236">+IF(SQRT((CA149^2)+(CB149^2))&gt;9,IF(DEGREES(ATAN2(CA149,CB149))&lt;0,(9-CA164)*(360+DEGREES(ATAN2(CA149,CB149))-CB164)/(SQRT((CA149^2)+(CB149^2))-CA164)+CB164,(9-CA164)*(DEGREES(ATAN2(CA149,CB149))-CB164)/(SQRT((CA149^2)+(CB149^2))-CA164)+CB164),IF(DEGREES(ATAN2(CA149,CB149))&lt;0,360+DEGREES(ATAN2(CA149,CB149)),DEGREES(ATAN2(CA149,CB149))))</f>
        <v>183.89270445095562</v>
      </c>
      <c r="CC165" s="16">
        <f t="shared" ref="CC165:CC170" si="237">+IF(CC164=0,0,IF(SQRT((CC149^2)+(CD149^2))&gt;9,9,SQRT((CC149^2)+(CD149^2))))</f>
        <v>0</v>
      </c>
      <c r="CD165" s="14">
        <f t="shared" ref="CD165:CD170" si="238">+IF(SQRT((CC149^2)+(CD149^2))&gt;9,IF(DEGREES(ATAN2(CC149,CD149))&lt;0,(9-CC164)*(360+DEGREES(ATAN2(CC149,CD149))-CD164)/(SQRT((CC149^2)+(CD149^2))-CC164)+CD164,(9-CC164)*(DEGREES(ATAN2(CC149,CD149))-CD164)/(SQRT((CC149^2)+(CD149^2))-CC164)+CD164),IF(DEGREES(ATAN2(CC149,CD149))&lt;0,360+DEGREES(ATAN2(CC149,CD149)),DEGREES(ATAN2(CC149,CD149))))</f>
        <v>177.17683325736149</v>
      </c>
      <c r="CE165" s="16">
        <f t="shared" ref="CE165:CE170" si="239">+IF(CE164=0,0,IF(SQRT((CE149^2)+(CF149^2))&gt;9,9,SQRT((CE149^2)+(CF149^2))))</f>
        <v>0</v>
      </c>
      <c r="CF165" s="14">
        <f t="shared" ref="CF165:CF170" si="240">+IF(SQRT((CE149^2)+(CF149^2))&gt;9,IF(DEGREES(ATAN2(CE149,CF149))&lt;0,(9-CE164)*(360+DEGREES(ATAN2(CE149,CF149))-CF164)/(SQRT((CE149^2)+(CF149^2))-CE164)+CF164,(9-CE164)*(DEGREES(ATAN2(CE149,CF149))-CF164)/(SQRT((CE149^2)+(CF149^2))-CE164)+CF164),IF(DEGREES(ATAN2(CE149,CF149))&lt;0,360+DEGREES(ATAN2(CE149,CF149)),DEGREES(ATAN2(CE149,CF149))))</f>
        <v>168.02866836245823</v>
      </c>
      <c r="CG165" s="16">
        <f t="shared" ref="CG165:CG170" si="241">+IF(CG164=0,0,IF(SQRT((CG149^2)+(CH149^2))&gt;9,9,SQRT((CG149^2)+(CH149^2))))</f>
        <v>0</v>
      </c>
      <c r="CH165" s="14">
        <f t="shared" ref="CH165:CH170" si="242">+IF(SQRT((CG149^2)+(CH149^2))&gt;9,IF(DEGREES(ATAN2(CG149,CH149))&lt;0,(9-CG164)*(360+DEGREES(ATAN2(CG149,CH149))-CH164)/(SQRT((CG149^2)+(CH149^2))-CG164)+CH164,(9-CG164)*(DEGREES(ATAN2(CG149,CH149))-CH164)/(SQRT((CG149^2)+(CH149^2))-CG164)+CH164),IF(DEGREES(ATAN2(CG149,CH149))&lt;0,360+DEGREES(ATAN2(CG149,CH149)),DEGREES(ATAN2(CG149,CH149))))</f>
        <v>150.31414508947296</v>
      </c>
      <c r="CI165" s="16">
        <f t="shared" ref="CI165:CI170" si="243">+IF(CI164=0,0,IF(SQRT((CI149^2)+(CJ149^2))&gt;9,9,SQRT((CI149^2)+(CJ149^2))))</f>
        <v>0</v>
      </c>
      <c r="CJ165" s="14" t="e">
        <f t="shared" ref="CJ165:CJ170" si="244">+IF(SQRT((CI149^2)+(CJ149^2))&gt;9,IF(DEGREES(ATAN2(CI149,CJ149))&lt;0,(9-CI164)*(360+DEGREES(ATAN2(CI149,CJ149))-CJ164)/(SQRT((CI149^2)+(CJ149^2))-CI164)+CJ164,(9-CI164)*(DEGREES(ATAN2(CI149,CJ149))-CJ164)/(SQRT((CI149^2)+(CJ149^2))-CI164)+CJ164),IF(DEGREES(ATAN2(CI149,CJ149))&lt;0,360+DEGREES(ATAN2(CI149,CJ149)),DEGREES(ATAN2(CI149,CJ149))))</f>
        <v>#NUM!</v>
      </c>
    </row>
    <row r="166" spans="1:88" x14ac:dyDescent="0.25">
      <c r="A166">
        <v>-7.4</v>
      </c>
      <c r="B166">
        <f t="shared" si="136"/>
        <v>5.1224993899462783</v>
      </c>
      <c r="C166">
        <f t="shared" si="137"/>
        <v>-5.1224993899462783</v>
      </c>
      <c r="D166">
        <f t="shared" si="145"/>
        <v>3.0397368307141317</v>
      </c>
      <c r="E166">
        <f t="shared" si="146"/>
        <v>-3.0397368307141317</v>
      </c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52"/>
      <c r="S166" s="152"/>
      <c r="T166" s="13"/>
      <c r="U166" s="13"/>
      <c r="V166" s="13"/>
      <c r="W166" s="44"/>
      <c r="X166" s="13"/>
      <c r="Y166" s="13"/>
      <c r="Z166" s="13"/>
      <c r="AA166" s="13"/>
      <c r="AB166" s="13"/>
      <c r="AC166" s="152"/>
      <c r="AD166" s="152"/>
      <c r="AE166" s="13"/>
      <c r="AF166" s="13"/>
      <c r="AG166" s="13"/>
      <c r="AH166" s="44"/>
      <c r="AI166" s="13"/>
      <c r="AJ166" s="13"/>
      <c r="AK166" s="13"/>
      <c r="AL166" s="13"/>
      <c r="AM166" s="13"/>
      <c r="AN166" t="s">
        <v>103</v>
      </c>
      <c r="AO166" s="13">
        <f t="shared" si="197"/>
        <v>0</v>
      </c>
      <c r="AP166" s="14">
        <f t="shared" si="198"/>
        <v>43.16832613305673</v>
      </c>
      <c r="AQ166" s="16">
        <f t="shared" si="199"/>
        <v>0</v>
      </c>
      <c r="AR166" s="14">
        <f t="shared" si="200"/>
        <v>23.419625778498073</v>
      </c>
      <c r="AS166" s="16">
        <f t="shared" si="201"/>
        <v>0</v>
      </c>
      <c r="AT166" s="14">
        <f t="shared" si="202"/>
        <v>12.423429709220507</v>
      </c>
      <c r="AU166" s="16">
        <f t="shared" si="203"/>
        <v>0</v>
      </c>
      <c r="AV166" s="14">
        <f t="shared" si="204"/>
        <v>4.718138390685426</v>
      </c>
      <c r="AW166" s="16">
        <f t="shared" si="205"/>
        <v>0</v>
      </c>
      <c r="AX166" s="14">
        <f t="shared" si="206"/>
        <v>-1.6543464122320852</v>
      </c>
      <c r="AY166" s="16">
        <f t="shared" si="207"/>
        <v>0</v>
      </c>
      <c r="AZ166" s="14">
        <f t="shared" si="208"/>
        <v>-7.6271538919314619</v>
      </c>
      <c r="BA166" s="16">
        <f t="shared" si="209"/>
        <v>8.1157515679025192</v>
      </c>
      <c r="BB166" s="14">
        <f t="shared" si="210"/>
        <v>-14.688028222821471</v>
      </c>
      <c r="BC166" s="16">
        <f t="shared" si="211"/>
        <v>6.8758958241348234</v>
      </c>
      <c r="BD166" s="14">
        <f t="shared" si="212"/>
        <v>-23.157088530167229</v>
      </c>
      <c r="BE166" s="16">
        <f t="shared" si="213"/>
        <v>5.7221097525369178</v>
      </c>
      <c r="BF166" s="14">
        <f t="shared" si="214"/>
        <v>-33.671389663748442</v>
      </c>
      <c r="BG166" s="16">
        <f t="shared" si="215"/>
        <v>4.7247577573395318</v>
      </c>
      <c r="BH166" s="14">
        <f t="shared" si="216"/>
        <v>-47.638581774363452</v>
      </c>
      <c r="BI166" s="16">
        <f t="shared" si="217"/>
        <v>4.0072909368772809</v>
      </c>
      <c r="BJ166" s="14">
        <f t="shared" si="218"/>
        <v>-66.556978885345387</v>
      </c>
      <c r="BK166" s="16">
        <f t="shared" si="219"/>
        <v>3.7373705065035905</v>
      </c>
      <c r="BL166" s="14">
        <f t="shared" si="220"/>
        <v>-90</v>
      </c>
      <c r="BM166" s="16">
        <f t="shared" si="221"/>
        <v>4.0072909368772809</v>
      </c>
      <c r="BN166" s="14">
        <f t="shared" si="222"/>
        <v>246.55697888534539</v>
      </c>
      <c r="BO166" s="16">
        <f t="shared" si="223"/>
        <v>4.7247577573395318</v>
      </c>
      <c r="BP166" s="14">
        <f t="shared" si="224"/>
        <v>227.63858177436344</v>
      </c>
      <c r="BQ166" s="16">
        <f t="shared" si="225"/>
        <v>5.7221097525369178</v>
      </c>
      <c r="BR166" s="14">
        <f t="shared" si="226"/>
        <v>213.67138966374844</v>
      </c>
      <c r="BS166" s="16">
        <f t="shared" si="227"/>
        <v>6.8758958241348234</v>
      </c>
      <c r="BT166" s="14">
        <f t="shared" si="228"/>
        <v>203.15708853016724</v>
      </c>
      <c r="BU166" s="16">
        <f t="shared" si="229"/>
        <v>8.1157515679025192</v>
      </c>
      <c r="BV166" s="14">
        <f t="shared" si="230"/>
        <v>194.68802822282146</v>
      </c>
      <c r="BW166" s="16">
        <f t="shared" si="231"/>
        <v>0</v>
      </c>
      <c r="BX166" s="14">
        <f t="shared" si="232"/>
        <v>187.62715389193147</v>
      </c>
      <c r="BY166" s="16">
        <f t="shared" si="233"/>
        <v>0</v>
      </c>
      <c r="BZ166" s="14">
        <f t="shared" si="234"/>
        <v>181.65434641223209</v>
      </c>
      <c r="CA166" s="16">
        <f t="shared" si="235"/>
        <v>0</v>
      </c>
      <c r="CB166" s="14">
        <f t="shared" si="236"/>
        <v>175.28186160931457</v>
      </c>
      <c r="CC166" s="16">
        <f t="shared" si="237"/>
        <v>0</v>
      </c>
      <c r="CD166" s="14">
        <f t="shared" si="238"/>
        <v>167.5765702907795</v>
      </c>
      <c r="CE166" s="16">
        <f t="shared" si="239"/>
        <v>0</v>
      </c>
      <c r="CF166" s="14">
        <f t="shared" si="240"/>
        <v>156.58037422150193</v>
      </c>
      <c r="CG166" s="16">
        <f t="shared" si="241"/>
        <v>0</v>
      </c>
      <c r="CH166" s="14">
        <f t="shared" si="242"/>
        <v>136.83167386694328</v>
      </c>
      <c r="CI166" s="16">
        <f t="shared" si="243"/>
        <v>0</v>
      </c>
      <c r="CJ166" s="14" t="e">
        <f t="shared" si="244"/>
        <v>#NUM!</v>
      </c>
    </row>
    <row r="167" spans="1:88" x14ac:dyDescent="0.25">
      <c r="A167">
        <v>-7.5</v>
      </c>
      <c r="B167">
        <f t="shared" si="136"/>
        <v>4.9749371855330997</v>
      </c>
      <c r="C167">
        <f t="shared" si="137"/>
        <v>-4.9749371855330997</v>
      </c>
      <c r="D167">
        <f t="shared" si="145"/>
        <v>2.7838821814150108</v>
      </c>
      <c r="E167">
        <f t="shared" si="146"/>
        <v>-2.7838821814150108</v>
      </c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52"/>
      <c r="S167" s="152"/>
      <c r="T167" s="13"/>
      <c r="U167" s="13"/>
      <c r="V167" s="13"/>
      <c r="W167" s="44"/>
      <c r="X167" s="13"/>
      <c r="Y167" s="13"/>
      <c r="Z167" s="13"/>
      <c r="AA167" s="13"/>
      <c r="AB167" s="13"/>
      <c r="AC167" s="152"/>
      <c r="AD167" s="152"/>
      <c r="AE167" s="13"/>
      <c r="AF167" s="13"/>
      <c r="AG167" s="13"/>
      <c r="AH167" s="44"/>
      <c r="AI167" s="13"/>
      <c r="AJ167" s="13"/>
      <c r="AK167" s="13"/>
      <c r="AL167" s="13"/>
      <c r="AM167" s="13"/>
      <c r="AN167" t="s">
        <v>102</v>
      </c>
      <c r="AO167" s="13">
        <f t="shared" si="197"/>
        <v>0</v>
      </c>
      <c r="AP167" s="14">
        <f t="shared" si="198"/>
        <v>56.201525880134518</v>
      </c>
      <c r="AQ167" s="16">
        <f t="shared" si="199"/>
        <v>0</v>
      </c>
      <c r="AR167" s="14">
        <f t="shared" si="200"/>
        <v>37.003722083708887</v>
      </c>
      <c r="AS167" s="16">
        <f t="shared" si="201"/>
        <v>0</v>
      </c>
      <c r="AT167" s="14">
        <f t="shared" si="202"/>
        <v>24.876371438513267</v>
      </c>
      <c r="AU167" s="16">
        <f t="shared" si="203"/>
        <v>0</v>
      </c>
      <c r="AV167" s="14">
        <f t="shared" si="204"/>
        <v>16.312754271194148</v>
      </c>
      <c r="AW167" s="16">
        <f t="shared" si="205"/>
        <v>0</v>
      </c>
      <c r="AX167" s="14">
        <f t="shared" si="206"/>
        <v>9.5865069363183419</v>
      </c>
      <c r="AY167" s="16">
        <f t="shared" si="207"/>
        <v>0</v>
      </c>
      <c r="AZ167" s="14">
        <f t="shared" si="208"/>
        <v>3.5118293417097988</v>
      </c>
      <c r="BA167" s="16">
        <f t="shared" si="209"/>
        <v>7.494872825799364</v>
      </c>
      <c r="BB167" s="14">
        <f t="shared" si="210"/>
        <v>-3.8157873566820086</v>
      </c>
      <c r="BC167" s="16">
        <f t="shared" si="211"/>
        <v>6.1969358679359576</v>
      </c>
      <c r="BD167" s="14">
        <f t="shared" si="212"/>
        <v>-11.84583698554694</v>
      </c>
      <c r="BE167" s="16">
        <f t="shared" si="213"/>
        <v>4.9420812685739266</v>
      </c>
      <c r="BF167" s="14">
        <f t="shared" si="214"/>
        <v>-21.763874082610215</v>
      </c>
      <c r="BG167" s="16">
        <f t="shared" si="215"/>
        <v>3.7903846081202581</v>
      </c>
      <c r="BH167" s="14">
        <f t="shared" si="216"/>
        <v>-35.719516930850816</v>
      </c>
      <c r="BI167" s="16">
        <f t="shared" si="217"/>
        <v>2.882034639889528</v>
      </c>
      <c r="BJ167" s="14">
        <f t="shared" si="218"/>
        <v>-57.616889354112288</v>
      </c>
      <c r="BK167" s="16">
        <f t="shared" si="219"/>
        <v>2.5063175768944319</v>
      </c>
      <c r="BL167" s="14">
        <f t="shared" si="220"/>
        <v>-90</v>
      </c>
      <c r="BM167" s="16">
        <f t="shared" si="221"/>
        <v>2.8820346398895276</v>
      </c>
      <c r="BN167" s="14">
        <f t="shared" si="222"/>
        <v>237.61688935411229</v>
      </c>
      <c r="BO167" s="16">
        <f t="shared" si="223"/>
        <v>3.7903846081202572</v>
      </c>
      <c r="BP167" s="14">
        <f t="shared" si="224"/>
        <v>215.71951693085083</v>
      </c>
      <c r="BQ167" s="16">
        <f t="shared" si="225"/>
        <v>4.9420812685739266</v>
      </c>
      <c r="BR167" s="14">
        <f t="shared" si="226"/>
        <v>201.76387408261022</v>
      </c>
      <c r="BS167" s="16">
        <f t="shared" si="227"/>
        <v>6.1969358679359576</v>
      </c>
      <c r="BT167" s="14">
        <f t="shared" si="228"/>
        <v>191.84583698554695</v>
      </c>
      <c r="BU167" s="16">
        <f t="shared" si="229"/>
        <v>7.494872825799364</v>
      </c>
      <c r="BV167" s="14">
        <f t="shared" si="230"/>
        <v>183.81578735668199</v>
      </c>
      <c r="BW167" s="16">
        <f t="shared" si="231"/>
        <v>0</v>
      </c>
      <c r="BX167" s="14">
        <f t="shared" si="232"/>
        <v>176.48817065829019</v>
      </c>
      <c r="BY167" s="16">
        <f t="shared" si="233"/>
        <v>0</v>
      </c>
      <c r="BZ167" s="14">
        <f t="shared" si="234"/>
        <v>170.41349306368164</v>
      </c>
      <c r="CA167" s="16">
        <f t="shared" si="235"/>
        <v>0</v>
      </c>
      <c r="CB167" s="14">
        <f t="shared" si="236"/>
        <v>163.68724572880586</v>
      </c>
      <c r="CC167" s="16">
        <f t="shared" si="237"/>
        <v>0</v>
      </c>
      <c r="CD167" s="14">
        <f t="shared" si="238"/>
        <v>155.12362856148675</v>
      </c>
      <c r="CE167" s="16">
        <f t="shared" si="239"/>
        <v>0</v>
      </c>
      <c r="CF167" s="14">
        <f t="shared" si="240"/>
        <v>142.99627791629112</v>
      </c>
      <c r="CG167" s="16">
        <f t="shared" si="241"/>
        <v>0</v>
      </c>
      <c r="CH167" s="14">
        <f t="shared" si="242"/>
        <v>123.79847411986547</v>
      </c>
      <c r="CI167" s="16">
        <f t="shared" si="243"/>
        <v>0</v>
      </c>
      <c r="CJ167" s="14" t="e">
        <f t="shared" si="244"/>
        <v>#NUM!</v>
      </c>
    </row>
    <row r="168" spans="1:88" x14ac:dyDescent="0.25">
      <c r="A168">
        <v>-7.6</v>
      </c>
      <c r="B168">
        <f t="shared" si="136"/>
        <v>4.8207883172775805</v>
      </c>
      <c r="C168">
        <f t="shared" si="137"/>
        <v>-4.8207883172775805</v>
      </c>
      <c r="D168">
        <f t="shared" si="145"/>
        <v>2.4979991993593598</v>
      </c>
      <c r="E168">
        <f t="shared" si="146"/>
        <v>-2.4979991993593598</v>
      </c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52"/>
      <c r="S168" s="152"/>
      <c r="T168" s="13"/>
      <c r="U168" s="13"/>
      <c r="V168" s="13"/>
      <c r="W168" s="44"/>
      <c r="X168" s="13"/>
      <c r="Y168" s="13"/>
      <c r="Z168" s="13"/>
      <c r="AA168" s="13"/>
      <c r="AB168" s="13"/>
      <c r="AC168" s="152"/>
      <c r="AD168" s="152"/>
      <c r="AE168" s="13"/>
      <c r="AF168" s="13"/>
      <c r="AG168" s="13"/>
      <c r="AH168" s="44"/>
      <c r="AI168" s="13"/>
      <c r="AJ168" s="13"/>
      <c r="AK168" s="13"/>
      <c r="AL168" s="13"/>
      <c r="AM168" s="13"/>
      <c r="AN168" t="s">
        <v>101</v>
      </c>
      <c r="AO168" s="13">
        <f t="shared" si="197"/>
        <v>0</v>
      </c>
      <c r="AP168" s="14">
        <f t="shared" si="198"/>
        <v>65.33038664140264</v>
      </c>
      <c r="AQ168" s="16">
        <f t="shared" si="199"/>
        <v>0</v>
      </c>
      <c r="AR168" s="14">
        <f t="shared" si="200"/>
        <v>48.012326281080618</v>
      </c>
      <c r="AS168" s="16">
        <f t="shared" si="201"/>
        <v>0</v>
      </c>
      <c r="AT168" s="14">
        <f t="shared" si="202"/>
        <v>35.767159993678945</v>
      </c>
      <c r="AU168" s="16">
        <f t="shared" si="203"/>
        <v>0</v>
      </c>
      <c r="AV168" s="14">
        <f t="shared" si="204"/>
        <v>26.764390741334068</v>
      </c>
      <c r="AW168" s="16">
        <f t="shared" si="205"/>
        <v>0</v>
      </c>
      <c r="AX168" s="14">
        <f t="shared" si="206"/>
        <v>19.747815516022513</v>
      </c>
      <c r="AY168" s="16">
        <f t="shared" si="207"/>
        <v>0</v>
      </c>
      <c r="AZ168" s="14">
        <f t="shared" si="208"/>
        <v>13.091584531383944</v>
      </c>
      <c r="BA168" s="16">
        <f t="shared" si="209"/>
        <v>6.9905591787865466</v>
      </c>
      <c r="BB168" s="14">
        <f t="shared" si="210"/>
        <v>6.3069940854475703</v>
      </c>
      <c r="BC168" s="16">
        <f t="shared" si="211"/>
        <v>5.6820885816696087</v>
      </c>
      <c r="BD168" s="14">
        <f t="shared" si="212"/>
        <v>-0.69217364605589182</v>
      </c>
      <c r="BE168" s="16">
        <f t="shared" si="213"/>
        <v>4.3765999075297497</v>
      </c>
      <c r="BF168" s="14">
        <f t="shared" si="214"/>
        <v>-8.9310733129878344</v>
      </c>
      <c r="BG168" s="16">
        <f t="shared" si="215"/>
        <v>3.1086801043390535</v>
      </c>
      <c r="BH168" s="14">
        <f t="shared" si="216"/>
        <v>-20.642612369180679</v>
      </c>
      <c r="BI168" s="16">
        <f t="shared" si="217"/>
        <v>1.9820879575206096</v>
      </c>
      <c r="BJ168" s="14">
        <f t="shared" si="218"/>
        <v>-42.470244283928565</v>
      </c>
      <c r="BK168" s="16">
        <f t="shared" si="219"/>
        <v>1.417911254412533</v>
      </c>
      <c r="BL168" s="14">
        <f t="shared" si="220"/>
        <v>-90</v>
      </c>
      <c r="BM168" s="16">
        <f t="shared" si="221"/>
        <v>1.9820879575206094</v>
      </c>
      <c r="BN168" s="14">
        <f t="shared" si="222"/>
        <v>222.47024428392857</v>
      </c>
      <c r="BO168" s="16">
        <f t="shared" si="223"/>
        <v>3.1086801043390535</v>
      </c>
      <c r="BP168" s="14">
        <f t="shared" si="224"/>
        <v>200.64261236918068</v>
      </c>
      <c r="BQ168" s="16">
        <f t="shared" si="225"/>
        <v>4.3765999075297497</v>
      </c>
      <c r="BR168" s="14">
        <f t="shared" si="226"/>
        <v>188.93107331298785</v>
      </c>
      <c r="BS168" s="16">
        <f t="shared" si="227"/>
        <v>5.6820885816696087</v>
      </c>
      <c r="BT168" s="14">
        <f t="shared" si="228"/>
        <v>180.69217364605589</v>
      </c>
      <c r="BU168" s="16">
        <f t="shared" si="229"/>
        <v>6.9905591787865475</v>
      </c>
      <c r="BV168" s="14">
        <f t="shared" si="230"/>
        <v>173.69300591455243</v>
      </c>
      <c r="BW168" s="16">
        <f t="shared" si="231"/>
        <v>0</v>
      </c>
      <c r="BX168" s="14">
        <f t="shared" si="232"/>
        <v>166.90841546861606</v>
      </c>
      <c r="BY168" s="16">
        <f t="shared" si="233"/>
        <v>0</v>
      </c>
      <c r="BZ168" s="14">
        <f t="shared" si="234"/>
        <v>160.25218448397749</v>
      </c>
      <c r="CA168" s="16">
        <f t="shared" si="235"/>
        <v>0</v>
      </c>
      <c r="CB168" s="14">
        <f t="shared" si="236"/>
        <v>153.2356092586659</v>
      </c>
      <c r="CC168" s="16">
        <f t="shared" si="237"/>
        <v>0</v>
      </c>
      <c r="CD168" s="14">
        <f t="shared" si="238"/>
        <v>144.23284000632106</v>
      </c>
      <c r="CE168" s="16">
        <f t="shared" si="239"/>
        <v>0</v>
      </c>
      <c r="CF168" s="14">
        <f t="shared" si="240"/>
        <v>131.98767371891938</v>
      </c>
      <c r="CG168" s="16">
        <f t="shared" si="241"/>
        <v>0</v>
      </c>
      <c r="CH168" s="14">
        <f t="shared" si="242"/>
        <v>114.66961335859736</v>
      </c>
      <c r="CI168" s="16">
        <f t="shared" si="243"/>
        <v>0</v>
      </c>
      <c r="CJ168" s="14" t="e">
        <f t="shared" si="244"/>
        <v>#NUM!</v>
      </c>
    </row>
    <row r="169" spans="1:88" x14ac:dyDescent="0.25">
      <c r="A169">
        <v>-7.7</v>
      </c>
      <c r="B169">
        <f t="shared" si="136"/>
        <v>4.6593991028886972</v>
      </c>
      <c r="C169">
        <f t="shared" si="137"/>
        <v>-4.6593991028886972</v>
      </c>
      <c r="D169">
        <f t="shared" si="145"/>
        <v>2.1702534414210692</v>
      </c>
      <c r="E169">
        <f t="shared" si="146"/>
        <v>-2.1702534414210692</v>
      </c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52"/>
      <c r="S169" s="152"/>
      <c r="T169" s="13"/>
      <c r="U169" s="13"/>
      <c r="V169" s="13"/>
      <c r="W169" s="44"/>
      <c r="X169" s="13"/>
      <c r="Y169" s="13"/>
      <c r="Z169" s="13"/>
      <c r="AA169" s="13"/>
      <c r="AB169" s="13"/>
      <c r="AC169" s="152"/>
      <c r="AD169" s="152"/>
      <c r="AE169" s="13"/>
      <c r="AF169" s="13"/>
      <c r="AG169" s="13"/>
      <c r="AH169" s="44"/>
      <c r="AI169" s="13"/>
      <c r="AJ169" s="13"/>
      <c r="AK169" s="13"/>
      <c r="AL169" s="13"/>
      <c r="AM169" s="13"/>
      <c r="AN169" t="s">
        <v>100</v>
      </c>
      <c r="AO169" s="13">
        <f t="shared" si="197"/>
        <v>0</v>
      </c>
      <c r="AP169" s="14">
        <f t="shared" si="198"/>
        <v>70.45012813002775</v>
      </c>
      <c r="AQ169" s="16">
        <f t="shared" si="199"/>
        <v>0</v>
      </c>
      <c r="AR169" s="14">
        <f t="shared" si="200"/>
        <v>54.80221309290431</v>
      </c>
      <c r="AS169" s="16">
        <f t="shared" si="201"/>
        <v>0</v>
      </c>
      <c r="AT169" s="14">
        <f t="shared" si="202"/>
        <v>42.808962391562318</v>
      </c>
      <c r="AU169" s="16">
        <f t="shared" si="203"/>
        <v>0</v>
      </c>
      <c r="AV169" s="14">
        <f t="shared" si="204"/>
        <v>33.595806911771959</v>
      </c>
      <c r="AW169" s="16">
        <f t="shared" si="205"/>
        <v>0</v>
      </c>
      <c r="AX169" s="14">
        <f t="shared" si="206"/>
        <v>26.291234551439409</v>
      </c>
      <c r="AY169" s="16">
        <f t="shared" si="207"/>
        <v>0</v>
      </c>
      <c r="AZ169" s="14">
        <f t="shared" si="208"/>
        <v>19.483714082779059</v>
      </c>
      <c r="BA169" s="16">
        <f t="shared" si="209"/>
        <v>6.6918166134996104</v>
      </c>
      <c r="BB169" s="14">
        <f t="shared" si="210"/>
        <v>13.281438462559318</v>
      </c>
      <c r="BC169" s="16">
        <f t="shared" si="211"/>
        <v>5.4025799482025025</v>
      </c>
      <c r="BD169" s="14">
        <f t="shared" si="212"/>
        <v>7.2897889969830754</v>
      </c>
      <c r="BE169" s="16">
        <f t="shared" si="213"/>
        <v>4.0957710891621408</v>
      </c>
      <c r="BF169" s="14">
        <f t="shared" si="214"/>
        <v>0.82022462339318736</v>
      </c>
      <c r="BG169" s="16">
        <f t="shared" si="215"/>
        <v>2.7879852285284317</v>
      </c>
      <c r="BH169" s="14">
        <f t="shared" si="216"/>
        <v>-7.6452176359462669</v>
      </c>
      <c r="BI169" s="16">
        <f t="shared" si="217"/>
        <v>1.5234754312080081</v>
      </c>
      <c r="BJ169" s="14">
        <f t="shared" si="218"/>
        <v>-24.080663969566604</v>
      </c>
      <c r="BK169" s="16">
        <f t="shared" si="219"/>
        <v>0.70403754412625652</v>
      </c>
      <c r="BL169" s="14">
        <f t="shared" si="220"/>
        <v>-90</v>
      </c>
      <c r="BM169" s="16">
        <f t="shared" si="221"/>
        <v>1.5234754312080085</v>
      </c>
      <c r="BN169" s="14">
        <f t="shared" si="222"/>
        <v>204.08066396956664</v>
      </c>
      <c r="BO169" s="16">
        <f t="shared" si="223"/>
        <v>2.7879852285284321</v>
      </c>
      <c r="BP169" s="14">
        <f t="shared" si="224"/>
        <v>187.64521763594627</v>
      </c>
      <c r="BQ169" s="16">
        <f t="shared" si="225"/>
        <v>4.0957710891621408</v>
      </c>
      <c r="BR169" s="14">
        <f t="shared" si="226"/>
        <v>179.17977537660681</v>
      </c>
      <c r="BS169" s="16">
        <f t="shared" si="227"/>
        <v>5.4025799482025025</v>
      </c>
      <c r="BT169" s="14">
        <f t="shared" si="228"/>
        <v>172.71021100301692</v>
      </c>
      <c r="BU169" s="16">
        <f t="shared" si="229"/>
        <v>6.6918166134996104</v>
      </c>
      <c r="BV169" s="14">
        <f t="shared" si="230"/>
        <v>166.71856153744068</v>
      </c>
      <c r="BW169" s="16">
        <f t="shared" si="231"/>
        <v>0</v>
      </c>
      <c r="BX169" s="14">
        <f t="shared" si="232"/>
        <v>160.51628591722096</v>
      </c>
      <c r="BY169" s="16">
        <f t="shared" si="233"/>
        <v>0</v>
      </c>
      <c r="BZ169" s="14">
        <f t="shared" si="234"/>
        <v>153.70876544856057</v>
      </c>
      <c r="CA169" s="16">
        <f t="shared" si="235"/>
        <v>0</v>
      </c>
      <c r="CB169" s="14">
        <f t="shared" si="236"/>
        <v>146.40419308822803</v>
      </c>
      <c r="CC169" s="16">
        <f t="shared" si="237"/>
        <v>0</v>
      </c>
      <c r="CD169" s="14">
        <f t="shared" si="238"/>
        <v>137.19103760843768</v>
      </c>
      <c r="CE169" s="16">
        <f t="shared" si="239"/>
        <v>0</v>
      </c>
      <c r="CF169" s="14">
        <f t="shared" si="240"/>
        <v>125.1977869070957</v>
      </c>
      <c r="CG169" s="16">
        <f t="shared" si="241"/>
        <v>0</v>
      </c>
      <c r="CH169" s="14">
        <f t="shared" si="242"/>
        <v>109.54987186997226</v>
      </c>
      <c r="CI169" s="16">
        <f t="shared" si="243"/>
        <v>0</v>
      </c>
      <c r="CJ169" s="14" t="e">
        <f t="shared" si="244"/>
        <v>#NUM!</v>
      </c>
    </row>
    <row r="170" spans="1:88" x14ac:dyDescent="0.25">
      <c r="A170">
        <v>-7.8</v>
      </c>
      <c r="B170">
        <f t="shared" si="136"/>
        <v>4.4899888641287298</v>
      </c>
      <c r="C170">
        <f t="shared" si="137"/>
        <v>-4.4899888641287298</v>
      </c>
      <c r="D170">
        <f t="shared" si="145"/>
        <v>1.7776388834631187</v>
      </c>
      <c r="E170">
        <f t="shared" si="146"/>
        <v>-1.7776388834631187</v>
      </c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52"/>
      <c r="S170" s="152"/>
      <c r="T170" s="13"/>
      <c r="U170" s="13"/>
      <c r="V170" s="13"/>
      <c r="W170" s="44"/>
      <c r="X170" s="13"/>
      <c r="Y170" s="13"/>
      <c r="Z170" s="13"/>
      <c r="AA170" s="13"/>
      <c r="AB170" s="13"/>
      <c r="AC170" s="152"/>
      <c r="AD170" s="152"/>
      <c r="AE170" s="13"/>
      <c r="AF170" s="13"/>
      <c r="AG170" s="13"/>
      <c r="AH170" s="44"/>
      <c r="AI170" s="13"/>
      <c r="AJ170" s="13"/>
      <c r="AK170" s="13"/>
      <c r="AL170" s="13"/>
      <c r="AM170" s="13"/>
      <c r="AN170" t="s">
        <v>99</v>
      </c>
      <c r="AO170" s="13">
        <f t="shared" si="197"/>
        <v>0</v>
      </c>
      <c r="AP170" s="14">
        <f t="shared" si="198"/>
        <v>72.305472779688586</v>
      </c>
      <c r="AQ170" s="16">
        <f t="shared" si="199"/>
        <v>0</v>
      </c>
      <c r="AR170" s="14">
        <f t="shared" si="200"/>
        <v>57.195403859286259</v>
      </c>
      <c r="AS170" s="16">
        <f t="shared" si="201"/>
        <v>0</v>
      </c>
      <c r="AT170" s="14">
        <f t="shared" si="202"/>
        <v>45.075167613056678</v>
      </c>
      <c r="AU170" s="16">
        <f t="shared" si="203"/>
        <v>0</v>
      </c>
      <c r="AV170" s="14">
        <f t="shared" si="204"/>
        <v>35.445339067416938</v>
      </c>
      <c r="AW170" s="16">
        <f t="shared" si="205"/>
        <v>0</v>
      </c>
      <c r="AX170" s="14">
        <f t="shared" si="206"/>
        <v>27.584221744265115</v>
      </c>
      <c r="AY170" s="16">
        <f t="shared" si="207"/>
        <v>0</v>
      </c>
      <c r="AZ170" s="14">
        <f t="shared" si="208"/>
        <v>20.761233419723805</v>
      </c>
      <c r="BA170" s="16">
        <f t="shared" si="209"/>
        <v>6.6363995450640365</v>
      </c>
      <c r="BB170" s="14">
        <f t="shared" si="210"/>
        <v>14.69392403052011</v>
      </c>
      <c r="BC170" s="16">
        <f t="shared" si="211"/>
        <v>5.3537637276195609</v>
      </c>
      <c r="BD170" s="14">
        <f t="shared" si="212"/>
        <v>8.9296505601242746</v>
      </c>
      <c r="BE170" s="16">
        <f t="shared" si="213"/>
        <v>4.0505375194811268</v>
      </c>
      <c r="BF170" s="14">
        <f t="shared" si="214"/>
        <v>2.8672252708378072</v>
      </c>
      <c r="BG170" s="16">
        <f t="shared" si="215"/>
        <v>2.7406893905910499</v>
      </c>
      <c r="BH170" s="14">
        <f t="shared" si="216"/>
        <v>-4.7815800282462684</v>
      </c>
      <c r="BI170" s="16">
        <f t="shared" si="217"/>
        <v>1.456649529400198</v>
      </c>
      <c r="BJ170" s="14">
        <f t="shared" si="218"/>
        <v>-19.249068609368962</v>
      </c>
      <c r="BK170" s="16">
        <f t="shared" si="219"/>
        <v>0.56302171531863721</v>
      </c>
      <c r="BL170" s="14">
        <f t="shared" si="220"/>
        <v>-90</v>
      </c>
      <c r="BM170" s="16">
        <f t="shared" si="221"/>
        <v>1.456649529400198</v>
      </c>
      <c r="BN170" s="14">
        <f t="shared" si="222"/>
        <v>199.24906860936898</v>
      </c>
      <c r="BO170" s="16">
        <f t="shared" si="223"/>
        <v>2.7406893905910494</v>
      </c>
      <c r="BP170" s="14">
        <f t="shared" si="224"/>
        <v>184.78158002824625</v>
      </c>
      <c r="BQ170" s="16">
        <f t="shared" si="225"/>
        <v>4.0505375194811268</v>
      </c>
      <c r="BR170" s="14">
        <f t="shared" si="226"/>
        <v>177.13277472916218</v>
      </c>
      <c r="BS170" s="16">
        <f t="shared" si="227"/>
        <v>5.3537637276195609</v>
      </c>
      <c r="BT170" s="14">
        <f t="shared" si="228"/>
        <v>171.07034943987571</v>
      </c>
      <c r="BU170" s="16">
        <f t="shared" si="229"/>
        <v>6.6363995450640365</v>
      </c>
      <c r="BV170" s="14">
        <f t="shared" si="230"/>
        <v>165.30607596947988</v>
      </c>
      <c r="BW170" s="16">
        <f t="shared" si="231"/>
        <v>0</v>
      </c>
      <c r="BX170" s="14">
        <f t="shared" si="232"/>
        <v>159.23876658027621</v>
      </c>
      <c r="BY170" s="16">
        <f t="shared" si="233"/>
        <v>0</v>
      </c>
      <c r="BZ170" s="14">
        <f t="shared" si="234"/>
        <v>152.41577825573489</v>
      </c>
      <c r="CA170" s="16">
        <f t="shared" si="235"/>
        <v>0</v>
      </c>
      <c r="CB170" s="14">
        <f t="shared" si="236"/>
        <v>144.55466093258306</v>
      </c>
      <c r="CC170" s="16">
        <f t="shared" si="237"/>
        <v>0</v>
      </c>
      <c r="CD170" s="14">
        <f t="shared" si="238"/>
        <v>134.92483238694331</v>
      </c>
      <c r="CE170" s="16">
        <f t="shared" si="239"/>
        <v>0</v>
      </c>
      <c r="CF170" s="14">
        <f t="shared" si="240"/>
        <v>122.80459614071376</v>
      </c>
      <c r="CG170" s="16">
        <f t="shared" si="241"/>
        <v>0</v>
      </c>
      <c r="CH170" s="14">
        <f t="shared" si="242"/>
        <v>107.69452722031143</v>
      </c>
      <c r="CI170" s="16">
        <f t="shared" si="243"/>
        <v>0</v>
      </c>
      <c r="CJ170" s="14" t="e">
        <f t="shared" si="244"/>
        <v>#NUM!</v>
      </c>
    </row>
    <row r="171" spans="1:88" x14ac:dyDescent="0.25">
      <c r="A171">
        <v>-7.9</v>
      </c>
      <c r="B171">
        <f t="shared" si="136"/>
        <v>4.3116122274620192</v>
      </c>
      <c r="C171">
        <f t="shared" si="137"/>
        <v>-4.3116122274620192</v>
      </c>
      <c r="D171">
        <f t="shared" si="145"/>
        <v>1.2609520212918477</v>
      </c>
      <c r="E171">
        <f t="shared" si="146"/>
        <v>-1.2609520212918477</v>
      </c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52"/>
      <c r="S171" s="152"/>
      <c r="T171" s="13"/>
      <c r="U171" s="13"/>
      <c r="V171" s="13"/>
      <c r="W171" s="44"/>
      <c r="X171" s="13"/>
      <c r="Y171" s="13"/>
      <c r="Z171" s="13"/>
      <c r="AA171" s="13"/>
      <c r="AB171" s="13"/>
      <c r="AC171" s="152"/>
      <c r="AD171" s="152"/>
      <c r="AE171" s="13"/>
      <c r="AF171" s="13"/>
      <c r="AG171" s="13"/>
      <c r="AH171" s="44"/>
      <c r="AI171" s="13"/>
      <c r="AJ171" s="13"/>
      <c r="AK171" s="13"/>
      <c r="AL171" s="13"/>
      <c r="AM171" s="13"/>
      <c r="AN171" s="152"/>
      <c r="AO171" s="152" t="s">
        <v>42</v>
      </c>
      <c r="AP171" s="151" t="s">
        <v>43</v>
      </c>
      <c r="AQ171" s="150" t="s">
        <v>42</v>
      </c>
      <c r="AR171" s="151" t="s">
        <v>43</v>
      </c>
      <c r="AS171" s="150" t="s">
        <v>42</v>
      </c>
      <c r="AT171" s="151" t="s">
        <v>43</v>
      </c>
      <c r="AU171" s="150" t="s">
        <v>42</v>
      </c>
      <c r="AV171" s="151" t="s">
        <v>43</v>
      </c>
      <c r="AW171" s="150" t="s">
        <v>42</v>
      </c>
      <c r="AX171" s="151" t="s">
        <v>43</v>
      </c>
      <c r="AY171" s="150" t="s">
        <v>42</v>
      </c>
      <c r="AZ171" s="151" t="s">
        <v>43</v>
      </c>
      <c r="BA171" s="150" t="s">
        <v>42</v>
      </c>
      <c r="BB171" s="151" t="s">
        <v>43</v>
      </c>
      <c r="BC171" s="150" t="s">
        <v>42</v>
      </c>
      <c r="BD171" s="151" t="s">
        <v>43</v>
      </c>
      <c r="BE171" s="150" t="s">
        <v>42</v>
      </c>
      <c r="BF171" s="151" t="s">
        <v>43</v>
      </c>
      <c r="BG171" s="150" t="s">
        <v>42</v>
      </c>
      <c r="BH171" s="151" t="s">
        <v>43</v>
      </c>
      <c r="BI171" s="150" t="s">
        <v>42</v>
      </c>
      <c r="BJ171" s="151" t="s">
        <v>43</v>
      </c>
      <c r="BK171" s="150" t="s">
        <v>42</v>
      </c>
      <c r="BL171" s="151" t="s">
        <v>43</v>
      </c>
      <c r="BM171" s="150" t="s">
        <v>42</v>
      </c>
      <c r="BN171" s="151" t="s">
        <v>43</v>
      </c>
      <c r="BO171" s="150" t="s">
        <v>42</v>
      </c>
      <c r="BP171" s="151" t="s">
        <v>43</v>
      </c>
      <c r="BQ171" s="150" t="s">
        <v>42</v>
      </c>
      <c r="BR171" s="151" t="s">
        <v>43</v>
      </c>
      <c r="BS171" s="150" t="s">
        <v>42</v>
      </c>
      <c r="BT171" s="151" t="s">
        <v>43</v>
      </c>
      <c r="BU171" s="150" t="s">
        <v>42</v>
      </c>
      <c r="BV171" s="151" t="s">
        <v>43</v>
      </c>
      <c r="BW171" s="150" t="s">
        <v>42</v>
      </c>
      <c r="BX171" s="151" t="s">
        <v>43</v>
      </c>
      <c r="BY171" s="150" t="s">
        <v>42</v>
      </c>
      <c r="BZ171" s="151" t="s">
        <v>43</v>
      </c>
      <c r="CA171" s="150" t="s">
        <v>42</v>
      </c>
      <c r="CB171" s="151" t="s">
        <v>43</v>
      </c>
      <c r="CC171" s="150" t="s">
        <v>42</v>
      </c>
      <c r="CD171" s="151" t="s">
        <v>43</v>
      </c>
      <c r="CE171" s="150" t="s">
        <v>42</v>
      </c>
      <c r="CF171" s="151" t="s">
        <v>43</v>
      </c>
      <c r="CG171" s="150" t="s">
        <v>42</v>
      </c>
      <c r="CH171" s="151" t="s">
        <v>43</v>
      </c>
      <c r="CI171" s="150" t="s">
        <v>42</v>
      </c>
      <c r="CJ171" s="151" t="s">
        <v>43</v>
      </c>
    </row>
    <row r="172" spans="1:88" x14ac:dyDescent="0.25">
      <c r="A172">
        <v>-8</v>
      </c>
      <c r="B172">
        <f t="shared" si="136"/>
        <v>4.1231056256176606</v>
      </c>
      <c r="C172">
        <f t="shared" si="137"/>
        <v>-4.1231056256176606</v>
      </c>
      <c r="D172">
        <f t="shared" si="145"/>
        <v>0</v>
      </c>
      <c r="E172">
        <f>-D172</f>
        <v>0</v>
      </c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52"/>
      <c r="S172" s="152"/>
      <c r="T172" s="13"/>
      <c r="U172" s="13"/>
      <c r="V172" s="13"/>
      <c r="W172" s="44"/>
      <c r="X172" s="13"/>
      <c r="Y172" s="13"/>
      <c r="Z172" s="13"/>
      <c r="AA172" s="155" t="s">
        <v>92</v>
      </c>
      <c r="AB172" s="155">
        <v>21</v>
      </c>
      <c r="AC172" s="315"/>
      <c r="AD172" s="315"/>
      <c r="AE172" s="316"/>
      <c r="AG172" t="s">
        <v>106</v>
      </c>
      <c r="AH172">
        <f>+'Control Solar 1er Sem'!N14</f>
        <v>0</v>
      </c>
      <c r="AL172" s="13"/>
      <c r="AM172" s="13"/>
      <c r="AN172" s="13" t="s">
        <v>105</v>
      </c>
      <c r="AO172" s="152">
        <f>IF('Control Solar 1er Sem'!$H$4&lt;0,AO164*COS(RADIANS(AP164)),AO156*COS(RADIANS(AP156)))</f>
        <v>0</v>
      </c>
      <c r="AP172" s="49">
        <f>IF('Control Solar 1er Sem'!$H$4&lt;0,AO164*SIN(RADIANS(AP164)),AO156*SIN(RADIANS(AP156)))</f>
        <v>0</v>
      </c>
      <c r="AQ172" s="150">
        <f>IF('Control Solar 1er Sem'!$H$4&lt;0,AQ164*COS(RADIANS(AR164)),AQ156*COS(RADIANS(AR156)))</f>
        <v>0</v>
      </c>
      <c r="AR172" s="49">
        <f>IF('Control Solar 1er Sem'!$H$4&lt;0,AQ164*SIN(RADIANS(AR164)),AQ156*SIN(RADIANS(AR156)))</f>
        <v>0</v>
      </c>
      <c r="AS172" s="150">
        <f>IF('Control Solar 1er Sem'!$H$4&lt;0,AS164*COS(RADIANS(AT164)),AS156*COS(RADIANS(AT156)))</f>
        <v>0</v>
      </c>
      <c r="AT172" s="49">
        <f>IF('Control Solar 1er Sem'!$H$4&lt;0,AS164*SIN(RADIANS(AT164)),AS156*SIN(RADIANS(AT156)))</f>
        <v>0</v>
      </c>
      <c r="AU172" s="150">
        <f>IF('Control Solar 1er Sem'!$H$4&lt;0,AU164*COS(RADIANS(AV164)),AU156*COS(RADIANS(AV156)))</f>
        <v>0</v>
      </c>
      <c r="AV172" s="49">
        <f>IF('Control Solar 1er Sem'!$H$4&lt;0,AU164*SIN(RADIANS(AV164)),AU156*SIN(RADIANS(AV156)))</f>
        <v>0</v>
      </c>
      <c r="AW172" s="150">
        <f>IF('Control Solar 1er Sem'!$H$4&lt;0,AW164*COS(RADIANS(AX164)),AW156*COS(RADIANS(AX156)))</f>
        <v>0</v>
      </c>
      <c r="AX172" s="49">
        <f>IF('Control Solar 1er Sem'!$H$4&lt;0,AW164*SIN(RADIANS(AX164)),AW156*SIN(RADIANS(AX156)))</f>
        <v>0</v>
      </c>
      <c r="AY172" s="150">
        <f>IF('Control Solar 1er Sem'!$H$4&lt;0,AY164*COS(RADIANS(AZ164)),AY156*COS(RADIANS(AZ156)))</f>
        <v>8.9999999158860629</v>
      </c>
      <c r="AZ172" s="49">
        <f>IF('Control Solar 1er Sem'!$H$4&lt;0,AY164*SIN(RADIANS(AZ164)),AY156*SIN(RADIANS(AZ156)))</f>
        <v>-1.2304677489461085E-3</v>
      </c>
      <c r="BA172" s="150">
        <f>IF('Control Solar 1er Sem'!$H$4&lt;0,BA164*COS(RADIANS(BB164)),BA156*COS(RADIANS(BB156)))</f>
        <v>7.9101816263441691</v>
      </c>
      <c r="BB172" s="49">
        <f>IF('Control Solar 1er Sem'!$H$4&lt;0,BA164*SIN(RADIANS(BB164)),BA156*SIN(RADIANS(BB156)))</f>
        <v>-4.0697958999738741</v>
      </c>
      <c r="BC172" s="150">
        <f>IF('Control Solar 1er Sem'!$H$4&lt;0,BC164*COS(RADIANS(BD164)),BC156*COS(RADIANS(BD156)))</f>
        <v>6.3418643967501813</v>
      </c>
      <c r="BD172" s="49">
        <f>IF('Control Solar 1er Sem'!$H$4&lt;0,BC164*SIN(RADIANS(BD164)),BC156*SIN(RADIANS(BD156)))</f>
        <v>-4.4976926632318861</v>
      </c>
      <c r="BE172" s="150">
        <f>IF('Control Solar 1er Sem'!$H$4&lt;0,BE164*COS(RADIANS(BF164)),BE156*COS(RADIANS(BF156)))</f>
        <v>4.7638381601199011</v>
      </c>
      <c r="BF172" s="49">
        <f>IF('Control Solar 1er Sem'!$H$4&lt;0,BE164*SIN(RADIANS(BF164)),BE156*SIN(RADIANS(BF156)))</f>
        <v>-4.8160129075246561</v>
      </c>
      <c r="BG172" s="150">
        <f>IF('Control Solar 1er Sem'!$H$4&lt;0,BG164*COS(RADIANS(BH164)),BG156*COS(RADIANS(BH156)))</f>
        <v>3.1792610376260346</v>
      </c>
      <c r="BH172" s="49">
        <f>IF('Control Solar 1er Sem'!$H$4&lt;0,BG164*SIN(RADIANS(BH164)),BG156*SIN(RADIANS(BH156)))</f>
        <v>-5.0365247061164551</v>
      </c>
      <c r="BI172" s="150">
        <f>IF('Control Solar 1er Sem'!$H$4&lt;0,BI164*COS(RADIANS(BJ164)),BI156*COS(RADIANS(BJ156)))</f>
        <v>1.5906095938181593</v>
      </c>
      <c r="BJ172" s="49">
        <f>IF('Control Solar 1er Sem'!$H$4&lt;0,BI164*SIN(RADIANS(BJ164)),BI156*SIN(RADIANS(BJ156)))</f>
        <v>-5.1663051434165812</v>
      </c>
      <c r="BK172" s="150">
        <f>IF('Control Solar 1er Sem'!$H$4&lt;0,BK164*COS(RADIANS(BL164)),BK156*COS(RADIANS(BL156)))</f>
        <v>3.1909994125405056E-16</v>
      </c>
      <c r="BL172" s="49">
        <f>IF('Control Solar 1er Sem'!$H$4&lt;0,BK164*SIN(RADIANS(BL164)),BK156*SIN(RADIANS(BL156)))</f>
        <v>-5.2091636727869233</v>
      </c>
      <c r="BM172" s="150">
        <f>IF('Control Solar 1er Sem'!$H$4&lt;0,BM164*COS(RADIANS(BN164)),BM156*COS(RADIANS(BN156)))</f>
        <v>-1.5906095938181644</v>
      </c>
      <c r="BN172" s="49">
        <f>IF('Control Solar 1er Sem'!$H$4&lt;0,BM164*SIN(RADIANS(BN164)),BM156*SIN(RADIANS(BN156)))</f>
        <v>-5.1663051434165803</v>
      </c>
      <c r="BO172" s="150">
        <f>IF('Control Solar 1er Sem'!$H$4&lt;0,BO164*COS(RADIANS(BP164)),BO156*COS(RADIANS(BP156)))</f>
        <v>-3.1792610376260351</v>
      </c>
      <c r="BP172" s="49">
        <f>IF('Control Solar 1er Sem'!$H$4&lt;0,BO164*SIN(RADIANS(BP164)),BO156*SIN(RADIANS(BP156)))</f>
        <v>-5.0365247061164578</v>
      </c>
      <c r="BQ172" s="150">
        <f>IF('Control Solar 1er Sem'!$H$4&lt;0,BQ164*COS(RADIANS(BR164)),BQ156*COS(RADIANS(BR156)))</f>
        <v>-4.7638381601198994</v>
      </c>
      <c r="BR172" s="49">
        <f>IF('Control Solar 1er Sem'!$H$4&lt;0,BQ164*SIN(RADIANS(BR164)),BQ156*SIN(RADIANS(BR156)))</f>
        <v>-4.8160129075246578</v>
      </c>
      <c r="BS172" s="150">
        <f>IF('Control Solar 1er Sem'!$H$4&lt;0,BS164*COS(RADIANS(BT164)),BS156*COS(RADIANS(BT156)))</f>
        <v>-6.3418643967501804</v>
      </c>
      <c r="BT172" s="49">
        <f>IF('Control Solar 1er Sem'!$H$4&lt;0,BS164*SIN(RADIANS(BT164)),BS156*SIN(RADIANS(BT156)))</f>
        <v>-4.4976926632318852</v>
      </c>
      <c r="BU172" s="150">
        <f>IF('Control Solar 1er Sem'!$H$4&lt;0,BU164*COS(RADIANS(BV164)),BU156*COS(RADIANS(BV156)))</f>
        <v>-7.91018162634417</v>
      </c>
      <c r="BV172" s="49">
        <f>IF('Control Solar 1er Sem'!$H$4&lt;0,BU164*SIN(RADIANS(BV164)),BU156*SIN(RADIANS(BV156)))</f>
        <v>-4.0697958999738733</v>
      </c>
      <c r="BW172" s="150">
        <f>IF('Control Solar 1er Sem'!$H$4&lt;0,BW164*COS(RADIANS(BX164)),BW156*COS(RADIANS(BX156)))</f>
        <v>-8.9999999158860629</v>
      </c>
      <c r="BX172" s="49">
        <f>IF('Control Solar 1er Sem'!$H$4&lt;0,BW164*SIN(RADIANS(BX164)),BW156*SIN(RADIANS(BX156)))</f>
        <v>-1.230467748946156E-3</v>
      </c>
      <c r="BY172" s="150">
        <f>IF('Control Solar 1er Sem'!$H$4&lt;0,BY164*COS(RADIANS(BZ164)),BY156*COS(RADIANS(BZ156)))</f>
        <v>0</v>
      </c>
      <c r="BZ172" s="49">
        <f>IF('Control Solar 1er Sem'!$H$4&lt;0,BY164*SIN(RADIANS(BZ164)),BY156*SIN(RADIANS(BZ156)))</f>
        <v>0</v>
      </c>
      <c r="CA172" s="150">
        <f>IF('Control Solar 1er Sem'!$H$4&lt;0,CA164*COS(RADIANS(CB164)),CA156*COS(RADIANS(CB156)))</f>
        <v>0</v>
      </c>
      <c r="CB172" s="49">
        <f>IF('Control Solar 1er Sem'!$H$4&lt;0,CA164*SIN(RADIANS(CB164)),CA156*SIN(RADIANS(CB156)))</f>
        <v>0</v>
      </c>
      <c r="CC172" s="150">
        <f>IF('Control Solar 1er Sem'!$H$4&lt;0,CC164*COS(RADIANS(CD164)),CC156*COS(RADIANS(CD156)))</f>
        <v>0</v>
      </c>
      <c r="CD172" s="49">
        <f>IF('Control Solar 1er Sem'!$H$4&lt;0,CC164*SIN(RADIANS(CD164)),CC156*SIN(RADIANS(CD156)))</f>
        <v>0</v>
      </c>
      <c r="CE172" s="150">
        <f>IF('Control Solar 1er Sem'!$H$4&lt;0,CE164*COS(RADIANS(CF164)),CE156*COS(RADIANS(CF156)))</f>
        <v>0</v>
      </c>
      <c r="CF172" s="49">
        <f>IF('Control Solar 1er Sem'!$H$4&lt;0,CE164*SIN(RADIANS(CF164)),CE156*SIN(RADIANS(CF156)))</f>
        <v>0</v>
      </c>
      <c r="CG172" s="150">
        <f>IF('Control Solar 1er Sem'!$H$4&lt;0,CG164*COS(RADIANS(CH164)),CG156*COS(RADIANS(CH156)))</f>
        <v>0</v>
      </c>
      <c r="CH172" s="49">
        <f>IF('Control Solar 1er Sem'!$H$4&lt;0,CG164*SIN(RADIANS(CH164)),CG156*SIN(RADIANS(CH156)))</f>
        <v>0</v>
      </c>
      <c r="CI172" s="150" t="e">
        <f>IF('Control Solar 1er Sem'!$H$4&lt;0,CI164*COS(RADIANS(CJ164)),CI156*COS(RADIANS(CJ156)))</f>
        <v>#NUM!</v>
      </c>
      <c r="CJ172" s="49" t="e">
        <f>IF('Control Solar 1er Sem'!$H$4&lt;0,CI164*SIN(RADIANS(CJ164)),CI156*SIN(RADIANS(CJ156)))</f>
        <v>#NUM!</v>
      </c>
    </row>
    <row r="173" spans="1:88" x14ac:dyDescent="0.25">
      <c r="A173">
        <v>-8.1</v>
      </c>
      <c r="B173">
        <f t="shared" si="136"/>
        <v>3.9230090491866063</v>
      </c>
      <c r="C173">
        <f t="shared" si="137"/>
        <v>-3.9230090491866063</v>
      </c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52"/>
      <c r="S173" s="152"/>
      <c r="T173" s="13"/>
      <c r="U173" s="13"/>
      <c r="V173" s="13"/>
      <c r="W173" s="44"/>
      <c r="X173" s="13"/>
      <c r="Y173" s="13"/>
      <c r="Z173" s="13"/>
      <c r="AA173" s="155" t="s">
        <v>91</v>
      </c>
      <c r="AB173" s="155">
        <v>3</v>
      </c>
      <c r="AC173" s="315"/>
      <c r="AD173" s="315"/>
      <c r="AE173" s="316"/>
      <c r="AL173" s="13"/>
      <c r="AM173" s="13"/>
      <c r="AN173" t="s">
        <v>104</v>
      </c>
      <c r="AO173" s="152">
        <f>IF('Control Solar 1er Sem'!$H$4&lt;0,AO165*COS(RADIANS(AP165)),AO157*COS(RADIANS(AP157)))</f>
        <v>0</v>
      </c>
      <c r="AP173" s="49">
        <f>IF('Control Solar 1er Sem'!$H$4&lt;0,AO165*SIN(RADIANS(AP165)),AO157*SIN(RADIANS(AP157)))</f>
        <v>0</v>
      </c>
      <c r="AQ173" s="150">
        <f>IF('Control Solar 1er Sem'!$H$4&lt;0,AQ165*COS(RADIANS(AR165)),AQ157*COS(RADIANS(AR157)))</f>
        <v>0</v>
      </c>
      <c r="AR173" s="49">
        <f>IF('Control Solar 1er Sem'!$H$4&lt;0,AQ165*SIN(RADIANS(AR165)),AQ157*SIN(RADIANS(AR157)))</f>
        <v>0</v>
      </c>
      <c r="AS173" s="150">
        <f>IF('Control Solar 1er Sem'!$H$4&lt;0,AS165*COS(RADIANS(AT165)),AS157*COS(RADIANS(AT157)))</f>
        <v>0</v>
      </c>
      <c r="AT173" s="49">
        <f>IF('Control Solar 1er Sem'!$H$4&lt;0,AS165*SIN(RADIANS(AT165)),AS157*SIN(RADIANS(AT157)))</f>
        <v>0</v>
      </c>
      <c r="AU173" s="150">
        <f>IF('Control Solar 1er Sem'!$H$4&lt;0,AU165*COS(RADIANS(AV165)),AU157*COS(RADIANS(AV157)))</f>
        <v>0</v>
      </c>
      <c r="AV173" s="49">
        <f>IF('Control Solar 1er Sem'!$H$4&lt;0,AU165*SIN(RADIANS(AV165)),AU157*SIN(RADIANS(AV157)))</f>
        <v>0</v>
      </c>
      <c r="AW173" s="150">
        <f>IF('Control Solar 1er Sem'!$H$4&lt;0,AW165*COS(RADIANS(AX165)),AW157*COS(RADIANS(AX157)))</f>
        <v>0</v>
      </c>
      <c r="AX173" s="49">
        <f>IF('Control Solar 1er Sem'!$H$4&lt;0,AW165*SIN(RADIANS(AX165)),AW157*SIN(RADIANS(AX157)))</f>
        <v>0</v>
      </c>
      <c r="AY173" s="150">
        <f>IF('Control Solar 1er Sem'!$H$4&lt;0,AY165*COS(RADIANS(AZ165)),AY157*COS(RADIANS(AZ157)))</f>
        <v>8.9999999158860629</v>
      </c>
      <c r="AZ173" s="49">
        <f>IF('Control Solar 1er Sem'!$H$4&lt;0,AY165*SIN(RADIANS(AZ165)),AY157*SIN(RADIANS(AZ157)))</f>
        <v>-1.2304677489461085E-3</v>
      </c>
      <c r="BA173" s="150">
        <f>IF('Control Solar 1er Sem'!$H$4&lt;0,BA165*COS(RADIANS(BB165)),BA157*COS(RADIANS(BB157)))</f>
        <v>7.9427188060969565</v>
      </c>
      <c r="BB173" s="49">
        <f>IF('Control Solar 1er Sem'!$H$4&lt;0,BA165*SIN(RADIANS(BB165)),BA157*SIN(RADIANS(BB157)))</f>
        <v>-3.3025120163095782</v>
      </c>
      <c r="BC173" s="150">
        <f>IF('Control Solar 1er Sem'!$H$4&lt;0,BC165*COS(RADIANS(BD165)),BC157*COS(RADIANS(BD157)))</f>
        <v>6.3745781167226738</v>
      </c>
      <c r="BD173" s="49">
        <f>IF('Control Solar 1er Sem'!$H$4&lt;0,BC165*SIN(RADIANS(BD165)),BC157*SIN(RADIANS(BD157)))</f>
        <v>-3.8190747682328166</v>
      </c>
      <c r="BE173" s="150">
        <f>IF('Control Solar 1er Sem'!$H$4&lt;0,BE165*COS(RADIANS(BF165)),BE157*COS(RADIANS(BF157)))</f>
        <v>4.7914718059899393</v>
      </c>
      <c r="BF173" s="49">
        <f>IF('Control Solar 1er Sem'!$H$4&lt;0,BE165*SIN(RADIANS(BF165)),BE157*SIN(RADIANS(BF157)))</f>
        <v>-4.1978666039421961</v>
      </c>
      <c r="BG173" s="150">
        <f>IF('Control Solar 1er Sem'!$H$4&lt;0,BG165*COS(RADIANS(BH165)),BG157*COS(RADIANS(BH157)))</f>
        <v>3.1989291170115344</v>
      </c>
      <c r="BH173" s="49">
        <f>IF('Control Solar 1er Sem'!$H$4&lt;0,BG165*SIN(RADIANS(BH165)),BG157*SIN(RADIANS(BH157)))</f>
        <v>-4.4576700187236371</v>
      </c>
      <c r="BI173" s="150">
        <f>IF('Control Solar 1er Sem'!$H$4&lt;0,BI165*COS(RADIANS(BJ165)),BI157*COS(RADIANS(BJ157)))</f>
        <v>1.6007777970337362</v>
      </c>
      <c r="BJ173" s="49">
        <f>IF('Control Solar 1er Sem'!$H$4&lt;0,BI165*SIN(RADIANS(BJ165)),BI157*SIN(RADIANS(BJ157)))</f>
        <v>-4.6096209042552729</v>
      </c>
      <c r="BK173" s="150">
        <f>IF('Control Solar 1er Sem'!$H$4&lt;0,BK165*COS(RADIANS(BL165)),BK157*COS(RADIANS(BL157)))</f>
        <v>2.8543812206334089E-16</v>
      </c>
      <c r="BL173" s="49">
        <f>IF('Control Solar 1er Sem'!$H$4&lt;0,BK165*SIN(RADIANS(BL165)),BK157*SIN(RADIANS(BL157)))</f>
        <v>-4.6596495456484224</v>
      </c>
      <c r="BM173" s="150">
        <f>IF('Control Solar 1er Sem'!$H$4&lt;0,BM165*COS(RADIANS(BN165)),BM157*COS(RADIANS(BN157)))</f>
        <v>-1.6007777970337347</v>
      </c>
      <c r="BN173" s="49">
        <f>IF('Control Solar 1er Sem'!$H$4&lt;0,BM165*SIN(RADIANS(BN165)),BM157*SIN(RADIANS(BN157)))</f>
        <v>-4.6096209042552738</v>
      </c>
      <c r="BO173" s="150">
        <f>IF('Control Solar 1er Sem'!$H$4&lt;0,BO165*COS(RADIANS(BP165)),BO157*COS(RADIANS(BP157)))</f>
        <v>-3.1989291170115348</v>
      </c>
      <c r="BP173" s="49">
        <f>IF('Control Solar 1er Sem'!$H$4&lt;0,BO165*SIN(RADIANS(BP165)),BO157*SIN(RADIANS(BP157)))</f>
        <v>-4.4576700187236371</v>
      </c>
      <c r="BQ173" s="150">
        <f>IF('Control Solar 1er Sem'!$H$4&lt;0,BQ165*COS(RADIANS(BR165)),BQ157*COS(RADIANS(BR157)))</f>
        <v>-4.7914718059899393</v>
      </c>
      <c r="BR173" s="49">
        <f>IF('Control Solar 1er Sem'!$H$4&lt;0,BQ165*SIN(RADIANS(BR165)),BQ157*SIN(RADIANS(BR157)))</f>
        <v>-4.197866603942197</v>
      </c>
      <c r="BS173" s="150">
        <f>IF('Control Solar 1er Sem'!$H$4&lt;0,BS165*COS(RADIANS(BT165)),BS157*COS(RADIANS(BT157)))</f>
        <v>-6.3745781167226738</v>
      </c>
      <c r="BT173" s="49">
        <f>IF('Control Solar 1er Sem'!$H$4&lt;0,BS165*SIN(RADIANS(BT165)),BS157*SIN(RADIANS(BT157)))</f>
        <v>-3.8190747682328157</v>
      </c>
      <c r="BU173" s="150">
        <f>IF('Control Solar 1er Sem'!$H$4&lt;0,BU165*COS(RADIANS(BV165)),BU157*COS(RADIANS(BV157)))</f>
        <v>-7.9427188060969556</v>
      </c>
      <c r="BV173" s="49">
        <f>IF('Control Solar 1er Sem'!$H$4&lt;0,BU165*SIN(RADIANS(BV165)),BU157*SIN(RADIANS(BV157)))</f>
        <v>-3.3025120163095805</v>
      </c>
      <c r="BW173" s="150">
        <f>IF('Control Solar 1er Sem'!$H$4&lt;0,BW165*COS(RADIANS(BX165)),BW157*COS(RADIANS(BX157)))</f>
        <v>-8.9999999158860629</v>
      </c>
      <c r="BX173" s="49">
        <f>IF('Control Solar 1er Sem'!$H$4&lt;0,BW165*SIN(RADIANS(BX165)),BW157*SIN(RADIANS(BX157)))</f>
        <v>-1.230467748946156E-3</v>
      </c>
      <c r="BY173" s="150">
        <f>IF('Control Solar 1er Sem'!$H$4&lt;0,BY165*COS(RADIANS(BZ165)),BY157*COS(RADIANS(BZ157)))</f>
        <v>0</v>
      </c>
      <c r="BZ173" s="49">
        <f>IF('Control Solar 1er Sem'!$H$4&lt;0,BY165*SIN(RADIANS(BZ165)),BY157*SIN(RADIANS(BZ157)))</f>
        <v>0</v>
      </c>
      <c r="CA173" s="150">
        <f>IF('Control Solar 1er Sem'!$H$4&lt;0,CA165*COS(RADIANS(CB165)),CA157*COS(RADIANS(CB157)))</f>
        <v>0</v>
      </c>
      <c r="CB173" s="49">
        <f>IF('Control Solar 1er Sem'!$H$4&lt;0,CA165*SIN(RADIANS(CB165)),CA157*SIN(RADIANS(CB157)))</f>
        <v>0</v>
      </c>
      <c r="CC173" s="150">
        <f>IF('Control Solar 1er Sem'!$H$4&lt;0,CC165*COS(RADIANS(CD165)),CC157*COS(RADIANS(CD157)))</f>
        <v>0</v>
      </c>
      <c r="CD173" s="49">
        <f>IF('Control Solar 1er Sem'!$H$4&lt;0,CC165*SIN(RADIANS(CD165)),CC157*SIN(RADIANS(CD157)))</f>
        <v>0</v>
      </c>
      <c r="CE173" s="150">
        <f>IF('Control Solar 1er Sem'!$H$4&lt;0,CE165*COS(RADIANS(CF165)),CE157*COS(RADIANS(CF157)))</f>
        <v>0</v>
      </c>
      <c r="CF173" s="49">
        <f>IF('Control Solar 1er Sem'!$H$4&lt;0,CE165*SIN(RADIANS(CF165)),CE157*SIN(RADIANS(CF157)))</f>
        <v>0</v>
      </c>
      <c r="CG173" s="150">
        <f>IF('Control Solar 1er Sem'!$H$4&lt;0,CG165*COS(RADIANS(CH165)),CG157*COS(RADIANS(CH157)))</f>
        <v>0</v>
      </c>
      <c r="CH173" s="49">
        <f>IF('Control Solar 1er Sem'!$H$4&lt;0,CG165*SIN(RADIANS(CH165)),CG157*SIN(RADIANS(CH157)))</f>
        <v>0</v>
      </c>
      <c r="CI173" s="150" t="e">
        <f>IF('Control Solar 1er Sem'!$H$4&lt;0,CI165*COS(RADIANS(CJ165)),CI157*COS(RADIANS(CJ157)))</f>
        <v>#NUM!</v>
      </c>
      <c r="CJ173" s="49" t="e">
        <f>IF('Control Solar 1er Sem'!$H$4&lt;0,CI165*SIN(RADIANS(CJ165)),CI157*SIN(RADIANS(CJ157)))</f>
        <v>#NUM!</v>
      </c>
    </row>
    <row r="174" spans="1:88" x14ac:dyDescent="0.25">
      <c r="A174">
        <v>-8.1999999999999993</v>
      </c>
      <c r="B174">
        <f t="shared" si="136"/>
        <v>3.7094473981982823</v>
      </c>
      <c r="C174">
        <f t="shared" si="137"/>
        <v>-3.7094473981982823</v>
      </c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52"/>
      <c r="S174" s="152"/>
      <c r="T174" s="13"/>
      <c r="U174" s="13"/>
      <c r="V174" s="13"/>
      <c r="W174" s="44"/>
      <c r="X174" s="13"/>
      <c r="Y174" s="13"/>
      <c r="Z174" s="13"/>
      <c r="AC174" s="154">
        <f>+IF(AB173=$AI$63,AB172,IF(AB173=$AJ$63,$AI$64+AB172,IF(AB173=$AK$63,$AI$64+$AJ$64+AB172,IF(AB173=$AL$63,$AI$64+$AJ$64+$AK$64+AB172,IF(AB173=$AM$63,$AI$64+$AJ$64+$AK$64+$AL$64+AB172,IF(AB173=$AN$63,$AI$64+$AJ$64+$AK$64+$AL$64+$AM$64+AB172,IF(AB173=$AO$63,$AI$64+$AJ$64+$AK$64+$AL$64+$AM$64+$AN$64+AB172,IF(AB173=$AP$63,$AI$64+$AJ$64+$AK$64+$AL$64+$AM$64+$AN$64+$AO$64+AB172,IF(AB173=$AQ$63,$AI$64+$AJ$64+$AK$64+$AL$64+$AM$64+$AN$64+$AO$64+$AP$64+AB172,IF(AB173=$AR$63,$AI$64+$AJ$64+$AK$64+$AL$64+$AM$64+$AN$64+$AO$64+$AP$64+$AQ$64+AB172,IF(AB173=$AS$63,$AI$64+$AJ$64+$AK$64+$AL$64+$AM$64+$AN$64+$AO$64+$AP$64+$AQ$64+$AR$64+AB172,IF(AB173=$AT$63,$AI$64+$AJ$64+$AK$64+$AL$64+$AM$64+$AN$64+$AO$64+$AP$64+$AQ$64+$AR$64+$AS$64+AB172,"error"))))))))))))</f>
        <v>80</v>
      </c>
      <c r="AD174" s="38">
        <f>23.45*SIN(RADIANS(360*((284+AC174)/365)))</f>
        <v>-0.40365320185431652</v>
      </c>
      <c r="AE174" s="155">
        <f>IF('Control Solar 1er Sem'!N18&lt;0,-90-'Control Solar 1er Sem'!N18,90-'Control Solar 1er Sem'!N18)</f>
        <v>30</v>
      </c>
      <c r="AL174" s="13"/>
      <c r="AM174" s="13"/>
      <c r="AN174" t="s">
        <v>103</v>
      </c>
      <c r="AO174" s="152">
        <f>IF('Control Solar 1er Sem'!$H$4&lt;0,AO166*COS(RADIANS(AP166)),AO158*COS(RADIANS(AP158)))</f>
        <v>0</v>
      </c>
      <c r="AP174" s="49">
        <f>IF('Control Solar 1er Sem'!$H$4&lt;0,AO166*SIN(RADIANS(AP166)),AO158*SIN(RADIANS(AP158)))</f>
        <v>0</v>
      </c>
      <c r="AQ174" s="150">
        <f>IF('Control Solar 1er Sem'!$H$4&lt;0,AQ166*COS(RADIANS(AR166)),AQ158*COS(RADIANS(AR158)))</f>
        <v>0</v>
      </c>
      <c r="AR174" s="49">
        <f>IF('Control Solar 1er Sem'!$H$4&lt;0,AQ166*SIN(RADIANS(AR166)),AQ158*SIN(RADIANS(AR158)))</f>
        <v>0</v>
      </c>
      <c r="AS174" s="150">
        <f>IF('Control Solar 1er Sem'!$H$4&lt;0,AS166*COS(RADIANS(AT166)),AS158*COS(RADIANS(AT158)))</f>
        <v>0</v>
      </c>
      <c r="AT174" s="49">
        <f>IF('Control Solar 1er Sem'!$H$4&lt;0,AS166*SIN(RADIANS(AT166)),AS158*SIN(RADIANS(AT158)))</f>
        <v>0</v>
      </c>
      <c r="AU174" s="150">
        <f>IF('Control Solar 1er Sem'!$H$4&lt;0,AU166*COS(RADIANS(AV166)),AU158*COS(RADIANS(AV158)))</f>
        <v>0</v>
      </c>
      <c r="AV174" s="49">
        <f>IF('Control Solar 1er Sem'!$H$4&lt;0,AU166*SIN(RADIANS(AV166)),AU158*SIN(RADIANS(AV158)))</f>
        <v>0</v>
      </c>
      <c r="AW174" s="150">
        <f>IF('Control Solar 1er Sem'!$H$4&lt;0,AW166*COS(RADIANS(AX166)),AW158*COS(RADIANS(AX158)))</f>
        <v>0</v>
      </c>
      <c r="AX174" s="49">
        <f>IF('Control Solar 1er Sem'!$H$4&lt;0,AW166*SIN(RADIANS(AX166)),AW158*SIN(RADIANS(AX158)))</f>
        <v>0</v>
      </c>
      <c r="AY174" s="150">
        <f>IF('Control Solar 1er Sem'!$H$4&lt;0,AY166*COS(RADIANS(AZ166)),AY158*COS(RADIANS(AZ158)))</f>
        <v>8.9999999158860629</v>
      </c>
      <c r="AZ174" s="49">
        <f>IF('Control Solar 1er Sem'!$H$4&lt;0,AY166*SIN(RADIANS(AZ166)),AY158*SIN(RADIANS(AZ158)))</f>
        <v>-1.2304677489461085E-3</v>
      </c>
      <c r="BA174" s="150">
        <f>IF('Control Solar 1er Sem'!$H$4&lt;0,BA166*COS(RADIANS(BB166)),BA158*COS(RADIANS(BB158)))</f>
        <v>7.8505349227251555</v>
      </c>
      <c r="BB174" s="49">
        <f>IF('Control Solar 1er Sem'!$H$4&lt;0,BA166*SIN(RADIANS(BB166)),BA158*SIN(RADIANS(BB158)))</f>
        <v>-2.0577961364005248</v>
      </c>
      <c r="BC174" s="150">
        <f>IF('Control Solar 1er Sem'!$H$4&lt;0,BC166*COS(RADIANS(BD166)),BC158*COS(RADIANS(BD158)))</f>
        <v>6.3219057421889273</v>
      </c>
      <c r="BD174" s="49">
        <f>IF('Control Solar 1er Sem'!$H$4&lt;0,BC166*SIN(RADIANS(BD166)),BC158*SIN(RADIANS(BD158)))</f>
        <v>-2.7039695211361687</v>
      </c>
      <c r="BE174" s="150">
        <f>IF('Control Solar 1er Sem'!$H$4&lt;0,BE166*COS(RADIANS(BF166)),BE158*COS(RADIANS(BF158)))</f>
        <v>4.7621175617680649</v>
      </c>
      <c r="BF174" s="49">
        <f>IF('Control Solar 1er Sem'!$H$4&lt;0,BE166*SIN(RADIANS(BF166)),BE158*SIN(RADIANS(BF158)))</f>
        <v>-3.1725031675284874</v>
      </c>
      <c r="BG174" s="150">
        <f>IF('Control Solar 1er Sem'!$H$4&lt;0,BG166*COS(RADIANS(BH166)),BG158*COS(RADIANS(BH158)))</f>
        <v>3.1835652798692924</v>
      </c>
      <c r="BH174" s="49">
        <f>IF('Control Solar 1er Sem'!$H$4&lt;0,BG166*SIN(RADIANS(BH166)),BG158*SIN(RADIANS(BH158)))</f>
        <v>-3.4911671364102346</v>
      </c>
      <c r="BI174" s="150">
        <f>IF('Control Solar 1er Sem'!$H$4&lt;0,BI166*COS(RADIANS(BJ166)),BI158*COS(RADIANS(BJ158)))</f>
        <v>1.5942481393866368</v>
      </c>
      <c r="BJ174" s="49">
        <f>IF('Control Solar 1er Sem'!$H$4&lt;0,BI166*SIN(RADIANS(BJ166)),BI158*SIN(RADIANS(BJ158)))</f>
        <v>-3.6765137729703996</v>
      </c>
      <c r="BK174" s="150">
        <f>IF('Control Solar 1er Sem'!$H$4&lt;0,BK166*COS(RADIANS(BL166)),BK158*COS(RADIANS(BL158)))</f>
        <v>2.2894168507319601E-16</v>
      </c>
      <c r="BL174" s="49">
        <f>IF('Control Solar 1er Sem'!$H$4&lt;0,BK166*SIN(RADIANS(BL166)),BK158*SIN(RADIANS(BL158)))</f>
        <v>-3.7373705065035905</v>
      </c>
      <c r="BM174" s="150">
        <f>IF('Control Solar 1er Sem'!$H$4&lt;0,BM166*COS(RADIANS(BN166)),BM158*COS(RADIANS(BN158)))</f>
        <v>-1.5942481393866366</v>
      </c>
      <c r="BN174" s="49">
        <f>IF('Control Solar 1er Sem'!$H$4&lt;0,BM166*SIN(RADIANS(BN166)),BM158*SIN(RADIANS(BN158)))</f>
        <v>-3.6765137729703996</v>
      </c>
      <c r="BO174" s="150">
        <f>IF('Control Solar 1er Sem'!$H$4&lt;0,BO166*COS(RADIANS(BP166)),BO158*COS(RADIANS(BP158)))</f>
        <v>-3.1835652798692937</v>
      </c>
      <c r="BP174" s="49">
        <f>IF('Control Solar 1er Sem'!$H$4&lt;0,BO166*SIN(RADIANS(BP166)),BO158*SIN(RADIANS(BP158)))</f>
        <v>-3.4911671364102332</v>
      </c>
      <c r="BQ174" s="150">
        <f>IF('Control Solar 1er Sem'!$H$4&lt;0,BQ166*COS(RADIANS(BR166)),BQ158*COS(RADIANS(BR158)))</f>
        <v>-4.7621175617680658</v>
      </c>
      <c r="BR174" s="49">
        <f>IF('Control Solar 1er Sem'!$H$4&lt;0,BQ166*SIN(RADIANS(BR166)),BQ158*SIN(RADIANS(BR158)))</f>
        <v>-3.1725031675284869</v>
      </c>
      <c r="BS174" s="150">
        <f>IF('Control Solar 1er Sem'!$H$4&lt;0,BS166*COS(RADIANS(BT166)),BS158*COS(RADIANS(BT158)))</f>
        <v>-6.3219057421889273</v>
      </c>
      <c r="BT174" s="49">
        <f>IF('Control Solar 1er Sem'!$H$4&lt;0,BS166*SIN(RADIANS(BT166)),BS158*SIN(RADIANS(BT158)))</f>
        <v>-2.7039695211361696</v>
      </c>
      <c r="BU174" s="150">
        <f>IF('Control Solar 1er Sem'!$H$4&lt;0,BU166*COS(RADIANS(BV166)),BU158*COS(RADIANS(BV158)))</f>
        <v>-7.8505349227251564</v>
      </c>
      <c r="BV174" s="49">
        <f>IF('Control Solar 1er Sem'!$H$4&lt;0,BU166*SIN(RADIANS(BV166)),BU158*SIN(RADIANS(BV158)))</f>
        <v>-2.0577961364005222</v>
      </c>
      <c r="BW174" s="150">
        <f>IF('Control Solar 1er Sem'!$H$4&lt;0,BW166*COS(RADIANS(BX166)),BW158*COS(RADIANS(BX158)))</f>
        <v>-8.9999999158860629</v>
      </c>
      <c r="BX174" s="49">
        <f>IF('Control Solar 1er Sem'!$H$4&lt;0,BW166*SIN(RADIANS(BX166)),BW158*SIN(RADIANS(BX158)))</f>
        <v>-1.230467748946156E-3</v>
      </c>
      <c r="BY174" s="150">
        <f>IF('Control Solar 1er Sem'!$H$4&lt;0,BY166*COS(RADIANS(BZ166)),BY158*COS(RADIANS(BZ158)))</f>
        <v>0</v>
      </c>
      <c r="BZ174" s="49">
        <f>IF('Control Solar 1er Sem'!$H$4&lt;0,BY166*SIN(RADIANS(BZ166)),BY158*SIN(RADIANS(BZ158)))</f>
        <v>0</v>
      </c>
      <c r="CA174" s="150">
        <f>IF('Control Solar 1er Sem'!$H$4&lt;0,CA166*COS(RADIANS(CB166)),CA158*COS(RADIANS(CB158)))</f>
        <v>0</v>
      </c>
      <c r="CB174" s="49">
        <f>IF('Control Solar 1er Sem'!$H$4&lt;0,CA166*SIN(RADIANS(CB166)),CA158*SIN(RADIANS(CB158)))</f>
        <v>0</v>
      </c>
      <c r="CC174" s="150">
        <f>IF('Control Solar 1er Sem'!$H$4&lt;0,CC166*COS(RADIANS(CD166)),CC158*COS(RADIANS(CD158)))</f>
        <v>0</v>
      </c>
      <c r="CD174" s="49">
        <f>IF('Control Solar 1er Sem'!$H$4&lt;0,CC166*SIN(RADIANS(CD166)),CC158*SIN(RADIANS(CD158)))</f>
        <v>0</v>
      </c>
      <c r="CE174" s="150">
        <f>IF('Control Solar 1er Sem'!$H$4&lt;0,CE166*COS(RADIANS(CF166)),CE158*COS(RADIANS(CF158)))</f>
        <v>0</v>
      </c>
      <c r="CF174" s="49">
        <f>IF('Control Solar 1er Sem'!$H$4&lt;0,CE166*SIN(RADIANS(CF166)),CE158*SIN(RADIANS(CF158)))</f>
        <v>0</v>
      </c>
      <c r="CG174" s="150">
        <f>IF('Control Solar 1er Sem'!$H$4&lt;0,CG166*COS(RADIANS(CH166)),CG158*COS(RADIANS(CH158)))</f>
        <v>0</v>
      </c>
      <c r="CH174" s="49">
        <f>IF('Control Solar 1er Sem'!$H$4&lt;0,CG166*SIN(RADIANS(CH166)),CG158*SIN(RADIANS(CH158)))</f>
        <v>0</v>
      </c>
      <c r="CI174" s="150" t="e">
        <f>IF('Control Solar 1er Sem'!$H$4&lt;0,CI166*COS(RADIANS(CJ166)),CI158*COS(RADIANS(CJ158)))</f>
        <v>#NUM!</v>
      </c>
      <c r="CJ174" s="49" t="e">
        <f>IF('Control Solar 1er Sem'!$H$4&lt;0,CI166*SIN(RADIANS(CJ166)),CI158*SIN(RADIANS(CJ158)))</f>
        <v>#NUM!</v>
      </c>
    </row>
    <row r="175" spans="1:88" x14ac:dyDescent="0.25">
      <c r="A175">
        <v>-8.3000000000000007</v>
      </c>
      <c r="B175">
        <f t="shared" si="136"/>
        <v>3.479942528261061</v>
      </c>
      <c r="C175">
        <f t="shared" si="137"/>
        <v>-3.479942528261061</v>
      </c>
      <c r="AB175" s="317" t="s">
        <v>90</v>
      </c>
      <c r="AC175" s="315"/>
      <c r="AD175" s="315"/>
      <c r="AE175" s="315"/>
      <c r="AG175" s="319" t="s">
        <v>89</v>
      </c>
      <c r="AH175" s="319"/>
      <c r="AI175" s="319" t="s">
        <v>42</v>
      </c>
      <c r="AJ175" s="319" t="s">
        <v>43</v>
      </c>
      <c r="AN175" t="s">
        <v>102</v>
      </c>
      <c r="AO175" s="152">
        <f>IF('Control Solar 1er Sem'!$H$4&lt;0,AO167*COS(RADIANS(AP167)),AO159*COS(RADIANS(AP159)))</f>
        <v>0</v>
      </c>
      <c r="AP175" s="49">
        <f>IF('Control Solar 1er Sem'!$H$4&lt;0,AO167*SIN(RADIANS(AP167)),AO159*SIN(RADIANS(AP159)))</f>
        <v>0</v>
      </c>
      <c r="AQ175" s="150">
        <f>IF('Control Solar 1er Sem'!$H$4&lt;0,AQ167*COS(RADIANS(AR167)),AQ159*COS(RADIANS(AR159)))</f>
        <v>0</v>
      </c>
      <c r="AR175" s="49">
        <f>IF('Control Solar 1er Sem'!$H$4&lt;0,AQ167*SIN(RADIANS(AR167)),AQ159*SIN(RADIANS(AR159)))</f>
        <v>0</v>
      </c>
      <c r="AS175" s="150">
        <f>IF('Control Solar 1er Sem'!$H$4&lt;0,AS167*COS(RADIANS(AT167)),AS159*COS(RADIANS(AT159)))</f>
        <v>0</v>
      </c>
      <c r="AT175" s="49">
        <f>IF('Control Solar 1er Sem'!$H$4&lt;0,AS167*SIN(RADIANS(AT167)),AS159*SIN(RADIANS(AT159)))</f>
        <v>0</v>
      </c>
      <c r="AU175" s="150">
        <f>IF('Control Solar 1er Sem'!$H$4&lt;0,AU167*COS(RADIANS(AV167)),AU159*COS(RADIANS(AV159)))</f>
        <v>0</v>
      </c>
      <c r="AV175" s="49">
        <f>IF('Control Solar 1er Sem'!$H$4&lt;0,AU167*SIN(RADIANS(AV167)),AU159*SIN(RADIANS(AV159)))</f>
        <v>0</v>
      </c>
      <c r="AW175" s="150">
        <f>IF('Control Solar 1er Sem'!$H$4&lt;0,AW167*COS(RADIANS(AX167)),AW159*COS(RADIANS(AX159)))</f>
        <v>0</v>
      </c>
      <c r="AX175" s="49">
        <f>IF('Control Solar 1er Sem'!$H$4&lt;0,AW167*SIN(RADIANS(AX167)),AW159*SIN(RADIANS(AX159)))</f>
        <v>0</v>
      </c>
      <c r="AY175" s="150">
        <f>IF('Control Solar 1er Sem'!$H$4&lt;0,AY167*COS(RADIANS(AZ167)),AY159*COS(RADIANS(AZ159)))</f>
        <v>8.7883582682606036</v>
      </c>
      <c r="AZ175" s="49">
        <f>IF('Control Solar 1er Sem'!$H$4&lt;0,AY167*SIN(RADIANS(AZ167)),AY159*SIN(RADIANS(AZ159)))</f>
        <v>0.53934028205281404</v>
      </c>
      <c r="BA175" s="150">
        <f>IF('Control Solar 1er Sem'!$H$4&lt;0,BA167*COS(RADIANS(BB167)),BA159*COS(RADIANS(BB159)))</f>
        <v>7.4782579609816162</v>
      </c>
      <c r="BB175" s="49">
        <f>IF('Control Solar 1er Sem'!$H$4&lt;0,BA167*SIN(RADIANS(BB167)),BA159*SIN(RADIANS(BB159)))</f>
        <v>-0.49877504340216094</v>
      </c>
      <c r="BC175" s="150">
        <f>IF('Control Solar 1er Sem'!$H$4&lt;0,BC167*COS(RADIANS(BD167)),BC159*COS(RADIANS(BD159)))</f>
        <v>6.0649626831945911</v>
      </c>
      <c r="BD175" s="49">
        <f>IF('Control Solar 1er Sem'!$H$4&lt;0,BC167*SIN(RADIANS(BD167)),BC159*SIN(RADIANS(BD159)))</f>
        <v>-1.2721013335297824</v>
      </c>
      <c r="BE175" s="150">
        <f>IF('Control Solar 1er Sem'!$H$4&lt;0,BE167*COS(RADIANS(BF167)),BE159*COS(RADIANS(BF159)))</f>
        <v>4.5898087062962007</v>
      </c>
      <c r="BF175" s="49">
        <f>IF('Control Solar 1er Sem'!$H$4&lt;0,BE167*SIN(RADIANS(BF167)),BE159*SIN(RADIANS(BF159)))</f>
        <v>-1.8324364394971169</v>
      </c>
      <c r="BG175" s="150">
        <f>IF('Control Solar 1er Sem'!$H$4&lt;0,BG167*COS(RADIANS(BH167)),BG159*COS(RADIANS(BH159)))</f>
        <v>3.0773552908954085</v>
      </c>
      <c r="BH175" s="49">
        <f>IF('Control Solar 1er Sem'!$H$4&lt;0,BG167*SIN(RADIANS(BH167)),BG159*SIN(RADIANS(BH159)))</f>
        <v>-2.2128940080973147</v>
      </c>
      <c r="BI175" s="150">
        <f>IF('Control Solar 1er Sem'!$H$4&lt;0,BI167*COS(RADIANS(BJ167)),BI159*COS(RADIANS(BJ159)))</f>
        <v>1.5435540171470266</v>
      </c>
      <c r="BJ175" s="49">
        <f>IF('Control Solar 1er Sem'!$H$4&lt;0,BI167*SIN(RADIANS(BJ167)),BI159*SIN(RADIANS(BJ159)))</f>
        <v>-2.4338374353420646</v>
      </c>
      <c r="BK175" s="150">
        <f>IF('Control Solar 1er Sem'!$H$4&lt;0,BK167*COS(RADIANS(BL167)),BK159*COS(RADIANS(BL159)))</f>
        <v>1.5353055534212649E-16</v>
      </c>
      <c r="BL175" s="49">
        <f>IF('Control Solar 1er Sem'!$H$4&lt;0,BK167*SIN(RADIANS(BL167)),BK159*SIN(RADIANS(BL159)))</f>
        <v>-2.5063175768944319</v>
      </c>
      <c r="BM175" s="150">
        <f>IF('Control Solar 1er Sem'!$H$4&lt;0,BM167*COS(RADIANS(BN167)),BM159*COS(RADIANS(BN159)))</f>
        <v>-1.5435540171470263</v>
      </c>
      <c r="BN175" s="49">
        <f>IF('Control Solar 1er Sem'!$H$4&lt;0,BM167*SIN(RADIANS(BN167)),BM159*SIN(RADIANS(BN159)))</f>
        <v>-2.4338374353420638</v>
      </c>
      <c r="BO175" s="150">
        <f>IF('Control Solar 1er Sem'!$H$4&lt;0,BO167*COS(RADIANS(BP167)),BO159*COS(RADIANS(BP159)))</f>
        <v>-3.0773552908954072</v>
      </c>
      <c r="BP175" s="49">
        <f>IF('Control Solar 1er Sem'!$H$4&lt;0,BO167*SIN(RADIANS(BP167)),BO159*SIN(RADIANS(BP159)))</f>
        <v>-2.2128940080973152</v>
      </c>
      <c r="BQ175" s="150">
        <f>IF('Control Solar 1er Sem'!$H$4&lt;0,BQ167*COS(RADIANS(BR167)),BQ159*COS(RADIANS(BR159)))</f>
        <v>-4.5898087062962007</v>
      </c>
      <c r="BR175" s="49">
        <f>IF('Control Solar 1er Sem'!$H$4&lt;0,BQ167*SIN(RADIANS(BR167)),BQ159*SIN(RADIANS(BR159)))</f>
        <v>-1.8324364394971169</v>
      </c>
      <c r="BS175" s="150">
        <f>IF('Control Solar 1er Sem'!$H$4&lt;0,BS167*COS(RADIANS(BT167)),BS159*COS(RADIANS(BT159)))</f>
        <v>-6.0649626831945911</v>
      </c>
      <c r="BT175" s="49">
        <f>IF('Control Solar 1er Sem'!$H$4&lt;0,BS167*SIN(RADIANS(BT167)),BS159*SIN(RADIANS(BT159)))</f>
        <v>-1.2721013335297828</v>
      </c>
      <c r="BU175" s="150">
        <f>IF('Control Solar 1er Sem'!$H$4&lt;0,BU167*COS(RADIANS(BV167)),BU159*COS(RADIANS(BV159)))</f>
        <v>-7.4782579609816162</v>
      </c>
      <c r="BV175" s="49">
        <f>IF('Control Solar 1er Sem'!$H$4&lt;0,BU167*SIN(RADIANS(BV167)),BU159*SIN(RADIANS(BV159)))</f>
        <v>-0.49877504340215972</v>
      </c>
      <c r="BW175" s="150">
        <f>IF('Control Solar 1er Sem'!$H$4&lt;0,BW167*COS(RADIANS(BX167)),BW159*COS(RADIANS(BX159)))</f>
        <v>-8.7883582682606036</v>
      </c>
      <c r="BX175" s="49">
        <f>IF('Control Solar 1er Sem'!$H$4&lt;0,BW167*SIN(RADIANS(BX167)),BW159*SIN(RADIANS(BX159)))</f>
        <v>0.53934028205281592</v>
      </c>
      <c r="BY175" s="150">
        <f>IF('Control Solar 1er Sem'!$H$4&lt;0,BY167*COS(RADIANS(BZ167)),BY159*COS(RADIANS(BZ159)))</f>
        <v>0</v>
      </c>
      <c r="BZ175" s="49">
        <f>IF('Control Solar 1er Sem'!$H$4&lt;0,BY167*SIN(RADIANS(BZ167)),BY159*SIN(RADIANS(BZ159)))</f>
        <v>0</v>
      </c>
      <c r="CA175" s="150">
        <f>IF('Control Solar 1er Sem'!$H$4&lt;0,CA167*COS(RADIANS(CB167)),CA159*COS(RADIANS(CB159)))</f>
        <v>0</v>
      </c>
      <c r="CB175" s="49">
        <f>IF('Control Solar 1er Sem'!$H$4&lt;0,CA167*SIN(RADIANS(CB167)),CA159*SIN(RADIANS(CB159)))</f>
        <v>0</v>
      </c>
      <c r="CC175" s="150">
        <f>IF('Control Solar 1er Sem'!$H$4&lt;0,CC167*COS(RADIANS(CD167)),CC159*COS(RADIANS(CD159)))</f>
        <v>0</v>
      </c>
      <c r="CD175" s="49">
        <f>IF('Control Solar 1er Sem'!$H$4&lt;0,CC167*SIN(RADIANS(CD167)),CC159*SIN(RADIANS(CD159)))</f>
        <v>0</v>
      </c>
      <c r="CE175" s="150">
        <f>IF('Control Solar 1er Sem'!$H$4&lt;0,CE167*COS(RADIANS(CF167)),CE159*COS(RADIANS(CF159)))</f>
        <v>0</v>
      </c>
      <c r="CF175" s="49">
        <f>IF('Control Solar 1er Sem'!$H$4&lt;0,CE167*SIN(RADIANS(CF167)),CE159*SIN(RADIANS(CF159)))</f>
        <v>0</v>
      </c>
      <c r="CG175" s="150">
        <f>IF('Control Solar 1er Sem'!$H$4&lt;0,CG167*COS(RADIANS(CH167)),CG159*COS(RADIANS(CH159)))</f>
        <v>0</v>
      </c>
      <c r="CH175" s="49">
        <f>IF('Control Solar 1er Sem'!$H$4&lt;0,CG167*SIN(RADIANS(CH167)),CG159*SIN(RADIANS(CH159)))</f>
        <v>0</v>
      </c>
      <c r="CI175" s="150" t="e">
        <f>IF('Control Solar 1er Sem'!$H$4&lt;0,CI167*COS(RADIANS(CJ167)),CI159*COS(RADIANS(CJ159)))</f>
        <v>#NUM!</v>
      </c>
      <c r="CJ175" s="49" t="e">
        <f>IF('Control Solar 1er Sem'!$H$4&lt;0,CI167*SIN(RADIANS(CJ167)),CI159*SIN(RADIANS(CJ159)))</f>
        <v>#NUM!</v>
      </c>
    </row>
    <row r="176" spans="1:88" x14ac:dyDescent="0.25">
      <c r="A176">
        <v>-8.4</v>
      </c>
      <c r="B176">
        <f t="shared" si="136"/>
        <v>3.2310988842807022</v>
      </c>
      <c r="C176">
        <f t="shared" si="137"/>
        <v>-3.2310988842807022</v>
      </c>
      <c r="AB176" s="318"/>
      <c r="AC176" s="315"/>
      <c r="AD176" s="315"/>
      <c r="AE176" s="315"/>
      <c r="AG176" s="319"/>
      <c r="AH176" s="319"/>
      <c r="AI176" s="319"/>
      <c r="AJ176" s="319"/>
      <c r="AK176" s="153"/>
      <c r="AL176" s="153"/>
      <c r="AN176" t="s">
        <v>101</v>
      </c>
      <c r="AO176" s="152">
        <f>IF('Control Solar 1er Sem'!$H$4&lt;0,AO168*COS(RADIANS(AP168)),AO160*COS(RADIANS(AP160)))</f>
        <v>0</v>
      </c>
      <c r="AP176" s="49">
        <f>IF('Control Solar 1er Sem'!$H$4&lt;0,AO168*SIN(RADIANS(AP168)),AO160*SIN(RADIANS(AP160)))</f>
        <v>0</v>
      </c>
      <c r="AQ176" s="150">
        <f>IF('Control Solar 1er Sem'!$H$4&lt;0,AQ168*COS(RADIANS(AR168)),AQ160*COS(RADIANS(AR160)))</f>
        <v>0</v>
      </c>
      <c r="AR176" s="49">
        <f>IF('Control Solar 1er Sem'!$H$4&lt;0,AQ168*SIN(RADIANS(AR168)),AQ160*SIN(RADIANS(AR160)))</f>
        <v>0</v>
      </c>
      <c r="AS176" s="150">
        <f>IF('Control Solar 1er Sem'!$H$4&lt;0,AS168*COS(RADIANS(AT168)),AS160*COS(RADIANS(AT160)))</f>
        <v>0</v>
      </c>
      <c r="AT176" s="49">
        <f>IF('Control Solar 1er Sem'!$H$4&lt;0,AS168*SIN(RADIANS(AT168)),AS160*SIN(RADIANS(AT160)))</f>
        <v>0</v>
      </c>
      <c r="AU176" s="150">
        <f>IF('Control Solar 1er Sem'!$H$4&lt;0,AU168*COS(RADIANS(AV168)),AU160*COS(RADIANS(AV160)))</f>
        <v>0</v>
      </c>
      <c r="AV176" s="49">
        <f>IF('Control Solar 1er Sem'!$H$4&lt;0,AU168*SIN(RADIANS(AV168)),AU160*SIN(RADIANS(AV160)))</f>
        <v>0</v>
      </c>
      <c r="AW176" s="150">
        <f>IF('Control Solar 1er Sem'!$H$4&lt;0,AW168*COS(RADIANS(AX168)),AW160*COS(RADIANS(AX160)))</f>
        <v>0</v>
      </c>
      <c r="AX176" s="49">
        <f>IF('Control Solar 1er Sem'!$H$4&lt;0,AW168*SIN(RADIANS(AX168)),AW160*SIN(RADIANS(AX160)))</f>
        <v>0</v>
      </c>
      <c r="AY176" s="150">
        <f>IF('Control Solar 1er Sem'!$H$4&lt;0,AY168*COS(RADIANS(AZ168)),AY160*COS(RADIANS(AZ160)))</f>
        <v>8.0667743759958661</v>
      </c>
      <c r="AZ176" s="49">
        <f>IF('Control Solar 1er Sem'!$H$4&lt;0,AY168*SIN(RADIANS(AZ168)),AY160*SIN(RADIANS(AZ160)))</f>
        <v>1.8759482527650697</v>
      </c>
      <c r="BA176" s="150">
        <f>IF('Control Solar 1er Sem'!$H$4&lt;0,BA168*COS(RADIANS(BB168)),BA160*COS(RADIANS(BB160)))</f>
        <v>6.9482491884736275</v>
      </c>
      <c r="BB176" s="49">
        <f>IF('Control Solar 1er Sem'!$H$4&lt;0,BA168*SIN(RADIANS(BB168)),BA160*SIN(RADIANS(BB160)))</f>
        <v>0.76795237286723683</v>
      </c>
      <c r="BC176" s="150">
        <f>IF('Control Solar 1er Sem'!$H$4&lt;0,BC168*COS(RADIANS(BD168)),BC160*COS(RADIANS(BD160)))</f>
        <v>5.681673954671612</v>
      </c>
      <c r="BD176" s="49">
        <f>IF('Control Solar 1er Sem'!$H$4&lt;0,BC168*SIN(RADIANS(BD168)),BC160*SIN(RADIANS(BD160)))</f>
        <v>-6.8641989673889181E-2</v>
      </c>
      <c r="BE176" s="150">
        <f>IF('Control Solar 1er Sem'!$H$4&lt;0,BE168*COS(RADIANS(BF168)),BE160*COS(RADIANS(BF160)))</f>
        <v>4.3235372056031043</v>
      </c>
      <c r="BF176" s="49">
        <f>IF('Control Solar 1er Sem'!$H$4&lt;0,BE168*SIN(RADIANS(BF168)),BE160*SIN(RADIANS(BF160)))</f>
        <v>-0.67945035312016167</v>
      </c>
      <c r="BG176" s="150">
        <f>IF('Control Solar 1er Sem'!$H$4&lt;0,BG168*COS(RADIANS(BH168)),BG160*COS(RADIANS(BH160)))</f>
        <v>2.9090953902894121</v>
      </c>
      <c r="BH176" s="49">
        <f>IF('Control Solar 1er Sem'!$H$4&lt;0,BG168*SIN(RADIANS(BH168)),BG160*SIN(RADIANS(BH160)))</f>
        <v>-1.0959270054663139</v>
      </c>
      <c r="BI176" s="150">
        <f>IF('Control Solar 1er Sem'!$H$4&lt;0,BI168*COS(RADIANS(BJ168)),BI160*COS(RADIANS(BJ160)))</f>
        <v>1.462043764537692</v>
      </c>
      <c r="BJ176" s="49">
        <f>IF('Control Solar 1er Sem'!$H$4&lt;0,BI168*SIN(RADIANS(BJ168)),BI160*SIN(RADIANS(BJ160)))</f>
        <v>-1.3383201044311768</v>
      </c>
      <c r="BK176" s="150">
        <f>IF('Control Solar 1er Sem'!$H$4&lt;0,BK168*COS(RADIANS(BL168)),BK160*COS(RADIANS(BL160)))</f>
        <v>8.6857589127052893E-17</v>
      </c>
      <c r="BL176" s="49">
        <f>IF('Control Solar 1er Sem'!$H$4&lt;0,BK168*SIN(RADIANS(BL168)),BK160*SIN(RADIANS(BL160)))</f>
        <v>-1.417911254412533</v>
      </c>
      <c r="BM176" s="150">
        <f>IF('Control Solar 1er Sem'!$H$4&lt;0,BM168*COS(RADIANS(BN168)),BM160*COS(RADIANS(BN160)))</f>
        <v>-1.4620437645376916</v>
      </c>
      <c r="BN176" s="49">
        <f>IF('Control Solar 1er Sem'!$H$4&lt;0,BM168*SIN(RADIANS(BN168)),BM160*SIN(RADIANS(BN160)))</f>
        <v>-1.338320104431177</v>
      </c>
      <c r="BO176" s="150">
        <f>IF('Control Solar 1er Sem'!$H$4&lt;0,BO168*COS(RADIANS(BP168)),BO160*COS(RADIANS(BP160)))</f>
        <v>-2.9090953902894121</v>
      </c>
      <c r="BP176" s="49">
        <f>IF('Control Solar 1er Sem'!$H$4&lt;0,BO168*SIN(RADIANS(BP168)),BO160*SIN(RADIANS(BP160)))</f>
        <v>-1.0959270054663137</v>
      </c>
      <c r="BQ176" s="150">
        <f>IF('Control Solar 1er Sem'!$H$4&lt;0,BQ168*COS(RADIANS(BR168)),BQ160*COS(RADIANS(BR160)))</f>
        <v>-4.3235372056031043</v>
      </c>
      <c r="BR176" s="49">
        <f>IF('Control Solar 1er Sem'!$H$4&lt;0,BQ168*SIN(RADIANS(BR168)),BQ160*SIN(RADIANS(BR160)))</f>
        <v>-0.67945035312016244</v>
      </c>
      <c r="BS176" s="150">
        <f>IF('Control Solar 1er Sem'!$H$4&lt;0,BS168*COS(RADIANS(BT168)),BS160*COS(RADIANS(BT160)))</f>
        <v>-5.681673954671612</v>
      </c>
      <c r="BT176" s="49">
        <f>IF('Control Solar 1er Sem'!$H$4&lt;0,BS168*SIN(RADIANS(BT168)),BS160*SIN(RADIANS(BT160)))</f>
        <v>-6.8641989673888751E-2</v>
      </c>
      <c r="BU176" s="150">
        <f>IF('Control Solar 1er Sem'!$H$4&lt;0,BU168*COS(RADIANS(BV168)),BU160*COS(RADIANS(BV160)))</f>
        <v>-6.9482491884736284</v>
      </c>
      <c r="BV176" s="49">
        <f>IF('Control Solar 1er Sem'!$H$4&lt;0,BU168*SIN(RADIANS(BV168)),BU160*SIN(RADIANS(BV160)))</f>
        <v>0.76795237286723794</v>
      </c>
      <c r="BW176" s="150">
        <f>IF('Control Solar 1er Sem'!$H$4&lt;0,BW168*COS(RADIANS(BX168)),BW160*COS(RADIANS(BX160)))</f>
        <v>-8.0667743759958661</v>
      </c>
      <c r="BX176" s="49">
        <f>IF('Control Solar 1er Sem'!$H$4&lt;0,BW168*SIN(RADIANS(BX168)),BW160*SIN(RADIANS(BX160)))</f>
        <v>1.8759482527650715</v>
      </c>
      <c r="BY176" s="150">
        <f>IF('Control Solar 1er Sem'!$H$4&lt;0,BY168*COS(RADIANS(BZ168)),BY160*COS(RADIANS(BZ160)))</f>
        <v>0</v>
      </c>
      <c r="BZ176" s="49">
        <f>IF('Control Solar 1er Sem'!$H$4&lt;0,BY168*SIN(RADIANS(BZ168)),BY160*SIN(RADIANS(BZ160)))</f>
        <v>0</v>
      </c>
      <c r="CA176" s="150">
        <f>IF('Control Solar 1er Sem'!$H$4&lt;0,CA168*COS(RADIANS(CB168)),CA160*COS(RADIANS(CB160)))</f>
        <v>0</v>
      </c>
      <c r="CB176" s="49">
        <f>IF('Control Solar 1er Sem'!$H$4&lt;0,CA168*SIN(RADIANS(CB168)),CA160*SIN(RADIANS(CB160)))</f>
        <v>0</v>
      </c>
      <c r="CC176" s="150">
        <f>IF('Control Solar 1er Sem'!$H$4&lt;0,CC168*COS(RADIANS(CD168)),CC160*COS(RADIANS(CD160)))</f>
        <v>0</v>
      </c>
      <c r="CD176" s="49">
        <f>IF('Control Solar 1er Sem'!$H$4&lt;0,CC168*SIN(RADIANS(CD168)),CC160*SIN(RADIANS(CD160)))</f>
        <v>0</v>
      </c>
      <c r="CE176" s="150">
        <f>IF('Control Solar 1er Sem'!$H$4&lt;0,CE168*COS(RADIANS(CF168)),CE160*COS(RADIANS(CF160)))</f>
        <v>0</v>
      </c>
      <c r="CF176" s="49">
        <f>IF('Control Solar 1er Sem'!$H$4&lt;0,CE168*SIN(RADIANS(CF168)),CE160*SIN(RADIANS(CF160)))</f>
        <v>0</v>
      </c>
      <c r="CG176" s="150">
        <f>IF('Control Solar 1er Sem'!$H$4&lt;0,CG168*COS(RADIANS(CH168)),CG160*COS(RADIANS(CH160)))</f>
        <v>0</v>
      </c>
      <c r="CH176" s="49">
        <f>IF('Control Solar 1er Sem'!$H$4&lt;0,CG168*SIN(RADIANS(CH168)),CG160*SIN(RADIANS(CH160)))</f>
        <v>0</v>
      </c>
      <c r="CI176" s="150" t="e">
        <f>IF('Control Solar 1er Sem'!$H$4&lt;0,CI168*COS(RADIANS(CJ168)),CI160*COS(RADIANS(CJ160)))</f>
        <v>#NUM!</v>
      </c>
      <c r="CJ176" s="49" t="e">
        <f>IF('Control Solar 1er Sem'!$H$4&lt;0,CI168*SIN(RADIANS(CJ168)),CI160*SIN(RADIANS(CJ160)))</f>
        <v>#NUM!</v>
      </c>
    </row>
    <row r="177" spans="1:88" x14ac:dyDescent="0.25">
      <c r="A177">
        <v>-8.5</v>
      </c>
      <c r="B177">
        <f t="shared" si="136"/>
        <v>2.9580398915498081</v>
      </c>
      <c r="C177">
        <f t="shared" si="137"/>
        <v>-2.9580398915498081</v>
      </c>
      <c r="AC177" s="38">
        <v>180</v>
      </c>
      <c r="AD177" s="38">
        <v>0</v>
      </c>
      <c r="AE177" s="38">
        <v>90</v>
      </c>
      <c r="AG177">
        <f t="shared" ref="AG177:AG182" si="245">IF((9-(AD177/10))&gt;9,9,9-(AD177/10))</f>
        <v>9</v>
      </c>
      <c r="AH177">
        <f t="shared" ref="AH177:AH182" si="246">IF((9-(AD177/10))&gt;9,90-(180-DEGREES(ACOS((((SIN(RADIANS(0)))*SIN(RADIANS($AE$174)))-SIN(RADIANS($AD$174)))/((COS(RADIANS(0)))*COS(RADIANS($AE$174))))))+$AH$172,90-AE177+$AH$172)</f>
        <v>0</v>
      </c>
      <c r="AI177" s="153">
        <f t="shared" ref="AI177:AI182" si="247">IF(AG177&gt;9,AI178,AG177*COS(RADIANS(AH177)))</f>
        <v>9</v>
      </c>
      <c r="AJ177" s="153">
        <f t="shared" ref="AJ177:AJ182" si="248">IF(AG177&gt;9,AJ178,AG177*SIN(RADIANS(AH177)))</f>
        <v>0</v>
      </c>
      <c r="AK177" s="42"/>
      <c r="AN177" t="s">
        <v>100</v>
      </c>
      <c r="AO177" s="152">
        <f>IF('Control Solar 1er Sem'!$H$4&lt;0,AO169*COS(RADIANS(AP169)),AO161*COS(RADIANS(AP161)))</f>
        <v>0</v>
      </c>
      <c r="AP177" s="49">
        <f>IF('Control Solar 1er Sem'!$H$4&lt;0,AO169*SIN(RADIANS(AP169)),AO161*SIN(RADIANS(AP161)))</f>
        <v>0</v>
      </c>
      <c r="AQ177" s="150">
        <f>IF('Control Solar 1er Sem'!$H$4&lt;0,AQ169*COS(RADIANS(AR169)),AQ161*COS(RADIANS(AR161)))</f>
        <v>0</v>
      </c>
      <c r="AR177" s="49">
        <f>IF('Control Solar 1er Sem'!$H$4&lt;0,AQ169*SIN(RADIANS(AR169)),AQ161*SIN(RADIANS(AR161)))</f>
        <v>0</v>
      </c>
      <c r="AS177" s="150">
        <f>IF('Control Solar 1er Sem'!$H$4&lt;0,AS169*COS(RADIANS(AT169)),AS161*COS(RADIANS(AT161)))</f>
        <v>0</v>
      </c>
      <c r="AT177" s="49">
        <f>IF('Control Solar 1er Sem'!$H$4&lt;0,AS169*SIN(RADIANS(AT169)),AS161*SIN(RADIANS(AT161)))</f>
        <v>0</v>
      </c>
      <c r="AU177" s="150">
        <f>IF('Control Solar 1er Sem'!$H$4&lt;0,AU169*COS(RADIANS(AV169)),AU161*COS(RADIANS(AV161)))</f>
        <v>0</v>
      </c>
      <c r="AV177" s="49">
        <f>IF('Control Solar 1er Sem'!$H$4&lt;0,AU169*SIN(RADIANS(AV169)),AU161*SIN(RADIANS(AV161)))</f>
        <v>0</v>
      </c>
      <c r="AW177" s="150">
        <f>IF('Control Solar 1er Sem'!$H$4&lt;0,AW169*COS(RADIANS(AX169)),AW161*COS(RADIANS(AX161)))</f>
        <v>0</v>
      </c>
      <c r="AX177" s="49">
        <f>IF('Control Solar 1er Sem'!$H$4&lt;0,AW169*SIN(RADIANS(AX169)),AW161*SIN(RADIANS(AX161)))</f>
        <v>0</v>
      </c>
      <c r="AY177" s="150">
        <f>IF('Control Solar 1er Sem'!$H$4&lt;0,AY169*COS(RADIANS(AZ169)),AY161*COS(RADIANS(AZ161)))</f>
        <v>7.4939503996922818</v>
      </c>
      <c r="AZ177" s="49">
        <f>IF('Control Solar 1er Sem'!$H$4&lt;0,AY169*SIN(RADIANS(AZ169)),AY161*SIN(RADIANS(AZ161)))</f>
        <v>2.6513500426204568</v>
      </c>
      <c r="BA177" s="150">
        <f>IF('Control Solar 1er Sem'!$H$4&lt;0,BA169*COS(RADIANS(BB169)),BA161*COS(RADIANS(BB161)))</f>
        <v>6.5128329273581409</v>
      </c>
      <c r="BB177" s="49">
        <f>IF('Control Solar 1er Sem'!$H$4&lt;0,BA169*SIN(RADIANS(BB169)),BA161*SIN(RADIANS(BB161)))</f>
        <v>1.5373408369743471</v>
      </c>
      <c r="BC177" s="150">
        <f>IF('Control Solar 1er Sem'!$H$4&lt;0,BC169*COS(RADIANS(BD169)),BC161*COS(RADIANS(BD161)))</f>
        <v>5.3589112820436533</v>
      </c>
      <c r="BD177" s="49">
        <f>IF('Control Solar 1er Sem'!$H$4&lt;0,BC169*SIN(RADIANS(BD169)),BC161*SIN(RADIANS(BD161)))</f>
        <v>0.68552167573681078</v>
      </c>
      <c r="BE177" s="150">
        <f>IF('Control Solar 1er Sem'!$H$4&lt;0,BE169*COS(RADIANS(BF169)),BE161*COS(RADIANS(BF161)))</f>
        <v>4.0953514088422205</v>
      </c>
      <c r="BF177" s="49">
        <f>IF('Control Solar 1er Sem'!$H$4&lt;0,BE169*SIN(RADIANS(BF169)),BE161*SIN(RADIANS(BF161)))</f>
        <v>5.8631501008162723E-2</v>
      </c>
      <c r="BG177" s="150">
        <f>IF('Control Solar 1er Sem'!$H$4&lt;0,BG169*COS(RADIANS(BH169)),BG161*COS(RADIANS(BH161)))</f>
        <v>2.7632024243694069</v>
      </c>
      <c r="BH177" s="49">
        <f>IF('Control Solar 1er Sem'!$H$4&lt;0,BG169*SIN(RADIANS(BH169)),BG161*SIN(RADIANS(BH161)))</f>
        <v>-0.37090968772972588</v>
      </c>
      <c r="BI177" s="150">
        <f>IF('Control Solar 1er Sem'!$H$4&lt;0,BI169*COS(RADIANS(BJ169)),BI161*COS(RADIANS(BJ161)))</f>
        <v>1.390890301003268</v>
      </c>
      <c r="BJ177" s="49">
        <f>IF('Control Solar 1er Sem'!$H$4&lt;0,BI169*SIN(RADIANS(BJ169)),BI161*SIN(RADIANS(BJ161)))</f>
        <v>-0.62161206557584159</v>
      </c>
      <c r="BK177" s="150">
        <f>IF('Control Solar 1er Sem'!$H$4&lt;0,BK169*COS(RADIANS(BL169)),BK161*COS(RADIANS(BL161)))</f>
        <v>4.312752546919713E-17</v>
      </c>
      <c r="BL177" s="49">
        <f>IF('Control Solar 1er Sem'!$H$4&lt;0,BK169*SIN(RADIANS(BL169)),BK161*SIN(RADIANS(BL161)))</f>
        <v>-0.70403754412625652</v>
      </c>
      <c r="BM177" s="150">
        <f>IF('Control Solar 1er Sem'!$H$4&lt;0,BM169*COS(RADIANS(BN169)),BM161*COS(RADIANS(BN161)))</f>
        <v>-1.390890301003268</v>
      </c>
      <c r="BN177" s="49">
        <f>IF('Control Solar 1er Sem'!$H$4&lt;0,BM169*SIN(RADIANS(BN169)),BM161*SIN(RADIANS(BN161)))</f>
        <v>-0.62161206557584281</v>
      </c>
      <c r="BO177" s="150">
        <f>IF('Control Solar 1er Sem'!$H$4&lt;0,BO169*COS(RADIANS(BP169)),BO161*COS(RADIANS(BP161)))</f>
        <v>-2.7632024243694078</v>
      </c>
      <c r="BP177" s="49">
        <f>IF('Control Solar 1er Sem'!$H$4&lt;0,BO169*SIN(RADIANS(BP169)),BO161*SIN(RADIANS(BP161)))</f>
        <v>-0.37090968772972532</v>
      </c>
      <c r="BQ177" s="150">
        <f>IF('Control Solar 1er Sem'!$H$4&lt;0,BQ169*COS(RADIANS(BR169)),BQ161*COS(RADIANS(BR161)))</f>
        <v>-4.0953514088422205</v>
      </c>
      <c r="BR177" s="49">
        <f>IF('Control Solar 1er Sem'!$H$4&lt;0,BQ169*SIN(RADIANS(BR169)),BQ161*SIN(RADIANS(BR161)))</f>
        <v>5.8631501008163472E-2</v>
      </c>
      <c r="BS177" s="150">
        <f>IF('Control Solar 1er Sem'!$H$4&lt;0,BS169*COS(RADIANS(BT169)),BS161*COS(RADIANS(BT161)))</f>
        <v>-5.3589112820436533</v>
      </c>
      <c r="BT177" s="49">
        <f>IF('Control Solar 1er Sem'!$H$4&lt;0,BS169*SIN(RADIANS(BT169)),BS161*SIN(RADIANS(BT161)))</f>
        <v>0.68552167573681033</v>
      </c>
      <c r="BU177" s="150">
        <f>IF('Control Solar 1er Sem'!$H$4&lt;0,BU169*COS(RADIANS(BV169)),BU161*COS(RADIANS(BV161)))</f>
        <v>-6.5128329273581409</v>
      </c>
      <c r="BV177" s="49">
        <f>IF('Control Solar 1er Sem'!$H$4&lt;0,BU169*SIN(RADIANS(BV169)),BU161*SIN(RADIANS(BV161)))</f>
        <v>1.5373408369743473</v>
      </c>
      <c r="BW177" s="150">
        <f>IF('Control Solar 1er Sem'!$H$4&lt;0,BW169*COS(RADIANS(BX169)),BW161*COS(RADIANS(BX161)))</f>
        <v>-7.4939503996922818</v>
      </c>
      <c r="BX177" s="49">
        <f>IF('Control Solar 1er Sem'!$H$4&lt;0,BW169*SIN(RADIANS(BX169)),BW161*SIN(RADIANS(BX161)))</f>
        <v>2.6513500426204546</v>
      </c>
      <c r="BY177" s="150">
        <f>IF('Control Solar 1er Sem'!$H$4&lt;0,BY169*COS(RADIANS(BZ169)),BY161*COS(RADIANS(BZ161)))</f>
        <v>0</v>
      </c>
      <c r="BZ177" s="49">
        <f>IF('Control Solar 1er Sem'!$H$4&lt;0,BY169*SIN(RADIANS(BZ169)),BY161*SIN(RADIANS(BZ161)))</f>
        <v>0</v>
      </c>
      <c r="CA177" s="150">
        <f>IF('Control Solar 1er Sem'!$H$4&lt;0,CA169*COS(RADIANS(CB169)),CA161*COS(RADIANS(CB161)))</f>
        <v>0</v>
      </c>
      <c r="CB177" s="49">
        <f>IF('Control Solar 1er Sem'!$H$4&lt;0,CA169*SIN(RADIANS(CB169)),CA161*SIN(RADIANS(CB161)))</f>
        <v>0</v>
      </c>
      <c r="CC177" s="150">
        <f>IF('Control Solar 1er Sem'!$H$4&lt;0,CC169*COS(RADIANS(CD169)),CC161*COS(RADIANS(CD161)))</f>
        <v>0</v>
      </c>
      <c r="CD177" s="49">
        <f>IF('Control Solar 1er Sem'!$H$4&lt;0,CC169*SIN(RADIANS(CD169)),CC161*SIN(RADIANS(CD161)))</f>
        <v>0</v>
      </c>
      <c r="CE177" s="150">
        <f>IF('Control Solar 1er Sem'!$H$4&lt;0,CE169*COS(RADIANS(CF169)),CE161*COS(RADIANS(CF161)))</f>
        <v>0</v>
      </c>
      <c r="CF177" s="49">
        <f>IF('Control Solar 1er Sem'!$H$4&lt;0,CE169*SIN(RADIANS(CF169)),CE161*SIN(RADIANS(CF161)))</f>
        <v>0</v>
      </c>
      <c r="CG177" s="150">
        <f>IF('Control Solar 1er Sem'!$H$4&lt;0,CG169*COS(RADIANS(CH169)),CG161*COS(RADIANS(CH161)))</f>
        <v>0</v>
      </c>
      <c r="CH177" s="49">
        <f>IF('Control Solar 1er Sem'!$H$4&lt;0,CG169*SIN(RADIANS(CH169)),CG161*SIN(RADIANS(CH161)))</f>
        <v>0</v>
      </c>
      <c r="CI177" s="150" t="e">
        <f>IF('Control Solar 1er Sem'!$H$4&lt;0,CI169*COS(RADIANS(CJ169)),CI161*COS(RADIANS(CJ161)))</f>
        <v>#NUM!</v>
      </c>
      <c r="CJ177" s="49" t="e">
        <f>IF('Control Solar 1er Sem'!$H$4&lt;0,CI169*SIN(RADIANS(CJ169)),CI161*SIN(RADIANS(CJ161)))</f>
        <v>#NUM!</v>
      </c>
    </row>
    <row r="178" spans="1:88" x14ac:dyDescent="0.25">
      <c r="A178">
        <v>-8.6</v>
      </c>
      <c r="B178">
        <f t="shared" si="136"/>
        <v>2.6532998322843211</v>
      </c>
      <c r="C178">
        <f t="shared" si="137"/>
        <v>-2.6532998322843211</v>
      </c>
      <c r="AB178" s="39">
        <v>4.1666666666666699E-2</v>
      </c>
      <c r="AC178" s="38">
        <v>165</v>
      </c>
      <c r="AD178" s="38">
        <f t="shared" ref="AD178:AD236" si="249">+DEGREES(ASIN(COS(RADIANS($AE$174))*COS(RADIANS($AD$174))*COS(RADIANS(AC178))+SIN(RADIANS($AE$174))*SIN(RADIANS($AD$174))))</f>
        <v>-57.142026120888801</v>
      </c>
      <c r="AE178" s="38">
        <f t="shared" ref="AE178:AE206" si="250">180-DEGREES(ACOS((((SIN(RADIANS(AD178)))*SIN(RADIANS($AE$174)))-SIN(RADIANS($AD$174)))/((COS(RADIANS(AD178)))*COS(RADIANS($AE$174)))))</f>
        <v>28.491120897585603</v>
      </c>
      <c r="AG178">
        <f t="shared" si="245"/>
        <v>9</v>
      </c>
      <c r="AH178">
        <f t="shared" si="246"/>
        <v>-0.46609985475278393</v>
      </c>
      <c r="AI178" s="153">
        <f t="shared" si="247"/>
        <v>8.9997022013058103</v>
      </c>
      <c r="AJ178" s="153">
        <f t="shared" si="248"/>
        <v>-7.3213986446229368E-2</v>
      </c>
      <c r="AK178" s="43"/>
      <c r="AN178" t="s">
        <v>99</v>
      </c>
      <c r="AO178" s="152">
        <f>IF('Control Solar 1er Sem'!$H$4&lt;0,AO170*COS(RADIANS(AP170)),AO162*COS(RADIANS(AP162)))</f>
        <v>0</v>
      </c>
      <c r="AP178" s="49">
        <f>IF('Control Solar 1er Sem'!$H$4&lt;0,AO170*SIN(RADIANS(AP170)),AO162*SIN(RADIANS(AP162)))</f>
        <v>0</v>
      </c>
      <c r="AQ178" s="150">
        <f>IF('Control Solar 1er Sem'!$H$4&lt;0,AQ170*COS(RADIANS(AR170)),AQ162*COS(RADIANS(AR162)))</f>
        <v>0</v>
      </c>
      <c r="AR178" s="49">
        <f>IF('Control Solar 1er Sem'!$H$4&lt;0,AQ170*SIN(RADIANS(AR170)),AQ162*SIN(RADIANS(AR162)))</f>
        <v>0</v>
      </c>
      <c r="AS178" s="150">
        <f>IF('Control Solar 1er Sem'!$H$4&lt;0,AS170*COS(RADIANS(AT170)),AS162*COS(RADIANS(AT162)))</f>
        <v>0</v>
      </c>
      <c r="AT178" s="49">
        <f>IF('Control Solar 1er Sem'!$H$4&lt;0,AS170*SIN(RADIANS(AT170)),AS162*SIN(RADIANS(AT162)))</f>
        <v>0</v>
      </c>
      <c r="AU178" s="150">
        <f>IF('Control Solar 1er Sem'!$H$4&lt;0,AU170*COS(RADIANS(AV170)),AU162*COS(RADIANS(AV162)))</f>
        <v>0</v>
      </c>
      <c r="AV178" s="49">
        <f>IF('Control Solar 1er Sem'!$H$4&lt;0,AU170*SIN(RADIANS(AV170)),AU162*SIN(RADIANS(AV162)))</f>
        <v>0</v>
      </c>
      <c r="AW178" s="150">
        <f>IF('Control Solar 1er Sem'!$H$4&lt;0,AW170*COS(RADIANS(AX170)),AW162*COS(RADIANS(AX162)))</f>
        <v>0</v>
      </c>
      <c r="AX178" s="49">
        <f>IF('Control Solar 1er Sem'!$H$4&lt;0,AW170*SIN(RADIANS(AX170)),AW162*SIN(RADIANS(AX162)))</f>
        <v>0</v>
      </c>
      <c r="AY178" s="150">
        <f>IF('Control Solar 1er Sem'!$H$4&lt;0,AY170*COS(RADIANS(AZ170)),AY162*COS(RADIANS(AZ162)))</f>
        <v>7.3728011230173927</v>
      </c>
      <c r="AZ178" s="49">
        <f>IF('Control Solar 1er Sem'!$H$4&lt;0,AY170*SIN(RADIANS(AZ170)),AY162*SIN(RADIANS(AZ162)))</f>
        <v>2.7949575952418422</v>
      </c>
      <c r="BA178" s="150">
        <f>IF('Control Solar 1er Sem'!$H$4&lt;0,BA170*COS(RADIANS(BB170)),BA162*COS(RADIANS(BB162)))</f>
        <v>6.4193538234426146</v>
      </c>
      <c r="BB178" s="49">
        <f>IF('Control Solar 1er Sem'!$H$4&lt;0,BA170*SIN(RADIANS(BB170)),BA162*SIN(RADIANS(BB162)))</f>
        <v>1.6833583727711794</v>
      </c>
      <c r="BC178" s="150">
        <f>IF('Control Solar 1er Sem'!$H$4&lt;0,BC170*COS(RADIANS(BD170)),BC162*COS(RADIANS(BD162)))</f>
        <v>5.2888743491714614</v>
      </c>
      <c r="BD178" s="49">
        <f>IF('Control Solar 1er Sem'!$H$4&lt;0,BC170*SIN(RADIANS(BD170)),BC162*SIN(RADIANS(BD162)))</f>
        <v>0.8310199575527939</v>
      </c>
      <c r="BE178" s="150">
        <f>IF('Control Solar 1er Sem'!$H$4&lt;0,BE170*COS(RADIANS(BF170)),BE162*COS(RADIANS(BF162)))</f>
        <v>4.0454667905311457</v>
      </c>
      <c r="BF178" s="49">
        <f>IF('Control Solar 1er Sem'!$H$4&lt;0,BE170*SIN(RADIANS(BF170)),BE162*SIN(RADIANS(BF162)))</f>
        <v>0.20261451930685961</v>
      </c>
      <c r="BG178" s="150">
        <f>IF('Control Solar 1er Sem'!$H$4&lt;0,BG170*COS(RADIANS(BH170)),BG162*COS(RADIANS(BH162)))</f>
        <v>2.731150994716121</v>
      </c>
      <c r="BH178" s="49">
        <f>IF('Control Solar 1er Sem'!$H$4&lt;0,BG170*SIN(RADIANS(BH170)),BG162*SIN(RADIANS(BH162)))</f>
        <v>-0.22845695384356918</v>
      </c>
      <c r="BI178" s="150">
        <f>IF('Control Solar 1er Sem'!$H$4&lt;0,BI170*COS(RADIANS(BJ170)),BI162*COS(RADIANS(BJ162)))</f>
        <v>1.3752146338471711</v>
      </c>
      <c r="BJ178" s="49">
        <f>IF('Control Solar 1er Sem'!$H$4&lt;0,BI170*SIN(RADIANS(BJ170)),BI162*SIN(RADIANS(BJ162)))</f>
        <v>-0.48022136807352639</v>
      </c>
      <c r="BK178" s="150">
        <f>IF('Control Solar 1er Sem'!$H$4&lt;0,BK170*COS(RADIANS(BL170)),BK162*COS(RADIANS(BL162)))</f>
        <v>3.4489259230131462E-17</v>
      </c>
      <c r="BL178" s="49">
        <f>IF('Control Solar 1er Sem'!$H$4&lt;0,BK170*SIN(RADIANS(BL170)),BK162*SIN(RADIANS(BL162)))</f>
        <v>-0.56302171531863721</v>
      </c>
      <c r="BM178" s="150">
        <f>IF('Control Solar 1er Sem'!$H$4&lt;0,BM170*COS(RADIANS(BN170)),BM162*COS(RADIANS(BN162)))</f>
        <v>-1.3752146338471709</v>
      </c>
      <c r="BN178" s="49">
        <f>IF('Control Solar 1er Sem'!$H$4&lt;0,BM170*SIN(RADIANS(BN170)),BM162*SIN(RADIANS(BN162)))</f>
        <v>-0.48022136807352689</v>
      </c>
      <c r="BO178" s="150">
        <f>IF('Control Solar 1er Sem'!$H$4&lt;0,BO170*COS(RADIANS(BP170)),BO162*COS(RADIANS(BP162)))</f>
        <v>-2.7311509947161206</v>
      </c>
      <c r="BP178" s="49">
        <f>IF('Control Solar 1er Sem'!$H$4&lt;0,BO170*SIN(RADIANS(BP170)),BO162*SIN(RADIANS(BP162)))</f>
        <v>-0.22845695384356782</v>
      </c>
      <c r="BQ178" s="150">
        <f>IF('Control Solar 1er Sem'!$H$4&lt;0,BQ170*COS(RADIANS(BR170)),BQ162*COS(RADIANS(BR162)))</f>
        <v>-4.0454667905311457</v>
      </c>
      <c r="BR178" s="49">
        <f>IF('Control Solar 1er Sem'!$H$4&lt;0,BQ170*SIN(RADIANS(BR170)),BQ162*SIN(RADIANS(BR162)))</f>
        <v>0.20261451930686047</v>
      </c>
      <c r="BS178" s="150">
        <f>IF('Control Solar 1er Sem'!$H$4&lt;0,BS170*COS(RADIANS(BT170)),BS162*COS(RADIANS(BT162)))</f>
        <v>-5.2888743491714614</v>
      </c>
      <c r="BT178" s="49">
        <f>IF('Control Solar 1er Sem'!$H$4&lt;0,BS170*SIN(RADIANS(BT170)),BS162*SIN(RADIANS(BT162)))</f>
        <v>0.83101995755279434</v>
      </c>
      <c r="BU178" s="150">
        <f>IF('Control Solar 1er Sem'!$H$4&lt;0,BU170*COS(RADIANS(BV170)),BU162*COS(RADIANS(BV162)))</f>
        <v>-6.4193538234426137</v>
      </c>
      <c r="BV178" s="49">
        <f>IF('Control Solar 1er Sem'!$H$4&lt;0,BU170*SIN(RADIANS(BV170)),BU162*SIN(RADIANS(BV162)))</f>
        <v>1.6833583727711807</v>
      </c>
      <c r="BW178" s="150">
        <f>IF('Control Solar 1er Sem'!$H$4&lt;0,BW170*COS(RADIANS(BX170)),BW162*COS(RADIANS(BX162)))</f>
        <v>-7.3728011230173935</v>
      </c>
      <c r="BX178" s="49">
        <f>IF('Control Solar 1er Sem'!$H$4&lt;0,BW170*SIN(RADIANS(BX170)),BW162*SIN(RADIANS(BX162)))</f>
        <v>2.7949575952418435</v>
      </c>
      <c r="BY178" s="150">
        <f>IF('Control Solar 1er Sem'!$H$4&lt;0,BY170*COS(RADIANS(BZ170)),BY162*COS(RADIANS(BZ162)))</f>
        <v>0</v>
      </c>
      <c r="BZ178" s="49">
        <f>IF('Control Solar 1er Sem'!$H$4&lt;0,BY170*SIN(RADIANS(BZ170)),BY162*SIN(RADIANS(BZ162)))</f>
        <v>0</v>
      </c>
      <c r="CA178" s="150">
        <f>IF('Control Solar 1er Sem'!$H$4&lt;0,CA170*COS(RADIANS(CB170)),CA162*COS(RADIANS(CB162)))</f>
        <v>0</v>
      </c>
      <c r="CB178" s="49">
        <f>IF('Control Solar 1er Sem'!$H$4&lt;0,CA170*SIN(RADIANS(CB170)),CA162*SIN(RADIANS(CB162)))</f>
        <v>0</v>
      </c>
      <c r="CC178" s="150">
        <f>IF('Control Solar 1er Sem'!$H$4&lt;0,CC170*COS(RADIANS(CD170)),CC162*COS(RADIANS(CD162)))</f>
        <v>0</v>
      </c>
      <c r="CD178" s="49">
        <f>IF('Control Solar 1er Sem'!$H$4&lt;0,CC170*SIN(RADIANS(CD170)),CC162*SIN(RADIANS(CD162)))</f>
        <v>0</v>
      </c>
      <c r="CE178" s="150">
        <f>IF('Control Solar 1er Sem'!$H$4&lt;0,CE170*COS(RADIANS(CF170)),CE162*COS(RADIANS(CF162)))</f>
        <v>0</v>
      </c>
      <c r="CF178" s="49">
        <f>IF('Control Solar 1er Sem'!$H$4&lt;0,CE170*SIN(RADIANS(CF170)),CE162*SIN(RADIANS(CF162)))</f>
        <v>0</v>
      </c>
      <c r="CG178" s="150">
        <f>IF('Control Solar 1er Sem'!$H$4&lt;0,CG170*COS(RADIANS(CH170)),CG162*COS(RADIANS(CH162)))</f>
        <v>0</v>
      </c>
      <c r="CH178" s="49">
        <f>IF('Control Solar 1er Sem'!$H$4&lt;0,CG170*SIN(RADIANS(CH170)),CG162*SIN(RADIANS(CH162)))</f>
        <v>0</v>
      </c>
      <c r="CI178" s="150">
        <f>IF('Control Solar 1er Sem'!$H$4&lt;0,CI170*COS(RADIANS(CJ170)),CI162*COS(RADIANS(CJ162)))</f>
        <v>0</v>
      </c>
      <c r="CJ178" s="49">
        <f>IF('Control Solar 1er Sem'!$H$4&lt;0,CI170*SIN(RADIANS(CJ170)),CI162*SIN(RADIANS(CJ162)))</f>
        <v>0</v>
      </c>
    </row>
    <row r="179" spans="1:88" x14ac:dyDescent="0.25">
      <c r="A179">
        <v>-8.6999999999999993</v>
      </c>
      <c r="B179">
        <f t="shared" si="136"/>
        <v>2.304343724360586</v>
      </c>
      <c r="C179">
        <f t="shared" si="137"/>
        <v>-2.304343724360586</v>
      </c>
      <c r="AB179" s="39">
        <v>8.3333333333333301E-2</v>
      </c>
      <c r="AC179" s="38">
        <v>150</v>
      </c>
      <c r="AD179" s="38">
        <f t="shared" si="249"/>
        <v>-48.894814772724636</v>
      </c>
      <c r="AE179" s="38">
        <f t="shared" si="250"/>
        <v>49.50854567862288</v>
      </c>
      <c r="AG179">
        <f t="shared" si="245"/>
        <v>9</v>
      </c>
      <c r="AH179">
        <f t="shared" si="246"/>
        <v>-0.46609985475278393</v>
      </c>
      <c r="AI179" s="153">
        <f t="shared" si="247"/>
        <v>8.9997022013058103</v>
      </c>
      <c r="AJ179" s="153">
        <f t="shared" si="248"/>
        <v>-7.3213986446229368E-2</v>
      </c>
      <c r="AK179" s="43"/>
      <c r="AO179" s="326">
        <v>4.1666666666666664E-2</v>
      </c>
      <c r="AP179" s="292"/>
      <c r="AQ179" s="327">
        <v>8.3333333333333301E-2</v>
      </c>
      <c r="AR179" s="292"/>
      <c r="AS179" s="327">
        <v>0.125</v>
      </c>
      <c r="AT179" s="292"/>
      <c r="AU179" s="327">
        <v>0.16666666666666699</v>
      </c>
      <c r="AV179" s="292"/>
      <c r="AW179" s="327">
        <v>0.20833333333333301</v>
      </c>
      <c r="AX179" s="292"/>
      <c r="AY179" s="327">
        <v>0.25</v>
      </c>
      <c r="AZ179" s="292"/>
      <c r="BA179" s="327">
        <v>0.29166666666666702</v>
      </c>
      <c r="BB179" s="292"/>
      <c r="BC179" s="327">
        <v>0.33333333333333298</v>
      </c>
      <c r="BD179" s="292"/>
      <c r="BE179" s="327">
        <v>0.375</v>
      </c>
      <c r="BF179" s="292"/>
      <c r="BG179" s="327">
        <v>0.41666666666666702</v>
      </c>
      <c r="BH179" s="292"/>
      <c r="BI179" s="327">
        <v>0.45833333333333298</v>
      </c>
      <c r="BJ179" s="292"/>
      <c r="BK179" s="327">
        <v>0.5</v>
      </c>
      <c r="BL179" s="292"/>
      <c r="BM179" s="327">
        <v>0.54166666666666696</v>
      </c>
      <c r="BN179" s="292"/>
      <c r="BO179" s="327">
        <v>0.58333333333333304</v>
      </c>
      <c r="BP179" s="292"/>
      <c r="BQ179" s="327">
        <v>0.625</v>
      </c>
      <c r="BR179" s="292"/>
      <c r="BS179" s="327">
        <v>0.66666666666666696</v>
      </c>
      <c r="BT179" s="292"/>
      <c r="BU179" s="327">
        <v>0.70833333333333304</v>
      </c>
      <c r="BV179" s="292"/>
      <c r="BW179" s="327">
        <v>0.75</v>
      </c>
      <c r="BX179" s="292"/>
      <c r="BY179" s="327">
        <v>0.79166666666666696</v>
      </c>
      <c r="BZ179" s="292"/>
      <c r="CA179" s="327">
        <v>0.83333333333333304</v>
      </c>
      <c r="CB179" s="292"/>
      <c r="CC179" s="327">
        <v>0.875</v>
      </c>
      <c r="CD179" s="292"/>
      <c r="CE179" s="327">
        <v>0.91666666666666696</v>
      </c>
      <c r="CF179" s="292"/>
      <c r="CG179" s="327">
        <v>0.95833333333333304</v>
      </c>
      <c r="CH179" s="292"/>
      <c r="CI179" s="327">
        <v>1</v>
      </c>
      <c r="CJ179" s="292"/>
    </row>
    <row r="180" spans="1:88" x14ac:dyDescent="0.25">
      <c r="A180">
        <v>-8.8000000000000007</v>
      </c>
      <c r="B180">
        <f t="shared" si="136"/>
        <v>1.8867962264113176</v>
      </c>
      <c r="C180">
        <f t="shared" si="137"/>
        <v>-1.8867962264113176</v>
      </c>
      <c r="AB180" s="39">
        <v>0.125</v>
      </c>
      <c r="AC180" s="38">
        <v>135</v>
      </c>
      <c r="AD180" s="38">
        <f t="shared" si="249"/>
        <v>-38.015872215677796</v>
      </c>
      <c r="AE180" s="38">
        <f t="shared" si="250"/>
        <v>63.831816551724259</v>
      </c>
      <c r="AG180">
        <f t="shared" si="245"/>
        <v>9</v>
      </c>
      <c r="AH180">
        <f t="shared" si="246"/>
        <v>-0.46609985475278393</v>
      </c>
      <c r="AI180" s="153">
        <f t="shared" si="247"/>
        <v>8.9997022013058103</v>
      </c>
      <c r="AJ180" s="153">
        <f t="shared" si="248"/>
        <v>-7.3213986446229368E-2</v>
      </c>
      <c r="AK180" s="4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47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</row>
    <row r="181" spans="1:88" x14ac:dyDescent="0.25">
      <c r="A181">
        <v>-8.9</v>
      </c>
      <c r="B181">
        <f t="shared" si="136"/>
        <v>1.3379088160259622</v>
      </c>
      <c r="C181">
        <f t="shared" si="137"/>
        <v>-1.3379088160259622</v>
      </c>
      <c r="AB181" s="39">
        <v>0.16666666666666699</v>
      </c>
      <c r="AC181" s="38">
        <v>120</v>
      </c>
      <c r="AD181" s="38">
        <f t="shared" si="249"/>
        <v>-25.882337727854544</v>
      </c>
      <c r="AE181" s="38">
        <f t="shared" si="250"/>
        <v>74.271190911100817</v>
      </c>
      <c r="AG181">
        <f t="shared" si="245"/>
        <v>9</v>
      </c>
      <c r="AH181">
        <f t="shared" si="246"/>
        <v>-0.46609985475278393</v>
      </c>
      <c r="AI181" s="153">
        <f t="shared" si="247"/>
        <v>8.9997022013058103</v>
      </c>
      <c r="AJ181" s="153">
        <f t="shared" si="248"/>
        <v>-7.3213986446229368E-2</v>
      </c>
      <c r="AK181" s="43"/>
      <c r="AN181" s="322" t="s">
        <v>104</v>
      </c>
      <c r="AO181" s="46">
        <f t="shared" ref="AO181:AX181" si="251">+AO172</f>
        <v>0</v>
      </c>
      <c r="AP181" s="46">
        <f t="shared" si="251"/>
        <v>0</v>
      </c>
      <c r="AQ181" s="46">
        <f t="shared" si="251"/>
        <v>0</v>
      </c>
      <c r="AR181" s="46">
        <f t="shared" si="251"/>
        <v>0</v>
      </c>
      <c r="AS181" s="46">
        <f t="shared" si="251"/>
        <v>0</v>
      </c>
      <c r="AT181" s="46">
        <f t="shared" si="251"/>
        <v>0</v>
      </c>
      <c r="AU181" s="46">
        <f t="shared" si="251"/>
        <v>0</v>
      </c>
      <c r="AV181" s="46">
        <f t="shared" si="251"/>
        <v>0</v>
      </c>
      <c r="AW181" s="46">
        <f t="shared" si="251"/>
        <v>0</v>
      </c>
      <c r="AX181" s="46">
        <f t="shared" si="251"/>
        <v>0</v>
      </c>
      <c r="AY181" s="46">
        <f>IF($AB$125="si",IF(AY172&gt;=8.99,DJ93,AY172),0)</f>
        <v>0</v>
      </c>
      <c r="AZ181" s="46">
        <f>IF($AB$125="si",IF(AY172&gt;=8.99,DK93,AZ172),0)</f>
        <v>0</v>
      </c>
      <c r="BA181" s="46">
        <f>IF($AB$126="si",BA172,0)</f>
        <v>0</v>
      </c>
      <c r="BB181" s="46">
        <f>IF($AB$126="si",BB172,0)</f>
        <v>0</v>
      </c>
      <c r="BC181" s="46">
        <f>IF($AB$127="si",BC172,0)</f>
        <v>0</v>
      </c>
      <c r="BD181" s="46">
        <f>IF($AB$127="si",BD172,0)</f>
        <v>0</v>
      </c>
      <c r="BE181" s="46">
        <f>IF($AB$128="si",BE172,0)</f>
        <v>0</v>
      </c>
      <c r="BF181" s="46">
        <f>IF($AB$128="si",BF172,0)</f>
        <v>0</v>
      </c>
      <c r="BG181" s="46">
        <f>IF($AB$129="si",BG172,0)</f>
        <v>0</v>
      </c>
      <c r="BH181" s="46">
        <f>IF($AB$129="si",BH172,0)</f>
        <v>0</v>
      </c>
      <c r="BI181" s="46">
        <f>IF($AB$130="si",BI172,0)</f>
        <v>0</v>
      </c>
      <c r="BJ181" s="46">
        <f>IF($AB$130="si",BJ172,0)</f>
        <v>0</v>
      </c>
      <c r="BK181" s="46">
        <f>IF($AB$131="si",BK172,0)</f>
        <v>3.1909994125405056E-16</v>
      </c>
      <c r="BL181" s="46">
        <f>IF($AB$131="si",BL172,0)</f>
        <v>-5.2091636727869233</v>
      </c>
      <c r="BM181" s="46">
        <f>IF($AB$132="si",BM172,0)</f>
        <v>-1.5906095938181644</v>
      </c>
      <c r="BN181" s="46">
        <f>IF($AB$132="si",BN172,0)</f>
        <v>-5.1663051434165803</v>
      </c>
      <c r="BO181" s="46">
        <f>IF($AB$133="si",BO172,0)</f>
        <v>-3.1792610376260351</v>
      </c>
      <c r="BP181" s="46">
        <f>IF($AB$133="si",BP172,0)</f>
        <v>-5.0365247061164578</v>
      </c>
      <c r="BQ181" s="46">
        <f>IF($AB$134="si",BQ172,0)</f>
        <v>-4.7638381601198994</v>
      </c>
      <c r="BR181" s="46">
        <f>IF($AB$134="si",BR172,0)</f>
        <v>-4.8160129075246578</v>
      </c>
      <c r="BS181" s="46">
        <f>IF($AB$135="si",BS172,0)</f>
        <v>-6.3418643967501804</v>
      </c>
      <c r="BT181" s="46">
        <f>IF($AB$135="si",BT172,0)</f>
        <v>-4.4976926632318852</v>
      </c>
      <c r="BU181" s="46">
        <f>IF($AB$136="si",BU172,0)</f>
        <v>-7.91018162634417</v>
      </c>
      <c r="BV181" s="46">
        <f>IF($AB$136="si",BV172,0)</f>
        <v>-4.0697958999738733</v>
      </c>
      <c r="BW181" s="46">
        <f t="shared" ref="BW181:CJ181" si="252">+BW172</f>
        <v>-8.9999999158860629</v>
      </c>
      <c r="BX181" s="46">
        <f t="shared" si="252"/>
        <v>-1.230467748946156E-3</v>
      </c>
      <c r="BY181" s="46">
        <f t="shared" si="252"/>
        <v>0</v>
      </c>
      <c r="BZ181" s="46">
        <f t="shared" si="252"/>
        <v>0</v>
      </c>
      <c r="CA181" s="46">
        <f t="shared" si="252"/>
        <v>0</v>
      </c>
      <c r="CB181" s="46">
        <f t="shared" si="252"/>
        <v>0</v>
      </c>
      <c r="CC181" s="46">
        <f t="shared" si="252"/>
        <v>0</v>
      </c>
      <c r="CD181" s="46">
        <f t="shared" si="252"/>
        <v>0</v>
      </c>
      <c r="CE181" s="46">
        <f t="shared" si="252"/>
        <v>0</v>
      </c>
      <c r="CF181" s="46">
        <f t="shared" si="252"/>
        <v>0</v>
      </c>
      <c r="CG181" s="46">
        <f t="shared" si="252"/>
        <v>0</v>
      </c>
      <c r="CH181" s="46">
        <f t="shared" si="252"/>
        <v>0</v>
      </c>
      <c r="CI181" s="46" t="e">
        <f t="shared" si="252"/>
        <v>#NUM!</v>
      </c>
      <c r="CJ181" s="46" t="e">
        <f t="shared" si="252"/>
        <v>#NUM!</v>
      </c>
    </row>
    <row r="182" spans="1:88" x14ac:dyDescent="0.25">
      <c r="A182">
        <v>-9</v>
      </c>
      <c r="B182">
        <f t="shared" si="136"/>
        <v>0</v>
      </c>
      <c r="C182">
        <f t="shared" si="137"/>
        <v>0</v>
      </c>
      <c r="AB182" s="39">
        <v>0.20833333333333334</v>
      </c>
      <c r="AC182" s="38">
        <v>105</v>
      </c>
      <c r="AD182" s="38">
        <f t="shared" si="249"/>
        <v>-13.159393168690809</v>
      </c>
      <c r="AE182" s="38">
        <f t="shared" si="250"/>
        <v>82.725081093746851</v>
      </c>
      <c r="AG182">
        <f t="shared" si="245"/>
        <v>9</v>
      </c>
      <c r="AH182">
        <f t="shared" si="246"/>
        <v>-0.46609985475278393</v>
      </c>
      <c r="AI182" s="153">
        <f t="shared" si="247"/>
        <v>8.9997022013058103</v>
      </c>
      <c r="AJ182" s="153">
        <f t="shared" si="248"/>
        <v>-7.3213986446229368E-2</v>
      </c>
      <c r="AK182" s="43"/>
      <c r="AN182" s="323"/>
      <c r="AO182" s="13">
        <f t="shared" ref="AO182:AX182" si="253">+AQ173</f>
        <v>0</v>
      </c>
      <c r="AP182" s="13">
        <f t="shared" si="253"/>
        <v>0</v>
      </c>
      <c r="AQ182" s="13">
        <f t="shared" si="253"/>
        <v>0</v>
      </c>
      <c r="AR182" s="13">
        <f t="shared" si="253"/>
        <v>0</v>
      </c>
      <c r="AS182" s="13">
        <f t="shared" si="253"/>
        <v>0</v>
      </c>
      <c r="AT182" s="13">
        <f t="shared" si="253"/>
        <v>0</v>
      </c>
      <c r="AU182" s="13">
        <f t="shared" si="253"/>
        <v>0</v>
      </c>
      <c r="AV182" s="13">
        <f t="shared" si="253"/>
        <v>0</v>
      </c>
      <c r="AW182" s="13">
        <f t="shared" si="253"/>
        <v>8.9999999158860629</v>
      </c>
      <c r="AX182" s="13">
        <f t="shared" si="253"/>
        <v>-1.2304677489461085E-3</v>
      </c>
      <c r="AY182" s="13">
        <f>IF($AB$125="si",BA173,0)</f>
        <v>0</v>
      </c>
      <c r="AZ182" s="13">
        <f>IF($AB$125="si",BB173,0)</f>
        <v>0</v>
      </c>
      <c r="BA182" s="13">
        <f>IF($AB$126="si",BC173,0)</f>
        <v>0</v>
      </c>
      <c r="BB182" s="13">
        <f>IF($AB$126="si",BD173,0)</f>
        <v>0</v>
      </c>
      <c r="BC182" s="13">
        <f>IF($AB$127="si",BE173,0)</f>
        <v>0</v>
      </c>
      <c r="BD182" s="13">
        <f>IF($AB$127="si",BF173,0)</f>
        <v>0</v>
      </c>
      <c r="BE182" s="13">
        <f>IF($AB$128="si",BG173,0)</f>
        <v>0</v>
      </c>
      <c r="BF182" s="13">
        <f>IF($AB$128="si",BH173,0)</f>
        <v>0</v>
      </c>
      <c r="BG182" s="13">
        <f>IF($AB$129="si",BI173,0)</f>
        <v>0</v>
      </c>
      <c r="BH182" s="13">
        <f>IF($AB$129="si",BJ173,0)</f>
        <v>0</v>
      </c>
      <c r="BI182" s="13">
        <f>IF($AB$130="si",BK173,0)</f>
        <v>0</v>
      </c>
      <c r="BJ182" s="13">
        <f>IF($AB$130="si",BL173,0)</f>
        <v>0</v>
      </c>
      <c r="BK182" s="13">
        <f>IF($AB$131="si",BM173,0)</f>
        <v>-1.6007777970337347</v>
      </c>
      <c r="BL182" s="13">
        <f>IF($AB$131="si",BN173,0)</f>
        <v>-4.6096209042552738</v>
      </c>
      <c r="BM182" s="13">
        <f>IF($AB$132="si",BO173,0)</f>
        <v>-3.1989291170115348</v>
      </c>
      <c r="BN182" s="13">
        <f>IF($AB$132="si",BP173,0)</f>
        <v>-4.4576700187236371</v>
      </c>
      <c r="BO182" s="13">
        <f>IF($AB$133="si",BQ173,0)</f>
        <v>-4.7914718059899393</v>
      </c>
      <c r="BP182" s="13">
        <f>IF($AB$133="si",BR173,0)</f>
        <v>-4.197866603942197</v>
      </c>
      <c r="BQ182" s="13">
        <f>IF($AB$134="si",BS173,0)</f>
        <v>-6.3745781167226738</v>
      </c>
      <c r="BR182" s="13">
        <f>IF($AB$134="si",BT173,0)</f>
        <v>-3.8190747682328157</v>
      </c>
      <c r="BS182" s="13">
        <f>IF($AB$135="si",BU173,0)</f>
        <v>-7.9427188060969556</v>
      </c>
      <c r="BT182" s="13">
        <f>IF($AB$135="si",BV173,0)</f>
        <v>-3.3025120163095805</v>
      </c>
      <c r="BU182" s="13">
        <f>IF($AB$136="si",IF(BW173&lt;=-8.99,AV105,BW173),0)</f>
        <v>-8.4494268639521586</v>
      </c>
      <c r="BV182" s="13">
        <f>IF($AB$136="si",IF(BW173&lt;=-8.99,AW105,BX173),0)</f>
        <v>-3.0995460426848935</v>
      </c>
      <c r="BW182" s="13">
        <f t="shared" ref="BW182:CJ182" si="254">+BY173</f>
        <v>0</v>
      </c>
      <c r="BX182" s="13">
        <f t="shared" si="254"/>
        <v>0</v>
      </c>
      <c r="BY182" s="13">
        <f t="shared" si="254"/>
        <v>0</v>
      </c>
      <c r="BZ182" s="13">
        <f t="shared" si="254"/>
        <v>0</v>
      </c>
      <c r="CA182" s="13">
        <f t="shared" si="254"/>
        <v>0</v>
      </c>
      <c r="CB182" s="13">
        <f t="shared" si="254"/>
        <v>0</v>
      </c>
      <c r="CC182" s="13">
        <f t="shared" si="254"/>
        <v>0</v>
      </c>
      <c r="CD182" s="13">
        <f t="shared" si="254"/>
        <v>0</v>
      </c>
      <c r="CE182" s="13">
        <f t="shared" si="254"/>
        <v>0</v>
      </c>
      <c r="CF182" s="13">
        <f t="shared" si="254"/>
        <v>0</v>
      </c>
      <c r="CG182" s="13" t="e">
        <f t="shared" si="254"/>
        <v>#NUM!</v>
      </c>
      <c r="CH182" s="13" t="e">
        <f t="shared" si="254"/>
        <v>#NUM!</v>
      </c>
      <c r="CI182" s="13">
        <f t="shared" si="254"/>
        <v>0</v>
      </c>
      <c r="CJ182" s="13">
        <f t="shared" si="254"/>
        <v>0</v>
      </c>
    </row>
    <row r="183" spans="1:88" x14ac:dyDescent="0.25">
      <c r="AB183" s="39">
        <v>0.25</v>
      </c>
      <c r="AC183" s="38">
        <v>90</v>
      </c>
      <c r="AD183" s="38">
        <f t="shared" si="249"/>
        <v>-0.20182534876289174</v>
      </c>
      <c r="AE183" s="38">
        <f t="shared" si="250"/>
        <v>90.349575372991453</v>
      </c>
      <c r="AG183">
        <f t="shared" ref="AG183:AG231" si="255">IF($AF$110="si",9-(AD183/10),0)</f>
        <v>9.0201825348762892</v>
      </c>
      <c r="AH183">
        <f t="shared" ref="AH183:AH231" si="256">90-AE183+$AH$172</f>
        <v>-0.34957537299145258</v>
      </c>
      <c r="AI183" s="153">
        <f t="shared" ref="AI183:AI238" si="257">+AG183*COS(RADIANS(AH183))</f>
        <v>9.0200146465970548</v>
      </c>
      <c r="AJ183" s="153">
        <f t="shared" ref="AJ183:AJ238" si="258">+AG183*SIN(RADIANS(AH183))</f>
        <v>-5.503396825473867E-2</v>
      </c>
      <c r="AK183" s="43"/>
      <c r="AN183" s="323"/>
      <c r="AO183" s="13">
        <f t="shared" ref="AO183:AX183" si="259">+AO173</f>
        <v>0</v>
      </c>
      <c r="AP183" s="13">
        <f t="shared" si="259"/>
        <v>0</v>
      </c>
      <c r="AQ183" s="13">
        <f t="shared" si="259"/>
        <v>0</v>
      </c>
      <c r="AR183" s="13">
        <f t="shared" si="259"/>
        <v>0</v>
      </c>
      <c r="AS183" s="13">
        <f t="shared" si="259"/>
        <v>0</v>
      </c>
      <c r="AT183" s="13">
        <f t="shared" si="259"/>
        <v>0</v>
      </c>
      <c r="AU183" s="13">
        <f t="shared" si="259"/>
        <v>0</v>
      </c>
      <c r="AV183" s="13">
        <f t="shared" si="259"/>
        <v>0</v>
      </c>
      <c r="AW183" s="13">
        <f t="shared" si="259"/>
        <v>0</v>
      </c>
      <c r="AX183" s="13">
        <f t="shared" si="259"/>
        <v>0</v>
      </c>
      <c r="AY183" s="13">
        <f>IF($AB$125="si",IF(AY173&gt;=8.99,AV93,AY173),0)</f>
        <v>0</v>
      </c>
      <c r="AZ183" s="13">
        <f>IF($AB$125="si",IF(AY173&gt;=8.99,AW93,AZ173),0)</f>
        <v>0</v>
      </c>
      <c r="BA183" s="13">
        <f>IF($AB$126="si",BA173,0)</f>
        <v>0</v>
      </c>
      <c r="BB183" s="13">
        <f>IF($AB$126="si",BB173,0)</f>
        <v>0</v>
      </c>
      <c r="BC183" s="13">
        <f>IF($AB$127="si",BC173,0)</f>
        <v>0</v>
      </c>
      <c r="BD183" s="13">
        <f>IF($AB$127="si",BD173,0)</f>
        <v>0</v>
      </c>
      <c r="BE183" s="13">
        <f>IF($AB$128="si",BE173,0)</f>
        <v>0</v>
      </c>
      <c r="BF183" s="13">
        <f>IF($AB$128="si",BF173,0)</f>
        <v>0</v>
      </c>
      <c r="BG183" s="13">
        <f>IF($AB$129="si",BG173,0)</f>
        <v>0</v>
      </c>
      <c r="BH183" s="13">
        <f>IF($AB$129="si",BH173,0)</f>
        <v>0</v>
      </c>
      <c r="BI183" s="13">
        <f>IF($AB$130="si",BI173,0)</f>
        <v>0</v>
      </c>
      <c r="BJ183" s="13">
        <f>IF($AB$130="si",BJ173,0)</f>
        <v>0</v>
      </c>
      <c r="BK183" s="13">
        <f>IF($AB$131="si",BK173,0)</f>
        <v>2.8543812206334089E-16</v>
      </c>
      <c r="BL183" s="13">
        <f>IF($AB$131="si",BL173,0)</f>
        <v>-4.6596495456484224</v>
      </c>
      <c r="BM183" s="13">
        <f>IF($AB$132="si",BM173,0)</f>
        <v>-1.6007777970337347</v>
      </c>
      <c r="BN183" s="13">
        <f>IF($AB$132="si",BN173,0)</f>
        <v>-4.6096209042552738</v>
      </c>
      <c r="BO183" s="13">
        <f>IF($AB$133="si",BO173,0)</f>
        <v>-3.1989291170115348</v>
      </c>
      <c r="BP183" s="13">
        <f>IF($AB$133="si",BP173,0)</f>
        <v>-4.4576700187236371</v>
      </c>
      <c r="BQ183" s="13">
        <f>IF($AB$134="si",BQ173,0)</f>
        <v>-4.7914718059899393</v>
      </c>
      <c r="BR183" s="13">
        <f>IF($AB$134="si",BR173,0)</f>
        <v>-4.197866603942197</v>
      </c>
      <c r="BS183" s="13">
        <f>IF($AB$135="si",BS173,0)</f>
        <v>-6.3745781167226738</v>
      </c>
      <c r="BT183" s="13">
        <f>IF($AB$135="si",BT173,0)</f>
        <v>-3.8190747682328157</v>
      </c>
      <c r="BU183" s="13">
        <f>IF($AB$136="si",BU173,0)</f>
        <v>-7.9427188060969556</v>
      </c>
      <c r="BV183" s="13">
        <f>IF($AB$136="si",BV173,0)</f>
        <v>-3.3025120163095805</v>
      </c>
      <c r="BW183" s="13">
        <f t="shared" ref="BW183:CJ183" si="260">+BW173</f>
        <v>-8.9999999158860629</v>
      </c>
      <c r="BX183" s="13">
        <f t="shared" si="260"/>
        <v>-1.230467748946156E-3</v>
      </c>
      <c r="BY183" s="13">
        <f t="shared" si="260"/>
        <v>0</v>
      </c>
      <c r="BZ183" s="13">
        <f t="shared" si="260"/>
        <v>0</v>
      </c>
      <c r="CA183" s="13">
        <f t="shared" si="260"/>
        <v>0</v>
      </c>
      <c r="CB183" s="13">
        <f t="shared" si="260"/>
        <v>0</v>
      </c>
      <c r="CC183" s="13">
        <f t="shared" si="260"/>
        <v>0</v>
      </c>
      <c r="CD183" s="13">
        <f t="shared" si="260"/>
        <v>0</v>
      </c>
      <c r="CE183" s="13">
        <f t="shared" si="260"/>
        <v>0</v>
      </c>
      <c r="CF183" s="13">
        <f t="shared" si="260"/>
        <v>0</v>
      </c>
      <c r="CG183" s="13">
        <f t="shared" si="260"/>
        <v>0</v>
      </c>
      <c r="CH183" s="13">
        <f t="shared" si="260"/>
        <v>0</v>
      </c>
      <c r="CI183" s="13" t="e">
        <f t="shared" si="260"/>
        <v>#NUM!</v>
      </c>
      <c r="CJ183" s="13" t="e">
        <f t="shared" si="260"/>
        <v>#NUM!</v>
      </c>
    </row>
    <row r="184" spans="1:88" x14ac:dyDescent="0.25">
      <c r="A184" s="155" t="s">
        <v>92</v>
      </c>
      <c r="B184" s="155">
        <v>21</v>
      </c>
      <c r="C184" s="315"/>
      <c r="D184" s="315"/>
      <c r="E184" s="316"/>
      <c r="L184" s="155" t="s">
        <v>92</v>
      </c>
      <c r="M184" s="155">
        <v>21</v>
      </c>
      <c r="N184" s="315"/>
      <c r="O184" s="315"/>
      <c r="P184" s="316"/>
      <c r="AB184" s="39">
        <v>0.26041666666666669</v>
      </c>
      <c r="AC184">
        <f t="shared" ref="AC184:AC231" si="261">+AC183-3.75</f>
        <v>86.25</v>
      </c>
      <c r="AD184" s="38">
        <f t="shared" si="249"/>
        <v>3.0448045969825834</v>
      </c>
      <c r="AE184" s="38">
        <f t="shared" si="250"/>
        <v>92.226889692657693</v>
      </c>
      <c r="AG184">
        <f t="shared" si="255"/>
        <v>8.695519540301742</v>
      </c>
      <c r="AH184">
        <f t="shared" si="256"/>
        <v>-2.2268896926576929</v>
      </c>
      <c r="AI184" s="153">
        <f t="shared" si="257"/>
        <v>8.6889526008258624</v>
      </c>
      <c r="AJ184" s="153">
        <f t="shared" si="258"/>
        <v>-0.33787982533866967</v>
      </c>
      <c r="AK184" s="43"/>
      <c r="AN184" s="324"/>
      <c r="AO184" s="45">
        <f t="shared" ref="AO184:AX184" si="262">+AQ172</f>
        <v>0</v>
      </c>
      <c r="AP184" s="45">
        <f t="shared" si="262"/>
        <v>0</v>
      </c>
      <c r="AQ184" s="45">
        <f t="shared" si="262"/>
        <v>0</v>
      </c>
      <c r="AR184" s="45">
        <f t="shared" si="262"/>
        <v>0</v>
      </c>
      <c r="AS184" s="45">
        <f t="shared" si="262"/>
        <v>0</v>
      </c>
      <c r="AT184" s="45">
        <f t="shared" si="262"/>
        <v>0</v>
      </c>
      <c r="AU184" s="45">
        <f t="shared" si="262"/>
        <v>0</v>
      </c>
      <c r="AV184" s="45">
        <f t="shared" si="262"/>
        <v>0</v>
      </c>
      <c r="AW184" s="45">
        <f t="shared" si="262"/>
        <v>8.9999999158860629</v>
      </c>
      <c r="AX184" s="45">
        <f t="shared" si="262"/>
        <v>-1.2304677489461085E-3</v>
      </c>
      <c r="AY184" s="45">
        <f>IF($AB$125="si",BA172,0)</f>
        <v>0</v>
      </c>
      <c r="AZ184" s="45">
        <f>IF($AB$125="si",BB172,0)</f>
        <v>0</v>
      </c>
      <c r="BA184" s="45">
        <f>IF($AB$126="si",BC172,0)</f>
        <v>0</v>
      </c>
      <c r="BB184" s="45">
        <f>IF($AB$126="si",BD172,0)</f>
        <v>0</v>
      </c>
      <c r="BC184" s="45">
        <f>IF($AB$127="si",BE172,0)</f>
        <v>0</v>
      </c>
      <c r="BD184" s="45">
        <f>IF($AB$127="si",BF172,0)</f>
        <v>0</v>
      </c>
      <c r="BE184" s="45">
        <f>IF($AB$128="si",BG172,0)</f>
        <v>0</v>
      </c>
      <c r="BF184" s="45">
        <f>IF($AB$128="si",BH172,0)</f>
        <v>0</v>
      </c>
      <c r="BG184" s="45">
        <f>IF($AB$129="si",BI172,0)</f>
        <v>0</v>
      </c>
      <c r="BH184" s="45">
        <f>IF($AB$129="si",BJ172,0)</f>
        <v>0</v>
      </c>
      <c r="BI184" s="45">
        <f>IF($AB$130="si",BK172,0)</f>
        <v>0</v>
      </c>
      <c r="BJ184" s="45">
        <f>IF($AB$130="si",BL172,0)</f>
        <v>0</v>
      </c>
      <c r="BK184" s="45">
        <f>IF($AB$131="si",BM172,0)</f>
        <v>-1.5906095938181644</v>
      </c>
      <c r="BL184" s="45">
        <f>IF($AB$131="si",BN172,0)</f>
        <v>-5.1663051434165803</v>
      </c>
      <c r="BM184" s="45">
        <f>IF($AB$132="si",BO172,0)</f>
        <v>-3.1792610376260351</v>
      </c>
      <c r="BN184" s="45">
        <f>IF($AB$132="si",BP172,0)</f>
        <v>-5.0365247061164578</v>
      </c>
      <c r="BO184" s="45">
        <f>IF($AB$133="si",BQ172,0)</f>
        <v>-4.7638381601198994</v>
      </c>
      <c r="BP184" s="45">
        <f>IF($AB$133="si",BR172,0)</f>
        <v>-4.8160129075246578</v>
      </c>
      <c r="BQ184" s="45">
        <f>IF($AB$134="si",BS172,0)</f>
        <v>-6.3418643967501804</v>
      </c>
      <c r="BR184" s="45">
        <f>IF($AB$134="si",BT172,0)</f>
        <v>-4.4976926632318852</v>
      </c>
      <c r="BS184" s="45">
        <f>IF($AB$135="si",BU172,0)</f>
        <v>-7.91018162634417</v>
      </c>
      <c r="BT184" s="45">
        <f>IF($AB$135="si",BV172,0)</f>
        <v>-4.0697958999738733</v>
      </c>
      <c r="BU184" s="45">
        <f>IF($AB$136="si",IF(BW172&lt;=-8.99,DJ105,BW172),0)</f>
        <v>-8.049436034917786</v>
      </c>
      <c r="BV184" s="45">
        <f>IF($AB$136="si",IF(BW172&lt;=-8.99,DK105,BX172),0)</f>
        <v>-4.025739623940801</v>
      </c>
      <c r="BW184" s="45">
        <f t="shared" ref="BW184:CJ184" si="263">+BY172</f>
        <v>0</v>
      </c>
      <c r="BX184" s="45">
        <f t="shared" si="263"/>
        <v>0</v>
      </c>
      <c r="BY184" s="45">
        <f t="shared" si="263"/>
        <v>0</v>
      </c>
      <c r="BZ184" s="45">
        <f t="shared" si="263"/>
        <v>0</v>
      </c>
      <c r="CA184" s="45">
        <f t="shared" si="263"/>
        <v>0</v>
      </c>
      <c r="CB184" s="45">
        <f t="shared" si="263"/>
        <v>0</v>
      </c>
      <c r="CC184" s="45">
        <f t="shared" si="263"/>
        <v>0</v>
      </c>
      <c r="CD184" s="45">
        <f t="shared" si="263"/>
        <v>0</v>
      </c>
      <c r="CE184" s="45">
        <f t="shared" si="263"/>
        <v>0</v>
      </c>
      <c r="CF184" s="45">
        <f t="shared" si="263"/>
        <v>0</v>
      </c>
      <c r="CG184" s="45" t="e">
        <f t="shared" si="263"/>
        <v>#NUM!</v>
      </c>
      <c r="CH184" s="45" t="e">
        <f t="shared" si="263"/>
        <v>#NUM!</v>
      </c>
      <c r="CI184" s="45">
        <f t="shared" si="263"/>
        <v>0</v>
      </c>
      <c r="CJ184" s="45">
        <f t="shared" si="263"/>
        <v>0</v>
      </c>
    </row>
    <row r="185" spans="1:88" x14ac:dyDescent="0.25">
      <c r="A185" s="155" t="s">
        <v>91</v>
      </c>
      <c r="B185" s="155">
        <v>3</v>
      </c>
      <c r="C185" s="315"/>
      <c r="D185" s="315"/>
      <c r="E185" s="316"/>
      <c r="L185" s="155" t="s">
        <v>91</v>
      </c>
      <c r="M185" s="155">
        <v>3</v>
      </c>
      <c r="N185" s="315"/>
      <c r="O185" s="315"/>
      <c r="P185" s="316"/>
      <c r="AB185" s="39">
        <v>0.27083333333333298</v>
      </c>
      <c r="AC185">
        <f t="shared" si="261"/>
        <v>82.5</v>
      </c>
      <c r="AD185" s="38">
        <f t="shared" si="249"/>
        <v>6.2872823240365783</v>
      </c>
      <c r="AE185" s="38">
        <f t="shared" si="250"/>
        <v>94.117061881393724</v>
      </c>
      <c r="AG185">
        <f t="shared" si="255"/>
        <v>8.3712717675963422</v>
      </c>
      <c r="AH185">
        <f t="shared" si="256"/>
        <v>-4.1170618813937239</v>
      </c>
      <c r="AI185" s="153">
        <f t="shared" si="257"/>
        <v>8.3496692635520056</v>
      </c>
      <c r="AJ185" s="153">
        <f t="shared" si="258"/>
        <v>-0.60101097847750606</v>
      </c>
      <c r="AK185" s="4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</row>
    <row r="186" spans="1:88" x14ac:dyDescent="0.25">
      <c r="C186" s="154">
        <f>+IF(B185=$AI$63,B184,IF(B185=$AJ$63,$AI$64+B184,IF(B185=$AK$63,$AI$64+$AJ$64+B184,IF(B185=$AL$63,$AI$64+$AJ$64+$AK$64+B184,IF(B185=$AM$63,$AI$64+$AJ$64+$AK$64+$AL$64+B184,IF(B185=$AN$63,$AI$64+$AJ$64+$AK$64+$AL$64+$AM$64+B184,IF(B185=$AO$63,$AI$64+$AJ$64+$AK$64+$AL$64+$AM$64+$AN$64+B184,IF(B185=$AP$63,$AI$64+$AJ$64+$AK$64+$AL$64+$AM$64+$AN$64+$AO$64+B184,IF(B185=$AQ$63,$AI$64+$AJ$64+$AK$64+$AL$64+$AM$64+$AN$64+$AO$64+$AP$64+B184,IF(B185=$AR$63,$AI$64+$AJ$64+$AK$64+$AL$64+$AM$64+$AN$64+$AO$64+$AP$64+$AQ$64+B184,IF(B185=$AS$63,$AI$64+$AJ$64+$AK$64+$AL$64+$AM$64+$AN$64+$AO$64+$AP$64+$AQ$64+$AR$64+B184,IF(B185=$AT$63,$AI$64+$AJ$64+$AK$64+$AL$64+$AM$64+$AN$64+$AO$64+$AP$64+$AQ$64+$AR$64+$AS$64+B184,"error"))))))))))))</f>
        <v>80</v>
      </c>
      <c r="D186" s="38">
        <f>23.45*SIN(RADIANS(360*((284+C186)/365)))</f>
        <v>-0.40365320185431652</v>
      </c>
      <c r="E186" s="155">
        <v>5</v>
      </c>
      <c r="N186" s="154">
        <f>+IF(M185=$AI$63,M184,IF(M185=$AJ$63,$AI$64+M184,IF(M185=$AK$63,$AI$64+$AJ$64+M184,IF(M185=$AL$63,$AI$64+$AJ$64+$AK$64+M184,IF(M185=$AM$63,$AI$64+$AJ$64+$AK$64+$AL$64+M184,IF(M185=$AN$63,$AI$64+$AJ$64+$AK$64+$AL$64+$AM$64+M184,IF(M185=$AO$63,$AI$64+$AJ$64+$AK$64+$AL$64+$AM$64+$AN$64+M184,IF(M185=$AP$63,$AI$64+$AJ$64+$AK$64+$AL$64+$AM$64+$AN$64+$AO$64+M184,IF(M185=$AQ$63,$AI$64+$AJ$64+$AK$64+$AL$64+$AM$64+$AN$64+$AO$64+$AP$64+M184,IF(M185=$AR$63,$AI$64+$AJ$64+$AK$64+$AL$64+$AM$64+$AN$64+$AO$64+$AP$64+$AQ$64+M184,IF(M185=$AS$63,$AI$64+$AJ$64+$AK$64+$AL$64+$AM$64+$AN$64+$AO$64+$AP$64+$AQ$64+$AR$64+M184,IF(M185=$AT$63,$AI$64+$AJ$64+$AK$64+$AL$64+$AM$64+$AN$64+$AO$64+$AP$64+$AQ$64+$AR$64+$AS$64+M184,"error"))))))))))))</f>
        <v>80</v>
      </c>
      <c r="O186" s="38">
        <f>23.45*SIN(RADIANS(360*((284+N186)/365)))</f>
        <v>-0.40365320185431652</v>
      </c>
      <c r="P186" s="155">
        <v>10</v>
      </c>
      <c r="AB186" s="39">
        <v>0.28125</v>
      </c>
      <c r="AC186">
        <f t="shared" si="261"/>
        <v>78.75</v>
      </c>
      <c r="AD186" s="38">
        <f t="shared" si="249"/>
        <v>9.5220100126131602</v>
      </c>
      <c r="AE186" s="38">
        <f t="shared" si="250"/>
        <v>96.032458342683015</v>
      </c>
      <c r="AG186">
        <f t="shared" si="255"/>
        <v>8.0477989987386849</v>
      </c>
      <c r="AH186">
        <f t="shared" si="256"/>
        <v>-6.0324583426830145</v>
      </c>
      <c r="AI186" s="153">
        <f t="shared" si="257"/>
        <v>8.0032344718920641</v>
      </c>
      <c r="AJ186" s="153">
        <f t="shared" si="258"/>
        <v>-0.84575806943707621</v>
      </c>
      <c r="AK186" s="43"/>
      <c r="AN186" s="322" t="s">
        <v>103</v>
      </c>
      <c r="AO186" s="46">
        <f t="shared" ref="AO186:AX186" si="264">+AO173</f>
        <v>0</v>
      </c>
      <c r="AP186" s="46">
        <f t="shared" si="264"/>
        <v>0</v>
      </c>
      <c r="AQ186" s="46">
        <f t="shared" si="264"/>
        <v>0</v>
      </c>
      <c r="AR186" s="46">
        <f t="shared" si="264"/>
        <v>0</v>
      </c>
      <c r="AS186" s="46">
        <f t="shared" si="264"/>
        <v>0</v>
      </c>
      <c r="AT186" s="46">
        <f t="shared" si="264"/>
        <v>0</v>
      </c>
      <c r="AU186" s="46">
        <f t="shared" si="264"/>
        <v>0</v>
      </c>
      <c r="AV186" s="46">
        <f t="shared" si="264"/>
        <v>0</v>
      </c>
      <c r="AW186" s="46">
        <f t="shared" si="264"/>
        <v>0</v>
      </c>
      <c r="AX186" s="46">
        <f t="shared" si="264"/>
        <v>0</v>
      </c>
      <c r="AY186" s="46">
        <f>IF($AD$125="si",IF(AY173&gt;=8.99,AV93,AY173),0)</f>
        <v>0</v>
      </c>
      <c r="AZ186" s="46">
        <f>IF($AD$125="si",IF(AY173&gt;=8.99,AW93,AZ173),0)</f>
        <v>0</v>
      </c>
      <c r="BA186" s="46">
        <f>IF($AD$126="si",BA173,0)</f>
        <v>0</v>
      </c>
      <c r="BB186" s="46">
        <f>IF($AD$126="si",BB173,0)</f>
        <v>0</v>
      </c>
      <c r="BC186" s="46">
        <f>IF($AD$127="si",BC173,0)</f>
        <v>0</v>
      </c>
      <c r="BD186" s="46">
        <f>IF($AD$127="si",BD173,0)</f>
        <v>0</v>
      </c>
      <c r="BE186" s="46">
        <f>IF($AD$128="si",BE173,0)</f>
        <v>0</v>
      </c>
      <c r="BF186" s="46">
        <f>IF($AD$128="si",BF173,0)</f>
        <v>0</v>
      </c>
      <c r="BG186" s="46">
        <f>IF($AD$129="si",BG173,0)</f>
        <v>0</v>
      </c>
      <c r="BH186" s="46">
        <f>IF($AD$129="si",BH173,0)</f>
        <v>0</v>
      </c>
      <c r="BI186" s="46">
        <f>IF($AD$130="si",BI173,0)</f>
        <v>1.6007777970337362</v>
      </c>
      <c r="BJ186" s="46">
        <f>IF($AD$130="si",BJ173,0)</f>
        <v>-4.6096209042552729</v>
      </c>
      <c r="BK186" s="46">
        <f>IF($AD$131="si",BK173,0)</f>
        <v>2.8543812206334089E-16</v>
      </c>
      <c r="BL186" s="46">
        <f>IF($AD$131="si",BL173,0)</f>
        <v>-4.6596495456484224</v>
      </c>
      <c r="BM186" s="46">
        <f>IF($AD$132="si",BM173,0)</f>
        <v>-1.6007777970337347</v>
      </c>
      <c r="BN186" s="46">
        <f>IF($AD$132="si",BN173,0)</f>
        <v>-4.6096209042552738</v>
      </c>
      <c r="BO186" s="46">
        <f>IF($AD$133="si",BO173,0)</f>
        <v>-3.1989291170115348</v>
      </c>
      <c r="BP186" s="46">
        <f>IF($AD$133="si",BP173,0)</f>
        <v>-4.4576700187236371</v>
      </c>
      <c r="BQ186" s="46">
        <f>IF($AD$134="si",BQ173,0)</f>
        <v>-4.7914718059899393</v>
      </c>
      <c r="BR186" s="46">
        <f>IF($AD$134="si",BR173,0)</f>
        <v>-4.197866603942197</v>
      </c>
      <c r="BS186" s="46">
        <f>IF($AD$135="si",BS173,0)</f>
        <v>-6.3745781167226738</v>
      </c>
      <c r="BT186" s="46">
        <f>IF($AD$135="si",BT173,0)</f>
        <v>-3.8190747682328157</v>
      </c>
      <c r="BU186" s="46">
        <f>IF($AD$136="si",BU173,0)</f>
        <v>-7.9427188060969556</v>
      </c>
      <c r="BV186" s="46">
        <f>IF($AD$136="si",BV173,0)</f>
        <v>-3.3025120163095805</v>
      </c>
      <c r="BW186" s="46">
        <f t="shared" ref="BW186:CJ186" si="265">+BW173</f>
        <v>-8.9999999158860629</v>
      </c>
      <c r="BX186" s="46">
        <f t="shared" si="265"/>
        <v>-1.230467748946156E-3</v>
      </c>
      <c r="BY186" s="46">
        <f t="shared" si="265"/>
        <v>0</v>
      </c>
      <c r="BZ186" s="46">
        <f t="shared" si="265"/>
        <v>0</v>
      </c>
      <c r="CA186" s="46">
        <f t="shared" si="265"/>
        <v>0</v>
      </c>
      <c r="CB186" s="46">
        <f t="shared" si="265"/>
        <v>0</v>
      </c>
      <c r="CC186" s="46">
        <f t="shared" si="265"/>
        <v>0</v>
      </c>
      <c r="CD186" s="46">
        <f t="shared" si="265"/>
        <v>0</v>
      </c>
      <c r="CE186" s="46">
        <f t="shared" si="265"/>
        <v>0</v>
      </c>
      <c r="CF186" s="46">
        <f t="shared" si="265"/>
        <v>0</v>
      </c>
      <c r="CG186" s="46">
        <f t="shared" si="265"/>
        <v>0</v>
      </c>
      <c r="CH186" s="46">
        <f t="shared" si="265"/>
        <v>0</v>
      </c>
      <c r="CI186" s="46" t="e">
        <f t="shared" si="265"/>
        <v>#NUM!</v>
      </c>
      <c r="CJ186" s="46" t="e">
        <f t="shared" si="265"/>
        <v>#NUM!</v>
      </c>
    </row>
    <row r="187" spans="1:88" x14ac:dyDescent="0.25">
      <c r="B187" s="317" t="s">
        <v>90</v>
      </c>
      <c r="C187" s="315"/>
      <c r="D187" s="315"/>
      <c r="E187" s="315"/>
      <c r="G187" s="319" t="s">
        <v>89</v>
      </c>
      <c r="H187" s="319"/>
      <c r="I187" s="319" t="s">
        <v>42</v>
      </c>
      <c r="J187" s="319" t="s">
        <v>43</v>
      </c>
      <c r="M187" s="317" t="s">
        <v>90</v>
      </c>
      <c r="N187" s="315"/>
      <c r="O187" s="315"/>
      <c r="P187" s="315"/>
      <c r="R187" s="319" t="s">
        <v>89</v>
      </c>
      <c r="S187" s="319"/>
      <c r="T187" s="319" t="s">
        <v>42</v>
      </c>
      <c r="U187" s="319" t="s">
        <v>43</v>
      </c>
      <c r="AB187" s="39">
        <v>0.29166666666666702</v>
      </c>
      <c r="AC187">
        <f t="shared" si="261"/>
        <v>75</v>
      </c>
      <c r="AD187" s="38">
        <f t="shared" si="249"/>
        <v>12.745204221314955</v>
      </c>
      <c r="AE187" s="38">
        <f t="shared" si="250"/>
        <v>97.985970411644061</v>
      </c>
      <c r="AG187">
        <f t="shared" si="255"/>
        <v>7.725479577868505</v>
      </c>
      <c r="AH187">
        <f t="shared" si="256"/>
        <v>-7.9859704116440611</v>
      </c>
      <c r="AI187" s="153">
        <f t="shared" si="257"/>
        <v>7.6505587833444721</v>
      </c>
      <c r="AJ187" s="153">
        <f t="shared" si="258"/>
        <v>-1.0733056464279307</v>
      </c>
      <c r="AK187" s="43"/>
      <c r="AN187" s="323"/>
      <c r="AO187" s="13">
        <f t="shared" ref="AO187:AX187" si="266">+AQ174</f>
        <v>0</v>
      </c>
      <c r="AP187" s="13">
        <f t="shared" si="266"/>
        <v>0</v>
      </c>
      <c r="AQ187" s="13">
        <f t="shared" si="266"/>
        <v>0</v>
      </c>
      <c r="AR187" s="13">
        <f t="shared" si="266"/>
        <v>0</v>
      </c>
      <c r="AS187" s="13">
        <f t="shared" si="266"/>
        <v>0</v>
      </c>
      <c r="AT187" s="13">
        <f t="shared" si="266"/>
        <v>0</v>
      </c>
      <c r="AU187" s="13">
        <f t="shared" si="266"/>
        <v>0</v>
      </c>
      <c r="AV187" s="13">
        <f t="shared" si="266"/>
        <v>0</v>
      </c>
      <c r="AW187" s="13">
        <f t="shared" si="266"/>
        <v>8.9999999158860629</v>
      </c>
      <c r="AX187" s="13">
        <f t="shared" si="266"/>
        <v>-1.2304677489461085E-3</v>
      </c>
      <c r="AY187" s="13">
        <f>IF($AD$125="si",BA174,0)</f>
        <v>0</v>
      </c>
      <c r="AZ187" s="13">
        <f>IF($AD$125="si",BB174,0)</f>
        <v>0</v>
      </c>
      <c r="BA187" s="13">
        <f>IF($AD$126="si",BC174,0)</f>
        <v>0</v>
      </c>
      <c r="BB187" s="13">
        <f>IF($AD$126="si",BD174,0)</f>
        <v>0</v>
      </c>
      <c r="BC187" s="13">
        <f>IF($AD$127="si",BE174,0)</f>
        <v>0</v>
      </c>
      <c r="BD187" s="13">
        <f>IF($AD$127="si",BF174,0)</f>
        <v>0</v>
      </c>
      <c r="BE187" s="13">
        <f>IF($AD$128="si",BG174,0)</f>
        <v>0</v>
      </c>
      <c r="BF187" s="13">
        <f>IF($AD$128="si",BH174,0)</f>
        <v>0</v>
      </c>
      <c r="BG187" s="13">
        <f>IF($AD$129="si",BI174,0)</f>
        <v>0</v>
      </c>
      <c r="BH187" s="13">
        <f>IF($AD$129="si",BJ174,0)</f>
        <v>0</v>
      </c>
      <c r="BI187" s="13">
        <f>IF($AD$130="si",BK174,0)</f>
        <v>2.2894168507319601E-16</v>
      </c>
      <c r="BJ187" s="13">
        <f>IF($AD$130="si",BL174,0)</f>
        <v>-3.7373705065035905</v>
      </c>
      <c r="BK187" s="13">
        <f>IF($AD$131="si",BM174,0)</f>
        <v>-1.5942481393866366</v>
      </c>
      <c r="BL187" s="13">
        <f>IF($AD$131="si",BN174,0)</f>
        <v>-3.6765137729703996</v>
      </c>
      <c r="BM187" s="13">
        <f>IF($AD$132="si",BO174,0)</f>
        <v>-3.1835652798692937</v>
      </c>
      <c r="BN187" s="13">
        <f>IF($AD$132="si",BP174,0)</f>
        <v>-3.4911671364102332</v>
      </c>
      <c r="BO187" s="13">
        <f>IF($AD$133="si",BQ174,0)</f>
        <v>-4.7621175617680658</v>
      </c>
      <c r="BP187" s="13">
        <f>IF($AD$133="si",BR174,0)</f>
        <v>-3.1725031675284869</v>
      </c>
      <c r="BQ187" s="13">
        <f>IF($AD$134="si",BS174,0)</f>
        <v>-6.3219057421889273</v>
      </c>
      <c r="BR187" s="13">
        <f>IF($AD$134="si",BT174,0)</f>
        <v>-2.7039695211361696</v>
      </c>
      <c r="BS187" s="13">
        <f>IF($AD$135="si",BU174,0)</f>
        <v>-7.8505349227251564</v>
      </c>
      <c r="BT187" s="13">
        <f>IF($AD$135="si",BV174,0)</f>
        <v>-2.0577961364005222</v>
      </c>
      <c r="BU187" s="13">
        <f>IF($AD$136="si",IF(BW174&lt;=-8.99,BG105,BW174),0)</f>
        <v>-8.87656100451896</v>
      </c>
      <c r="BV187" s="13">
        <f>IF($AD$136="si",IF(BW174&lt;=-8.99,BH105,BX174),0)</f>
        <v>-1.4854846795081202</v>
      </c>
      <c r="BW187" s="13">
        <f t="shared" ref="BW187:CJ187" si="267">+BY174</f>
        <v>0</v>
      </c>
      <c r="BX187" s="13">
        <f t="shared" si="267"/>
        <v>0</v>
      </c>
      <c r="BY187" s="13">
        <f t="shared" si="267"/>
        <v>0</v>
      </c>
      <c r="BZ187" s="13">
        <f t="shared" si="267"/>
        <v>0</v>
      </c>
      <c r="CA187" s="13">
        <f t="shared" si="267"/>
        <v>0</v>
      </c>
      <c r="CB187" s="13">
        <f t="shared" si="267"/>
        <v>0</v>
      </c>
      <c r="CC187" s="13">
        <f t="shared" si="267"/>
        <v>0</v>
      </c>
      <c r="CD187" s="13">
        <f t="shared" si="267"/>
        <v>0</v>
      </c>
      <c r="CE187" s="13">
        <f t="shared" si="267"/>
        <v>0</v>
      </c>
      <c r="CF187" s="13">
        <f t="shared" si="267"/>
        <v>0</v>
      </c>
      <c r="CG187" s="13" t="e">
        <f t="shared" si="267"/>
        <v>#NUM!</v>
      </c>
      <c r="CH187" s="13" t="e">
        <f t="shared" si="267"/>
        <v>#NUM!</v>
      </c>
      <c r="CI187" s="13">
        <f t="shared" si="267"/>
        <v>0</v>
      </c>
      <c r="CJ187" s="13">
        <f t="shared" si="267"/>
        <v>0</v>
      </c>
    </row>
    <row r="188" spans="1:88" x14ac:dyDescent="0.25">
      <c r="B188" s="318"/>
      <c r="C188" s="315"/>
      <c r="D188" s="315"/>
      <c r="E188" s="315"/>
      <c r="G188" s="319"/>
      <c r="H188" s="319"/>
      <c r="I188" s="319"/>
      <c r="J188" s="319"/>
      <c r="M188" s="318"/>
      <c r="N188" s="315"/>
      <c r="O188" s="315"/>
      <c r="P188" s="315"/>
      <c r="R188" s="319"/>
      <c r="S188" s="319"/>
      <c r="T188" s="319"/>
      <c r="U188" s="319"/>
      <c r="AB188" s="39">
        <v>0.30208333333333398</v>
      </c>
      <c r="AC188">
        <f t="shared" si="261"/>
        <v>71.25</v>
      </c>
      <c r="AD188" s="38">
        <f t="shared" si="249"/>
        <v>15.952796751373725</v>
      </c>
      <c r="AE188" s="38">
        <f t="shared" si="250"/>
        <v>99.99129828280698</v>
      </c>
      <c r="AG188">
        <f t="shared" si="255"/>
        <v>7.4047203248626277</v>
      </c>
      <c r="AH188">
        <f t="shared" si="256"/>
        <v>-9.9912982828069801</v>
      </c>
      <c r="AI188" s="153">
        <f t="shared" si="257"/>
        <v>7.2924211822651248</v>
      </c>
      <c r="AJ188" s="153">
        <f t="shared" si="258"/>
        <v>-1.2847086789948219</v>
      </c>
      <c r="AK188" s="43"/>
      <c r="AN188" s="323"/>
      <c r="AO188" s="13">
        <f t="shared" ref="AO188:AX188" si="268">+AO174</f>
        <v>0</v>
      </c>
      <c r="AP188" s="13">
        <f t="shared" si="268"/>
        <v>0</v>
      </c>
      <c r="AQ188" s="13">
        <f t="shared" si="268"/>
        <v>0</v>
      </c>
      <c r="AR188" s="13">
        <f t="shared" si="268"/>
        <v>0</v>
      </c>
      <c r="AS188" s="13">
        <f t="shared" si="268"/>
        <v>0</v>
      </c>
      <c r="AT188" s="13">
        <f t="shared" si="268"/>
        <v>0</v>
      </c>
      <c r="AU188" s="13">
        <f t="shared" si="268"/>
        <v>0</v>
      </c>
      <c r="AV188" s="13">
        <f t="shared" si="268"/>
        <v>0</v>
      </c>
      <c r="AW188" s="13">
        <f t="shared" si="268"/>
        <v>0</v>
      </c>
      <c r="AX188" s="13">
        <f t="shared" si="268"/>
        <v>0</v>
      </c>
      <c r="AY188" s="13">
        <f>IF($AD$125="si",IF(AY174&gt;=8.99,BG93,AY174),0)</f>
        <v>0</v>
      </c>
      <c r="AZ188" s="13">
        <f>IF($AD$125="si",IF(AY174&gt;=8.99,BH93,AZ174),0)</f>
        <v>0</v>
      </c>
      <c r="BA188" s="13">
        <f>IF($AD$126="si",BA174,0)</f>
        <v>0</v>
      </c>
      <c r="BB188" s="13">
        <f>IF($AD$126="si",BB174,0)</f>
        <v>0</v>
      </c>
      <c r="BC188" s="13">
        <f>IF($AD$127="si",BC174,0)</f>
        <v>0</v>
      </c>
      <c r="BD188" s="13">
        <f>IF($AD$127="si",BD174,0)</f>
        <v>0</v>
      </c>
      <c r="BE188" s="13">
        <f>IF($AD$128="si",BE174,0)</f>
        <v>0</v>
      </c>
      <c r="BF188" s="13">
        <f>IF($AD$128="si",BF174,0)</f>
        <v>0</v>
      </c>
      <c r="BG188" s="13">
        <f>IF($AD$129="si",BG174,0)</f>
        <v>0</v>
      </c>
      <c r="BH188" s="13">
        <f>IF($AD$129="si",BH174,0)</f>
        <v>0</v>
      </c>
      <c r="BI188" s="13">
        <f>IF($AD$130="si",BI174,0)</f>
        <v>1.5942481393866368</v>
      </c>
      <c r="BJ188" s="13">
        <f>IF($AD$130="si",BJ174,0)</f>
        <v>-3.6765137729703996</v>
      </c>
      <c r="BK188" s="13">
        <f>IF($AD$131="si",BK174,0)</f>
        <v>2.2894168507319601E-16</v>
      </c>
      <c r="BL188" s="13">
        <f>IF($AD$131="si",BL174,0)</f>
        <v>-3.7373705065035905</v>
      </c>
      <c r="BM188" s="13">
        <f>IF($AD$132="si",BM174,0)</f>
        <v>-1.5942481393866366</v>
      </c>
      <c r="BN188" s="13">
        <f>IF($AD$132="si",BN174,0)</f>
        <v>-3.6765137729703996</v>
      </c>
      <c r="BO188" s="13">
        <f>IF($AD$133="si",BO174,0)</f>
        <v>-3.1835652798692937</v>
      </c>
      <c r="BP188" s="13">
        <f>IF($AD$133="si",BP174,0)</f>
        <v>-3.4911671364102332</v>
      </c>
      <c r="BQ188" s="13">
        <f>IF($AD$134="si",BQ174,0)</f>
        <v>-4.7621175617680658</v>
      </c>
      <c r="BR188" s="13">
        <f>IF($AD$134="si",BR174,0)</f>
        <v>-3.1725031675284869</v>
      </c>
      <c r="BS188" s="13">
        <f>IF($AD$135="si",BS174,0)</f>
        <v>-6.3219057421889273</v>
      </c>
      <c r="BT188" s="13">
        <f>IF($AD$135="si",BT174,0)</f>
        <v>-2.7039695211361696</v>
      </c>
      <c r="BU188" s="13">
        <f>IF($AD$136="si",BU174,0)</f>
        <v>-7.8505349227251564</v>
      </c>
      <c r="BV188" s="13">
        <f>IF($AD$136="si",BV174,0)</f>
        <v>-2.0577961364005222</v>
      </c>
      <c r="BW188" s="13">
        <f t="shared" ref="BW188:CJ188" si="269">+BW174</f>
        <v>-8.9999999158860629</v>
      </c>
      <c r="BX188" s="13">
        <f t="shared" si="269"/>
        <v>-1.230467748946156E-3</v>
      </c>
      <c r="BY188" s="13">
        <f t="shared" si="269"/>
        <v>0</v>
      </c>
      <c r="BZ188" s="13">
        <f t="shared" si="269"/>
        <v>0</v>
      </c>
      <c r="CA188" s="13">
        <f t="shared" si="269"/>
        <v>0</v>
      </c>
      <c r="CB188" s="13">
        <f t="shared" si="269"/>
        <v>0</v>
      </c>
      <c r="CC188" s="13">
        <f t="shared" si="269"/>
        <v>0</v>
      </c>
      <c r="CD188" s="13">
        <f t="shared" si="269"/>
        <v>0</v>
      </c>
      <c r="CE188" s="13">
        <f t="shared" si="269"/>
        <v>0</v>
      </c>
      <c r="CF188" s="13">
        <f t="shared" si="269"/>
        <v>0</v>
      </c>
      <c r="CG188" s="13">
        <f t="shared" si="269"/>
        <v>0</v>
      </c>
      <c r="CH188" s="13">
        <f t="shared" si="269"/>
        <v>0</v>
      </c>
      <c r="CI188" s="13" t="e">
        <f t="shared" si="269"/>
        <v>#NUM!</v>
      </c>
      <c r="CJ188" s="13" t="e">
        <f t="shared" si="269"/>
        <v>#NUM!</v>
      </c>
    </row>
    <row r="189" spans="1:88" x14ac:dyDescent="0.25">
      <c r="B189" s="39">
        <v>0.25</v>
      </c>
      <c r="C189" s="38">
        <v>90</v>
      </c>
      <c r="D189" s="38">
        <f>+DEGREES(ASIN(COS(RADIANS(E186))*COS(RADIANS(D186))*COS(RADIANS(C189))+SIN(RADIANS(E186))*SIN(RADIANS(D186))))</f>
        <v>-3.5180405810133208E-2</v>
      </c>
      <c r="E189" s="38">
        <f>180-DEGREES(ACOS((((SIN(RADIANS(D189)))*SIN(RADIANS(E186)))-SIN(RADIANS(D186)))/((COS(RADIANS(D189)))*COS(RADIANS(E186)))))</f>
        <v>90.402117230089857</v>
      </c>
      <c r="G189">
        <f t="shared" ref="G189:G201" si="270">9-(D189/10)</f>
        <v>9.0035180405810138</v>
      </c>
      <c r="H189">
        <f t="shared" ref="H189:H201" si="271">90-E189+$AH$172</f>
        <v>-0.402117230089857</v>
      </c>
      <c r="I189" s="153">
        <f t="shared" ref="I189:I201" si="272">IF($E$186&gt;=$AE$174,0,G189*COS(RADIANS(H189)))</f>
        <v>9.0032963023590984</v>
      </c>
      <c r="J189" s="153">
        <f t="shared" ref="J189:J201" si="273">IF($E$186&gt;=$AE$174,0,G189*SIN(RADIANS(H189)))</f>
        <v>-6.3188598613629257E-2</v>
      </c>
      <c r="M189" s="39">
        <v>0.25</v>
      </c>
      <c r="N189" s="38">
        <v>90</v>
      </c>
      <c r="O189" s="38">
        <f>+DEGREES(ASIN(COS(RADIANS(P186))*COS(RADIANS(O186))*COS(RADIANS(N189))+SIN(RADIANS(P186))*SIN(RADIANS(O186))))</f>
        <v>-7.0093080568731952E-2</v>
      </c>
      <c r="P189" s="38">
        <f>180-DEGREES(ACOS((((SIN(RADIANS(O189)))*SIN(RADIANS(P186)))-SIN(RADIANS(O186)))/((COS(RADIANS(O189)))*COS(RADIANS(P186)))))</f>
        <v>90.397521001025282</v>
      </c>
      <c r="R189">
        <f t="shared" ref="R189:R201" si="274">9-(O189/10)</f>
        <v>9.0070093080568725</v>
      </c>
      <c r="S189">
        <f t="shared" ref="S189:S201" si="275">90-P189+$AH$172</f>
        <v>-0.39752100102528232</v>
      </c>
      <c r="T189" s="153">
        <f t="shared" ref="T189:T201" si="276">IF($P$186&gt;=$AE$174,0,R189*COS(RADIANS(S189)))</f>
        <v>9.006792525784844</v>
      </c>
      <c r="U189" s="153">
        <f t="shared" ref="U189:U201" si="277">IF($P$186&gt;=$AE$174,0,R189*SIN(RADIANS(S189)))</f>
        <v>-6.2490582405822691E-2</v>
      </c>
      <c r="AB189" s="39">
        <v>0.312500000000001</v>
      </c>
      <c r="AC189">
        <f t="shared" si="261"/>
        <v>67.5</v>
      </c>
      <c r="AD189" s="38">
        <f t="shared" si="249"/>
        <v>19.140322770208016</v>
      </c>
      <c r="AE189" s="38">
        <f t="shared" si="250"/>
        <v>102.06325931022904</v>
      </c>
      <c r="AG189">
        <f t="shared" si="255"/>
        <v>7.0859677229791984</v>
      </c>
      <c r="AH189">
        <f t="shared" si="256"/>
        <v>-12.063259310229043</v>
      </c>
      <c r="AI189" s="153">
        <f t="shared" si="257"/>
        <v>6.9294915061735685</v>
      </c>
      <c r="AJ189" s="153">
        <f t="shared" si="258"/>
        <v>-1.4809071668985123</v>
      </c>
      <c r="AK189" s="43"/>
      <c r="AN189" s="324"/>
      <c r="AO189" s="45">
        <f t="shared" ref="AO189:AX189" si="278">+AQ173</f>
        <v>0</v>
      </c>
      <c r="AP189" s="45">
        <f t="shared" si="278"/>
        <v>0</v>
      </c>
      <c r="AQ189" s="45">
        <f t="shared" si="278"/>
        <v>0</v>
      </c>
      <c r="AR189" s="45">
        <f t="shared" si="278"/>
        <v>0</v>
      </c>
      <c r="AS189" s="45">
        <f t="shared" si="278"/>
        <v>0</v>
      </c>
      <c r="AT189" s="45">
        <f t="shared" si="278"/>
        <v>0</v>
      </c>
      <c r="AU189" s="45">
        <f t="shared" si="278"/>
        <v>0</v>
      </c>
      <c r="AV189" s="45">
        <f t="shared" si="278"/>
        <v>0</v>
      </c>
      <c r="AW189" s="45">
        <f t="shared" si="278"/>
        <v>8.9999999158860629</v>
      </c>
      <c r="AX189" s="45">
        <f t="shared" si="278"/>
        <v>-1.2304677489461085E-3</v>
      </c>
      <c r="AY189" s="45">
        <f>IF($AD$125="si",BA173,0)</f>
        <v>0</v>
      </c>
      <c r="AZ189" s="45">
        <f>IF($AD$125="si",BB173,0)</f>
        <v>0</v>
      </c>
      <c r="BA189" s="45">
        <f>IF($AD$126="si",BC173,0)</f>
        <v>0</v>
      </c>
      <c r="BB189" s="45">
        <f>IF($AD$126="si",BD173,0)</f>
        <v>0</v>
      </c>
      <c r="BC189" s="45">
        <f>IF($AD$127="si",BE173,0)</f>
        <v>0</v>
      </c>
      <c r="BD189" s="45">
        <f>IF($AD$127="si",BF173,0)</f>
        <v>0</v>
      </c>
      <c r="BE189" s="45">
        <f>IF($AD$128="si",BG173,0)</f>
        <v>0</v>
      </c>
      <c r="BF189" s="45">
        <f>IF($AD$128="si",BH173,0)</f>
        <v>0</v>
      </c>
      <c r="BG189" s="45">
        <f>IF($AD$129="si",BI173,0)</f>
        <v>0</v>
      </c>
      <c r="BH189" s="45">
        <f>IF($AD$129="si",BJ173,0)</f>
        <v>0</v>
      </c>
      <c r="BI189" s="45">
        <f>IF($AD$130="si",BK173,0)</f>
        <v>2.8543812206334089E-16</v>
      </c>
      <c r="BJ189" s="45">
        <f>IF($AD$130="si",BL173,0)</f>
        <v>-4.6596495456484224</v>
      </c>
      <c r="BK189" s="45">
        <f>IF($AD$131="si",BM173,0)</f>
        <v>-1.6007777970337347</v>
      </c>
      <c r="BL189" s="45">
        <f>IF($AD$131="si",BN173,0)</f>
        <v>-4.6096209042552738</v>
      </c>
      <c r="BM189" s="45">
        <f>IF($AD$132="si",BO173,0)</f>
        <v>-3.1989291170115348</v>
      </c>
      <c r="BN189" s="45">
        <f>IF($AD$132="si",BP173,0)</f>
        <v>-4.4576700187236371</v>
      </c>
      <c r="BO189" s="45">
        <f>IF($AD$133="si",BQ173,0)</f>
        <v>-4.7914718059899393</v>
      </c>
      <c r="BP189" s="45">
        <f>IF($AD$133="si",BR173,0)</f>
        <v>-4.197866603942197</v>
      </c>
      <c r="BQ189" s="45">
        <f>IF($AD$134="si",BS173,0)</f>
        <v>-6.3745781167226738</v>
      </c>
      <c r="BR189" s="45">
        <f>IF($AD$134="si",BT173,0)</f>
        <v>-3.8190747682328157</v>
      </c>
      <c r="BS189" s="45">
        <f>IF($AD$135="si",BU173,0)</f>
        <v>-7.9427188060969556</v>
      </c>
      <c r="BT189" s="45">
        <f>IF($AD$135="si",BV173,0)</f>
        <v>-3.3025120163095805</v>
      </c>
      <c r="BU189" s="45">
        <f>IF($AD$136="si",IF(BW173&lt;=-8.99,AV105,BW173),0)</f>
        <v>-8.4494268639521586</v>
      </c>
      <c r="BV189" s="45">
        <f>IF($AD$136="si",IF(BW173&lt;=-8.99,AW105,BX173),0)</f>
        <v>-3.0995460426848935</v>
      </c>
      <c r="BW189" s="45">
        <f t="shared" ref="BW189:CJ189" si="279">+BY173</f>
        <v>0</v>
      </c>
      <c r="BX189" s="45">
        <f t="shared" si="279"/>
        <v>0</v>
      </c>
      <c r="BY189" s="45">
        <f t="shared" si="279"/>
        <v>0</v>
      </c>
      <c r="BZ189" s="45">
        <f t="shared" si="279"/>
        <v>0</v>
      </c>
      <c r="CA189" s="45">
        <f t="shared" si="279"/>
        <v>0</v>
      </c>
      <c r="CB189" s="45">
        <f t="shared" si="279"/>
        <v>0</v>
      </c>
      <c r="CC189" s="45">
        <f t="shared" si="279"/>
        <v>0</v>
      </c>
      <c r="CD189" s="45">
        <f t="shared" si="279"/>
        <v>0</v>
      </c>
      <c r="CE189" s="45">
        <f t="shared" si="279"/>
        <v>0</v>
      </c>
      <c r="CF189" s="45">
        <f t="shared" si="279"/>
        <v>0</v>
      </c>
      <c r="CG189" s="45" t="e">
        <f t="shared" si="279"/>
        <v>#NUM!</v>
      </c>
      <c r="CH189" s="45" t="e">
        <f t="shared" si="279"/>
        <v>#NUM!</v>
      </c>
      <c r="CI189" s="45">
        <f t="shared" si="279"/>
        <v>0</v>
      </c>
      <c r="CJ189" s="45">
        <f t="shared" si="279"/>
        <v>0</v>
      </c>
    </row>
    <row r="190" spans="1:88" x14ac:dyDescent="0.25">
      <c r="B190" s="39">
        <v>0.29166666666666669</v>
      </c>
      <c r="C190">
        <v>75</v>
      </c>
      <c r="D190" s="38">
        <f>+DEGREES(ASIN(COS(RADIANS(E186))*COS(RADIANS(D186))*COS(RADIANS(C190))+SIN(RADIANS(E186))*SIN(RADIANS(D186))))</f>
        <v>14.904799816556887</v>
      </c>
      <c r="E190" s="38">
        <f>180-DEGREES(ACOS((((SIN(RADIANS(D190)))*SIN(RADIANS(E186)))-SIN(RADIANS(D186)))/((COS(RADIANS(D190)))*COS(RADIANS(E186)))))</f>
        <v>91.753807425353287</v>
      </c>
      <c r="G190">
        <f t="shared" si="270"/>
        <v>7.5095200183443112</v>
      </c>
      <c r="H190">
        <f t="shared" si="271"/>
        <v>-1.7538074253532869</v>
      </c>
      <c r="I190" s="153">
        <f t="shared" si="272"/>
        <v>7.5060022533891617</v>
      </c>
      <c r="J190" s="153">
        <f t="shared" si="273"/>
        <v>-0.22982836646239974</v>
      </c>
      <c r="M190" s="39">
        <v>0.29166666666666669</v>
      </c>
      <c r="N190">
        <v>75</v>
      </c>
      <c r="O190" s="38">
        <f>+DEGREES(ASIN(COS(RADIANS(P186))*COS(RADIANS(O186))*COS(RADIANS(N190))+SIN(RADIANS(P186))*SIN(RADIANS(O186))))</f>
        <v>14.694039743431569</v>
      </c>
      <c r="P190" s="38">
        <f>180-DEGREES(ACOS((((SIN(RADIANS(O190)))*SIN(RADIANS(P186)))-SIN(RADIANS(O186)))/((COS(RADIANS(O190)))*COS(RADIANS(P186)))))</f>
        <v>93.07450525597902</v>
      </c>
      <c r="R190">
        <f t="shared" si="274"/>
        <v>7.5305960256568429</v>
      </c>
      <c r="S190">
        <f t="shared" si="275"/>
        <v>-3.0745052559790196</v>
      </c>
      <c r="T190" s="153">
        <f t="shared" si="276"/>
        <v>7.5197567475893017</v>
      </c>
      <c r="U190" s="153">
        <f t="shared" si="277"/>
        <v>-0.40389968893748579</v>
      </c>
      <c r="AB190" s="39">
        <v>0.32291666666666802</v>
      </c>
      <c r="AC190">
        <f t="shared" si="261"/>
        <v>63.75</v>
      </c>
      <c r="AD190" s="38">
        <f t="shared" si="249"/>
        <v>22.302790902157312</v>
      </c>
      <c r="AE190" s="38">
        <f t="shared" si="250"/>
        <v>104.21812868870686</v>
      </c>
      <c r="AG190">
        <f t="shared" si="255"/>
        <v>6.7697209097842688</v>
      </c>
      <c r="AH190">
        <f t="shared" si="256"/>
        <v>-14.218128688706855</v>
      </c>
      <c r="AI190" s="153">
        <f t="shared" si="257"/>
        <v>6.5623486851340873</v>
      </c>
      <c r="AJ190" s="153">
        <f t="shared" si="258"/>
        <v>-1.6627389846543152</v>
      </c>
      <c r="AK190" s="43"/>
    </row>
    <row r="191" spans="1:88" x14ac:dyDescent="0.25">
      <c r="B191" s="39">
        <v>0.33333333333333298</v>
      </c>
      <c r="C191" s="38">
        <v>60</v>
      </c>
      <c r="D191" s="38">
        <f>+DEGREES(ASIN(COS(RADIANS(E186))*COS(RADIANS(D186))*COS(RADIANS(C191))+SIN(RADIANS(E186))*SIN(RADIANS(D186))))</f>
        <v>29.832821574407284</v>
      </c>
      <c r="E191" s="38">
        <f>180-DEGREES(ACOS((((SIN(RADIANS(D191)))*SIN(RADIANS(E186)))-SIN(RADIANS(D186)))/((COS(RADIANS(D191)))*COS(RADIANS(E186)))))</f>
        <v>93.34362055594309</v>
      </c>
      <c r="G191">
        <f t="shared" si="270"/>
        <v>6.016717842559272</v>
      </c>
      <c r="H191">
        <f t="shared" si="271"/>
        <v>-3.3436205559430903</v>
      </c>
      <c r="I191" s="153">
        <f t="shared" si="272"/>
        <v>6.0064755989035694</v>
      </c>
      <c r="J191" s="153">
        <f t="shared" si="273"/>
        <v>-0.35091947330849393</v>
      </c>
      <c r="M191" s="39">
        <v>0.33333333333333298</v>
      </c>
      <c r="N191" s="38">
        <v>60</v>
      </c>
      <c r="O191" s="38">
        <f>+DEGREES(ASIN(COS(RADIANS(P186))*COS(RADIANS(O186))*COS(RADIANS(N191))+SIN(RADIANS(P186))*SIN(RADIANS(O186))))</f>
        <v>29.417399639445083</v>
      </c>
      <c r="P191" s="38">
        <f>180-DEGREES(ACOS((((SIN(RADIANS(O191)))*SIN(RADIANS(P186)))-SIN(RADIANS(O186)))/((COS(RADIANS(O191)))*COS(RADIANS(P186)))))</f>
        <v>96.179191790944685</v>
      </c>
      <c r="R191">
        <f t="shared" si="274"/>
        <v>6.0582600360554917</v>
      </c>
      <c r="S191">
        <f t="shared" si="275"/>
        <v>-6.1791917909446852</v>
      </c>
      <c r="T191" s="153">
        <f t="shared" si="276"/>
        <v>6.0230622766376207</v>
      </c>
      <c r="U191" s="153">
        <f t="shared" si="277"/>
        <v>-0.65210081752129223</v>
      </c>
      <c r="AB191" s="39">
        <v>0.33333333333333298</v>
      </c>
      <c r="AC191">
        <f t="shared" si="261"/>
        <v>60</v>
      </c>
      <c r="AD191" s="38">
        <f t="shared" si="249"/>
        <v>25.434529047364645</v>
      </c>
      <c r="AE191" s="38">
        <f t="shared" si="250"/>
        <v>106.4740194500216</v>
      </c>
      <c r="AG191">
        <f t="shared" si="255"/>
        <v>6.4565470952635353</v>
      </c>
      <c r="AH191">
        <f t="shared" si="256"/>
        <v>-16.474019450021601</v>
      </c>
      <c r="AI191" s="153">
        <f t="shared" si="257"/>
        <v>6.1914956482620465</v>
      </c>
      <c r="AJ191" s="153">
        <f t="shared" si="258"/>
        <v>-1.8309511273947583</v>
      </c>
      <c r="AK191" s="43"/>
      <c r="AN191" s="322" t="s">
        <v>102</v>
      </c>
      <c r="AO191" s="46">
        <f t="shared" ref="AO191:AX191" si="280">+AO174</f>
        <v>0</v>
      </c>
      <c r="AP191" s="46">
        <f t="shared" si="280"/>
        <v>0</v>
      </c>
      <c r="AQ191" s="46">
        <f t="shared" si="280"/>
        <v>0</v>
      </c>
      <c r="AR191" s="46">
        <f t="shared" si="280"/>
        <v>0</v>
      </c>
      <c r="AS191" s="46">
        <f t="shared" si="280"/>
        <v>0</v>
      </c>
      <c r="AT191" s="46">
        <f t="shared" si="280"/>
        <v>0</v>
      </c>
      <c r="AU191" s="46">
        <f t="shared" si="280"/>
        <v>0</v>
      </c>
      <c r="AV191" s="46">
        <f t="shared" si="280"/>
        <v>0</v>
      </c>
      <c r="AW191" s="46">
        <f t="shared" si="280"/>
        <v>0</v>
      </c>
      <c r="AX191" s="46">
        <f t="shared" si="280"/>
        <v>0</v>
      </c>
      <c r="AY191" s="46">
        <f>IF($AF$125="si",IF(AY174&gt;=8.99,BG93,AY174),0)</f>
        <v>0</v>
      </c>
      <c r="AZ191" s="46">
        <f>IF($AF$125="si",IF(AY174&gt;=8.99,BH93,AZ174),0)</f>
        <v>0</v>
      </c>
      <c r="BA191" s="46">
        <f>IF($AF$126="si",BA174,0)</f>
        <v>0</v>
      </c>
      <c r="BB191" s="46">
        <f>IF($AF$126="si",BB174,0)</f>
        <v>0</v>
      </c>
      <c r="BC191" s="46">
        <f>IF($AF$127="si",BC174,0)</f>
        <v>0</v>
      </c>
      <c r="BD191" s="46">
        <f>IF($AF$127="si",BD174,0)</f>
        <v>0</v>
      </c>
      <c r="BE191" s="46">
        <f>IF($AF$128="si",BE174,0)</f>
        <v>0</v>
      </c>
      <c r="BF191" s="46">
        <f>IF($AF$128="si",BF174,0)</f>
        <v>0</v>
      </c>
      <c r="BG191" s="46">
        <f>IF($AF$129="si",BG174,0)</f>
        <v>3.1835652798692924</v>
      </c>
      <c r="BH191" s="46">
        <f>IF($AF$129="si",BH174,0)</f>
        <v>-3.4911671364102346</v>
      </c>
      <c r="BI191" s="46">
        <f>IF($AF$130="si",BI174,0)</f>
        <v>1.5942481393866368</v>
      </c>
      <c r="BJ191" s="46">
        <f>IF($AF$130="si",BJ174,0)</f>
        <v>-3.6765137729703996</v>
      </c>
      <c r="BK191" s="46">
        <f>IF($AF$131="si",BK174,0)</f>
        <v>2.2894168507319601E-16</v>
      </c>
      <c r="BL191" s="46">
        <f>IF($AF$131="si",BL174,0)</f>
        <v>-3.7373705065035905</v>
      </c>
      <c r="BM191" s="46">
        <f>IF($AF$132="si",BM174,0)</f>
        <v>-1.5942481393866366</v>
      </c>
      <c r="BN191" s="46">
        <f>IF($AF$132="si",BN174,0)</f>
        <v>-3.6765137729703996</v>
      </c>
      <c r="BO191" s="46">
        <f>IF($AF$133="si",BO174,0)</f>
        <v>-3.1835652798692937</v>
      </c>
      <c r="BP191" s="46">
        <f>IF($AF$133="si",BP174,0)</f>
        <v>-3.4911671364102332</v>
      </c>
      <c r="BQ191" s="46">
        <f>IF($AF$134="si",BQ174,0)</f>
        <v>-4.7621175617680658</v>
      </c>
      <c r="BR191" s="46">
        <f>IF($AF$134="si",BR174,0)</f>
        <v>-3.1725031675284869</v>
      </c>
      <c r="BS191" s="46">
        <f>IF($AF$135="si",BS174,0)</f>
        <v>-6.3219057421889273</v>
      </c>
      <c r="BT191" s="46">
        <f>IF($AF$135="si",BT174,0)</f>
        <v>-2.7039695211361696</v>
      </c>
      <c r="BU191" s="46">
        <f>IF($AF$136="si",BU174,0)</f>
        <v>-7.8505349227251564</v>
      </c>
      <c r="BV191" s="46">
        <f>IF($AF$136="si",BV174,0)</f>
        <v>-2.0577961364005222</v>
      </c>
      <c r="BW191" s="46">
        <f t="shared" ref="BW191:CJ191" si="281">+BW174</f>
        <v>-8.9999999158860629</v>
      </c>
      <c r="BX191" s="46">
        <f t="shared" si="281"/>
        <v>-1.230467748946156E-3</v>
      </c>
      <c r="BY191" s="46">
        <f t="shared" si="281"/>
        <v>0</v>
      </c>
      <c r="BZ191" s="46">
        <f t="shared" si="281"/>
        <v>0</v>
      </c>
      <c r="CA191" s="46">
        <f t="shared" si="281"/>
        <v>0</v>
      </c>
      <c r="CB191" s="46">
        <f t="shared" si="281"/>
        <v>0</v>
      </c>
      <c r="CC191" s="46">
        <f t="shared" si="281"/>
        <v>0</v>
      </c>
      <c r="CD191" s="46">
        <f t="shared" si="281"/>
        <v>0</v>
      </c>
      <c r="CE191" s="46">
        <f t="shared" si="281"/>
        <v>0</v>
      </c>
      <c r="CF191" s="46">
        <f t="shared" si="281"/>
        <v>0</v>
      </c>
      <c r="CG191" s="46">
        <f t="shared" si="281"/>
        <v>0</v>
      </c>
      <c r="CH191" s="46">
        <f t="shared" si="281"/>
        <v>0</v>
      </c>
      <c r="CI191" s="46" t="e">
        <f t="shared" si="281"/>
        <v>#NUM!</v>
      </c>
      <c r="CJ191" s="46" t="e">
        <f t="shared" si="281"/>
        <v>#NUM!</v>
      </c>
    </row>
    <row r="192" spans="1:88" x14ac:dyDescent="0.25">
      <c r="B192" s="39">
        <v>0.375</v>
      </c>
      <c r="C192">
        <v>45</v>
      </c>
      <c r="D192" s="38">
        <f>+DEGREES(ASIN(COS(RADIANS(E186))*COS(RADIANS(D186))*COS(RADIANS(C192))+SIN(RADIANS(E186))*SIN(RADIANS(D186))))</f>
        <v>44.731431648789403</v>
      </c>
      <c r="E192" s="38">
        <f>180-DEGREES(ACOS((((SIN(RADIANS(D192)))*SIN(RADIANS(E186)))-SIN(RADIANS(D186)))/((COS(RADIANS(D192)))*COS(RADIANS(E186)))))</f>
        <v>95.544968751429025</v>
      </c>
      <c r="G192">
        <f t="shared" si="270"/>
        <v>4.5268568351210599</v>
      </c>
      <c r="H192">
        <f t="shared" si="271"/>
        <v>-5.5449687514290247</v>
      </c>
      <c r="I192" s="153">
        <f t="shared" si="272"/>
        <v>4.505674164506801</v>
      </c>
      <c r="J192" s="153">
        <f t="shared" si="273"/>
        <v>-0.43741642513536494</v>
      </c>
      <c r="M192" s="39">
        <v>0.375</v>
      </c>
      <c r="N192">
        <v>45</v>
      </c>
      <c r="O192" s="38">
        <f>+DEGREES(ASIN(COS(RADIANS(P186))*COS(RADIANS(O186))*COS(RADIANS(N192))+SIN(RADIANS(P186))*SIN(RADIANS(O186))))</f>
        <v>44.03706769238434</v>
      </c>
      <c r="P192" s="38">
        <f>180-DEGREES(ACOS((((SIN(RADIANS(O192)))*SIN(RADIANS(P186)))-SIN(RADIANS(O186)))/((COS(RADIANS(O192)))*COS(RADIANS(P186)))))</f>
        <v>100.39589131604674</v>
      </c>
      <c r="R192">
        <f t="shared" si="274"/>
        <v>4.5962932307615656</v>
      </c>
      <c r="S192">
        <f t="shared" si="275"/>
        <v>-10.395891316046743</v>
      </c>
      <c r="T192" s="153">
        <f t="shared" si="276"/>
        <v>4.5208423808423577</v>
      </c>
      <c r="U192" s="153">
        <f t="shared" si="277"/>
        <v>-0.8293947375792744</v>
      </c>
      <c r="AB192" s="39">
        <v>0.343750000000002</v>
      </c>
      <c r="AC192">
        <f t="shared" si="261"/>
        <v>56.25</v>
      </c>
      <c r="AD192" s="38">
        <f t="shared" si="249"/>
        <v>28.528998516080662</v>
      </c>
      <c r="AE192" s="38">
        <f t="shared" si="250"/>
        <v>108.85130613630989</v>
      </c>
      <c r="AG192">
        <f t="shared" si="255"/>
        <v>6.1471001483919334</v>
      </c>
      <c r="AH192">
        <f t="shared" si="256"/>
        <v>-18.851306136309887</v>
      </c>
      <c r="AI192" s="153">
        <f t="shared" si="257"/>
        <v>5.8173715667204986</v>
      </c>
      <c r="AJ192" s="153">
        <f t="shared" si="258"/>
        <v>-1.9862095279884302</v>
      </c>
      <c r="AK192" s="43"/>
      <c r="AN192" s="323"/>
      <c r="AO192" s="13">
        <f t="shared" ref="AO192:AX192" si="282">+AQ175</f>
        <v>0</v>
      </c>
      <c r="AP192" s="13">
        <f t="shared" si="282"/>
        <v>0</v>
      </c>
      <c r="AQ192" s="13">
        <f t="shared" si="282"/>
        <v>0</v>
      </c>
      <c r="AR192" s="13">
        <f t="shared" si="282"/>
        <v>0</v>
      </c>
      <c r="AS192" s="13">
        <f t="shared" si="282"/>
        <v>0</v>
      </c>
      <c r="AT192" s="13">
        <f t="shared" si="282"/>
        <v>0</v>
      </c>
      <c r="AU192" s="13">
        <f t="shared" si="282"/>
        <v>0</v>
      </c>
      <c r="AV192" s="13">
        <f t="shared" si="282"/>
        <v>0</v>
      </c>
      <c r="AW192" s="13">
        <f t="shared" si="282"/>
        <v>8.7883582682606036</v>
      </c>
      <c r="AX192" s="13">
        <f t="shared" si="282"/>
        <v>0.53934028205281404</v>
      </c>
      <c r="AY192" s="13">
        <f>IF($AF$125="si",BA175,0)</f>
        <v>0</v>
      </c>
      <c r="AZ192" s="13">
        <f>IF($AF$125="si",BB175,0)</f>
        <v>0</v>
      </c>
      <c r="BA192" s="13">
        <f>IF($AF$126="si",BC175,0)</f>
        <v>0</v>
      </c>
      <c r="BB192" s="13">
        <f>IF($AF$126="si",BD175,0)</f>
        <v>0</v>
      </c>
      <c r="BC192" s="13">
        <f>IF($AF$127="si",+BE175,0)</f>
        <v>0</v>
      </c>
      <c r="BD192" s="13">
        <f>IF($AF$127="si",BF175,0)</f>
        <v>0</v>
      </c>
      <c r="BE192" s="13">
        <f>IF($AF$128="si",BG175,0)</f>
        <v>0</v>
      </c>
      <c r="BF192" s="13">
        <f>IF($AF$128="si",BH175,0)</f>
        <v>0</v>
      </c>
      <c r="BG192" s="13">
        <f>IF($AF$129="si",BI175,0)</f>
        <v>1.5435540171470266</v>
      </c>
      <c r="BH192" s="13">
        <f>IF($AF$129="si",BJ175,0)</f>
        <v>-2.4338374353420646</v>
      </c>
      <c r="BI192" s="13">
        <f>IF($AF$130="si",BK175,0)</f>
        <v>1.5353055534212649E-16</v>
      </c>
      <c r="BJ192" s="13">
        <f>IF($AF$130="si",BL175,0)</f>
        <v>-2.5063175768944319</v>
      </c>
      <c r="BK192" s="13">
        <f>IF($AF$131="si",BM175,0)</f>
        <v>-1.5435540171470263</v>
      </c>
      <c r="BL192" s="13">
        <f>IF($AF$131="si",BN175,0)</f>
        <v>-2.4338374353420638</v>
      </c>
      <c r="BM192" s="13">
        <f>IF($AF$132="si",BO175,0)</f>
        <v>-3.0773552908954072</v>
      </c>
      <c r="BN192" s="13">
        <f>IF($AF$132="si",BP175,0)</f>
        <v>-2.2128940080973152</v>
      </c>
      <c r="BO192" s="13">
        <f>IF($AF$133="si",BQ175,0)</f>
        <v>-4.5898087062962007</v>
      </c>
      <c r="BP192" s="13">
        <f>IF($AF$133="si",BR175,0)</f>
        <v>-1.8324364394971169</v>
      </c>
      <c r="BQ192" s="13">
        <f>IF($AF$134="si",BS175,0)</f>
        <v>-6.0649626831945911</v>
      </c>
      <c r="BR192" s="13">
        <f>IF($AF$134="si",BT175,0)</f>
        <v>-1.2721013335297828</v>
      </c>
      <c r="BS192" s="13">
        <f>IF($AF$135="si",BU175,0)</f>
        <v>-7.4782579609816162</v>
      </c>
      <c r="BT192" s="13">
        <f>IF($AF$135="si",BV175,0)</f>
        <v>-0.49877504340215972</v>
      </c>
      <c r="BU192" s="13">
        <f>IF($AF$136="si",IF(BW175&lt;=-8.99,BR105,BW175),0)</f>
        <v>-8.7883582682606036</v>
      </c>
      <c r="BV192" s="13">
        <f>IF($AF$136="si",IF(BW175&lt;=-8.99,BS105,BX175),0)</f>
        <v>0.53934028205281592</v>
      </c>
      <c r="BW192" s="13">
        <f t="shared" ref="BW192:CJ192" si="283">+BY175</f>
        <v>0</v>
      </c>
      <c r="BX192" s="13">
        <f t="shared" si="283"/>
        <v>0</v>
      </c>
      <c r="BY192" s="13">
        <f t="shared" si="283"/>
        <v>0</v>
      </c>
      <c r="BZ192" s="13">
        <f t="shared" si="283"/>
        <v>0</v>
      </c>
      <c r="CA192" s="13">
        <f t="shared" si="283"/>
        <v>0</v>
      </c>
      <c r="CB192" s="13">
        <f t="shared" si="283"/>
        <v>0</v>
      </c>
      <c r="CC192" s="13">
        <f t="shared" si="283"/>
        <v>0</v>
      </c>
      <c r="CD192" s="13">
        <f t="shared" si="283"/>
        <v>0</v>
      </c>
      <c r="CE192" s="13">
        <f t="shared" si="283"/>
        <v>0</v>
      </c>
      <c r="CF192" s="13">
        <f t="shared" si="283"/>
        <v>0</v>
      </c>
      <c r="CG192" s="13" t="e">
        <f t="shared" si="283"/>
        <v>#NUM!</v>
      </c>
      <c r="CH192" s="13" t="e">
        <f t="shared" si="283"/>
        <v>#NUM!</v>
      </c>
      <c r="CI192" s="13">
        <f t="shared" si="283"/>
        <v>0</v>
      </c>
      <c r="CJ192" s="13">
        <f t="shared" si="283"/>
        <v>0</v>
      </c>
    </row>
    <row r="193" spans="1:88" x14ac:dyDescent="0.25">
      <c r="B193" s="39">
        <v>0.41666666666666702</v>
      </c>
      <c r="C193" s="38">
        <v>30</v>
      </c>
      <c r="D193" s="38">
        <f>+DEGREES(ASIN(COS(RADIANS(E186))*COS(RADIANS(D186))*COS(RADIANS(C193))+SIN(RADIANS(E186))*SIN(RADIANS(D186))))</f>
        <v>59.552572012755121</v>
      </c>
      <c r="E193" s="38">
        <f>180-DEGREES(ACOS((((SIN(RADIANS(D193)))*SIN(RADIANS(E186)))-SIN(RADIANS(D186)))/((COS(RADIANS(D193)))*COS(RADIANS(E186)))))</f>
        <v>99.36910310685964</v>
      </c>
      <c r="G193">
        <f t="shared" si="270"/>
        <v>3.0447427987244877</v>
      </c>
      <c r="H193">
        <f t="shared" si="271"/>
        <v>-9.3691031068596402</v>
      </c>
      <c r="I193" s="153">
        <f t="shared" si="272"/>
        <v>3.004126210192533</v>
      </c>
      <c r="J193" s="153">
        <f t="shared" si="273"/>
        <v>-0.49566563691552751</v>
      </c>
      <c r="M193" s="39">
        <v>0.41666666666666702</v>
      </c>
      <c r="N193" s="38">
        <v>30</v>
      </c>
      <c r="O193" s="38">
        <f>+DEGREES(ASIN(COS(RADIANS(P186))*COS(RADIANS(O186))*COS(RADIANS(N193))+SIN(RADIANS(P186))*SIN(RADIANS(O186))))</f>
        <v>58.388747672962069</v>
      </c>
      <c r="P193" s="38">
        <f>180-DEGREES(ACOS((((SIN(RADIANS(O193)))*SIN(RADIANS(P186)))-SIN(RADIANS(O186)))/((COS(RADIANS(O193)))*COS(RADIANS(P186)))))</f>
        <v>107.46585839239938</v>
      </c>
      <c r="R193">
        <f t="shared" si="274"/>
        <v>3.1611252327037933</v>
      </c>
      <c r="S193">
        <f t="shared" si="275"/>
        <v>-17.465858392399383</v>
      </c>
      <c r="T193" s="153">
        <f t="shared" si="276"/>
        <v>3.0153846107520401</v>
      </c>
      <c r="U193" s="153">
        <f t="shared" si="277"/>
        <v>-0.94877204115444957</v>
      </c>
      <c r="AB193" s="39">
        <v>0.35416666666666902</v>
      </c>
      <c r="AC193">
        <f t="shared" si="261"/>
        <v>52.5</v>
      </c>
      <c r="AD193" s="38">
        <f t="shared" si="249"/>
        <v>31.578567749170684</v>
      </c>
      <c r="AE193" s="38">
        <f t="shared" si="250"/>
        <v>111.37309110119403</v>
      </c>
      <c r="AG193">
        <f t="shared" si="255"/>
        <v>5.8421432250829319</v>
      </c>
      <c r="AH193">
        <f t="shared" si="256"/>
        <v>-21.373091101194035</v>
      </c>
      <c r="AI193" s="153">
        <f t="shared" si="257"/>
        <v>5.4403619597776451</v>
      </c>
      <c r="AJ193" s="153">
        <f t="shared" si="258"/>
        <v>-2.1291076085972591</v>
      </c>
      <c r="AK193" s="43"/>
      <c r="AN193" s="323"/>
      <c r="AO193" s="13">
        <f t="shared" ref="AO193:AX193" si="284">+AO175</f>
        <v>0</v>
      </c>
      <c r="AP193" s="13">
        <f t="shared" si="284"/>
        <v>0</v>
      </c>
      <c r="AQ193" s="13">
        <f t="shared" si="284"/>
        <v>0</v>
      </c>
      <c r="AR193" s="13">
        <f t="shared" si="284"/>
        <v>0</v>
      </c>
      <c r="AS193" s="13">
        <f t="shared" si="284"/>
        <v>0</v>
      </c>
      <c r="AT193" s="13">
        <f t="shared" si="284"/>
        <v>0</v>
      </c>
      <c r="AU193" s="13">
        <f t="shared" si="284"/>
        <v>0</v>
      </c>
      <c r="AV193" s="13">
        <f t="shared" si="284"/>
        <v>0</v>
      </c>
      <c r="AW193" s="13">
        <f t="shared" si="284"/>
        <v>0</v>
      </c>
      <c r="AX193" s="13">
        <f t="shared" si="284"/>
        <v>0</v>
      </c>
      <c r="AY193" s="13">
        <f>IF($AF$125="si",IF(AY175&gt;=8.99,BR93,AY175),0)</f>
        <v>0</v>
      </c>
      <c r="AZ193" s="13">
        <f>IF($AF$125="si",IF(AY175&gt;=8.99,BS93,AZ175),0)</f>
        <v>0</v>
      </c>
      <c r="BA193" s="13">
        <f>IF($AF$126="si",BA175,0)</f>
        <v>0</v>
      </c>
      <c r="BB193" s="13">
        <f>IF($AF$126="si",BB175,0)</f>
        <v>0</v>
      </c>
      <c r="BC193" s="13">
        <f>IF($AF$127="si",BC175,0)</f>
        <v>0</v>
      </c>
      <c r="BD193" s="13">
        <f>IF($AF$127="si",BD175,0)</f>
        <v>0</v>
      </c>
      <c r="BE193" s="13">
        <f>IF($AF$128="si",BE175,0)</f>
        <v>0</v>
      </c>
      <c r="BF193" s="13">
        <f>IF($AF$128="si",BF175,0)</f>
        <v>0</v>
      </c>
      <c r="BG193" s="13">
        <f>IF($AF$129="si",BG175,0)</f>
        <v>3.0773552908954085</v>
      </c>
      <c r="BH193" s="13">
        <f>IF($AF$129="si",BH175,0)</f>
        <v>-2.2128940080973147</v>
      </c>
      <c r="BI193" s="13">
        <f>IF($AF$130="si",BI175,0)</f>
        <v>1.5435540171470266</v>
      </c>
      <c r="BJ193" s="13">
        <f>IF($AF$130="si",BJ175,0)</f>
        <v>-2.4338374353420646</v>
      </c>
      <c r="BK193" s="13">
        <f>IF($AF$131="si",BK175,0)</f>
        <v>1.5353055534212649E-16</v>
      </c>
      <c r="BL193" s="13">
        <f>IF($AF$131="si",BL175,0)</f>
        <v>-2.5063175768944319</v>
      </c>
      <c r="BM193" s="13">
        <f>IF($AF$132="si",BM175,0)</f>
        <v>-1.5435540171470263</v>
      </c>
      <c r="BN193" s="13">
        <f>IF($AF$132="si",BN175,0)</f>
        <v>-2.4338374353420638</v>
      </c>
      <c r="BO193" s="13">
        <f>IF($AF$133="si",BO175,0)</f>
        <v>-3.0773552908954072</v>
      </c>
      <c r="BP193" s="13">
        <f>IF($AF$133="si",BP175,0)</f>
        <v>-2.2128940080973152</v>
      </c>
      <c r="BQ193" s="13">
        <f>IF($AF$134="si",BQ175,0)</f>
        <v>-4.5898087062962007</v>
      </c>
      <c r="BR193" s="13">
        <f>IF($AF$134="si",BR175,0)</f>
        <v>-1.8324364394971169</v>
      </c>
      <c r="BS193" s="13">
        <f>IF($AF$135="si",BS175,0)</f>
        <v>-6.0649626831945911</v>
      </c>
      <c r="BT193" s="13">
        <f>IF($AF$135="si",BT175,0)</f>
        <v>-1.2721013335297828</v>
      </c>
      <c r="BU193" s="13">
        <f>IF($AF$136="si",BU175,0)</f>
        <v>-7.4782579609816162</v>
      </c>
      <c r="BV193" s="13">
        <f>IF($AF$136="si",BV175,0)</f>
        <v>-0.49877504340215972</v>
      </c>
      <c r="BW193" s="13">
        <f t="shared" ref="BW193:CJ193" si="285">+BW175</f>
        <v>-8.7883582682606036</v>
      </c>
      <c r="BX193" s="13">
        <f t="shared" si="285"/>
        <v>0.53934028205281592</v>
      </c>
      <c r="BY193" s="13">
        <f t="shared" si="285"/>
        <v>0</v>
      </c>
      <c r="BZ193" s="13">
        <f t="shared" si="285"/>
        <v>0</v>
      </c>
      <c r="CA193" s="13">
        <f t="shared" si="285"/>
        <v>0</v>
      </c>
      <c r="CB193" s="13">
        <f t="shared" si="285"/>
        <v>0</v>
      </c>
      <c r="CC193" s="13">
        <f t="shared" si="285"/>
        <v>0</v>
      </c>
      <c r="CD193" s="13">
        <f t="shared" si="285"/>
        <v>0</v>
      </c>
      <c r="CE193" s="13">
        <f t="shared" si="285"/>
        <v>0</v>
      </c>
      <c r="CF193" s="13">
        <f t="shared" si="285"/>
        <v>0</v>
      </c>
      <c r="CG193" s="13">
        <f t="shared" si="285"/>
        <v>0</v>
      </c>
      <c r="CH193" s="13">
        <f t="shared" si="285"/>
        <v>0</v>
      </c>
      <c r="CI193" s="13" t="e">
        <f t="shared" si="285"/>
        <v>#NUM!</v>
      </c>
      <c r="CJ193" s="13" t="e">
        <f t="shared" si="285"/>
        <v>#NUM!</v>
      </c>
    </row>
    <row r="194" spans="1:88" x14ac:dyDescent="0.25">
      <c r="B194" s="39">
        <v>0.45833333333333298</v>
      </c>
      <c r="C194">
        <v>15</v>
      </c>
      <c r="D194" s="38">
        <f>+DEGREES(ASIN(COS(RADIANS(E186))*COS(RADIANS(D186))*COS(RADIANS(C194))+SIN(RADIANS(E186))*SIN(RADIANS(D186))))</f>
        <v>74.073039849887181</v>
      </c>
      <c r="E194" s="38">
        <f>180-DEGREES(ACOS((((SIN(RADIANS(D194)))*SIN(RADIANS(E186)))-SIN(RADIANS(D186)))/((COS(RADIANS(D194)))*COS(RADIANS(E186)))))</f>
        <v>109.41177556484027</v>
      </c>
      <c r="G194">
        <f t="shared" si="270"/>
        <v>1.5926960150112821</v>
      </c>
      <c r="H194">
        <f t="shared" si="271"/>
        <v>-19.411775564840269</v>
      </c>
      <c r="I194" s="153">
        <f t="shared" si="272"/>
        <v>1.5021582089996295</v>
      </c>
      <c r="J194" s="153">
        <f t="shared" si="273"/>
        <v>-0.52934044939702429</v>
      </c>
      <c r="M194" s="39">
        <v>0.45833333333333298</v>
      </c>
      <c r="N194">
        <v>15</v>
      </c>
      <c r="O194" s="38">
        <f>+DEGREES(ASIN(COS(RADIANS(P186))*COS(RADIANS(O186))*COS(RADIANS(N194))+SIN(RADIANS(P186))*SIN(RADIANS(O186))))</f>
        <v>71.805913239559928</v>
      </c>
      <c r="P194" s="38">
        <f>180-DEGREES(ACOS((((SIN(RADIANS(O194)))*SIN(RADIANS(P186)))-SIN(RADIANS(O186)))/((COS(RADIANS(O194)))*COS(RADIANS(P186)))))</f>
        <v>124.01426493967799</v>
      </c>
      <c r="R194">
        <f t="shared" si="274"/>
        <v>1.8194086760440076</v>
      </c>
      <c r="S194">
        <f t="shared" si="275"/>
        <v>-34.014264939677986</v>
      </c>
      <c r="T194" s="153">
        <f t="shared" si="276"/>
        <v>1.5081048031766149</v>
      </c>
      <c r="U194" s="153">
        <f t="shared" si="277"/>
        <v>-1.0177759247986915</v>
      </c>
      <c r="AB194" s="39">
        <v>0.36458333333333598</v>
      </c>
      <c r="AC194">
        <f t="shared" si="261"/>
        <v>48.75</v>
      </c>
      <c r="AD194" s="38">
        <f t="shared" si="249"/>
        <v>34.574235654839462</v>
      </c>
      <c r="AE194" s="38">
        <f t="shared" si="250"/>
        <v>114.06570188831427</v>
      </c>
      <c r="AG194">
        <f t="shared" si="255"/>
        <v>5.5425764345160538</v>
      </c>
      <c r="AH194">
        <f t="shared" si="256"/>
        <v>-24.065701888314265</v>
      </c>
      <c r="AI194" s="153">
        <f t="shared" si="257"/>
        <v>5.0608070798523244</v>
      </c>
      <c r="AJ194" s="153">
        <f t="shared" si="258"/>
        <v>-2.2601737174317549</v>
      </c>
      <c r="AK194" s="43"/>
      <c r="AN194" s="324"/>
      <c r="AO194" s="45">
        <f t="shared" ref="AO194:AX194" si="286">+AQ174</f>
        <v>0</v>
      </c>
      <c r="AP194" s="45">
        <f t="shared" si="286"/>
        <v>0</v>
      </c>
      <c r="AQ194" s="45">
        <f t="shared" si="286"/>
        <v>0</v>
      </c>
      <c r="AR194" s="45">
        <f t="shared" si="286"/>
        <v>0</v>
      </c>
      <c r="AS194" s="45">
        <f t="shared" si="286"/>
        <v>0</v>
      </c>
      <c r="AT194" s="45">
        <f t="shared" si="286"/>
        <v>0</v>
      </c>
      <c r="AU194" s="45">
        <f t="shared" si="286"/>
        <v>0</v>
      </c>
      <c r="AV194" s="45">
        <f t="shared" si="286"/>
        <v>0</v>
      </c>
      <c r="AW194" s="45">
        <f t="shared" si="286"/>
        <v>8.9999999158860629</v>
      </c>
      <c r="AX194" s="45">
        <f t="shared" si="286"/>
        <v>-1.2304677489461085E-3</v>
      </c>
      <c r="AY194" s="45">
        <f>IF($AF$125="si",BA174,0)</f>
        <v>0</v>
      </c>
      <c r="AZ194" s="45">
        <f>IF($AF$125="si",BB174,0)</f>
        <v>0</v>
      </c>
      <c r="BA194" s="45">
        <f>IF($AF$126="si",BC174,0)</f>
        <v>0</v>
      </c>
      <c r="BB194" s="45">
        <f>IF($AF$126="si",BD174,0)</f>
        <v>0</v>
      </c>
      <c r="BC194" s="45">
        <f>IF($AF$127="si",BE174,0)</f>
        <v>0</v>
      </c>
      <c r="BD194" s="45">
        <f>IF($AF$127="si",BF174,0)</f>
        <v>0</v>
      </c>
      <c r="BE194" s="45">
        <f>IF($AF$128="si",BG174,0)</f>
        <v>0</v>
      </c>
      <c r="BF194" s="45">
        <f>IF($AF$128="si",BH174,0)</f>
        <v>0</v>
      </c>
      <c r="BG194" s="45">
        <f>IF($AF$129="si",BI174,0)</f>
        <v>1.5942481393866368</v>
      </c>
      <c r="BH194" s="45">
        <f>IF($AF$129="si",BJ174,0)</f>
        <v>-3.6765137729703996</v>
      </c>
      <c r="BI194" s="45">
        <f>IF($AF$130="si",BK174,0)</f>
        <v>2.2894168507319601E-16</v>
      </c>
      <c r="BJ194" s="45">
        <f>IF($AF$130="si",BL174,0)</f>
        <v>-3.7373705065035905</v>
      </c>
      <c r="BK194" s="45">
        <f>IF($AF$131="si",BM174,0)</f>
        <v>-1.5942481393866366</v>
      </c>
      <c r="BL194" s="45">
        <f>IF($AF$131="si",BN174,0)</f>
        <v>-3.6765137729703996</v>
      </c>
      <c r="BM194" s="45">
        <f>IF($AF$132="si",BO174,0)</f>
        <v>-3.1835652798692937</v>
      </c>
      <c r="BN194" s="45">
        <f>IF($AF$132="si",BP174,0)</f>
        <v>-3.4911671364102332</v>
      </c>
      <c r="BO194" s="45">
        <f>IF($AF$133="si",BQ174,0)</f>
        <v>-4.7621175617680658</v>
      </c>
      <c r="BP194" s="45">
        <f>IF($AF$133="si",BR174,0)</f>
        <v>-3.1725031675284869</v>
      </c>
      <c r="BQ194" s="45">
        <f>IF($AF$134="si",BS174,0)</f>
        <v>-6.3219057421889273</v>
      </c>
      <c r="BR194" s="45">
        <f>IF($AF$134="si",BT174,0)</f>
        <v>-2.7039695211361696</v>
      </c>
      <c r="BS194" s="45">
        <f>IF($AF$135="si",BU174,0)</f>
        <v>-7.8505349227251564</v>
      </c>
      <c r="BT194" s="45">
        <f>IF($AF$135="si",BV174,0)</f>
        <v>-2.0577961364005222</v>
      </c>
      <c r="BU194" s="45">
        <f>IF($AF$136="si",IF(BW174&lt;=-8.99,BG105,BW174),0)</f>
        <v>-8.87656100451896</v>
      </c>
      <c r="BV194" s="45">
        <f>IF($AF$136="si",IF(BW174&lt;=-8.99,BH105,BX174),0)</f>
        <v>-1.4854846795081202</v>
      </c>
      <c r="BW194" s="45">
        <f t="shared" ref="BW194:CJ194" si="287">+BY174</f>
        <v>0</v>
      </c>
      <c r="BX194" s="45">
        <f t="shared" si="287"/>
        <v>0</v>
      </c>
      <c r="BY194" s="45">
        <f t="shared" si="287"/>
        <v>0</v>
      </c>
      <c r="BZ194" s="45">
        <f t="shared" si="287"/>
        <v>0</v>
      </c>
      <c r="CA194" s="45">
        <f t="shared" si="287"/>
        <v>0</v>
      </c>
      <c r="CB194" s="45">
        <f t="shared" si="287"/>
        <v>0</v>
      </c>
      <c r="CC194" s="45">
        <f t="shared" si="287"/>
        <v>0</v>
      </c>
      <c r="CD194" s="45">
        <f t="shared" si="287"/>
        <v>0</v>
      </c>
      <c r="CE194" s="45">
        <f t="shared" si="287"/>
        <v>0</v>
      </c>
      <c r="CF194" s="45">
        <f t="shared" si="287"/>
        <v>0</v>
      </c>
      <c r="CG194" s="45" t="e">
        <f t="shared" si="287"/>
        <v>#NUM!</v>
      </c>
      <c r="CH194" s="45" t="e">
        <f t="shared" si="287"/>
        <v>#NUM!</v>
      </c>
      <c r="CI194" s="45">
        <f t="shared" si="287"/>
        <v>0</v>
      </c>
      <c r="CJ194" s="45">
        <f t="shared" si="287"/>
        <v>0</v>
      </c>
    </row>
    <row r="195" spans="1:88" x14ac:dyDescent="0.25">
      <c r="B195" s="39">
        <v>0.5</v>
      </c>
      <c r="C195" s="38">
        <v>0</v>
      </c>
      <c r="D195" s="38">
        <f>+DEGREES(ASIN(COS(RADIANS(E186))*COS(RADIANS(D186))*COS(RADIANS(C195))+SIN(RADIANS(E186))*SIN(RADIANS(D186))))</f>
        <v>84.596346798145674</v>
      </c>
      <c r="E195" s="38">
        <f>+IF(E186&gt;=0,180,0)</f>
        <v>180</v>
      </c>
      <c r="G195">
        <f t="shared" si="270"/>
        <v>0.54036532018543326</v>
      </c>
      <c r="H195">
        <f t="shared" si="271"/>
        <v>-90</v>
      </c>
      <c r="I195" s="153">
        <f t="shared" si="272"/>
        <v>3.3101386855569266E-17</v>
      </c>
      <c r="J195" s="153">
        <f t="shared" si="273"/>
        <v>-0.54036532018543326</v>
      </c>
      <c r="M195" s="39">
        <v>0.5</v>
      </c>
      <c r="N195" s="38">
        <v>0</v>
      </c>
      <c r="O195" s="38">
        <f>+DEGREES(ASIN(COS(RADIANS(P186))*COS(RADIANS(O186))*COS(RADIANS(N195))+SIN(RADIANS(P186))*SIN(RADIANS(O186))))</f>
        <v>79.59634679814566</v>
      </c>
      <c r="P195" s="38">
        <f>+IF(P186&gt;=0,180,0)</f>
        <v>180</v>
      </c>
      <c r="R195">
        <f t="shared" si="274"/>
        <v>1.0403653201854342</v>
      </c>
      <c r="S195">
        <f t="shared" si="275"/>
        <v>-90</v>
      </c>
      <c r="T195" s="153">
        <f t="shared" si="276"/>
        <v>6.3730098228284816E-17</v>
      </c>
      <c r="U195" s="153">
        <f t="shared" si="277"/>
        <v>-1.0403653201854342</v>
      </c>
      <c r="AB195" s="39">
        <v>0.375000000000003</v>
      </c>
      <c r="AC195">
        <f t="shared" si="261"/>
        <v>45</v>
      </c>
      <c r="AD195" s="38">
        <f t="shared" si="249"/>
        <v>37.505293910382669</v>
      </c>
      <c r="AE195" s="38">
        <f t="shared" si="250"/>
        <v>116.9591888957782</v>
      </c>
      <c r="AG195">
        <f t="shared" si="255"/>
        <v>5.2494706089617331</v>
      </c>
      <c r="AH195">
        <f t="shared" si="256"/>
        <v>-26.959188895778198</v>
      </c>
      <c r="AI195" s="153">
        <f t="shared" si="257"/>
        <v>4.6790089065141443</v>
      </c>
      <c r="AJ195" s="153">
        <f t="shared" si="258"/>
        <v>-2.3798775865817943</v>
      </c>
      <c r="AK195" s="43"/>
    </row>
    <row r="196" spans="1:88" x14ac:dyDescent="0.25">
      <c r="B196" s="39">
        <v>0.54166666666666696</v>
      </c>
      <c r="C196">
        <v>-15</v>
      </c>
      <c r="D196" s="38">
        <f>+DEGREES(ASIN(COS(RADIANS(E186))*COS(RADIANS(D186))*COS(RADIANS(C196))+SIN(RADIANS(E186))*SIN(RADIANS(D186))))</f>
        <v>74.073039849887181</v>
      </c>
      <c r="E196" s="38">
        <f>-(180-DEGREES(ACOS((((SIN(RADIANS(D196)))*SIN(RADIANS(E186)))-SIN(RADIANS(D186)))/((COS(RADIANS(D196)))*COS(RADIANS(E186))))))</f>
        <v>-109.41177556484027</v>
      </c>
      <c r="G196">
        <f t="shared" si="270"/>
        <v>1.5926960150112821</v>
      </c>
      <c r="H196">
        <f t="shared" si="271"/>
        <v>199.41177556484027</v>
      </c>
      <c r="I196" s="153">
        <f t="shared" si="272"/>
        <v>-1.5021582089996297</v>
      </c>
      <c r="J196" s="153">
        <f t="shared" si="273"/>
        <v>-0.52934044939702385</v>
      </c>
      <c r="M196" s="39">
        <v>0.54166666666666696</v>
      </c>
      <c r="N196">
        <v>-15</v>
      </c>
      <c r="O196" s="38">
        <f>+DEGREES(ASIN(COS(RADIANS(P186))*COS(RADIANS(O186))*COS(RADIANS(N196))+SIN(RADIANS(P186))*SIN(RADIANS(O186))))</f>
        <v>71.805913239559928</v>
      </c>
      <c r="P196" s="38">
        <f>-(180-DEGREES(ACOS((((SIN(RADIANS(O196)))*SIN(RADIANS(P186)))-SIN(RADIANS(O186)))/((COS(RADIANS(O196)))*COS(RADIANS(P186))))))</f>
        <v>-124.01426493967799</v>
      </c>
      <c r="R196">
        <f t="shared" si="274"/>
        <v>1.8194086760440076</v>
      </c>
      <c r="S196">
        <f t="shared" si="275"/>
        <v>214.01426493967799</v>
      </c>
      <c r="T196" s="153">
        <f t="shared" si="276"/>
        <v>-1.5081048031766149</v>
      </c>
      <c r="U196" s="153">
        <f t="shared" si="277"/>
        <v>-1.0177759247986917</v>
      </c>
      <c r="AB196" s="39">
        <v>0.38541666666667002</v>
      </c>
      <c r="AC196">
        <f t="shared" si="261"/>
        <v>41.25</v>
      </c>
      <c r="AD196" s="38">
        <f t="shared" si="249"/>
        <v>40.358918432770984</v>
      </c>
      <c r="AE196" s="38">
        <f t="shared" si="250"/>
        <v>120.08775890220005</v>
      </c>
      <c r="AG196">
        <f t="shared" si="255"/>
        <v>4.9641081567229017</v>
      </c>
      <c r="AH196">
        <f t="shared" si="256"/>
        <v>-30.087758902200051</v>
      </c>
      <c r="AI196" s="153">
        <f t="shared" si="257"/>
        <v>4.2952370124222448</v>
      </c>
      <c r="AJ196" s="153">
        <f t="shared" si="258"/>
        <v>-2.4886359313408777</v>
      </c>
      <c r="AK196" s="43"/>
      <c r="AN196" s="322" t="s">
        <v>101</v>
      </c>
      <c r="AO196" s="46">
        <f t="shared" ref="AO196:AX196" si="288">+AO175</f>
        <v>0</v>
      </c>
      <c r="AP196" s="46">
        <f t="shared" si="288"/>
        <v>0</v>
      </c>
      <c r="AQ196" s="46">
        <f t="shared" si="288"/>
        <v>0</v>
      </c>
      <c r="AR196" s="46">
        <f t="shared" si="288"/>
        <v>0</v>
      </c>
      <c r="AS196" s="46">
        <f t="shared" si="288"/>
        <v>0</v>
      </c>
      <c r="AT196" s="46">
        <f t="shared" si="288"/>
        <v>0</v>
      </c>
      <c r="AU196" s="46">
        <f t="shared" si="288"/>
        <v>0</v>
      </c>
      <c r="AV196" s="46">
        <f t="shared" si="288"/>
        <v>0</v>
      </c>
      <c r="AW196" s="46">
        <f t="shared" si="288"/>
        <v>0</v>
      </c>
      <c r="AX196" s="46">
        <f t="shared" si="288"/>
        <v>0</v>
      </c>
      <c r="AY196" s="46">
        <f>IF($AH$125="si",AY175,0)</f>
        <v>0</v>
      </c>
      <c r="AZ196" s="46">
        <f>IF($AH$125="si",AZ175,0)</f>
        <v>0</v>
      </c>
      <c r="BA196" s="46">
        <f>IF($AH$126="si",BA175,0)</f>
        <v>0</v>
      </c>
      <c r="BB196" s="46">
        <f>IF($AH$126="si",BB175,0)</f>
        <v>0</v>
      </c>
      <c r="BC196" s="46">
        <f>IF($AH$127="si",BC175,0)</f>
        <v>0</v>
      </c>
      <c r="BD196" s="46">
        <f>IF($AH$127="si",BD175,0)</f>
        <v>0</v>
      </c>
      <c r="BE196" s="46">
        <f>IF($AH$128="si",BE175,0)</f>
        <v>4.5898087062962007</v>
      </c>
      <c r="BF196" s="46">
        <f>IF($AH$128="si",BF175,0)</f>
        <v>-1.8324364394971169</v>
      </c>
      <c r="BG196" s="46">
        <f>IF($AH$129="si",BG175,0)</f>
        <v>3.0773552908954085</v>
      </c>
      <c r="BH196" s="46">
        <f>IF($AH$129="si",BH175,0)</f>
        <v>-2.2128940080973147</v>
      </c>
      <c r="BI196" s="46">
        <f>IF($AH$130="si",BI175,0)</f>
        <v>1.5435540171470266</v>
      </c>
      <c r="BJ196" s="46">
        <f>IF($AH$130="si",BJ175,0)</f>
        <v>-2.4338374353420646</v>
      </c>
      <c r="BK196" s="46">
        <f>IF($AH$131="si",BK175,0)</f>
        <v>1.5353055534212649E-16</v>
      </c>
      <c r="BL196" s="46">
        <f>IF($AH$131="si",BL175,0)</f>
        <v>-2.5063175768944319</v>
      </c>
      <c r="BM196" s="46">
        <f>IF($AH$132="si",BM175,0)</f>
        <v>-1.5435540171470263</v>
      </c>
      <c r="BN196" s="46">
        <f>IF($AH$132="si",BN175,0)</f>
        <v>-2.4338374353420638</v>
      </c>
      <c r="BO196" s="46">
        <f>IF($AH$133="si",BO175,0)</f>
        <v>-3.0773552908954072</v>
      </c>
      <c r="BP196" s="46">
        <f>IF($AH$133="si",BP175,0)</f>
        <v>-2.2128940080973152</v>
      </c>
      <c r="BQ196" s="46">
        <f>IF($AH$134="si",BQ175,0)</f>
        <v>-4.5898087062962007</v>
      </c>
      <c r="BR196" s="46">
        <f>IF($AH$134="si",BR175,0)</f>
        <v>-1.8324364394971169</v>
      </c>
      <c r="BS196" s="46">
        <f>IF($AH$135="si",BS175,0)</f>
        <v>-6.0649626831945911</v>
      </c>
      <c r="BT196" s="46">
        <f>IF($AH$135="si",BT175,0)</f>
        <v>-1.2721013335297828</v>
      </c>
      <c r="BU196" s="46">
        <f>IF($AH$136="si",BU175,0)</f>
        <v>-7.4782579609816162</v>
      </c>
      <c r="BV196" s="46">
        <f>IF($AH$136="si",BV175,0)</f>
        <v>-0.49877504340215972</v>
      </c>
      <c r="BW196" s="46">
        <f t="shared" ref="BW196:CJ196" si="289">+BW175</f>
        <v>-8.7883582682606036</v>
      </c>
      <c r="BX196" s="46">
        <f t="shared" si="289"/>
        <v>0.53934028205281592</v>
      </c>
      <c r="BY196" s="46">
        <f t="shared" si="289"/>
        <v>0</v>
      </c>
      <c r="BZ196" s="46">
        <f t="shared" si="289"/>
        <v>0</v>
      </c>
      <c r="CA196" s="46">
        <f t="shared" si="289"/>
        <v>0</v>
      </c>
      <c r="CB196" s="46">
        <f t="shared" si="289"/>
        <v>0</v>
      </c>
      <c r="CC196" s="46">
        <f t="shared" si="289"/>
        <v>0</v>
      </c>
      <c r="CD196" s="46">
        <f t="shared" si="289"/>
        <v>0</v>
      </c>
      <c r="CE196" s="46">
        <f t="shared" si="289"/>
        <v>0</v>
      </c>
      <c r="CF196" s="46">
        <f t="shared" si="289"/>
        <v>0</v>
      </c>
      <c r="CG196" s="46">
        <f t="shared" si="289"/>
        <v>0</v>
      </c>
      <c r="CH196" s="46">
        <f t="shared" si="289"/>
        <v>0</v>
      </c>
      <c r="CI196" s="46" t="e">
        <f t="shared" si="289"/>
        <v>#NUM!</v>
      </c>
      <c r="CJ196" s="46" t="e">
        <f t="shared" si="289"/>
        <v>#NUM!</v>
      </c>
    </row>
    <row r="197" spans="1:88" x14ac:dyDescent="0.25">
      <c r="B197" s="39">
        <v>0.58333333333333304</v>
      </c>
      <c r="C197" s="38">
        <v>-30</v>
      </c>
      <c r="D197" s="38">
        <f>+DEGREES(ASIN(COS(RADIANS(E186))*COS(RADIANS(D186))*COS(RADIANS(C197))+SIN(RADIANS(E186))*SIN(RADIANS(D186))))</f>
        <v>59.552572012755121</v>
      </c>
      <c r="E197" s="38">
        <f>-(180-DEGREES(ACOS((((SIN(RADIANS(D197)))*SIN(RADIANS(E186)))-SIN(RADIANS(D186)))/((COS(RADIANS(D197)))*COS(RADIANS(E186))))))</f>
        <v>-99.36910310685964</v>
      </c>
      <c r="G197">
        <f t="shared" si="270"/>
        <v>3.0447427987244877</v>
      </c>
      <c r="H197">
        <f t="shared" si="271"/>
        <v>189.36910310685965</v>
      </c>
      <c r="I197" s="153">
        <f t="shared" si="272"/>
        <v>-3.004126210192533</v>
      </c>
      <c r="J197" s="153">
        <f t="shared" si="273"/>
        <v>-0.49566563691552801</v>
      </c>
      <c r="M197" s="39">
        <v>0.58333333333333304</v>
      </c>
      <c r="N197" s="38">
        <v>-30</v>
      </c>
      <c r="O197" s="38">
        <f>+DEGREES(ASIN(COS(RADIANS(P186))*COS(RADIANS(O186))*COS(RADIANS(N197))+SIN(RADIANS(P186))*SIN(RADIANS(O186))))</f>
        <v>58.388747672962069</v>
      </c>
      <c r="P197" s="38">
        <f>-(180-DEGREES(ACOS((((SIN(RADIANS(O197)))*SIN(RADIANS(P186)))-SIN(RADIANS(O186)))/((COS(RADIANS(O197)))*COS(RADIANS(P186))))))</f>
        <v>-107.46585839239938</v>
      </c>
      <c r="R197">
        <f t="shared" si="274"/>
        <v>3.1611252327037933</v>
      </c>
      <c r="S197">
        <f t="shared" si="275"/>
        <v>197.46585839239938</v>
      </c>
      <c r="T197" s="153">
        <f t="shared" si="276"/>
        <v>-3.0153846107520397</v>
      </c>
      <c r="U197" s="153">
        <f t="shared" si="277"/>
        <v>-0.94877204115445013</v>
      </c>
      <c r="AB197" s="39">
        <v>0.39583333333333698</v>
      </c>
      <c r="AC197">
        <f t="shared" si="261"/>
        <v>37.5</v>
      </c>
      <c r="AD197" s="38">
        <f t="shared" si="249"/>
        <v>43.1196844520205</v>
      </c>
      <c r="AE197" s="38">
        <f t="shared" si="250"/>
        <v>123.49002390271269</v>
      </c>
      <c r="AG197">
        <f t="shared" si="255"/>
        <v>4.6880315547979503</v>
      </c>
      <c r="AH197">
        <f t="shared" si="256"/>
        <v>-33.490023902712693</v>
      </c>
      <c r="AI197" s="153">
        <f t="shared" si="257"/>
        <v>3.9097335118301353</v>
      </c>
      <c r="AJ197" s="153">
        <f t="shared" si="258"/>
        <v>-2.5868172964578853</v>
      </c>
      <c r="AK197" s="43"/>
      <c r="AN197" s="323"/>
      <c r="AO197" s="13">
        <f t="shared" ref="AO197:AX197" si="290">+AQ176</f>
        <v>0</v>
      </c>
      <c r="AP197" s="13">
        <f t="shared" si="290"/>
        <v>0</v>
      </c>
      <c r="AQ197" s="13">
        <f t="shared" si="290"/>
        <v>0</v>
      </c>
      <c r="AR197" s="13">
        <f t="shared" si="290"/>
        <v>0</v>
      </c>
      <c r="AS197" s="13">
        <f t="shared" si="290"/>
        <v>0</v>
      </c>
      <c r="AT197" s="13">
        <f t="shared" si="290"/>
        <v>0</v>
      </c>
      <c r="AU197" s="13">
        <f t="shared" si="290"/>
        <v>0</v>
      </c>
      <c r="AV197" s="13">
        <f t="shared" si="290"/>
        <v>0</v>
      </c>
      <c r="AW197" s="13">
        <f t="shared" si="290"/>
        <v>8.0667743759958661</v>
      </c>
      <c r="AX197" s="13">
        <f t="shared" si="290"/>
        <v>1.8759482527650697</v>
      </c>
      <c r="AY197" s="13">
        <f>IF($AH$125="si",BA176,0)</f>
        <v>0</v>
      </c>
      <c r="AZ197" s="13">
        <f>IF($AH$125="si",BB176,0)</f>
        <v>0</v>
      </c>
      <c r="BA197" s="13">
        <f>IF($AH$126="si",BC176,0)</f>
        <v>0</v>
      </c>
      <c r="BB197" s="13">
        <f>IF($AH$126="si",BD176,0)</f>
        <v>0</v>
      </c>
      <c r="BC197" s="13">
        <f>IF($AH$127="si",BE176,0)</f>
        <v>0</v>
      </c>
      <c r="BD197" s="13">
        <f>IF($AH$127="si",BF176,0)</f>
        <v>0</v>
      </c>
      <c r="BE197" s="13">
        <f>IF($AH$128="si",BG176,0)</f>
        <v>2.9090953902894121</v>
      </c>
      <c r="BF197" s="13">
        <f>IF($AH$128="si",BH176,0)</f>
        <v>-1.0959270054663139</v>
      </c>
      <c r="BG197" s="13">
        <f>IF($AH$129="si",BI176,0)</f>
        <v>1.462043764537692</v>
      </c>
      <c r="BH197" s="13">
        <f>IF($AH$129="si",BJ176,0)</f>
        <v>-1.3383201044311768</v>
      </c>
      <c r="BI197" s="13">
        <f>IF($AH$130="si",BK176,0)</f>
        <v>8.6857589127052893E-17</v>
      </c>
      <c r="BJ197" s="13">
        <f>IF($AH$130="si",BL176,0)</f>
        <v>-1.417911254412533</v>
      </c>
      <c r="BK197" s="13">
        <f>IF($AH$131="si",BM176,0)</f>
        <v>-1.4620437645376916</v>
      </c>
      <c r="BL197" s="13">
        <f>IF($AH$131="si",BN176,0)</f>
        <v>-1.338320104431177</v>
      </c>
      <c r="BM197" s="13">
        <f>IF($AH$132="si",BO176,0)</f>
        <v>-2.9090953902894121</v>
      </c>
      <c r="BN197" s="13">
        <f>IF($AH$132="si",BP176,0)</f>
        <v>-1.0959270054663137</v>
      </c>
      <c r="BO197" s="13">
        <f>IF($AH$133="si",BQ176,0)</f>
        <v>-4.3235372056031043</v>
      </c>
      <c r="BP197" s="13">
        <f>IF($AH$133="si",BR176,0)</f>
        <v>-0.67945035312016244</v>
      </c>
      <c r="BQ197" s="13">
        <f>IF($AH$134="si",BS176,0)</f>
        <v>-5.681673954671612</v>
      </c>
      <c r="BR197" s="13">
        <f>IF($AH$134="si",BT176,0)</f>
        <v>-6.8641989673888751E-2</v>
      </c>
      <c r="BS197" s="13">
        <f>IF($AH$135="si",BU176,0)</f>
        <v>-6.9482491884736284</v>
      </c>
      <c r="BT197" s="13">
        <f>IF($AH$135="si",BV176,0)</f>
        <v>0.76795237286723794</v>
      </c>
      <c r="BU197" s="13">
        <f>IF($AH$136="si",BW176,0)</f>
        <v>-8.0667743759958661</v>
      </c>
      <c r="BV197" s="13">
        <f>IF($AH$136="si",BX176,0)</f>
        <v>1.8759482527650715</v>
      </c>
      <c r="BW197" s="13">
        <f t="shared" ref="BW197:CJ197" si="291">+BY176</f>
        <v>0</v>
      </c>
      <c r="BX197" s="13">
        <f t="shared" si="291"/>
        <v>0</v>
      </c>
      <c r="BY197" s="13">
        <f t="shared" si="291"/>
        <v>0</v>
      </c>
      <c r="BZ197" s="13">
        <f t="shared" si="291"/>
        <v>0</v>
      </c>
      <c r="CA197" s="13">
        <f t="shared" si="291"/>
        <v>0</v>
      </c>
      <c r="CB197" s="13">
        <f t="shared" si="291"/>
        <v>0</v>
      </c>
      <c r="CC197" s="13">
        <f t="shared" si="291"/>
        <v>0</v>
      </c>
      <c r="CD197" s="13">
        <f t="shared" si="291"/>
        <v>0</v>
      </c>
      <c r="CE197" s="13">
        <f t="shared" si="291"/>
        <v>0</v>
      </c>
      <c r="CF197" s="13">
        <f t="shared" si="291"/>
        <v>0</v>
      </c>
      <c r="CG197" s="13" t="e">
        <f t="shared" si="291"/>
        <v>#NUM!</v>
      </c>
      <c r="CH197" s="13" t="e">
        <f t="shared" si="291"/>
        <v>#NUM!</v>
      </c>
      <c r="CI197" s="13">
        <f t="shared" si="291"/>
        <v>0</v>
      </c>
      <c r="CJ197" s="13">
        <f t="shared" si="291"/>
        <v>0</v>
      </c>
    </row>
    <row r="198" spans="1:88" x14ac:dyDescent="0.25">
      <c r="B198" s="39">
        <v>0.625</v>
      </c>
      <c r="C198">
        <v>-45</v>
      </c>
      <c r="D198" s="38">
        <f>+DEGREES(ASIN(COS(RADIANS(E186))*COS(RADIANS(D186))*COS(RADIANS(C198))+SIN(RADIANS(E186))*SIN(RADIANS(D186))))</f>
        <v>44.731431648789403</v>
      </c>
      <c r="E198" s="38">
        <f>-(180-DEGREES(ACOS((((SIN(RADIANS(D198)))*SIN(RADIANS(E186)))-SIN(RADIANS(D186)))/((COS(RADIANS(D198)))*COS(RADIANS(E186))))))</f>
        <v>-95.544968751429025</v>
      </c>
      <c r="G198">
        <f t="shared" si="270"/>
        <v>4.5268568351210599</v>
      </c>
      <c r="H198">
        <f t="shared" si="271"/>
        <v>185.54496875142902</v>
      </c>
      <c r="I198" s="153">
        <f t="shared" si="272"/>
        <v>-4.505674164506801</v>
      </c>
      <c r="J198" s="153">
        <f t="shared" si="273"/>
        <v>-0.43741642513536499</v>
      </c>
      <c r="M198" s="39">
        <v>0.625</v>
      </c>
      <c r="N198">
        <v>-45</v>
      </c>
      <c r="O198" s="38">
        <f>+DEGREES(ASIN(COS(RADIANS(P186))*COS(RADIANS(O186))*COS(RADIANS(N198))+SIN(RADIANS(P186))*SIN(RADIANS(O186))))</f>
        <v>44.03706769238434</v>
      </c>
      <c r="P198" s="38">
        <f>-(180-DEGREES(ACOS((((SIN(RADIANS(O198)))*SIN(RADIANS(P186)))-SIN(RADIANS(O186)))/((COS(RADIANS(O198)))*COS(RADIANS(P186))))))</f>
        <v>-100.39589131604674</v>
      </c>
      <c r="R198">
        <f t="shared" si="274"/>
        <v>4.5962932307615656</v>
      </c>
      <c r="S198">
        <f t="shared" si="275"/>
        <v>190.39589131604674</v>
      </c>
      <c r="T198" s="153">
        <f t="shared" si="276"/>
        <v>-4.5208423808423577</v>
      </c>
      <c r="U198" s="153">
        <f t="shared" si="277"/>
        <v>-0.82939473757927484</v>
      </c>
      <c r="AB198" s="39">
        <v>0.406250000000004</v>
      </c>
      <c r="AC198">
        <f t="shared" si="261"/>
        <v>33.75</v>
      </c>
      <c r="AD198" s="38">
        <f t="shared" si="249"/>
        <v>45.769010461889643</v>
      </c>
      <c r="AE198" s="38">
        <f t="shared" si="250"/>
        <v>127.20885604611742</v>
      </c>
      <c r="AG198">
        <f t="shared" si="255"/>
        <v>4.4230989538110359</v>
      </c>
      <c r="AH198">
        <f t="shared" si="256"/>
        <v>-37.208856046117418</v>
      </c>
      <c r="AI198" s="153">
        <f t="shared" si="257"/>
        <v>3.5227172612348854</v>
      </c>
      <c r="AJ198" s="153">
        <f t="shared" si="258"/>
        <v>-2.6747462407866038</v>
      </c>
      <c r="AK198" s="43"/>
      <c r="AN198" s="323"/>
      <c r="AO198" s="13">
        <f t="shared" ref="AO198:AX198" si="292">+AO176</f>
        <v>0</v>
      </c>
      <c r="AP198" s="13">
        <f t="shared" si="292"/>
        <v>0</v>
      </c>
      <c r="AQ198" s="13">
        <f t="shared" si="292"/>
        <v>0</v>
      </c>
      <c r="AR198" s="13">
        <f t="shared" si="292"/>
        <v>0</v>
      </c>
      <c r="AS198" s="13">
        <f t="shared" si="292"/>
        <v>0</v>
      </c>
      <c r="AT198" s="13">
        <f t="shared" si="292"/>
        <v>0</v>
      </c>
      <c r="AU198" s="13">
        <f t="shared" si="292"/>
        <v>0</v>
      </c>
      <c r="AV198" s="13">
        <f t="shared" si="292"/>
        <v>0</v>
      </c>
      <c r="AW198" s="13">
        <f t="shared" si="292"/>
        <v>0</v>
      </c>
      <c r="AX198" s="13">
        <f t="shared" si="292"/>
        <v>0</v>
      </c>
      <c r="AY198" s="13">
        <f>IF($AH$125="si",AY176,0)</f>
        <v>0</v>
      </c>
      <c r="AZ198" s="13">
        <f>IF($AH$125="si",AZ176,0)</f>
        <v>0</v>
      </c>
      <c r="BA198" s="13">
        <f>IF($AH$126="si",BA176,0)</f>
        <v>0</v>
      </c>
      <c r="BB198" s="13">
        <f>IF($AH$126="si",BB176,0)</f>
        <v>0</v>
      </c>
      <c r="BC198" s="13">
        <f>IF($AH$127="si",BC176,0)</f>
        <v>0</v>
      </c>
      <c r="BD198" s="13">
        <f>IF($AH$127="si",BD176,0)</f>
        <v>0</v>
      </c>
      <c r="BE198" s="13">
        <f>IF($AH$128="si",BE176,0)</f>
        <v>4.3235372056031043</v>
      </c>
      <c r="BF198" s="13">
        <f>IF($AH$128="si",BF176,0)</f>
        <v>-0.67945035312016167</v>
      </c>
      <c r="BG198" s="13">
        <f>IF($AH$129="si",BG176,0)</f>
        <v>2.9090953902894121</v>
      </c>
      <c r="BH198" s="13">
        <f>IF($AH$129="si",BH176,0)</f>
        <v>-1.0959270054663139</v>
      </c>
      <c r="BI198" s="13">
        <f>IF($AH$130="si",BI176,0)</f>
        <v>1.462043764537692</v>
      </c>
      <c r="BJ198" s="13">
        <f>IF($AH$130="si",BJ176,0)</f>
        <v>-1.3383201044311768</v>
      </c>
      <c r="BK198" s="13">
        <f>IF($AH$131="si",BK176,0)</f>
        <v>8.6857589127052893E-17</v>
      </c>
      <c r="BL198" s="13">
        <f>IF($AH$131="si",BL176,0)</f>
        <v>-1.417911254412533</v>
      </c>
      <c r="BM198" s="13">
        <f>IF($AH$132="si",BM176,0)</f>
        <v>-1.4620437645376916</v>
      </c>
      <c r="BN198" s="13">
        <f>IF($AH$132="si",BN176,0)</f>
        <v>-1.338320104431177</v>
      </c>
      <c r="BO198" s="13">
        <f>IF($AH$133="si",BO176,0)</f>
        <v>-2.9090953902894121</v>
      </c>
      <c r="BP198" s="13">
        <f>IF($AH$133="si",BP176,0)</f>
        <v>-1.0959270054663137</v>
      </c>
      <c r="BQ198" s="13">
        <f>IF($AH$134="si",BQ176,0)</f>
        <v>-4.3235372056031043</v>
      </c>
      <c r="BR198" s="13">
        <f>IF($AH$134="si",BR176,0)</f>
        <v>-0.67945035312016244</v>
      </c>
      <c r="BS198" s="13">
        <f>IF($AH$135="si",BS176,0)</f>
        <v>-5.681673954671612</v>
      </c>
      <c r="BT198" s="13">
        <f>IF($AH$135="si",BT176,0)</f>
        <v>-6.8641989673888751E-2</v>
      </c>
      <c r="BU198" s="13">
        <f>IF($AH$136="si",BU176,0)</f>
        <v>-6.9482491884736284</v>
      </c>
      <c r="BV198" s="13">
        <f>IF($AH$136="si",BV176,0)</f>
        <v>0.76795237286723794</v>
      </c>
      <c r="BW198" s="13">
        <f t="shared" ref="BW198:CJ198" si="293">+BW176</f>
        <v>-8.0667743759958661</v>
      </c>
      <c r="BX198" s="13">
        <f t="shared" si="293"/>
        <v>1.8759482527650715</v>
      </c>
      <c r="BY198" s="13">
        <f t="shared" si="293"/>
        <v>0</v>
      </c>
      <c r="BZ198" s="13">
        <f t="shared" si="293"/>
        <v>0</v>
      </c>
      <c r="CA198" s="13">
        <f t="shared" si="293"/>
        <v>0</v>
      </c>
      <c r="CB198" s="13">
        <f t="shared" si="293"/>
        <v>0</v>
      </c>
      <c r="CC198" s="13">
        <f t="shared" si="293"/>
        <v>0</v>
      </c>
      <c r="CD198" s="13">
        <f t="shared" si="293"/>
        <v>0</v>
      </c>
      <c r="CE198" s="13">
        <f t="shared" si="293"/>
        <v>0</v>
      </c>
      <c r="CF198" s="13">
        <f t="shared" si="293"/>
        <v>0</v>
      </c>
      <c r="CG198" s="13">
        <f t="shared" si="293"/>
        <v>0</v>
      </c>
      <c r="CH198" s="13">
        <f t="shared" si="293"/>
        <v>0</v>
      </c>
      <c r="CI198" s="13" t="e">
        <f t="shared" si="293"/>
        <v>#NUM!</v>
      </c>
      <c r="CJ198" s="13" t="e">
        <f t="shared" si="293"/>
        <v>#NUM!</v>
      </c>
    </row>
    <row r="199" spans="1:88" x14ac:dyDescent="0.25">
      <c r="B199" s="39">
        <v>0.66666666666666696</v>
      </c>
      <c r="C199" s="38">
        <v>-60</v>
      </c>
      <c r="D199" s="38">
        <f>+DEGREES(ASIN(COS(RADIANS(E186))*COS(RADIANS(D186))*COS(RADIANS(C199))+SIN(RADIANS(E186))*SIN(RADIANS(D186))))</f>
        <v>29.832821574407284</v>
      </c>
      <c r="E199" s="38">
        <f>-(180-DEGREES(ACOS((((SIN(RADIANS(D199)))*SIN(RADIANS(E186)))-SIN(RADIANS(D186)))/((COS(RADIANS(D199)))*COS(RADIANS(E186))))))</f>
        <v>-93.34362055594309</v>
      </c>
      <c r="G199">
        <f t="shared" si="270"/>
        <v>6.016717842559272</v>
      </c>
      <c r="H199">
        <f t="shared" si="271"/>
        <v>183.34362055594309</v>
      </c>
      <c r="I199" s="153">
        <f t="shared" si="272"/>
        <v>-6.0064755989035694</v>
      </c>
      <c r="J199" s="153">
        <f t="shared" si="273"/>
        <v>-0.35091947330849477</v>
      </c>
      <c r="M199" s="39">
        <v>0.66666666666666696</v>
      </c>
      <c r="N199" s="38">
        <v>-60</v>
      </c>
      <c r="O199" s="38">
        <f>+DEGREES(ASIN(COS(RADIANS(P186))*COS(RADIANS(O186))*COS(RADIANS(N199))+SIN(RADIANS(P186))*SIN(RADIANS(O186))))</f>
        <v>29.417399639445083</v>
      </c>
      <c r="P199" s="38">
        <f>-(180-DEGREES(ACOS((((SIN(RADIANS(O199)))*SIN(RADIANS(P186)))-SIN(RADIANS(O186)))/((COS(RADIANS(O199)))*COS(RADIANS(P186))))))</f>
        <v>-96.179191790944685</v>
      </c>
      <c r="R199">
        <f t="shared" si="274"/>
        <v>6.0582600360554917</v>
      </c>
      <c r="S199">
        <f t="shared" si="275"/>
        <v>186.17919179094469</v>
      </c>
      <c r="T199" s="153">
        <f t="shared" si="276"/>
        <v>-6.0230622766376198</v>
      </c>
      <c r="U199" s="153">
        <f t="shared" si="277"/>
        <v>-0.65210081752129245</v>
      </c>
      <c r="AB199" s="39">
        <v>0.41666666666667102</v>
      </c>
      <c r="AC199">
        <f t="shared" si="261"/>
        <v>30</v>
      </c>
      <c r="AD199" s="38">
        <f t="shared" si="249"/>
        <v>48.284559002731697</v>
      </c>
      <c r="AE199" s="38">
        <f t="shared" si="250"/>
        <v>131.29050984657982</v>
      </c>
      <c r="AG199">
        <f t="shared" si="255"/>
        <v>4.1715440997268303</v>
      </c>
      <c r="AH199">
        <f t="shared" si="256"/>
        <v>-41.290509846579823</v>
      </c>
      <c r="AI199" s="153">
        <f t="shared" si="257"/>
        <v>3.1343874494739405</v>
      </c>
      <c r="AJ199" s="153">
        <f t="shared" si="258"/>
        <v>-2.7527069390957655</v>
      </c>
      <c r="AK199" s="43"/>
      <c r="AN199" s="324"/>
      <c r="AO199" s="45">
        <f t="shared" ref="AO199:AX199" si="294">+AQ175</f>
        <v>0</v>
      </c>
      <c r="AP199" s="45">
        <f t="shared" si="294"/>
        <v>0</v>
      </c>
      <c r="AQ199" s="45">
        <f t="shared" si="294"/>
        <v>0</v>
      </c>
      <c r="AR199" s="45">
        <f t="shared" si="294"/>
        <v>0</v>
      </c>
      <c r="AS199" s="45">
        <f t="shared" si="294"/>
        <v>0</v>
      </c>
      <c r="AT199" s="45">
        <f t="shared" si="294"/>
        <v>0</v>
      </c>
      <c r="AU199" s="45">
        <f t="shared" si="294"/>
        <v>0</v>
      </c>
      <c r="AV199" s="45">
        <f t="shared" si="294"/>
        <v>0</v>
      </c>
      <c r="AW199" s="45">
        <f t="shared" si="294"/>
        <v>8.7883582682606036</v>
      </c>
      <c r="AX199" s="45">
        <f t="shared" si="294"/>
        <v>0.53934028205281404</v>
      </c>
      <c r="AY199" s="45">
        <f>IF($AH$125="si",BA175,0)</f>
        <v>0</v>
      </c>
      <c r="AZ199" s="45">
        <f>IF($AH$125="si",BB175,0)</f>
        <v>0</v>
      </c>
      <c r="BA199" s="45">
        <f>IF($AH$126="si",BC175,0)</f>
        <v>0</v>
      </c>
      <c r="BB199" s="45">
        <f>IF($AH$126="si",BD175,0)</f>
        <v>0</v>
      </c>
      <c r="BC199" s="45">
        <f>IF($AH$127="si",BE175,0)</f>
        <v>0</v>
      </c>
      <c r="BD199" s="45">
        <f>IF($AH$127="si",BF175,0)</f>
        <v>0</v>
      </c>
      <c r="BE199" s="45">
        <f>IF($AH$128="si",BG175,0)</f>
        <v>3.0773552908954085</v>
      </c>
      <c r="BF199" s="45">
        <f>IF($AH$128="si",BH175,0)</f>
        <v>-2.2128940080973147</v>
      </c>
      <c r="BG199" s="45">
        <f>IF($AH$129="si",BI175,0)</f>
        <v>1.5435540171470266</v>
      </c>
      <c r="BH199" s="45">
        <f>IF($AH$129="si",BJ175,0)</f>
        <v>-2.4338374353420646</v>
      </c>
      <c r="BI199" s="45">
        <f>IF($AH$130="si",BK175,0)</f>
        <v>1.5353055534212649E-16</v>
      </c>
      <c r="BJ199" s="45">
        <f>IF($AH$130="si",BL175,0)</f>
        <v>-2.5063175768944319</v>
      </c>
      <c r="BK199" s="45">
        <f>IF($AH$131="si",BM175,0)</f>
        <v>-1.5435540171470263</v>
      </c>
      <c r="BL199" s="45">
        <f>IF($AH$131="si",BN175,0)</f>
        <v>-2.4338374353420638</v>
      </c>
      <c r="BM199" s="45">
        <f>IF($AH$132="si",BO175,0)</f>
        <v>-3.0773552908954072</v>
      </c>
      <c r="BN199" s="45">
        <f>IF($AH$132="si",BP175,0)</f>
        <v>-2.2128940080973152</v>
      </c>
      <c r="BO199" s="45">
        <f>IF($AH$133="si",BQ175,0)</f>
        <v>-4.5898087062962007</v>
      </c>
      <c r="BP199" s="45">
        <f>IF($AH$133="si",BR175,0)</f>
        <v>-1.8324364394971169</v>
      </c>
      <c r="BQ199" s="45">
        <f>IF($AH$134="si",BS175,0)</f>
        <v>-6.0649626831945911</v>
      </c>
      <c r="BR199" s="45">
        <f>IF($AH$134="si",BT175,0)</f>
        <v>-1.2721013335297828</v>
      </c>
      <c r="BS199" s="45">
        <f>IF($AH$135="si",BU175,0)</f>
        <v>-7.4782579609816162</v>
      </c>
      <c r="BT199" s="45">
        <f>IF($AH$135="si",BV175,0)</f>
        <v>-0.49877504340215972</v>
      </c>
      <c r="BU199" s="45">
        <f>IF($AH$136="si",BW175,0)</f>
        <v>-8.7883582682606036</v>
      </c>
      <c r="BV199" s="45">
        <f>IF($AH$136="si",BX175,0)</f>
        <v>0.53934028205281592</v>
      </c>
      <c r="BW199" s="45">
        <f t="shared" ref="BW199:CJ199" si="295">+BY175</f>
        <v>0</v>
      </c>
      <c r="BX199" s="45">
        <f t="shared" si="295"/>
        <v>0</v>
      </c>
      <c r="BY199" s="45">
        <f t="shared" si="295"/>
        <v>0</v>
      </c>
      <c r="BZ199" s="45">
        <f t="shared" si="295"/>
        <v>0</v>
      </c>
      <c r="CA199" s="45">
        <f t="shared" si="295"/>
        <v>0</v>
      </c>
      <c r="CB199" s="45">
        <f t="shared" si="295"/>
        <v>0</v>
      </c>
      <c r="CC199" s="45">
        <f t="shared" si="295"/>
        <v>0</v>
      </c>
      <c r="CD199" s="45">
        <f t="shared" si="295"/>
        <v>0</v>
      </c>
      <c r="CE199" s="45">
        <f t="shared" si="295"/>
        <v>0</v>
      </c>
      <c r="CF199" s="45">
        <f t="shared" si="295"/>
        <v>0</v>
      </c>
      <c r="CG199" s="45" t="e">
        <f t="shared" si="295"/>
        <v>#NUM!</v>
      </c>
      <c r="CH199" s="45" t="e">
        <f t="shared" si="295"/>
        <v>#NUM!</v>
      </c>
      <c r="CI199" s="45">
        <f t="shared" si="295"/>
        <v>0</v>
      </c>
      <c r="CJ199" s="45">
        <f t="shared" si="295"/>
        <v>0</v>
      </c>
    </row>
    <row r="200" spans="1:88" x14ac:dyDescent="0.25">
      <c r="B200" s="39">
        <v>0.70833333333333404</v>
      </c>
      <c r="C200">
        <v>-75</v>
      </c>
      <c r="D200" s="38">
        <f>+DEGREES(ASIN(COS(RADIANS(E186))*COS(RADIANS(D186))*COS(RADIANS(C200))+SIN(RADIANS(E186))*SIN(RADIANS(D186))))</f>
        <v>14.904799816556887</v>
      </c>
      <c r="E200" s="38">
        <f>-(180-DEGREES(ACOS((((SIN(RADIANS(D200)))*SIN(RADIANS(E186)))-SIN(RADIANS(D186)))/((COS(RADIANS(D200)))*COS(RADIANS(E186))))))</f>
        <v>-91.753807425353287</v>
      </c>
      <c r="G200">
        <f t="shared" si="270"/>
        <v>7.5095200183443112</v>
      </c>
      <c r="H200">
        <f t="shared" si="271"/>
        <v>181.75380742535327</v>
      </c>
      <c r="I200" s="153">
        <f t="shared" si="272"/>
        <v>-7.5060022533891617</v>
      </c>
      <c r="J200" s="153">
        <f t="shared" si="273"/>
        <v>-0.22982836646239652</v>
      </c>
      <c r="M200" s="39">
        <v>0.70833333333333404</v>
      </c>
      <c r="N200">
        <v>-75</v>
      </c>
      <c r="O200" s="38">
        <f>+DEGREES(ASIN(COS(RADIANS(P186))*COS(RADIANS(O186))*COS(RADIANS(N200))+SIN(RADIANS(P186))*SIN(RADIANS(O186))))</f>
        <v>14.694039743431569</v>
      </c>
      <c r="P200" s="38">
        <f>-(180-DEGREES(ACOS((((SIN(RADIANS(O200)))*SIN(RADIANS(P186)))-SIN(RADIANS(O186)))/((COS(RADIANS(O200)))*COS(RADIANS(P186))))))</f>
        <v>-93.07450525597902</v>
      </c>
      <c r="R200">
        <f t="shared" si="274"/>
        <v>7.5305960256568429</v>
      </c>
      <c r="S200">
        <f t="shared" si="275"/>
        <v>183.07450525597903</v>
      </c>
      <c r="T200" s="153">
        <f t="shared" si="276"/>
        <v>-7.5197567475893017</v>
      </c>
      <c r="U200" s="153">
        <f t="shared" si="277"/>
        <v>-0.40389968893748818</v>
      </c>
      <c r="AB200" s="39">
        <v>0.42708333333333798</v>
      </c>
      <c r="AC200">
        <f t="shared" si="261"/>
        <v>26.25</v>
      </c>
      <c r="AD200" s="38">
        <f t="shared" si="249"/>
        <v>50.639664155446681</v>
      </c>
      <c r="AE200" s="38">
        <f t="shared" si="250"/>
        <v>135.7825062262597</v>
      </c>
      <c r="AG200">
        <f t="shared" si="255"/>
        <v>3.9360335844553322</v>
      </c>
      <c r="AH200">
        <f t="shared" si="256"/>
        <v>-45.782506226259699</v>
      </c>
      <c r="AI200" s="153">
        <f t="shared" si="257"/>
        <v>2.744926689135641</v>
      </c>
      <c r="AJ200" s="153">
        <f t="shared" si="258"/>
        <v>-2.8209462684055397</v>
      </c>
      <c r="AK200" s="43"/>
    </row>
    <row r="201" spans="1:88" x14ac:dyDescent="0.25">
      <c r="B201" s="39">
        <v>0.75</v>
      </c>
      <c r="C201" s="38">
        <v>-90</v>
      </c>
      <c r="D201" s="38">
        <f>+DEGREES(ASIN(COS(RADIANS(E186))*COS(RADIANS(D186))*COS(RADIANS(C201))+SIN(RADIANS(E186))*SIN(RADIANS(D186))))</f>
        <v>-3.5180405810133208E-2</v>
      </c>
      <c r="E201" s="38">
        <f>-(180-DEGREES(ACOS((((SIN(RADIANS(D201)))*SIN(RADIANS(E186)))-SIN(RADIANS(D186)))/((COS(RADIANS(D201)))*COS(RADIANS(E186))))))</f>
        <v>-90.402117230089857</v>
      </c>
      <c r="G201">
        <f t="shared" si="270"/>
        <v>9.0035180405810138</v>
      </c>
      <c r="H201">
        <f t="shared" si="271"/>
        <v>180.40211723008986</v>
      </c>
      <c r="I201" s="153">
        <f t="shared" si="272"/>
        <v>-9.0032963023590984</v>
      </c>
      <c r="J201" s="153">
        <f t="shared" si="273"/>
        <v>-6.3188598613626967E-2</v>
      </c>
      <c r="M201" s="39">
        <v>0.75</v>
      </c>
      <c r="N201" s="38">
        <v>-90</v>
      </c>
      <c r="O201" s="38">
        <f>+DEGREES(ASIN(COS(RADIANS(P186))*COS(RADIANS(O186))*COS(RADIANS(N201))+SIN(RADIANS(P186))*SIN(RADIANS(O186))))</f>
        <v>-7.0093080568731952E-2</v>
      </c>
      <c r="P201" s="38">
        <f>-(180-DEGREES(ACOS((((SIN(RADIANS(O201)))*SIN(RADIANS(P186)))-SIN(RADIANS(O186)))/((COS(RADIANS(O201)))*COS(RADIANS(P186))))))</f>
        <v>-90.397521001025282</v>
      </c>
      <c r="R201">
        <f t="shared" si="274"/>
        <v>9.0070093080568725</v>
      </c>
      <c r="S201">
        <f t="shared" si="275"/>
        <v>180.39752100102527</v>
      </c>
      <c r="T201" s="153">
        <f t="shared" si="276"/>
        <v>-9.006792525784844</v>
      </c>
      <c r="U201" s="153">
        <f t="shared" si="277"/>
        <v>-6.2490582405820956E-2</v>
      </c>
      <c r="AB201" s="39">
        <v>0.437500000000005</v>
      </c>
      <c r="AC201">
        <f t="shared" si="261"/>
        <v>22.5</v>
      </c>
      <c r="AD201" s="38">
        <f t="shared" si="249"/>
        <v>52.802924772419509</v>
      </c>
      <c r="AE201" s="38">
        <f t="shared" si="250"/>
        <v>140.72961032593952</v>
      </c>
      <c r="AG201">
        <f t="shared" si="255"/>
        <v>3.7197075227580489</v>
      </c>
      <c r="AH201">
        <f t="shared" si="256"/>
        <v>-50.729610325939518</v>
      </c>
      <c r="AI201" s="153">
        <f t="shared" si="257"/>
        <v>2.3545037010682437</v>
      </c>
      <c r="AJ201" s="153">
        <f t="shared" si="258"/>
        <v>-2.8796764360807559</v>
      </c>
      <c r="AK201" s="43"/>
      <c r="AN201" s="322" t="s">
        <v>100</v>
      </c>
      <c r="AO201" s="46">
        <f t="shared" ref="AO201:AX201" si="296">+AO176</f>
        <v>0</v>
      </c>
      <c r="AP201" s="46">
        <f t="shared" si="296"/>
        <v>0</v>
      </c>
      <c r="AQ201" s="46">
        <f t="shared" si="296"/>
        <v>0</v>
      </c>
      <c r="AR201" s="46">
        <f t="shared" si="296"/>
        <v>0</v>
      </c>
      <c r="AS201" s="46">
        <f t="shared" si="296"/>
        <v>0</v>
      </c>
      <c r="AT201" s="46">
        <f t="shared" si="296"/>
        <v>0</v>
      </c>
      <c r="AU201" s="46">
        <f t="shared" si="296"/>
        <v>0</v>
      </c>
      <c r="AV201" s="46">
        <f t="shared" si="296"/>
        <v>0</v>
      </c>
      <c r="AW201" s="46">
        <f t="shared" si="296"/>
        <v>0</v>
      </c>
      <c r="AX201" s="46">
        <f t="shared" si="296"/>
        <v>0</v>
      </c>
      <c r="AY201" s="46">
        <f>IF($AJ$125="si",AY176,0)</f>
        <v>0</v>
      </c>
      <c r="AZ201" s="46">
        <f>IF($AJ$125="si",AZ176,0)</f>
        <v>0</v>
      </c>
      <c r="BA201" s="46">
        <f>IF($AJ$126="si",BA176,0)</f>
        <v>0</v>
      </c>
      <c r="BB201" s="46">
        <f>IF($AJ$126="si",BB176,0)</f>
        <v>0</v>
      </c>
      <c r="BC201" s="46">
        <f>IF($AJ$127="si",BC176,0)</f>
        <v>5.681673954671612</v>
      </c>
      <c r="BD201" s="46">
        <f>IF($AJ$127="si",BD176,0)</f>
        <v>-6.8641989673889181E-2</v>
      </c>
      <c r="BE201" s="46">
        <f>IF($AJ$128="si",BE176,0)</f>
        <v>4.3235372056031043</v>
      </c>
      <c r="BF201" s="46">
        <f>IF($AJ$128="si",BF176,0)</f>
        <v>-0.67945035312016167</v>
      </c>
      <c r="BG201" s="46">
        <f>IF($AJ$129="si",BG176,0)</f>
        <v>2.9090953902894121</v>
      </c>
      <c r="BH201" s="46">
        <f>IF($AJ$129="si",BH176,0)</f>
        <v>-1.0959270054663139</v>
      </c>
      <c r="BI201" s="46">
        <f>IF($AJ$130="si",BI176,0)</f>
        <v>1.462043764537692</v>
      </c>
      <c r="BJ201" s="46">
        <f>IF($AJ$130="si",BJ176,0)</f>
        <v>-1.3383201044311768</v>
      </c>
      <c r="BK201" s="46">
        <f>IF($AJ$131="si",BK176,0)</f>
        <v>8.6857589127052893E-17</v>
      </c>
      <c r="BL201" s="46">
        <f>IF($AJ$131="si",BL176,0)</f>
        <v>-1.417911254412533</v>
      </c>
      <c r="BM201" s="46">
        <f>IF($AJ$132="si",BM176,0)</f>
        <v>-1.4620437645376916</v>
      </c>
      <c r="BN201" s="46">
        <f>IF($AJ$132="si",BN176,0)</f>
        <v>-1.338320104431177</v>
      </c>
      <c r="BO201" s="46">
        <f>IF($AJ$133="si",BO176,0)</f>
        <v>-2.9090953902894121</v>
      </c>
      <c r="BP201" s="46">
        <f>IF($AJ$133="si",BP176,0)</f>
        <v>-1.0959270054663137</v>
      </c>
      <c r="BQ201" s="46">
        <f>IF($AJ$134="si",BQ176,0)</f>
        <v>-4.3235372056031043</v>
      </c>
      <c r="BR201" s="46">
        <f>IF($AJ$134="si",BR176,0)</f>
        <v>-0.67945035312016244</v>
      </c>
      <c r="BS201" s="46">
        <f>IF($AJ$135="si",BS176,0)</f>
        <v>-5.681673954671612</v>
      </c>
      <c r="BT201" s="46">
        <f>IF($AJ$135="si",BT176,0)</f>
        <v>-6.8641989673888751E-2</v>
      </c>
      <c r="BU201" s="46">
        <f>IF($AJ$136="si",BU176,0)</f>
        <v>-6.9482491884736284</v>
      </c>
      <c r="BV201" s="46">
        <f>IF($AJ$136="si",BV176,0)</f>
        <v>0.76795237286723794</v>
      </c>
      <c r="BW201" s="46">
        <f t="shared" ref="BW201:CJ201" si="297">+BW176</f>
        <v>-8.0667743759958661</v>
      </c>
      <c r="BX201" s="46">
        <f t="shared" si="297"/>
        <v>1.8759482527650715</v>
      </c>
      <c r="BY201" s="46">
        <f t="shared" si="297"/>
        <v>0</v>
      </c>
      <c r="BZ201" s="46">
        <f t="shared" si="297"/>
        <v>0</v>
      </c>
      <c r="CA201" s="46">
        <f t="shared" si="297"/>
        <v>0</v>
      </c>
      <c r="CB201" s="46">
        <f t="shared" si="297"/>
        <v>0</v>
      </c>
      <c r="CC201" s="46">
        <f t="shared" si="297"/>
        <v>0</v>
      </c>
      <c r="CD201" s="46">
        <f t="shared" si="297"/>
        <v>0</v>
      </c>
      <c r="CE201" s="46">
        <f t="shared" si="297"/>
        <v>0</v>
      </c>
      <c r="CF201" s="46">
        <f t="shared" si="297"/>
        <v>0</v>
      </c>
      <c r="CG201" s="46">
        <f t="shared" si="297"/>
        <v>0</v>
      </c>
      <c r="CH201" s="46">
        <f t="shared" si="297"/>
        <v>0</v>
      </c>
      <c r="CI201" s="46" t="e">
        <f t="shared" si="297"/>
        <v>#NUM!</v>
      </c>
      <c r="CJ201" s="46" t="e">
        <f t="shared" si="297"/>
        <v>#NUM!</v>
      </c>
    </row>
    <row r="202" spans="1:88" x14ac:dyDescent="0.25">
      <c r="AB202" s="39">
        <v>0.44791666666667201</v>
      </c>
      <c r="AC202">
        <f t="shared" si="261"/>
        <v>18.75</v>
      </c>
      <c r="AD202" s="38">
        <f t="shared" si="249"/>
        <v>54.738201152439906</v>
      </c>
      <c r="AE202" s="38">
        <f t="shared" si="250"/>
        <v>146.16719737991926</v>
      </c>
      <c r="AG202">
        <f t="shared" si="255"/>
        <v>3.5261798847560097</v>
      </c>
      <c r="AH202">
        <f t="shared" si="256"/>
        <v>-56.167197379919259</v>
      </c>
      <c r="AI202" s="153">
        <f t="shared" si="257"/>
        <v>1.9632756679104444</v>
      </c>
      <c r="AJ202" s="153">
        <f t="shared" si="258"/>
        <v>-2.9290771979326018</v>
      </c>
      <c r="AK202" s="43"/>
      <c r="AN202" s="323"/>
      <c r="AO202" s="13">
        <f t="shared" ref="AO202:AX202" si="298">+AQ177</f>
        <v>0</v>
      </c>
      <c r="AP202" s="13">
        <f t="shared" si="298"/>
        <v>0</v>
      </c>
      <c r="AQ202" s="13">
        <f t="shared" si="298"/>
        <v>0</v>
      </c>
      <c r="AR202" s="13">
        <f t="shared" si="298"/>
        <v>0</v>
      </c>
      <c r="AS202" s="13">
        <f t="shared" si="298"/>
        <v>0</v>
      </c>
      <c r="AT202" s="13">
        <f t="shared" si="298"/>
        <v>0</v>
      </c>
      <c r="AU202" s="13">
        <f t="shared" si="298"/>
        <v>0</v>
      </c>
      <c r="AV202" s="13">
        <f t="shared" si="298"/>
        <v>0</v>
      </c>
      <c r="AW202" s="13">
        <f t="shared" si="298"/>
        <v>7.4939503996922818</v>
      </c>
      <c r="AX202" s="13">
        <f t="shared" si="298"/>
        <v>2.6513500426204568</v>
      </c>
      <c r="AY202" s="13">
        <f>IF($AJ$125="si",BA177,0)</f>
        <v>0</v>
      </c>
      <c r="AZ202" s="13">
        <f>IF($AJ$125="si",BB177,0)</f>
        <v>0</v>
      </c>
      <c r="BA202" s="13">
        <f>IF($AJ$126="si",BC177,0)</f>
        <v>0</v>
      </c>
      <c r="BB202" s="13">
        <f>IF($AJ$126="si",BD177,0)</f>
        <v>0</v>
      </c>
      <c r="BC202" s="13">
        <f>IF($AJ$127="si",BE177,0)</f>
        <v>4.0953514088422205</v>
      </c>
      <c r="BD202" s="13">
        <f>IF($AJ$127="si",BF177,0)</f>
        <v>5.8631501008162723E-2</v>
      </c>
      <c r="BE202" s="13">
        <f>IF($AJ$128="si",BG177,0)</f>
        <v>2.7632024243694069</v>
      </c>
      <c r="BF202" s="13">
        <f>IF($AJ$128="si",BH177,0)</f>
        <v>-0.37090968772972588</v>
      </c>
      <c r="BG202" s="13">
        <f>IF($AJ$129="si",BI177,0)</f>
        <v>1.390890301003268</v>
      </c>
      <c r="BH202" s="13">
        <f>IF($AJ$129="si",BJ177,0)</f>
        <v>-0.62161206557584159</v>
      </c>
      <c r="BI202" s="13">
        <f>IF($AJ$130="si",BK177,0)</f>
        <v>4.312752546919713E-17</v>
      </c>
      <c r="BJ202" s="13">
        <f>IF($AJ$130="si",BL177,0)</f>
        <v>-0.70403754412625652</v>
      </c>
      <c r="BK202" s="13">
        <f>IF($AJ$131="si",BM177,0)</f>
        <v>-1.390890301003268</v>
      </c>
      <c r="BL202" s="13">
        <f>IF($AJ$131="si",BN177,0)</f>
        <v>-0.62161206557584281</v>
      </c>
      <c r="BM202" s="13">
        <f>IF($AJ$132="si",BO177,0)</f>
        <v>-2.7632024243694078</v>
      </c>
      <c r="BN202" s="13">
        <f>IF($AJ$132="si",BP177,0)</f>
        <v>-0.37090968772972532</v>
      </c>
      <c r="BO202" s="13">
        <f>IF($AJ$133="si",BQ177,0)</f>
        <v>-4.0953514088422205</v>
      </c>
      <c r="BP202" s="13">
        <f>IF($AJ$133="si",BR177,0)</f>
        <v>5.8631501008163472E-2</v>
      </c>
      <c r="BQ202" s="13">
        <f>IF($AJ$134="si",BS177,0)</f>
        <v>-5.3589112820436533</v>
      </c>
      <c r="BR202" s="13">
        <f>IF($AJ$134="si",BT177,0)</f>
        <v>0.68552167573681033</v>
      </c>
      <c r="BS202" s="13">
        <f>IF($AJ$135="si",BU177,0)</f>
        <v>-6.5128329273581409</v>
      </c>
      <c r="BT202" s="13">
        <f>IF($AJ$135="si",BV177,0)</f>
        <v>1.5373408369743473</v>
      </c>
      <c r="BU202" s="13">
        <f>IF($AJ$136="si",BW177,0)</f>
        <v>-7.4939503996922818</v>
      </c>
      <c r="BV202" s="13">
        <f>IF($AJ$136="si",BX177,0)</f>
        <v>2.6513500426204546</v>
      </c>
      <c r="BW202" s="13">
        <f t="shared" ref="BW202:CJ202" si="299">+BY177</f>
        <v>0</v>
      </c>
      <c r="BX202" s="13">
        <f t="shared" si="299"/>
        <v>0</v>
      </c>
      <c r="BY202" s="13">
        <f t="shared" si="299"/>
        <v>0</v>
      </c>
      <c r="BZ202" s="13">
        <f t="shared" si="299"/>
        <v>0</v>
      </c>
      <c r="CA202" s="13">
        <f t="shared" si="299"/>
        <v>0</v>
      </c>
      <c r="CB202" s="13">
        <f t="shared" si="299"/>
        <v>0</v>
      </c>
      <c r="CC202" s="13">
        <f t="shared" si="299"/>
        <v>0</v>
      </c>
      <c r="CD202" s="13">
        <f t="shared" si="299"/>
        <v>0</v>
      </c>
      <c r="CE202" s="13">
        <f t="shared" si="299"/>
        <v>0</v>
      </c>
      <c r="CF202" s="13">
        <f t="shared" si="299"/>
        <v>0</v>
      </c>
      <c r="CG202" s="13" t="e">
        <f t="shared" si="299"/>
        <v>#NUM!</v>
      </c>
      <c r="CH202" s="13" t="e">
        <f t="shared" si="299"/>
        <v>#NUM!</v>
      </c>
      <c r="CI202" s="13">
        <f t="shared" si="299"/>
        <v>0</v>
      </c>
      <c r="CJ202" s="13">
        <f t="shared" si="299"/>
        <v>0</v>
      </c>
    </row>
    <row r="203" spans="1:88" x14ac:dyDescent="0.25">
      <c r="D203" s="44"/>
      <c r="E203" s="13"/>
      <c r="F203" s="13"/>
      <c r="G203" s="13"/>
      <c r="H203" s="13"/>
      <c r="I203" s="13"/>
      <c r="J203" s="13"/>
      <c r="K203" s="152"/>
      <c r="L203" s="152"/>
      <c r="AB203" s="39">
        <v>0.45833333333333898</v>
      </c>
      <c r="AC203">
        <f t="shared" si="261"/>
        <v>15</v>
      </c>
      <c r="AD203" s="38">
        <f t="shared" si="249"/>
        <v>56.40536291527436</v>
      </c>
      <c r="AE203" s="38">
        <f t="shared" si="250"/>
        <v>152.11163440142451</v>
      </c>
      <c r="AG203">
        <f t="shared" si="255"/>
        <v>3.359463708472564</v>
      </c>
      <c r="AH203">
        <f t="shared" si="256"/>
        <v>-62.11163440142451</v>
      </c>
      <c r="AI203" s="153">
        <f t="shared" si="257"/>
        <v>1.5713903200522465</v>
      </c>
      <c r="AJ203" s="153">
        <f t="shared" si="258"/>
        <v>-2.9692977066286788</v>
      </c>
      <c r="AK203" s="43"/>
      <c r="AN203" s="323"/>
      <c r="AO203" s="13">
        <f t="shared" ref="AO203:AX203" si="300">+AO177</f>
        <v>0</v>
      </c>
      <c r="AP203" s="13">
        <f t="shared" si="300"/>
        <v>0</v>
      </c>
      <c r="AQ203" s="13">
        <f t="shared" si="300"/>
        <v>0</v>
      </c>
      <c r="AR203" s="13">
        <f t="shared" si="300"/>
        <v>0</v>
      </c>
      <c r="AS203" s="13">
        <f t="shared" si="300"/>
        <v>0</v>
      </c>
      <c r="AT203" s="13">
        <f t="shared" si="300"/>
        <v>0</v>
      </c>
      <c r="AU203" s="13">
        <f t="shared" si="300"/>
        <v>0</v>
      </c>
      <c r="AV203" s="13">
        <f t="shared" si="300"/>
        <v>0</v>
      </c>
      <c r="AW203" s="13">
        <f t="shared" si="300"/>
        <v>0</v>
      </c>
      <c r="AX203" s="13">
        <f t="shared" si="300"/>
        <v>0</v>
      </c>
      <c r="AY203" s="13">
        <f>IF($AJ$125="si",AY177,0)</f>
        <v>0</v>
      </c>
      <c r="AZ203" s="13">
        <f>IF($AJ$125="si",AZ177,0)</f>
        <v>0</v>
      </c>
      <c r="BA203" s="13">
        <f>IF($AJ$126="si",BA177,0)</f>
        <v>0</v>
      </c>
      <c r="BB203" s="13">
        <f>IF($AJ$126="si",BB177,0)</f>
        <v>0</v>
      </c>
      <c r="BC203" s="13">
        <f>IF($AJ$127="si",BC177,0)</f>
        <v>5.3589112820436533</v>
      </c>
      <c r="BD203" s="13">
        <f>IF($AJ$127="si",BD177,0)</f>
        <v>0.68552167573681078</v>
      </c>
      <c r="BE203" s="13">
        <f>IF($AJ$128="si",BE177,0)</f>
        <v>4.0953514088422205</v>
      </c>
      <c r="BF203" s="13">
        <f>IF($AJ$128="si",BF177,0)</f>
        <v>5.8631501008162723E-2</v>
      </c>
      <c r="BG203" s="13">
        <f>IF($AJ$129="si",BG177,0)</f>
        <v>2.7632024243694069</v>
      </c>
      <c r="BH203" s="13">
        <f>IF($AJ$129="si",BH177,0)</f>
        <v>-0.37090968772972588</v>
      </c>
      <c r="BI203" s="13">
        <f>IF($AJ$130="si",BI177,0)</f>
        <v>1.390890301003268</v>
      </c>
      <c r="BJ203" s="13">
        <f>IF($AJ$130="si",BJ177,0)</f>
        <v>-0.62161206557584159</v>
      </c>
      <c r="BK203" s="13">
        <f>IF($AJ$131="si",BK177,0)</f>
        <v>4.312752546919713E-17</v>
      </c>
      <c r="BL203" s="13">
        <f>IF($AJ$131="si",BL177,0)</f>
        <v>-0.70403754412625652</v>
      </c>
      <c r="BM203" s="13">
        <f>IF($AJ$132="si",BM177,0)</f>
        <v>-1.390890301003268</v>
      </c>
      <c r="BN203" s="13">
        <f>IF($AJ$132="si",BN177,0)</f>
        <v>-0.62161206557584281</v>
      </c>
      <c r="BO203" s="13">
        <f>IF($AJ$133="si",BO177,0)</f>
        <v>-2.7632024243694078</v>
      </c>
      <c r="BP203" s="13">
        <f>IF($AJ$133="si",BP177,0)</f>
        <v>-0.37090968772972532</v>
      </c>
      <c r="BQ203" s="13">
        <f>IF($AJ$134="si",BQ177,0)</f>
        <v>-4.0953514088422205</v>
      </c>
      <c r="BR203" s="13">
        <f>IF($AJ$134="si",BR177,0)</f>
        <v>5.8631501008163472E-2</v>
      </c>
      <c r="BS203" s="13">
        <f>IF($AJ$135="si",BS177,0)</f>
        <v>-5.3589112820436533</v>
      </c>
      <c r="BT203" s="13">
        <f>IF($AJ$135="si",BT177,0)</f>
        <v>0.68552167573681033</v>
      </c>
      <c r="BU203" s="13">
        <f>IF($AJ$136="si",BU177,0)</f>
        <v>-6.5128329273581409</v>
      </c>
      <c r="BV203" s="13">
        <f>IF($AJ$136="si",BV177,0)</f>
        <v>1.5373408369743473</v>
      </c>
      <c r="BW203" s="13">
        <f t="shared" ref="BW203:CJ203" si="301">+BW177</f>
        <v>-7.4939503996922818</v>
      </c>
      <c r="BX203" s="13">
        <f t="shared" si="301"/>
        <v>2.6513500426204546</v>
      </c>
      <c r="BY203" s="13">
        <f t="shared" si="301"/>
        <v>0</v>
      </c>
      <c r="BZ203" s="13">
        <f t="shared" si="301"/>
        <v>0</v>
      </c>
      <c r="CA203" s="13">
        <f t="shared" si="301"/>
        <v>0</v>
      </c>
      <c r="CB203" s="13">
        <f t="shared" si="301"/>
        <v>0</v>
      </c>
      <c r="CC203" s="13">
        <f t="shared" si="301"/>
        <v>0</v>
      </c>
      <c r="CD203" s="13">
        <f t="shared" si="301"/>
        <v>0</v>
      </c>
      <c r="CE203" s="13">
        <f t="shared" si="301"/>
        <v>0</v>
      </c>
      <c r="CF203" s="13">
        <f t="shared" si="301"/>
        <v>0</v>
      </c>
      <c r="CG203" s="13">
        <f t="shared" si="301"/>
        <v>0</v>
      </c>
      <c r="CH203" s="13">
        <f t="shared" si="301"/>
        <v>0</v>
      </c>
      <c r="CI203" s="13" t="e">
        <f t="shared" si="301"/>
        <v>#NUM!</v>
      </c>
      <c r="CJ203" s="13" t="e">
        <f t="shared" si="301"/>
        <v>#NUM!</v>
      </c>
    </row>
    <row r="204" spans="1:88" x14ac:dyDescent="0.25">
      <c r="A204" s="155" t="s">
        <v>92</v>
      </c>
      <c r="B204" s="155">
        <v>21</v>
      </c>
      <c r="C204" s="315"/>
      <c r="D204" s="315"/>
      <c r="E204" s="316"/>
      <c r="K204" s="152"/>
      <c r="L204" s="155" t="s">
        <v>92</v>
      </c>
      <c r="M204" s="155">
        <v>21</v>
      </c>
      <c r="N204" s="315"/>
      <c r="O204" s="315"/>
      <c r="P204" s="316"/>
      <c r="AB204" s="39">
        <v>0.468750000000006</v>
      </c>
      <c r="AC204">
        <f t="shared" si="261"/>
        <v>11.25</v>
      </c>
      <c r="AD204" s="38">
        <f t="shared" si="249"/>
        <v>57.762195170672989</v>
      </c>
      <c r="AE204" s="38">
        <f t="shared" si="250"/>
        <v>158.54835243702061</v>
      </c>
      <c r="AG204">
        <f t="shared" si="255"/>
        <v>3.2237804829327015</v>
      </c>
      <c r="AH204">
        <f t="shared" si="256"/>
        <v>-68.548352437020611</v>
      </c>
      <c r="AI204" s="153">
        <f t="shared" si="257"/>
        <v>1.1789878076001212</v>
      </c>
      <c r="AJ204" s="153">
        <f t="shared" si="258"/>
        <v>-3.0004580236470666</v>
      </c>
      <c r="AK204" s="43"/>
      <c r="AN204" s="324"/>
      <c r="AO204" s="45">
        <f t="shared" ref="AO204:AX204" si="302">+AQ176</f>
        <v>0</v>
      </c>
      <c r="AP204" s="45">
        <f t="shared" si="302"/>
        <v>0</v>
      </c>
      <c r="AQ204" s="45">
        <f t="shared" si="302"/>
        <v>0</v>
      </c>
      <c r="AR204" s="45">
        <f t="shared" si="302"/>
        <v>0</v>
      </c>
      <c r="AS204" s="45">
        <f t="shared" si="302"/>
        <v>0</v>
      </c>
      <c r="AT204" s="45">
        <f t="shared" si="302"/>
        <v>0</v>
      </c>
      <c r="AU204" s="45">
        <f t="shared" si="302"/>
        <v>0</v>
      </c>
      <c r="AV204" s="45">
        <f t="shared" si="302"/>
        <v>0</v>
      </c>
      <c r="AW204" s="45">
        <f t="shared" si="302"/>
        <v>8.0667743759958661</v>
      </c>
      <c r="AX204" s="45">
        <f t="shared" si="302"/>
        <v>1.8759482527650697</v>
      </c>
      <c r="AY204" s="45">
        <f>IF($AJ$125="si",BA176,0)</f>
        <v>0</v>
      </c>
      <c r="AZ204" s="45">
        <f>IF($AJ$125="si",BB176,0)</f>
        <v>0</v>
      </c>
      <c r="BA204" s="45">
        <f>IF($AJ$126="si",BC176,0)</f>
        <v>0</v>
      </c>
      <c r="BB204" s="45">
        <f>IF($AJ$126="si",BD176,0)</f>
        <v>0</v>
      </c>
      <c r="BC204" s="45">
        <f>IF($AJ$127="si",BE176,0)</f>
        <v>4.3235372056031043</v>
      </c>
      <c r="BD204" s="45">
        <f>IF($AJ$127="si",BF176,0)</f>
        <v>-0.67945035312016167</v>
      </c>
      <c r="BE204" s="45">
        <f>IF($AJ$128="si",BG176,0)</f>
        <v>2.9090953902894121</v>
      </c>
      <c r="BF204" s="45">
        <f>IF($AJ$128="si",BH176,0)</f>
        <v>-1.0959270054663139</v>
      </c>
      <c r="BG204" s="45">
        <f>IF($AJ$129="si",BI176,0)</f>
        <v>1.462043764537692</v>
      </c>
      <c r="BH204" s="45">
        <f>IF($AJ$129="si",BJ176,0)</f>
        <v>-1.3383201044311768</v>
      </c>
      <c r="BI204" s="45">
        <f>IF($AJ$130="si",BK176,0)</f>
        <v>8.6857589127052893E-17</v>
      </c>
      <c r="BJ204" s="45">
        <f>IF($AJ$130="si",BL176,0)</f>
        <v>-1.417911254412533</v>
      </c>
      <c r="BK204" s="45">
        <f>IF($AJ$131="si",BM176,0)</f>
        <v>-1.4620437645376916</v>
      </c>
      <c r="BL204" s="45">
        <f>IF($AJ$131="si",BN176,0)</f>
        <v>-1.338320104431177</v>
      </c>
      <c r="BM204" s="45">
        <f>IF($AJ$132="si",BO176,0)</f>
        <v>-2.9090953902894121</v>
      </c>
      <c r="BN204" s="45">
        <f>IF($AJ$132="si",BP176,0)</f>
        <v>-1.0959270054663137</v>
      </c>
      <c r="BO204" s="45">
        <f>IF($AJ$133="si",BQ176,0)</f>
        <v>-4.3235372056031043</v>
      </c>
      <c r="BP204" s="45">
        <f>IF($AJ$133="si",BR176,0)</f>
        <v>-0.67945035312016244</v>
      </c>
      <c r="BQ204" s="45">
        <f>IF($AJ$134="si",BS176,0)</f>
        <v>-5.681673954671612</v>
      </c>
      <c r="BR204" s="45">
        <f>IF($AJ$134="si",BT176,0)</f>
        <v>-6.8641989673888751E-2</v>
      </c>
      <c r="BS204" s="45">
        <f>IF($AJ$135="si",BU176,0)</f>
        <v>-6.9482491884736284</v>
      </c>
      <c r="BT204" s="45">
        <f>IF($AJ$135="si",BV176,0)</f>
        <v>0.76795237286723794</v>
      </c>
      <c r="BU204" s="45">
        <f>IF($AJ$136="si",BW176,0)</f>
        <v>-8.0667743759958661</v>
      </c>
      <c r="BV204" s="45">
        <f>IF($AJ$136="si",BX176,0)</f>
        <v>1.8759482527650715</v>
      </c>
      <c r="BW204" s="45">
        <f t="shared" ref="BW204:CJ204" si="303">+BY176</f>
        <v>0</v>
      </c>
      <c r="BX204" s="45">
        <f t="shared" si="303"/>
        <v>0</v>
      </c>
      <c r="BY204" s="45">
        <f t="shared" si="303"/>
        <v>0</v>
      </c>
      <c r="BZ204" s="45">
        <f t="shared" si="303"/>
        <v>0</v>
      </c>
      <c r="CA204" s="45">
        <f t="shared" si="303"/>
        <v>0</v>
      </c>
      <c r="CB204" s="45">
        <f t="shared" si="303"/>
        <v>0</v>
      </c>
      <c r="CC204" s="45">
        <f t="shared" si="303"/>
        <v>0</v>
      </c>
      <c r="CD204" s="45">
        <f t="shared" si="303"/>
        <v>0</v>
      </c>
      <c r="CE204" s="45">
        <f t="shared" si="303"/>
        <v>0</v>
      </c>
      <c r="CF204" s="45">
        <f t="shared" si="303"/>
        <v>0</v>
      </c>
      <c r="CG204" s="45" t="e">
        <f t="shared" si="303"/>
        <v>#NUM!</v>
      </c>
      <c r="CH204" s="45" t="e">
        <f t="shared" si="303"/>
        <v>#NUM!</v>
      </c>
      <c r="CI204" s="45">
        <f t="shared" si="303"/>
        <v>0</v>
      </c>
      <c r="CJ204" s="45">
        <f t="shared" si="303"/>
        <v>0</v>
      </c>
    </row>
    <row r="205" spans="1:88" x14ac:dyDescent="0.25">
      <c r="A205" s="155" t="s">
        <v>91</v>
      </c>
      <c r="B205" s="155">
        <v>3</v>
      </c>
      <c r="C205" s="315"/>
      <c r="D205" s="315"/>
      <c r="E205" s="316"/>
      <c r="K205" s="152"/>
      <c r="L205" s="155" t="s">
        <v>91</v>
      </c>
      <c r="M205" s="155">
        <v>3</v>
      </c>
      <c r="N205" s="315"/>
      <c r="O205" s="315"/>
      <c r="P205" s="316"/>
      <c r="AB205" s="39">
        <v>0.47916666666667301</v>
      </c>
      <c r="AC205">
        <f t="shared" si="261"/>
        <v>7.5</v>
      </c>
      <c r="AD205" s="38">
        <f t="shared" si="249"/>
        <v>58.767758345427602</v>
      </c>
      <c r="AE205" s="38">
        <f t="shared" si="250"/>
        <v>165.42022086471553</v>
      </c>
      <c r="AG205">
        <f t="shared" si="255"/>
        <v>3.1232241654572395</v>
      </c>
      <c r="AH205">
        <f t="shared" si="256"/>
        <v>-75.420220864715532</v>
      </c>
      <c r="AI205" s="153">
        <f t="shared" si="257"/>
        <v>0.78620240425297039</v>
      </c>
      <c r="AJ205" s="153">
        <f t="shared" si="258"/>
        <v>-3.0226503216950054</v>
      </c>
      <c r="AK205" s="43"/>
    </row>
    <row r="206" spans="1:88" x14ac:dyDescent="0.25">
      <c r="C206" s="154">
        <f>+IF(B205=$AI$63,B204,IF(B205=$AJ$63,$AI$64+B204,IF(B205=$AK$63,$AI$64+$AJ$64+B204,IF(B205=$AL$63,$AI$64+$AJ$64+$AK$64+B204,IF(B205=$AM$63,$AI$64+$AJ$64+$AK$64+$AL$64+B204,IF(B205=$AN$63,$AI$64+$AJ$64+$AK$64+$AL$64+$AM$64+B204,IF(B205=$AO$63,$AI$64+$AJ$64+$AK$64+$AL$64+$AM$64+$AN$64+B204,IF(B205=$AP$63,$AI$64+$AJ$64+$AK$64+$AL$64+$AM$64+$AN$64+$AO$64+B204,IF(B205=$AQ$63,$AI$64+$AJ$64+$AK$64+$AL$64+$AM$64+$AN$64+$AO$64+$AP$64+B204,IF(B205=$AR$63,$AI$64+$AJ$64+$AK$64+$AL$64+$AM$64+$AN$64+$AO$64+$AP$64+$AQ$64+B204,IF(B205=$AS$63,$AI$64+$AJ$64+$AK$64+$AL$64+$AM$64+$AN$64+$AO$64+$AP$64+$AQ$64+$AR$64+B204,IF(B205=$AT$63,$AI$64+$AJ$64+$AK$64+$AL$64+$AM$64+$AN$64+$AO$64+$AP$64+$AQ$64+$AR$64+$AS$64+B204,"error"))))))))))))</f>
        <v>80</v>
      </c>
      <c r="D206" s="38">
        <f>23.45*SIN(RADIANS(360*((284+C206)/365)))</f>
        <v>-0.40365320185431652</v>
      </c>
      <c r="E206" s="155">
        <v>15</v>
      </c>
      <c r="K206" s="152"/>
      <c r="N206" s="154">
        <f>+IF(M205=$AI$63,M204,IF(M205=$AJ$63,$AI$64+M204,IF(M205=$AK$63,$AI$64+$AJ$64+M204,IF(M205=$AL$63,$AI$64+$AJ$64+$AK$64+M204,IF(M205=$AM$63,$AI$64+$AJ$64+$AK$64+$AL$64+M204,IF(M205=$AN$63,$AI$64+$AJ$64+$AK$64+$AL$64+$AM$64+M204,IF(M205=$AO$63,$AI$64+$AJ$64+$AK$64+$AL$64+$AM$64+$AN$64+M204,IF(M205=$AP$63,$AI$64+$AJ$64+$AK$64+$AL$64+$AM$64+$AN$64+$AO$64+M204,IF(M205=$AQ$63,$AI$64+$AJ$64+$AK$64+$AL$64+$AM$64+$AN$64+$AO$64+$AP$64+M204,IF(M205=$AR$63,$AI$64+$AJ$64+$AK$64+$AL$64+$AM$64+$AN$64+$AO$64+$AP$64+$AQ$64+M204,IF(M205=$AS$63,$AI$64+$AJ$64+$AK$64+$AL$64+$AM$64+$AN$64+$AO$64+$AP$64+$AQ$64+$AR$64+M204,IF(M205=$AT$63,$AI$64+$AJ$64+$AK$64+$AL$64+$AM$64+$AN$64+$AO$64+$AP$64+$AQ$64+$AR$64+$AS$64+M204,"error"))))))))))))</f>
        <v>80</v>
      </c>
      <c r="O206" s="38">
        <f>23.45*SIN(RADIANS(360*((284+N206)/365)))</f>
        <v>-0.40365320185431652</v>
      </c>
      <c r="P206" s="155">
        <v>20</v>
      </c>
      <c r="AB206" s="39">
        <v>0.48958333333333998</v>
      </c>
      <c r="AC206">
        <f t="shared" si="261"/>
        <v>3.75</v>
      </c>
      <c r="AD206" s="38">
        <f t="shared" si="249"/>
        <v>59.387080409951224</v>
      </c>
      <c r="AE206" s="38">
        <f t="shared" si="250"/>
        <v>172.62107808740797</v>
      </c>
      <c r="AG206">
        <f t="shared" si="255"/>
        <v>3.0612919590048779</v>
      </c>
      <c r="AH206">
        <f t="shared" si="256"/>
        <v>-82.621078087407966</v>
      </c>
      <c r="AI206" s="153">
        <f t="shared" si="257"/>
        <v>0.39316408310632844</v>
      </c>
      <c r="AJ206" s="153">
        <f t="shared" si="258"/>
        <v>-3.0359397988140482</v>
      </c>
      <c r="AK206" s="43"/>
      <c r="AN206" s="322" t="s">
        <v>99</v>
      </c>
      <c r="AO206" s="46">
        <f t="shared" ref="AO206:AX206" si="304">+AO177</f>
        <v>0</v>
      </c>
      <c r="AP206" s="46">
        <f t="shared" si="304"/>
        <v>0</v>
      </c>
      <c r="AQ206" s="46">
        <f t="shared" si="304"/>
        <v>0</v>
      </c>
      <c r="AR206" s="46">
        <f t="shared" si="304"/>
        <v>0</v>
      </c>
      <c r="AS206" s="46">
        <f t="shared" si="304"/>
        <v>0</v>
      </c>
      <c r="AT206" s="46">
        <f t="shared" si="304"/>
        <v>0</v>
      </c>
      <c r="AU206" s="46">
        <f t="shared" si="304"/>
        <v>0</v>
      </c>
      <c r="AV206" s="46">
        <f t="shared" si="304"/>
        <v>0</v>
      </c>
      <c r="AW206" s="46">
        <f t="shared" si="304"/>
        <v>0</v>
      </c>
      <c r="AX206" s="46">
        <f t="shared" si="304"/>
        <v>0</v>
      </c>
      <c r="AY206" s="46">
        <f>IF($AL$125="si",AY177,0)</f>
        <v>0</v>
      </c>
      <c r="AZ206" s="46">
        <f>IF($AL$125="si",AZ177,0)</f>
        <v>0</v>
      </c>
      <c r="BA206" s="46">
        <f>IF($AL$126="si",BA177,0)</f>
        <v>6.5128329273581409</v>
      </c>
      <c r="BB206" s="46">
        <f>IF($AL$126="si",BB177,0)</f>
        <v>1.5373408369743471</v>
      </c>
      <c r="BC206" s="46">
        <f>IF($AL$127="si",BC177,0)</f>
        <v>5.3589112820436533</v>
      </c>
      <c r="BD206" s="46">
        <f>IF($AL$127="si",BD177,0)</f>
        <v>0.68552167573681078</v>
      </c>
      <c r="BE206" s="46">
        <f>IF($AL$128="si",BE177,0)</f>
        <v>4.0953514088422205</v>
      </c>
      <c r="BF206" s="46">
        <f>IF($AL$128="si",BF177,0)</f>
        <v>5.8631501008162723E-2</v>
      </c>
      <c r="BG206" s="46">
        <f>IF($AL$129="si",BG177,0)</f>
        <v>2.7632024243694069</v>
      </c>
      <c r="BH206" s="46">
        <f>IF($AL$129="si",BH177,0)</f>
        <v>-0.37090968772972588</v>
      </c>
      <c r="BI206" s="46">
        <f>IF($AL$130="si",BI177,0)</f>
        <v>1.390890301003268</v>
      </c>
      <c r="BJ206" s="46">
        <f>IF($AL$130="si",BJ177,0)</f>
        <v>-0.62161206557584159</v>
      </c>
      <c r="BK206" s="46">
        <f>IF($AL$131="si",BK177,0)</f>
        <v>4.312752546919713E-17</v>
      </c>
      <c r="BL206" s="46">
        <f>IF($AL$131="si",BL177,0)</f>
        <v>-0.70403754412625652</v>
      </c>
      <c r="BM206" s="46">
        <f>IF($AL$132="si",BM177,0)</f>
        <v>-1.390890301003268</v>
      </c>
      <c r="BN206" s="46">
        <f>IF($AL$132="si",BN177,0)</f>
        <v>-0.62161206557584281</v>
      </c>
      <c r="BO206" s="46">
        <f>IF($AL$133="si",BO177,0)</f>
        <v>-2.7632024243694078</v>
      </c>
      <c r="BP206" s="46">
        <f>IF($AL$133="si",BP177,0)</f>
        <v>-0.37090968772972532</v>
      </c>
      <c r="BQ206" s="46">
        <f>IF($AL$134="si",BQ177,0)</f>
        <v>-4.0953514088422205</v>
      </c>
      <c r="BR206" s="46">
        <f>IF($AL$134="si",BR177,0)</f>
        <v>5.8631501008163472E-2</v>
      </c>
      <c r="BS206" s="46">
        <f>IF($AL$135="si",BS177,0)</f>
        <v>-5.3589112820436533</v>
      </c>
      <c r="BT206" s="46">
        <f>IF($AL$135="si",BT177,0)</f>
        <v>0.68552167573681033</v>
      </c>
      <c r="BU206" s="46">
        <f>IF($AL$136="si",BU177,0)</f>
        <v>-6.5128329273581409</v>
      </c>
      <c r="BV206" s="46">
        <f>IF($AL$136="si",BV177,0)</f>
        <v>1.5373408369743473</v>
      </c>
      <c r="BW206" s="46">
        <f t="shared" ref="BW206:CJ206" si="305">+BW177</f>
        <v>-7.4939503996922818</v>
      </c>
      <c r="BX206" s="46">
        <f t="shared" si="305"/>
        <v>2.6513500426204546</v>
      </c>
      <c r="BY206" s="46">
        <f t="shared" si="305"/>
        <v>0</v>
      </c>
      <c r="BZ206" s="46">
        <f t="shared" si="305"/>
        <v>0</v>
      </c>
      <c r="CA206" s="46">
        <f t="shared" si="305"/>
        <v>0</v>
      </c>
      <c r="CB206" s="46">
        <f t="shared" si="305"/>
        <v>0</v>
      </c>
      <c r="CC206" s="46">
        <f t="shared" si="305"/>
        <v>0</v>
      </c>
      <c r="CD206" s="46">
        <f t="shared" si="305"/>
        <v>0</v>
      </c>
      <c r="CE206" s="46">
        <f t="shared" si="305"/>
        <v>0</v>
      </c>
      <c r="CF206" s="46">
        <f t="shared" si="305"/>
        <v>0</v>
      </c>
      <c r="CG206" s="46">
        <f t="shared" si="305"/>
        <v>0</v>
      </c>
      <c r="CH206" s="46">
        <f t="shared" si="305"/>
        <v>0</v>
      </c>
      <c r="CI206" s="46" t="e">
        <f t="shared" si="305"/>
        <v>#NUM!</v>
      </c>
      <c r="CJ206" s="46" t="e">
        <f t="shared" si="305"/>
        <v>#NUM!</v>
      </c>
    </row>
    <row r="207" spans="1:88" x14ac:dyDescent="0.25">
      <c r="B207" s="317" t="s">
        <v>90</v>
      </c>
      <c r="C207" s="315"/>
      <c r="D207" s="315"/>
      <c r="E207" s="315"/>
      <c r="G207" s="319" t="s">
        <v>89</v>
      </c>
      <c r="H207" s="319"/>
      <c r="I207" s="319" t="s">
        <v>42</v>
      </c>
      <c r="J207" s="319" t="s">
        <v>43</v>
      </c>
      <c r="K207" s="152"/>
      <c r="M207" s="317" t="s">
        <v>90</v>
      </c>
      <c r="N207" s="315"/>
      <c r="O207" s="315"/>
      <c r="P207" s="315"/>
      <c r="R207" s="319" t="s">
        <v>89</v>
      </c>
      <c r="S207" s="319"/>
      <c r="T207" s="319" t="s">
        <v>42</v>
      </c>
      <c r="U207" s="319" t="s">
        <v>43</v>
      </c>
      <c r="AB207" s="39">
        <v>0.50000000000000699</v>
      </c>
      <c r="AC207">
        <f t="shared" si="261"/>
        <v>0</v>
      </c>
      <c r="AD207" s="38">
        <f t="shared" si="249"/>
        <v>59.596346798145696</v>
      </c>
      <c r="AE207" s="38">
        <f>+IF(AE174&gt;=0,180,0)</f>
        <v>180</v>
      </c>
      <c r="AG207">
        <f t="shared" si="255"/>
        <v>3.0403653201854306</v>
      </c>
      <c r="AH207">
        <f t="shared" si="256"/>
        <v>-90</v>
      </c>
      <c r="AI207" s="153">
        <f t="shared" si="257"/>
        <v>1.8624494371914661E-16</v>
      </c>
      <c r="AJ207" s="153">
        <f t="shared" si="258"/>
        <v>-3.0403653201854306</v>
      </c>
      <c r="AK207" s="43"/>
      <c r="AN207" s="323"/>
      <c r="AO207" s="13">
        <f t="shared" ref="AO207:AX207" si="306">+AQ178</f>
        <v>0</v>
      </c>
      <c r="AP207" s="13">
        <f t="shared" si="306"/>
        <v>0</v>
      </c>
      <c r="AQ207" s="13">
        <f t="shared" si="306"/>
        <v>0</v>
      </c>
      <c r="AR207" s="13">
        <f t="shared" si="306"/>
        <v>0</v>
      </c>
      <c r="AS207" s="13">
        <f t="shared" si="306"/>
        <v>0</v>
      </c>
      <c r="AT207" s="13">
        <f t="shared" si="306"/>
        <v>0</v>
      </c>
      <c r="AU207" s="13">
        <f t="shared" si="306"/>
        <v>0</v>
      </c>
      <c r="AV207" s="13">
        <f t="shared" si="306"/>
        <v>0</v>
      </c>
      <c r="AW207" s="13">
        <f t="shared" si="306"/>
        <v>7.3728011230173927</v>
      </c>
      <c r="AX207" s="13">
        <f t="shared" si="306"/>
        <v>2.7949575952418422</v>
      </c>
      <c r="AY207" s="13">
        <f>IF($AL$125="si",BA178,0)</f>
        <v>0</v>
      </c>
      <c r="AZ207" s="13">
        <f>IF($AL$125="si",BB178,0)</f>
        <v>0</v>
      </c>
      <c r="BA207" s="13">
        <f>IF($AL$126="si",BC178,0)</f>
        <v>5.2888743491714614</v>
      </c>
      <c r="BB207" s="13">
        <f>IF($AL$126="si",BD178,0)</f>
        <v>0.8310199575527939</v>
      </c>
      <c r="BC207" s="13">
        <f>IF($AL$127="si",BE178,0)</f>
        <v>4.0454667905311457</v>
      </c>
      <c r="BD207" s="13">
        <f>IF($AL$127="si",BF178,0)</f>
        <v>0.20261451930685961</v>
      </c>
      <c r="BE207" s="13">
        <f>IF($AL$128="si",BG178,0)</f>
        <v>2.731150994716121</v>
      </c>
      <c r="BF207" s="13">
        <f>IF($AL$128="si",BH178,0)</f>
        <v>-0.22845695384356918</v>
      </c>
      <c r="BG207" s="13">
        <f>IF($AL$129="si",BI178,0)</f>
        <v>1.3752146338471711</v>
      </c>
      <c r="BH207" s="13">
        <f>IF($AL$129="si",BJ178,0)</f>
        <v>-0.48022136807352639</v>
      </c>
      <c r="BI207" s="13">
        <f>IF($AL$130="si",BK178,0)</f>
        <v>3.4489259230131462E-17</v>
      </c>
      <c r="BJ207" s="13">
        <f>IF($AL$130="si",BL178,0)</f>
        <v>-0.56302171531863721</v>
      </c>
      <c r="BK207" s="13">
        <f>IF($AL$131="si",BM178,0)</f>
        <v>-1.3752146338471709</v>
      </c>
      <c r="BL207" s="13">
        <f>IF($AL$131="si",BN178,0)</f>
        <v>-0.48022136807352689</v>
      </c>
      <c r="BM207" s="13">
        <f>IF($AL$132="si",BO178,0)</f>
        <v>-2.7311509947161206</v>
      </c>
      <c r="BN207" s="13">
        <f>IF($AL$132="si",BP178,0)</f>
        <v>-0.22845695384356782</v>
      </c>
      <c r="BO207" s="13">
        <f>IF($AL$133="si",BQ178,0)</f>
        <v>-4.0454667905311457</v>
      </c>
      <c r="BP207" s="13">
        <f>IF($AL$133="si",BR178,0)</f>
        <v>0.20261451930686047</v>
      </c>
      <c r="BQ207" s="13">
        <f>IF($AL$134="si",BS178,)</f>
        <v>-5.2888743491714614</v>
      </c>
      <c r="BR207" s="13">
        <f>IF($AL$134="si",BT178,)</f>
        <v>0.83101995755279434</v>
      </c>
      <c r="BS207" s="13">
        <f>IF($AL$135="si",BU178,0)</f>
        <v>-6.4193538234426137</v>
      </c>
      <c r="BT207" s="13">
        <f>IF($AL$135="si",BV178,0)</f>
        <v>1.6833583727711807</v>
      </c>
      <c r="BU207" s="13">
        <f>IF($AL$136="si",BW178,0)</f>
        <v>-7.3728011230173935</v>
      </c>
      <c r="BV207" s="13">
        <f>IF($AL$136="si",BX178,0)</f>
        <v>2.7949575952418435</v>
      </c>
      <c r="BW207" s="13">
        <f t="shared" ref="BW207:CJ207" si="307">+BY178</f>
        <v>0</v>
      </c>
      <c r="BX207" s="13">
        <f t="shared" si="307"/>
        <v>0</v>
      </c>
      <c r="BY207" s="13">
        <f t="shared" si="307"/>
        <v>0</v>
      </c>
      <c r="BZ207" s="13">
        <f t="shared" si="307"/>
        <v>0</v>
      </c>
      <c r="CA207" s="13">
        <f t="shared" si="307"/>
        <v>0</v>
      </c>
      <c r="CB207" s="13">
        <f t="shared" si="307"/>
        <v>0</v>
      </c>
      <c r="CC207" s="13">
        <f t="shared" si="307"/>
        <v>0</v>
      </c>
      <c r="CD207" s="13">
        <f t="shared" si="307"/>
        <v>0</v>
      </c>
      <c r="CE207" s="13">
        <f t="shared" si="307"/>
        <v>0</v>
      </c>
      <c r="CF207" s="13">
        <f t="shared" si="307"/>
        <v>0</v>
      </c>
      <c r="CG207" s="13">
        <f t="shared" si="307"/>
        <v>0</v>
      </c>
      <c r="CH207" s="13">
        <f t="shared" si="307"/>
        <v>0</v>
      </c>
      <c r="CI207" s="13">
        <f t="shared" si="307"/>
        <v>0</v>
      </c>
      <c r="CJ207" s="13">
        <f t="shared" si="307"/>
        <v>0</v>
      </c>
    </row>
    <row r="208" spans="1:88" x14ac:dyDescent="0.25">
      <c r="B208" s="318"/>
      <c r="C208" s="315"/>
      <c r="D208" s="315"/>
      <c r="E208" s="315"/>
      <c r="G208" s="319"/>
      <c r="H208" s="319"/>
      <c r="I208" s="319"/>
      <c r="J208" s="319"/>
      <c r="K208" s="152"/>
      <c r="M208" s="318"/>
      <c r="N208" s="315"/>
      <c r="O208" s="315"/>
      <c r="P208" s="315"/>
      <c r="R208" s="319"/>
      <c r="S208" s="319"/>
      <c r="T208" s="319"/>
      <c r="U208" s="319"/>
      <c r="AB208" s="39">
        <v>0.51041666666667396</v>
      </c>
      <c r="AC208">
        <f t="shared" si="261"/>
        <v>-3.75</v>
      </c>
      <c r="AD208" s="38">
        <f t="shared" si="249"/>
        <v>59.387080409951224</v>
      </c>
      <c r="AE208" s="38">
        <f t="shared" ref="AE208:AE236" si="308">-(180-DEGREES(ACOS((((SIN(RADIANS(AD208)))*SIN(RADIANS($AE$174)))-SIN(RADIANS($AD$174)))/((COS(RADIANS(AD208)))*COS(RADIANS($AE$174))))))</f>
        <v>-172.62107808740797</v>
      </c>
      <c r="AG208">
        <f t="shared" si="255"/>
        <v>3.0612919590048779</v>
      </c>
      <c r="AH208">
        <f t="shared" si="256"/>
        <v>262.62107808740797</v>
      </c>
      <c r="AI208" s="153">
        <f t="shared" si="257"/>
        <v>-0.3931640831063275</v>
      </c>
      <c r="AJ208" s="153">
        <f t="shared" si="258"/>
        <v>-3.0359397988140482</v>
      </c>
      <c r="AK208" s="43"/>
      <c r="AN208" s="323"/>
      <c r="AO208" s="13">
        <f t="shared" ref="AO208:AX208" si="309">+AO178</f>
        <v>0</v>
      </c>
      <c r="AP208" s="13">
        <f t="shared" si="309"/>
        <v>0</v>
      </c>
      <c r="AQ208" s="13">
        <f t="shared" si="309"/>
        <v>0</v>
      </c>
      <c r="AR208" s="13">
        <f t="shared" si="309"/>
        <v>0</v>
      </c>
      <c r="AS208" s="13">
        <f t="shared" si="309"/>
        <v>0</v>
      </c>
      <c r="AT208" s="13">
        <f t="shared" si="309"/>
        <v>0</v>
      </c>
      <c r="AU208" s="13">
        <f t="shared" si="309"/>
        <v>0</v>
      </c>
      <c r="AV208" s="13">
        <f t="shared" si="309"/>
        <v>0</v>
      </c>
      <c r="AW208" s="13">
        <f t="shared" si="309"/>
        <v>0</v>
      </c>
      <c r="AX208" s="13">
        <f t="shared" si="309"/>
        <v>0</v>
      </c>
      <c r="AY208" s="13">
        <f>IF($AL$125="si",AY178,0)</f>
        <v>0</v>
      </c>
      <c r="AZ208" s="13">
        <f>IF($AL$125="si",AZ178,0)</f>
        <v>0</v>
      </c>
      <c r="BA208" s="13">
        <f>IF($AL$126="si",BA178,0)</f>
        <v>6.4193538234426146</v>
      </c>
      <c r="BB208" s="13">
        <f>IF($AL$126="si",BB178,0)</f>
        <v>1.6833583727711794</v>
      </c>
      <c r="BC208" s="13">
        <f>IF($AL$127="si",BC178,0)</f>
        <v>5.2888743491714614</v>
      </c>
      <c r="BD208" s="13">
        <f>IF($AL$127="si",BD178,0)</f>
        <v>0.8310199575527939</v>
      </c>
      <c r="BE208" s="13">
        <f>IF($AL$128="si",BE178,0)</f>
        <v>4.0454667905311457</v>
      </c>
      <c r="BF208" s="13">
        <f>IF($AL$128="si",BF178,0)</f>
        <v>0.20261451930685961</v>
      </c>
      <c r="BG208" s="13">
        <f>IF($AL$129="si",BG178,0)</f>
        <v>2.731150994716121</v>
      </c>
      <c r="BH208" s="13">
        <f>IF($AL$129="si",BH178,0)</f>
        <v>-0.22845695384356918</v>
      </c>
      <c r="BI208" s="13">
        <f>IF($AL$130="si",BI178,0)</f>
        <v>1.3752146338471711</v>
      </c>
      <c r="BJ208" s="13">
        <f>IF($AL$130="si",BJ178,0)</f>
        <v>-0.48022136807352639</v>
      </c>
      <c r="BK208" s="13">
        <f>IF($AL$131="si",BK178,0)</f>
        <v>3.4489259230131462E-17</v>
      </c>
      <c r="BL208" s="13">
        <f>IF($AL$131="si",BL178,0)</f>
        <v>-0.56302171531863721</v>
      </c>
      <c r="BM208" s="13">
        <f>IF($AL$132="si",BM178,0)</f>
        <v>-1.3752146338471709</v>
      </c>
      <c r="BN208" s="13">
        <f>IF($AL$132="si",BN178,0)</f>
        <v>-0.48022136807352689</v>
      </c>
      <c r="BO208" s="13">
        <f>IF($AL$133="si",BO178,0)</f>
        <v>-2.7311509947161206</v>
      </c>
      <c r="BP208" s="13">
        <f>IF($AL$133="si",BP178,0)</f>
        <v>-0.22845695384356782</v>
      </c>
      <c r="BQ208" s="13">
        <f>IF($AL$134="si",BQ178,0)</f>
        <v>-4.0454667905311457</v>
      </c>
      <c r="BR208" s="13">
        <f>IF($AL$134="si",BR178,0)</f>
        <v>0.20261451930686047</v>
      </c>
      <c r="BS208" s="13">
        <f>IF($AL$135="si",BS178,0)</f>
        <v>-5.2888743491714614</v>
      </c>
      <c r="BT208" s="13">
        <f>IF($AL$135="si",BT178,0)</f>
        <v>0.83101995755279434</v>
      </c>
      <c r="BU208" s="13">
        <f>IF($AL$136="si",BU178,0)</f>
        <v>-6.4193538234426137</v>
      </c>
      <c r="BV208" s="13">
        <f>IF($AL$136="si",BV178,0)</f>
        <v>1.6833583727711807</v>
      </c>
      <c r="BW208" s="13">
        <f t="shared" ref="BW208:CJ208" si="310">+BW178</f>
        <v>-7.3728011230173935</v>
      </c>
      <c r="BX208" s="13">
        <f t="shared" si="310"/>
        <v>2.7949575952418435</v>
      </c>
      <c r="BY208" s="13">
        <f t="shared" si="310"/>
        <v>0</v>
      </c>
      <c r="BZ208" s="13">
        <f t="shared" si="310"/>
        <v>0</v>
      </c>
      <c r="CA208" s="13">
        <f t="shared" si="310"/>
        <v>0</v>
      </c>
      <c r="CB208" s="13">
        <f t="shared" si="310"/>
        <v>0</v>
      </c>
      <c r="CC208" s="13">
        <f t="shared" si="310"/>
        <v>0</v>
      </c>
      <c r="CD208" s="13">
        <f t="shared" si="310"/>
        <v>0</v>
      </c>
      <c r="CE208" s="13">
        <f t="shared" si="310"/>
        <v>0</v>
      </c>
      <c r="CF208" s="13">
        <f t="shared" si="310"/>
        <v>0</v>
      </c>
      <c r="CG208" s="13">
        <f t="shared" si="310"/>
        <v>0</v>
      </c>
      <c r="CH208" s="13">
        <f t="shared" si="310"/>
        <v>0</v>
      </c>
      <c r="CI208" s="13">
        <f t="shared" si="310"/>
        <v>0</v>
      </c>
      <c r="CJ208" s="13">
        <f t="shared" si="310"/>
        <v>0</v>
      </c>
    </row>
    <row r="209" spans="1:88" x14ac:dyDescent="0.25">
      <c r="B209" s="39">
        <v>0.25</v>
      </c>
      <c r="C209" s="38">
        <v>90</v>
      </c>
      <c r="D209" s="38">
        <f>+DEGREES(ASIN(COS(RADIANS(E206))*COS(RADIANS(D206))*COS(RADIANS(C209))+SIN(RADIANS(E206))*SIN(RADIANS(D206))))</f>
        <v>-0.10447232992793457</v>
      </c>
      <c r="E209" s="38">
        <f>180-DEGREES(ACOS((((SIN(RADIANS(D209)))*SIN(RADIANS(E206)))-SIN(RADIANS(D206)))/((COS(RADIANS(D209)))*COS(RADIANS(E206)))))</f>
        <v>90.389899484642541</v>
      </c>
      <c r="G209">
        <f t="shared" ref="G209:G221" si="311">9-(D209/10)</f>
        <v>9.010447232992794</v>
      </c>
      <c r="H209">
        <f t="shared" ref="H209:H221" si="312">90-E209+$AH$172</f>
        <v>-0.38989948464254098</v>
      </c>
      <c r="I209" s="153">
        <f t="shared" ref="I209:I221" si="313">IF($E$206&gt;=$AE$174,0,G209*COS(RADIANS(H209)))</f>
        <v>9.0102386039653393</v>
      </c>
      <c r="J209" s="153">
        <f t="shared" ref="J209:J221" si="314">IF($E$206&gt;=$AE$174,0,G209*SIN(RADIANS(H209)))</f>
        <v>-6.1315888318008875E-2</v>
      </c>
      <c r="K209" s="152"/>
      <c r="M209" s="39">
        <v>0.25</v>
      </c>
      <c r="N209" s="38">
        <v>90</v>
      </c>
      <c r="O209" s="38">
        <f>+DEGREES(ASIN(COS(RADIANS(P206))*COS(RADIANS(O206))*COS(RADIANS(N209))+SIN(RADIANS(P206))*SIN(RADIANS(O206))))</f>
        <v>-0.13805651750742945</v>
      </c>
      <c r="P209" s="38">
        <f>180-DEGREES(ACOS((((SIN(RADIANS(O209)))*SIN(RADIANS(P206)))-SIN(RADIANS(O206)))/((COS(RADIANS(O209)))*COS(RADIANS(P206)))))</f>
        <v>90.379310669221951</v>
      </c>
      <c r="R209">
        <f t="shared" ref="R209:R221" si="315">9-(O209/10)</f>
        <v>9.0138056517507437</v>
      </c>
      <c r="S209">
        <f t="shared" ref="S209:S221" si="316">90-P209+$AH$172</f>
        <v>-0.379310669221951</v>
      </c>
      <c r="T209" s="153">
        <f t="shared" ref="T209:T221" si="317">IF($P$206&gt;=$AE$174,0,R209*COS(RADIANS(S209)))</f>
        <v>9.0136081270281014</v>
      </c>
      <c r="U209" s="153">
        <f t="shared" ref="U209:U221" si="318">IF($P$206&gt;=$AE$174,0,R209*SIN(RADIANS(S209)))</f>
        <v>-5.9672941159190536E-2</v>
      </c>
      <c r="AB209" s="39">
        <v>0.52083333333334103</v>
      </c>
      <c r="AC209">
        <f t="shared" si="261"/>
        <v>-7.5</v>
      </c>
      <c r="AD209" s="38">
        <f t="shared" si="249"/>
        <v>58.767758345427602</v>
      </c>
      <c r="AE209" s="38">
        <f t="shared" si="308"/>
        <v>-165.42022086471553</v>
      </c>
      <c r="AG209">
        <f t="shared" si="255"/>
        <v>3.1232241654572395</v>
      </c>
      <c r="AH209">
        <f t="shared" si="256"/>
        <v>255.42022086471553</v>
      </c>
      <c r="AI209" s="153">
        <f t="shared" si="257"/>
        <v>-0.78620240425297216</v>
      </c>
      <c r="AJ209" s="153">
        <f t="shared" si="258"/>
        <v>-3.0226503216950045</v>
      </c>
      <c r="AK209" s="43"/>
      <c r="AN209" s="324"/>
      <c r="AO209" s="45">
        <f t="shared" ref="AO209:AX209" si="319">+AQ177</f>
        <v>0</v>
      </c>
      <c r="AP209" s="45">
        <f t="shared" si="319"/>
        <v>0</v>
      </c>
      <c r="AQ209" s="45">
        <f t="shared" si="319"/>
        <v>0</v>
      </c>
      <c r="AR209" s="45">
        <f t="shared" si="319"/>
        <v>0</v>
      </c>
      <c r="AS209" s="45">
        <f t="shared" si="319"/>
        <v>0</v>
      </c>
      <c r="AT209" s="45">
        <f t="shared" si="319"/>
        <v>0</v>
      </c>
      <c r="AU209" s="45">
        <f t="shared" si="319"/>
        <v>0</v>
      </c>
      <c r="AV209" s="45">
        <f t="shared" si="319"/>
        <v>0</v>
      </c>
      <c r="AW209" s="45">
        <f t="shared" si="319"/>
        <v>7.4939503996922818</v>
      </c>
      <c r="AX209" s="45">
        <f t="shared" si="319"/>
        <v>2.6513500426204568</v>
      </c>
      <c r="AY209" s="45">
        <f>IF($AL$125="si",BA177,0)</f>
        <v>0</v>
      </c>
      <c r="AZ209" s="45">
        <f>IF($AL$125="si",BB177,0)</f>
        <v>0</v>
      </c>
      <c r="BA209" s="45">
        <f>IF($AL$126="si",BC177,0)</f>
        <v>5.3589112820436533</v>
      </c>
      <c r="BB209" s="45">
        <f>IF($AL$126="si",BD177,0)</f>
        <v>0.68552167573681078</v>
      </c>
      <c r="BC209" s="45">
        <f>IF($AL$127="si",BE177,0)</f>
        <v>4.0953514088422205</v>
      </c>
      <c r="BD209" s="45">
        <f>IF($AL$127="si",BF177,0)</f>
        <v>5.8631501008162723E-2</v>
      </c>
      <c r="BE209" s="45">
        <f>IF($AL$128="si",BG177,0)</f>
        <v>2.7632024243694069</v>
      </c>
      <c r="BF209" s="45">
        <f>IF($AL$128="si",BH177,0)</f>
        <v>-0.37090968772972588</v>
      </c>
      <c r="BG209" s="45">
        <f>IF($AL$129="si",BI177,0)</f>
        <v>1.390890301003268</v>
      </c>
      <c r="BH209" s="45">
        <f>IF($AL$129="si",BJ177,0)</f>
        <v>-0.62161206557584159</v>
      </c>
      <c r="BI209" s="45">
        <f>IF($AL$130="si",BK177,0)</f>
        <v>4.312752546919713E-17</v>
      </c>
      <c r="BJ209" s="45">
        <f>IF($AL$130="si",BL177,0)</f>
        <v>-0.70403754412625652</v>
      </c>
      <c r="BK209" s="45">
        <f>IF($AL$131="si",BM177,0)</f>
        <v>-1.390890301003268</v>
      </c>
      <c r="BL209" s="45">
        <f>IF($AL$131="si",BN177,0)</f>
        <v>-0.62161206557584281</v>
      </c>
      <c r="BM209" s="45">
        <f>IF($AL$132="si",BO177,0)</f>
        <v>-2.7632024243694078</v>
      </c>
      <c r="BN209" s="45">
        <f>IF($AL$132="si",BP177,0)</f>
        <v>-0.37090968772972532</v>
      </c>
      <c r="BO209" s="45">
        <f>IF($AL$133="si",BQ177,0)</f>
        <v>-4.0953514088422205</v>
      </c>
      <c r="BP209" s="45">
        <f>IF($AL$133="si",BR177,0)</f>
        <v>5.8631501008163472E-2</v>
      </c>
      <c r="BQ209" s="45">
        <f>IF($AL$134="si",BS177,0)</f>
        <v>-5.3589112820436533</v>
      </c>
      <c r="BR209" s="45">
        <f>IF($AL$134="si",BT177,0)</f>
        <v>0.68552167573681033</v>
      </c>
      <c r="BS209" s="45">
        <f>IF($AL$135="si",BU177,0)</f>
        <v>-6.5128329273581409</v>
      </c>
      <c r="BT209" s="45">
        <f>IF($AL$135="si",BV177,0)</f>
        <v>1.5373408369743473</v>
      </c>
      <c r="BU209" s="45">
        <f>IF($AL$136="si",BW177,0)</f>
        <v>-7.4939503996922818</v>
      </c>
      <c r="BV209" s="45">
        <f>IF($AL$136="si",BX177,0)</f>
        <v>2.6513500426204546</v>
      </c>
      <c r="BW209" s="45">
        <f t="shared" ref="BW209:CJ209" si="320">+BY177</f>
        <v>0</v>
      </c>
      <c r="BX209" s="45">
        <f t="shared" si="320"/>
        <v>0</v>
      </c>
      <c r="BY209" s="45">
        <f t="shared" si="320"/>
        <v>0</v>
      </c>
      <c r="BZ209" s="45">
        <f t="shared" si="320"/>
        <v>0</v>
      </c>
      <c r="CA209" s="45">
        <f t="shared" si="320"/>
        <v>0</v>
      </c>
      <c r="CB209" s="45">
        <f t="shared" si="320"/>
        <v>0</v>
      </c>
      <c r="CC209" s="45">
        <f t="shared" si="320"/>
        <v>0</v>
      </c>
      <c r="CD209" s="45">
        <f t="shared" si="320"/>
        <v>0</v>
      </c>
      <c r="CE209" s="45">
        <f t="shared" si="320"/>
        <v>0</v>
      </c>
      <c r="CF209" s="45">
        <f t="shared" si="320"/>
        <v>0</v>
      </c>
      <c r="CG209" s="45" t="e">
        <f t="shared" si="320"/>
        <v>#NUM!</v>
      </c>
      <c r="CH209" s="45" t="e">
        <f t="shared" si="320"/>
        <v>#NUM!</v>
      </c>
      <c r="CI209" s="45">
        <f t="shared" si="320"/>
        <v>0</v>
      </c>
      <c r="CJ209" s="45">
        <f t="shared" si="320"/>
        <v>0</v>
      </c>
    </row>
    <row r="210" spans="1:88" x14ac:dyDescent="0.25">
      <c r="B210" s="39">
        <v>0.29166666666666669</v>
      </c>
      <c r="C210">
        <v>75</v>
      </c>
      <c r="D210" s="38">
        <f>+DEGREES(ASIN(COS(RADIANS(E206))*COS(RADIANS(D206))*COS(RADIANS(C210))+SIN(RADIANS(E206))*SIN(RADIANS(D206))))</f>
        <v>14.369272893621556</v>
      </c>
      <c r="E210" s="38">
        <f>180-DEGREES(ACOS((((SIN(RADIANS(D210)))*SIN(RADIANS(E206)))-SIN(RADIANS(D206)))/((COS(RADIANS(D210)))*COS(RADIANS(E206)))))</f>
        <v>94.368656764923699</v>
      </c>
      <c r="G210">
        <f t="shared" si="311"/>
        <v>7.5630727106378446</v>
      </c>
      <c r="H210">
        <f t="shared" si="312"/>
        <v>-4.3686567649236991</v>
      </c>
      <c r="I210" s="153">
        <f t="shared" si="313"/>
        <v>7.5410987445327518</v>
      </c>
      <c r="J210" s="153">
        <f t="shared" si="314"/>
        <v>-0.57610637177645341</v>
      </c>
      <c r="K210" s="152"/>
      <c r="M210" s="39">
        <v>0.29166666666666669</v>
      </c>
      <c r="N210">
        <v>75</v>
      </c>
      <c r="O210" s="38">
        <f>+DEGREES(ASIN(COS(RADIANS(P206))*COS(RADIANS(O206))*COS(RADIANS(N210))+SIN(RADIANS(P206))*SIN(RADIANS(O206))))</f>
        <v>13.933453227779413</v>
      </c>
      <c r="P210" s="38">
        <f>180-DEGREES(ACOS((((SIN(RADIANS(O210)))*SIN(RADIANS(P206)))-SIN(RADIANS(O206)))/((COS(RADIANS(O210)))*COS(RADIANS(P206)))))</f>
        <v>95.62536737544977</v>
      </c>
      <c r="R210">
        <f t="shared" si="315"/>
        <v>7.6066546772220587</v>
      </c>
      <c r="S210">
        <f t="shared" si="316"/>
        <v>-5.6253673754497697</v>
      </c>
      <c r="T210" s="153">
        <f t="shared" si="317"/>
        <v>7.5700217750763867</v>
      </c>
      <c r="U210" s="153">
        <f t="shared" si="318"/>
        <v>-0.74563107725843436</v>
      </c>
      <c r="AB210" s="39">
        <v>0.53125000000000799</v>
      </c>
      <c r="AC210">
        <f t="shared" si="261"/>
        <v>-11.25</v>
      </c>
      <c r="AD210" s="38">
        <f t="shared" si="249"/>
        <v>57.762195170672989</v>
      </c>
      <c r="AE210" s="38">
        <f t="shared" si="308"/>
        <v>-158.54835243702061</v>
      </c>
      <c r="AG210">
        <f t="shared" si="255"/>
        <v>3.2237804829327015</v>
      </c>
      <c r="AH210">
        <f t="shared" si="256"/>
        <v>248.54835243702061</v>
      </c>
      <c r="AI210" s="153">
        <f t="shared" si="257"/>
        <v>-1.1789878076001203</v>
      </c>
      <c r="AJ210" s="153">
        <f t="shared" si="258"/>
        <v>-3.000458023647067</v>
      </c>
      <c r="AK210" s="43"/>
    </row>
    <row r="211" spans="1:88" x14ac:dyDescent="0.25">
      <c r="B211" s="39">
        <v>0.33333333333333298</v>
      </c>
      <c r="C211" s="38">
        <v>60</v>
      </c>
      <c r="D211" s="38">
        <f>+DEGREES(ASIN(COS(RADIANS(E206))*COS(RADIANS(D206))*COS(RADIANS(C211))+SIN(RADIANS(E206))*SIN(RADIANS(D206))))</f>
        <v>28.759069520289422</v>
      </c>
      <c r="E211" s="38">
        <f>180-DEGREES(ACOS((((SIN(RADIANS(D211)))*SIN(RADIANS(E206)))-SIN(RADIANS(D206)))/((COS(RADIANS(D211)))*COS(RADIANS(E206)))))</f>
        <v>98.93865739925937</v>
      </c>
      <c r="G211">
        <f t="shared" si="311"/>
        <v>6.1240930479710576</v>
      </c>
      <c r="H211">
        <f t="shared" si="312"/>
        <v>-8.9386573992593696</v>
      </c>
      <c r="I211" s="153">
        <f t="shared" si="313"/>
        <v>6.0497175178056715</v>
      </c>
      <c r="J211" s="153">
        <f t="shared" si="314"/>
        <v>-0.95154275519422782</v>
      </c>
      <c r="K211" s="152"/>
      <c r="M211" s="39">
        <v>0.33333333333333298</v>
      </c>
      <c r="N211" s="38">
        <v>60</v>
      </c>
      <c r="O211" s="38">
        <f>+DEGREES(ASIN(COS(RADIANS(P206))*COS(RADIANS(O206))*COS(RADIANS(N211))+SIN(RADIANS(P206))*SIN(RADIANS(O206))))</f>
        <v>27.867284381409078</v>
      </c>
      <c r="P211" s="38">
        <f>180-DEGREES(ACOS((((SIN(RADIANS(O211)))*SIN(RADIANS(P206)))-SIN(RADIANS(O206)))/((COS(RADIANS(O211)))*COS(RADIANS(P206)))))</f>
        <v>101.59116923367722</v>
      </c>
      <c r="R211">
        <f t="shared" si="315"/>
        <v>6.2132715618590924</v>
      </c>
      <c r="S211">
        <f t="shared" si="316"/>
        <v>-11.591169233677221</v>
      </c>
      <c r="T211" s="153">
        <f t="shared" si="317"/>
        <v>6.0865595262650283</v>
      </c>
      <c r="U211" s="153">
        <f t="shared" si="318"/>
        <v>-1.2484136472497267</v>
      </c>
      <c r="AB211" s="39">
        <v>0.54166666666667496</v>
      </c>
      <c r="AC211">
        <f t="shared" si="261"/>
        <v>-15</v>
      </c>
      <c r="AD211" s="38">
        <f t="shared" si="249"/>
        <v>56.40536291527436</v>
      </c>
      <c r="AE211" s="38">
        <f t="shared" si="308"/>
        <v>-152.11163440142451</v>
      </c>
      <c r="AG211">
        <f t="shared" si="255"/>
        <v>3.359463708472564</v>
      </c>
      <c r="AH211">
        <f t="shared" si="256"/>
        <v>242.11163440142451</v>
      </c>
      <c r="AI211" s="153">
        <f t="shared" si="257"/>
        <v>-1.5713903200522463</v>
      </c>
      <c r="AJ211" s="153">
        <f t="shared" si="258"/>
        <v>-2.9692977066286792</v>
      </c>
      <c r="AK211" s="43"/>
      <c r="AQ211" s="325" t="s">
        <v>53</v>
      </c>
      <c r="AR211" s="325"/>
      <c r="AT211" s="325" t="s">
        <v>57</v>
      </c>
      <c r="AU211" s="325"/>
      <c r="AW211" s="325" t="s">
        <v>58</v>
      </c>
      <c r="AX211" s="325"/>
      <c r="AZ211" s="325" t="s">
        <v>59</v>
      </c>
      <c r="BA211" s="325"/>
      <c r="BC211" s="325" t="s">
        <v>60</v>
      </c>
      <c r="BD211" s="325"/>
      <c r="BF211" s="325" t="s">
        <v>61</v>
      </c>
      <c r="BG211" s="325"/>
      <c r="BI211" s="325" t="s">
        <v>67</v>
      </c>
      <c r="BJ211" s="325"/>
    </row>
    <row r="212" spans="1:88" x14ac:dyDescent="0.25">
      <c r="B212" s="39">
        <v>0.375</v>
      </c>
      <c r="C212">
        <v>45</v>
      </c>
      <c r="D212" s="38">
        <f>+DEGREES(ASIN(COS(RADIANS(E206))*COS(RADIANS(D206))*COS(RADIANS(C212))+SIN(RADIANS(E206))*SIN(RADIANS(D206))))</f>
        <v>42.935323986604324</v>
      </c>
      <c r="E212" s="38">
        <f>180-DEGREES(ACOS((((SIN(RADIANS(D212)))*SIN(RADIANS(E206)))-SIN(RADIANS(D206)))/((COS(RADIANS(D212)))*COS(RADIANS(E206)))))</f>
        <v>105.02639236235854</v>
      </c>
      <c r="G212">
        <f t="shared" si="311"/>
        <v>4.7064676013395674</v>
      </c>
      <c r="H212">
        <f t="shared" si="312"/>
        <v>-15.026392362358536</v>
      </c>
      <c r="I212" s="153">
        <f t="shared" si="313"/>
        <v>4.5455370158281161</v>
      </c>
      <c r="J212" s="153">
        <f t="shared" si="314"/>
        <v>-1.2202174069383884</v>
      </c>
      <c r="K212" s="152"/>
      <c r="M212" s="39">
        <v>0.375</v>
      </c>
      <c r="N212">
        <v>45</v>
      </c>
      <c r="O212" s="38">
        <f>+DEGREES(ASIN(COS(RADIANS(P206))*COS(RADIANS(O206))*COS(RADIANS(N212))+SIN(RADIANS(P206))*SIN(RADIANS(O206))))</f>
        <v>41.455411356106673</v>
      </c>
      <c r="P212" s="38">
        <f>180-DEGREES(ACOS((((SIN(RADIANS(O212)))*SIN(RADIANS(P206)))-SIN(RADIANS(O206)))/((COS(RADIANS(O212)))*COS(RADIANS(P206)))))</f>
        <v>109.36059218001047</v>
      </c>
      <c r="R212">
        <f t="shared" si="315"/>
        <v>4.8544588643893327</v>
      </c>
      <c r="S212">
        <f t="shared" si="316"/>
        <v>-19.360592180010471</v>
      </c>
      <c r="T212" s="153">
        <f t="shared" si="317"/>
        <v>4.5799435554700727</v>
      </c>
      <c r="U212" s="153">
        <f t="shared" si="318"/>
        <v>-1.6093128641616943</v>
      </c>
      <c r="AB212" s="39">
        <v>0.55208333333334203</v>
      </c>
      <c r="AC212">
        <f t="shared" si="261"/>
        <v>-18.75</v>
      </c>
      <c r="AD212" s="38">
        <f t="shared" si="249"/>
        <v>54.738201152439906</v>
      </c>
      <c r="AE212" s="38">
        <f t="shared" si="308"/>
        <v>-146.16719737991926</v>
      </c>
      <c r="AG212">
        <f t="shared" si="255"/>
        <v>3.5261798847560097</v>
      </c>
      <c r="AH212">
        <f t="shared" si="256"/>
        <v>236.16719737991926</v>
      </c>
      <c r="AI212" s="153">
        <f t="shared" si="257"/>
        <v>-1.9632756679104457</v>
      </c>
      <c r="AJ212" s="153">
        <f t="shared" si="258"/>
        <v>-2.9290771979326014</v>
      </c>
      <c r="AK212" s="43"/>
      <c r="AP212" s="317" t="s">
        <v>90</v>
      </c>
      <c r="AQ212" s="315"/>
      <c r="AR212" s="315"/>
      <c r="AT212" s="315"/>
      <c r="AU212" s="315"/>
      <c r="AW212" s="315"/>
      <c r="AX212" s="315"/>
      <c r="AZ212" s="315"/>
      <c r="BA212" s="315"/>
      <c r="BC212" s="315"/>
      <c r="BD212" s="315"/>
      <c r="BF212" s="315"/>
      <c r="BG212" s="315"/>
      <c r="BI212" s="315"/>
      <c r="BJ212" s="315"/>
    </row>
    <row r="213" spans="1:88" x14ac:dyDescent="0.25">
      <c r="B213" s="39">
        <v>0.41666666666666702</v>
      </c>
      <c r="C213" s="38">
        <v>30</v>
      </c>
      <c r="D213" s="38">
        <f>+DEGREES(ASIN(COS(RADIANS(E206))*COS(RADIANS(D206))*COS(RADIANS(C213))+SIN(RADIANS(E206))*SIN(RADIANS(D206))))</f>
        <v>56.581716592822332</v>
      </c>
      <c r="E213" s="38">
        <f>180-DEGREES(ACOS((((SIN(RADIANS(D213)))*SIN(RADIANS(E206)))-SIN(RADIANS(D206)))/((COS(RADIANS(D213)))*COS(RADIANS(E206)))))</f>
        <v>114.79212098330166</v>
      </c>
      <c r="G213">
        <f t="shared" si="311"/>
        <v>3.3418283407177665</v>
      </c>
      <c r="H213">
        <f t="shared" si="312"/>
        <v>-24.792120983301658</v>
      </c>
      <c r="I213" s="153">
        <f t="shared" si="313"/>
        <v>3.0338292356824281</v>
      </c>
      <c r="J213" s="153">
        <f t="shared" si="314"/>
        <v>-1.4013196735731053</v>
      </c>
      <c r="K213" s="152"/>
      <c r="M213" s="39">
        <v>0.41666666666666702</v>
      </c>
      <c r="N213" s="38">
        <v>30</v>
      </c>
      <c r="O213" s="38">
        <f>+DEGREES(ASIN(COS(RADIANS(P206))*COS(RADIANS(O206))*COS(RADIANS(N213))+SIN(RADIANS(P206))*SIN(RADIANS(O206))))</f>
        <v>54.229799687692569</v>
      </c>
      <c r="P213" s="38">
        <f>180-DEGREES(ACOS((((SIN(RADIANS(O213)))*SIN(RADIANS(P206)))-SIN(RADIANS(O206)))/((COS(RADIANS(O213)))*COS(RADIANS(P206)))))</f>
        <v>121.20064439621024</v>
      </c>
      <c r="R213">
        <f t="shared" si="315"/>
        <v>3.5770200312307434</v>
      </c>
      <c r="S213">
        <f t="shared" si="316"/>
        <v>-31.200644396210237</v>
      </c>
      <c r="T213" s="153">
        <f t="shared" si="317"/>
        <v>3.0596342520920516</v>
      </c>
      <c r="U213" s="153">
        <f t="shared" si="318"/>
        <v>-1.8530274005667327</v>
      </c>
      <c r="AB213" s="39">
        <v>0.56250000000000899</v>
      </c>
      <c r="AC213">
        <f t="shared" si="261"/>
        <v>-22.5</v>
      </c>
      <c r="AD213" s="38">
        <f t="shared" si="249"/>
        <v>52.802924772419509</v>
      </c>
      <c r="AE213" s="38">
        <f t="shared" si="308"/>
        <v>-140.72961032593952</v>
      </c>
      <c r="AG213">
        <f t="shared" si="255"/>
        <v>3.7197075227580489</v>
      </c>
      <c r="AH213">
        <f t="shared" si="256"/>
        <v>230.72961032593952</v>
      </c>
      <c r="AI213" s="153">
        <f t="shared" si="257"/>
        <v>-2.3545037010682446</v>
      </c>
      <c r="AJ213" s="153">
        <f t="shared" si="258"/>
        <v>-2.8796764360807554</v>
      </c>
      <c r="AK213" s="43"/>
      <c r="AP213" s="318"/>
      <c r="AQ213" s="315"/>
      <c r="AR213" s="315"/>
      <c r="AT213" s="315"/>
      <c r="AU213" s="315"/>
      <c r="AW213" s="315"/>
      <c r="AX213" s="315"/>
      <c r="AZ213" s="315"/>
      <c r="BA213" s="315"/>
      <c r="BC213" s="315"/>
      <c r="BD213" s="315"/>
      <c r="BF213" s="315"/>
      <c r="BG213" s="315"/>
      <c r="BI213" s="315"/>
      <c r="BJ213" s="315"/>
    </row>
    <row r="214" spans="1:88" x14ac:dyDescent="0.25">
      <c r="B214" s="39">
        <v>0.45833333333333298</v>
      </c>
      <c r="C214">
        <v>15</v>
      </c>
      <c r="D214" s="38">
        <f>+DEGREES(ASIN(COS(RADIANS(E206))*COS(RADIANS(D206))*COS(RADIANS(C214))+SIN(RADIANS(E206))*SIN(RADIANS(D206))))</f>
        <v>68.617334206518535</v>
      </c>
      <c r="E214" s="38">
        <f>180-DEGREES(ACOS((((SIN(RADIANS(D214)))*SIN(RADIANS(E206)))-SIN(RADIANS(D206)))/((COS(RADIANS(D214)))*COS(RADIANS(E206)))))</f>
        <v>134.77621690727344</v>
      </c>
      <c r="G214">
        <f t="shared" si="311"/>
        <v>2.1382665793481461</v>
      </c>
      <c r="H214">
        <f t="shared" si="312"/>
        <v>-44.776216907273437</v>
      </c>
      <c r="I214" s="153">
        <f t="shared" si="313"/>
        <v>1.5178766801740677</v>
      </c>
      <c r="J214" s="153">
        <f t="shared" si="314"/>
        <v>-1.5060658511967437</v>
      </c>
      <c r="K214" s="152"/>
      <c r="M214" s="39">
        <v>0.45833333333333298</v>
      </c>
      <c r="N214">
        <v>15</v>
      </c>
      <c r="O214" s="38">
        <f>+DEGREES(ASIN(COS(RADIANS(P206))*COS(RADIANS(O206))*COS(RADIANS(N214))+SIN(RADIANS(P206))*SIN(RADIANS(O206))))</f>
        <v>64.855802753889463</v>
      </c>
      <c r="P214" s="38">
        <f>180-DEGREES(ACOS((((SIN(RADIANS(O214)))*SIN(RADIANS(P206)))-SIN(RADIANS(O206)))/((COS(RADIANS(O214)))*COS(RADIANS(P206)))))</f>
        <v>142.4742952535257</v>
      </c>
      <c r="R214">
        <f t="shared" si="315"/>
        <v>2.514419724611054</v>
      </c>
      <c r="S214">
        <f t="shared" si="316"/>
        <v>-52.474295253525696</v>
      </c>
      <c r="T214" s="153">
        <f t="shared" si="317"/>
        <v>1.5315765330883693</v>
      </c>
      <c r="U214" s="153">
        <f t="shared" si="318"/>
        <v>-1.9941363731716393</v>
      </c>
      <c r="AB214" s="39">
        <v>0.57291666666667596</v>
      </c>
      <c r="AC214">
        <f t="shared" si="261"/>
        <v>-26.25</v>
      </c>
      <c r="AD214" s="38">
        <f t="shared" si="249"/>
        <v>50.639664155446681</v>
      </c>
      <c r="AE214" s="38">
        <f t="shared" si="308"/>
        <v>-135.7825062262597</v>
      </c>
      <c r="AG214">
        <f t="shared" si="255"/>
        <v>3.9360335844553322</v>
      </c>
      <c r="AH214">
        <f t="shared" si="256"/>
        <v>225.7825062262597</v>
      </c>
      <c r="AI214" s="153">
        <f t="shared" si="257"/>
        <v>-2.7449266891356405</v>
      </c>
      <c r="AJ214" s="153">
        <f t="shared" si="258"/>
        <v>-2.8209462684055402</v>
      </c>
      <c r="AK214" s="43"/>
      <c r="AP214" s="39">
        <v>4.1666666666666664E-2</v>
      </c>
      <c r="AQ214">
        <f t="shared" ref="AQ214:AQ225" si="321">IF(AQ88&lt;0,0,AQ88)</f>
        <v>0</v>
      </c>
      <c r="AR214">
        <f t="shared" ref="AR214:AR224" si="322">180-DEGREES(ACOS((((SIN(RADIANS(AQ214)))*SIN(RADIANS($AR$85)))-SIN(RADIANS($AQ$85)))/((COS(RADIANS(AQ214)))*COS(RADIANS($AR$85)))))</f>
        <v>110.14480796075449</v>
      </c>
      <c r="AT214">
        <f t="shared" ref="AT214:AT225" si="323">IF(BB88&lt;0,0,BB88)</f>
        <v>0</v>
      </c>
      <c r="AU214" s="38">
        <f t="shared" ref="AU214:AU224" si="324">180-DEGREES(ACOS((((SIN(RADIANS(AT214)))*SIN(RADIANS($BC$85)))-SIN(RADIANS($BB$85)))/((COS(RADIANS(AT214)))*COS(RADIANS($BC$85)))))</f>
        <v>99.500362928216276</v>
      </c>
      <c r="AW214">
        <f t="shared" ref="AW214:AW225" si="325">IF(BM88&lt;0,0,BM88)</f>
        <v>0</v>
      </c>
      <c r="AX214" s="38">
        <f t="shared" ref="AX214:AX224" si="326">180-DEGREES(ACOS((((SIN(RADIANS(AW214)))*SIN(RADIANS($BN$85)))-SIN(RADIANS($BM$85)))/((COS(RADIANS(AW214)))*COS(RADIANS($BN$85)))))</f>
        <v>85.402618331677971</v>
      </c>
      <c r="AZ214">
        <f t="shared" ref="AZ214:AZ225" si="327">IF(BX88&lt;0,0,BX88)</f>
        <v>0</v>
      </c>
      <c r="BA214" s="38">
        <f t="shared" ref="BA214:BA224" si="328">180-DEGREES(ACOS((((SIN(RADIANS(AZ214)))*SIN(RADIANS($BY$85)))-SIN(RADIANS($BX$85)))/((COS(RADIANS(AZ214)))*COS(RADIANS($BY$85)))))</f>
        <v>72.888092578495346</v>
      </c>
      <c r="BC214">
        <f t="shared" ref="BC214:BC225" si="329">IF(CI88&lt;0,0,CI88)</f>
        <v>0</v>
      </c>
      <c r="BD214" s="38">
        <f t="shared" ref="BD214:BD224" si="330">180-DEGREES(ACOS((((SIN(RADIANS(BC214)))*SIN(RADIANS($CJ$85)))-SIN(RADIANS($CI$85)))/((COS(RADIANS(BC214)))*COS(RADIANS($CJ$85)))))</f>
        <v>64.572176712649494</v>
      </c>
      <c r="BF214">
        <f t="shared" ref="BF214:BF225" si="331">IF(CT88&lt;0,0,CT88)</f>
        <v>0</v>
      </c>
      <c r="BG214" s="38">
        <f t="shared" ref="BG214:BG224" si="332">180-DEGREES(ACOS((((SIN(RADIANS(BF214)))*SIN(RADIANS($CU$85)))-SIN(RADIANS($CT$85)))/((COS(RADIANS(BF214)))*COS(RADIANS($CU$85)))))</f>
        <v>62.9128608915928</v>
      </c>
      <c r="BI214">
        <f t="shared" ref="BI214:BI225" si="333">IF(DE88&lt;0,0,DE88)</f>
        <v>0</v>
      </c>
      <c r="BJ214" s="38">
        <f t="shared" ref="BJ214:BJ224" si="334">180-DEGREES(ACOS((((SIN(RADIANS(BI214)))*SIN(RADIANS($DF$85)))-SIN(RADIANS($DE$85)))/((COS(RADIANS(BI214)))*COS(RADIANS($DF$85)))))</f>
        <v>116.57086830691144</v>
      </c>
      <c r="BK214" s="39">
        <v>4.1666666666666664E-2</v>
      </c>
    </row>
    <row r="215" spans="1:88" x14ac:dyDescent="0.25">
      <c r="B215" s="39">
        <v>0.5</v>
      </c>
      <c r="C215" s="38">
        <v>0</v>
      </c>
      <c r="D215" s="38">
        <f>+DEGREES(ASIN(COS(RADIANS(E206))*COS(RADIANS(D206))*COS(RADIANS(C215))+SIN(RADIANS(E206))*SIN(RADIANS(D206))))</f>
        <v>74.596346798145689</v>
      </c>
      <c r="E215" s="38">
        <f>+IF(E206&gt;=0,180,0)</f>
        <v>180</v>
      </c>
      <c r="G215">
        <f t="shared" si="311"/>
        <v>1.5403653201854315</v>
      </c>
      <c r="H215">
        <f t="shared" si="312"/>
        <v>-90</v>
      </c>
      <c r="I215" s="153">
        <f t="shared" si="313"/>
        <v>9.4358809601000156E-17</v>
      </c>
      <c r="J215" s="153">
        <f t="shared" si="314"/>
        <v>-1.5403653201854315</v>
      </c>
      <c r="K215" s="152"/>
      <c r="M215" s="39">
        <v>0.5</v>
      </c>
      <c r="N215" s="38">
        <v>0</v>
      </c>
      <c r="O215" s="38">
        <f>+DEGREES(ASIN(COS(RADIANS(P206))*COS(RADIANS(O206))*COS(RADIANS(N215))+SIN(RADIANS(P206))*SIN(RADIANS(O206))))</f>
        <v>69.596346798145689</v>
      </c>
      <c r="P215" s="38">
        <f>+IF(P206&gt;=0,180,0)</f>
        <v>180</v>
      </c>
      <c r="R215">
        <f t="shared" si="315"/>
        <v>2.0403653201854315</v>
      </c>
      <c r="S215">
        <f t="shared" si="316"/>
        <v>-90</v>
      </c>
      <c r="T215" s="153">
        <f t="shared" si="317"/>
        <v>1.2498752097371566E-16</v>
      </c>
      <c r="U215" s="153">
        <f t="shared" si="318"/>
        <v>-2.0403653201854315</v>
      </c>
      <c r="AB215" s="39">
        <v>0.58333333333334303</v>
      </c>
      <c r="AC215">
        <f t="shared" si="261"/>
        <v>-30</v>
      </c>
      <c r="AD215" s="38">
        <f t="shared" si="249"/>
        <v>48.284559002731697</v>
      </c>
      <c r="AE215" s="38">
        <f t="shared" si="308"/>
        <v>-131.29050984657982</v>
      </c>
      <c r="AG215">
        <f t="shared" si="255"/>
        <v>4.1715440997268303</v>
      </c>
      <c r="AH215">
        <f t="shared" si="256"/>
        <v>221.29050984657982</v>
      </c>
      <c r="AI215" s="153">
        <f t="shared" si="257"/>
        <v>-3.134387449473941</v>
      </c>
      <c r="AJ215" s="153">
        <f t="shared" si="258"/>
        <v>-2.752706939095765</v>
      </c>
      <c r="AK215" s="43"/>
      <c r="AP215" s="39">
        <v>8.3333333333333301E-2</v>
      </c>
      <c r="AQ215">
        <f t="shared" si="321"/>
        <v>0</v>
      </c>
      <c r="AR215">
        <f t="shared" si="322"/>
        <v>110.14480796075449</v>
      </c>
      <c r="AT215">
        <f t="shared" si="323"/>
        <v>0</v>
      </c>
      <c r="AU215" s="38">
        <f t="shared" si="324"/>
        <v>99.500362928216276</v>
      </c>
      <c r="AW215">
        <f t="shared" si="325"/>
        <v>0</v>
      </c>
      <c r="AX215" s="38">
        <f t="shared" si="326"/>
        <v>85.402618331677971</v>
      </c>
      <c r="AZ215">
        <f t="shared" si="327"/>
        <v>0</v>
      </c>
      <c r="BA215" s="38">
        <f t="shared" si="328"/>
        <v>72.888092578495346</v>
      </c>
      <c r="BC215">
        <f t="shared" si="329"/>
        <v>0</v>
      </c>
      <c r="BD215" s="38">
        <f t="shared" si="330"/>
        <v>64.572176712649494</v>
      </c>
      <c r="BF215">
        <f t="shared" si="331"/>
        <v>0</v>
      </c>
      <c r="BG215" s="38">
        <f t="shared" si="332"/>
        <v>62.9128608915928</v>
      </c>
      <c r="BI215">
        <f t="shared" si="333"/>
        <v>0</v>
      </c>
      <c r="BJ215" s="38">
        <f t="shared" si="334"/>
        <v>116.57086830691144</v>
      </c>
      <c r="BK215" s="39">
        <v>8.3333333333333301E-2</v>
      </c>
    </row>
    <row r="216" spans="1:88" x14ac:dyDescent="0.25">
      <c r="B216" s="39">
        <v>0.54166666666666696</v>
      </c>
      <c r="C216">
        <v>-15</v>
      </c>
      <c r="D216" s="38">
        <f>+DEGREES(ASIN(COS(RADIANS(E206))*COS(RADIANS(D206))*COS(RADIANS(C216))+SIN(RADIANS(E206))*SIN(RADIANS(D206))))</f>
        <v>68.617334206518535</v>
      </c>
      <c r="E216" s="38">
        <f>-(180-DEGREES(ACOS((((SIN(RADIANS(D216)))*SIN(RADIANS(E206)))-SIN(RADIANS(D206)))/((COS(RADIANS(D216)))*COS(RADIANS(E206))))))</f>
        <v>-134.77621690727344</v>
      </c>
      <c r="G216">
        <f t="shared" si="311"/>
        <v>2.1382665793481461</v>
      </c>
      <c r="H216">
        <f t="shared" si="312"/>
        <v>224.77621690727344</v>
      </c>
      <c r="I216" s="153">
        <f t="shared" si="313"/>
        <v>-1.517876680174068</v>
      </c>
      <c r="J216" s="153">
        <f t="shared" si="314"/>
        <v>-1.5060658511967435</v>
      </c>
      <c r="K216" s="152"/>
      <c r="M216" s="39">
        <v>0.54166666666666696</v>
      </c>
      <c r="N216">
        <v>-15</v>
      </c>
      <c r="O216" s="38">
        <f>+DEGREES(ASIN(COS(RADIANS(P206))*COS(RADIANS(O206))*COS(RADIANS(N216))+SIN(RADIANS(P206))*SIN(RADIANS(O206))))</f>
        <v>64.855802753889463</v>
      </c>
      <c r="P216" s="38">
        <f>-(180-DEGREES(ACOS((((SIN(RADIANS(O216)))*SIN(RADIANS(P206)))-SIN(RADIANS(O206)))/((COS(RADIANS(O216)))*COS(RADIANS(P206))))))</f>
        <v>-142.4742952535257</v>
      </c>
      <c r="R216">
        <f t="shared" si="315"/>
        <v>2.514419724611054</v>
      </c>
      <c r="S216">
        <f t="shared" si="316"/>
        <v>232.4742952535257</v>
      </c>
      <c r="T216" s="153">
        <f t="shared" si="317"/>
        <v>-1.5315765330883702</v>
      </c>
      <c r="U216" s="153">
        <f t="shared" si="318"/>
        <v>-1.9941363731716391</v>
      </c>
      <c r="AB216" s="39">
        <v>0.59375000000000999</v>
      </c>
      <c r="AC216">
        <f t="shared" si="261"/>
        <v>-33.75</v>
      </c>
      <c r="AD216" s="38">
        <f t="shared" si="249"/>
        <v>45.769010461889643</v>
      </c>
      <c r="AE216" s="38">
        <f t="shared" si="308"/>
        <v>-127.20885604611742</v>
      </c>
      <c r="AG216">
        <f t="shared" si="255"/>
        <v>4.4230989538110359</v>
      </c>
      <c r="AH216">
        <f t="shared" si="256"/>
        <v>217.20885604611743</v>
      </c>
      <c r="AI216" s="153">
        <f t="shared" si="257"/>
        <v>-3.5227172612348849</v>
      </c>
      <c r="AJ216" s="153">
        <f t="shared" si="258"/>
        <v>-2.6747462407866047</v>
      </c>
      <c r="AK216" s="43"/>
      <c r="AP216" s="39">
        <v>0.125</v>
      </c>
      <c r="AQ216">
        <f t="shared" si="321"/>
        <v>0</v>
      </c>
      <c r="AR216">
        <f t="shared" si="322"/>
        <v>110.14480796075449</v>
      </c>
      <c r="AT216">
        <f t="shared" si="323"/>
        <v>0</v>
      </c>
      <c r="AU216" s="38">
        <f t="shared" si="324"/>
        <v>99.500362928216276</v>
      </c>
      <c r="AW216">
        <f t="shared" si="325"/>
        <v>0</v>
      </c>
      <c r="AX216" s="38">
        <f t="shared" si="326"/>
        <v>85.402618331677971</v>
      </c>
      <c r="AZ216">
        <f t="shared" si="327"/>
        <v>0</v>
      </c>
      <c r="BA216" s="38">
        <f t="shared" si="328"/>
        <v>72.888092578495346</v>
      </c>
      <c r="BC216">
        <f t="shared" si="329"/>
        <v>0</v>
      </c>
      <c r="BD216" s="38">
        <f t="shared" si="330"/>
        <v>64.572176712649494</v>
      </c>
      <c r="BF216">
        <f t="shared" si="331"/>
        <v>0</v>
      </c>
      <c r="BG216" s="38">
        <f t="shared" si="332"/>
        <v>62.9128608915928</v>
      </c>
      <c r="BI216">
        <f t="shared" si="333"/>
        <v>0</v>
      </c>
      <c r="BJ216" s="38">
        <f t="shared" si="334"/>
        <v>116.57086830691144</v>
      </c>
      <c r="BK216" s="39">
        <v>0.125</v>
      </c>
    </row>
    <row r="217" spans="1:88" x14ac:dyDescent="0.25">
      <c r="B217" s="39">
        <v>0.58333333333333304</v>
      </c>
      <c r="C217" s="38">
        <v>-30</v>
      </c>
      <c r="D217" s="38">
        <f>+DEGREES(ASIN(COS(RADIANS(E206))*COS(RADIANS(D206))*COS(RADIANS(C217))+SIN(RADIANS(E206))*SIN(RADIANS(D206))))</f>
        <v>56.581716592822332</v>
      </c>
      <c r="E217" s="38">
        <f>-(180-DEGREES(ACOS((((SIN(RADIANS(D217)))*SIN(RADIANS(E206)))-SIN(RADIANS(D206)))/((COS(RADIANS(D217)))*COS(RADIANS(E206))))))</f>
        <v>-114.79212098330166</v>
      </c>
      <c r="G217">
        <f t="shared" si="311"/>
        <v>3.3418283407177665</v>
      </c>
      <c r="H217">
        <f t="shared" si="312"/>
        <v>204.79212098330166</v>
      </c>
      <c r="I217" s="153">
        <f t="shared" si="313"/>
        <v>-3.0338292356824281</v>
      </c>
      <c r="J217" s="153">
        <f t="shared" si="314"/>
        <v>-1.4013196735731048</v>
      </c>
      <c r="K217" s="152"/>
      <c r="M217" s="39">
        <v>0.58333333333333304</v>
      </c>
      <c r="N217" s="38">
        <v>-30</v>
      </c>
      <c r="O217" s="38">
        <f>+DEGREES(ASIN(COS(RADIANS(P206))*COS(RADIANS(O206))*COS(RADIANS(N217))+SIN(RADIANS(P206))*SIN(RADIANS(O206))))</f>
        <v>54.229799687692569</v>
      </c>
      <c r="P217" s="38">
        <f>-(180-DEGREES(ACOS((((SIN(RADIANS(O217)))*SIN(RADIANS(P206)))-SIN(RADIANS(O206)))/((COS(RADIANS(O217)))*COS(RADIANS(P206))))))</f>
        <v>-121.20064439621024</v>
      </c>
      <c r="R217">
        <f t="shared" si="315"/>
        <v>3.5770200312307434</v>
      </c>
      <c r="S217">
        <f t="shared" si="316"/>
        <v>211.20064439621024</v>
      </c>
      <c r="T217" s="153">
        <f t="shared" si="317"/>
        <v>-3.0596342520920516</v>
      </c>
      <c r="U217" s="153">
        <f t="shared" si="318"/>
        <v>-1.8530274005667327</v>
      </c>
      <c r="AB217" s="39">
        <v>0.60416666666667795</v>
      </c>
      <c r="AC217">
        <f t="shared" si="261"/>
        <v>-37.5</v>
      </c>
      <c r="AD217" s="38">
        <f t="shared" si="249"/>
        <v>43.1196844520205</v>
      </c>
      <c r="AE217" s="38">
        <f t="shared" si="308"/>
        <v>-123.49002390271269</v>
      </c>
      <c r="AG217">
        <f t="shared" si="255"/>
        <v>4.6880315547979503</v>
      </c>
      <c r="AH217">
        <f t="shared" si="256"/>
        <v>213.49002390271269</v>
      </c>
      <c r="AI217" s="153">
        <f t="shared" si="257"/>
        <v>-3.9097335118301353</v>
      </c>
      <c r="AJ217" s="153">
        <f t="shared" si="258"/>
        <v>-2.5868172964578857</v>
      </c>
      <c r="AK217" s="43"/>
      <c r="AP217" s="39">
        <v>0.16666666666666699</v>
      </c>
      <c r="AQ217">
        <f t="shared" si="321"/>
        <v>0</v>
      </c>
      <c r="AR217">
        <f t="shared" si="322"/>
        <v>110.14480796075449</v>
      </c>
      <c r="AT217">
        <f t="shared" si="323"/>
        <v>0</v>
      </c>
      <c r="AU217" s="38">
        <f t="shared" si="324"/>
        <v>99.500362928216276</v>
      </c>
      <c r="AW217">
        <f t="shared" si="325"/>
        <v>0</v>
      </c>
      <c r="AX217" s="38">
        <f t="shared" si="326"/>
        <v>85.402618331677971</v>
      </c>
      <c r="AZ217">
        <f t="shared" si="327"/>
        <v>0</v>
      </c>
      <c r="BA217" s="38">
        <f t="shared" si="328"/>
        <v>72.888092578495346</v>
      </c>
      <c r="BC217">
        <f t="shared" si="329"/>
        <v>0</v>
      </c>
      <c r="BD217" s="38">
        <f t="shared" si="330"/>
        <v>64.572176712649494</v>
      </c>
      <c r="BF217">
        <f t="shared" si="331"/>
        <v>0</v>
      </c>
      <c r="BG217" s="38">
        <f t="shared" si="332"/>
        <v>62.9128608915928</v>
      </c>
      <c r="BI217">
        <f t="shared" si="333"/>
        <v>0</v>
      </c>
      <c r="BJ217" s="38">
        <f t="shared" si="334"/>
        <v>116.57086830691144</v>
      </c>
      <c r="BK217" s="39">
        <v>0.16666666666666699</v>
      </c>
    </row>
    <row r="218" spans="1:88" x14ac:dyDescent="0.25">
      <c r="B218" s="39">
        <v>0.625</v>
      </c>
      <c r="C218">
        <v>-45</v>
      </c>
      <c r="D218" s="38">
        <f>+DEGREES(ASIN(COS(RADIANS(E206))*COS(RADIANS(D206))*COS(RADIANS(C218))+SIN(RADIANS(E206))*SIN(RADIANS(D206))))</f>
        <v>42.935323986604324</v>
      </c>
      <c r="E218" s="38">
        <f>-(180-DEGREES(ACOS((((SIN(RADIANS(D218)))*SIN(RADIANS(E206)))-SIN(RADIANS(D206)))/((COS(RADIANS(D218)))*COS(RADIANS(E206))))))</f>
        <v>-105.02639236235854</v>
      </c>
      <c r="G218">
        <f t="shared" si="311"/>
        <v>4.7064676013395674</v>
      </c>
      <c r="H218">
        <f t="shared" si="312"/>
        <v>195.02639236235854</v>
      </c>
      <c r="I218" s="153">
        <f t="shared" si="313"/>
        <v>-4.5455370158281161</v>
      </c>
      <c r="J218" s="153">
        <f t="shared" si="314"/>
        <v>-1.2202174069383891</v>
      </c>
      <c r="K218" s="152"/>
      <c r="M218" s="39">
        <v>0.625</v>
      </c>
      <c r="N218">
        <v>-45</v>
      </c>
      <c r="O218" s="38">
        <f>+DEGREES(ASIN(COS(RADIANS(P206))*COS(RADIANS(O206))*COS(RADIANS(N218))+SIN(RADIANS(P206))*SIN(RADIANS(O206))))</f>
        <v>41.455411356106673</v>
      </c>
      <c r="P218" s="38">
        <f>-(180-DEGREES(ACOS((((SIN(RADIANS(O218)))*SIN(RADIANS(P206)))-SIN(RADIANS(O206)))/((COS(RADIANS(O218)))*COS(RADIANS(P206))))))</f>
        <v>-109.36059218001047</v>
      </c>
      <c r="R218">
        <f t="shared" si="315"/>
        <v>4.8544588643893327</v>
      </c>
      <c r="S218">
        <f t="shared" si="316"/>
        <v>199.36059218001049</v>
      </c>
      <c r="T218" s="153">
        <f t="shared" si="317"/>
        <v>-4.5799435554700727</v>
      </c>
      <c r="U218" s="153">
        <f t="shared" si="318"/>
        <v>-1.6093128641616945</v>
      </c>
      <c r="AB218" s="39">
        <v>0.61458333333334503</v>
      </c>
      <c r="AC218">
        <f t="shared" si="261"/>
        <v>-41.25</v>
      </c>
      <c r="AD218" s="38">
        <f t="shared" si="249"/>
        <v>40.358918432770984</v>
      </c>
      <c r="AE218" s="38">
        <f t="shared" si="308"/>
        <v>-120.08775890220005</v>
      </c>
      <c r="AG218">
        <f t="shared" si="255"/>
        <v>4.9641081567229017</v>
      </c>
      <c r="AH218">
        <f t="shared" si="256"/>
        <v>210.08775890220005</v>
      </c>
      <c r="AI218" s="153">
        <f t="shared" si="257"/>
        <v>-4.2952370124222448</v>
      </c>
      <c r="AJ218" s="153">
        <f t="shared" si="258"/>
        <v>-2.4886359313408777</v>
      </c>
      <c r="AK218" s="43"/>
      <c r="AP218" s="39">
        <v>0.20833333333333334</v>
      </c>
      <c r="AQ218">
        <f t="shared" si="321"/>
        <v>0</v>
      </c>
      <c r="AR218">
        <f t="shared" si="322"/>
        <v>110.14480796075449</v>
      </c>
      <c r="AT218">
        <f t="shared" si="323"/>
        <v>0</v>
      </c>
      <c r="AU218" s="38">
        <f t="shared" si="324"/>
        <v>99.500362928216276</v>
      </c>
      <c r="AW218">
        <f t="shared" si="325"/>
        <v>0</v>
      </c>
      <c r="AX218" s="38">
        <f t="shared" si="326"/>
        <v>85.402618331677971</v>
      </c>
      <c r="AZ218">
        <f t="shared" si="327"/>
        <v>0</v>
      </c>
      <c r="BA218" s="38">
        <f t="shared" si="328"/>
        <v>72.888092578495346</v>
      </c>
      <c r="BC218">
        <f t="shared" si="329"/>
        <v>0</v>
      </c>
      <c r="BD218" s="38">
        <f t="shared" si="330"/>
        <v>64.572176712649494</v>
      </c>
      <c r="BF218">
        <f t="shared" si="331"/>
        <v>0</v>
      </c>
      <c r="BG218" s="38">
        <f t="shared" si="332"/>
        <v>62.9128608915928</v>
      </c>
      <c r="BI218">
        <f t="shared" si="333"/>
        <v>0</v>
      </c>
      <c r="BJ218" s="38">
        <f t="shared" si="334"/>
        <v>116.57086830691144</v>
      </c>
      <c r="BK218" s="39">
        <v>0.20833333333333334</v>
      </c>
    </row>
    <row r="219" spans="1:88" x14ac:dyDescent="0.25">
      <c r="B219" s="39">
        <v>0.66666666666666696</v>
      </c>
      <c r="C219" s="38">
        <v>-60</v>
      </c>
      <c r="D219" s="38">
        <f>+DEGREES(ASIN(COS(RADIANS(E206))*COS(RADIANS(D206))*COS(RADIANS(C219))+SIN(RADIANS(E206))*SIN(RADIANS(D206))))</f>
        <v>28.759069520289422</v>
      </c>
      <c r="E219" s="38">
        <f>-(180-DEGREES(ACOS((((SIN(RADIANS(D219)))*SIN(RADIANS(E206)))-SIN(RADIANS(D206)))/((COS(RADIANS(D219)))*COS(RADIANS(E206))))))</f>
        <v>-98.93865739925937</v>
      </c>
      <c r="G219">
        <f t="shared" si="311"/>
        <v>6.1240930479710576</v>
      </c>
      <c r="H219">
        <f t="shared" si="312"/>
        <v>188.93865739925937</v>
      </c>
      <c r="I219" s="153">
        <f t="shared" si="313"/>
        <v>-6.0497175178056715</v>
      </c>
      <c r="J219" s="153">
        <f t="shared" si="314"/>
        <v>-0.9515427551942266</v>
      </c>
      <c r="K219" s="152"/>
      <c r="M219" s="39">
        <v>0.66666666666666696</v>
      </c>
      <c r="N219" s="38">
        <v>-60</v>
      </c>
      <c r="O219" s="38">
        <f>+DEGREES(ASIN(COS(RADIANS(P206))*COS(RADIANS(O206))*COS(RADIANS(N219))+SIN(RADIANS(P206))*SIN(RADIANS(O206))))</f>
        <v>27.867284381409078</v>
      </c>
      <c r="P219" s="38">
        <f>-(180-DEGREES(ACOS((((SIN(RADIANS(O219)))*SIN(RADIANS(P206)))-SIN(RADIANS(O206)))/((COS(RADIANS(O219)))*COS(RADIANS(P206))))))</f>
        <v>-101.59116923367722</v>
      </c>
      <c r="R219">
        <f t="shared" si="315"/>
        <v>6.2132715618590924</v>
      </c>
      <c r="S219">
        <f t="shared" si="316"/>
        <v>191.59116923367722</v>
      </c>
      <c r="T219" s="153">
        <f t="shared" si="317"/>
        <v>-6.0865595262650283</v>
      </c>
      <c r="U219" s="153">
        <f t="shared" si="318"/>
        <v>-1.2484136472497258</v>
      </c>
      <c r="AB219" s="39">
        <v>0.62500000000001199</v>
      </c>
      <c r="AC219">
        <f t="shared" si="261"/>
        <v>-45</v>
      </c>
      <c r="AD219" s="38">
        <f t="shared" si="249"/>
        <v>37.505293910382669</v>
      </c>
      <c r="AE219" s="38">
        <f t="shared" si="308"/>
        <v>-116.9591888957782</v>
      </c>
      <c r="AG219">
        <f t="shared" si="255"/>
        <v>5.2494706089617331</v>
      </c>
      <c r="AH219">
        <f t="shared" si="256"/>
        <v>206.9591888957782</v>
      </c>
      <c r="AI219" s="153">
        <f t="shared" si="257"/>
        <v>-4.6790089065141434</v>
      </c>
      <c r="AJ219" s="153">
        <f t="shared" si="258"/>
        <v>-2.3798775865817947</v>
      </c>
      <c r="AK219" s="43"/>
      <c r="AP219" s="39">
        <v>0.25</v>
      </c>
      <c r="AQ219">
        <f t="shared" si="321"/>
        <v>0</v>
      </c>
      <c r="AR219">
        <f t="shared" si="322"/>
        <v>110.14480796075449</v>
      </c>
      <c r="AT219">
        <f t="shared" si="323"/>
        <v>0</v>
      </c>
      <c r="AU219" s="38">
        <f t="shared" si="324"/>
        <v>99.500362928216276</v>
      </c>
      <c r="AW219">
        <f t="shared" si="325"/>
        <v>1.9510766725967672</v>
      </c>
      <c r="AX219" s="38">
        <f t="shared" si="326"/>
        <v>86.488170658290201</v>
      </c>
      <c r="AZ219">
        <f t="shared" si="327"/>
        <v>7.1796941081018506</v>
      </c>
      <c r="BA219" s="38">
        <f t="shared" si="328"/>
        <v>76.908415468616056</v>
      </c>
      <c r="BC219">
        <f t="shared" si="329"/>
        <v>10.508522694850116</v>
      </c>
      <c r="BD219" s="38">
        <f t="shared" si="330"/>
        <v>70.516285917220941</v>
      </c>
      <c r="BF219">
        <f t="shared" si="331"/>
        <v>11.152054967319165</v>
      </c>
      <c r="BG219" s="38">
        <f t="shared" si="332"/>
        <v>69.238766580276192</v>
      </c>
      <c r="BI219">
        <f t="shared" si="333"/>
        <v>0</v>
      </c>
      <c r="BJ219" s="38">
        <f t="shared" si="334"/>
        <v>116.57086830691144</v>
      </c>
      <c r="BK219" s="39">
        <v>0.25</v>
      </c>
    </row>
    <row r="220" spans="1:88" x14ac:dyDescent="0.25">
      <c r="B220" s="39">
        <v>0.70833333333333404</v>
      </c>
      <c r="C220">
        <v>-75</v>
      </c>
      <c r="D220" s="38">
        <f>+DEGREES(ASIN(COS(RADIANS(E206))*COS(RADIANS(D206))*COS(RADIANS(C220))+SIN(RADIANS(E206))*SIN(RADIANS(D206))))</f>
        <v>14.369272893621556</v>
      </c>
      <c r="E220" s="38">
        <f>-(180-DEGREES(ACOS((((SIN(RADIANS(D220)))*SIN(RADIANS(E206)))-SIN(RADIANS(D206)))/((COS(RADIANS(D220)))*COS(RADIANS(E206))))))</f>
        <v>-94.368656764923699</v>
      </c>
      <c r="G220">
        <f t="shared" si="311"/>
        <v>7.5630727106378446</v>
      </c>
      <c r="H220">
        <f t="shared" si="312"/>
        <v>184.36865676492368</v>
      </c>
      <c r="I220" s="153">
        <f t="shared" si="313"/>
        <v>-7.5410987445327518</v>
      </c>
      <c r="J220" s="153">
        <f t="shared" si="314"/>
        <v>-0.57610637177645163</v>
      </c>
      <c r="K220" s="152"/>
      <c r="M220" s="39">
        <v>0.70833333333333404</v>
      </c>
      <c r="N220">
        <v>-75</v>
      </c>
      <c r="O220" s="38">
        <f>+DEGREES(ASIN(COS(RADIANS(P206))*COS(RADIANS(O206))*COS(RADIANS(N220))+SIN(RADIANS(P206))*SIN(RADIANS(O206))))</f>
        <v>13.933453227779413</v>
      </c>
      <c r="P220" s="38">
        <f>-(180-DEGREES(ACOS((((SIN(RADIANS(O220)))*SIN(RADIANS(P206)))-SIN(RADIANS(O206)))/((COS(RADIANS(O220)))*COS(RADIANS(P206))))))</f>
        <v>-95.62536737544977</v>
      </c>
      <c r="R220">
        <f t="shared" si="315"/>
        <v>7.6066546772220587</v>
      </c>
      <c r="S220">
        <f t="shared" si="316"/>
        <v>185.62536737544977</v>
      </c>
      <c r="T220" s="153">
        <f t="shared" si="317"/>
        <v>-7.5700217750763859</v>
      </c>
      <c r="U220" s="153">
        <f t="shared" si="318"/>
        <v>-0.7456310772584348</v>
      </c>
      <c r="AB220" s="39">
        <v>0.63541666666667895</v>
      </c>
      <c r="AC220">
        <f t="shared" si="261"/>
        <v>-48.75</v>
      </c>
      <c r="AD220" s="38">
        <f t="shared" si="249"/>
        <v>34.574235654839462</v>
      </c>
      <c r="AE220" s="38">
        <f t="shared" si="308"/>
        <v>-114.06570188831427</v>
      </c>
      <c r="AG220">
        <f t="shared" si="255"/>
        <v>5.5425764345160538</v>
      </c>
      <c r="AH220">
        <f t="shared" si="256"/>
        <v>204.06570188831427</v>
      </c>
      <c r="AI220" s="153">
        <f t="shared" si="257"/>
        <v>-5.0608070798523244</v>
      </c>
      <c r="AJ220" s="153">
        <f t="shared" si="258"/>
        <v>-2.2601737174317549</v>
      </c>
      <c r="AK220" s="43"/>
      <c r="AP220" s="39">
        <v>0.29166666666666702</v>
      </c>
      <c r="AQ220">
        <f t="shared" si="321"/>
        <v>3.9806023907424599</v>
      </c>
      <c r="AR220">
        <f t="shared" si="322"/>
        <v>112.5771078319798</v>
      </c>
      <c r="AT220">
        <f t="shared" si="323"/>
        <v>8.8424843209748119</v>
      </c>
      <c r="AU220" s="38">
        <f t="shared" si="324"/>
        <v>104.68802822282147</v>
      </c>
      <c r="AW220">
        <f t="shared" si="325"/>
        <v>15.051271742006362</v>
      </c>
      <c r="AX220" s="38">
        <f t="shared" si="326"/>
        <v>93.815787356682009</v>
      </c>
      <c r="AZ220">
        <f t="shared" si="327"/>
        <v>20.094408212134532</v>
      </c>
      <c r="BA220" s="38">
        <f t="shared" si="328"/>
        <v>83.69300591455243</v>
      </c>
      <c r="BC220">
        <f t="shared" si="329"/>
        <v>23.081833865003894</v>
      </c>
      <c r="BD220" s="38">
        <f t="shared" si="330"/>
        <v>76.718561537440678</v>
      </c>
      <c r="BF220">
        <f t="shared" si="331"/>
        <v>23.63600454935963</v>
      </c>
      <c r="BG220" s="38">
        <f t="shared" si="332"/>
        <v>75.306075969479892</v>
      </c>
      <c r="BI220">
        <f t="shared" si="333"/>
        <v>1.0425877010819102</v>
      </c>
      <c r="BJ220" s="38">
        <f t="shared" si="334"/>
        <v>117.22586297915178</v>
      </c>
      <c r="BK220" s="39">
        <v>0.29166666666666702</v>
      </c>
    </row>
    <row r="221" spans="1:88" x14ac:dyDescent="0.25">
      <c r="B221" s="39">
        <v>0.75</v>
      </c>
      <c r="C221" s="38">
        <v>-90</v>
      </c>
      <c r="D221" s="38">
        <f>+DEGREES(ASIN(COS(RADIANS(E206))*COS(RADIANS(D206))*COS(RADIANS(C221))+SIN(RADIANS(E206))*SIN(RADIANS(D206))))</f>
        <v>-0.10447232992793457</v>
      </c>
      <c r="E221" s="38">
        <f>-(180-DEGREES(ACOS((((SIN(RADIANS(D221)))*SIN(RADIANS(E206)))-SIN(RADIANS(D206)))/((COS(RADIANS(D221)))*COS(RADIANS(E206))))))</f>
        <v>-90.389899484642541</v>
      </c>
      <c r="G221">
        <f t="shared" si="311"/>
        <v>9.010447232992794</v>
      </c>
      <c r="H221">
        <f t="shared" si="312"/>
        <v>180.38989948464254</v>
      </c>
      <c r="I221" s="153">
        <f t="shared" si="313"/>
        <v>-9.0102386039653393</v>
      </c>
      <c r="J221" s="153">
        <f t="shared" si="314"/>
        <v>-6.1315888318009173E-2</v>
      </c>
      <c r="K221" s="152"/>
      <c r="M221" s="39">
        <v>0.75</v>
      </c>
      <c r="N221" s="38">
        <v>-90</v>
      </c>
      <c r="O221" s="38">
        <f>+DEGREES(ASIN(COS(RADIANS(P206))*COS(RADIANS(O206))*COS(RADIANS(N221))+SIN(RADIANS(P206))*SIN(RADIANS(O206))))</f>
        <v>-0.13805651750742945</v>
      </c>
      <c r="P221" s="38">
        <f>-(180-DEGREES(ACOS((((SIN(RADIANS(O221)))*SIN(RADIANS(P206)))-SIN(RADIANS(O206)))/((COS(RADIANS(O221)))*COS(RADIANS(P206))))))</f>
        <v>-90.379310669221951</v>
      </c>
      <c r="R221">
        <f t="shared" si="315"/>
        <v>9.0138056517507437</v>
      </c>
      <c r="S221">
        <f t="shared" si="316"/>
        <v>180.37931066922195</v>
      </c>
      <c r="T221" s="153">
        <f t="shared" si="317"/>
        <v>-9.0136081270281014</v>
      </c>
      <c r="U221" s="153">
        <f t="shared" si="318"/>
        <v>-5.9672941159190362E-2</v>
      </c>
      <c r="AB221" s="39">
        <v>0.64583333333334603</v>
      </c>
      <c r="AC221">
        <f t="shared" si="261"/>
        <v>-52.5</v>
      </c>
      <c r="AD221" s="38">
        <f t="shared" si="249"/>
        <v>31.578567749170684</v>
      </c>
      <c r="AE221" s="38">
        <f t="shared" si="308"/>
        <v>-111.37309110119403</v>
      </c>
      <c r="AG221">
        <f t="shared" si="255"/>
        <v>5.8421432250829319</v>
      </c>
      <c r="AH221">
        <f t="shared" si="256"/>
        <v>201.37309110119403</v>
      </c>
      <c r="AI221" s="153">
        <f t="shared" si="257"/>
        <v>-5.4403619597776451</v>
      </c>
      <c r="AJ221" s="153">
        <f t="shared" si="258"/>
        <v>-2.1291076085972582</v>
      </c>
      <c r="AK221" s="43"/>
      <c r="AP221" s="39">
        <v>0.33333333333333298</v>
      </c>
      <c r="AQ221">
        <f t="shared" si="321"/>
        <v>15.689450108647346</v>
      </c>
      <c r="AR221">
        <f t="shared" si="322"/>
        <v>120.92625519511847</v>
      </c>
      <c r="AT221">
        <f t="shared" si="323"/>
        <v>21.241041758651765</v>
      </c>
      <c r="AU221" s="38">
        <f t="shared" si="324"/>
        <v>113.15708853016723</v>
      </c>
      <c r="AW221">
        <f t="shared" si="325"/>
        <v>28.03064132064042</v>
      </c>
      <c r="AX221" s="38">
        <f t="shared" si="326"/>
        <v>101.84583698554694</v>
      </c>
      <c r="AZ221">
        <f t="shared" si="327"/>
        <v>33.179114183303909</v>
      </c>
      <c r="BA221" s="38">
        <f t="shared" si="328"/>
        <v>90.692173646055892</v>
      </c>
      <c r="BC221">
        <f t="shared" si="329"/>
        <v>35.974200517974971</v>
      </c>
      <c r="BD221" s="38">
        <f t="shared" si="330"/>
        <v>82.710211003016923</v>
      </c>
      <c r="BF221">
        <f t="shared" si="331"/>
        <v>36.462362723804389</v>
      </c>
      <c r="BG221" s="38">
        <f t="shared" si="332"/>
        <v>81.070349439875727</v>
      </c>
      <c r="BI221">
        <f t="shared" si="333"/>
        <v>12.251377298592953</v>
      </c>
      <c r="BJ221" s="38">
        <f t="shared" si="334"/>
        <v>125.34452095224731</v>
      </c>
      <c r="BK221" s="39">
        <v>0.33333333333333298</v>
      </c>
    </row>
    <row r="222" spans="1:88" x14ac:dyDescent="0.25">
      <c r="K222" s="152"/>
      <c r="L222" s="152"/>
      <c r="AB222" s="39">
        <v>0.65625000000001299</v>
      </c>
      <c r="AC222">
        <f t="shared" si="261"/>
        <v>-56.25</v>
      </c>
      <c r="AD222" s="38">
        <f t="shared" si="249"/>
        <v>28.528998516080662</v>
      </c>
      <c r="AE222" s="38">
        <f t="shared" si="308"/>
        <v>-108.85130613630989</v>
      </c>
      <c r="AG222">
        <f t="shared" si="255"/>
        <v>6.1471001483919334</v>
      </c>
      <c r="AH222">
        <f t="shared" si="256"/>
        <v>198.85130613630989</v>
      </c>
      <c r="AI222" s="153">
        <f t="shared" si="257"/>
        <v>-5.8173715667204986</v>
      </c>
      <c r="AJ222" s="153">
        <f t="shared" si="258"/>
        <v>-1.9862095279884302</v>
      </c>
      <c r="AK222" s="43"/>
      <c r="AP222" s="39">
        <v>0.375</v>
      </c>
      <c r="AQ222">
        <f t="shared" si="321"/>
        <v>26.297342212361595</v>
      </c>
      <c r="AR222">
        <f t="shared" si="322"/>
        <v>131.22199491730089</v>
      </c>
      <c r="AT222">
        <f t="shared" si="323"/>
        <v>32.778902474630826</v>
      </c>
      <c r="AU222" s="38">
        <f t="shared" si="324"/>
        <v>123.67138966374844</v>
      </c>
      <c r="AW222">
        <f t="shared" si="325"/>
        <v>40.579187314260722</v>
      </c>
      <c r="AX222" s="38">
        <f t="shared" si="326"/>
        <v>111.76387408261022</v>
      </c>
      <c r="AZ222">
        <f t="shared" si="327"/>
        <v>46.234000924702507</v>
      </c>
      <c r="BA222" s="38">
        <f t="shared" si="328"/>
        <v>98.931073312987834</v>
      </c>
      <c r="BC222">
        <f t="shared" si="329"/>
        <v>49.04228910837859</v>
      </c>
      <c r="BD222" s="38">
        <f t="shared" si="330"/>
        <v>89.179775376606813</v>
      </c>
      <c r="BF222">
        <f t="shared" si="331"/>
        <v>49.494624805188728</v>
      </c>
      <c r="BG222" s="38">
        <f t="shared" si="332"/>
        <v>87.132774729162193</v>
      </c>
      <c r="BI222">
        <f t="shared" si="333"/>
        <v>22.259218825541542</v>
      </c>
      <c r="BJ222" s="38">
        <f t="shared" si="334"/>
        <v>135.31204694577815</v>
      </c>
      <c r="BK222" s="39">
        <v>0.375</v>
      </c>
    </row>
    <row r="223" spans="1:88" x14ac:dyDescent="0.25">
      <c r="D223" s="44"/>
      <c r="E223" s="13"/>
      <c r="F223" s="13"/>
      <c r="G223" s="13"/>
      <c r="H223" s="13"/>
      <c r="I223" s="13"/>
      <c r="J223" s="13"/>
      <c r="K223" s="152"/>
      <c r="L223" s="152"/>
      <c r="AB223" s="39">
        <v>0.66666666666667995</v>
      </c>
      <c r="AC223">
        <f t="shared" si="261"/>
        <v>-60</v>
      </c>
      <c r="AD223" s="38">
        <f t="shared" si="249"/>
        <v>25.434529047364645</v>
      </c>
      <c r="AE223" s="38">
        <f t="shared" si="308"/>
        <v>-106.4740194500216</v>
      </c>
      <c r="AG223">
        <f t="shared" si="255"/>
        <v>6.4565470952635353</v>
      </c>
      <c r="AH223">
        <f t="shared" si="256"/>
        <v>196.47401945002161</v>
      </c>
      <c r="AI223" s="153">
        <f t="shared" si="257"/>
        <v>-6.1914956482620456</v>
      </c>
      <c r="AJ223" s="153">
        <f t="shared" si="258"/>
        <v>-1.8309511273947605</v>
      </c>
      <c r="AK223" s="43"/>
      <c r="AP223" s="39">
        <v>0.41666666666666602</v>
      </c>
      <c r="AQ223">
        <f t="shared" si="321"/>
        <v>35.132915612826856</v>
      </c>
      <c r="AR223">
        <f t="shared" si="322"/>
        <v>144.33588641082156</v>
      </c>
      <c r="AT223">
        <f t="shared" si="323"/>
        <v>42.752422426604682</v>
      </c>
      <c r="AU223" s="38">
        <f t="shared" si="324"/>
        <v>137.63858177436344</v>
      </c>
      <c r="AW223">
        <f t="shared" si="325"/>
        <v>52.096153918797427</v>
      </c>
      <c r="AX223" s="38">
        <f t="shared" si="326"/>
        <v>125.71951693085082</v>
      </c>
      <c r="AZ223">
        <f t="shared" si="327"/>
        <v>58.913198956609463</v>
      </c>
      <c r="BA223" s="38">
        <f t="shared" si="328"/>
        <v>110.64261236918068</v>
      </c>
      <c r="BC223">
        <f t="shared" si="329"/>
        <v>62.120147714715685</v>
      </c>
      <c r="BD223" s="38">
        <f t="shared" si="330"/>
        <v>97.645217635946267</v>
      </c>
      <c r="BF223">
        <f t="shared" si="331"/>
        <v>62.593106094089499</v>
      </c>
      <c r="BG223" s="38">
        <f t="shared" si="332"/>
        <v>94.781580028246267</v>
      </c>
      <c r="BI223">
        <f t="shared" si="333"/>
        <v>30.439709654260056</v>
      </c>
      <c r="BJ223" s="38">
        <f t="shared" si="334"/>
        <v>147.73819825211658</v>
      </c>
      <c r="BK223" s="39">
        <v>0.41666666666666602</v>
      </c>
    </row>
    <row r="224" spans="1:88" x14ac:dyDescent="0.25">
      <c r="A224" s="155" t="s">
        <v>92</v>
      </c>
      <c r="B224" s="155">
        <v>21</v>
      </c>
      <c r="C224" s="315"/>
      <c r="D224" s="315"/>
      <c r="E224" s="316"/>
      <c r="K224" s="152"/>
      <c r="L224" s="155" t="s">
        <v>92</v>
      </c>
      <c r="M224" s="155">
        <v>21</v>
      </c>
      <c r="N224" s="315"/>
      <c r="O224" s="315"/>
      <c r="P224" s="316"/>
      <c r="AB224" s="39">
        <v>0.67708333333334703</v>
      </c>
      <c r="AC224">
        <f t="shared" si="261"/>
        <v>-63.75</v>
      </c>
      <c r="AD224" s="38">
        <f t="shared" si="249"/>
        <v>22.302790902157312</v>
      </c>
      <c r="AE224" s="38">
        <f t="shared" si="308"/>
        <v>-104.21812868870686</v>
      </c>
      <c r="AG224">
        <f t="shared" si="255"/>
        <v>6.7697209097842688</v>
      </c>
      <c r="AH224">
        <f t="shared" si="256"/>
        <v>194.21812868870686</v>
      </c>
      <c r="AI224" s="153">
        <f t="shared" si="257"/>
        <v>-6.5623486851340873</v>
      </c>
      <c r="AJ224" s="153">
        <f t="shared" si="258"/>
        <v>-1.662738984654315</v>
      </c>
      <c r="AK224" s="43"/>
      <c r="AP224" s="39">
        <v>0.45833333333333298</v>
      </c>
      <c r="AQ224">
        <f t="shared" si="321"/>
        <v>41.203386965463082</v>
      </c>
      <c r="AR224">
        <f t="shared" si="322"/>
        <v>160.84947792309023</v>
      </c>
      <c r="AT224">
        <f t="shared" si="323"/>
        <v>49.927090631227195</v>
      </c>
      <c r="AU224" s="38">
        <f t="shared" si="324"/>
        <v>156.55697888534539</v>
      </c>
      <c r="AW224">
        <f t="shared" si="325"/>
        <v>61.179653601104718</v>
      </c>
      <c r="AX224" s="38">
        <f t="shared" si="326"/>
        <v>147.61688935411229</v>
      </c>
      <c r="AZ224">
        <f t="shared" si="327"/>
        <v>70.179120424793908</v>
      </c>
      <c r="BA224" s="38">
        <f t="shared" si="328"/>
        <v>132.47024428392857</v>
      </c>
      <c r="BC224">
        <f t="shared" si="329"/>
        <v>74.765245687919915</v>
      </c>
      <c r="BD224" s="38">
        <f t="shared" si="330"/>
        <v>114.0806639695666</v>
      </c>
      <c r="BF224">
        <f t="shared" si="331"/>
        <v>75.433504705998018</v>
      </c>
      <c r="BG224" s="38">
        <f t="shared" si="332"/>
        <v>109.24906860936896</v>
      </c>
      <c r="BI224">
        <f t="shared" si="333"/>
        <v>35.943781380086349</v>
      </c>
      <c r="BJ224" s="38">
        <f t="shared" si="334"/>
        <v>162.88737099929463</v>
      </c>
      <c r="BK224" s="39">
        <v>0.45833333333333298</v>
      </c>
    </row>
    <row r="225" spans="1:90" x14ac:dyDescent="0.25">
      <c r="A225" s="155" t="s">
        <v>91</v>
      </c>
      <c r="B225" s="155">
        <v>3</v>
      </c>
      <c r="C225" s="315"/>
      <c r="D225" s="315"/>
      <c r="E225" s="316"/>
      <c r="K225" s="152"/>
      <c r="L225" s="155" t="s">
        <v>91</v>
      </c>
      <c r="M225" s="155">
        <v>3</v>
      </c>
      <c r="N225" s="315"/>
      <c r="O225" s="315"/>
      <c r="P225" s="316"/>
      <c r="AB225" s="39">
        <v>0.68750000000001399</v>
      </c>
      <c r="AC225">
        <f t="shared" si="261"/>
        <v>-67.5</v>
      </c>
      <c r="AD225" s="38">
        <f t="shared" si="249"/>
        <v>19.140322770208016</v>
      </c>
      <c r="AE225" s="38">
        <f t="shared" si="308"/>
        <v>-102.06325931022904</v>
      </c>
      <c r="AG225">
        <f t="shared" si="255"/>
        <v>7.0859677229791984</v>
      </c>
      <c r="AH225">
        <f t="shared" si="256"/>
        <v>192.06325931022906</v>
      </c>
      <c r="AI225" s="153">
        <f t="shared" si="257"/>
        <v>-6.9294915061735685</v>
      </c>
      <c r="AJ225" s="153">
        <f t="shared" si="258"/>
        <v>-1.4809071668985139</v>
      </c>
      <c r="AK225" s="43"/>
      <c r="AP225" s="39">
        <v>0.5</v>
      </c>
      <c r="AQ225">
        <f t="shared" si="321"/>
        <v>43.40350454351578</v>
      </c>
      <c r="AR225">
        <f>+AR99</f>
        <v>180</v>
      </c>
      <c r="AT225">
        <f t="shared" si="323"/>
        <v>52.626294934964093</v>
      </c>
      <c r="AU225">
        <f>+BC99</f>
        <v>180</v>
      </c>
      <c r="AW225">
        <f t="shared" si="325"/>
        <v>64.936824231055681</v>
      </c>
      <c r="AX225">
        <f>+BN99</f>
        <v>180</v>
      </c>
      <c r="AZ225">
        <f t="shared" si="327"/>
        <v>75.820887455874669</v>
      </c>
      <c r="BA225">
        <f>+BY99</f>
        <v>180</v>
      </c>
      <c r="BC225">
        <f t="shared" si="329"/>
        <v>82.959624558737431</v>
      </c>
      <c r="BD225">
        <f>+CJ99</f>
        <v>180</v>
      </c>
      <c r="BF225">
        <f t="shared" si="331"/>
        <v>84.369782846813621</v>
      </c>
      <c r="BG225">
        <f>+CU99</f>
        <v>180</v>
      </c>
      <c r="BI225">
        <f t="shared" si="333"/>
        <v>37.908363272130764</v>
      </c>
      <c r="BJ225">
        <f>+DF99</f>
        <v>180</v>
      </c>
      <c r="BK225" s="39">
        <v>0.5</v>
      </c>
    </row>
    <row r="226" spans="1:90" x14ac:dyDescent="0.25">
      <c r="C226" s="154">
        <f>+IF(B225=$AI$63,B224,IF(B225=$AJ$63,$AI$64+B224,IF(B225=$AK$63,$AI$64+$AJ$64+B224,IF(B225=$AL$63,$AI$64+$AJ$64+$AK$64+B224,IF(B225=$AM$63,$AI$64+$AJ$64+$AK$64+$AL$64+B224,IF(B225=$AN$63,$AI$64+$AJ$64+$AK$64+$AL$64+$AM$64+B224,IF(B225=$AO$63,$AI$64+$AJ$64+$AK$64+$AL$64+$AM$64+$AN$64+B224,IF(B225=$AP$63,$AI$64+$AJ$64+$AK$64+$AL$64+$AM$64+$AN$64+$AO$64+B224,IF(B225=$AQ$63,$AI$64+$AJ$64+$AK$64+$AL$64+$AM$64+$AN$64+$AO$64+$AP$64+B224,IF(B225=$AR$63,$AI$64+$AJ$64+$AK$64+$AL$64+$AM$64+$AN$64+$AO$64+$AP$64+$AQ$64+B224,IF(B225=$AS$63,$AI$64+$AJ$64+$AK$64+$AL$64+$AM$64+$AN$64+$AO$64+$AP$64+$AQ$64+$AR$64+B224,IF(B225=$AT$63,$AI$64+$AJ$64+$AK$64+$AL$64+$AM$64+$AN$64+$AO$64+$AP$64+$AQ$64+$AR$64+$AS$64+B224,"error"))))))))))))</f>
        <v>80</v>
      </c>
      <c r="D226" s="38">
        <f>23.45*SIN(RADIANS(360*((284+C226)/365)))</f>
        <v>-0.40365320185431652</v>
      </c>
      <c r="E226" s="155">
        <v>25</v>
      </c>
      <c r="K226" s="152"/>
      <c r="N226" s="154">
        <f>+IF(M225=$AI$63,M224,IF(M225=$AJ$63,$AI$64+M224,IF(M225=$AK$63,$AI$64+$AJ$64+M224,IF(M225=$AL$63,$AI$64+$AJ$64+$AK$64+M224,IF(M225=$AM$63,$AI$64+$AJ$64+$AK$64+$AL$64+M224,IF(M225=$AN$63,$AI$64+$AJ$64+$AK$64+$AL$64+$AM$64+M224,IF(M225=$AO$63,$AI$64+$AJ$64+$AK$64+$AL$64+$AM$64+$AN$64+M224,IF(M225=$AP$63,$AI$64+$AJ$64+$AK$64+$AL$64+$AM$64+$AN$64+$AO$64+M224,IF(M225=$AQ$63,$AI$64+$AJ$64+$AK$64+$AL$64+$AM$64+$AN$64+$AO$64+$AP$64+M224,IF(M225=$AR$63,$AI$64+$AJ$64+$AK$64+$AL$64+$AM$64+$AN$64+$AO$64+$AP$64+$AQ$64+M224,IF(M225=$AS$63,$AI$64+$AJ$64+$AK$64+$AL$64+$AM$64+$AN$64+$AO$64+$AP$64+$AQ$64+$AR$64+M224,IF(M225=$AT$63,$AI$64+$AJ$64+$AK$64+$AL$64+$AM$64+$AN$64+$AO$64+$AP$64+$AQ$64+$AR$64+$AS$64+M224,"error"))))))))))))</f>
        <v>80</v>
      </c>
      <c r="O226" s="38">
        <f>23.45*SIN(RADIANS(360*((284+N226)/365)))</f>
        <v>-0.40365320185431652</v>
      </c>
      <c r="P226" s="155">
        <v>30</v>
      </c>
      <c r="AB226" s="39">
        <v>0.69791666666668095</v>
      </c>
      <c r="AC226">
        <f t="shared" si="261"/>
        <v>-71.25</v>
      </c>
      <c r="AD226" s="38">
        <f t="shared" si="249"/>
        <v>15.952796751373725</v>
      </c>
      <c r="AE226" s="38">
        <f t="shared" si="308"/>
        <v>-99.99129828280698</v>
      </c>
      <c r="AG226">
        <f t="shared" si="255"/>
        <v>7.4047203248626277</v>
      </c>
      <c r="AH226">
        <f t="shared" si="256"/>
        <v>189.99129828280698</v>
      </c>
      <c r="AI226" s="153">
        <f t="shared" si="257"/>
        <v>-7.2924211822651248</v>
      </c>
      <c r="AJ226" s="153">
        <f t="shared" si="258"/>
        <v>-1.2847086789948226</v>
      </c>
      <c r="AK226" s="43"/>
      <c r="AP226" s="39"/>
      <c r="AQ226">
        <f>+AQ225</f>
        <v>43.40350454351578</v>
      </c>
      <c r="AR226">
        <f>+IF(AR225=0,360,AR225)</f>
        <v>180</v>
      </c>
      <c r="AT226">
        <f>+AT225</f>
        <v>52.626294934964093</v>
      </c>
      <c r="AU226">
        <f>+IF(AU225=0,360,AU225)</f>
        <v>180</v>
      </c>
      <c r="AW226">
        <f>+AW225</f>
        <v>64.936824231055681</v>
      </c>
      <c r="AX226">
        <f>+IF(AX225=0,360,AX225)</f>
        <v>180</v>
      </c>
      <c r="AZ226">
        <f>+AZ225</f>
        <v>75.820887455874669</v>
      </c>
      <c r="BA226">
        <f>+IF(BA225=0,360,BA225)</f>
        <v>180</v>
      </c>
      <c r="BC226">
        <f>+BC225</f>
        <v>82.959624558737431</v>
      </c>
      <c r="BD226">
        <f>+IF(BD225=0,360,BD225)</f>
        <v>180</v>
      </c>
      <c r="BF226">
        <f>+BF225</f>
        <v>84.369782846813621</v>
      </c>
      <c r="BG226">
        <f>+IF(BG225=0,360,BG225)</f>
        <v>180</v>
      </c>
      <c r="BI226">
        <f>+BI225</f>
        <v>37.908363272130764</v>
      </c>
      <c r="BJ226">
        <f>+IF(BJ225=0,360,BJ225)</f>
        <v>180</v>
      </c>
      <c r="BK226" s="39"/>
    </row>
    <row r="227" spans="1:90" x14ac:dyDescent="0.25">
      <c r="B227" s="317" t="s">
        <v>90</v>
      </c>
      <c r="C227" s="315"/>
      <c r="D227" s="315"/>
      <c r="E227" s="315"/>
      <c r="G227" s="319" t="s">
        <v>89</v>
      </c>
      <c r="H227" s="319"/>
      <c r="I227" s="319" t="s">
        <v>42</v>
      </c>
      <c r="J227" s="319" t="s">
        <v>43</v>
      </c>
      <c r="K227" s="152"/>
      <c r="M227" s="317" t="s">
        <v>90</v>
      </c>
      <c r="N227" s="315"/>
      <c r="O227" s="315"/>
      <c r="P227" s="315"/>
      <c r="R227" s="319" t="s">
        <v>89</v>
      </c>
      <c r="S227" s="319"/>
      <c r="T227" s="319" t="s">
        <v>42</v>
      </c>
      <c r="U227" s="319" t="s">
        <v>43</v>
      </c>
      <c r="AB227" s="39">
        <v>0.70833333333334803</v>
      </c>
      <c r="AC227">
        <f t="shared" si="261"/>
        <v>-75</v>
      </c>
      <c r="AD227" s="38">
        <f t="shared" si="249"/>
        <v>12.745204221314955</v>
      </c>
      <c r="AE227" s="38">
        <f t="shared" si="308"/>
        <v>-97.985970411644061</v>
      </c>
      <c r="AG227">
        <f t="shared" si="255"/>
        <v>7.725479577868505</v>
      </c>
      <c r="AH227">
        <f t="shared" si="256"/>
        <v>187.98597041164408</v>
      </c>
      <c r="AI227" s="153">
        <f t="shared" si="257"/>
        <v>-7.6505587833444721</v>
      </c>
      <c r="AJ227" s="153">
        <f t="shared" si="258"/>
        <v>-1.0733056464279325</v>
      </c>
      <c r="AK227" s="43"/>
      <c r="AP227" s="39">
        <v>0.54166666666666596</v>
      </c>
      <c r="AQ227">
        <f t="shared" ref="AQ227:AQ237" si="335">IF(AQ100&lt;0,0,AQ100)</f>
        <v>41.203386965463082</v>
      </c>
      <c r="AR227">
        <f t="shared" ref="AR227:AR237" si="336">360-(180-DEGREES(ACOS((((SIN(RADIANS(AQ227)))*SIN(RADIANS($AR$85)))-SIN(RADIANS($AQ$85)))/((COS(RADIANS(AQ227)))*COS(RADIANS($AR$85))))))</f>
        <v>199.15052207690977</v>
      </c>
      <c r="AT227">
        <f t="shared" ref="AT227:AT237" si="337">IF(BB100&lt;0,0,BB100)</f>
        <v>49.927090631227195</v>
      </c>
      <c r="AU227" s="38">
        <f t="shared" ref="AU227:AU237" si="338">360-(180-DEGREES(ACOS((((SIN(RADIANS(AT227)))*SIN(RADIANS($BC$85)))-SIN(RADIANS($BB$85)))/((COS(RADIANS(AT227)))*COS(RADIANS($BC$85))))))</f>
        <v>203.44302111465461</v>
      </c>
      <c r="AW227">
        <f t="shared" ref="AW227:AW237" si="339">IF(BM100&lt;0,0,BM100)</f>
        <v>61.179653601104718</v>
      </c>
      <c r="AX227" s="38">
        <f t="shared" ref="AX227:AX237" si="340">360-(180-DEGREES(ACOS((((SIN(RADIANS(AW227)))*SIN(RADIANS($BN$85)))-SIN(RADIANS($BM$85)))/((COS(RADIANS(AW227)))*COS(RADIANS($BN$85))))))</f>
        <v>212.38311064588771</v>
      </c>
      <c r="AZ227">
        <f t="shared" ref="AZ227:AZ237" si="341">IF(BX100&lt;0,0,BX100)</f>
        <v>70.179120424793908</v>
      </c>
      <c r="BA227" s="38">
        <f t="shared" ref="BA227:BA237" si="342">360-(180-DEGREES(ACOS((((SIN(RADIANS(AZ227)))*SIN(RADIANS($BY$85)))-SIN(RADIANS($BX$85)))/((COS(RADIANS(AZ227)))*COS(RADIANS($BY$85))))))</f>
        <v>227.52975571607143</v>
      </c>
      <c r="BC227">
        <f t="shared" ref="BC227:BC237" si="343">IF(CI100&lt;0,0,CI100)</f>
        <v>74.765245687919915</v>
      </c>
      <c r="BD227" s="38">
        <f t="shared" ref="BD227:BD237" si="344">360-(180-DEGREES(ACOS((((SIN(RADIANS(BC227)))*SIN(RADIANS($CJ$85)))-SIN(RADIANS($CI$85)))/((COS(RADIANS(BC227)))*COS(RADIANS($CJ$85))))))</f>
        <v>245.91933603043339</v>
      </c>
      <c r="BF227">
        <f t="shared" ref="BF227:BF237" si="345">IF(CT100&lt;0,0,CT100)</f>
        <v>75.433504705998018</v>
      </c>
      <c r="BG227" s="38">
        <f t="shared" ref="BG227:BG237" si="346">360-(180-DEGREES(ACOS((((SIN(RADIANS(BF227)))*SIN(RADIANS($CU$85)))-SIN(RADIANS($CT$85)))/((COS(RADIANS(BF227)))*COS(RADIANS($CU$85))))))</f>
        <v>250.75093139063102</v>
      </c>
      <c r="BI227">
        <f t="shared" ref="BI227:BI237" si="347">IF(DE100&lt;0,0,DE100)</f>
        <v>35.943781380086349</v>
      </c>
      <c r="BJ227" s="38">
        <f t="shared" ref="BJ227:BJ237" si="348">360-(180-DEGREES(ACOS((((SIN(RADIANS(BI227)))*SIN(RADIANS($DF$85)))-SIN(RADIANS($DE$85)))/((COS(RADIANS(BI227)))*COS(RADIANS($DF$85))))))</f>
        <v>197.11262900070537</v>
      </c>
      <c r="BK227" s="39">
        <v>0.54166666666666596</v>
      </c>
    </row>
    <row r="228" spans="1:90" x14ac:dyDescent="0.25">
      <c r="B228" s="318"/>
      <c r="C228" s="315"/>
      <c r="D228" s="315"/>
      <c r="E228" s="315"/>
      <c r="G228" s="319"/>
      <c r="H228" s="319"/>
      <c r="I228" s="319"/>
      <c r="J228" s="319"/>
      <c r="K228" s="152"/>
      <c r="M228" s="318"/>
      <c r="N228" s="315"/>
      <c r="O228" s="315"/>
      <c r="P228" s="315"/>
      <c r="R228" s="319"/>
      <c r="S228" s="319"/>
      <c r="T228" s="319"/>
      <c r="U228" s="319"/>
      <c r="AB228" s="39">
        <v>0.71875000000001499</v>
      </c>
      <c r="AC228">
        <f t="shared" si="261"/>
        <v>-78.75</v>
      </c>
      <c r="AD228" s="38">
        <f t="shared" si="249"/>
        <v>9.5220100126131602</v>
      </c>
      <c r="AE228" s="38">
        <f t="shared" si="308"/>
        <v>-96.032458342683015</v>
      </c>
      <c r="AG228">
        <f t="shared" si="255"/>
        <v>8.0477989987386849</v>
      </c>
      <c r="AH228">
        <f t="shared" si="256"/>
        <v>186.03245834268301</v>
      </c>
      <c r="AI228" s="153">
        <f t="shared" si="257"/>
        <v>-8.0032344718920641</v>
      </c>
      <c r="AJ228" s="153">
        <f t="shared" si="258"/>
        <v>-0.84575806943707577</v>
      </c>
      <c r="AK228" s="43"/>
      <c r="AP228" s="39">
        <v>0.58333333333333304</v>
      </c>
      <c r="AQ228">
        <f t="shared" si="335"/>
        <v>35.132915612826856</v>
      </c>
      <c r="AR228">
        <f t="shared" si="336"/>
        <v>215.66411358917844</v>
      </c>
      <c r="AT228">
        <f t="shared" si="337"/>
        <v>42.752422426604682</v>
      </c>
      <c r="AU228" s="38">
        <f t="shared" si="338"/>
        <v>222.36141822563656</v>
      </c>
      <c r="AW228">
        <f t="shared" si="339"/>
        <v>52.096153918797427</v>
      </c>
      <c r="AX228" s="38">
        <f t="shared" si="340"/>
        <v>234.28048306914917</v>
      </c>
      <c r="AZ228">
        <f t="shared" si="341"/>
        <v>58.913198956609463</v>
      </c>
      <c r="BA228" s="38">
        <f t="shared" si="342"/>
        <v>249.35738763081932</v>
      </c>
      <c r="BC228">
        <f t="shared" si="343"/>
        <v>62.120147714715685</v>
      </c>
      <c r="BD228" s="38">
        <f t="shared" si="344"/>
        <v>262.35478236405373</v>
      </c>
      <c r="BF228">
        <f t="shared" si="345"/>
        <v>62.593106094089499</v>
      </c>
      <c r="BG228" s="38">
        <f t="shared" si="346"/>
        <v>265.21841997175375</v>
      </c>
      <c r="BI228">
        <f t="shared" si="347"/>
        <v>30.439709654260056</v>
      </c>
      <c r="BJ228" s="38">
        <f t="shared" si="348"/>
        <v>212.26180174788342</v>
      </c>
      <c r="BK228" s="39">
        <v>0.58333333333333304</v>
      </c>
    </row>
    <row r="229" spans="1:90" x14ac:dyDescent="0.25">
      <c r="B229" s="39">
        <v>0.25</v>
      </c>
      <c r="C229" s="38">
        <v>90</v>
      </c>
      <c r="D229" s="38">
        <f>+DEGREES(ASIN(COS(RADIANS(E226))*COS(RADIANS(D226))*COS(RADIANS(C229))+SIN(RADIANS(E226))*SIN(RADIANS(D226))))</f>
        <v>-0.17059005539206051</v>
      </c>
      <c r="E229" s="38">
        <f>180-DEGREES(ACOS((((SIN(RADIANS(D229)))*SIN(RADIANS(E226)))-SIN(RADIANS(D226)))/((COS(RADIANS(D229)))*COS(RADIANS(E226)))))</f>
        <v>90.365835121110862</v>
      </c>
      <c r="G229">
        <f t="shared" ref="G229:G241" si="349">9-(D229/10)</f>
        <v>9.0170590055392061</v>
      </c>
      <c r="H229">
        <f t="shared" ref="H229:H241" si="350">90-E229+$AH$172</f>
        <v>-0.36583512111086236</v>
      </c>
      <c r="I229" s="153">
        <f t="shared" ref="I229:I241" si="351">IF($E$226&gt;=$AE$174,0,G229*COS(RADIANS(H229)))</f>
        <v>9.0168751998419374</v>
      </c>
      <c r="J229" s="153">
        <f t="shared" ref="J229:J241" si="352">IF($E$226&gt;=$AE$174,0,G229*SIN(RADIANS(H229)))</f>
        <v>-5.7573777460840636E-2</v>
      </c>
      <c r="K229" s="152"/>
      <c r="M229" s="39">
        <v>0.25</v>
      </c>
      <c r="N229" s="38">
        <v>90</v>
      </c>
      <c r="O229" s="38">
        <f>+DEGREES(ASIN(COS(RADIANS(P226))*COS(RADIANS(O226))*COS(RADIANS(N229))+SIN(RADIANS(P226))*SIN(RADIANS(O226))))</f>
        <v>-0.20182534876289174</v>
      </c>
      <c r="P229" s="38">
        <f>180-DEGREES(ACOS((((SIN(RADIANS(O229)))*SIN(RADIANS(P226)))-SIN(RADIANS(O226)))/((COS(RADIANS(O229)))*COS(RADIANS(P226)))))</f>
        <v>90.349575372991453</v>
      </c>
      <c r="R229">
        <f t="shared" ref="R229:R241" si="353">9-(O229/10)</f>
        <v>9.0201825348762892</v>
      </c>
      <c r="S229">
        <f t="shared" ref="S229:S241" si="354">90-P229+$AH$172</f>
        <v>-0.34957537299145258</v>
      </c>
      <c r="T229" s="153">
        <f t="shared" ref="T229:T241" si="355">IF($P$226&gt;=$AE$174,0,R229*COS(RADIANS(S229)))</f>
        <v>0</v>
      </c>
      <c r="U229" s="153">
        <f t="shared" ref="U229:U241" si="356">IF($P$226&gt;=$AE$174,0,R229*SIN(RADIANS(S229)))</f>
        <v>0</v>
      </c>
      <c r="AB229" s="39">
        <v>0.72916666666668195</v>
      </c>
      <c r="AC229">
        <f t="shared" si="261"/>
        <v>-82.5</v>
      </c>
      <c r="AD229" s="38">
        <f t="shared" si="249"/>
        <v>6.2872823240365783</v>
      </c>
      <c r="AE229" s="38">
        <f t="shared" si="308"/>
        <v>-94.117061881393724</v>
      </c>
      <c r="AG229">
        <f t="shared" si="255"/>
        <v>8.3712717675963422</v>
      </c>
      <c r="AH229">
        <f t="shared" si="256"/>
        <v>184.11706188139374</v>
      </c>
      <c r="AI229" s="153">
        <f t="shared" si="257"/>
        <v>-8.3496692635520056</v>
      </c>
      <c r="AJ229" s="153">
        <f t="shared" si="258"/>
        <v>-0.60101097847750762</v>
      </c>
      <c r="AK229" s="43"/>
      <c r="AP229" s="39">
        <v>0.625</v>
      </c>
      <c r="AQ229">
        <f t="shared" si="335"/>
        <v>26.297342212361595</v>
      </c>
      <c r="AR229">
        <f t="shared" si="336"/>
        <v>228.77800508269911</v>
      </c>
      <c r="AT229">
        <f t="shared" si="337"/>
        <v>32.778902474630826</v>
      </c>
      <c r="AU229" s="38">
        <f t="shared" si="338"/>
        <v>236.32861033625156</v>
      </c>
      <c r="AW229">
        <f t="shared" si="339"/>
        <v>40.579187314260722</v>
      </c>
      <c r="AX229" s="38">
        <f t="shared" si="340"/>
        <v>248.23612591738978</v>
      </c>
      <c r="AZ229">
        <f t="shared" si="341"/>
        <v>46.234000924702507</v>
      </c>
      <c r="BA229" s="38">
        <f t="shared" si="342"/>
        <v>261.06892668701215</v>
      </c>
      <c r="BC229">
        <f t="shared" si="343"/>
        <v>49.04228910837859</v>
      </c>
      <c r="BD229" s="38">
        <f t="shared" si="344"/>
        <v>270.82022462339319</v>
      </c>
      <c r="BF229">
        <f t="shared" si="345"/>
        <v>49.494624805188728</v>
      </c>
      <c r="BG229" s="38">
        <f t="shared" si="346"/>
        <v>272.86722527083782</v>
      </c>
      <c r="BI229">
        <f t="shared" si="347"/>
        <v>22.259218825541542</v>
      </c>
      <c r="BJ229" s="38">
        <f t="shared" si="348"/>
        <v>224.68795305422185</v>
      </c>
      <c r="BK229" s="39">
        <v>0.625</v>
      </c>
    </row>
    <row r="230" spans="1:90" x14ac:dyDescent="0.25">
      <c r="B230" s="39">
        <v>0.29166666666666669</v>
      </c>
      <c r="C230">
        <v>75</v>
      </c>
      <c r="D230" s="38">
        <f>+DEGREES(ASIN(COS(RADIANS(E226))*COS(RADIANS(D226))*COS(RADIANS(C230))+SIN(RADIANS(E226))*SIN(RADIANS(D226))))</f>
        <v>13.390496061053557</v>
      </c>
      <c r="E230" s="38">
        <f>180-DEGREES(ACOS((((SIN(RADIANS(D230)))*SIN(RADIANS(E226)))-SIN(RADIANS(D226)))/((COS(RADIANS(D230)))*COS(RADIANS(E226)))))</f>
        <v>96.834333575565424</v>
      </c>
      <c r="G230">
        <f t="shared" si="349"/>
        <v>7.6609503938946446</v>
      </c>
      <c r="H230">
        <f t="shared" si="350"/>
        <v>-6.8343335755654238</v>
      </c>
      <c r="I230" s="153">
        <f t="shared" si="351"/>
        <v>7.6065145774372969</v>
      </c>
      <c r="J230" s="153">
        <f t="shared" si="352"/>
        <v>-0.91164517272259926</v>
      </c>
      <c r="K230" s="152"/>
      <c r="M230" s="39">
        <v>0.29166666666666669</v>
      </c>
      <c r="N230">
        <v>75</v>
      </c>
      <c r="O230" s="38">
        <f>+DEGREES(ASIN(COS(RADIANS(P226))*COS(RADIANS(O226))*COS(RADIANS(N230))+SIN(RADIANS(P226))*SIN(RADIANS(O226))))</f>
        <v>12.745204221314955</v>
      </c>
      <c r="P230" s="38">
        <f>180-DEGREES(ACOS((((SIN(RADIANS(O230)))*SIN(RADIANS(P226)))-SIN(RADIANS(O226)))/((COS(RADIANS(O230)))*COS(RADIANS(P226)))))</f>
        <v>97.985970411644061</v>
      </c>
      <c r="R230">
        <f t="shared" si="353"/>
        <v>7.725479577868505</v>
      </c>
      <c r="S230">
        <f t="shared" si="354"/>
        <v>-7.9859704116440611</v>
      </c>
      <c r="T230" s="153">
        <f t="shared" si="355"/>
        <v>0</v>
      </c>
      <c r="U230" s="153">
        <f t="shared" si="356"/>
        <v>0</v>
      </c>
      <c r="AB230" s="39">
        <v>0.73958333333334902</v>
      </c>
      <c r="AC230">
        <f t="shared" si="261"/>
        <v>-86.25</v>
      </c>
      <c r="AD230" s="38">
        <f t="shared" si="249"/>
        <v>3.0448045969825834</v>
      </c>
      <c r="AE230" s="38">
        <f t="shared" si="308"/>
        <v>-92.226889692657693</v>
      </c>
      <c r="AG230">
        <f t="shared" si="255"/>
        <v>8.695519540301742</v>
      </c>
      <c r="AH230">
        <f t="shared" si="256"/>
        <v>182.22688969265769</v>
      </c>
      <c r="AI230" s="153">
        <f t="shared" si="257"/>
        <v>-8.6889526008258624</v>
      </c>
      <c r="AJ230" s="153">
        <f t="shared" si="258"/>
        <v>-0.33787982533866817</v>
      </c>
      <c r="AK230" s="43"/>
      <c r="AP230" s="39">
        <v>0.66666666666666596</v>
      </c>
      <c r="AQ230">
        <f t="shared" si="335"/>
        <v>15.689450108647346</v>
      </c>
      <c r="AR230">
        <f t="shared" si="336"/>
        <v>239.07374480488153</v>
      </c>
      <c r="AT230">
        <f t="shared" si="337"/>
        <v>21.241041758651765</v>
      </c>
      <c r="AU230" s="38">
        <f t="shared" si="338"/>
        <v>246.84291146983276</v>
      </c>
      <c r="AW230">
        <f t="shared" si="339"/>
        <v>28.03064132064042</v>
      </c>
      <c r="AX230" s="38">
        <f t="shared" si="340"/>
        <v>258.15416301445305</v>
      </c>
      <c r="AZ230">
        <f t="shared" si="341"/>
        <v>33.179114183303909</v>
      </c>
      <c r="BA230" s="38">
        <f t="shared" si="342"/>
        <v>269.30782635394411</v>
      </c>
      <c r="BC230">
        <f t="shared" si="343"/>
        <v>35.974200517974971</v>
      </c>
      <c r="BD230" s="38">
        <f t="shared" si="344"/>
        <v>277.28978899698308</v>
      </c>
      <c r="BF230">
        <f t="shared" si="345"/>
        <v>36.462362723804389</v>
      </c>
      <c r="BG230" s="38">
        <f t="shared" si="346"/>
        <v>278.92965056012429</v>
      </c>
      <c r="BI230">
        <f t="shared" si="347"/>
        <v>12.251377298592953</v>
      </c>
      <c r="BJ230" s="38">
        <f t="shared" si="348"/>
        <v>234.65547904775269</v>
      </c>
      <c r="BK230" s="39">
        <v>0.66666666666666596</v>
      </c>
    </row>
    <row r="231" spans="1:90" x14ac:dyDescent="0.25">
      <c r="B231" s="39">
        <v>0.33333333333333298</v>
      </c>
      <c r="C231" s="38">
        <v>60</v>
      </c>
      <c r="D231" s="38">
        <f>+DEGREES(ASIN(COS(RADIANS(E226))*COS(RADIANS(D226))*COS(RADIANS(C231))+SIN(RADIANS(E226))*SIN(RADIANS(D226))))</f>
        <v>26.754289542312229</v>
      </c>
      <c r="E231" s="38">
        <f>180-DEGREES(ACOS((((SIN(RADIANS(D231)))*SIN(RADIANS(E226)))-SIN(RADIANS(D226)))/((COS(RADIANS(D231)))*COS(RADIANS(E226)))))</f>
        <v>104.11018703457104</v>
      </c>
      <c r="G231">
        <f t="shared" si="349"/>
        <v>6.3245710457687769</v>
      </c>
      <c r="H231">
        <f t="shared" si="350"/>
        <v>-14.110187034571041</v>
      </c>
      <c r="I231" s="153">
        <f t="shared" si="351"/>
        <v>6.1337504259796329</v>
      </c>
      <c r="J231" s="153">
        <f t="shared" si="352"/>
        <v>-1.5418510384506776</v>
      </c>
      <c r="K231" s="152"/>
      <c r="M231" s="39">
        <v>0.33333333333333298</v>
      </c>
      <c r="N231" s="38">
        <v>60</v>
      </c>
      <c r="O231" s="38">
        <f>+DEGREES(ASIN(COS(RADIANS(P226))*COS(RADIANS(O226))*COS(RADIANS(N231))+SIN(RADIANS(P226))*SIN(RADIANS(O226))))</f>
        <v>25.434529047364645</v>
      </c>
      <c r="P231" s="38">
        <f>180-DEGREES(ACOS((((SIN(RADIANS(O231)))*SIN(RADIANS(P226)))-SIN(RADIANS(O226)))/((COS(RADIANS(O231)))*COS(RADIANS(P226)))))</f>
        <v>106.4740194500216</v>
      </c>
      <c r="R231">
        <f t="shared" si="353"/>
        <v>6.4565470952635353</v>
      </c>
      <c r="S231">
        <f t="shared" si="354"/>
        <v>-16.474019450021601</v>
      </c>
      <c r="T231" s="153">
        <f t="shared" si="355"/>
        <v>0</v>
      </c>
      <c r="U231" s="153">
        <f t="shared" si="356"/>
        <v>0</v>
      </c>
      <c r="AB231" s="39">
        <v>0.75000000000001599</v>
      </c>
      <c r="AC231">
        <f t="shared" si="261"/>
        <v>-90</v>
      </c>
      <c r="AD231" s="38">
        <f t="shared" si="249"/>
        <v>-0.20182534876289174</v>
      </c>
      <c r="AE231" s="38">
        <f t="shared" si="308"/>
        <v>-90.349575372991453</v>
      </c>
      <c r="AG231">
        <f t="shared" si="255"/>
        <v>9.0201825348762892</v>
      </c>
      <c r="AH231">
        <f t="shared" si="256"/>
        <v>180.34957537299147</v>
      </c>
      <c r="AI231" s="153">
        <f t="shared" si="257"/>
        <v>-9.0200146465970548</v>
      </c>
      <c r="AJ231" s="153">
        <f t="shared" si="258"/>
        <v>-5.5033968254738962E-2</v>
      </c>
      <c r="AK231" s="43"/>
      <c r="AP231" s="39">
        <v>0.70833333333333304</v>
      </c>
      <c r="AQ231">
        <f t="shared" si="335"/>
        <v>3.9806023907424599</v>
      </c>
      <c r="AR231">
        <f t="shared" si="336"/>
        <v>247.42289216802021</v>
      </c>
      <c r="AT231">
        <f t="shared" si="337"/>
        <v>8.8424843209748119</v>
      </c>
      <c r="AU231" s="38">
        <f t="shared" si="338"/>
        <v>255.31197177717854</v>
      </c>
      <c r="AW231">
        <f t="shared" si="339"/>
        <v>15.051271742006362</v>
      </c>
      <c r="AX231" s="38">
        <f t="shared" si="340"/>
        <v>266.18421264331801</v>
      </c>
      <c r="AZ231">
        <f t="shared" si="341"/>
        <v>20.094408212134532</v>
      </c>
      <c r="BA231" s="38">
        <f t="shared" si="342"/>
        <v>276.30699408544757</v>
      </c>
      <c r="BC231">
        <f t="shared" si="343"/>
        <v>23.081833865003894</v>
      </c>
      <c r="BD231" s="38">
        <f t="shared" si="344"/>
        <v>283.28143846255932</v>
      </c>
      <c r="BF231">
        <f t="shared" si="345"/>
        <v>23.63600454935963</v>
      </c>
      <c r="BG231" s="38">
        <f t="shared" si="346"/>
        <v>284.69392403052012</v>
      </c>
      <c r="BI231">
        <f t="shared" si="347"/>
        <v>1.0425877010819102</v>
      </c>
      <c r="BJ231" s="38">
        <f t="shared" si="348"/>
        <v>242.77413702084823</v>
      </c>
      <c r="BK231" s="39">
        <v>0.70833333333333304</v>
      </c>
    </row>
    <row r="232" spans="1:90" x14ac:dyDescent="0.25">
      <c r="B232" s="39">
        <v>0.375</v>
      </c>
      <c r="C232">
        <v>45</v>
      </c>
      <c r="D232" s="38">
        <f>+DEGREES(ASIN(COS(RADIANS(E226))*COS(RADIANS(D226))*COS(RADIANS(C232))+SIN(RADIANS(E226))*SIN(RADIANS(D226))))</f>
        <v>39.632662002345647</v>
      </c>
      <c r="E232" s="38">
        <f>180-DEGREES(ACOS((((SIN(RADIANS(D232)))*SIN(RADIANS(E226)))-SIN(RADIANS(D226)))/((COS(RADIANS(D232)))*COS(RADIANS(E226)))))</f>
        <v>113.34735462280341</v>
      </c>
      <c r="G232">
        <f t="shared" si="349"/>
        <v>5.0367337997654351</v>
      </c>
      <c r="H232">
        <f t="shared" si="350"/>
        <v>-23.347354622803408</v>
      </c>
      <c r="I232" s="153">
        <f t="shared" si="351"/>
        <v>4.6243217634313547</v>
      </c>
      <c r="J232" s="153">
        <f t="shared" si="352"/>
        <v>-1.9960800580023557</v>
      </c>
      <c r="K232" s="152"/>
      <c r="M232" s="39">
        <v>0.375</v>
      </c>
      <c r="N232">
        <v>45</v>
      </c>
      <c r="O232" s="38">
        <f>+DEGREES(ASIN(COS(RADIANS(P226))*COS(RADIANS(O226))*COS(RADIANS(N232))+SIN(RADIANS(P226))*SIN(RADIANS(O226))))</f>
        <v>37.505293910382669</v>
      </c>
      <c r="P232" s="38">
        <f>180-DEGREES(ACOS((((SIN(RADIANS(O232)))*SIN(RADIANS(P226)))-SIN(RADIANS(O226)))/((COS(RADIANS(O232)))*COS(RADIANS(P226)))))</f>
        <v>116.9591888957782</v>
      </c>
      <c r="R232">
        <f t="shared" si="353"/>
        <v>5.2494706089617331</v>
      </c>
      <c r="S232">
        <f t="shared" si="354"/>
        <v>-26.959188895778198</v>
      </c>
      <c r="T232" s="153">
        <f t="shared" si="355"/>
        <v>0</v>
      </c>
      <c r="U232" s="153">
        <f t="shared" si="356"/>
        <v>0</v>
      </c>
      <c r="AB232" s="39">
        <v>0.79166666666666663</v>
      </c>
      <c r="AC232" s="38">
        <v>-105</v>
      </c>
      <c r="AD232" s="38">
        <f t="shared" si="249"/>
        <v>-13.159393168690809</v>
      </c>
      <c r="AE232" s="38">
        <f t="shared" si="308"/>
        <v>-82.725081093746851</v>
      </c>
      <c r="AG232">
        <f t="shared" ref="AG232:AG238" si="357">IF((9-(AD232/10))&gt;9,9,9-(AD232/10))</f>
        <v>9</v>
      </c>
      <c r="AH232">
        <f t="shared" ref="AH232:AH238" si="358">IF((9-(AD232/10))&gt;9,90+(180-DEGREES(ACOS((((SIN(RADIANS(0)))*SIN(RADIANS($AE$174)))-SIN(RADIANS($AD$174)))/((COS(RADIANS(0)))*COS(RADIANS($AE$174))))))+$AH$172,90-AE232+$AH$172)</f>
        <v>180.46609985475277</v>
      </c>
      <c r="AI232" s="153">
        <f t="shared" si="257"/>
        <v>-8.9997022013058103</v>
      </c>
      <c r="AJ232" s="153">
        <f t="shared" si="258"/>
        <v>-7.3213986446225232E-2</v>
      </c>
      <c r="AK232" s="43"/>
      <c r="AP232" s="39">
        <v>0.75</v>
      </c>
      <c r="AQ232">
        <f t="shared" si="335"/>
        <v>0</v>
      </c>
      <c r="AR232">
        <f t="shared" si="336"/>
        <v>249.85519203924551</v>
      </c>
      <c r="AT232">
        <f t="shared" si="337"/>
        <v>0</v>
      </c>
      <c r="AU232" s="38">
        <f t="shared" si="338"/>
        <v>260.4996370717837</v>
      </c>
      <c r="AW232">
        <f t="shared" si="339"/>
        <v>1.9510766725967672</v>
      </c>
      <c r="AX232" s="38">
        <f t="shared" si="340"/>
        <v>273.51182934170981</v>
      </c>
      <c r="AZ232">
        <f t="shared" si="341"/>
        <v>7.1796941081018506</v>
      </c>
      <c r="BA232" s="38">
        <f t="shared" si="342"/>
        <v>283.09158453138394</v>
      </c>
      <c r="BC232">
        <f t="shared" si="343"/>
        <v>10.508522694850116</v>
      </c>
      <c r="BD232" s="38">
        <f t="shared" si="344"/>
        <v>289.48371408277904</v>
      </c>
      <c r="BF232">
        <f t="shared" si="345"/>
        <v>11.152054967319165</v>
      </c>
      <c r="BG232" s="38">
        <f t="shared" si="346"/>
        <v>290.76123341972379</v>
      </c>
      <c r="BI232">
        <f t="shared" si="347"/>
        <v>0</v>
      </c>
      <c r="BJ232" s="38">
        <f t="shared" si="348"/>
        <v>243.42913169308855</v>
      </c>
      <c r="BK232" s="39">
        <v>0.75</v>
      </c>
    </row>
    <row r="233" spans="1:90" x14ac:dyDescent="0.25">
      <c r="B233" s="39">
        <v>0.41666666666666702</v>
      </c>
      <c r="C233" s="38">
        <v>30</v>
      </c>
      <c r="D233" s="38">
        <f>+DEGREES(ASIN(COS(RADIANS(E226))*COS(RADIANS(D226))*COS(RADIANS(C233))+SIN(RADIANS(E226))*SIN(RADIANS(D226))))</f>
        <v>51.433833007078441</v>
      </c>
      <c r="E233" s="38">
        <f>180-DEGREES(ACOS((((SIN(RADIANS(D233)))*SIN(RADIANS(E226)))-SIN(RADIANS(D226)))/((COS(RADIANS(D233)))*COS(RADIANS(E226)))))</f>
        <v>126.67750738894603</v>
      </c>
      <c r="G233">
        <f t="shared" si="349"/>
        <v>3.8566166992921556</v>
      </c>
      <c r="H233">
        <f t="shared" si="350"/>
        <v>-36.677507388946026</v>
      </c>
      <c r="I233" s="153">
        <f t="shared" si="351"/>
        <v>3.0930459003652357</v>
      </c>
      <c r="J233" s="153">
        <f t="shared" si="352"/>
        <v>-2.3035970618779942</v>
      </c>
      <c r="K233" s="152"/>
      <c r="M233" s="39">
        <v>0.41666666666666702</v>
      </c>
      <c r="N233" s="38">
        <v>30</v>
      </c>
      <c r="O233" s="38">
        <f>+DEGREES(ASIN(COS(RADIANS(P226))*COS(RADIANS(O226))*COS(RADIANS(N233))+SIN(RADIANS(P226))*SIN(RADIANS(O226))))</f>
        <v>48.284559002731697</v>
      </c>
      <c r="P233" s="38">
        <f>180-DEGREES(ACOS((((SIN(RADIANS(O233)))*SIN(RADIANS(P226)))-SIN(RADIANS(O226)))/((COS(RADIANS(O233)))*COS(RADIANS(P226)))))</f>
        <v>131.29050984657982</v>
      </c>
      <c r="R233">
        <f t="shared" si="353"/>
        <v>4.1715440997268303</v>
      </c>
      <c r="S233">
        <f t="shared" si="354"/>
        <v>-41.290509846579823</v>
      </c>
      <c r="T233" s="153">
        <f t="shared" si="355"/>
        <v>0</v>
      </c>
      <c r="U233" s="153">
        <f t="shared" si="356"/>
        <v>0</v>
      </c>
      <c r="AB233" s="39">
        <v>0.83333333333333304</v>
      </c>
      <c r="AC233" s="38">
        <v>-120</v>
      </c>
      <c r="AD233" s="38">
        <f t="shared" si="249"/>
        <v>-25.882337727854544</v>
      </c>
      <c r="AE233" s="38">
        <f t="shared" si="308"/>
        <v>-74.271190911100817</v>
      </c>
      <c r="AG233">
        <f t="shared" si="357"/>
        <v>9</v>
      </c>
      <c r="AH233">
        <f t="shared" si="358"/>
        <v>180.46609985475277</v>
      </c>
      <c r="AI233" s="153">
        <f t="shared" si="257"/>
        <v>-8.9997022013058103</v>
      </c>
      <c r="AJ233" s="153">
        <f t="shared" si="258"/>
        <v>-7.3213986446225232E-2</v>
      </c>
      <c r="AK233" s="43"/>
      <c r="AP233" s="39">
        <v>0.79166666666666663</v>
      </c>
      <c r="AQ233">
        <f t="shared" si="335"/>
        <v>0</v>
      </c>
      <c r="AR233">
        <f t="shared" si="336"/>
        <v>249.85519203924551</v>
      </c>
      <c r="AT233">
        <f t="shared" si="337"/>
        <v>0</v>
      </c>
      <c r="AU233" s="38">
        <f t="shared" si="338"/>
        <v>260.4996370717837</v>
      </c>
      <c r="AW233">
        <f t="shared" si="339"/>
        <v>0</v>
      </c>
      <c r="AX233" s="38">
        <f t="shared" si="340"/>
        <v>274.59738166832204</v>
      </c>
      <c r="AZ233">
        <f t="shared" si="341"/>
        <v>0</v>
      </c>
      <c r="BA233" s="38">
        <f t="shared" si="342"/>
        <v>287.11190742150467</v>
      </c>
      <c r="BC233">
        <f t="shared" si="343"/>
        <v>0</v>
      </c>
      <c r="BD233" s="38">
        <f t="shared" si="344"/>
        <v>295.42782328735052</v>
      </c>
      <c r="BF233">
        <f t="shared" si="345"/>
        <v>0</v>
      </c>
      <c r="BG233" s="38">
        <f t="shared" si="346"/>
        <v>297.0871391084072</v>
      </c>
      <c r="BI233">
        <f t="shared" si="347"/>
        <v>0</v>
      </c>
      <c r="BJ233" s="38">
        <f t="shared" si="348"/>
        <v>243.42913169308855</v>
      </c>
      <c r="BK233" s="39">
        <v>0.79166666666666663</v>
      </c>
    </row>
    <row r="234" spans="1:90" x14ac:dyDescent="0.25">
      <c r="B234" s="39">
        <v>0.45833333333333298</v>
      </c>
      <c r="C234">
        <v>15</v>
      </c>
      <c r="D234" s="38">
        <f>+DEGREES(ASIN(COS(RADIANS(E226))*COS(RADIANS(D226))*COS(RADIANS(C234))+SIN(RADIANS(E226))*SIN(RADIANS(D226))))</f>
        <v>60.74191151210858</v>
      </c>
      <c r="E234" s="38">
        <f>180-DEGREES(ACOS((((SIN(RADIANS(D234)))*SIN(RADIANS(E226)))-SIN(RADIANS(D226)))/((COS(RADIANS(D234)))*COS(RADIANS(E226)))))</f>
        <v>148.02521829510778</v>
      </c>
      <c r="G234">
        <f t="shared" si="349"/>
        <v>2.925808848789142</v>
      </c>
      <c r="H234">
        <f t="shared" si="350"/>
        <v>-58.025218295107777</v>
      </c>
      <c r="I234" s="153">
        <f t="shared" si="351"/>
        <v>1.5493502295458406</v>
      </c>
      <c r="J234" s="153">
        <f t="shared" si="352"/>
        <v>-2.4819087988600823</v>
      </c>
      <c r="K234" s="152"/>
      <c r="M234" s="39">
        <v>0.45833333333333298</v>
      </c>
      <c r="N234">
        <v>15</v>
      </c>
      <c r="O234" s="38">
        <f>+DEGREES(ASIN(COS(RADIANS(P226))*COS(RADIANS(O226))*COS(RADIANS(N234))+SIN(RADIANS(P226))*SIN(RADIANS(O226))))</f>
        <v>56.40536291527436</v>
      </c>
      <c r="P234" s="38">
        <f>180-DEGREES(ACOS((((SIN(RADIANS(O234)))*SIN(RADIANS(P226)))-SIN(RADIANS(O226)))/((COS(RADIANS(O234)))*COS(RADIANS(P226)))))</f>
        <v>152.11163440142451</v>
      </c>
      <c r="R234">
        <f t="shared" si="353"/>
        <v>3.359463708472564</v>
      </c>
      <c r="S234">
        <f t="shared" si="354"/>
        <v>-62.11163440142451</v>
      </c>
      <c r="T234" s="153">
        <f t="shared" si="355"/>
        <v>0</v>
      </c>
      <c r="U234" s="153">
        <f t="shared" si="356"/>
        <v>0</v>
      </c>
      <c r="AB234" s="39">
        <v>0.875</v>
      </c>
      <c r="AC234" s="38">
        <v>-135</v>
      </c>
      <c r="AD234" s="38">
        <f t="shared" si="249"/>
        <v>-38.015872215677796</v>
      </c>
      <c r="AE234" s="38">
        <f t="shared" si="308"/>
        <v>-63.831816551724259</v>
      </c>
      <c r="AG234">
        <f t="shared" si="357"/>
        <v>9</v>
      </c>
      <c r="AH234">
        <f t="shared" si="358"/>
        <v>180.46609985475277</v>
      </c>
      <c r="AI234" s="153">
        <f t="shared" si="257"/>
        <v>-8.9997022013058103</v>
      </c>
      <c r="AJ234" s="153">
        <f t="shared" si="258"/>
        <v>-7.3213986446225232E-2</v>
      </c>
      <c r="AK234" s="43"/>
      <c r="AP234" s="39">
        <v>0.83333333333333304</v>
      </c>
      <c r="AQ234">
        <f t="shared" si="335"/>
        <v>0</v>
      </c>
      <c r="AR234">
        <f t="shared" si="336"/>
        <v>249.85519203924551</v>
      </c>
      <c r="AT234">
        <f t="shared" si="337"/>
        <v>0</v>
      </c>
      <c r="AU234" s="38">
        <f t="shared" si="338"/>
        <v>260.4996370717837</v>
      </c>
      <c r="AW234">
        <f t="shared" si="339"/>
        <v>0</v>
      </c>
      <c r="AX234" s="38">
        <f t="shared" si="340"/>
        <v>274.59738166832204</v>
      </c>
      <c r="AZ234">
        <f t="shared" si="341"/>
        <v>0</v>
      </c>
      <c r="BA234" s="38">
        <f t="shared" si="342"/>
        <v>287.11190742150467</v>
      </c>
      <c r="BC234">
        <f t="shared" si="343"/>
        <v>0</v>
      </c>
      <c r="BD234" s="38">
        <f t="shared" si="344"/>
        <v>295.42782328735052</v>
      </c>
      <c r="BF234">
        <f t="shared" si="345"/>
        <v>0</v>
      </c>
      <c r="BG234" s="38">
        <f t="shared" si="346"/>
        <v>297.0871391084072</v>
      </c>
      <c r="BI234">
        <f t="shared" si="347"/>
        <v>0</v>
      </c>
      <c r="BJ234" s="38">
        <f t="shared" si="348"/>
        <v>243.42913169308855</v>
      </c>
      <c r="BK234" s="39">
        <v>0.83333333333333304</v>
      </c>
    </row>
    <row r="235" spans="1:90" x14ac:dyDescent="0.25">
      <c r="B235" s="39">
        <v>0.5</v>
      </c>
      <c r="C235" s="38">
        <v>0</v>
      </c>
      <c r="D235" s="38">
        <f>+DEGREES(ASIN(COS(RADIANS(E226))*COS(RADIANS(D226))*COS(RADIANS(C235))+SIN(RADIANS(E226))*SIN(RADIANS(D226))))</f>
        <v>64.596346798145674</v>
      </c>
      <c r="E235" s="38">
        <f>+IF(E226&gt;=0,180,0)</f>
        <v>180</v>
      </c>
      <c r="G235">
        <f t="shared" si="349"/>
        <v>2.5403653201854324</v>
      </c>
      <c r="H235">
        <f t="shared" si="350"/>
        <v>-90</v>
      </c>
      <c r="I235" s="153">
        <f t="shared" si="351"/>
        <v>1.5561623234643121E-16</v>
      </c>
      <c r="J235" s="153">
        <f t="shared" si="352"/>
        <v>-2.5403653201854324</v>
      </c>
      <c r="K235" s="152"/>
      <c r="M235" s="39">
        <v>0.5</v>
      </c>
      <c r="N235" s="38">
        <v>0</v>
      </c>
      <c r="O235" s="38">
        <f>+DEGREES(ASIN(COS(RADIANS(P226))*COS(RADIANS(O226))*COS(RADIANS(N235))+SIN(RADIANS(P226))*SIN(RADIANS(O226))))</f>
        <v>59.596346798145696</v>
      </c>
      <c r="P235" s="38">
        <f>+IF(P226&gt;=0,180,0)</f>
        <v>180</v>
      </c>
      <c r="R235">
        <f t="shared" si="353"/>
        <v>3.0403653201854306</v>
      </c>
      <c r="S235">
        <f t="shared" si="354"/>
        <v>-90</v>
      </c>
      <c r="T235" s="153">
        <f t="shared" si="355"/>
        <v>0</v>
      </c>
      <c r="U235" s="153">
        <f t="shared" si="356"/>
        <v>0</v>
      </c>
      <c r="AB235" s="39">
        <v>0.91666666666666696</v>
      </c>
      <c r="AC235" s="38">
        <v>-150</v>
      </c>
      <c r="AD235" s="38">
        <f t="shared" si="249"/>
        <v>-48.894814772724636</v>
      </c>
      <c r="AE235" s="38">
        <f t="shared" si="308"/>
        <v>-49.50854567862288</v>
      </c>
      <c r="AG235">
        <f t="shared" si="357"/>
        <v>9</v>
      </c>
      <c r="AH235">
        <f t="shared" si="358"/>
        <v>180.46609985475277</v>
      </c>
      <c r="AI235" s="153">
        <f t="shared" si="257"/>
        <v>-8.9997022013058103</v>
      </c>
      <c r="AJ235" s="153">
        <f t="shared" si="258"/>
        <v>-7.3213986446225232E-2</v>
      </c>
      <c r="AK235" s="43"/>
      <c r="AP235" s="39">
        <v>0.875</v>
      </c>
      <c r="AQ235">
        <f t="shared" si="335"/>
        <v>0</v>
      </c>
      <c r="AR235">
        <f t="shared" si="336"/>
        <v>249.85519203924551</v>
      </c>
      <c r="AT235">
        <f t="shared" si="337"/>
        <v>0</v>
      </c>
      <c r="AU235" s="38">
        <f t="shared" si="338"/>
        <v>260.4996370717837</v>
      </c>
      <c r="AW235">
        <f t="shared" si="339"/>
        <v>0</v>
      </c>
      <c r="AX235" s="38">
        <f t="shared" si="340"/>
        <v>274.59738166832204</v>
      </c>
      <c r="AZ235">
        <f t="shared" si="341"/>
        <v>0</v>
      </c>
      <c r="BA235" s="38">
        <f t="shared" si="342"/>
        <v>287.11190742150467</v>
      </c>
      <c r="BC235">
        <f t="shared" si="343"/>
        <v>0</v>
      </c>
      <c r="BD235" s="38">
        <f t="shared" si="344"/>
        <v>295.42782328735052</v>
      </c>
      <c r="BF235">
        <f t="shared" si="345"/>
        <v>0</v>
      </c>
      <c r="BG235" s="38">
        <f t="shared" si="346"/>
        <v>297.0871391084072</v>
      </c>
      <c r="BI235">
        <f t="shared" si="347"/>
        <v>0</v>
      </c>
      <c r="BJ235" s="38">
        <f t="shared" si="348"/>
        <v>243.42913169308855</v>
      </c>
      <c r="BK235" s="39">
        <v>0.875</v>
      </c>
    </row>
    <row r="236" spans="1:90" x14ac:dyDescent="0.25">
      <c r="B236" s="39">
        <v>0.54166666666666696</v>
      </c>
      <c r="C236">
        <v>-15</v>
      </c>
      <c r="D236" s="38">
        <f>+DEGREES(ASIN(COS(RADIANS(E226))*COS(RADIANS(D226))*COS(RADIANS(C236))+SIN(RADIANS(E226))*SIN(RADIANS(D226))))</f>
        <v>60.74191151210858</v>
      </c>
      <c r="E236" s="38">
        <f>-(180-DEGREES(ACOS((((SIN(RADIANS(D236)))*SIN(RADIANS(E226)))-SIN(RADIANS(D226)))/((COS(RADIANS(D236)))*COS(RADIANS(E226))))))</f>
        <v>-148.02521829510778</v>
      </c>
      <c r="G236">
        <f t="shared" si="349"/>
        <v>2.925808848789142</v>
      </c>
      <c r="H236">
        <f t="shared" si="350"/>
        <v>238.02521829510778</v>
      </c>
      <c r="I236" s="153">
        <f t="shared" si="351"/>
        <v>-1.5493502295458415</v>
      </c>
      <c r="J236" s="153">
        <f t="shared" si="352"/>
        <v>-2.4819087988600814</v>
      </c>
      <c r="K236" s="152"/>
      <c r="M236" s="39">
        <v>0.54166666666666696</v>
      </c>
      <c r="N236">
        <v>-15</v>
      </c>
      <c r="O236" s="38">
        <f>+DEGREES(ASIN(COS(RADIANS(P226))*COS(RADIANS(O226))*COS(RADIANS(N236))+SIN(RADIANS(P226))*SIN(RADIANS(O226))))</f>
        <v>56.40536291527436</v>
      </c>
      <c r="P236" s="38">
        <f>-(180-DEGREES(ACOS((((SIN(RADIANS(O236)))*SIN(RADIANS(P226)))-SIN(RADIANS(O226)))/((COS(RADIANS(O236)))*COS(RADIANS(P226))))))</f>
        <v>-152.11163440142451</v>
      </c>
      <c r="R236">
        <f t="shared" si="353"/>
        <v>3.359463708472564</v>
      </c>
      <c r="S236">
        <f t="shared" si="354"/>
        <v>242.11163440142451</v>
      </c>
      <c r="T236" s="153">
        <f t="shared" si="355"/>
        <v>0</v>
      </c>
      <c r="U236" s="153">
        <f t="shared" si="356"/>
        <v>0</v>
      </c>
      <c r="AB236" s="39">
        <v>0.95833333333333304</v>
      </c>
      <c r="AC236" s="38">
        <v>-165</v>
      </c>
      <c r="AD236" s="38">
        <f t="shared" si="249"/>
        <v>-57.142026120888801</v>
      </c>
      <c r="AE236" s="38">
        <f t="shared" si="308"/>
        <v>-28.491120897585603</v>
      </c>
      <c r="AG236">
        <f t="shared" si="357"/>
        <v>9</v>
      </c>
      <c r="AH236">
        <f t="shared" si="358"/>
        <v>180.46609985475277</v>
      </c>
      <c r="AI236" s="153">
        <f t="shared" si="257"/>
        <v>-8.9997022013058103</v>
      </c>
      <c r="AJ236" s="153">
        <f t="shared" si="258"/>
        <v>-7.3213986446225232E-2</v>
      </c>
      <c r="AK236" s="43"/>
      <c r="AP236" s="39">
        <v>0.91666666666666696</v>
      </c>
      <c r="AQ236">
        <f t="shared" si="335"/>
        <v>0</v>
      </c>
      <c r="AR236">
        <f t="shared" si="336"/>
        <v>249.85519203924551</v>
      </c>
      <c r="AT236">
        <f t="shared" si="337"/>
        <v>0</v>
      </c>
      <c r="AU236" s="38">
        <f t="shared" si="338"/>
        <v>260.4996370717837</v>
      </c>
      <c r="AW236">
        <f t="shared" si="339"/>
        <v>0</v>
      </c>
      <c r="AX236" s="38">
        <f t="shared" si="340"/>
        <v>274.59738166832204</v>
      </c>
      <c r="AZ236">
        <f t="shared" si="341"/>
        <v>0</v>
      </c>
      <c r="BA236" s="38">
        <f t="shared" si="342"/>
        <v>287.11190742150467</v>
      </c>
      <c r="BC236">
        <f t="shared" si="343"/>
        <v>0</v>
      </c>
      <c r="BD236" s="38">
        <f t="shared" si="344"/>
        <v>295.42782328735052</v>
      </c>
      <c r="BF236">
        <f t="shared" si="345"/>
        <v>0</v>
      </c>
      <c r="BG236" s="38">
        <f t="shared" si="346"/>
        <v>297.0871391084072</v>
      </c>
      <c r="BI236">
        <f t="shared" si="347"/>
        <v>0</v>
      </c>
      <c r="BJ236" s="38">
        <f t="shared" si="348"/>
        <v>243.42913169308855</v>
      </c>
      <c r="BK236" s="39">
        <v>0.91666666666666696</v>
      </c>
    </row>
    <row r="237" spans="1:90" x14ac:dyDescent="0.25">
      <c r="B237" s="39">
        <v>0.58333333333333304</v>
      </c>
      <c r="C237" s="38">
        <v>-30</v>
      </c>
      <c r="D237" s="38">
        <f>+DEGREES(ASIN(COS(RADIANS(E226))*COS(RADIANS(D226))*COS(RADIANS(C237))+SIN(RADIANS(E226))*SIN(RADIANS(D226))))</f>
        <v>51.433833007078441</v>
      </c>
      <c r="E237" s="38">
        <f>-(180-DEGREES(ACOS((((SIN(RADIANS(D237)))*SIN(RADIANS(E226)))-SIN(RADIANS(D226)))/((COS(RADIANS(D237)))*COS(RADIANS(E226))))))</f>
        <v>-126.67750738894603</v>
      </c>
      <c r="G237">
        <f t="shared" si="349"/>
        <v>3.8566166992921556</v>
      </c>
      <c r="H237">
        <f t="shared" si="350"/>
        <v>216.67750738894603</v>
      </c>
      <c r="I237" s="153">
        <f t="shared" si="351"/>
        <v>-3.0930459003652357</v>
      </c>
      <c r="J237" s="153">
        <f t="shared" si="352"/>
        <v>-2.3035970618779942</v>
      </c>
      <c r="K237" s="152"/>
      <c r="M237" s="39">
        <v>0.58333333333333304</v>
      </c>
      <c r="N237" s="38">
        <v>-30</v>
      </c>
      <c r="O237" s="38">
        <f>+DEGREES(ASIN(COS(RADIANS(P226))*COS(RADIANS(O226))*COS(RADIANS(N237))+SIN(RADIANS(P226))*SIN(RADIANS(O226))))</f>
        <v>48.284559002731697</v>
      </c>
      <c r="P237" s="38">
        <f>-(180-DEGREES(ACOS((((SIN(RADIANS(O237)))*SIN(RADIANS(P226)))-SIN(RADIANS(O226)))/((COS(RADIANS(O237)))*COS(RADIANS(P226))))))</f>
        <v>-131.29050984657982</v>
      </c>
      <c r="R237">
        <f t="shared" si="353"/>
        <v>4.1715440997268303</v>
      </c>
      <c r="S237">
        <f t="shared" si="354"/>
        <v>221.29050984657982</v>
      </c>
      <c r="T237" s="153">
        <f t="shared" si="355"/>
        <v>0</v>
      </c>
      <c r="U237" s="153">
        <f t="shared" si="356"/>
        <v>0</v>
      </c>
      <c r="AB237" s="39">
        <v>1</v>
      </c>
      <c r="AC237" s="38">
        <v>-180</v>
      </c>
      <c r="AD237" s="38">
        <v>0</v>
      </c>
      <c r="AE237" s="38">
        <v>-90</v>
      </c>
      <c r="AG237">
        <f t="shared" si="357"/>
        <v>9</v>
      </c>
      <c r="AH237">
        <f t="shared" si="358"/>
        <v>180</v>
      </c>
      <c r="AI237" s="153">
        <f t="shared" si="257"/>
        <v>-9</v>
      </c>
      <c r="AJ237" s="153">
        <f t="shared" si="258"/>
        <v>1.102633609417758E-15</v>
      </c>
      <c r="AK237" s="43"/>
      <c r="AP237" s="39">
        <v>0.95833333333333304</v>
      </c>
      <c r="AQ237">
        <f t="shared" si="335"/>
        <v>0</v>
      </c>
      <c r="AR237">
        <f t="shared" si="336"/>
        <v>249.85519203924551</v>
      </c>
      <c r="AT237">
        <f t="shared" si="337"/>
        <v>0</v>
      </c>
      <c r="AU237" s="38">
        <f t="shared" si="338"/>
        <v>260.4996370717837</v>
      </c>
      <c r="AW237">
        <f t="shared" si="339"/>
        <v>0</v>
      </c>
      <c r="AX237" s="38">
        <f t="shared" si="340"/>
        <v>274.59738166832204</v>
      </c>
      <c r="AZ237">
        <f t="shared" si="341"/>
        <v>0</v>
      </c>
      <c r="BA237" s="38">
        <f t="shared" si="342"/>
        <v>287.11190742150467</v>
      </c>
      <c r="BC237">
        <f t="shared" si="343"/>
        <v>0</v>
      </c>
      <c r="BD237" s="38">
        <f t="shared" si="344"/>
        <v>295.42782328735052</v>
      </c>
      <c r="BF237">
        <f t="shared" si="345"/>
        <v>0</v>
      </c>
      <c r="BG237" s="38">
        <f t="shared" si="346"/>
        <v>297.0871391084072</v>
      </c>
      <c r="BI237">
        <f t="shared" si="347"/>
        <v>0</v>
      </c>
      <c r="BJ237" s="38">
        <f t="shared" si="348"/>
        <v>243.42913169308855</v>
      </c>
      <c r="BK237" s="39">
        <v>0.95833333333333304</v>
      </c>
    </row>
    <row r="238" spans="1:90" x14ac:dyDescent="0.25">
      <c r="B238" s="39">
        <v>0.625</v>
      </c>
      <c r="C238">
        <v>-45</v>
      </c>
      <c r="D238" s="38">
        <f>+DEGREES(ASIN(COS(RADIANS(E226))*COS(RADIANS(D226))*COS(RADIANS(C238))+SIN(RADIANS(E226))*SIN(RADIANS(D226))))</f>
        <v>39.632662002345647</v>
      </c>
      <c r="E238" s="38">
        <f>-(180-DEGREES(ACOS((((SIN(RADIANS(D238)))*SIN(RADIANS(E226)))-SIN(RADIANS(D226)))/((COS(RADIANS(D238)))*COS(RADIANS(E226))))))</f>
        <v>-113.34735462280341</v>
      </c>
      <c r="G238">
        <f t="shared" si="349"/>
        <v>5.0367337997654351</v>
      </c>
      <c r="H238">
        <f t="shared" si="350"/>
        <v>203.34735462280341</v>
      </c>
      <c r="I238" s="153">
        <f t="shared" si="351"/>
        <v>-4.6243217634313547</v>
      </c>
      <c r="J238" s="153">
        <f t="shared" si="352"/>
        <v>-1.9960800580023554</v>
      </c>
      <c r="K238" s="152"/>
      <c r="M238" s="39">
        <v>0.625</v>
      </c>
      <c r="N238">
        <v>-45</v>
      </c>
      <c r="O238" s="38">
        <f>+DEGREES(ASIN(COS(RADIANS(P226))*COS(RADIANS(O226))*COS(RADIANS(N238))+SIN(RADIANS(P226))*SIN(RADIANS(O226))))</f>
        <v>37.505293910382669</v>
      </c>
      <c r="P238" s="38">
        <f>-(180-DEGREES(ACOS((((SIN(RADIANS(O238)))*SIN(RADIANS(P226)))-SIN(RADIANS(O226)))/((COS(RADIANS(O238)))*COS(RADIANS(P226))))))</f>
        <v>-116.9591888957782</v>
      </c>
      <c r="R238">
        <f t="shared" si="353"/>
        <v>5.2494706089617331</v>
      </c>
      <c r="S238">
        <f t="shared" si="354"/>
        <v>206.9591888957782</v>
      </c>
      <c r="T238" s="153">
        <f t="shared" si="355"/>
        <v>0</v>
      </c>
      <c r="U238" s="153">
        <f t="shared" si="356"/>
        <v>0</v>
      </c>
      <c r="AB238" s="39">
        <v>1.0416666666666701</v>
      </c>
      <c r="AC238" s="38">
        <v>-195</v>
      </c>
      <c r="AD238" s="38">
        <f>+DEGREES(ASIN(COS(RADIANS($AE$174))*COS(RADIANS($AD$174))*COS(RADIANS(AC238))+SIN(RADIANS($AE$174))*SIN(RADIANS($AD$174))))</f>
        <v>-57.142026120888822</v>
      </c>
      <c r="AE238" s="38">
        <f>-(180-DEGREES(ACOS((((SIN(RADIANS(AD238)))*SIN(RADIANS($AE$174)))-SIN(RADIANS($AD$174)))/((COS(RADIANS(AD238)))*COS(RADIANS($AE$174))))))</f>
        <v>-28.491120897585517</v>
      </c>
      <c r="AG238">
        <f t="shared" si="357"/>
        <v>9</v>
      </c>
      <c r="AH238">
        <f t="shared" si="358"/>
        <v>180.46609985475277</v>
      </c>
      <c r="AI238" s="153">
        <f t="shared" si="257"/>
        <v>-8.9997022013058103</v>
      </c>
      <c r="AJ238" s="153">
        <f t="shared" si="258"/>
        <v>-7.3213986446225232E-2</v>
      </c>
      <c r="AK238" s="43"/>
    </row>
    <row r="239" spans="1:90" x14ac:dyDescent="0.25">
      <c r="B239" s="39">
        <v>0.66666666666666696</v>
      </c>
      <c r="C239" s="38">
        <v>-60</v>
      </c>
      <c r="D239" s="38">
        <f>+DEGREES(ASIN(COS(RADIANS(E226))*COS(RADIANS(D226))*COS(RADIANS(C239))+SIN(RADIANS(E226))*SIN(RADIANS(D226))))</f>
        <v>26.754289542312229</v>
      </c>
      <c r="E239" s="38">
        <f>-(180-DEGREES(ACOS((((SIN(RADIANS(D239)))*SIN(RADIANS(E226)))-SIN(RADIANS(D226)))/((COS(RADIANS(D239)))*COS(RADIANS(E226))))))</f>
        <v>-104.11018703457104</v>
      </c>
      <c r="G239">
        <f t="shared" si="349"/>
        <v>6.3245710457687769</v>
      </c>
      <c r="H239">
        <f t="shared" si="350"/>
        <v>194.11018703457103</v>
      </c>
      <c r="I239" s="153">
        <f t="shared" si="351"/>
        <v>-6.1337504259796329</v>
      </c>
      <c r="J239" s="153">
        <f t="shared" si="352"/>
        <v>-1.5418510384506769</v>
      </c>
      <c r="M239" s="39">
        <v>0.66666666666666696</v>
      </c>
      <c r="N239" s="38">
        <v>-60</v>
      </c>
      <c r="O239" s="38">
        <f>+DEGREES(ASIN(COS(RADIANS(P226))*COS(RADIANS(O226))*COS(RADIANS(N239))+SIN(RADIANS(P226))*SIN(RADIANS(O226))))</f>
        <v>25.434529047364645</v>
      </c>
      <c r="P239" s="38">
        <f>-(180-DEGREES(ACOS((((SIN(RADIANS(O239)))*SIN(RADIANS(P226)))-SIN(RADIANS(O226)))/((COS(RADIANS(O239)))*COS(RADIANS(P226))))))</f>
        <v>-106.4740194500216</v>
      </c>
      <c r="R239">
        <f t="shared" si="353"/>
        <v>6.4565470952635353</v>
      </c>
      <c r="S239">
        <f t="shared" si="354"/>
        <v>196.47401945002161</v>
      </c>
      <c r="T239" s="153">
        <f t="shared" si="355"/>
        <v>0</v>
      </c>
      <c r="U239" s="153">
        <f t="shared" si="356"/>
        <v>0</v>
      </c>
      <c r="AC239" s="319" t="s">
        <v>89</v>
      </c>
      <c r="AD239" s="319"/>
      <c r="AE239" s="319" t="s">
        <v>98</v>
      </c>
      <c r="AF239" s="319" t="s">
        <v>97</v>
      </c>
      <c r="AG239" s="319" t="s">
        <v>96</v>
      </c>
      <c r="AH239" s="319" t="s">
        <v>95</v>
      </c>
      <c r="AQ239" s="320">
        <v>4.1666666666666664E-2</v>
      </c>
      <c r="AR239" s="321"/>
      <c r="AS239" s="320">
        <v>8.3333333333333301E-2</v>
      </c>
      <c r="AT239" s="321"/>
      <c r="AU239" s="320">
        <v>0.125</v>
      </c>
      <c r="AV239" s="321"/>
      <c r="AW239" s="320">
        <v>0.16666666666666699</v>
      </c>
      <c r="AX239" s="321"/>
      <c r="AY239" s="320">
        <v>0.20833333333333301</v>
      </c>
      <c r="AZ239" s="321"/>
      <c r="BA239" s="320">
        <v>0.25</v>
      </c>
      <c r="BB239" s="321"/>
      <c r="BC239" s="320">
        <v>0.29166666666666702</v>
      </c>
      <c r="BD239" s="321"/>
      <c r="BE239" s="320">
        <v>0.33333333333333298</v>
      </c>
      <c r="BF239" s="321"/>
      <c r="BG239" s="320">
        <v>0.375</v>
      </c>
      <c r="BH239" s="321"/>
      <c r="BI239" s="320">
        <v>0.41666666666666702</v>
      </c>
      <c r="BJ239" s="321"/>
      <c r="BK239" s="320">
        <v>0.45833333333333298</v>
      </c>
      <c r="BL239" s="321"/>
      <c r="BM239" s="320">
        <v>0.5</v>
      </c>
      <c r="BN239" s="321"/>
      <c r="BO239" s="320">
        <v>0.5</v>
      </c>
      <c r="BP239" s="321"/>
      <c r="BQ239" s="320">
        <v>0.54166666666666696</v>
      </c>
      <c r="BR239" s="321"/>
      <c r="BS239" s="320">
        <v>0.58333333333333404</v>
      </c>
      <c r="BT239" s="321"/>
      <c r="BU239" s="320">
        <v>0.625000000000001</v>
      </c>
      <c r="BV239" s="321"/>
      <c r="BW239" s="320">
        <v>0.66666666666666796</v>
      </c>
      <c r="BX239" s="321"/>
      <c r="BY239" s="320">
        <v>0.70833333333333504</v>
      </c>
      <c r="BZ239" s="321"/>
      <c r="CA239" s="320">
        <v>0.750000000000002</v>
      </c>
      <c r="CB239" s="321"/>
      <c r="CC239" s="320">
        <v>0.79166666666666896</v>
      </c>
      <c r="CD239" s="321"/>
      <c r="CE239" s="320">
        <v>0.83333333333333703</v>
      </c>
      <c r="CF239" s="321"/>
      <c r="CG239" s="320">
        <v>0.875000000000004</v>
      </c>
      <c r="CH239" s="321"/>
      <c r="CI239" s="320">
        <v>0.91666666666666996</v>
      </c>
      <c r="CJ239" s="321"/>
      <c r="CK239" s="320">
        <v>0.95833333333333703</v>
      </c>
      <c r="CL239" s="321"/>
    </row>
    <row r="240" spans="1:90" x14ac:dyDescent="0.25">
      <c r="B240" s="39">
        <v>0.70833333333333404</v>
      </c>
      <c r="C240">
        <v>-75</v>
      </c>
      <c r="D240" s="38">
        <f>+DEGREES(ASIN(COS(RADIANS(E226))*COS(RADIANS(D226))*COS(RADIANS(C240))+SIN(RADIANS(E226))*SIN(RADIANS(D226))))</f>
        <v>13.390496061053557</v>
      </c>
      <c r="E240" s="38">
        <f>-(180-DEGREES(ACOS((((SIN(RADIANS(D240)))*SIN(RADIANS(E226)))-SIN(RADIANS(D226)))/((COS(RADIANS(D240)))*COS(RADIANS(E226))))))</f>
        <v>-96.834333575565424</v>
      </c>
      <c r="G240">
        <f t="shared" si="349"/>
        <v>7.6609503938946446</v>
      </c>
      <c r="H240">
        <f t="shared" si="350"/>
        <v>186.83433357556544</v>
      </c>
      <c r="I240" s="153">
        <f t="shared" si="351"/>
        <v>-7.6065145774372969</v>
      </c>
      <c r="J240" s="153">
        <f t="shared" si="352"/>
        <v>-0.91164517272259915</v>
      </c>
      <c r="M240" s="39">
        <v>0.70833333333333404</v>
      </c>
      <c r="N240">
        <v>-75</v>
      </c>
      <c r="O240" s="38">
        <f>+DEGREES(ASIN(COS(RADIANS(P226))*COS(RADIANS(O226))*COS(RADIANS(N240))+SIN(RADIANS(P226))*SIN(RADIANS(O226))))</f>
        <v>12.745204221314955</v>
      </c>
      <c r="P240" s="38">
        <f>-(180-DEGREES(ACOS((((SIN(RADIANS(O240)))*SIN(RADIANS(P226)))-SIN(RADIANS(O226)))/((COS(RADIANS(O240)))*COS(RADIANS(P226))))))</f>
        <v>-97.985970411644061</v>
      </c>
      <c r="R240">
        <f t="shared" si="353"/>
        <v>7.725479577868505</v>
      </c>
      <c r="S240">
        <f t="shared" si="354"/>
        <v>187.98597041164408</v>
      </c>
      <c r="T240" s="153">
        <f t="shared" si="355"/>
        <v>0</v>
      </c>
      <c r="U240" s="153">
        <f t="shared" si="356"/>
        <v>0</v>
      </c>
      <c r="AC240" s="319"/>
      <c r="AD240" s="319"/>
      <c r="AE240" s="319"/>
      <c r="AF240" s="319"/>
      <c r="AG240" s="319"/>
      <c r="AH240" s="319"/>
      <c r="AQ240" s="315"/>
      <c r="AR240" s="315"/>
      <c r="AS240" s="315"/>
      <c r="AT240" s="315"/>
      <c r="AU240" s="315"/>
      <c r="AV240" s="315"/>
      <c r="AW240" s="315"/>
      <c r="AX240" s="315"/>
      <c r="AY240" s="315"/>
      <c r="AZ240" s="315"/>
      <c r="BA240" s="315"/>
      <c r="BB240" s="315"/>
      <c r="BC240" s="315"/>
      <c r="BD240" s="315"/>
      <c r="BE240" s="315"/>
      <c r="BF240" s="315"/>
      <c r="BG240" s="315"/>
      <c r="BH240" s="315"/>
      <c r="BI240" s="315"/>
      <c r="BJ240" s="315"/>
      <c r="BK240" s="315"/>
      <c r="BL240" s="315"/>
      <c r="BM240" s="315"/>
      <c r="BN240" s="315"/>
      <c r="BO240" s="315"/>
      <c r="BP240" s="315"/>
      <c r="BQ240" s="315"/>
      <c r="BR240" s="315"/>
      <c r="BS240" s="315"/>
      <c r="BT240" s="315"/>
      <c r="BU240" s="315"/>
      <c r="BV240" s="315"/>
      <c r="BW240" s="315"/>
      <c r="BX240" s="315"/>
      <c r="BY240" s="315"/>
      <c r="BZ240" s="315"/>
      <c r="CA240" s="315"/>
      <c r="CB240" s="315"/>
      <c r="CC240" s="315"/>
      <c r="CD240" s="315"/>
      <c r="CE240" s="315"/>
      <c r="CF240" s="315"/>
      <c r="CG240" s="315"/>
      <c r="CH240" s="315"/>
      <c r="CI240" s="315"/>
      <c r="CJ240" s="315"/>
      <c r="CK240" s="315"/>
      <c r="CL240" s="315"/>
    </row>
    <row r="241" spans="1:90" x14ac:dyDescent="0.25">
      <c r="B241" s="39">
        <v>0.75</v>
      </c>
      <c r="C241" s="38">
        <v>-90</v>
      </c>
      <c r="D241" s="38">
        <f>+DEGREES(ASIN(COS(RADIANS(E226))*COS(RADIANS(D226))*COS(RADIANS(C241))+SIN(RADIANS(E226))*SIN(RADIANS(D226))))</f>
        <v>-0.17059005539206051</v>
      </c>
      <c r="E241" s="38">
        <f>-(180-DEGREES(ACOS((((SIN(RADIANS(D241)))*SIN(RADIANS(E226)))-SIN(RADIANS(D226)))/((COS(RADIANS(D241)))*COS(RADIANS(E226))))))</f>
        <v>-90.365835121110862</v>
      </c>
      <c r="G241">
        <f t="shared" si="349"/>
        <v>9.0170590055392061</v>
      </c>
      <c r="H241">
        <f t="shared" si="350"/>
        <v>180.36583512111088</v>
      </c>
      <c r="I241" s="153">
        <f t="shared" si="351"/>
        <v>-9.0168751998419374</v>
      </c>
      <c r="J241" s="153">
        <f t="shared" si="352"/>
        <v>-5.7573777460843564E-2</v>
      </c>
      <c r="M241" s="39">
        <v>0.75</v>
      </c>
      <c r="N241" s="38">
        <v>-90</v>
      </c>
      <c r="O241" s="38">
        <f>+DEGREES(ASIN(COS(RADIANS(P226))*COS(RADIANS(O226))*COS(RADIANS(N241))+SIN(RADIANS(P226))*SIN(RADIANS(O226))))</f>
        <v>-0.20182534876289174</v>
      </c>
      <c r="P241" s="38">
        <f>-(180-DEGREES(ACOS((((SIN(RADIANS(O241)))*SIN(RADIANS(P226)))-SIN(RADIANS(O226)))/((COS(RADIANS(O241)))*COS(RADIANS(P226))))))</f>
        <v>-90.349575372991453</v>
      </c>
      <c r="R241">
        <f t="shared" si="353"/>
        <v>9.0201825348762892</v>
      </c>
      <c r="S241">
        <f t="shared" si="354"/>
        <v>180.34957537299147</v>
      </c>
      <c r="T241" s="153">
        <f t="shared" si="355"/>
        <v>0</v>
      </c>
      <c r="U241" s="153">
        <f t="shared" si="356"/>
        <v>0</v>
      </c>
      <c r="Z241" s="42"/>
      <c r="AB241" s="39">
        <v>0.25</v>
      </c>
      <c r="AC241">
        <v>9</v>
      </c>
      <c r="AD241">
        <f t="shared" ref="AD241:AD265" si="359">+$AH$172</f>
        <v>0</v>
      </c>
      <c r="AE241" s="153">
        <f t="shared" ref="AE241:AE289" si="360">+AF241</f>
        <v>9.0200146465970548</v>
      </c>
      <c r="AF241">
        <f t="shared" ref="AF241:AF289" si="361">+AI183</f>
        <v>9.0200146465970548</v>
      </c>
      <c r="AG241" s="153">
        <f t="shared" ref="AG241:AG289" si="362">+AC241*SIN(RADIANS(AD241))</f>
        <v>0</v>
      </c>
      <c r="AH241">
        <f t="shared" ref="AH241:AH289" si="363">+AJ183</f>
        <v>-5.503396825473867E-2</v>
      </c>
      <c r="AQ241" s="315"/>
      <c r="AR241" s="315"/>
      <c r="AS241" s="315"/>
      <c r="AT241" s="315"/>
      <c r="AU241" s="315"/>
      <c r="AV241" s="315"/>
      <c r="AW241" s="315"/>
      <c r="AX241" s="315"/>
      <c r="AY241" s="315"/>
      <c r="AZ241" s="315"/>
      <c r="BA241" s="315"/>
      <c r="BB241" s="315"/>
      <c r="BC241" s="315"/>
      <c r="BD241" s="315"/>
      <c r="BE241" s="315"/>
      <c r="BF241" s="315"/>
      <c r="BG241" s="315"/>
      <c r="BH241" s="315"/>
      <c r="BI241" s="315"/>
      <c r="BJ241" s="315"/>
      <c r="BK241" s="315"/>
      <c r="BL241" s="315"/>
      <c r="BM241" s="315"/>
      <c r="BN241" s="315"/>
      <c r="BO241" s="315"/>
      <c r="BP241" s="315"/>
      <c r="BQ241" s="315"/>
      <c r="BR241" s="315"/>
      <c r="BS241" s="315"/>
      <c r="BT241" s="315"/>
      <c r="BU241" s="315"/>
      <c r="BV241" s="315"/>
      <c r="BW241" s="315"/>
      <c r="BX241" s="315"/>
      <c r="BY241" s="315"/>
      <c r="BZ241" s="315"/>
      <c r="CA241" s="315"/>
      <c r="CB241" s="315"/>
      <c r="CC241" s="315"/>
      <c r="CD241" s="315"/>
      <c r="CE241" s="315"/>
      <c r="CF241" s="315"/>
      <c r="CG241" s="315"/>
      <c r="CH241" s="315"/>
      <c r="CI241" s="315"/>
      <c r="CJ241" s="315"/>
      <c r="CK241" s="315"/>
      <c r="CL241" s="315"/>
    </row>
    <row r="242" spans="1:90" x14ac:dyDescent="0.25">
      <c r="AA242">
        <v>1</v>
      </c>
      <c r="AB242" s="39">
        <v>0.26041666666666669</v>
      </c>
      <c r="AC242">
        <f t="shared" ref="AC242:AC265" si="364">+AC241-9/24</f>
        <v>8.625</v>
      </c>
      <c r="AD242">
        <f t="shared" si="359"/>
        <v>0</v>
      </c>
      <c r="AE242" s="153">
        <f t="shared" si="360"/>
        <v>8.6889526008258624</v>
      </c>
      <c r="AF242">
        <f t="shared" si="361"/>
        <v>8.6889526008258624</v>
      </c>
      <c r="AG242" s="153">
        <f t="shared" si="362"/>
        <v>0</v>
      </c>
      <c r="AH242">
        <f t="shared" si="363"/>
        <v>-0.33787982533866967</v>
      </c>
      <c r="AI242">
        <v>1</v>
      </c>
      <c r="AP242" t="s">
        <v>67</v>
      </c>
      <c r="AQ242">
        <f>+BI214</f>
        <v>0</v>
      </c>
      <c r="AR242">
        <f>+BJ214</f>
        <v>116.57086830691144</v>
      </c>
      <c r="AS242">
        <f>+BI215</f>
        <v>0</v>
      </c>
      <c r="AT242">
        <f>+BJ215</f>
        <v>116.57086830691144</v>
      </c>
      <c r="AU242">
        <f>+BI216</f>
        <v>0</v>
      </c>
      <c r="AV242">
        <f>+BJ216</f>
        <v>116.57086830691144</v>
      </c>
      <c r="AW242">
        <f>+BI217</f>
        <v>0</v>
      </c>
      <c r="AX242">
        <f>+BJ217</f>
        <v>116.57086830691144</v>
      </c>
      <c r="AY242">
        <f>+BI218</f>
        <v>0</v>
      </c>
      <c r="AZ242">
        <f>+BJ218</f>
        <v>116.57086830691144</v>
      </c>
      <c r="BA242">
        <f>+BI219</f>
        <v>0</v>
      </c>
      <c r="BB242">
        <f>+BJ219</f>
        <v>116.57086830691144</v>
      </c>
      <c r="BC242">
        <f>+BI220</f>
        <v>1.0425877010819102</v>
      </c>
      <c r="BD242">
        <f>+BJ220</f>
        <v>117.22586297915178</v>
      </c>
      <c r="BE242">
        <f>+BI221</f>
        <v>12.251377298592953</v>
      </c>
      <c r="BF242">
        <f>+BJ221</f>
        <v>125.34452095224731</v>
      </c>
      <c r="BG242">
        <f>+BI222</f>
        <v>22.259218825541542</v>
      </c>
      <c r="BH242">
        <f>+BJ222</f>
        <v>135.31204694577815</v>
      </c>
      <c r="BI242">
        <f>+BI223</f>
        <v>30.439709654260056</v>
      </c>
      <c r="BJ242">
        <f>+BJ223</f>
        <v>147.73819825211658</v>
      </c>
      <c r="BK242">
        <f>+BI224</f>
        <v>35.943781380086349</v>
      </c>
      <c r="BL242">
        <f>+BJ224</f>
        <v>162.88737099929463</v>
      </c>
      <c r="BM242">
        <f>+BI225</f>
        <v>37.908363272130764</v>
      </c>
      <c r="BN242">
        <f>+BJ225</f>
        <v>180</v>
      </c>
      <c r="BO242">
        <f>+BI226</f>
        <v>37.908363272130764</v>
      </c>
      <c r="BP242">
        <f>+BJ226</f>
        <v>180</v>
      </c>
      <c r="BQ242">
        <f>+BI227</f>
        <v>35.943781380086349</v>
      </c>
      <c r="BR242">
        <f>+BJ227</f>
        <v>197.11262900070537</v>
      </c>
      <c r="BS242">
        <f>+BI228</f>
        <v>30.439709654260056</v>
      </c>
      <c r="BT242">
        <f>+BJ228</f>
        <v>212.26180174788342</v>
      </c>
      <c r="BU242">
        <f>+BI229</f>
        <v>22.259218825541542</v>
      </c>
      <c r="BV242">
        <f>+BJ229</f>
        <v>224.68795305422185</v>
      </c>
      <c r="BW242">
        <f>+BI230</f>
        <v>12.251377298592953</v>
      </c>
      <c r="BX242">
        <f>+BJ230</f>
        <v>234.65547904775269</v>
      </c>
      <c r="BY242">
        <f>+BI231</f>
        <v>1.0425877010819102</v>
      </c>
      <c r="BZ242">
        <f>+BJ231</f>
        <v>242.77413702084823</v>
      </c>
      <c r="CA242">
        <f>+BI232</f>
        <v>0</v>
      </c>
      <c r="CB242">
        <f>+BJ232</f>
        <v>243.42913169308855</v>
      </c>
      <c r="CC242">
        <f>+BI233</f>
        <v>0</v>
      </c>
      <c r="CD242">
        <f>+BJ233</f>
        <v>243.42913169308855</v>
      </c>
      <c r="CE242">
        <f>+BI234</f>
        <v>0</v>
      </c>
      <c r="CF242">
        <f>+BJ234</f>
        <v>243.42913169308855</v>
      </c>
      <c r="CG242">
        <f>+BI235</f>
        <v>0</v>
      </c>
      <c r="CH242">
        <f>+BJ235</f>
        <v>243.42913169308855</v>
      </c>
      <c r="CI242">
        <f>+BI236</f>
        <v>0</v>
      </c>
      <c r="CJ242">
        <f>+BJ236</f>
        <v>243.42913169308855</v>
      </c>
      <c r="CK242">
        <f>+BI237</f>
        <v>0</v>
      </c>
      <c r="CL242">
        <f>+BJ237</f>
        <v>243.42913169308855</v>
      </c>
    </row>
    <row r="243" spans="1:90" x14ac:dyDescent="0.25">
      <c r="AB243" s="39">
        <v>0.27083333333333298</v>
      </c>
      <c r="AC243">
        <f t="shared" si="364"/>
        <v>8.25</v>
      </c>
      <c r="AD243">
        <f t="shared" si="359"/>
        <v>0</v>
      </c>
      <c r="AE243" s="153">
        <f t="shared" si="360"/>
        <v>8.3496692635520056</v>
      </c>
      <c r="AF243">
        <f t="shared" si="361"/>
        <v>8.3496692635520056</v>
      </c>
      <c r="AG243" s="153">
        <f t="shared" si="362"/>
        <v>0</v>
      </c>
      <c r="AH243">
        <f t="shared" si="363"/>
        <v>-0.60101097847750606</v>
      </c>
      <c r="AP243" t="s">
        <v>53</v>
      </c>
      <c r="AQ243">
        <f>+AQ214</f>
        <v>0</v>
      </c>
      <c r="AR243">
        <f>+AR214</f>
        <v>110.14480796075449</v>
      </c>
      <c r="AS243">
        <f>+AQ215</f>
        <v>0</v>
      </c>
      <c r="AT243">
        <f>+AR215</f>
        <v>110.14480796075449</v>
      </c>
      <c r="AU243">
        <f>+AQ216</f>
        <v>0</v>
      </c>
      <c r="AV243">
        <f>+AR216</f>
        <v>110.14480796075449</v>
      </c>
      <c r="AW243">
        <f>+AQ217</f>
        <v>0</v>
      </c>
      <c r="AX243">
        <f>+AR217</f>
        <v>110.14480796075449</v>
      </c>
      <c r="AY243">
        <f>+AQ218</f>
        <v>0</v>
      </c>
      <c r="AZ243">
        <f>+AR218</f>
        <v>110.14480796075449</v>
      </c>
      <c r="BA243">
        <f>+AQ219</f>
        <v>0</v>
      </c>
      <c r="BB243">
        <f>+AR219</f>
        <v>110.14480796075449</v>
      </c>
      <c r="BC243">
        <f>+AQ220</f>
        <v>3.9806023907424599</v>
      </c>
      <c r="BD243">
        <f>+AR220</f>
        <v>112.5771078319798</v>
      </c>
      <c r="BE243">
        <f>+AQ221</f>
        <v>15.689450108647346</v>
      </c>
      <c r="BF243">
        <f>+AR221</f>
        <v>120.92625519511847</v>
      </c>
      <c r="BG243">
        <f>+AQ222</f>
        <v>26.297342212361595</v>
      </c>
      <c r="BH243">
        <f>+AR222</f>
        <v>131.22199491730089</v>
      </c>
      <c r="BI243">
        <f>+AQ223</f>
        <v>35.132915612826856</v>
      </c>
      <c r="BJ243">
        <f>+AR223</f>
        <v>144.33588641082156</v>
      </c>
      <c r="BK243">
        <f>+AQ224</f>
        <v>41.203386965463082</v>
      </c>
      <c r="BL243">
        <f>+AR224</f>
        <v>160.84947792309023</v>
      </c>
      <c r="BM243">
        <f>+AQ225</f>
        <v>43.40350454351578</v>
      </c>
      <c r="BN243">
        <f>+AR225</f>
        <v>180</v>
      </c>
      <c r="BO243">
        <f>+AQ226</f>
        <v>43.40350454351578</v>
      </c>
      <c r="BP243">
        <f>+AR226</f>
        <v>180</v>
      </c>
      <c r="BQ243">
        <f>+AQ227</f>
        <v>41.203386965463082</v>
      </c>
      <c r="BR243">
        <f>+AR227</f>
        <v>199.15052207690977</v>
      </c>
      <c r="BS243">
        <f>+AQ228</f>
        <v>35.132915612826856</v>
      </c>
      <c r="BT243">
        <f>+AR228</f>
        <v>215.66411358917844</v>
      </c>
      <c r="BU243">
        <f>+AQ229</f>
        <v>26.297342212361595</v>
      </c>
      <c r="BV243">
        <f>+AR229</f>
        <v>228.77800508269911</v>
      </c>
      <c r="BW243">
        <f>+AQ230</f>
        <v>15.689450108647346</v>
      </c>
      <c r="BX243">
        <f>+AR230</f>
        <v>239.07374480488153</v>
      </c>
      <c r="BY243">
        <f>+AQ231</f>
        <v>3.9806023907424599</v>
      </c>
      <c r="BZ243">
        <f>+AR231</f>
        <v>247.42289216802021</v>
      </c>
      <c r="CA243">
        <f>+AQ232</f>
        <v>0</v>
      </c>
      <c r="CB243">
        <f>+AR232</f>
        <v>249.85519203924551</v>
      </c>
      <c r="CC243">
        <f>+AQ233</f>
        <v>0</v>
      </c>
      <c r="CD243">
        <f>+AR233</f>
        <v>249.85519203924551</v>
      </c>
      <c r="CE243">
        <f>+AQ234</f>
        <v>0</v>
      </c>
      <c r="CF243">
        <f>+AR234</f>
        <v>249.85519203924551</v>
      </c>
      <c r="CG243">
        <f>+AQ235</f>
        <v>0</v>
      </c>
      <c r="CH243">
        <f>+AR235</f>
        <v>249.85519203924551</v>
      </c>
      <c r="CI243">
        <f>+AQ236</f>
        <v>0</v>
      </c>
      <c r="CJ243">
        <f>+AR236</f>
        <v>249.85519203924551</v>
      </c>
      <c r="CK243">
        <f>+AQ237</f>
        <v>0</v>
      </c>
      <c r="CL243">
        <f>+AR237</f>
        <v>249.85519203924551</v>
      </c>
    </row>
    <row r="244" spans="1:90" x14ac:dyDescent="0.25">
      <c r="A244" s="155" t="s">
        <v>92</v>
      </c>
      <c r="B244" s="155">
        <v>21</v>
      </c>
      <c r="C244" s="315"/>
      <c r="D244" s="315"/>
      <c r="E244" s="316"/>
      <c r="L244" s="155" t="s">
        <v>92</v>
      </c>
      <c r="M244" s="155">
        <v>21</v>
      </c>
      <c r="N244" s="315"/>
      <c r="O244" s="315"/>
      <c r="P244" s="316"/>
      <c r="AA244">
        <v>2</v>
      </c>
      <c r="AB244" s="39">
        <v>0.28125</v>
      </c>
      <c r="AC244">
        <f t="shared" si="364"/>
        <v>7.875</v>
      </c>
      <c r="AD244">
        <f t="shared" si="359"/>
        <v>0</v>
      </c>
      <c r="AE244" s="153">
        <f t="shared" si="360"/>
        <v>8.0032344718920641</v>
      </c>
      <c r="AF244">
        <f t="shared" si="361"/>
        <v>8.0032344718920641</v>
      </c>
      <c r="AG244" s="153">
        <f t="shared" si="362"/>
        <v>0</v>
      </c>
      <c r="AH244">
        <f t="shared" si="363"/>
        <v>-0.84575806943707621</v>
      </c>
      <c r="AI244">
        <v>2</v>
      </c>
      <c r="AP244" t="s">
        <v>57</v>
      </c>
      <c r="AQ244">
        <f>+AT214</f>
        <v>0</v>
      </c>
      <c r="AR244">
        <f>+AU214</f>
        <v>99.500362928216276</v>
      </c>
      <c r="AS244">
        <f>+AT215</f>
        <v>0</v>
      </c>
      <c r="AT244">
        <f>+AU215</f>
        <v>99.500362928216276</v>
      </c>
      <c r="AU244">
        <f>+AT216</f>
        <v>0</v>
      </c>
      <c r="AV244">
        <f>+AU216</f>
        <v>99.500362928216276</v>
      </c>
      <c r="AW244">
        <f>+AT217</f>
        <v>0</v>
      </c>
      <c r="AX244">
        <f>+AU217</f>
        <v>99.500362928216276</v>
      </c>
      <c r="AY244">
        <f>+AT218</f>
        <v>0</v>
      </c>
      <c r="AZ244">
        <f>+AU218</f>
        <v>99.500362928216276</v>
      </c>
      <c r="BA244">
        <f>+AT219</f>
        <v>0</v>
      </c>
      <c r="BB244">
        <f>+AU219</f>
        <v>99.500362928216276</v>
      </c>
      <c r="BC244">
        <f>+AT220</f>
        <v>8.8424843209748119</v>
      </c>
      <c r="BD244">
        <f>+AU220</f>
        <v>104.68802822282147</v>
      </c>
      <c r="BE244">
        <f>+AT221</f>
        <v>21.241041758651765</v>
      </c>
      <c r="BF244">
        <f>+AU221</f>
        <v>113.15708853016723</v>
      </c>
      <c r="BG244">
        <f>+AT222</f>
        <v>32.778902474630826</v>
      </c>
      <c r="BH244">
        <f>+AU222</f>
        <v>123.67138966374844</v>
      </c>
      <c r="BI244">
        <f>+AT223</f>
        <v>42.752422426604682</v>
      </c>
      <c r="BJ244">
        <f>+AU223</f>
        <v>137.63858177436344</v>
      </c>
      <c r="BK244">
        <f>+AT224</f>
        <v>49.927090631227195</v>
      </c>
      <c r="BL244">
        <f>+AU224</f>
        <v>156.55697888534539</v>
      </c>
      <c r="BM244">
        <f>+AT225</f>
        <v>52.626294934964093</v>
      </c>
      <c r="BN244">
        <f>+AU225</f>
        <v>180</v>
      </c>
      <c r="BO244">
        <f>+AT226</f>
        <v>52.626294934964093</v>
      </c>
      <c r="BP244">
        <f>+AU226</f>
        <v>180</v>
      </c>
      <c r="BQ244">
        <f>+AT227</f>
        <v>49.927090631227195</v>
      </c>
      <c r="BR244">
        <f>+AU227</f>
        <v>203.44302111465461</v>
      </c>
      <c r="BS244">
        <f>+AT228</f>
        <v>42.752422426604682</v>
      </c>
      <c r="BT244">
        <f>+AU228</f>
        <v>222.36141822563656</v>
      </c>
      <c r="BU244">
        <f>+AT229</f>
        <v>32.778902474630826</v>
      </c>
      <c r="BV244">
        <f>+AU229</f>
        <v>236.32861033625156</v>
      </c>
      <c r="BW244">
        <f>+AT230</f>
        <v>21.241041758651765</v>
      </c>
      <c r="BX244">
        <f>+AU230</f>
        <v>246.84291146983276</v>
      </c>
      <c r="BY244">
        <f>+AT231</f>
        <v>8.8424843209748119</v>
      </c>
      <c r="BZ244">
        <f>+AU231</f>
        <v>255.31197177717854</v>
      </c>
      <c r="CA244">
        <f>+AT232</f>
        <v>0</v>
      </c>
      <c r="CB244">
        <f>+AU232</f>
        <v>260.4996370717837</v>
      </c>
      <c r="CC244">
        <f>+AT233</f>
        <v>0</v>
      </c>
      <c r="CD244">
        <f>+AU233</f>
        <v>260.4996370717837</v>
      </c>
      <c r="CE244">
        <f>+AT234</f>
        <v>0</v>
      </c>
      <c r="CF244">
        <f>+AU234</f>
        <v>260.4996370717837</v>
      </c>
      <c r="CG244">
        <f>+AT235</f>
        <v>0</v>
      </c>
      <c r="CH244">
        <f>+AU235</f>
        <v>260.4996370717837</v>
      </c>
      <c r="CI244">
        <f>+AT236</f>
        <v>0</v>
      </c>
      <c r="CJ244">
        <f>+AU236</f>
        <v>260.4996370717837</v>
      </c>
      <c r="CK244">
        <f>+AT237</f>
        <v>0</v>
      </c>
      <c r="CL244">
        <f>+AU237</f>
        <v>260.4996370717837</v>
      </c>
    </row>
    <row r="245" spans="1:90" x14ac:dyDescent="0.25">
      <c r="A245" s="155" t="s">
        <v>91</v>
      </c>
      <c r="B245" s="155">
        <v>3</v>
      </c>
      <c r="C245" s="315"/>
      <c r="D245" s="315"/>
      <c r="E245" s="316"/>
      <c r="K245" s="152"/>
      <c r="L245" s="155" t="s">
        <v>91</v>
      </c>
      <c r="M245" s="155">
        <v>3</v>
      </c>
      <c r="N245" s="315"/>
      <c r="O245" s="315"/>
      <c r="P245" s="316"/>
      <c r="AB245" s="39">
        <v>0.29166666666666702</v>
      </c>
      <c r="AC245">
        <f t="shared" si="364"/>
        <v>7.5</v>
      </c>
      <c r="AD245">
        <f t="shared" si="359"/>
        <v>0</v>
      </c>
      <c r="AE245" s="153">
        <f t="shared" si="360"/>
        <v>7.6505587833444721</v>
      </c>
      <c r="AF245">
        <f t="shared" si="361"/>
        <v>7.6505587833444721</v>
      </c>
      <c r="AG245" s="153">
        <f t="shared" si="362"/>
        <v>0</v>
      </c>
      <c r="AH245">
        <f t="shared" si="363"/>
        <v>-1.0733056464279307</v>
      </c>
      <c r="AP245" t="s">
        <v>58</v>
      </c>
      <c r="AQ245">
        <f>+AW214</f>
        <v>0</v>
      </c>
      <c r="AR245">
        <f>+AX214</f>
        <v>85.402618331677971</v>
      </c>
      <c r="AS245">
        <f>+AW215</f>
        <v>0</v>
      </c>
      <c r="AT245">
        <f>+AX215</f>
        <v>85.402618331677971</v>
      </c>
      <c r="AU245">
        <f>+AW216</f>
        <v>0</v>
      </c>
      <c r="AV245">
        <f>+AX216</f>
        <v>85.402618331677971</v>
      </c>
      <c r="AW245">
        <f>+AW217</f>
        <v>0</v>
      </c>
      <c r="AX245">
        <f>+AX217</f>
        <v>85.402618331677971</v>
      </c>
      <c r="AY245">
        <f>+AW218</f>
        <v>0</v>
      </c>
      <c r="AZ245">
        <f>+AX218</f>
        <v>85.402618331677971</v>
      </c>
      <c r="BA245">
        <f>+AW219</f>
        <v>1.9510766725967672</v>
      </c>
      <c r="BB245">
        <f>+AX219</f>
        <v>86.488170658290201</v>
      </c>
      <c r="BC245">
        <f>+AW220</f>
        <v>15.051271742006362</v>
      </c>
      <c r="BD245">
        <f>+AX220</f>
        <v>93.815787356682009</v>
      </c>
      <c r="BE245">
        <f>+AW221</f>
        <v>28.03064132064042</v>
      </c>
      <c r="BF245">
        <f>+AX221</f>
        <v>101.84583698554694</v>
      </c>
      <c r="BG245">
        <f>+AW222</f>
        <v>40.579187314260722</v>
      </c>
      <c r="BH245">
        <f>+AX222</f>
        <v>111.76387408261022</v>
      </c>
      <c r="BI245">
        <f>+AW223</f>
        <v>52.096153918797427</v>
      </c>
      <c r="BJ245">
        <f>+AX223</f>
        <v>125.71951693085082</v>
      </c>
      <c r="BK245">
        <f>+AW224</f>
        <v>61.179653601104718</v>
      </c>
      <c r="BL245">
        <f>+AX224</f>
        <v>147.61688935411229</v>
      </c>
      <c r="BM245">
        <f>+AW225</f>
        <v>64.936824231055681</v>
      </c>
      <c r="BN245">
        <f>+AX225</f>
        <v>180</v>
      </c>
      <c r="BO245">
        <f>+AW226</f>
        <v>64.936824231055681</v>
      </c>
      <c r="BP245">
        <f>+AX226</f>
        <v>180</v>
      </c>
      <c r="BQ245">
        <f>+AW227</f>
        <v>61.179653601104718</v>
      </c>
      <c r="BR245">
        <f>+AX227</f>
        <v>212.38311064588771</v>
      </c>
      <c r="BS245">
        <f>+AW228</f>
        <v>52.096153918797427</v>
      </c>
      <c r="BT245">
        <f>+AX228</f>
        <v>234.28048306914917</v>
      </c>
      <c r="BU245">
        <f>+AW229</f>
        <v>40.579187314260722</v>
      </c>
      <c r="BV245">
        <f>+AX229</f>
        <v>248.23612591738978</v>
      </c>
      <c r="BW245">
        <f>+AW230</f>
        <v>28.03064132064042</v>
      </c>
      <c r="BX245">
        <f>+AX230</f>
        <v>258.15416301445305</v>
      </c>
      <c r="BY245">
        <f>+AW231</f>
        <v>15.051271742006362</v>
      </c>
      <c r="BZ245">
        <f>+AX231</f>
        <v>266.18421264331801</v>
      </c>
      <c r="CA245">
        <f>+AW232</f>
        <v>1.9510766725967672</v>
      </c>
      <c r="CB245">
        <f>+AX232</f>
        <v>273.51182934170981</v>
      </c>
      <c r="CC245">
        <f>+AW233</f>
        <v>0</v>
      </c>
      <c r="CD245">
        <f>+AX233</f>
        <v>274.59738166832204</v>
      </c>
      <c r="CE245">
        <f>+AW234</f>
        <v>0</v>
      </c>
      <c r="CF245">
        <f>+AX234</f>
        <v>274.59738166832204</v>
      </c>
      <c r="CG245">
        <f>+AW235</f>
        <v>0</v>
      </c>
      <c r="CH245">
        <f>+AX235</f>
        <v>274.59738166832204</v>
      </c>
      <c r="CI245">
        <f>+AW236</f>
        <v>0</v>
      </c>
      <c r="CJ245">
        <f>+AX236</f>
        <v>274.59738166832204</v>
      </c>
      <c r="CK245">
        <f>+AW237</f>
        <v>0</v>
      </c>
      <c r="CL245">
        <f>+AX237</f>
        <v>274.59738166832204</v>
      </c>
    </row>
    <row r="246" spans="1:90" x14ac:dyDescent="0.25">
      <c r="C246" s="154">
        <f>+IF(B245=$AI$63,B244,IF(B245=$AJ$63,$AI$64+B244,IF(B245=$AK$63,$AI$64+$AJ$64+B244,IF(B245=$AL$63,$AI$64+$AJ$64+$AK$64+B244,IF(B245=$AM$63,$AI$64+$AJ$64+$AK$64+$AL$64+B244,IF(B245=$AN$63,$AI$64+$AJ$64+$AK$64+$AL$64+$AM$64+B244,IF(B245=$AO$63,$AI$64+$AJ$64+$AK$64+$AL$64+$AM$64+$AN$64+B244,IF(B245=$AP$63,$AI$64+$AJ$64+$AK$64+$AL$64+$AM$64+$AN$64+$AO$64+B244,IF(B245=$AQ$63,$AI$64+$AJ$64+$AK$64+$AL$64+$AM$64+$AN$64+$AO$64+$AP$64+B244,IF(B245=$AR$63,$AI$64+$AJ$64+$AK$64+$AL$64+$AM$64+$AN$64+$AO$64+$AP$64+$AQ$64+B244,IF(B245=$AS$63,$AI$64+$AJ$64+$AK$64+$AL$64+$AM$64+$AN$64+$AO$64+$AP$64+$AQ$64+$AR$64+B244,IF(B245=$AT$63,$AI$64+$AJ$64+$AK$64+$AL$64+$AM$64+$AN$64+$AO$64+$AP$64+$AQ$64+$AR$64+$AS$64+B244,"error"))))))))))))</f>
        <v>80</v>
      </c>
      <c r="D246" s="38">
        <f>23.45*SIN(RADIANS(360*((284+C246)/365)))</f>
        <v>-0.40365320185431652</v>
      </c>
      <c r="E246" s="155">
        <v>35</v>
      </c>
      <c r="K246" s="152"/>
      <c r="N246" s="154">
        <f>+IF(M245=$AI$63,M244,IF(M245=$AJ$63,$AI$64+M244,IF(M245=$AK$63,$AI$64+$AJ$64+M244,IF(M245=$AL$63,$AI$64+$AJ$64+$AK$64+M244,IF(M245=$AM$63,$AI$64+$AJ$64+$AK$64+$AL$64+M244,IF(M245=$AN$63,$AI$64+$AJ$64+$AK$64+$AL$64+$AM$64+M244,IF(M245=$AO$63,$AI$64+$AJ$64+$AK$64+$AL$64+$AM$64+$AN$64+M244,IF(M245=$AP$63,$AI$64+$AJ$64+$AK$64+$AL$64+$AM$64+$AN$64+$AO$64+M244,IF(M245=$AQ$63,$AI$64+$AJ$64+$AK$64+$AL$64+$AM$64+$AN$64+$AO$64+$AP$64+M244,IF(M245=$AR$63,$AI$64+$AJ$64+$AK$64+$AL$64+$AM$64+$AN$64+$AO$64+$AP$64+$AQ$64+M244,IF(M245=$AS$63,$AI$64+$AJ$64+$AK$64+$AL$64+$AM$64+$AN$64+$AO$64+$AP$64+$AQ$64+$AR$64+M244,IF(M245=$AT$63,$AI$64+$AJ$64+$AK$64+$AL$64+$AM$64+$AN$64+$AO$64+$AP$64+$AQ$64+$AR$64+$AS$64+M244,"error"))))))))))))</f>
        <v>80</v>
      </c>
      <c r="O246" s="38">
        <f>23.45*SIN(RADIANS(360*((284+N246)/365)))</f>
        <v>-0.40365320185431652</v>
      </c>
      <c r="P246" s="155">
        <v>40</v>
      </c>
      <c r="AA246">
        <v>3</v>
      </c>
      <c r="AB246" s="39">
        <v>0.30208333333333398</v>
      </c>
      <c r="AC246">
        <f t="shared" si="364"/>
        <v>7.125</v>
      </c>
      <c r="AD246">
        <f t="shared" si="359"/>
        <v>0</v>
      </c>
      <c r="AE246" s="153">
        <f t="shared" si="360"/>
        <v>7.2924211822651248</v>
      </c>
      <c r="AF246">
        <f t="shared" si="361"/>
        <v>7.2924211822651248</v>
      </c>
      <c r="AG246" s="153">
        <f t="shared" si="362"/>
        <v>0</v>
      </c>
      <c r="AH246">
        <f t="shared" si="363"/>
        <v>-1.2847086789948219</v>
      </c>
      <c r="AI246">
        <v>3</v>
      </c>
      <c r="AP246" t="s">
        <v>59</v>
      </c>
      <c r="AQ246">
        <f>+AZ214</f>
        <v>0</v>
      </c>
      <c r="AR246">
        <f>+BA214</f>
        <v>72.888092578495346</v>
      </c>
      <c r="AS246">
        <f>+AZ215</f>
        <v>0</v>
      </c>
      <c r="AT246">
        <f>+BA215</f>
        <v>72.888092578495346</v>
      </c>
      <c r="AU246">
        <f>+AZ216</f>
        <v>0</v>
      </c>
      <c r="AV246">
        <f>+BA216</f>
        <v>72.888092578495346</v>
      </c>
      <c r="AW246">
        <f>+AZ217</f>
        <v>0</v>
      </c>
      <c r="AX246">
        <f>+BA217</f>
        <v>72.888092578495346</v>
      </c>
      <c r="AY246">
        <f>+AZ218</f>
        <v>0</v>
      </c>
      <c r="AZ246">
        <f>+BA218</f>
        <v>72.888092578495346</v>
      </c>
      <c r="BA246">
        <f>+AZ219</f>
        <v>7.1796941081018506</v>
      </c>
      <c r="BB246">
        <f>+BA219</f>
        <v>76.908415468616056</v>
      </c>
      <c r="BC246">
        <f>+AZ220</f>
        <v>20.094408212134532</v>
      </c>
      <c r="BD246">
        <f>+BA220</f>
        <v>83.69300591455243</v>
      </c>
      <c r="BE246">
        <f>+AZ221</f>
        <v>33.179114183303909</v>
      </c>
      <c r="BF246">
        <f>+BA221</f>
        <v>90.692173646055892</v>
      </c>
      <c r="BG246">
        <f>+AZ222</f>
        <v>46.234000924702507</v>
      </c>
      <c r="BH246">
        <f>+BA222</f>
        <v>98.931073312987834</v>
      </c>
      <c r="BI246">
        <f>+AZ223</f>
        <v>58.913198956609463</v>
      </c>
      <c r="BJ246">
        <f>+BA223</f>
        <v>110.64261236918068</v>
      </c>
      <c r="BK246">
        <f>+AZ224</f>
        <v>70.179120424793908</v>
      </c>
      <c r="BL246">
        <f>+BA224</f>
        <v>132.47024428392857</v>
      </c>
      <c r="BM246">
        <f>+AZ225</f>
        <v>75.820887455874669</v>
      </c>
      <c r="BN246">
        <f>+BA225</f>
        <v>180</v>
      </c>
      <c r="BO246">
        <f>+AZ226</f>
        <v>75.820887455874669</v>
      </c>
      <c r="BP246">
        <f>+BA226</f>
        <v>180</v>
      </c>
      <c r="BQ246">
        <f>+AZ227</f>
        <v>70.179120424793908</v>
      </c>
      <c r="BR246">
        <f>+BA227</f>
        <v>227.52975571607143</v>
      </c>
      <c r="BS246">
        <f>+AZ228</f>
        <v>58.913198956609463</v>
      </c>
      <c r="BT246">
        <f>+BA228</f>
        <v>249.35738763081932</v>
      </c>
      <c r="BU246">
        <f>+AZ229</f>
        <v>46.234000924702507</v>
      </c>
      <c r="BV246">
        <f>+BA229</f>
        <v>261.06892668701215</v>
      </c>
      <c r="BW246">
        <f>+AZ230</f>
        <v>33.179114183303909</v>
      </c>
      <c r="BX246">
        <f>+BA230</f>
        <v>269.30782635394411</v>
      </c>
      <c r="BY246">
        <f>+AZ231</f>
        <v>20.094408212134532</v>
      </c>
      <c r="BZ246">
        <f>+BA231</f>
        <v>276.30699408544757</v>
      </c>
      <c r="CA246">
        <f>+AZ232</f>
        <v>7.1796941081018506</v>
      </c>
      <c r="CB246">
        <f>+BA232</f>
        <v>283.09158453138394</v>
      </c>
      <c r="CC246">
        <f>+AZ233</f>
        <v>0</v>
      </c>
      <c r="CD246">
        <f>+BA233</f>
        <v>287.11190742150467</v>
      </c>
      <c r="CE246">
        <f>+AZ234</f>
        <v>0</v>
      </c>
      <c r="CF246">
        <f>+BA234</f>
        <v>287.11190742150467</v>
      </c>
      <c r="CG246">
        <f>+AZ235</f>
        <v>0</v>
      </c>
      <c r="CH246">
        <f>+BA235</f>
        <v>287.11190742150467</v>
      </c>
      <c r="CI246">
        <f>+AZ236</f>
        <v>0</v>
      </c>
      <c r="CJ246">
        <f>+BA236</f>
        <v>287.11190742150467</v>
      </c>
      <c r="CK246">
        <f>+AZ237</f>
        <v>0</v>
      </c>
      <c r="CL246">
        <f>+BA237</f>
        <v>287.11190742150467</v>
      </c>
    </row>
    <row r="247" spans="1:90" x14ac:dyDescent="0.25">
      <c r="B247" s="317" t="s">
        <v>90</v>
      </c>
      <c r="C247" s="315"/>
      <c r="D247" s="315"/>
      <c r="E247" s="315"/>
      <c r="G247" s="319" t="s">
        <v>89</v>
      </c>
      <c r="H247" s="319"/>
      <c r="I247" s="319" t="s">
        <v>42</v>
      </c>
      <c r="J247" s="319" t="s">
        <v>43</v>
      </c>
      <c r="K247" s="152"/>
      <c r="M247" s="317" t="s">
        <v>90</v>
      </c>
      <c r="N247" s="315"/>
      <c r="O247" s="315"/>
      <c r="P247" s="315"/>
      <c r="R247" s="319" t="s">
        <v>89</v>
      </c>
      <c r="S247" s="319"/>
      <c r="T247" s="319" t="s">
        <v>42</v>
      </c>
      <c r="U247" s="319" t="s">
        <v>43</v>
      </c>
      <c r="AB247" s="39">
        <v>0.312500000000001</v>
      </c>
      <c r="AC247">
        <f t="shared" si="364"/>
        <v>6.75</v>
      </c>
      <c r="AD247">
        <f t="shared" si="359"/>
        <v>0</v>
      </c>
      <c r="AE247" s="153">
        <f t="shared" si="360"/>
        <v>6.9294915061735685</v>
      </c>
      <c r="AF247">
        <f t="shared" si="361"/>
        <v>6.9294915061735685</v>
      </c>
      <c r="AG247" s="153">
        <f t="shared" si="362"/>
        <v>0</v>
      </c>
      <c r="AH247">
        <f t="shared" si="363"/>
        <v>-1.4809071668985123</v>
      </c>
      <c r="AP247" t="s">
        <v>60</v>
      </c>
      <c r="AQ247">
        <f>+BC214</f>
        <v>0</v>
      </c>
      <c r="AR247">
        <f>+BD214</f>
        <v>64.572176712649494</v>
      </c>
      <c r="AS247">
        <f>+BC215</f>
        <v>0</v>
      </c>
      <c r="AT247">
        <f>+BD215</f>
        <v>64.572176712649494</v>
      </c>
      <c r="AU247">
        <f>+BC216</f>
        <v>0</v>
      </c>
      <c r="AV247">
        <f>+BD216</f>
        <v>64.572176712649494</v>
      </c>
      <c r="AW247">
        <f>+BC217</f>
        <v>0</v>
      </c>
      <c r="AX247">
        <f>+BD217</f>
        <v>64.572176712649494</v>
      </c>
      <c r="AY247">
        <f>+BC218</f>
        <v>0</v>
      </c>
      <c r="AZ247">
        <f>+BD218</f>
        <v>64.572176712649494</v>
      </c>
      <c r="BA247">
        <f>+BC219</f>
        <v>10.508522694850116</v>
      </c>
      <c r="BB247">
        <f>+BD219</f>
        <v>70.516285917220941</v>
      </c>
      <c r="BC247">
        <f>+BC220</f>
        <v>23.081833865003894</v>
      </c>
      <c r="BD247">
        <f>+BD220</f>
        <v>76.718561537440678</v>
      </c>
      <c r="BE247">
        <f>+BC221</f>
        <v>35.974200517974971</v>
      </c>
      <c r="BF247">
        <f>+BD221</f>
        <v>82.710211003016923</v>
      </c>
      <c r="BG247">
        <f>+BC222</f>
        <v>49.04228910837859</v>
      </c>
      <c r="BH247">
        <f>+BD222</f>
        <v>89.179775376606813</v>
      </c>
      <c r="BI247">
        <f>+BC223</f>
        <v>62.120147714715685</v>
      </c>
      <c r="BJ247">
        <f>+BD223</f>
        <v>97.645217635946267</v>
      </c>
      <c r="BK247">
        <f>+BC224</f>
        <v>74.765245687919915</v>
      </c>
      <c r="BL247">
        <f>+BD224</f>
        <v>114.0806639695666</v>
      </c>
      <c r="BM247">
        <f>+BC225</f>
        <v>82.959624558737431</v>
      </c>
      <c r="BN247">
        <f>+BD225</f>
        <v>180</v>
      </c>
      <c r="BO247">
        <f>+BC226</f>
        <v>82.959624558737431</v>
      </c>
      <c r="BP247">
        <f>+BD226</f>
        <v>180</v>
      </c>
      <c r="BQ247">
        <f>+BC227</f>
        <v>74.765245687919915</v>
      </c>
      <c r="BR247">
        <f>+BD227</f>
        <v>245.91933603043339</v>
      </c>
      <c r="BS247">
        <f>+BC228</f>
        <v>62.120147714715685</v>
      </c>
      <c r="BT247">
        <f>+BD228</f>
        <v>262.35478236405373</v>
      </c>
      <c r="BU247">
        <f>+BC229</f>
        <v>49.04228910837859</v>
      </c>
      <c r="BV247">
        <f>+BD229</f>
        <v>270.82022462339319</v>
      </c>
      <c r="BW247">
        <f>+BC230</f>
        <v>35.974200517974971</v>
      </c>
      <c r="BX247">
        <f>+BD230</f>
        <v>277.28978899698308</v>
      </c>
      <c r="BY247">
        <f>+BC231</f>
        <v>23.081833865003894</v>
      </c>
      <c r="BZ247">
        <f>+BD231</f>
        <v>283.28143846255932</v>
      </c>
      <c r="CA247">
        <f>+BC232</f>
        <v>10.508522694850116</v>
      </c>
      <c r="CB247">
        <f>+BD232</f>
        <v>289.48371408277904</v>
      </c>
      <c r="CC247">
        <f>+BC233</f>
        <v>0</v>
      </c>
      <c r="CD247">
        <f>+BD233</f>
        <v>295.42782328735052</v>
      </c>
      <c r="CE247">
        <f>+BC234</f>
        <v>0</v>
      </c>
      <c r="CF247">
        <f>+BD234</f>
        <v>295.42782328735052</v>
      </c>
      <c r="CG247">
        <f>+BC235</f>
        <v>0</v>
      </c>
      <c r="CH247">
        <f>+BD235</f>
        <v>295.42782328735052</v>
      </c>
      <c r="CI247">
        <f>+BC236</f>
        <v>0</v>
      </c>
      <c r="CJ247">
        <f>+BD236</f>
        <v>295.42782328735052</v>
      </c>
      <c r="CK247">
        <f>+BC237</f>
        <v>0</v>
      </c>
      <c r="CL247">
        <f>+BD237</f>
        <v>295.42782328735052</v>
      </c>
    </row>
    <row r="248" spans="1:90" x14ac:dyDescent="0.25">
      <c r="B248" s="318"/>
      <c r="C248" s="315"/>
      <c r="D248" s="315"/>
      <c r="E248" s="315"/>
      <c r="G248" s="319"/>
      <c r="H248" s="319"/>
      <c r="I248" s="319"/>
      <c r="J248" s="319"/>
      <c r="K248" s="152"/>
      <c r="M248" s="318"/>
      <c r="N248" s="315"/>
      <c r="O248" s="315"/>
      <c r="P248" s="315"/>
      <c r="R248" s="319"/>
      <c r="S248" s="319"/>
      <c r="T248" s="319"/>
      <c r="U248" s="319"/>
      <c r="AA248">
        <v>4</v>
      </c>
      <c r="AB248" s="39">
        <v>0.32291666666666802</v>
      </c>
      <c r="AC248">
        <f t="shared" si="364"/>
        <v>6.375</v>
      </c>
      <c r="AD248">
        <f t="shared" si="359"/>
        <v>0</v>
      </c>
      <c r="AE248" s="153">
        <f t="shared" si="360"/>
        <v>6.5623486851340873</v>
      </c>
      <c r="AF248">
        <f t="shared" si="361"/>
        <v>6.5623486851340873</v>
      </c>
      <c r="AG248" s="153">
        <f t="shared" si="362"/>
        <v>0</v>
      </c>
      <c r="AH248">
        <f t="shared" si="363"/>
        <v>-1.6627389846543152</v>
      </c>
      <c r="AI248">
        <v>4</v>
      </c>
      <c r="AP248" t="s">
        <v>61</v>
      </c>
      <c r="AQ248">
        <f>+BF214</f>
        <v>0</v>
      </c>
      <c r="AR248">
        <f>+BG214</f>
        <v>62.9128608915928</v>
      </c>
      <c r="AS248">
        <f>+BF215</f>
        <v>0</v>
      </c>
      <c r="AT248">
        <f>+BG215</f>
        <v>62.9128608915928</v>
      </c>
      <c r="AU248">
        <f>+BF216</f>
        <v>0</v>
      </c>
      <c r="AV248">
        <f>+BG216</f>
        <v>62.9128608915928</v>
      </c>
      <c r="AW248">
        <f>+BF217</f>
        <v>0</v>
      </c>
      <c r="AX248">
        <f>+BG217</f>
        <v>62.9128608915928</v>
      </c>
      <c r="AY248">
        <f>+BF218</f>
        <v>0</v>
      </c>
      <c r="AZ248">
        <f>+BG218</f>
        <v>62.9128608915928</v>
      </c>
      <c r="BA248">
        <f>+BF219</f>
        <v>11.152054967319165</v>
      </c>
      <c r="BB248">
        <f>+BG219</f>
        <v>69.238766580276192</v>
      </c>
      <c r="BC248">
        <f>+BF220</f>
        <v>23.63600454935963</v>
      </c>
      <c r="BD248">
        <f>+BG220</f>
        <v>75.306075969479892</v>
      </c>
      <c r="BE248">
        <f>+BF221</f>
        <v>36.462362723804389</v>
      </c>
      <c r="BF248">
        <f>+BG221</f>
        <v>81.070349439875727</v>
      </c>
      <c r="BG248">
        <f>+BF222</f>
        <v>49.494624805188728</v>
      </c>
      <c r="BH248">
        <f>+BG222</f>
        <v>87.132774729162193</v>
      </c>
      <c r="BI248">
        <f>+BF223</f>
        <v>62.593106094089499</v>
      </c>
      <c r="BJ248">
        <f>+BG223</f>
        <v>94.781580028246267</v>
      </c>
      <c r="BK248">
        <f>+BF224</f>
        <v>75.433504705998018</v>
      </c>
      <c r="BL248">
        <f>+BG224</f>
        <v>109.24906860936896</v>
      </c>
      <c r="BM248">
        <f>+BF225</f>
        <v>84.369782846813621</v>
      </c>
      <c r="BN248">
        <f>BG225</f>
        <v>180</v>
      </c>
      <c r="BO248">
        <f>+BF226</f>
        <v>84.369782846813621</v>
      </c>
      <c r="BP248">
        <f>BG226</f>
        <v>180</v>
      </c>
      <c r="BQ248">
        <f>+BF227</f>
        <v>75.433504705998018</v>
      </c>
      <c r="BR248">
        <f>+BG227</f>
        <v>250.75093139063102</v>
      </c>
      <c r="BS248">
        <f>+BF228</f>
        <v>62.593106094089499</v>
      </c>
      <c r="BT248">
        <f>+BG228</f>
        <v>265.21841997175375</v>
      </c>
      <c r="BU248">
        <f>+BF229</f>
        <v>49.494624805188728</v>
      </c>
      <c r="BV248">
        <f>+BG229</f>
        <v>272.86722527083782</v>
      </c>
      <c r="BW248">
        <f>+BF230</f>
        <v>36.462362723804389</v>
      </c>
      <c r="BX248">
        <f>+BG230</f>
        <v>278.92965056012429</v>
      </c>
      <c r="BY248">
        <f>+BF231</f>
        <v>23.63600454935963</v>
      </c>
      <c r="BZ248">
        <f>+BG231</f>
        <v>284.69392403052012</v>
      </c>
      <c r="CA248">
        <f>+BF232</f>
        <v>11.152054967319165</v>
      </c>
      <c r="CB248">
        <f>+BG232</f>
        <v>290.76123341972379</v>
      </c>
      <c r="CC248">
        <f>+BF233</f>
        <v>0</v>
      </c>
      <c r="CD248">
        <f>+BG233</f>
        <v>297.0871391084072</v>
      </c>
      <c r="CE248">
        <f>+BF234</f>
        <v>0</v>
      </c>
      <c r="CF248">
        <f>+BG234</f>
        <v>297.0871391084072</v>
      </c>
      <c r="CG248">
        <f>+BF235</f>
        <v>0</v>
      </c>
      <c r="CH248">
        <f>+BG235</f>
        <v>297.0871391084072</v>
      </c>
      <c r="CI248">
        <f>+BF236</f>
        <v>0</v>
      </c>
      <c r="CJ248">
        <f>+BG236</f>
        <v>297.0871391084072</v>
      </c>
      <c r="CK248">
        <f>+BF237</f>
        <v>0</v>
      </c>
      <c r="CL248">
        <f>+BG237</f>
        <v>297.0871391084072</v>
      </c>
    </row>
    <row r="249" spans="1:90" x14ac:dyDescent="0.25">
      <c r="B249" s="39">
        <v>0.25</v>
      </c>
      <c r="C249" s="38">
        <v>90</v>
      </c>
      <c r="D249" s="38">
        <f>+DEGREES(ASIN(COS(RADIANS(E246))*COS(RADIANS(D246))*COS(RADIANS(C249))+SIN(RADIANS(E246))*SIN(RADIANS(D246))))</f>
        <v>-0.23152467989920697</v>
      </c>
      <c r="E249" s="38">
        <f>180-DEGREES(ACOS((((SIN(RADIANS(D249)))*SIN(RADIANS(E246)))-SIN(RADIANS(D246)))/((COS(RADIANS(D249)))*COS(RADIANS(E246)))))</f>
        <v>90.330655145206109</v>
      </c>
      <c r="G249">
        <f t="shared" ref="G249:G261" si="365">9-(D249/10)</f>
        <v>9.0231524679899202</v>
      </c>
      <c r="H249">
        <f t="shared" ref="H249:H261" si="366">90-E249+$AH$172</f>
        <v>-0.33065514520610861</v>
      </c>
      <c r="I249" s="153">
        <f t="shared" ref="I249:I261" si="367">IF($E$246&gt;=$AE$174,0,G249*COS(RADIANS(H249)))</f>
        <v>0</v>
      </c>
      <c r="J249" s="153">
        <f t="shared" ref="J249:J261" si="368">IF($E$246&gt;=$AE$174,0,G249*SIN(RADIANS(H249)))</f>
        <v>0</v>
      </c>
      <c r="K249" s="152"/>
      <c r="M249" s="39">
        <v>0.25</v>
      </c>
      <c r="N249" s="38">
        <v>90</v>
      </c>
      <c r="O249" s="38">
        <f>+DEGREES(ASIN(COS(RADIANS(P246))*COS(RADIANS(O246))*COS(RADIANS(N249))+SIN(RADIANS(P246))*SIN(RADIANS(O246))))</f>
        <v>-0.25946201723650403</v>
      </c>
      <c r="P249" s="38">
        <f>180-DEGREES(ACOS((((SIN(RADIANS(O249)))*SIN(RADIANS(P246)))-SIN(RADIANS(O246)))/((COS(RADIANS(O249)))*COS(RADIANS(P246)))))</f>
        <v>90.309218405953629</v>
      </c>
      <c r="R249">
        <f t="shared" ref="R249:R261" si="369">9-(O249/10)</f>
        <v>9.0259462017236505</v>
      </c>
      <c r="S249">
        <f t="shared" ref="S249:S261" si="370">90-P249+$AH$172</f>
        <v>-0.30921840595362937</v>
      </c>
      <c r="T249" s="153">
        <f t="shared" ref="T249:T261" si="371">IF($P$246&gt;=$AE$174,0,R249*COS(RADIANS(S249)))</f>
        <v>0</v>
      </c>
      <c r="U249" s="153">
        <f t="shared" ref="U249:U261" si="372">IF($P$246&gt;=$AE$174,0,R249*SIN(RADIANS(S249)))</f>
        <v>0</v>
      </c>
      <c r="AB249" s="39">
        <v>0.33333333333333298</v>
      </c>
      <c r="AC249">
        <f t="shared" si="364"/>
        <v>6</v>
      </c>
      <c r="AD249">
        <f t="shared" si="359"/>
        <v>0</v>
      </c>
      <c r="AE249" s="153">
        <f t="shared" si="360"/>
        <v>6.1914956482620465</v>
      </c>
      <c r="AF249">
        <f t="shared" si="361"/>
        <v>6.1914956482620465</v>
      </c>
      <c r="AG249" s="153">
        <f t="shared" si="362"/>
        <v>0</v>
      </c>
      <c r="AH249">
        <f t="shared" si="363"/>
        <v>-1.8309511273947583</v>
      </c>
    </row>
    <row r="250" spans="1:90" x14ac:dyDescent="0.25">
      <c r="B250" s="39">
        <v>0.29166666666666669</v>
      </c>
      <c r="C250">
        <v>75</v>
      </c>
      <c r="D250" s="38">
        <f>+DEGREES(ASIN(COS(RADIANS(E246))*COS(RADIANS(D246))*COS(RADIANS(C250))+SIN(RADIANS(E246))*SIN(RADIANS(D246))))</f>
        <v>12.003183070128085</v>
      </c>
      <c r="E250" s="38">
        <f>180-DEGREES(ACOS((((SIN(RADIANS(D250)))*SIN(RADIANS(E246)))-SIN(RADIANS(D246)))/((COS(RADIANS(D250)))*COS(RADIANS(E246)))))</f>
        <v>99.071505636599269</v>
      </c>
      <c r="G250">
        <f t="shared" si="365"/>
        <v>7.7996816929871917</v>
      </c>
      <c r="H250">
        <f t="shared" si="366"/>
        <v>-9.0715056365992695</v>
      </c>
      <c r="I250" s="153">
        <f t="shared" si="367"/>
        <v>0</v>
      </c>
      <c r="J250" s="153">
        <f t="shared" si="368"/>
        <v>0</v>
      </c>
      <c r="K250" s="152"/>
      <c r="M250" s="39">
        <v>0.29166666666666669</v>
      </c>
      <c r="N250">
        <v>75</v>
      </c>
      <c r="O250" s="38">
        <f>+DEGREES(ASIN(COS(RADIANS(P246))*COS(RADIANS(O246))*COS(RADIANS(N250))+SIN(RADIANS(P246))*SIN(RADIANS(O246))))</f>
        <v>11.170748849463411</v>
      </c>
      <c r="P250" s="38">
        <f>180-DEGREES(ACOS((((SIN(RADIANS(O250)))*SIN(RADIANS(P246)))-SIN(RADIANS(O246)))/((COS(RADIANS(O250)))*COS(RADIANS(P246)))))</f>
        <v>100.08303941337513</v>
      </c>
      <c r="R250">
        <f t="shared" si="369"/>
        <v>7.8829251150536592</v>
      </c>
      <c r="S250">
        <f t="shared" si="370"/>
        <v>-10.083039413375133</v>
      </c>
      <c r="T250" s="153">
        <f t="shared" si="371"/>
        <v>0</v>
      </c>
      <c r="U250" s="153">
        <f t="shared" si="372"/>
        <v>0</v>
      </c>
      <c r="AA250">
        <v>5</v>
      </c>
      <c r="AB250" s="39">
        <v>0.343750000000002</v>
      </c>
      <c r="AC250">
        <f t="shared" si="364"/>
        <v>5.625</v>
      </c>
      <c r="AD250">
        <f t="shared" si="359"/>
        <v>0</v>
      </c>
      <c r="AE250" s="153">
        <f t="shared" si="360"/>
        <v>5.8173715667204986</v>
      </c>
      <c r="AF250">
        <f t="shared" si="361"/>
        <v>5.8173715667204986</v>
      </c>
      <c r="AG250" s="153">
        <f t="shared" si="362"/>
        <v>0</v>
      </c>
      <c r="AH250">
        <f t="shared" si="363"/>
        <v>-1.9862095279884302</v>
      </c>
      <c r="AI250">
        <v>5</v>
      </c>
      <c r="AQ250" s="320">
        <v>4.1666666666666664E-2</v>
      </c>
      <c r="AR250" s="321"/>
      <c r="AS250" s="320">
        <v>8.3333333333333301E-2</v>
      </c>
      <c r="AT250" s="321"/>
      <c r="AU250" s="320">
        <v>0.125</v>
      </c>
      <c r="AV250" s="321"/>
      <c r="AW250" s="320">
        <v>0.16666666666666699</v>
      </c>
      <c r="AX250" s="321"/>
      <c r="AY250" s="320">
        <v>0.20833333333333301</v>
      </c>
      <c r="AZ250" s="321"/>
      <c r="BA250" s="320">
        <v>0.25</v>
      </c>
      <c r="BB250" s="321"/>
      <c r="BC250" s="320">
        <v>0.29166666666666702</v>
      </c>
      <c r="BD250" s="321"/>
      <c r="BE250" s="320">
        <v>0.33333333333333298</v>
      </c>
      <c r="BF250" s="321"/>
      <c r="BG250" s="320">
        <v>0.375</v>
      </c>
      <c r="BH250" s="321"/>
      <c r="BI250" s="320">
        <v>0.41666666666666702</v>
      </c>
      <c r="BJ250" s="321"/>
      <c r="BK250" s="320">
        <v>0.45833333333333298</v>
      </c>
      <c r="BL250" s="321"/>
      <c r="BM250" s="320">
        <v>0.5</v>
      </c>
      <c r="BN250" s="321"/>
      <c r="BO250" s="320">
        <v>0.5</v>
      </c>
      <c r="BP250" s="321"/>
      <c r="BQ250" s="320">
        <v>0.54166666666666696</v>
      </c>
      <c r="BR250" s="321"/>
      <c r="BS250" s="320">
        <v>0.58333333333333404</v>
      </c>
      <c r="BT250" s="321"/>
      <c r="BU250" s="320">
        <v>0.625000000000001</v>
      </c>
      <c r="BV250" s="321"/>
      <c r="BW250" s="320">
        <v>0.66666666666666796</v>
      </c>
      <c r="BX250" s="321"/>
      <c r="BY250" s="320">
        <v>0.70833333333333504</v>
      </c>
      <c r="BZ250" s="321"/>
      <c r="CA250" s="320">
        <v>0.750000000000002</v>
      </c>
      <c r="CB250" s="321"/>
      <c r="CC250" s="320">
        <v>0.79166666666666896</v>
      </c>
      <c r="CD250" s="321"/>
      <c r="CE250" s="320">
        <v>0.83333333333333703</v>
      </c>
      <c r="CF250" s="321"/>
      <c r="CG250" s="320">
        <v>0.875000000000004</v>
      </c>
      <c r="CH250" s="321"/>
      <c r="CI250" s="320">
        <v>0.91666666666666996</v>
      </c>
      <c r="CJ250" s="321"/>
      <c r="CK250" s="320">
        <v>0.95833333333333703</v>
      </c>
      <c r="CL250" s="321"/>
    </row>
    <row r="251" spans="1:90" x14ac:dyDescent="0.25">
      <c r="B251" s="39">
        <v>0.33333333333333298</v>
      </c>
      <c r="C251" s="38">
        <v>60</v>
      </c>
      <c r="D251" s="38">
        <f>+DEGREES(ASIN(COS(RADIANS(E246))*COS(RADIANS(D246))*COS(RADIANS(C251))+SIN(RADIANS(E246))*SIN(RADIANS(D246))))</f>
        <v>23.924030583709875</v>
      </c>
      <c r="E251" s="38">
        <f>180-DEGREES(ACOS((((SIN(RADIANS(D251)))*SIN(RADIANS(E246)))-SIN(RADIANS(D246)))/((COS(RADIANS(D251)))*COS(RADIANS(E246)))))</f>
        <v>108.66591387786362</v>
      </c>
      <c r="G251">
        <f t="shared" si="365"/>
        <v>6.6075969416290121</v>
      </c>
      <c r="H251">
        <f t="shared" si="366"/>
        <v>-18.665913877863616</v>
      </c>
      <c r="I251" s="153">
        <f t="shared" si="367"/>
        <v>0</v>
      </c>
      <c r="J251" s="153">
        <f t="shared" si="368"/>
        <v>0</v>
      </c>
      <c r="K251" s="152"/>
      <c r="M251" s="39">
        <v>0.33333333333333298</v>
      </c>
      <c r="N251" s="38">
        <v>60</v>
      </c>
      <c r="O251" s="38">
        <f>+DEGREES(ASIN(COS(RADIANS(P246))*COS(RADIANS(O246))*COS(RADIANS(N251))+SIN(RADIANS(P246))*SIN(RADIANS(O246))))</f>
        <v>22.23982612103455</v>
      </c>
      <c r="P251" s="38">
        <f>180-DEGREES(ACOS((((SIN(RADIANS(O251)))*SIN(RADIANS(P246)))-SIN(RADIANS(O246)))/((COS(RADIANS(O251)))*COS(RADIANS(P246)))))</f>
        <v>110.67377019183745</v>
      </c>
      <c r="R251">
        <f t="shared" si="369"/>
        <v>6.7760173878965446</v>
      </c>
      <c r="S251">
        <f t="shared" si="370"/>
        <v>-20.673770191837448</v>
      </c>
      <c r="T251" s="153">
        <f t="shared" si="371"/>
        <v>0</v>
      </c>
      <c r="U251" s="153">
        <f t="shared" si="372"/>
        <v>0</v>
      </c>
      <c r="AB251" s="39">
        <v>0.35416666666666902</v>
      </c>
      <c r="AC251">
        <f t="shared" si="364"/>
        <v>5.25</v>
      </c>
      <c r="AD251">
        <f t="shared" si="359"/>
        <v>0</v>
      </c>
      <c r="AE251" s="153">
        <f t="shared" si="360"/>
        <v>5.4403619597776451</v>
      </c>
      <c r="AF251">
        <f t="shared" si="361"/>
        <v>5.4403619597776451</v>
      </c>
      <c r="AG251" s="153">
        <f t="shared" si="362"/>
        <v>0</v>
      </c>
      <c r="AH251">
        <f t="shared" si="363"/>
        <v>-2.1291076085972591</v>
      </c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315"/>
      <c r="BD251" s="315"/>
      <c r="BE251" s="315"/>
      <c r="BF251" s="315"/>
      <c r="BG251" s="315"/>
      <c r="BH251" s="315"/>
      <c r="BI251" s="315"/>
      <c r="BJ251" s="315"/>
      <c r="BK251" s="315"/>
      <c r="BL251" s="315"/>
      <c r="BM251" s="315"/>
      <c r="BN251" s="315"/>
      <c r="BO251" s="315"/>
      <c r="BP251" s="315"/>
      <c r="BQ251" s="315"/>
      <c r="BR251" s="315"/>
      <c r="BS251" s="315"/>
      <c r="BT251" s="315"/>
      <c r="BU251" s="315"/>
      <c r="BV251" s="315"/>
      <c r="BW251" s="315"/>
      <c r="BX251" s="315"/>
      <c r="BY251" s="315"/>
      <c r="BZ251" s="315"/>
      <c r="CA251" s="315"/>
      <c r="CB251" s="315"/>
      <c r="CC251" s="315"/>
      <c r="CD251" s="315"/>
      <c r="CE251" s="315"/>
      <c r="CF251" s="315"/>
      <c r="CG251" s="315"/>
      <c r="CH251" s="315"/>
      <c r="CI251" s="315"/>
      <c r="CJ251" s="315"/>
      <c r="CK251" s="315"/>
      <c r="CL251" s="315"/>
    </row>
    <row r="252" spans="1:90" x14ac:dyDescent="0.25">
      <c r="B252" s="39">
        <v>0.375</v>
      </c>
      <c r="C252">
        <v>45</v>
      </c>
      <c r="D252" s="38">
        <f>+DEGREES(ASIN(COS(RADIANS(E246))*COS(RADIANS(D246))*COS(RADIANS(C252))+SIN(RADIANS(E246))*SIN(RADIANS(D246))))</f>
        <v>35.111729759019639</v>
      </c>
      <c r="E252" s="38">
        <f>180-DEGREES(ACOS((((SIN(RADIANS(D252)))*SIN(RADIANS(E246)))-SIN(RADIANS(D246)))/((COS(RADIANS(D252)))*COS(RADIANS(E246)))))</f>
        <v>120.18818988919975</v>
      </c>
      <c r="G252">
        <f t="shared" si="365"/>
        <v>5.4888270240980361</v>
      </c>
      <c r="H252">
        <f t="shared" si="366"/>
        <v>-30.188189889199748</v>
      </c>
      <c r="I252" s="153">
        <f t="shared" si="367"/>
        <v>0</v>
      </c>
      <c r="J252" s="153">
        <f t="shared" si="368"/>
        <v>0</v>
      </c>
      <c r="M252" s="39">
        <v>0.375</v>
      </c>
      <c r="N252">
        <v>45</v>
      </c>
      <c r="O252" s="38">
        <f>+DEGREES(ASIN(COS(RADIANS(P246))*COS(RADIANS(O246))*COS(RADIANS(N252))+SIN(RADIANS(P246))*SIN(RADIANS(O246))))</f>
        <v>32.488704386447722</v>
      </c>
      <c r="P252" s="38">
        <f>180-DEGREES(ACOS((((SIN(RADIANS(O252)))*SIN(RADIANS(P246)))-SIN(RADIANS(O246)))/((COS(RADIANS(O252)))*COS(RADIANS(P246)))))</f>
        <v>123.04078211842585</v>
      </c>
      <c r="R252">
        <f t="shared" si="369"/>
        <v>5.7511295613552278</v>
      </c>
      <c r="S252">
        <f t="shared" si="370"/>
        <v>-33.040782118425852</v>
      </c>
      <c r="T252" s="153">
        <f t="shared" si="371"/>
        <v>0</v>
      </c>
      <c r="U252" s="153">
        <f t="shared" si="372"/>
        <v>0</v>
      </c>
      <c r="AA252">
        <v>6</v>
      </c>
      <c r="AB252" s="39">
        <v>0.36458333333333598</v>
      </c>
      <c r="AC252">
        <f t="shared" si="364"/>
        <v>4.875</v>
      </c>
      <c r="AD252">
        <f t="shared" si="359"/>
        <v>0</v>
      </c>
      <c r="AE252" s="153">
        <f t="shared" si="360"/>
        <v>5.0608070798523244</v>
      </c>
      <c r="AF252">
        <f t="shared" si="361"/>
        <v>5.0608070798523244</v>
      </c>
      <c r="AG252" s="153">
        <f t="shared" si="362"/>
        <v>0</v>
      </c>
      <c r="AH252">
        <f t="shared" si="363"/>
        <v>-2.2601737174317549</v>
      </c>
      <c r="AI252">
        <v>6</v>
      </c>
      <c r="AQ252" s="315"/>
      <c r="AR252" s="315"/>
      <c r="AS252" s="315"/>
      <c r="AT252" s="315"/>
      <c r="AU252" s="315"/>
      <c r="AV252" s="315"/>
      <c r="AW252" s="315"/>
      <c r="AX252" s="315"/>
      <c r="AY252" s="315"/>
      <c r="AZ252" s="315"/>
      <c r="BA252" s="315"/>
      <c r="BB252" s="315"/>
      <c r="BC252" s="315"/>
      <c r="BD252" s="315"/>
      <c r="BE252" s="315"/>
      <c r="BF252" s="315"/>
      <c r="BG252" s="315"/>
      <c r="BH252" s="315"/>
      <c r="BI252" s="315"/>
      <c r="BJ252" s="315"/>
      <c r="BK252" s="315"/>
      <c r="BL252" s="315"/>
      <c r="BM252" s="315"/>
      <c r="BN252" s="315"/>
      <c r="BO252" s="315"/>
      <c r="BP252" s="315"/>
      <c r="BQ252" s="315"/>
      <c r="BR252" s="315"/>
      <c r="BS252" s="315"/>
      <c r="BT252" s="315"/>
      <c r="BU252" s="315"/>
      <c r="BV252" s="315"/>
      <c r="BW252" s="315"/>
      <c r="BX252" s="315"/>
      <c r="BY252" s="315"/>
      <c r="BZ252" s="315"/>
      <c r="CA252" s="315"/>
      <c r="CB252" s="315"/>
      <c r="CC252" s="315"/>
      <c r="CD252" s="315"/>
      <c r="CE252" s="315"/>
      <c r="CF252" s="315"/>
      <c r="CG252" s="315"/>
      <c r="CH252" s="315"/>
      <c r="CI252" s="315"/>
      <c r="CJ252" s="315"/>
      <c r="CK252" s="315"/>
      <c r="CL252" s="315"/>
    </row>
    <row r="253" spans="1:90" x14ac:dyDescent="0.25">
      <c r="B253" s="39">
        <v>0.41666666666666702</v>
      </c>
      <c r="C253" s="38">
        <v>30</v>
      </c>
      <c r="D253" s="38">
        <f>+DEGREES(ASIN(COS(RADIANS(E246))*COS(RADIANS(D246))*COS(RADIANS(C253))+SIN(RADIANS(E246))*SIN(RADIANS(D246))))</f>
        <v>44.857666756708923</v>
      </c>
      <c r="E253" s="38">
        <f>180-DEGREES(ACOS((((SIN(RADIANS(D253)))*SIN(RADIANS(E246)))-SIN(RADIANS(D246)))/((COS(RADIANS(D253)))*COS(RADIANS(E246)))))</f>
        <v>135.1430444212443</v>
      </c>
      <c r="G253">
        <f t="shared" si="365"/>
        <v>4.5142333243291075</v>
      </c>
      <c r="H253">
        <f t="shared" si="366"/>
        <v>-45.143044421244298</v>
      </c>
      <c r="I253" s="153">
        <f t="shared" si="367"/>
        <v>0</v>
      </c>
      <c r="J253" s="153">
        <f t="shared" si="368"/>
        <v>0</v>
      </c>
      <c r="M253" s="39">
        <v>0.41666666666666702</v>
      </c>
      <c r="N253" s="38">
        <v>30</v>
      </c>
      <c r="O253" s="38">
        <f>+DEGREES(ASIN(COS(RADIANS(P246))*COS(RADIANS(O246))*COS(RADIANS(N253))+SIN(RADIANS(P246))*SIN(RADIANS(O246))))</f>
        <v>41.213675801003689</v>
      </c>
      <c r="P253" s="38">
        <f>180-DEGREES(ACOS((((SIN(RADIANS(O253)))*SIN(RADIANS(P246)))-SIN(RADIANS(O246)))/((COS(RADIANS(O253)))*COS(RADIANS(P246)))))</f>
        <v>138.34456757188187</v>
      </c>
      <c r="R253">
        <f t="shared" si="369"/>
        <v>4.8786324198996311</v>
      </c>
      <c r="S253">
        <f t="shared" si="370"/>
        <v>-48.344567571881868</v>
      </c>
      <c r="T253" s="153">
        <f t="shared" si="371"/>
        <v>0</v>
      </c>
      <c r="U253" s="153">
        <f t="shared" si="372"/>
        <v>0</v>
      </c>
      <c r="AB253" s="39">
        <v>0.375000000000003</v>
      </c>
      <c r="AC253">
        <f t="shared" si="364"/>
        <v>4.5</v>
      </c>
      <c r="AD253">
        <f t="shared" si="359"/>
        <v>0</v>
      </c>
      <c r="AE253" s="153">
        <f t="shared" si="360"/>
        <v>4.6790089065141443</v>
      </c>
      <c r="AF253">
        <f t="shared" si="361"/>
        <v>4.6790089065141443</v>
      </c>
      <c r="AG253" s="153">
        <f t="shared" si="362"/>
        <v>0</v>
      </c>
      <c r="AH253">
        <f t="shared" si="363"/>
        <v>-2.3798775865817943</v>
      </c>
      <c r="AP253" t="s">
        <v>67</v>
      </c>
      <c r="AQ253">
        <f t="shared" ref="AQ253:AQ258" si="373">IF(AQ242=0,AQ254,AQ242)</f>
        <v>0</v>
      </c>
      <c r="AR253">
        <f t="shared" ref="AR253:AR258" si="374">IF(AQ242=0,AR254,AR242)</f>
        <v>62.9128608915928</v>
      </c>
      <c r="AS253">
        <f t="shared" ref="AS253:AS258" si="375">IF(AS242=0,AS254,AS242)</f>
        <v>0</v>
      </c>
      <c r="AT253">
        <f t="shared" ref="AT253:AT258" si="376">IF(AS242=0,AT254,AT242)</f>
        <v>62.9128608915928</v>
      </c>
      <c r="AU253">
        <f t="shared" ref="AU253:AU258" si="377">IF(AU242=0,AU254,AU242)</f>
        <v>0</v>
      </c>
      <c r="AV253">
        <f t="shared" ref="AV253:AV258" si="378">IF(AU242=0,AV254,AV242)</f>
        <v>62.9128608915928</v>
      </c>
      <c r="AW253">
        <f t="shared" ref="AW253:AW258" si="379">IF(AW242=0,AW254,AW242)</f>
        <v>0</v>
      </c>
      <c r="AX253">
        <f t="shared" ref="AX253:AX258" si="380">IF(AW242=0,AX254,AX242)</f>
        <v>62.9128608915928</v>
      </c>
      <c r="AY253">
        <f t="shared" ref="AY253:AY258" si="381">IF(AY242=0,AY254,AY242)</f>
        <v>0</v>
      </c>
      <c r="AZ253">
        <f t="shared" ref="AZ253:AZ258" si="382">IF(AY242=0,AZ254,AZ242)</f>
        <v>62.9128608915928</v>
      </c>
      <c r="BA253">
        <f t="shared" ref="BA253:BA258" si="383">IF(BA242=0,BA254,BA242)</f>
        <v>1.9510766725967672</v>
      </c>
      <c r="BB253">
        <f t="shared" ref="BB253:BB258" si="384">IF(BA242=0,BB254,BB242)</f>
        <v>86.488170658290201</v>
      </c>
      <c r="BC253">
        <f t="shared" ref="BC253:BC258" si="385">IF(BC242=0,BC254,BC242)</f>
        <v>1.0425877010819102</v>
      </c>
      <c r="BD253">
        <f t="shared" ref="BD253:BD258" si="386">IF(BC242=0,BD254,BD242)</f>
        <v>117.22586297915178</v>
      </c>
      <c r="BE253">
        <f t="shared" ref="BE253:BE258" si="387">IF(BE242=0,BE254,BE242)</f>
        <v>12.251377298592953</v>
      </c>
      <c r="BF253">
        <f t="shared" ref="BF253:BF258" si="388">IF(BE242=0,BF254,BF242)</f>
        <v>125.34452095224731</v>
      </c>
      <c r="BG253">
        <f t="shared" ref="BG253:BG258" si="389">IF(BG242=0,BG254,BG242)</f>
        <v>22.259218825541542</v>
      </c>
      <c r="BH253">
        <f t="shared" ref="BH253:BH258" si="390">IF(BG242=0,BH254,BH242)</f>
        <v>135.31204694577815</v>
      </c>
      <c r="BI253">
        <f t="shared" ref="BI253:BI258" si="391">IF(BI242=0,BI254,BI242)</f>
        <v>30.439709654260056</v>
      </c>
      <c r="BJ253">
        <f t="shared" ref="BJ253:BJ258" si="392">IF(BI242=0,BJ254,BJ242)</f>
        <v>147.73819825211658</v>
      </c>
      <c r="BK253">
        <f t="shared" ref="BK253:BK258" si="393">IF(BK242=0,BK254,BK242)</f>
        <v>35.943781380086349</v>
      </c>
      <c r="BL253">
        <f t="shared" ref="BL253:BL258" si="394">IF(BK242=0,BL254,BL242)</f>
        <v>162.88737099929463</v>
      </c>
      <c r="BM253">
        <f t="shared" ref="BM253:BM258" si="395">IF(BM242=0,BM254,BM242)</f>
        <v>37.908363272130764</v>
      </c>
      <c r="BN253">
        <f t="shared" ref="BN253:BN258" si="396">IF(BM242=0,BN254,BN242)</f>
        <v>180</v>
      </c>
      <c r="BO253">
        <f t="shared" ref="BO253:BO258" si="397">IF(BO242=0,BO254,BO242)</f>
        <v>37.908363272130764</v>
      </c>
      <c r="BP253">
        <f t="shared" ref="BP253:BP258" si="398">IF(BO242=0,BP254,BP242)</f>
        <v>180</v>
      </c>
      <c r="BQ253">
        <f t="shared" ref="BQ253:BQ258" si="399">IF(BQ242=0,BQ254,BQ242)</f>
        <v>35.943781380086349</v>
      </c>
      <c r="BR253">
        <f t="shared" ref="BR253:BR258" si="400">IF(BQ242=0,BR254,BR242)</f>
        <v>197.11262900070537</v>
      </c>
      <c r="BS253">
        <f t="shared" ref="BS253:BS258" si="401">IF(BS242=0,BS254,BS242)</f>
        <v>30.439709654260056</v>
      </c>
      <c r="BT253">
        <f t="shared" ref="BT253:BT258" si="402">IF(BS242=0,BT254,BT242)</f>
        <v>212.26180174788342</v>
      </c>
      <c r="BU253">
        <f t="shared" ref="BU253:BU258" si="403">IF(BU242=0,BU254,BU242)</f>
        <v>22.259218825541542</v>
      </c>
      <c r="BV253">
        <f t="shared" ref="BV253:BV258" si="404">IF(BU242=0,BV254,BV242)</f>
        <v>224.68795305422185</v>
      </c>
      <c r="BW253">
        <f t="shared" ref="BW253:BW258" si="405">IF(BW242=0,BW254,BW242)</f>
        <v>12.251377298592953</v>
      </c>
      <c r="BX253">
        <f t="shared" ref="BX253:BX258" si="406">IF(BW242=0,BX254,BX242)</f>
        <v>234.65547904775269</v>
      </c>
      <c r="BY253">
        <f t="shared" ref="BY253:BY258" si="407">IF(BY242=0,BY254,BY242)</f>
        <v>1.0425877010819102</v>
      </c>
      <c r="BZ253">
        <f t="shared" ref="BZ253:BZ258" si="408">IF(BY242=0,BZ254,BZ242)</f>
        <v>242.77413702084823</v>
      </c>
      <c r="CA253">
        <f t="shared" ref="CA253:CA258" si="409">IF(CA242=0,CA254,CA242)</f>
        <v>1.9510766725967672</v>
      </c>
      <c r="CB253">
        <f t="shared" ref="CB253:CB258" si="410">IF(CA242=0,CB254,CB242)</f>
        <v>273.51182934170981</v>
      </c>
      <c r="CC253">
        <f t="shared" ref="CC253:CC258" si="411">IF(CC242=0,CC254,CC242)</f>
        <v>0</v>
      </c>
      <c r="CD253">
        <f t="shared" ref="CD253:CD258" si="412">IF(CC242=0,CD254,CD242)</f>
        <v>297.0871391084072</v>
      </c>
      <c r="CE253">
        <f t="shared" ref="CE253:CE258" si="413">IF(CE242=0,CE254,CE242)</f>
        <v>0</v>
      </c>
      <c r="CF253">
        <f t="shared" ref="CF253:CF258" si="414">IF(CE242=0,CF254,CF242)</f>
        <v>297.0871391084072</v>
      </c>
      <c r="CG253">
        <f t="shared" ref="CG253:CG258" si="415">IF(CG242=0,CG254,CG242)</f>
        <v>0</v>
      </c>
      <c r="CH253">
        <f t="shared" ref="CH253:CH258" si="416">IF(CG242=0,CH254,CH242)</f>
        <v>297.0871391084072</v>
      </c>
      <c r="CI253">
        <f t="shared" ref="CI253:CI258" si="417">IF(CI242=0,CI254,CI242)</f>
        <v>0</v>
      </c>
      <c r="CJ253">
        <f t="shared" ref="CJ253:CJ258" si="418">IF(CI242=0,CJ254,CJ242)</f>
        <v>297.0871391084072</v>
      </c>
      <c r="CK253">
        <f t="shared" ref="CK253:CK258" si="419">IF(CK242=0,CK254,CK242)</f>
        <v>0</v>
      </c>
      <c r="CL253">
        <f t="shared" ref="CL253:CL258" si="420">IF(CK242=0,CL254,CL242)</f>
        <v>297.0871391084072</v>
      </c>
    </row>
    <row r="254" spans="1:90" x14ac:dyDescent="0.25">
      <c r="B254" s="39">
        <v>0.45833333333333298</v>
      </c>
      <c r="C254">
        <v>15</v>
      </c>
      <c r="D254" s="38">
        <f>+DEGREES(ASIN(COS(RADIANS(E246))*COS(RADIANS(D246))*COS(RADIANS(C254))+SIN(RADIANS(E246))*SIN(RADIANS(D246))))</f>
        <v>51.922718489418457</v>
      </c>
      <c r="E254" s="38">
        <f>180-DEGREES(ACOS((((SIN(RADIANS(D254)))*SIN(RADIANS(E246)))-SIN(RADIANS(D246)))/((COS(RADIANS(D254)))*COS(RADIANS(E246)))))</f>
        <v>155.18704889162387</v>
      </c>
      <c r="G254">
        <f t="shared" si="365"/>
        <v>3.8077281510581544</v>
      </c>
      <c r="H254">
        <f t="shared" si="366"/>
        <v>-65.187048891623874</v>
      </c>
      <c r="I254" s="153">
        <f t="shared" si="367"/>
        <v>0</v>
      </c>
      <c r="J254" s="153">
        <f t="shared" si="368"/>
        <v>0</v>
      </c>
      <c r="M254" s="39">
        <v>0.45833333333333298</v>
      </c>
      <c r="N254">
        <v>15</v>
      </c>
      <c r="O254" s="38">
        <f>+DEGREES(ASIN(COS(RADIANS(P246))*COS(RADIANS(O246))*COS(RADIANS(N254))+SIN(RADIANS(P246))*SIN(RADIANS(O246))))</f>
        <v>47.340628824570132</v>
      </c>
      <c r="P254" s="38">
        <f>180-DEGREES(ACOS((((SIN(RADIANS(O254)))*SIN(RADIANS(P246)))-SIN(RADIANS(O246)))/((COS(RADIANS(O254)))*COS(RADIANS(P246)))))</f>
        <v>157.54651601054096</v>
      </c>
      <c r="R254">
        <f t="shared" si="369"/>
        <v>4.265937117542987</v>
      </c>
      <c r="S254">
        <f t="shared" si="370"/>
        <v>-67.546516010540955</v>
      </c>
      <c r="T254" s="153">
        <f t="shared" si="371"/>
        <v>0</v>
      </c>
      <c r="U254" s="153">
        <f t="shared" si="372"/>
        <v>0</v>
      </c>
      <c r="AA254">
        <v>7</v>
      </c>
      <c r="AB254" s="39">
        <v>0.38541666666667002</v>
      </c>
      <c r="AC254">
        <f t="shared" si="364"/>
        <v>4.125</v>
      </c>
      <c r="AD254">
        <f t="shared" si="359"/>
        <v>0</v>
      </c>
      <c r="AE254" s="153">
        <f t="shared" si="360"/>
        <v>4.2952370124222448</v>
      </c>
      <c r="AF254">
        <f t="shared" si="361"/>
        <v>4.2952370124222448</v>
      </c>
      <c r="AG254" s="153">
        <f t="shared" si="362"/>
        <v>0</v>
      </c>
      <c r="AH254">
        <f t="shared" si="363"/>
        <v>-2.4886359313408777</v>
      </c>
      <c r="AI254">
        <v>7</v>
      </c>
      <c r="AP254" t="s">
        <v>53</v>
      </c>
      <c r="AQ254">
        <f t="shared" si="373"/>
        <v>0</v>
      </c>
      <c r="AR254">
        <f t="shared" si="374"/>
        <v>62.9128608915928</v>
      </c>
      <c r="AS254">
        <f t="shared" si="375"/>
        <v>0</v>
      </c>
      <c r="AT254">
        <f t="shared" si="376"/>
        <v>62.9128608915928</v>
      </c>
      <c r="AU254">
        <f t="shared" si="377"/>
        <v>0</v>
      </c>
      <c r="AV254">
        <f t="shared" si="378"/>
        <v>62.9128608915928</v>
      </c>
      <c r="AW254">
        <f t="shared" si="379"/>
        <v>0</v>
      </c>
      <c r="AX254">
        <f t="shared" si="380"/>
        <v>62.9128608915928</v>
      </c>
      <c r="AY254">
        <f t="shared" si="381"/>
        <v>0</v>
      </c>
      <c r="AZ254">
        <f t="shared" si="382"/>
        <v>62.9128608915928</v>
      </c>
      <c r="BA254">
        <f t="shared" si="383"/>
        <v>1.9510766725967672</v>
      </c>
      <c r="BB254">
        <f t="shared" si="384"/>
        <v>86.488170658290201</v>
      </c>
      <c r="BC254">
        <f t="shared" si="385"/>
        <v>3.9806023907424599</v>
      </c>
      <c r="BD254">
        <f t="shared" si="386"/>
        <v>112.5771078319798</v>
      </c>
      <c r="BE254">
        <f t="shared" si="387"/>
        <v>15.689450108647346</v>
      </c>
      <c r="BF254">
        <f t="shared" si="388"/>
        <v>120.92625519511847</v>
      </c>
      <c r="BG254">
        <f t="shared" si="389"/>
        <v>26.297342212361595</v>
      </c>
      <c r="BH254">
        <f t="shared" si="390"/>
        <v>131.22199491730089</v>
      </c>
      <c r="BI254">
        <f t="shared" si="391"/>
        <v>35.132915612826856</v>
      </c>
      <c r="BJ254">
        <f t="shared" si="392"/>
        <v>144.33588641082156</v>
      </c>
      <c r="BK254">
        <f t="shared" si="393"/>
        <v>41.203386965463082</v>
      </c>
      <c r="BL254">
        <f t="shared" si="394"/>
        <v>160.84947792309023</v>
      </c>
      <c r="BM254">
        <f t="shared" si="395"/>
        <v>43.40350454351578</v>
      </c>
      <c r="BN254">
        <f t="shared" si="396"/>
        <v>180</v>
      </c>
      <c r="BO254">
        <f t="shared" si="397"/>
        <v>43.40350454351578</v>
      </c>
      <c r="BP254">
        <f t="shared" si="398"/>
        <v>180</v>
      </c>
      <c r="BQ254">
        <f t="shared" si="399"/>
        <v>41.203386965463082</v>
      </c>
      <c r="BR254">
        <f t="shared" si="400"/>
        <v>199.15052207690977</v>
      </c>
      <c r="BS254">
        <f t="shared" si="401"/>
        <v>35.132915612826856</v>
      </c>
      <c r="BT254">
        <f t="shared" si="402"/>
        <v>215.66411358917844</v>
      </c>
      <c r="BU254">
        <f t="shared" si="403"/>
        <v>26.297342212361595</v>
      </c>
      <c r="BV254">
        <f t="shared" si="404"/>
        <v>228.77800508269911</v>
      </c>
      <c r="BW254">
        <f t="shared" si="405"/>
        <v>15.689450108647346</v>
      </c>
      <c r="BX254">
        <f t="shared" si="406"/>
        <v>239.07374480488153</v>
      </c>
      <c r="BY254">
        <f t="shared" si="407"/>
        <v>3.9806023907424599</v>
      </c>
      <c r="BZ254">
        <f t="shared" si="408"/>
        <v>247.42289216802021</v>
      </c>
      <c r="CA254">
        <f t="shared" si="409"/>
        <v>1.9510766725967672</v>
      </c>
      <c r="CB254">
        <f t="shared" si="410"/>
        <v>273.51182934170981</v>
      </c>
      <c r="CC254">
        <f t="shared" si="411"/>
        <v>0</v>
      </c>
      <c r="CD254">
        <f t="shared" si="412"/>
        <v>297.0871391084072</v>
      </c>
      <c r="CE254">
        <f t="shared" si="413"/>
        <v>0</v>
      </c>
      <c r="CF254">
        <f t="shared" si="414"/>
        <v>297.0871391084072</v>
      </c>
      <c r="CG254">
        <f t="shared" si="415"/>
        <v>0</v>
      </c>
      <c r="CH254">
        <f t="shared" si="416"/>
        <v>297.0871391084072</v>
      </c>
      <c r="CI254">
        <f t="shared" si="417"/>
        <v>0</v>
      </c>
      <c r="CJ254">
        <f t="shared" si="418"/>
        <v>297.0871391084072</v>
      </c>
      <c r="CK254">
        <f t="shared" si="419"/>
        <v>0</v>
      </c>
      <c r="CL254">
        <f t="shared" si="420"/>
        <v>297.0871391084072</v>
      </c>
    </row>
    <row r="255" spans="1:90" x14ac:dyDescent="0.25">
      <c r="B255" s="39">
        <v>0.5</v>
      </c>
      <c r="C255" s="38">
        <v>0</v>
      </c>
      <c r="D255" s="38">
        <f>+DEGREES(ASIN(COS(RADIANS(E246))*COS(RADIANS(D246))*COS(RADIANS(C255))+SIN(RADIANS(E246))*SIN(RADIANS(D246))))</f>
        <v>54.596346798145682</v>
      </c>
      <c r="E255" s="38">
        <f>+IF(E246&gt;=0,180,0)</f>
        <v>180</v>
      </c>
      <c r="G255">
        <f t="shared" si="365"/>
        <v>3.5403653201854315</v>
      </c>
      <c r="H255">
        <f t="shared" si="366"/>
        <v>-90</v>
      </c>
      <c r="I255" s="153">
        <f t="shared" si="367"/>
        <v>0</v>
      </c>
      <c r="J255" s="153">
        <f t="shared" si="368"/>
        <v>0</v>
      </c>
      <c r="M255" s="39">
        <v>0.5</v>
      </c>
      <c r="N255" s="38">
        <v>0</v>
      </c>
      <c r="O255" s="38">
        <f>+DEGREES(ASIN(COS(RADIANS(P246))*COS(RADIANS(O246))*COS(RADIANS(N255))+SIN(RADIANS(P246))*SIN(RADIANS(O246))))</f>
        <v>49.596346798145674</v>
      </c>
      <c r="P255" s="38">
        <f>+IF(P246&gt;=0,180,0)</f>
        <v>180</v>
      </c>
      <c r="R255">
        <f t="shared" si="369"/>
        <v>4.0403653201854324</v>
      </c>
      <c r="S255">
        <f t="shared" si="370"/>
        <v>-90</v>
      </c>
      <c r="T255" s="153">
        <f t="shared" si="371"/>
        <v>0</v>
      </c>
      <c r="U255" s="153">
        <f t="shared" si="372"/>
        <v>0</v>
      </c>
      <c r="AB255" s="39">
        <v>0.39583333333333698</v>
      </c>
      <c r="AC255">
        <f t="shared" si="364"/>
        <v>3.75</v>
      </c>
      <c r="AD255">
        <f t="shared" si="359"/>
        <v>0</v>
      </c>
      <c r="AE255" s="153">
        <f t="shared" si="360"/>
        <v>3.9097335118301353</v>
      </c>
      <c r="AF255">
        <f t="shared" si="361"/>
        <v>3.9097335118301353</v>
      </c>
      <c r="AG255" s="153">
        <f t="shared" si="362"/>
        <v>0</v>
      </c>
      <c r="AH255">
        <f t="shared" si="363"/>
        <v>-2.5868172964578853</v>
      </c>
      <c r="AP255" t="s">
        <v>57</v>
      </c>
      <c r="AQ255">
        <f t="shared" si="373"/>
        <v>0</v>
      </c>
      <c r="AR255">
        <f t="shared" si="374"/>
        <v>62.9128608915928</v>
      </c>
      <c r="AS255">
        <f t="shared" si="375"/>
        <v>0</v>
      </c>
      <c r="AT255">
        <f t="shared" si="376"/>
        <v>62.9128608915928</v>
      </c>
      <c r="AU255">
        <f t="shared" si="377"/>
        <v>0</v>
      </c>
      <c r="AV255">
        <f t="shared" si="378"/>
        <v>62.9128608915928</v>
      </c>
      <c r="AW255">
        <f t="shared" si="379"/>
        <v>0</v>
      </c>
      <c r="AX255">
        <f t="shared" si="380"/>
        <v>62.9128608915928</v>
      </c>
      <c r="AY255">
        <f t="shared" si="381"/>
        <v>0</v>
      </c>
      <c r="AZ255">
        <f t="shared" si="382"/>
        <v>62.9128608915928</v>
      </c>
      <c r="BA255">
        <f t="shared" si="383"/>
        <v>1.9510766725967672</v>
      </c>
      <c r="BB255">
        <f t="shared" si="384"/>
        <v>86.488170658290201</v>
      </c>
      <c r="BC255">
        <f t="shared" si="385"/>
        <v>8.8424843209748119</v>
      </c>
      <c r="BD255">
        <f t="shared" si="386"/>
        <v>104.68802822282147</v>
      </c>
      <c r="BE255">
        <f t="shared" si="387"/>
        <v>21.241041758651765</v>
      </c>
      <c r="BF255">
        <f t="shared" si="388"/>
        <v>113.15708853016723</v>
      </c>
      <c r="BG255">
        <f t="shared" si="389"/>
        <v>32.778902474630826</v>
      </c>
      <c r="BH255">
        <f t="shared" si="390"/>
        <v>123.67138966374844</v>
      </c>
      <c r="BI255">
        <f t="shared" si="391"/>
        <v>42.752422426604682</v>
      </c>
      <c r="BJ255">
        <f t="shared" si="392"/>
        <v>137.63858177436344</v>
      </c>
      <c r="BK255">
        <f t="shared" si="393"/>
        <v>49.927090631227195</v>
      </c>
      <c r="BL255">
        <f t="shared" si="394"/>
        <v>156.55697888534539</v>
      </c>
      <c r="BM255">
        <f t="shared" si="395"/>
        <v>52.626294934964093</v>
      </c>
      <c r="BN255">
        <f t="shared" si="396"/>
        <v>180</v>
      </c>
      <c r="BO255">
        <f t="shared" si="397"/>
        <v>52.626294934964093</v>
      </c>
      <c r="BP255">
        <f t="shared" si="398"/>
        <v>180</v>
      </c>
      <c r="BQ255">
        <f t="shared" si="399"/>
        <v>49.927090631227195</v>
      </c>
      <c r="BR255">
        <f t="shared" si="400"/>
        <v>203.44302111465461</v>
      </c>
      <c r="BS255">
        <f t="shared" si="401"/>
        <v>42.752422426604682</v>
      </c>
      <c r="BT255">
        <f t="shared" si="402"/>
        <v>222.36141822563656</v>
      </c>
      <c r="BU255">
        <f t="shared" si="403"/>
        <v>32.778902474630826</v>
      </c>
      <c r="BV255">
        <f t="shared" si="404"/>
        <v>236.32861033625156</v>
      </c>
      <c r="BW255">
        <f t="shared" si="405"/>
        <v>21.241041758651765</v>
      </c>
      <c r="BX255">
        <f t="shared" si="406"/>
        <v>246.84291146983276</v>
      </c>
      <c r="BY255">
        <f t="shared" si="407"/>
        <v>8.8424843209748119</v>
      </c>
      <c r="BZ255">
        <f t="shared" si="408"/>
        <v>255.31197177717854</v>
      </c>
      <c r="CA255">
        <f t="shared" si="409"/>
        <v>1.9510766725967672</v>
      </c>
      <c r="CB255">
        <f t="shared" si="410"/>
        <v>273.51182934170981</v>
      </c>
      <c r="CC255">
        <f t="shared" si="411"/>
        <v>0</v>
      </c>
      <c r="CD255">
        <f t="shared" si="412"/>
        <v>297.0871391084072</v>
      </c>
      <c r="CE255">
        <f t="shared" si="413"/>
        <v>0</v>
      </c>
      <c r="CF255">
        <f t="shared" si="414"/>
        <v>297.0871391084072</v>
      </c>
      <c r="CG255">
        <f t="shared" si="415"/>
        <v>0</v>
      </c>
      <c r="CH255">
        <f t="shared" si="416"/>
        <v>297.0871391084072</v>
      </c>
      <c r="CI255">
        <f t="shared" si="417"/>
        <v>0</v>
      </c>
      <c r="CJ255">
        <f t="shared" si="418"/>
        <v>297.0871391084072</v>
      </c>
      <c r="CK255">
        <f t="shared" si="419"/>
        <v>0</v>
      </c>
      <c r="CL255">
        <f t="shared" si="420"/>
        <v>297.0871391084072</v>
      </c>
    </row>
    <row r="256" spans="1:90" x14ac:dyDescent="0.25">
      <c r="B256" s="39">
        <v>0.54166666666666696</v>
      </c>
      <c r="C256">
        <v>-15</v>
      </c>
      <c r="D256" s="38">
        <f>+DEGREES(ASIN(COS(RADIANS(E246))*COS(RADIANS(D246))*COS(RADIANS(C256))+SIN(RADIANS(E246))*SIN(RADIANS(D246))))</f>
        <v>51.922718489418457</v>
      </c>
      <c r="E256" s="38">
        <f>-(180-DEGREES(ACOS((((SIN(RADIANS(D256)))*SIN(RADIANS(E246)))-SIN(RADIANS(D246)))/((COS(RADIANS(D256)))*COS(RADIANS(E246))))))</f>
        <v>-155.18704889162387</v>
      </c>
      <c r="G256">
        <f t="shared" si="365"/>
        <v>3.8077281510581544</v>
      </c>
      <c r="H256">
        <f t="shared" si="366"/>
        <v>245.18704889162387</v>
      </c>
      <c r="I256" s="153">
        <f t="shared" si="367"/>
        <v>0</v>
      </c>
      <c r="J256" s="153">
        <f t="shared" si="368"/>
        <v>0</v>
      </c>
      <c r="M256" s="39">
        <v>0.54166666666666696</v>
      </c>
      <c r="N256">
        <v>-15</v>
      </c>
      <c r="O256" s="38">
        <f>+DEGREES(ASIN(COS(RADIANS(P246))*COS(RADIANS(O246))*COS(RADIANS(N256))+SIN(RADIANS(P246))*SIN(RADIANS(O246))))</f>
        <v>47.340628824570132</v>
      </c>
      <c r="P256" s="38">
        <f>-(180-DEGREES(ACOS((((SIN(RADIANS(O256)))*SIN(RADIANS(P246)))-SIN(RADIANS(O246)))/((COS(RADIANS(O256)))*COS(RADIANS(P246))))))</f>
        <v>-157.54651601054096</v>
      </c>
      <c r="R256">
        <f t="shared" si="369"/>
        <v>4.265937117542987</v>
      </c>
      <c r="S256">
        <f t="shared" si="370"/>
        <v>247.54651601054096</v>
      </c>
      <c r="T256" s="153">
        <f t="shared" si="371"/>
        <v>0</v>
      </c>
      <c r="U256" s="153">
        <f t="shared" si="372"/>
        <v>0</v>
      </c>
      <c r="AA256">
        <v>8</v>
      </c>
      <c r="AB256" s="39">
        <v>0.406250000000004</v>
      </c>
      <c r="AC256">
        <f t="shared" si="364"/>
        <v>3.375</v>
      </c>
      <c r="AD256">
        <f t="shared" si="359"/>
        <v>0</v>
      </c>
      <c r="AE256" s="153">
        <f t="shared" si="360"/>
        <v>3.5227172612348854</v>
      </c>
      <c r="AF256">
        <f t="shared" si="361"/>
        <v>3.5227172612348854</v>
      </c>
      <c r="AG256" s="153">
        <f t="shared" si="362"/>
        <v>0</v>
      </c>
      <c r="AH256">
        <f t="shared" si="363"/>
        <v>-2.6747462407866038</v>
      </c>
      <c r="AI256">
        <v>8</v>
      </c>
      <c r="AP256" t="s">
        <v>58</v>
      </c>
      <c r="AQ256">
        <f t="shared" si="373"/>
        <v>0</v>
      </c>
      <c r="AR256">
        <f t="shared" si="374"/>
        <v>62.9128608915928</v>
      </c>
      <c r="AS256">
        <f t="shared" si="375"/>
        <v>0</v>
      </c>
      <c r="AT256">
        <f t="shared" si="376"/>
        <v>62.9128608915928</v>
      </c>
      <c r="AU256">
        <f t="shared" si="377"/>
        <v>0</v>
      </c>
      <c r="AV256">
        <f t="shared" si="378"/>
        <v>62.9128608915928</v>
      </c>
      <c r="AW256">
        <f t="shared" si="379"/>
        <v>0</v>
      </c>
      <c r="AX256">
        <f t="shared" si="380"/>
        <v>62.9128608915928</v>
      </c>
      <c r="AY256">
        <f t="shared" si="381"/>
        <v>0</v>
      </c>
      <c r="AZ256">
        <f t="shared" si="382"/>
        <v>62.9128608915928</v>
      </c>
      <c r="BA256">
        <f t="shared" si="383"/>
        <v>1.9510766725967672</v>
      </c>
      <c r="BB256">
        <f t="shared" si="384"/>
        <v>86.488170658290201</v>
      </c>
      <c r="BC256">
        <f t="shared" si="385"/>
        <v>15.051271742006362</v>
      </c>
      <c r="BD256">
        <f t="shared" si="386"/>
        <v>93.815787356682009</v>
      </c>
      <c r="BE256">
        <f t="shared" si="387"/>
        <v>28.03064132064042</v>
      </c>
      <c r="BF256">
        <f t="shared" si="388"/>
        <v>101.84583698554694</v>
      </c>
      <c r="BG256">
        <f t="shared" si="389"/>
        <v>40.579187314260722</v>
      </c>
      <c r="BH256">
        <f t="shared" si="390"/>
        <v>111.76387408261022</v>
      </c>
      <c r="BI256">
        <f t="shared" si="391"/>
        <v>52.096153918797427</v>
      </c>
      <c r="BJ256">
        <f t="shared" si="392"/>
        <v>125.71951693085082</v>
      </c>
      <c r="BK256">
        <f t="shared" si="393"/>
        <v>61.179653601104718</v>
      </c>
      <c r="BL256">
        <f t="shared" si="394"/>
        <v>147.61688935411229</v>
      </c>
      <c r="BM256">
        <f t="shared" si="395"/>
        <v>64.936824231055681</v>
      </c>
      <c r="BN256">
        <f t="shared" si="396"/>
        <v>180</v>
      </c>
      <c r="BO256">
        <f t="shared" si="397"/>
        <v>64.936824231055681</v>
      </c>
      <c r="BP256">
        <f t="shared" si="398"/>
        <v>180</v>
      </c>
      <c r="BQ256">
        <f t="shared" si="399"/>
        <v>61.179653601104718</v>
      </c>
      <c r="BR256">
        <f t="shared" si="400"/>
        <v>212.38311064588771</v>
      </c>
      <c r="BS256">
        <f t="shared" si="401"/>
        <v>52.096153918797427</v>
      </c>
      <c r="BT256">
        <f t="shared" si="402"/>
        <v>234.28048306914917</v>
      </c>
      <c r="BU256">
        <f t="shared" si="403"/>
        <v>40.579187314260722</v>
      </c>
      <c r="BV256">
        <f t="shared" si="404"/>
        <v>248.23612591738978</v>
      </c>
      <c r="BW256">
        <f t="shared" si="405"/>
        <v>28.03064132064042</v>
      </c>
      <c r="BX256">
        <f t="shared" si="406"/>
        <v>258.15416301445305</v>
      </c>
      <c r="BY256">
        <f t="shared" si="407"/>
        <v>15.051271742006362</v>
      </c>
      <c r="BZ256">
        <f t="shared" si="408"/>
        <v>266.18421264331801</v>
      </c>
      <c r="CA256">
        <f t="shared" si="409"/>
        <v>1.9510766725967672</v>
      </c>
      <c r="CB256">
        <f t="shared" si="410"/>
        <v>273.51182934170981</v>
      </c>
      <c r="CC256">
        <f t="shared" si="411"/>
        <v>0</v>
      </c>
      <c r="CD256">
        <f t="shared" si="412"/>
        <v>297.0871391084072</v>
      </c>
      <c r="CE256">
        <f t="shared" si="413"/>
        <v>0</v>
      </c>
      <c r="CF256">
        <f t="shared" si="414"/>
        <v>297.0871391084072</v>
      </c>
      <c r="CG256">
        <f t="shared" si="415"/>
        <v>0</v>
      </c>
      <c r="CH256">
        <f t="shared" si="416"/>
        <v>297.0871391084072</v>
      </c>
      <c r="CI256">
        <f t="shared" si="417"/>
        <v>0</v>
      </c>
      <c r="CJ256">
        <f t="shared" si="418"/>
        <v>297.0871391084072</v>
      </c>
      <c r="CK256">
        <f t="shared" si="419"/>
        <v>0</v>
      </c>
      <c r="CL256">
        <f t="shared" si="420"/>
        <v>297.0871391084072</v>
      </c>
    </row>
    <row r="257" spans="1:90" x14ac:dyDescent="0.25">
      <c r="B257" s="39">
        <v>0.58333333333333304</v>
      </c>
      <c r="C257" s="38">
        <v>-30</v>
      </c>
      <c r="D257" s="38">
        <f>+DEGREES(ASIN(COS(RADIANS(E246))*COS(RADIANS(D246))*COS(RADIANS(C257))+SIN(RADIANS(E246))*SIN(RADIANS(D246))))</f>
        <v>44.857666756708923</v>
      </c>
      <c r="E257" s="38">
        <f>-(180-DEGREES(ACOS((((SIN(RADIANS(D257)))*SIN(RADIANS(E246)))-SIN(RADIANS(D246)))/((COS(RADIANS(D257)))*COS(RADIANS(E246))))))</f>
        <v>-135.1430444212443</v>
      </c>
      <c r="G257">
        <f t="shared" si="365"/>
        <v>4.5142333243291075</v>
      </c>
      <c r="H257">
        <f t="shared" si="366"/>
        <v>225.1430444212443</v>
      </c>
      <c r="I257" s="153">
        <f t="shared" si="367"/>
        <v>0</v>
      </c>
      <c r="J257" s="153">
        <f t="shared" si="368"/>
        <v>0</v>
      </c>
      <c r="M257" s="39">
        <v>0.58333333333333304</v>
      </c>
      <c r="N257" s="38">
        <v>-30</v>
      </c>
      <c r="O257" s="38">
        <f>+DEGREES(ASIN(COS(RADIANS(P246))*COS(RADIANS(O246))*COS(RADIANS(N257))+SIN(RADIANS(P246))*SIN(RADIANS(O246))))</f>
        <v>41.213675801003689</v>
      </c>
      <c r="P257" s="38">
        <f>-(180-DEGREES(ACOS((((SIN(RADIANS(O257)))*SIN(RADIANS(P246)))-SIN(RADIANS(O246)))/((COS(RADIANS(O257)))*COS(RADIANS(P246))))))</f>
        <v>-138.34456757188187</v>
      </c>
      <c r="R257">
        <f t="shared" si="369"/>
        <v>4.8786324198996311</v>
      </c>
      <c r="S257">
        <f t="shared" si="370"/>
        <v>228.34456757188187</v>
      </c>
      <c r="T257" s="153">
        <f t="shared" si="371"/>
        <v>0</v>
      </c>
      <c r="U257" s="153">
        <f t="shared" si="372"/>
        <v>0</v>
      </c>
      <c r="AB257" s="39">
        <v>0.41666666666667102</v>
      </c>
      <c r="AC257">
        <f t="shared" si="364"/>
        <v>3</v>
      </c>
      <c r="AD257">
        <f t="shared" si="359"/>
        <v>0</v>
      </c>
      <c r="AE257" s="153">
        <f t="shared" si="360"/>
        <v>3.1343874494739405</v>
      </c>
      <c r="AF257">
        <f t="shared" si="361"/>
        <v>3.1343874494739405</v>
      </c>
      <c r="AG257" s="153">
        <f t="shared" si="362"/>
        <v>0</v>
      </c>
      <c r="AH257">
        <f t="shared" si="363"/>
        <v>-2.7527069390957655</v>
      </c>
      <c r="AP257" t="s">
        <v>59</v>
      </c>
      <c r="AQ257">
        <f t="shared" si="373"/>
        <v>0</v>
      </c>
      <c r="AR257">
        <f t="shared" si="374"/>
        <v>62.9128608915928</v>
      </c>
      <c r="AS257">
        <f t="shared" si="375"/>
        <v>0</v>
      </c>
      <c r="AT257">
        <f t="shared" si="376"/>
        <v>62.9128608915928</v>
      </c>
      <c r="AU257">
        <f t="shared" si="377"/>
        <v>0</v>
      </c>
      <c r="AV257">
        <f t="shared" si="378"/>
        <v>62.9128608915928</v>
      </c>
      <c r="AW257">
        <f t="shared" si="379"/>
        <v>0</v>
      </c>
      <c r="AX257">
        <f t="shared" si="380"/>
        <v>62.9128608915928</v>
      </c>
      <c r="AY257">
        <f t="shared" si="381"/>
        <v>0</v>
      </c>
      <c r="AZ257">
        <f t="shared" si="382"/>
        <v>62.9128608915928</v>
      </c>
      <c r="BA257">
        <f t="shared" si="383"/>
        <v>7.1796941081018506</v>
      </c>
      <c r="BB257">
        <f t="shared" si="384"/>
        <v>76.908415468616056</v>
      </c>
      <c r="BC257">
        <f t="shared" si="385"/>
        <v>20.094408212134532</v>
      </c>
      <c r="BD257">
        <f t="shared" si="386"/>
        <v>83.69300591455243</v>
      </c>
      <c r="BE257">
        <f t="shared" si="387"/>
        <v>33.179114183303909</v>
      </c>
      <c r="BF257">
        <f t="shared" si="388"/>
        <v>90.692173646055892</v>
      </c>
      <c r="BG257">
        <f t="shared" si="389"/>
        <v>46.234000924702507</v>
      </c>
      <c r="BH257">
        <f t="shared" si="390"/>
        <v>98.931073312987834</v>
      </c>
      <c r="BI257">
        <f t="shared" si="391"/>
        <v>58.913198956609463</v>
      </c>
      <c r="BJ257">
        <f t="shared" si="392"/>
        <v>110.64261236918068</v>
      </c>
      <c r="BK257">
        <f t="shared" si="393"/>
        <v>70.179120424793908</v>
      </c>
      <c r="BL257">
        <f t="shared" si="394"/>
        <v>132.47024428392857</v>
      </c>
      <c r="BM257">
        <f t="shared" si="395"/>
        <v>75.820887455874669</v>
      </c>
      <c r="BN257">
        <f t="shared" si="396"/>
        <v>180</v>
      </c>
      <c r="BO257">
        <f t="shared" si="397"/>
        <v>75.820887455874669</v>
      </c>
      <c r="BP257">
        <f t="shared" si="398"/>
        <v>180</v>
      </c>
      <c r="BQ257">
        <f t="shared" si="399"/>
        <v>70.179120424793908</v>
      </c>
      <c r="BR257">
        <f t="shared" si="400"/>
        <v>227.52975571607143</v>
      </c>
      <c r="BS257">
        <f t="shared" si="401"/>
        <v>58.913198956609463</v>
      </c>
      <c r="BT257">
        <f t="shared" si="402"/>
        <v>249.35738763081932</v>
      </c>
      <c r="BU257">
        <f t="shared" si="403"/>
        <v>46.234000924702507</v>
      </c>
      <c r="BV257">
        <f t="shared" si="404"/>
        <v>261.06892668701215</v>
      </c>
      <c r="BW257">
        <f t="shared" si="405"/>
        <v>33.179114183303909</v>
      </c>
      <c r="BX257">
        <f t="shared" si="406"/>
        <v>269.30782635394411</v>
      </c>
      <c r="BY257">
        <f t="shared" si="407"/>
        <v>20.094408212134532</v>
      </c>
      <c r="BZ257">
        <f t="shared" si="408"/>
        <v>276.30699408544757</v>
      </c>
      <c r="CA257">
        <f t="shared" si="409"/>
        <v>7.1796941081018506</v>
      </c>
      <c r="CB257">
        <f t="shared" si="410"/>
        <v>283.09158453138394</v>
      </c>
      <c r="CC257">
        <f t="shared" si="411"/>
        <v>0</v>
      </c>
      <c r="CD257">
        <f t="shared" si="412"/>
        <v>297.0871391084072</v>
      </c>
      <c r="CE257">
        <f t="shared" si="413"/>
        <v>0</v>
      </c>
      <c r="CF257">
        <f t="shared" si="414"/>
        <v>297.0871391084072</v>
      </c>
      <c r="CG257">
        <f t="shared" si="415"/>
        <v>0</v>
      </c>
      <c r="CH257">
        <f t="shared" si="416"/>
        <v>297.0871391084072</v>
      </c>
      <c r="CI257">
        <f t="shared" si="417"/>
        <v>0</v>
      </c>
      <c r="CJ257">
        <f t="shared" si="418"/>
        <v>297.0871391084072</v>
      </c>
      <c r="CK257">
        <f t="shared" si="419"/>
        <v>0</v>
      </c>
      <c r="CL257">
        <f t="shared" si="420"/>
        <v>297.0871391084072</v>
      </c>
    </row>
    <row r="258" spans="1:90" x14ac:dyDescent="0.25">
      <c r="B258" s="39">
        <v>0.625</v>
      </c>
      <c r="C258">
        <v>-45</v>
      </c>
      <c r="D258" s="38">
        <f>+DEGREES(ASIN(COS(RADIANS(E246))*COS(RADIANS(D246))*COS(RADIANS(C258))+SIN(RADIANS(E246))*SIN(RADIANS(D246))))</f>
        <v>35.111729759019639</v>
      </c>
      <c r="E258" s="38">
        <f>-(180-DEGREES(ACOS((((SIN(RADIANS(D258)))*SIN(RADIANS(E246)))-SIN(RADIANS(D246)))/((COS(RADIANS(D258)))*COS(RADIANS(E246))))))</f>
        <v>-120.18818988919975</v>
      </c>
      <c r="G258">
        <f t="shared" si="365"/>
        <v>5.4888270240980361</v>
      </c>
      <c r="H258">
        <f t="shared" si="366"/>
        <v>210.18818988919975</v>
      </c>
      <c r="I258" s="153">
        <f t="shared" si="367"/>
        <v>0</v>
      </c>
      <c r="J258" s="153">
        <f t="shared" si="368"/>
        <v>0</v>
      </c>
      <c r="M258" s="39">
        <v>0.625</v>
      </c>
      <c r="N258">
        <v>-45</v>
      </c>
      <c r="O258" s="38">
        <f>+DEGREES(ASIN(COS(RADIANS(P246))*COS(RADIANS(O246))*COS(RADIANS(N258))+SIN(RADIANS(P246))*SIN(RADIANS(O246))))</f>
        <v>32.488704386447722</v>
      </c>
      <c r="P258" s="38">
        <f>-(180-DEGREES(ACOS((((SIN(RADIANS(O258)))*SIN(RADIANS(P246)))-SIN(RADIANS(O246)))/((COS(RADIANS(O258)))*COS(RADIANS(P246))))))</f>
        <v>-123.04078211842585</v>
      </c>
      <c r="R258">
        <f t="shared" si="369"/>
        <v>5.7511295613552278</v>
      </c>
      <c r="S258">
        <f t="shared" si="370"/>
        <v>213.04078211842585</v>
      </c>
      <c r="T258" s="153">
        <f t="shared" si="371"/>
        <v>0</v>
      </c>
      <c r="U258" s="153">
        <f t="shared" si="372"/>
        <v>0</v>
      </c>
      <c r="AA258">
        <v>9</v>
      </c>
      <c r="AB258" s="39">
        <v>0.42708333333333798</v>
      </c>
      <c r="AC258">
        <f t="shared" si="364"/>
        <v>2.625</v>
      </c>
      <c r="AD258">
        <f t="shared" si="359"/>
        <v>0</v>
      </c>
      <c r="AE258" s="153">
        <f t="shared" si="360"/>
        <v>2.744926689135641</v>
      </c>
      <c r="AF258">
        <f t="shared" si="361"/>
        <v>2.744926689135641</v>
      </c>
      <c r="AG258" s="153">
        <f t="shared" si="362"/>
        <v>0</v>
      </c>
      <c r="AH258">
        <f t="shared" si="363"/>
        <v>-2.8209462684055397</v>
      </c>
      <c r="AI258">
        <v>9</v>
      </c>
      <c r="AP258" t="s">
        <v>60</v>
      </c>
      <c r="AQ258">
        <f t="shared" si="373"/>
        <v>0</v>
      </c>
      <c r="AR258">
        <f t="shared" si="374"/>
        <v>62.9128608915928</v>
      </c>
      <c r="AS258">
        <f t="shared" si="375"/>
        <v>0</v>
      </c>
      <c r="AT258">
        <f t="shared" si="376"/>
        <v>62.9128608915928</v>
      </c>
      <c r="AU258">
        <f t="shared" si="377"/>
        <v>0</v>
      </c>
      <c r="AV258">
        <f t="shared" si="378"/>
        <v>62.9128608915928</v>
      </c>
      <c r="AW258">
        <f t="shared" si="379"/>
        <v>0</v>
      </c>
      <c r="AX258">
        <f t="shared" si="380"/>
        <v>62.9128608915928</v>
      </c>
      <c r="AY258">
        <f t="shared" si="381"/>
        <v>0</v>
      </c>
      <c r="AZ258">
        <f t="shared" si="382"/>
        <v>62.9128608915928</v>
      </c>
      <c r="BA258">
        <f t="shared" si="383"/>
        <v>10.508522694850116</v>
      </c>
      <c r="BB258">
        <f t="shared" si="384"/>
        <v>70.516285917220941</v>
      </c>
      <c r="BC258">
        <f t="shared" si="385"/>
        <v>23.081833865003894</v>
      </c>
      <c r="BD258">
        <f t="shared" si="386"/>
        <v>76.718561537440678</v>
      </c>
      <c r="BE258">
        <f t="shared" si="387"/>
        <v>35.974200517974971</v>
      </c>
      <c r="BF258">
        <f t="shared" si="388"/>
        <v>82.710211003016923</v>
      </c>
      <c r="BG258">
        <f t="shared" si="389"/>
        <v>49.04228910837859</v>
      </c>
      <c r="BH258">
        <f t="shared" si="390"/>
        <v>89.179775376606813</v>
      </c>
      <c r="BI258">
        <f t="shared" si="391"/>
        <v>62.120147714715685</v>
      </c>
      <c r="BJ258">
        <f t="shared" si="392"/>
        <v>97.645217635946267</v>
      </c>
      <c r="BK258">
        <f t="shared" si="393"/>
        <v>74.765245687919915</v>
      </c>
      <c r="BL258">
        <f t="shared" si="394"/>
        <v>114.0806639695666</v>
      </c>
      <c r="BM258">
        <f t="shared" si="395"/>
        <v>82.959624558737431</v>
      </c>
      <c r="BN258">
        <f t="shared" si="396"/>
        <v>180</v>
      </c>
      <c r="BO258">
        <f t="shared" si="397"/>
        <v>82.959624558737431</v>
      </c>
      <c r="BP258">
        <f t="shared" si="398"/>
        <v>180</v>
      </c>
      <c r="BQ258">
        <f t="shared" si="399"/>
        <v>74.765245687919915</v>
      </c>
      <c r="BR258">
        <f t="shared" si="400"/>
        <v>245.91933603043339</v>
      </c>
      <c r="BS258">
        <f t="shared" si="401"/>
        <v>62.120147714715685</v>
      </c>
      <c r="BT258">
        <f t="shared" si="402"/>
        <v>262.35478236405373</v>
      </c>
      <c r="BU258">
        <f t="shared" si="403"/>
        <v>49.04228910837859</v>
      </c>
      <c r="BV258">
        <f t="shared" si="404"/>
        <v>270.82022462339319</v>
      </c>
      <c r="BW258">
        <f t="shared" si="405"/>
        <v>35.974200517974971</v>
      </c>
      <c r="BX258">
        <f t="shared" si="406"/>
        <v>277.28978899698308</v>
      </c>
      <c r="BY258">
        <f t="shared" si="407"/>
        <v>23.081833865003894</v>
      </c>
      <c r="BZ258">
        <f t="shared" si="408"/>
        <v>283.28143846255932</v>
      </c>
      <c r="CA258">
        <f t="shared" si="409"/>
        <v>10.508522694850116</v>
      </c>
      <c r="CB258">
        <f t="shared" si="410"/>
        <v>289.48371408277904</v>
      </c>
      <c r="CC258">
        <f t="shared" si="411"/>
        <v>0</v>
      </c>
      <c r="CD258">
        <f t="shared" si="412"/>
        <v>297.0871391084072</v>
      </c>
      <c r="CE258">
        <f t="shared" si="413"/>
        <v>0</v>
      </c>
      <c r="CF258">
        <f t="shared" si="414"/>
        <v>297.0871391084072</v>
      </c>
      <c r="CG258">
        <f t="shared" si="415"/>
        <v>0</v>
      </c>
      <c r="CH258">
        <f t="shared" si="416"/>
        <v>297.0871391084072</v>
      </c>
      <c r="CI258">
        <f t="shared" si="417"/>
        <v>0</v>
      </c>
      <c r="CJ258">
        <f t="shared" si="418"/>
        <v>297.0871391084072</v>
      </c>
      <c r="CK258">
        <f t="shared" si="419"/>
        <v>0</v>
      </c>
      <c r="CL258">
        <f t="shared" si="420"/>
        <v>297.0871391084072</v>
      </c>
    </row>
    <row r="259" spans="1:90" x14ac:dyDescent="0.25">
      <c r="B259" s="39">
        <v>0.66666666666666696</v>
      </c>
      <c r="C259" s="38">
        <v>-60</v>
      </c>
      <c r="D259" s="38">
        <f>+DEGREES(ASIN(COS(RADIANS(E246))*COS(RADIANS(D246))*COS(RADIANS(C259))+SIN(RADIANS(E246))*SIN(RADIANS(D246))))</f>
        <v>23.924030583709875</v>
      </c>
      <c r="E259" s="38">
        <f>-(180-DEGREES(ACOS((((SIN(RADIANS(D259)))*SIN(RADIANS(E246)))-SIN(RADIANS(D246)))/((COS(RADIANS(D259)))*COS(RADIANS(E246))))))</f>
        <v>-108.66591387786362</v>
      </c>
      <c r="G259">
        <f t="shared" si="365"/>
        <v>6.6075969416290121</v>
      </c>
      <c r="H259">
        <f t="shared" si="366"/>
        <v>198.6659138778636</v>
      </c>
      <c r="I259" s="153">
        <f t="shared" si="367"/>
        <v>0</v>
      </c>
      <c r="J259" s="153">
        <f t="shared" si="368"/>
        <v>0</v>
      </c>
      <c r="M259" s="39">
        <v>0.66666666666666696</v>
      </c>
      <c r="N259" s="38">
        <v>-60</v>
      </c>
      <c r="O259" s="38">
        <f>+DEGREES(ASIN(COS(RADIANS(P246))*COS(RADIANS(O246))*COS(RADIANS(N259))+SIN(RADIANS(P246))*SIN(RADIANS(O246))))</f>
        <v>22.23982612103455</v>
      </c>
      <c r="P259" s="38">
        <f>-(180-DEGREES(ACOS((((SIN(RADIANS(O259)))*SIN(RADIANS(P246)))-SIN(RADIANS(O246)))/((COS(RADIANS(O259)))*COS(RADIANS(P246))))))</f>
        <v>-110.67377019183745</v>
      </c>
      <c r="R259">
        <f t="shared" si="369"/>
        <v>6.7760173878965446</v>
      </c>
      <c r="S259">
        <f t="shared" si="370"/>
        <v>200.67377019183743</v>
      </c>
      <c r="T259" s="153">
        <f t="shared" si="371"/>
        <v>0</v>
      </c>
      <c r="U259" s="153">
        <f t="shared" si="372"/>
        <v>0</v>
      </c>
      <c r="AB259" s="39">
        <v>0.437500000000005</v>
      </c>
      <c r="AC259">
        <f t="shared" si="364"/>
        <v>2.25</v>
      </c>
      <c r="AD259">
        <f t="shared" si="359"/>
        <v>0</v>
      </c>
      <c r="AE259" s="153">
        <f t="shared" si="360"/>
        <v>2.3545037010682437</v>
      </c>
      <c r="AF259">
        <f t="shared" si="361"/>
        <v>2.3545037010682437</v>
      </c>
      <c r="AG259" s="153">
        <f t="shared" si="362"/>
        <v>0</v>
      </c>
      <c r="AH259">
        <f t="shared" si="363"/>
        <v>-2.8796764360807559</v>
      </c>
      <c r="AP259" t="s">
        <v>61</v>
      </c>
      <c r="AQ259">
        <f t="shared" ref="AQ259:BM259" si="421">+AQ248</f>
        <v>0</v>
      </c>
      <c r="AR259">
        <f t="shared" si="421"/>
        <v>62.9128608915928</v>
      </c>
      <c r="AS259">
        <f t="shared" si="421"/>
        <v>0</v>
      </c>
      <c r="AT259">
        <f t="shared" si="421"/>
        <v>62.9128608915928</v>
      </c>
      <c r="AU259">
        <f t="shared" si="421"/>
        <v>0</v>
      </c>
      <c r="AV259">
        <f t="shared" si="421"/>
        <v>62.9128608915928</v>
      </c>
      <c r="AW259">
        <f t="shared" si="421"/>
        <v>0</v>
      </c>
      <c r="AX259">
        <f t="shared" si="421"/>
        <v>62.9128608915928</v>
      </c>
      <c r="AY259">
        <f t="shared" si="421"/>
        <v>0</v>
      </c>
      <c r="AZ259">
        <f t="shared" si="421"/>
        <v>62.9128608915928</v>
      </c>
      <c r="BA259">
        <f t="shared" si="421"/>
        <v>11.152054967319165</v>
      </c>
      <c r="BB259">
        <f t="shared" si="421"/>
        <v>69.238766580276192</v>
      </c>
      <c r="BC259">
        <f t="shared" si="421"/>
        <v>23.63600454935963</v>
      </c>
      <c r="BD259">
        <f t="shared" si="421"/>
        <v>75.306075969479892</v>
      </c>
      <c r="BE259">
        <f t="shared" si="421"/>
        <v>36.462362723804389</v>
      </c>
      <c r="BF259">
        <f t="shared" si="421"/>
        <v>81.070349439875727</v>
      </c>
      <c r="BG259">
        <f t="shared" si="421"/>
        <v>49.494624805188728</v>
      </c>
      <c r="BH259">
        <f t="shared" si="421"/>
        <v>87.132774729162193</v>
      </c>
      <c r="BI259">
        <f t="shared" si="421"/>
        <v>62.593106094089499</v>
      </c>
      <c r="BJ259">
        <f t="shared" si="421"/>
        <v>94.781580028246267</v>
      </c>
      <c r="BK259">
        <f t="shared" si="421"/>
        <v>75.433504705998018</v>
      </c>
      <c r="BL259">
        <f t="shared" si="421"/>
        <v>109.24906860936896</v>
      </c>
      <c r="BM259">
        <f t="shared" si="421"/>
        <v>84.369782846813621</v>
      </c>
      <c r="BN259">
        <f>IF(BN248=0,180,BN248)</f>
        <v>180</v>
      </c>
      <c r="BO259">
        <f>+BO248</f>
        <v>84.369782846813621</v>
      </c>
      <c r="BP259">
        <f>IF(BP248=360,180,BP248)</f>
        <v>180</v>
      </c>
      <c r="BQ259">
        <f t="shared" ref="BQ259:CL259" si="422">+BQ248</f>
        <v>75.433504705998018</v>
      </c>
      <c r="BR259">
        <f t="shared" si="422"/>
        <v>250.75093139063102</v>
      </c>
      <c r="BS259">
        <f t="shared" si="422"/>
        <v>62.593106094089499</v>
      </c>
      <c r="BT259">
        <f t="shared" si="422"/>
        <v>265.21841997175375</v>
      </c>
      <c r="BU259">
        <f t="shared" si="422"/>
        <v>49.494624805188728</v>
      </c>
      <c r="BV259">
        <f t="shared" si="422"/>
        <v>272.86722527083782</v>
      </c>
      <c r="BW259">
        <f t="shared" si="422"/>
        <v>36.462362723804389</v>
      </c>
      <c r="BX259">
        <f t="shared" si="422"/>
        <v>278.92965056012429</v>
      </c>
      <c r="BY259">
        <f t="shared" si="422"/>
        <v>23.63600454935963</v>
      </c>
      <c r="BZ259">
        <f t="shared" si="422"/>
        <v>284.69392403052012</v>
      </c>
      <c r="CA259">
        <f t="shared" si="422"/>
        <v>11.152054967319165</v>
      </c>
      <c r="CB259">
        <f t="shared" si="422"/>
        <v>290.76123341972379</v>
      </c>
      <c r="CC259">
        <f t="shared" si="422"/>
        <v>0</v>
      </c>
      <c r="CD259">
        <f t="shared" si="422"/>
        <v>297.0871391084072</v>
      </c>
      <c r="CE259">
        <f t="shared" si="422"/>
        <v>0</v>
      </c>
      <c r="CF259">
        <f t="shared" si="422"/>
        <v>297.0871391084072</v>
      </c>
      <c r="CG259">
        <f t="shared" si="422"/>
        <v>0</v>
      </c>
      <c r="CH259">
        <f t="shared" si="422"/>
        <v>297.0871391084072</v>
      </c>
      <c r="CI259">
        <f t="shared" si="422"/>
        <v>0</v>
      </c>
      <c r="CJ259">
        <f t="shared" si="422"/>
        <v>297.0871391084072</v>
      </c>
      <c r="CK259">
        <f t="shared" si="422"/>
        <v>0</v>
      </c>
      <c r="CL259">
        <f t="shared" si="422"/>
        <v>297.0871391084072</v>
      </c>
    </row>
    <row r="260" spans="1:90" x14ac:dyDescent="0.25">
      <c r="B260" s="39">
        <v>0.70833333333333404</v>
      </c>
      <c r="C260">
        <v>-75</v>
      </c>
      <c r="D260" s="38">
        <f>+DEGREES(ASIN(COS(RADIANS(E246))*COS(RADIANS(D246))*COS(RADIANS(C260))+SIN(RADIANS(E246))*SIN(RADIANS(D246))))</f>
        <v>12.003183070128085</v>
      </c>
      <c r="E260" s="38">
        <f>-(180-DEGREES(ACOS((((SIN(RADIANS(D260)))*SIN(RADIANS(E246)))-SIN(RADIANS(D246)))/((COS(RADIANS(D260)))*COS(RADIANS(E246))))))</f>
        <v>-99.071505636599269</v>
      </c>
      <c r="G260">
        <f t="shared" si="365"/>
        <v>7.7996816929871917</v>
      </c>
      <c r="H260">
        <f t="shared" si="366"/>
        <v>189.07150563659928</v>
      </c>
      <c r="I260" s="153">
        <f t="shared" si="367"/>
        <v>0</v>
      </c>
      <c r="J260" s="153">
        <f t="shared" si="368"/>
        <v>0</v>
      </c>
      <c r="M260" s="39">
        <v>0.70833333333333404</v>
      </c>
      <c r="N260">
        <v>-75</v>
      </c>
      <c r="O260" s="38">
        <f>+DEGREES(ASIN(COS(RADIANS(P246))*COS(RADIANS(O246))*COS(RADIANS(N260))+SIN(RADIANS(P246))*SIN(RADIANS(O246))))</f>
        <v>11.170748849463411</v>
      </c>
      <c r="P260" s="38">
        <f>-(180-DEGREES(ACOS((((SIN(RADIANS(O260)))*SIN(RADIANS(P246)))-SIN(RADIANS(O246)))/((COS(RADIANS(O260)))*COS(RADIANS(P246))))))</f>
        <v>-100.08303941337513</v>
      </c>
      <c r="R260">
        <f t="shared" si="369"/>
        <v>7.8829251150536592</v>
      </c>
      <c r="S260">
        <f t="shared" si="370"/>
        <v>190.08303941337513</v>
      </c>
      <c r="T260" s="153">
        <f t="shared" si="371"/>
        <v>0</v>
      </c>
      <c r="U260" s="153">
        <f t="shared" si="372"/>
        <v>0</v>
      </c>
      <c r="AA260">
        <v>10</v>
      </c>
      <c r="AB260" s="39">
        <v>0.44791666666667201</v>
      </c>
      <c r="AC260">
        <f t="shared" si="364"/>
        <v>1.875</v>
      </c>
      <c r="AD260">
        <f t="shared" si="359"/>
        <v>0</v>
      </c>
      <c r="AE260" s="153">
        <f t="shared" si="360"/>
        <v>1.9632756679104444</v>
      </c>
      <c r="AF260">
        <f t="shared" si="361"/>
        <v>1.9632756679104444</v>
      </c>
      <c r="AG260" s="153">
        <f t="shared" si="362"/>
        <v>0</v>
      </c>
      <c r="AH260">
        <f t="shared" si="363"/>
        <v>-2.9290771979326018</v>
      </c>
      <c r="AI260">
        <v>10</v>
      </c>
    </row>
    <row r="261" spans="1:90" x14ac:dyDescent="0.25">
      <c r="B261" s="39">
        <v>0.75</v>
      </c>
      <c r="C261" s="38">
        <v>-90</v>
      </c>
      <c r="D261" s="38">
        <f>+DEGREES(ASIN(COS(RADIANS(E246))*COS(RADIANS(D246))*COS(RADIANS(C261))+SIN(RADIANS(E246))*SIN(RADIANS(D246))))</f>
        <v>-0.23152467989920697</v>
      </c>
      <c r="E261" s="38">
        <f>-(180-DEGREES(ACOS((((SIN(RADIANS(D261)))*SIN(RADIANS(E246)))-SIN(RADIANS(D246)))/((COS(RADIANS(D261)))*COS(RADIANS(E246))))))</f>
        <v>-90.330655145206109</v>
      </c>
      <c r="G261">
        <f t="shared" si="365"/>
        <v>9.0231524679899202</v>
      </c>
      <c r="H261">
        <f t="shared" si="366"/>
        <v>180.33065514520609</v>
      </c>
      <c r="I261" s="153">
        <f t="shared" si="367"/>
        <v>0</v>
      </c>
      <c r="J261" s="153">
        <f t="shared" si="368"/>
        <v>0</v>
      </c>
      <c r="M261" s="39">
        <v>0.75</v>
      </c>
      <c r="N261" s="38">
        <v>-90</v>
      </c>
      <c r="O261" s="38">
        <f>+DEGREES(ASIN(COS(RADIANS(P246))*COS(RADIANS(O246))*COS(RADIANS(N261))+SIN(RADIANS(P246))*SIN(RADIANS(O246))))</f>
        <v>-0.25946201723650403</v>
      </c>
      <c r="P261" s="38">
        <f>-(180-DEGREES(ACOS((((SIN(RADIANS(O261)))*SIN(RADIANS(P246)))-SIN(RADIANS(O246)))/((COS(RADIANS(O261)))*COS(RADIANS(P246))))))</f>
        <v>-90.309218405953629</v>
      </c>
      <c r="R261">
        <f t="shared" si="369"/>
        <v>9.0259462017236505</v>
      </c>
      <c r="S261">
        <f t="shared" si="370"/>
        <v>180.30921840595363</v>
      </c>
      <c r="T261" s="153">
        <f t="shared" si="371"/>
        <v>0</v>
      </c>
      <c r="U261" s="153">
        <f t="shared" si="372"/>
        <v>0</v>
      </c>
      <c r="AB261" s="39">
        <v>0.45833333333333898</v>
      </c>
      <c r="AC261">
        <f t="shared" si="364"/>
        <v>1.5</v>
      </c>
      <c r="AD261">
        <f t="shared" si="359"/>
        <v>0</v>
      </c>
      <c r="AE261" s="153">
        <f t="shared" si="360"/>
        <v>1.5713903200522465</v>
      </c>
      <c r="AF261">
        <f t="shared" si="361"/>
        <v>1.5713903200522465</v>
      </c>
      <c r="AG261" s="153">
        <f t="shared" si="362"/>
        <v>0</v>
      </c>
      <c r="AH261">
        <f t="shared" si="363"/>
        <v>-2.9692977066286788</v>
      </c>
    </row>
    <row r="262" spans="1:90" x14ac:dyDescent="0.25">
      <c r="AA262">
        <v>11</v>
      </c>
      <c r="AB262" s="39">
        <v>0.468750000000006</v>
      </c>
      <c r="AC262">
        <f t="shared" si="364"/>
        <v>1.125</v>
      </c>
      <c r="AD262">
        <f t="shared" si="359"/>
        <v>0</v>
      </c>
      <c r="AE262" s="153">
        <f t="shared" si="360"/>
        <v>1.1789878076001212</v>
      </c>
      <c r="AF262">
        <f t="shared" si="361"/>
        <v>1.1789878076001212</v>
      </c>
      <c r="AG262" s="153">
        <f t="shared" si="362"/>
        <v>0</v>
      </c>
      <c r="AH262">
        <f t="shared" si="363"/>
        <v>-3.0004580236470666</v>
      </c>
      <c r="AI262">
        <v>11</v>
      </c>
    </row>
    <row r="263" spans="1:90" x14ac:dyDescent="0.25">
      <c r="AB263" s="39">
        <v>0.47916666666667301</v>
      </c>
      <c r="AC263">
        <f t="shared" si="364"/>
        <v>0.75</v>
      </c>
      <c r="AD263">
        <f t="shared" si="359"/>
        <v>0</v>
      </c>
      <c r="AE263" s="153">
        <f t="shared" si="360"/>
        <v>0.78620240425297039</v>
      </c>
      <c r="AF263">
        <f t="shared" si="361"/>
        <v>0.78620240425297039</v>
      </c>
      <c r="AG263" s="153">
        <f t="shared" si="362"/>
        <v>0</v>
      </c>
      <c r="AH263">
        <f t="shared" si="363"/>
        <v>-3.0226503216950054</v>
      </c>
    </row>
    <row r="264" spans="1:90" x14ac:dyDescent="0.25">
      <c r="A264" s="155" t="s">
        <v>92</v>
      </c>
      <c r="B264" s="155">
        <v>21</v>
      </c>
      <c r="C264" s="315"/>
      <c r="D264" s="315"/>
      <c r="E264" s="316"/>
      <c r="L264" s="155" t="s">
        <v>92</v>
      </c>
      <c r="M264" s="155">
        <v>21</v>
      </c>
      <c r="N264" s="315"/>
      <c r="O264" s="315"/>
      <c r="P264" s="316"/>
      <c r="AA264">
        <v>12</v>
      </c>
      <c r="AB264" s="39">
        <v>0.48958333333333998</v>
      </c>
      <c r="AC264">
        <f t="shared" si="364"/>
        <v>0.375</v>
      </c>
      <c r="AD264">
        <f t="shared" si="359"/>
        <v>0</v>
      </c>
      <c r="AE264" s="153">
        <f t="shared" si="360"/>
        <v>0.39316408310632844</v>
      </c>
      <c r="AF264">
        <f t="shared" si="361"/>
        <v>0.39316408310632844</v>
      </c>
      <c r="AG264" s="153">
        <f t="shared" si="362"/>
        <v>0</v>
      </c>
      <c r="AH264">
        <f t="shared" si="363"/>
        <v>-3.0359397988140482</v>
      </c>
      <c r="AI264">
        <v>12</v>
      </c>
    </row>
    <row r="265" spans="1:90" x14ac:dyDescent="0.25">
      <c r="A265" s="155" t="s">
        <v>91</v>
      </c>
      <c r="B265" s="155">
        <v>3</v>
      </c>
      <c r="C265" s="315"/>
      <c r="D265" s="315"/>
      <c r="E265" s="316"/>
      <c r="L265" s="155" t="s">
        <v>91</v>
      </c>
      <c r="M265" s="155">
        <v>3</v>
      </c>
      <c r="N265" s="315"/>
      <c r="O265" s="315"/>
      <c r="P265" s="316"/>
      <c r="AB265" s="39">
        <v>0.50000000000000699</v>
      </c>
      <c r="AC265">
        <f t="shared" si="364"/>
        <v>0</v>
      </c>
      <c r="AD265">
        <f t="shared" si="359"/>
        <v>0</v>
      </c>
      <c r="AE265" s="153">
        <f t="shared" si="360"/>
        <v>1.8624494371914661E-16</v>
      </c>
      <c r="AF265">
        <f t="shared" si="361"/>
        <v>1.8624494371914661E-16</v>
      </c>
      <c r="AG265" s="153">
        <f t="shared" si="362"/>
        <v>0</v>
      </c>
      <c r="AH265">
        <f t="shared" si="363"/>
        <v>-3.0403653201854306</v>
      </c>
    </row>
    <row r="266" spans="1:90" x14ac:dyDescent="0.25">
      <c r="C266" s="154">
        <f>+IF(B265=$AI$63,B264,IF(B265=$AJ$63,$AI$64+B264,IF(B265=$AK$63,$AI$64+$AJ$64+B264,IF(B265=$AL$63,$AI$64+$AJ$64+$AK$64+B264,IF(B265=$AM$63,$AI$64+$AJ$64+$AK$64+$AL$64+B264,IF(B265=$AN$63,$AI$64+$AJ$64+$AK$64+$AL$64+$AM$64+B264,IF(B265=$AO$63,$AI$64+$AJ$64+$AK$64+$AL$64+$AM$64+$AN$64+B264,IF(B265=$AP$63,$AI$64+$AJ$64+$AK$64+$AL$64+$AM$64+$AN$64+$AO$64+B264,IF(B265=$AQ$63,$AI$64+$AJ$64+$AK$64+$AL$64+$AM$64+$AN$64+$AO$64+$AP$64+B264,IF(B265=$AR$63,$AI$64+$AJ$64+$AK$64+$AL$64+$AM$64+$AN$64+$AO$64+$AP$64+$AQ$64+B264,IF(B265=$AS$63,$AI$64+$AJ$64+$AK$64+$AL$64+$AM$64+$AN$64+$AO$64+$AP$64+$AQ$64+$AR$64+B264,IF(B265=$AT$63,$AI$64+$AJ$64+$AK$64+$AL$64+$AM$64+$AN$64+$AO$64+$AP$64+$AQ$64+$AR$64+$AS$64+B264,"error"))))))))))))</f>
        <v>80</v>
      </c>
      <c r="D266" s="38">
        <f>23.45*SIN(RADIANS(360*((284+C266)/365)))</f>
        <v>-0.40365320185431652</v>
      </c>
      <c r="E266" s="155">
        <v>45</v>
      </c>
      <c r="N266" s="154">
        <f>+IF(M265=$AI$63,M264,IF(M265=$AJ$63,$AI$64+M264,IF(M265=$AK$63,$AI$64+$AJ$64+M264,IF(M265=$AL$63,$AI$64+$AJ$64+$AK$64+M264,IF(M265=$AM$63,$AI$64+$AJ$64+$AK$64+$AL$64+M264,IF(M265=$AN$63,$AI$64+$AJ$64+$AK$64+$AL$64+$AM$64+M264,IF(M265=$AO$63,$AI$64+$AJ$64+$AK$64+$AL$64+$AM$64+$AN$64+M264,IF(M265=$AP$63,$AI$64+$AJ$64+$AK$64+$AL$64+$AM$64+$AN$64+$AO$64+M264,IF(M265=$AQ$63,$AI$64+$AJ$64+$AK$64+$AL$64+$AM$64+$AN$64+$AO$64+$AP$64+M264,IF(M265=$AR$63,$AI$64+$AJ$64+$AK$64+$AL$64+$AM$64+$AN$64+$AO$64+$AP$64+$AQ$64+M264,IF(M265=$AS$63,$AI$64+$AJ$64+$AK$64+$AL$64+$AM$64+$AN$64+$AO$64+$AP$64+$AQ$64+$AR$64+M264,IF(M265=$AT$63,$AI$64+$AJ$64+$AK$64+$AL$64+$AM$64+$AN$64+$AO$64+$AP$64+$AQ$64+$AR$64+$AS$64+M264,"error"))))))))))))</f>
        <v>80</v>
      </c>
      <c r="O266" s="38">
        <f>23.45*SIN(RADIANS(360*((284+N266)/365)))</f>
        <v>-0.40365320185431652</v>
      </c>
      <c r="P266" s="155">
        <v>50</v>
      </c>
      <c r="AA266">
        <v>13</v>
      </c>
      <c r="AB266" s="39">
        <v>0.51041666666667396</v>
      </c>
      <c r="AC266">
        <f t="shared" ref="AC266:AC289" si="423">+AC265+9/24</f>
        <v>0.375</v>
      </c>
      <c r="AD266">
        <f t="shared" ref="AD266:AD289" si="424">+$AH$172+180</f>
        <v>180</v>
      </c>
      <c r="AE266" s="153">
        <f t="shared" si="360"/>
        <v>-0.3931640831063275</v>
      </c>
      <c r="AF266">
        <f t="shared" si="361"/>
        <v>-0.3931640831063275</v>
      </c>
      <c r="AG266" s="153">
        <f t="shared" si="362"/>
        <v>4.594306705907325E-17</v>
      </c>
      <c r="AH266">
        <f t="shared" si="363"/>
        <v>-3.0359397988140482</v>
      </c>
      <c r="AI266">
        <v>13</v>
      </c>
    </row>
    <row r="267" spans="1:90" x14ac:dyDescent="0.25">
      <c r="B267" s="317" t="s">
        <v>90</v>
      </c>
      <c r="C267" s="315"/>
      <c r="D267" s="315"/>
      <c r="E267" s="315"/>
      <c r="G267" s="319" t="s">
        <v>89</v>
      </c>
      <c r="H267" s="319"/>
      <c r="I267" s="319" t="s">
        <v>42</v>
      </c>
      <c r="J267" s="319" t="s">
        <v>43</v>
      </c>
      <c r="M267" s="317" t="s">
        <v>90</v>
      </c>
      <c r="N267" s="315"/>
      <c r="O267" s="315"/>
      <c r="P267" s="315"/>
      <c r="R267" s="319" t="s">
        <v>89</v>
      </c>
      <c r="S267" s="319"/>
      <c r="T267" s="319" t="s">
        <v>42</v>
      </c>
      <c r="U267" s="319" t="s">
        <v>43</v>
      </c>
      <c r="AB267" s="39">
        <v>0.52083333333334103</v>
      </c>
      <c r="AC267">
        <f t="shared" si="423"/>
        <v>0.75</v>
      </c>
      <c r="AD267">
        <f t="shared" si="424"/>
        <v>180</v>
      </c>
      <c r="AE267" s="153">
        <f t="shared" si="360"/>
        <v>-0.78620240425297216</v>
      </c>
      <c r="AF267">
        <f t="shared" si="361"/>
        <v>-0.78620240425297216</v>
      </c>
      <c r="AG267" s="153">
        <f t="shared" si="362"/>
        <v>9.1886134118146501E-17</v>
      </c>
      <c r="AH267">
        <f t="shared" si="363"/>
        <v>-3.0226503216950045</v>
      </c>
    </row>
    <row r="268" spans="1:90" x14ac:dyDescent="0.25">
      <c r="B268" s="318"/>
      <c r="C268" s="315"/>
      <c r="D268" s="315"/>
      <c r="E268" s="315"/>
      <c r="G268" s="319"/>
      <c r="H268" s="319"/>
      <c r="I268" s="319"/>
      <c r="J268" s="319"/>
      <c r="M268" s="318"/>
      <c r="N268" s="315"/>
      <c r="O268" s="315"/>
      <c r="P268" s="315"/>
      <c r="R268" s="319"/>
      <c r="S268" s="319"/>
      <c r="T268" s="319"/>
      <c r="U268" s="319"/>
      <c r="AA268">
        <v>14</v>
      </c>
      <c r="AB268" s="39">
        <v>0.53125000000000799</v>
      </c>
      <c r="AC268">
        <f t="shared" si="423"/>
        <v>1.125</v>
      </c>
      <c r="AD268">
        <f t="shared" si="424"/>
        <v>180</v>
      </c>
      <c r="AE268" s="153">
        <f t="shared" si="360"/>
        <v>-1.1789878076001203</v>
      </c>
      <c r="AF268">
        <f t="shared" si="361"/>
        <v>-1.1789878076001203</v>
      </c>
      <c r="AG268" s="153">
        <f t="shared" si="362"/>
        <v>1.3782920117721975E-16</v>
      </c>
      <c r="AH268">
        <f t="shared" si="363"/>
        <v>-3.000458023647067</v>
      </c>
      <c r="AI268">
        <v>14</v>
      </c>
    </row>
    <row r="269" spans="1:90" x14ac:dyDescent="0.25">
      <c r="B269" s="39">
        <v>0.25</v>
      </c>
      <c r="C269" s="38">
        <v>90</v>
      </c>
      <c r="D269" s="38">
        <f>+DEGREES(ASIN(COS(RADIANS(E266))*COS(RADIANS(D266))*COS(RADIANS(C269))+SIN(RADIANS(E266))*SIN(RADIANS(D266))))</f>
        <v>-0.28542473572046595</v>
      </c>
      <c r="E269" s="38">
        <f>180-DEGREES(ACOS((((SIN(RADIANS(D269)))*SIN(RADIANS(E266)))-SIN(RADIANS(D266)))/((COS(RADIANS(D269)))*COS(RADIANS(E266)))))</f>
        <v>90.285428277386828</v>
      </c>
      <c r="G269">
        <f t="shared" ref="G269:G281" si="425">9-(D269/10)</f>
        <v>9.0285424735720472</v>
      </c>
      <c r="H269">
        <f t="shared" ref="H269:H281" si="426">90-E269+$AH$172</f>
        <v>-0.28542827738682774</v>
      </c>
      <c r="I269" s="153">
        <f t="shared" ref="I269:I281" si="427">IF($E$266&gt;=$AE$174,0,G269*COS(RADIANS(H269)))</f>
        <v>0</v>
      </c>
      <c r="J269" s="153">
        <f t="shared" ref="J269:J281" si="428">IF($E$266&gt;=$AE$174,0,G269*SIN(RADIANS(H269)))</f>
        <v>0</v>
      </c>
      <c r="M269" s="39">
        <v>0.25</v>
      </c>
      <c r="N269" s="38">
        <v>90</v>
      </c>
      <c r="O269" s="38">
        <f>+DEGREES(ASIN(COS(RADIANS(P266))*COS(RADIANS(O266))*COS(RADIANS(N269))+SIN(RADIANS(P266))*SIN(RADIANS(O266))))</f>
        <v>-0.30921523535599088</v>
      </c>
      <c r="P269" s="38">
        <f>180-DEGREES(ACOS((((SIN(RADIANS(O269)))*SIN(RADIANS(P266)))-SIN(RADIANS(O266)))/((COS(RADIANS(O269)))*COS(RADIANS(P266)))))</f>
        <v>90.259465795815785</v>
      </c>
      <c r="R269">
        <f t="shared" ref="R269:R281" si="429">9-(O269/10)</f>
        <v>9.0309215235356</v>
      </c>
      <c r="S269">
        <f t="shared" ref="S269:S281" si="430">90-P269+$AH$172</f>
        <v>-0.25946579581578533</v>
      </c>
      <c r="T269" s="153">
        <f t="shared" ref="T269:T281" si="431">IF($P$266&gt;=$AE$174,0,R269*COS(RADIANS(S269)))</f>
        <v>0</v>
      </c>
      <c r="U269" s="153">
        <f t="shared" ref="U269:U281" si="432">IF($P$266&gt;=$AE$174,0,R269*SIN(RADIANS(S269)))</f>
        <v>0</v>
      </c>
      <c r="AB269" s="39">
        <v>0.54166666666667496</v>
      </c>
      <c r="AC269">
        <f t="shared" si="423"/>
        <v>1.5</v>
      </c>
      <c r="AD269">
        <f t="shared" si="424"/>
        <v>180</v>
      </c>
      <c r="AE269" s="153">
        <f t="shared" si="360"/>
        <v>-1.5713903200522463</v>
      </c>
      <c r="AF269">
        <f t="shared" si="361"/>
        <v>-1.5713903200522463</v>
      </c>
      <c r="AG269" s="153">
        <f t="shared" si="362"/>
        <v>1.83772268236293E-16</v>
      </c>
      <c r="AH269">
        <f t="shared" si="363"/>
        <v>-2.9692977066286792</v>
      </c>
    </row>
    <row r="270" spans="1:90" x14ac:dyDescent="0.25">
      <c r="B270" s="39">
        <v>0.29166666666666669</v>
      </c>
      <c r="C270">
        <v>75</v>
      </c>
      <c r="D270" s="38">
        <f>+DEGREES(ASIN(COS(RADIANS(E266))*COS(RADIANS(D266))*COS(RADIANS(C270))+SIN(RADIANS(E266))*SIN(RADIANS(D266))))</f>
        <v>10.254834686033501</v>
      </c>
      <c r="E270" s="38">
        <f>180-DEGREES(ACOS((((SIN(RADIANS(D270)))*SIN(RADIANS(E266)))-SIN(RADIANS(D266)))/((COS(RADIANS(D270)))*COS(RADIANS(E266)))))</f>
        <v>101.01357113388949</v>
      </c>
      <c r="G270">
        <f t="shared" si="425"/>
        <v>7.9745165313966497</v>
      </c>
      <c r="H270">
        <f t="shared" si="426"/>
        <v>-11.013571133889485</v>
      </c>
      <c r="I270" s="153">
        <f t="shared" si="427"/>
        <v>0</v>
      </c>
      <c r="J270" s="153">
        <f t="shared" si="428"/>
        <v>0</v>
      </c>
      <c r="M270" s="39">
        <v>0.29166666666666669</v>
      </c>
      <c r="N270">
        <v>75</v>
      </c>
      <c r="O270" s="38">
        <f>+DEGREES(ASIN(COS(RADIANS(P266))*COS(RADIANS(O266))*COS(RADIANS(N270))+SIN(RADIANS(P266))*SIN(RADIANS(O266))))</f>
        <v>9.2628981256937379</v>
      </c>
      <c r="P270" s="38">
        <f>180-DEGREES(ACOS((((SIN(RADIANS(O270)))*SIN(RADIANS(P266)))-SIN(RADIANS(O266)))/((COS(RADIANS(O270)))*COS(RADIANS(P266)))))</f>
        <v>101.85699709517048</v>
      </c>
      <c r="R270">
        <f t="shared" si="429"/>
        <v>8.0737101874306259</v>
      </c>
      <c r="S270">
        <f t="shared" si="430"/>
        <v>-11.856997095170485</v>
      </c>
      <c r="T270" s="153">
        <f t="shared" si="431"/>
        <v>0</v>
      </c>
      <c r="U270" s="153">
        <f t="shared" si="432"/>
        <v>0</v>
      </c>
      <c r="AA270">
        <v>15</v>
      </c>
      <c r="AB270" s="39">
        <v>0.55208333333334203</v>
      </c>
      <c r="AC270">
        <f t="shared" si="423"/>
        <v>1.875</v>
      </c>
      <c r="AD270">
        <f t="shared" si="424"/>
        <v>180</v>
      </c>
      <c r="AE270" s="153">
        <f t="shared" si="360"/>
        <v>-1.9632756679104457</v>
      </c>
      <c r="AF270">
        <f t="shared" si="361"/>
        <v>-1.9632756679104457</v>
      </c>
      <c r="AG270" s="153">
        <f t="shared" si="362"/>
        <v>2.2971533529536625E-16</v>
      </c>
      <c r="AH270">
        <f t="shared" si="363"/>
        <v>-2.9290771979326014</v>
      </c>
      <c r="AI270">
        <v>15</v>
      </c>
    </row>
    <row r="271" spans="1:90" x14ac:dyDescent="0.25">
      <c r="B271" s="39">
        <v>0.33333333333333298</v>
      </c>
      <c r="C271" s="38">
        <v>60</v>
      </c>
      <c r="D271" s="38">
        <f>+DEGREES(ASIN(COS(RADIANS(E266))*COS(RADIANS(D266))*COS(RADIANS(C271))+SIN(RADIANS(E266))*SIN(RADIANS(D266))))</f>
        <v>20.399449132331466</v>
      </c>
      <c r="E271" s="38">
        <f>180-DEGREES(ACOS((((SIN(RADIANS(D271)))*SIN(RADIANS(E266)))-SIN(RADIANS(D266)))/((COS(RADIANS(D271)))*COS(RADIANS(E266)))))</f>
        <v>112.48958757892173</v>
      </c>
      <c r="G271">
        <f t="shared" si="425"/>
        <v>6.9600550867668538</v>
      </c>
      <c r="H271">
        <f t="shared" si="426"/>
        <v>-22.489587578921729</v>
      </c>
      <c r="I271" s="153">
        <f t="shared" si="427"/>
        <v>0</v>
      </c>
      <c r="J271" s="153">
        <f t="shared" si="428"/>
        <v>0</v>
      </c>
      <c r="M271" s="39">
        <v>0.33333333333333298</v>
      </c>
      <c r="N271" s="38">
        <v>60</v>
      </c>
      <c r="O271" s="38">
        <f>+DEGREES(ASIN(COS(RADIANS(P266))*COS(RADIANS(O266))*COS(RADIANS(N271))+SIN(RADIANS(P266))*SIN(RADIANS(O266))))</f>
        <v>18.420531027081928</v>
      </c>
      <c r="P271" s="38">
        <f>180-DEGREES(ACOS((((SIN(RADIANS(O271)))*SIN(RADIANS(P266)))-SIN(RADIANS(O266)))/((COS(RADIANS(O271)))*COS(RADIANS(P266)))))</f>
        <v>114.10875935604233</v>
      </c>
      <c r="R271">
        <f t="shared" si="429"/>
        <v>7.157946897291807</v>
      </c>
      <c r="S271">
        <f t="shared" si="430"/>
        <v>-24.108759356042327</v>
      </c>
      <c r="T271" s="153">
        <f t="shared" si="431"/>
        <v>0</v>
      </c>
      <c r="U271" s="153">
        <f t="shared" si="432"/>
        <v>0</v>
      </c>
      <c r="AB271" s="39">
        <v>0.56250000000000899</v>
      </c>
      <c r="AC271">
        <f t="shared" si="423"/>
        <v>2.25</v>
      </c>
      <c r="AD271">
        <f t="shared" si="424"/>
        <v>180</v>
      </c>
      <c r="AE271" s="153">
        <f t="shared" si="360"/>
        <v>-2.3545037010682446</v>
      </c>
      <c r="AF271">
        <f t="shared" si="361"/>
        <v>-2.3545037010682446</v>
      </c>
      <c r="AG271" s="153">
        <f t="shared" si="362"/>
        <v>2.756584023544395E-16</v>
      </c>
      <c r="AH271">
        <f t="shared" si="363"/>
        <v>-2.8796764360807554</v>
      </c>
    </row>
    <row r="272" spans="1:90" x14ac:dyDescent="0.25">
      <c r="B272" s="39">
        <v>0.375</v>
      </c>
      <c r="C272">
        <v>45</v>
      </c>
      <c r="D272" s="38">
        <f>+DEGREES(ASIN(COS(RADIANS(E266))*COS(RADIANS(D266))*COS(RADIANS(C272))+SIN(RADIANS(E266))*SIN(RADIANS(D266))))</f>
        <v>29.670146708409685</v>
      </c>
      <c r="E272" s="38">
        <f>180-DEGREES(ACOS((((SIN(RADIANS(D272)))*SIN(RADIANS(E266)))-SIN(RADIANS(D266)))/((COS(RADIANS(D272)))*COS(RADIANS(E266)))))</f>
        <v>125.53260352908467</v>
      </c>
      <c r="G272">
        <f t="shared" si="425"/>
        <v>6.0329853291590316</v>
      </c>
      <c r="H272">
        <f t="shared" si="426"/>
        <v>-35.532603529084668</v>
      </c>
      <c r="I272" s="153">
        <f t="shared" si="427"/>
        <v>0</v>
      </c>
      <c r="J272" s="153">
        <f t="shared" si="428"/>
        <v>0</v>
      </c>
      <c r="M272" s="39">
        <v>0.375</v>
      </c>
      <c r="N272">
        <v>45</v>
      </c>
      <c r="O272" s="38">
        <f>+DEGREES(ASIN(COS(RADIANS(P266))*COS(RADIANS(O266))*COS(RADIANS(N272))+SIN(RADIANS(P266))*SIN(RADIANS(O266))))</f>
        <v>26.686686601386512</v>
      </c>
      <c r="P272" s="38">
        <f>180-DEGREES(ACOS((((SIN(RADIANS(O272)))*SIN(RADIANS(P266)))-SIN(RADIANS(O266)))/((COS(RADIANS(O272)))*COS(RADIANS(P266)))))</f>
        <v>127.68424894987101</v>
      </c>
      <c r="R272">
        <f t="shared" si="429"/>
        <v>6.3313313398613484</v>
      </c>
      <c r="S272">
        <f t="shared" si="430"/>
        <v>-37.684248949871005</v>
      </c>
      <c r="T272" s="153">
        <f t="shared" si="431"/>
        <v>0</v>
      </c>
      <c r="U272" s="153">
        <f t="shared" si="432"/>
        <v>0</v>
      </c>
      <c r="AA272">
        <v>16</v>
      </c>
      <c r="AB272" s="39">
        <v>0.57291666666667596</v>
      </c>
      <c r="AC272">
        <f t="shared" si="423"/>
        <v>2.625</v>
      </c>
      <c r="AD272">
        <f t="shared" si="424"/>
        <v>180</v>
      </c>
      <c r="AE272" s="153">
        <f t="shared" si="360"/>
        <v>-2.7449266891356405</v>
      </c>
      <c r="AF272">
        <f t="shared" si="361"/>
        <v>-2.7449266891356405</v>
      </c>
      <c r="AG272" s="153">
        <f t="shared" si="362"/>
        <v>3.2160146941351275E-16</v>
      </c>
      <c r="AH272">
        <f t="shared" si="363"/>
        <v>-2.8209462684055402</v>
      </c>
      <c r="AI272">
        <v>16</v>
      </c>
    </row>
    <row r="273" spans="1:35" x14ac:dyDescent="0.25">
      <c r="B273" s="39">
        <v>0.41666666666666702</v>
      </c>
      <c r="C273" s="38">
        <v>30</v>
      </c>
      <c r="D273" s="38">
        <f>+DEGREES(ASIN(COS(RADIANS(E266))*COS(RADIANS(D266))*COS(RADIANS(C273))+SIN(RADIANS(E266))*SIN(RADIANS(D266))))</f>
        <v>37.399986892217491</v>
      </c>
      <c r="E273" s="38">
        <f>180-DEGREES(ACOS((((SIN(RADIANS(D273)))*SIN(RADIANS(E266)))-SIN(RADIANS(D266)))/((COS(RADIANS(D273)))*COS(RADIANS(E266)))))</f>
        <v>140.99571368788412</v>
      </c>
      <c r="G273">
        <f t="shared" si="425"/>
        <v>5.2600013107782511</v>
      </c>
      <c r="H273">
        <f t="shared" si="426"/>
        <v>-50.99571368788412</v>
      </c>
      <c r="I273" s="153">
        <f t="shared" si="427"/>
        <v>0</v>
      </c>
      <c r="J273" s="153">
        <f t="shared" si="428"/>
        <v>0</v>
      </c>
      <c r="M273" s="39">
        <v>0.41666666666666702</v>
      </c>
      <c r="N273" s="38">
        <v>30</v>
      </c>
      <c r="O273" s="38">
        <f>+DEGREES(ASIN(COS(RADIANS(P266))*COS(RADIANS(O266))*COS(RADIANS(N273))+SIN(RADIANS(P266))*SIN(RADIANS(O266))))</f>
        <v>33.45348260796375</v>
      </c>
      <c r="P273" s="38">
        <f>180-DEGREES(ACOS((((SIN(RADIANS(O273)))*SIN(RADIANS(P266)))-SIN(RADIANS(O266)))/((COS(RADIANS(O273)))*COS(RADIANS(P266)))))</f>
        <v>143.18267033344449</v>
      </c>
      <c r="R273">
        <f t="shared" si="429"/>
        <v>5.6546517392036248</v>
      </c>
      <c r="S273">
        <f t="shared" si="430"/>
        <v>-53.182670333444491</v>
      </c>
      <c r="T273" s="153">
        <f t="shared" si="431"/>
        <v>0</v>
      </c>
      <c r="U273" s="153">
        <f t="shared" si="432"/>
        <v>0</v>
      </c>
      <c r="AB273" s="39">
        <v>0.58333333333334303</v>
      </c>
      <c r="AC273">
        <f t="shared" si="423"/>
        <v>3</v>
      </c>
      <c r="AD273">
        <f t="shared" si="424"/>
        <v>180</v>
      </c>
      <c r="AE273" s="153">
        <f t="shared" si="360"/>
        <v>-3.134387449473941</v>
      </c>
      <c r="AF273">
        <f t="shared" si="361"/>
        <v>-3.134387449473941</v>
      </c>
      <c r="AG273" s="153">
        <f t="shared" si="362"/>
        <v>3.67544536472586E-16</v>
      </c>
      <c r="AH273">
        <f t="shared" si="363"/>
        <v>-2.752706939095765</v>
      </c>
    </row>
    <row r="274" spans="1:35" x14ac:dyDescent="0.25">
      <c r="B274" s="39">
        <v>0.45833333333333298</v>
      </c>
      <c r="C274">
        <v>15</v>
      </c>
      <c r="D274" s="38">
        <f>+DEGREES(ASIN(COS(RADIANS(E266))*COS(RADIANS(D266))*COS(RADIANS(C274))+SIN(RADIANS(E266))*SIN(RADIANS(D266))))</f>
        <v>42.688657591036346</v>
      </c>
      <c r="E274" s="38">
        <f>180-DEGREES(ACOS((((SIN(RADIANS(D274)))*SIN(RADIANS(E266)))-SIN(RADIANS(D266)))/((COS(RADIANS(D274)))*COS(RADIANS(E266)))))</f>
        <v>159.38402496323141</v>
      </c>
      <c r="G274">
        <f t="shared" si="425"/>
        <v>4.731134240896365</v>
      </c>
      <c r="H274">
        <f t="shared" si="426"/>
        <v>-69.384024963231411</v>
      </c>
      <c r="I274" s="153">
        <f t="shared" si="427"/>
        <v>0</v>
      </c>
      <c r="J274" s="153">
        <f t="shared" si="428"/>
        <v>0</v>
      </c>
      <c r="M274" s="39">
        <v>0.45833333333333298</v>
      </c>
      <c r="N274">
        <v>15</v>
      </c>
      <c r="O274" s="38">
        <f>+DEGREES(ASIN(COS(RADIANS(P266))*COS(RADIANS(O266))*COS(RADIANS(N274))+SIN(RADIANS(P266))*SIN(RADIANS(O266))))</f>
        <v>37.986293508121015</v>
      </c>
      <c r="P274" s="38">
        <f>180-DEGREES(ACOS((((SIN(RADIANS(O274)))*SIN(RADIANS(P266)))-SIN(RADIANS(O266)))/((COS(RADIANS(O274)))*COS(RADIANS(P266)))))</f>
        <v>160.82973069452325</v>
      </c>
      <c r="R274">
        <f t="shared" si="429"/>
        <v>5.2013706491878988</v>
      </c>
      <c r="S274">
        <f t="shared" si="430"/>
        <v>-70.829730694523249</v>
      </c>
      <c r="T274" s="153">
        <f t="shared" si="431"/>
        <v>0</v>
      </c>
      <c r="U274" s="153">
        <f t="shared" si="432"/>
        <v>0</v>
      </c>
      <c r="AA274">
        <v>17</v>
      </c>
      <c r="AB274" s="39">
        <v>0.59375000000000999</v>
      </c>
      <c r="AC274">
        <f t="shared" si="423"/>
        <v>3.375</v>
      </c>
      <c r="AD274">
        <f t="shared" si="424"/>
        <v>180</v>
      </c>
      <c r="AE274" s="153">
        <f t="shared" si="360"/>
        <v>-3.5227172612348849</v>
      </c>
      <c r="AF274">
        <f t="shared" si="361"/>
        <v>-3.5227172612348849</v>
      </c>
      <c r="AG274" s="153">
        <f t="shared" si="362"/>
        <v>4.1348760353165925E-16</v>
      </c>
      <c r="AH274">
        <f t="shared" si="363"/>
        <v>-2.6747462407866047</v>
      </c>
      <c r="AI274">
        <v>17</v>
      </c>
    </row>
    <row r="275" spans="1:35" x14ac:dyDescent="0.25">
      <c r="B275" s="39">
        <v>0.5</v>
      </c>
      <c r="C275" s="38">
        <v>0</v>
      </c>
      <c r="D275" s="38">
        <f>+DEGREES(ASIN(COS(RADIANS(E266))*COS(RADIANS(D266))*COS(RADIANS(C275))+SIN(RADIANS(E266))*SIN(RADIANS(D266))))</f>
        <v>44.596346798145689</v>
      </c>
      <c r="E275" s="38">
        <f>+IF(E266&gt;=0,180,0)</f>
        <v>180</v>
      </c>
      <c r="G275">
        <f t="shared" si="425"/>
        <v>4.5403653201854315</v>
      </c>
      <c r="H275">
        <f t="shared" si="426"/>
        <v>-90</v>
      </c>
      <c r="I275" s="153">
        <f t="shared" si="427"/>
        <v>0</v>
      </c>
      <c r="J275" s="153">
        <f t="shared" si="428"/>
        <v>0</v>
      </c>
      <c r="M275" s="39">
        <v>0.5</v>
      </c>
      <c r="N275" s="38">
        <v>0</v>
      </c>
      <c r="O275" s="38">
        <f>+DEGREES(ASIN(COS(RADIANS(P266))*COS(RADIANS(O266))*COS(RADIANS(N275))+SIN(RADIANS(P266))*SIN(RADIANS(O266))))</f>
        <v>39.596346798145682</v>
      </c>
      <c r="P275" s="38">
        <f>+IF(P266&gt;=0,180,0)</f>
        <v>180</v>
      </c>
      <c r="R275">
        <f t="shared" si="429"/>
        <v>5.0403653201854315</v>
      </c>
      <c r="S275">
        <f t="shared" si="430"/>
        <v>-90</v>
      </c>
      <c r="T275" s="153">
        <f t="shared" si="431"/>
        <v>0</v>
      </c>
      <c r="U275" s="153">
        <f t="shared" si="432"/>
        <v>0</v>
      </c>
      <c r="AB275" s="39">
        <v>0.60416666666667795</v>
      </c>
      <c r="AC275">
        <f t="shared" si="423"/>
        <v>3.75</v>
      </c>
      <c r="AD275">
        <f t="shared" si="424"/>
        <v>180</v>
      </c>
      <c r="AE275" s="153">
        <f t="shared" si="360"/>
        <v>-3.9097335118301353</v>
      </c>
      <c r="AF275">
        <f t="shared" si="361"/>
        <v>-3.9097335118301353</v>
      </c>
      <c r="AG275" s="153">
        <f t="shared" si="362"/>
        <v>4.594306705907325E-16</v>
      </c>
      <c r="AH275">
        <f t="shared" si="363"/>
        <v>-2.5868172964578857</v>
      </c>
    </row>
    <row r="276" spans="1:35" x14ac:dyDescent="0.25">
      <c r="B276" s="39">
        <v>0.54166666666666696</v>
      </c>
      <c r="C276">
        <v>-15</v>
      </c>
      <c r="D276" s="38">
        <f>+DEGREES(ASIN(COS(RADIANS(E266))*COS(RADIANS(D266))*COS(RADIANS(C276))+SIN(RADIANS(E266))*SIN(RADIANS(D266))))</f>
        <v>42.688657591036346</v>
      </c>
      <c r="E276" s="38">
        <f>-(180-DEGREES(ACOS((((SIN(RADIANS(D276)))*SIN(RADIANS(E266)))-SIN(RADIANS(D266)))/((COS(RADIANS(D276)))*COS(RADIANS(E266))))))</f>
        <v>-159.38402496323141</v>
      </c>
      <c r="G276">
        <f t="shared" si="425"/>
        <v>4.731134240896365</v>
      </c>
      <c r="H276">
        <f t="shared" si="426"/>
        <v>249.38402496323141</v>
      </c>
      <c r="I276" s="153">
        <f t="shared" si="427"/>
        <v>0</v>
      </c>
      <c r="J276" s="153">
        <f t="shared" si="428"/>
        <v>0</v>
      </c>
      <c r="M276" s="39">
        <v>0.54166666666666696</v>
      </c>
      <c r="N276">
        <v>-15</v>
      </c>
      <c r="O276" s="38">
        <f>+DEGREES(ASIN(COS(RADIANS(P266))*COS(RADIANS(O266))*COS(RADIANS(N276))+SIN(RADIANS(P266))*SIN(RADIANS(O266))))</f>
        <v>37.986293508121015</v>
      </c>
      <c r="P276" s="38">
        <f>-(180-DEGREES(ACOS((((SIN(RADIANS(O276)))*SIN(RADIANS(P266)))-SIN(RADIANS(O266)))/((COS(RADIANS(O276)))*COS(RADIANS(P266))))))</f>
        <v>-160.82973069452325</v>
      </c>
      <c r="R276">
        <f t="shared" si="429"/>
        <v>5.2013706491878988</v>
      </c>
      <c r="S276">
        <f t="shared" si="430"/>
        <v>250.82973069452325</v>
      </c>
      <c r="T276" s="153">
        <f t="shared" si="431"/>
        <v>0</v>
      </c>
      <c r="U276" s="153">
        <f t="shared" si="432"/>
        <v>0</v>
      </c>
      <c r="AA276">
        <v>18</v>
      </c>
      <c r="AB276" s="39">
        <v>0.61458333333334503</v>
      </c>
      <c r="AC276">
        <f t="shared" si="423"/>
        <v>4.125</v>
      </c>
      <c r="AD276">
        <f t="shared" si="424"/>
        <v>180</v>
      </c>
      <c r="AE276" s="153">
        <f t="shared" si="360"/>
        <v>-4.2952370124222448</v>
      </c>
      <c r="AF276">
        <f t="shared" si="361"/>
        <v>-4.2952370124222448</v>
      </c>
      <c r="AG276" s="153">
        <f t="shared" si="362"/>
        <v>5.0537373764980575E-16</v>
      </c>
      <c r="AH276">
        <f t="shared" si="363"/>
        <v>-2.4886359313408777</v>
      </c>
      <c r="AI276">
        <v>18</v>
      </c>
    </row>
    <row r="277" spans="1:35" x14ac:dyDescent="0.25">
      <c r="B277" s="39">
        <v>0.58333333333333304</v>
      </c>
      <c r="C277" s="38">
        <v>-30</v>
      </c>
      <c r="D277" s="38">
        <f>+DEGREES(ASIN(COS(RADIANS(E266))*COS(RADIANS(D266))*COS(RADIANS(C277))+SIN(RADIANS(E266))*SIN(RADIANS(D266))))</f>
        <v>37.399986892217491</v>
      </c>
      <c r="E277" s="38">
        <f>-(180-DEGREES(ACOS((((SIN(RADIANS(D277)))*SIN(RADIANS(E266)))-SIN(RADIANS(D266)))/((COS(RADIANS(D277)))*COS(RADIANS(E266))))))</f>
        <v>-140.99571368788412</v>
      </c>
      <c r="G277">
        <f t="shared" si="425"/>
        <v>5.2600013107782511</v>
      </c>
      <c r="H277">
        <f t="shared" si="426"/>
        <v>230.99571368788412</v>
      </c>
      <c r="I277" s="153">
        <f t="shared" si="427"/>
        <v>0</v>
      </c>
      <c r="J277" s="153">
        <f t="shared" si="428"/>
        <v>0</v>
      </c>
      <c r="M277" s="39">
        <v>0.58333333333333304</v>
      </c>
      <c r="N277" s="38">
        <v>-30</v>
      </c>
      <c r="O277" s="38">
        <f>+DEGREES(ASIN(COS(RADIANS(P266))*COS(RADIANS(O266))*COS(RADIANS(N277))+SIN(RADIANS(P266))*SIN(RADIANS(O266))))</f>
        <v>33.45348260796375</v>
      </c>
      <c r="P277" s="38">
        <f>-(180-DEGREES(ACOS((((SIN(RADIANS(O277)))*SIN(RADIANS(P266)))-SIN(RADIANS(O266)))/((COS(RADIANS(O277)))*COS(RADIANS(P266))))))</f>
        <v>-143.18267033344449</v>
      </c>
      <c r="R277">
        <f t="shared" si="429"/>
        <v>5.6546517392036248</v>
      </c>
      <c r="S277">
        <f t="shared" si="430"/>
        <v>233.18267033344449</v>
      </c>
      <c r="T277" s="153">
        <f t="shared" si="431"/>
        <v>0</v>
      </c>
      <c r="U277" s="153">
        <f t="shared" si="432"/>
        <v>0</v>
      </c>
      <c r="AB277" s="39">
        <v>0.62500000000001199</v>
      </c>
      <c r="AC277">
        <f t="shared" si="423"/>
        <v>4.5</v>
      </c>
      <c r="AD277">
        <f t="shared" si="424"/>
        <v>180</v>
      </c>
      <c r="AE277" s="153">
        <f t="shared" si="360"/>
        <v>-4.6790089065141434</v>
      </c>
      <c r="AF277">
        <f t="shared" si="361"/>
        <v>-4.6790089065141434</v>
      </c>
      <c r="AG277" s="153">
        <f t="shared" si="362"/>
        <v>5.51316804708879E-16</v>
      </c>
      <c r="AH277">
        <f t="shared" si="363"/>
        <v>-2.3798775865817947</v>
      </c>
    </row>
    <row r="278" spans="1:35" x14ac:dyDescent="0.25">
      <c r="B278" s="39">
        <v>0.625</v>
      </c>
      <c r="C278">
        <v>-45</v>
      </c>
      <c r="D278" s="38">
        <f>+DEGREES(ASIN(COS(RADIANS(E266))*COS(RADIANS(D266))*COS(RADIANS(C278))+SIN(RADIANS(E266))*SIN(RADIANS(D266))))</f>
        <v>29.670146708409685</v>
      </c>
      <c r="E278" s="38">
        <f>-(180-DEGREES(ACOS((((SIN(RADIANS(D278)))*SIN(RADIANS(E266)))-SIN(RADIANS(D266)))/((COS(RADIANS(D278)))*COS(RADIANS(E266))))))</f>
        <v>-125.53260352908467</v>
      </c>
      <c r="G278">
        <f t="shared" si="425"/>
        <v>6.0329853291590316</v>
      </c>
      <c r="H278">
        <f t="shared" si="426"/>
        <v>215.53260352908467</v>
      </c>
      <c r="I278" s="153">
        <f t="shared" si="427"/>
        <v>0</v>
      </c>
      <c r="J278" s="153">
        <f t="shared" si="428"/>
        <v>0</v>
      </c>
      <c r="M278" s="39">
        <v>0.625</v>
      </c>
      <c r="N278">
        <v>-45</v>
      </c>
      <c r="O278" s="38">
        <f>+DEGREES(ASIN(COS(RADIANS(P266))*COS(RADIANS(O266))*COS(RADIANS(N278))+SIN(RADIANS(P266))*SIN(RADIANS(O266))))</f>
        <v>26.686686601386512</v>
      </c>
      <c r="P278" s="38">
        <f>-(180-DEGREES(ACOS((((SIN(RADIANS(O278)))*SIN(RADIANS(P266)))-SIN(RADIANS(O266)))/((COS(RADIANS(O278)))*COS(RADIANS(P266))))))</f>
        <v>-127.68424894987101</v>
      </c>
      <c r="R278">
        <f t="shared" si="429"/>
        <v>6.3313313398613484</v>
      </c>
      <c r="S278">
        <f t="shared" si="430"/>
        <v>217.68424894987101</v>
      </c>
      <c r="T278" s="153">
        <f t="shared" si="431"/>
        <v>0</v>
      </c>
      <c r="U278" s="153">
        <f t="shared" si="432"/>
        <v>0</v>
      </c>
      <c r="AA278">
        <v>19</v>
      </c>
      <c r="AB278" s="39">
        <v>0.63541666666667895</v>
      </c>
      <c r="AC278">
        <f t="shared" si="423"/>
        <v>4.875</v>
      </c>
      <c r="AD278">
        <f t="shared" si="424"/>
        <v>180</v>
      </c>
      <c r="AE278" s="153">
        <f t="shared" si="360"/>
        <v>-5.0608070798523244</v>
      </c>
      <c r="AF278">
        <f t="shared" si="361"/>
        <v>-5.0608070798523244</v>
      </c>
      <c r="AG278" s="153">
        <f t="shared" si="362"/>
        <v>5.9725987176795226E-16</v>
      </c>
      <c r="AH278">
        <f t="shared" si="363"/>
        <v>-2.2601737174317549</v>
      </c>
      <c r="AI278">
        <v>19</v>
      </c>
    </row>
    <row r="279" spans="1:35" x14ac:dyDescent="0.25">
      <c r="B279" s="39">
        <v>0.66666666666666696</v>
      </c>
      <c r="C279" s="38">
        <v>-60</v>
      </c>
      <c r="D279" s="38">
        <f>+DEGREES(ASIN(COS(RADIANS(E266))*COS(RADIANS(D266))*COS(RADIANS(C279))+SIN(RADIANS(E266))*SIN(RADIANS(D266))))</f>
        <v>20.399449132331466</v>
      </c>
      <c r="E279" s="38">
        <f>-(180-DEGREES(ACOS((((SIN(RADIANS(D279)))*SIN(RADIANS(E266)))-SIN(RADIANS(D266)))/((COS(RADIANS(D279)))*COS(RADIANS(E266))))))</f>
        <v>-112.48958757892173</v>
      </c>
      <c r="G279">
        <f t="shared" si="425"/>
        <v>6.9600550867668538</v>
      </c>
      <c r="H279">
        <f t="shared" si="426"/>
        <v>202.48958757892171</v>
      </c>
      <c r="I279" s="153">
        <f t="shared" si="427"/>
        <v>0</v>
      </c>
      <c r="J279" s="153">
        <f t="shared" si="428"/>
        <v>0</v>
      </c>
      <c r="M279" s="39">
        <v>0.66666666666666696</v>
      </c>
      <c r="N279" s="38">
        <v>-60</v>
      </c>
      <c r="O279" s="38">
        <f>+DEGREES(ASIN(COS(RADIANS(P266))*COS(RADIANS(O266))*COS(RADIANS(N279))+SIN(RADIANS(P266))*SIN(RADIANS(O266))))</f>
        <v>18.420531027081928</v>
      </c>
      <c r="P279" s="38">
        <f>-(180-DEGREES(ACOS((((SIN(RADIANS(O279)))*SIN(RADIANS(P266)))-SIN(RADIANS(O266)))/((COS(RADIANS(O279)))*COS(RADIANS(P266))))))</f>
        <v>-114.10875935604233</v>
      </c>
      <c r="R279">
        <f t="shared" si="429"/>
        <v>7.157946897291807</v>
      </c>
      <c r="S279">
        <f t="shared" si="430"/>
        <v>204.10875935604233</v>
      </c>
      <c r="T279" s="153">
        <f t="shared" si="431"/>
        <v>0</v>
      </c>
      <c r="U279" s="153">
        <f t="shared" si="432"/>
        <v>0</v>
      </c>
      <c r="AB279" s="39">
        <v>0.64583333333334603</v>
      </c>
      <c r="AC279">
        <f t="shared" si="423"/>
        <v>5.25</v>
      </c>
      <c r="AD279">
        <f t="shared" si="424"/>
        <v>180</v>
      </c>
      <c r="AE279" s="153">
        <f t="shared" si="360"/>
        <v>-5.4403619597776451</v>
      </c>
      <c r="AF279">
        <f t="shared" si="361"/>
        <v>-5.4403619597776451</v>
      </c>
      <c r="AG279" s="153">
        <f t="shared" si="362"/>
        <v>6.4320293882702551E-16</v>
      </c>
      <c r="AH279">
        <f t="shared" si="363"/>
        <v>-2.1291076085972582</v>
      </c>
    </row>
    <row r="280" spans="1:35" x14ac:dyDescent="0.25">
      <c r="B280" s="39">
        <v>0.70833333333333404</v>
      </c>
      <c r="C280">
        <v>-75</v>
      </c>
      <c r="D280" s="38">
        <f>+DEGREES(ASIN(COS(RADIANS(E266))*COS(RADIANS(D266))*COS(RADIANS(C280))+SIN(RADIANS(E266))*SIN(RADIANS(D266))))</f>
        <v>10.254834686033501</v>
      </c>
      <c r="E280" s="38">
        <f>-(180-DEGREES(ACOS((((SIN(RADIANS(D280)))*SIN(RADIANS(E266)))-SIN(RADIANS(D266)))/((COS(RADIANS(D280)))*COS(RADIANS(E266))))))</f>
        <v>-101.01357113388949</v>
      </c>
      <c r="G280">
        <f t="shared" si="425"/>
        <v>7.9745165313966497</v>
      </c>
      <c r="H280">
        <f t="shared" si="426"/>
        <v>191.01357113388949</v>
      </c>
      <c r="I280" s="153">
        <f t="shared" si="427"/>
        <v>0</v>
      </c>
      <c r="J280" s="153">
        <f t="shared" si="428"/>
        <v>0</v>
      </c>
      <c r="M280" s="39">
        <v>0.70833333333333404</v>
      </c>
      <c r="N280">
        <v>-75</v>
      </c>
      <c r="O280" s="38">
        <f>+DEGREES(ASIN(COS(RADIANS(P266))*COS(RADIANS(O266))*COS(RADIANS(N280))+SIN(RADIANS(P266))*SIN(RADIANS(O266))))</f>
        <v>9.2628981256937379</v>
      </c>
      <c r="P280" s="38">
        <f>-(180-DEGREES(ACOS((((SIN(RADIANS(O280)))*SIN(RADIANS(P266)))-SIN(RADIANS(O266)))/((COS(RADIANS(O280)))*COS(RADIANS(P266))))))</f>
        <v>-101.85699709517048</v>
      </c>
      <c r="R280">
        <f t="shared" si="429"/>
        <v>8.0737101874306259</v>
      </c>
      <c r="S280">
        <f t="shared" si="430"/>
        <v>191.85699709517047</v>
      </c>
      <c r="T280" s="153">
        <f t="shared" si="431"/>
        <v>0</v>
      </c>
      <c r="U280" s="153">
        <f t="shared" si="432"/>
        <v>0</v>
      </c>
      <c r="AA280">
        <v>20</v>
      </c>
      <c r="AB280" s="39">
        <v>0.65625000000001299</v>
      </c>
      <c r="AC280">
        <f t="shared" si="423"/>
        <v>5.625</v>
      </c>
      <c r="AD280">
        <f t="shared" si="424"/>
        <v>180</v>
      </c>
      <c r="AE280" s="153">
        <f t="shared" si="360"/>
        <v>-5.8173715667204986</v>
      </c>
      <c r="AF280">
        <f t="shared" si="361"/>
        <v>-5.8173715667204986</v>
      </c>
      <c r="AG280" s="153">
        <f t="shared" si="362"/>
        <v>6.8914600588609876E-16</v>
      </c>
      <c r="AH280">
        <f t="shared" si="363"/>
        <v>-1.9862095279884302</v>
      </c>
      <c r="AI280">
        <v>20</v>
      </c>
    </row>
    <row r="281" spans="1:35" x14ac:dyDescent="0.25">
      <c r="B281" s="39">
        <v>0.75</v>
      </c>
      <c r="C281" s="38">
        <v>-90</v>
      </c>
      <c r="D281" s="38">
        <f>+DEGREES(ASIN(COS(RADIANS(E266))*COS(RADIANS(D266))*COS(RADIANS(C281))+SIN(RADIANS(E266))*SIN(RADIANS(D266))))</f>
        <v>-0.28542473572046595</v>
      </c>
      <c r="E281" s="38">
        <f>-(180-DEGREES(ACOS((((SIN(RADIANS(D281)))*SIN(RADIANS(E266)))-SIN(RADIANS(D266)))/((COS(RADIANS(D281)))*COS(RADIANS(E266))))))</f>
        <v>-90.285428277386828</v>
      </c>
      <c r="G281">
        <f t="shared" si="425"/>
        <v>9.0285424735720472</v>
      </c>
      <c r="H281">
        <f t="shared" si="426"/>
        <v>180.28542827738681</v>
      </c>
      <c r="I281" s="153">
        <f t="shared" si="427"/>
        <v>0</v>
      </c>
      <c r="J281" s="153">
        <f t="shared" si="428"/>
        <v>0</v>
      </c>
      <c r="M281" s="39">
        <v>0.75</v>
      </c>
      <c r="N281" s="38">
        <v>-90</v>
      </c>
      <c r="O281" s="38">
        <f>+DEGREES(ASIN(COS(RADIANS(P266))*COS(RADIANS(O266))*COS(RADIANS(N281))+SIN(RADIANS(P266))*SIN(RADIANS(O266))))</f>
        <v>-0.30921523535599088</v>
      </c>
      <c r="P281" s="38">
        <f>-(180-DEGREES(ACOS((((SIN(RADIANS(O281)))*SIN(RADIANS(P266)))-SIN(RADIANS(O266)))/((COS(RADIANS(O281)))*COS(RADIANS(P266))))))</f>
        <v>-90.259465795815785</v>
      </c>
      <c r="R281">
        <f t="shared" si="429"/>
        <v>9.0309215235356</v>
      </c>
      <c r="S281">
        <f t="shared" si="430"/>
        <v>180.2594657958158</v>
      </c>
      <c r="T281" s="153">
        <f t="shared" si="431"/>
        <v>0</v>
      </c>
      <c r="U281" s="153">
        <f t="shared" si="432"/>
        <v>0</v>
      </c>
      <c r="AB281" s="39">
        <v>0.66666666666667995</v>
      </c>
      <c r="AC281">
        <f t="shared" si="423"/>
        <v>6</v>
      </c>
      <c r="AD281">
        <f t="shared" si="424"/>
        <v>180</v>
      </c>
      <c r="AE281" s="153">
        <f t="shared" si="360"/>
        <v>-6.1914956482620456</v>
      </c>
      <c r="AF281">
        <f t="shared" si="361"/>
        <v>-6.1914956482620456</v>
      </c>
      <c r="AG281" s="153">
        <f t="shared" si="362"/>
        <v>7.3508907294517201E-16</v>
      </c>
      <c r="AH281">
        <f t="shared" si="363"/>
        <v>-1.8309511273947605</v>
      </c>
    </row>
    <row r="282" spans="1:35" x14ac:dyDescent="0.25">
      <c r="AA282">
        <v>21</v>
      </c>
      <c r="AB282" s="39">
        <v>0.67708333333334703</v>
      </c>
      <c r="AC282">
        <f t="shared" si="423"/>
        <v>6.375</v>
      </c>
      <c r="AD282">
        <f t="shared" si="424"/>
        <v>180</v>
      </c>
      <c r="AE282" s="153">
        <f t="shared" si="360"/>
        <v>-6.5623486851340873</v>
      </c>
      <c r="AF282">
        <f t="shared" si="361"/>
        <v>-6.5623486851340873</v>
      </c>
      <c r="AG282" s="153">
        <f t="shared" si="362"/>
        <v>7.8103214000424526E-16</v>
      </c>
      <c r="AH282">
        <f t="shared" si="363"/>
        <v>-1.662738984654315</v>
      </c>
      <c r="AI282">
        <v>21</v>
      </c>
    </row>
    <row r="283" spans="1:35" x14ac:dyDescent="0.25">
      <c r="AB283" s="39">
        <v>0.68750000000001399</v>
      </c>
      <c r="AC283">
        <f t="shared" si="423"/>
        <v>6.75</v>
      </c>
      <c r="AD283">
        <f t="shared" si="424"/>
        <v>180</v>
      </c>
      <c r="AE283" s="153">
        <f t="shared" si="360"/>
        <v>-6.9294915061735685</v>
      </c>
      <c r="AF283">
        <f t="shared" si="361"/>
        <v>-6.9294915061735685</v>
      </c>
      <c r="AG283" s="153">
        <f t="shared" si="362"/>
        <v>8.2697520706331851E-16</v>
      </c>
      <c r="AH283">
        <f t="shared" si="363"/>
        <v>-1.4809071668985139</v>
      </c>
    </row>
    <row r="284" spans="1:35" x14ac:dyDescent="0.25">
      <c r="A284" s="155" t="s">
        <v>92</v>
      </c>
      <c r="B284" s="155">
        <v>21</v>
      </c>
      <c r="C284" s="315"/>
      <c r="D284" s="315"/>
      <c r="E284" s="316"/>
      <c r="L284" s="155" t="s">
        <v>92</v>
      </c>
      <c r="M284" s="155">
        <v>21</v>
      </c>
      <c r="N284" s="315"/>
      <c r="O284" s="315"/>
      <c r="P284" s="316"/>
      <c r="AA284">
        <v>22</v>
      </c>
      <c r="AB284" s="39">
        <v>0.69791666666668095</v>
      </c>
      <c r="AC284">
        <f t="shared" si="423"/>
        <v>7.125</v>
      </c>
      <c r="AD284">
        <f t="shared" si="424"/>
        <v>180</v>
      </c>
      <c r="AE284" s="153">
        <f t="shared" si="360"/>
        <v>-7.2924211822651248</v>
      </c>
      <c r="AF284">
        <f t="shared" si="361"/>
        <v>-7.2924211822651248</v>
      </c>
      <c r="AG284" s="153">
        <f t="shared" si="362"/>
        <v>8.7291827412239176E-16</v>
      </c>
      <c r="AH284">
        <f t="shared" si="363"/>
        <v>-1.2847086789948226</v>
      </c>
      <c r="AI284">
        <v>22</v>
      </c>
    </row>
    <row r="285" spans="1:35" x14ac:dyDescent="0.25">
      <c r="A285" s="155" t="s">
        <v>91</v>
      </c>
      <c r="B285" s="155">
        <v>3</v>
      </c>
      <c r="C285" s="315"/>
      <c r="D285" s="315"/>
      <c r="E285" s="316"/>
      <c r="L285" s="155" t="s">
        <v>91</v>
      </c>
      <c r="M285" s="155">
        <v>3</v>
      </c>
      <c r="N285" s="315"/>
      <c r="O285" s="315"/>
      <c r="P285" s="316"/>
      <c r="AB285" s="39">
        <v>0.70833333333334803</v>
      </c>
      <c r="AC285">
        <f t="shared" si="423"/>
        <v>7.5</v>
      </c>
      <c r="AD285">
        <f t="shared" si="424"/>
        <v>180</v>
      </c>
      <c r="AE285" s="153">
        <f t="shared" si="360"/>
        <v>-7.6505587833444721</v>
      </c>
      <c r="AF285">
        <f t="shared" si="361"/>
        <v>-7.6505587833444721</v>
      </c>
      <c r="AG285" s="153">
        <f t="shared" si="362"/>
        <v>9.1886134118146501E-16</v>
      </c>
      <c r="AH285">
        <f t="shared" si="363"/>
        <v>-1.0733056464279325</v>
      </c>
    </row>
    <row r="286" spans="1:35" x14ac:dyDescent="0.25">
      <c r="C286" s="154">
        <f>+IF(B285=$AI$63,B284,IF(B285=$AJ$63,$AI$64+B284,IF(B285=$AK$63,$AI$64+$AJ$64+B284,IF(B285=$AL$63,$AI$64+$AJ$64+$AK$64+B284,IF(B285=$AM$63,$AI$64+$AJ$64+$AK$64+$AL$64+B284,IF(B285=$AN$63,$AI$64+$AJ$64+$AK$64+$AL$64+$AM$64+B284,IF(B285=$AO$63,$AI$64+$AJ$64+$AK$64+$AL$64+$AM$64+$AN$64+B284,IF(B285=$AP$63,$AI$64+$AJ$64+$AK$64+$AL$64+$AM$64+$AN$64+$AO$64+B284,IF(B285=$AQ$63,$AI$64+$AJ$64+$AK$64+$AL$64+$AM$64+$AN$64+$AO$64+$AP$64+B284,IF(B285=$AR$63,$AI$64+$AJ$64+$AK$64+$AL$64+$AM$64+$AN$64+$AO$64+$AP$64+$AQ$64+B284,IF(B285=$AS$63,$AI$64+$AJ$64+$AK$64+$AL$64+$AM$64+$AN$64+$AO$64+$AP$64+$AQ$64+$AR$64+B284,IF(B285=$AT$63,$AI$64+$AJ$64+$AK$64+$AL$64+$AM$64+$AN$64+$AO$64+$AP$64+$AQ$64+$AR$64+$AS$64+B284,"error"))))))))))))</f>
        <v>80</v>
      </c>
      <c r="D286" s="38">
        <f>23.45*SIN(RADIANS(360*((284+C286)/365)))</f>
        <v>-0.40365320185431652</v>
      </c>
      <c r="E286" s="155">
        <v>55</v>
      </c>
      <c r="N286" s="154">
        <f>+IF(M285=$AI$63,M284,IF(M285=$AJ$63,$AI$64+M284,IF(M285=$AK$63,$AI$64+$AJ$64+M284,IF(M285=$AL$63,$AI$64+$AJ$64+$AK$64+M284,IF(M285=$AM$63,$AI$64+$AJ$64+$AK$64+$AL$64+M284,IF(M285=$AN$63,$AI$64+$AJ$64+$AK$64+$AL$64+$AM$64+M284,IF(M285=$AO$63,$AI$64+$AJ$64+$AK$64+$AL$64+$AM$64+$AN$64+M284,IF(M285=$AP$63,$AI$64+$AJ$64+$AK$64+$AL$64+$AM$64+$AN$64+$AO$64+M284,IF(M285=$AQ$63,$AI$64+$AJ$64+$AK$64+$AL$64+$AM$64+$AN$64+$AO$64+$AP$64+M284,IF(M285=$AR$63,$AI$64+$AJ$64+$AK$64+$AL$64+$AM$64+$AN$64+$AO$64+$AP$64+$AQ$64+M284,IF(M285=$AS$63,$AI$64+$AJ$64+$AK$64+$AL$64+$AM$64+$AN$64+$AO$64+$AP$64+$AQ$64+$AR$64+M284,IF(M285=$AT$63,$AI$64+$AJ$64+$AK$64+$AL$64+$AM$64+$AN$64+$AO$64+$AP$64+$AQ$64+$AR$64+$AS$64+M284,"error"))))))))))))</f>
        <v>80</v>
      </c>
      <c r="O286" s="38">
        <f>23.45*SIN(RADIANS(360*((284+N286)/365)))</f>
        <v>-0.40365320185431652</v>
      </c>
      <c r="P286" s="155">
        <v>60</v>
      </c>
      <c r="AA286">
        <v>23</v>
      </c>
      <c r="AB286" s="39">
        <v>0.71875000000001499</v>
      </c>
      <c r="AC286">
        <f t="shared" si="423"/>
        <v>7.875</v>
      </c>
      <c r="AD286">
        <f t="shared" si="424"/>
        <v>180</v>
      </c>
      <c r="AE286" s="153">
        <f t="shared" si="360"/>
        <v>-8.0032344718920641</v>
      </c>
      <c r="AF286">
        <f t="shared" si="361"/>
        <v>-8.0032344718920641</v>
      </c>
      <c r="AG286" s="153">
        <f t="shared" si="362"/>
        <v>9.6480440824053826E-16</v>
      </c>
      <c r="AH286">
        <f t="shared" si="363"/>
        <v>-0.84575806943707577</v>
      </c>
      <c r="AI286">
        <v>23</v>
      </c>
    </row>
    <row r="287" spans="1:35" x14ac:dyDescent="0.25">
      <c r="B287" s="317" t="s">
        <v>90</v>
      </c>
      <c r="C287" s="315"/>
      <c r="D287" s="315"/>
      <c r="E287" s="315"/>
      <c r="G287" s="319" t="s">
        <v>89</v>
      </c>
      <c r="H287" s="319"/>
      <c r="I287" s="319" t="s">
        <v>42</v>
      </c>
      <c r="J287" s="319" t="s">
        <v>43</v>
      </c>
      <c r="M287" s="317" t="s">
        <v>90</v>
      </c>
      <c r="N287" s="315"/>
      <c r="O287" s="315"/>
      <c r="P287" s="315"/>
      <c r="R287" s="319" t="s">
        <v>89</v>
      </c>
      <c r="S287" s="319"/>
      <c r="T287" s="319" t="s">
        <v>42</v>
      </c>
      <c r="U287" s="319" t="s">
        <v>43</v>
      </c>
      <c r="AB287" s="39">
        <v>0.72916666666668195</v>
      </c>
      <c r="AC287">
        <f t="shared" si="423"/>
        <v>8.25</v>
      </c>
      <c r="AD287">
        <f t="shared" si="424"/>
        <v>180</v>
      </c>
      <c r="AE287" s="153">
        <f t="shared" si="360"/>
        <v>-8.3496692635520056</v>
      </c>
      <c r="AF287">
        <f t="shared" si="361"/>
        <v>-8.3496692635520056</v>
      </c>
      <c r="AG287" s="153">
        <f t="shared" si="362"/>
        <v>1.0107474752996115E-15</v>
      </c>
      <c r="AH287">
        <f t="shared" si="363"/>
        <v>-0.60101097847750762</v>
      </c>
    </row>
    <row r="288" spans="1:35" x14ac:dyDescent="0.25">
      <c r="B288" s="318"/>
      <c r="C288" s="315"/>
      <c r="D288" s="315"/>
      <c r="E288" s="315"/>
      <c r="G288" s="319"/>
      <c r="H288" s="319"/>
      <c r="I288" s="319"/>
      <c r="J288" s="319"/>
      <c r="M288" s="318"/>
      <c r="N288" s="315"/>
      <c r="O288" s="315"/>
      <c r="P288" s="315"/>
      <c r="R288" s="319"/>
      <c r="S288" s="319"/>
      <c r="T288" s="319"/>
      <c r="U288" s="319"/>
      <c r="AA288">
        <v>24</v>
      </c>
      <c r="AB288" s="39">
        <v>0.73958333333334902</v>
      </c>
      <c r="AC288">
        <f t="shared" si="423"/>
        <v>8.625</v>
      </c>
      <c r="AD288">
        <f t="shared" si="424"/>
        <v>180</v>
      </c>
      <c r="AE288" s="153">
        <f t="shared" si="360"/>
        <v>-8.6889526008258624</v>
      </c>
      <c r="AF288">
        <f t="shared" si="361"/>
        <v>-8.6889526008258624</v>
      </c>
      <c r="AG288" s="153">
        <f t="shared" si="362"/>
        <v>1.0566905423586848E-15</v>
      </c>
      <c r="AH288">
        <f t="shared" si="363"/>
        <v>-0.33787982533866817</v>
      </c>
      <c r="AI288">
        <v>24</v>
      </c>
    </row>
    <row r="289" spans="1:38" x14ac:dyDescent="0.25">
      <c r="B289" s="39">
        <v>0.25</v>
      </c>
      <c r="C289" s="38">
        <v>90</v>
      </c>
      <c r="D289" s="38">
        <f>+DEGREES(ASIN(COS(RADIANS(E286))*COS(RADIANS(D286))*COS(RADIANS(C289))+SIN(RADIANS(E286))*SIN(RADIANS(D286))))</f>
        <v>-0.33065244560971324</v>
      </c>
      <c r="E289" s="38">
        <f>180-DEGREES(ACOS((((SIN(RADIANS(D289)))*SIN(RADIANS(E286)))-SIN(RADIANS(D286)))/((COS(RADIANS(D289)))*COS(RADIANS(E286)))))</f>
        <v>90.231528535338782</v>
      </c>
      <c r="G289">
        <f t="shared" ref="G289:G301" si="433">9-(D289/10)</f>
        <v>9.0330652445609712</v>
      </c>
      <c r="H289">
        <f t="shared" ref="H289:H301" si="434">90-E289+$AH$172</f>
        <v>-0.23152853533878215</v>
      </c>
      <c r="I289" s="153">
        <f t="shared" ref="I289:I301" si="435">IF($E$286&gt;=$AE$174,0,G289*COS(RADIANS(H289)))</f>
        <v>0</v>
      </c>
      <c r="J289" s="153">
        <f t="shared" ref="J289:J301" si="436">IF($E$286&gt;=$AE$174,0,G289*SIN(RADIANS(H289)))</f>
        <v>0</v>
      </c>
      <c r="M289" s="39">
        <v>0.25</v>
      </c>
      <c r="N289" s="38">
        <v>90</v>
      </c>
      <c r="O289" s="38">
        <f>+DEGREES(ASIN(COS(RADIANS(P286))*COS(RADIANS(O286))*COS(RADIANS(N289))+SIN(RADIANS(P286))*SIN(RADIANS(O286))))</f>
        <v>-0.3495732041793162</v>
      </c>
      <c r="P289" s="38">
        <f>180-DEGREES(ACOS((((SIN(RADIANS(O289)))*SIN(RADIANS(P286)))-SIN(RADIANS(O286)))/((COS(RADIANS(O289)))*COS(RADIANS(P286)))))</f>
        <v>90.201829105279003</v>
      </c>
      <c r="R289">
        <f t="shared" ref="R289:R301" si="437">9-(O289/10)</f>
        <v>9.0349573204179308</v>
      </c>
      <c r="S289">
        <f t="shared" ref="S289:S301" si="438">90-P289+$AH$172</f>
        <v>-0.20182910527900333</v>
      </c>
      <c r="T289" s="153">
        <f t="shared" ref="T289:T301" si="439">IF($P$286&gt;=$AE$174,0,R289*COS(RADIANS(S289)))</f>
        <v>0</v>
      </c>
      <c r="U289" s="153">
        <f t="shared" ref="U289:U301" si="440">IF($P$286&gt;=$AE$174,0,R289*SIN(RADIANS(S289)))</f>
        <v>0</v>
      </c>
      <c r="AB289" s="39">
        <v>0.75000000000001599</v>
      </c>
      <c r="AC289">
        <f t="shared" si="423"/>
        <v>9</v>
      </c>
      <c r="AD289">
        <f t="shared" si="424"/>
        <v>180</v>
      </c>
      <c r="AE289" s="153">
        <f t="shared" si="360"/>
        <v>-9.0200146465970548</v>
      </c>
      <c r="AF289">
        <f t="shared" si="361"/>
        <v>-9.0200146465970548</v>
      </c>
      <c r="AG289" s="153">
        <f t="shared" si="362"/>
        <v>1.102633609417758E-15</v>
      </c>
      <c r="AH289">
        <f t="shared" si="363"/>
        <v>-5.5033968254738962E-2</v>
      </c>
    </row>
    <row r="290" spans="1:38" x14ac:dyDescent="0.25">
      <c r="B290" s="39">
        <v>0.29166666666666669</v>
      </c>
      <c r="C290">
        <v>75</v>
      </c>
      <c r="D290" s="38">
        <f>+DEGREES(ASIN(COS(RADIANS(E286))*COS(RADIANS(D286))*COS(RADIANS(C290))+SIN(RADIANS(E286))*SIN(RADIANS(D286))))</f>
        <v>8.2028333744853068</v>
      </c>
      <c r="E290" s="38">
        <f>180-DEGREES(ACOS((((SIN(RADIANS(D290)))*SIN(RADIANS(E286)))-SIN(RADIANS(D286)))/((COS(RADIANS(D290)))*COS(RADIANS(E286)))))</f>
        <v>102.60808432687864</v>
      </c>
      <c r="G290">
        <f t="shared" si="433"/>
        <v>8.1797166625514688</v>
      </c>
      <c r="H290">
        <f t="shared" si="434"/>
        <v>-12.60808432687864</v>
      </c>
      <c r="I290" s="153">
        <f t="shared" si="435"/>
        <v>0</v>
      </c>
      <c r="J290" s="153">
        <f t="shared" si="436"/>
        <v>0</v>
      </c>
      <c r="M290" s="39">
        <v>0.29166666666666669</v>
      </c>
      <c r="N290">
        <v>75</v>
      </c>
      <c r="O290" s="38">
        <f>+DEGREES(ASIN(COS(RADIANS(P286))*COS(RADIANS(O286))*COS(RADIANS(N290))+SIN(RADIANS(P286))*SIN(RADIANS(O286))))</f>
        <v>7.0828905917026601</v>
      </c>
      <c r="P290" s="38">
        <f>180-DEGREES(ACOS((((SIN(RADIANS(O290)))*SIN(RADIANS(P286)))-SIN(RADIANS(O286)))/((COS(RADIANS(O290)))*COS(RADIANS(P286)))))</f>
        <v>103.26242674917356</v>
      </c>
      <c r="R290">
        <f t="shared" si="437"/>
        <v>8.2917109408297343</v>
      </c>
      <c r="S290">
        <f t="shared" si="438"/>
        <v>-13.262426749173557</v>
      </c>
      <c r="T290" s="153">
        <f t="shared" si="439"/>
        <v>0</v>
      </c>
      <c r="U290" s="153">
        <f t="shared" si="440"/>
        <v>0</v>
      </c>
    </row>
    <row r="291" spans="1:38" x14ac:dyDescent="0.25">
      <c r="B291" s="39">
        <v>0.33333333333333298</v>
      </c>
      <c r="C291" s="38">
        <v>60</v>
      </c>
      <c r="D291" s="38">
        <f>+DEGREES(ASIN(COS(RADIANS(E286))*COS(RADIANS(D286))*COS(RADIANS(C291))+SIN(RADIANS(E286))*SIN(RADIANS(D286))))</f>
        <v>16.320503415244993</v>
      </c>
      <c r="E291" s="38">
        <f>180-DEGREES(ACOS((((SIN(RADIANS(D291)))*SIN(RADIANS(E286)))-SIN(RADIANS(D286)))/((COS(RADIANS(D291)))*COS(RADIANS(E286)))))</f>
        <v>115.52931582669709</v>
      </c>
      <c r="G291">
        <f t="shared" si="433"/>
        <v>7.3679496584755011</v>
      </c>
      <c r="H291">
        <f t="shared" si="434"/>
        <v>-25.529315826697086</v>
      </c>
      <c r="I291" s="153">
        <f t="shared" si="435"/>
        <v>0</v>
      </c>
      <c r="J291" s="153">
        <f t="shared" si="436"/>
        <v>0</v>
      </c>
      <c r="M291" s="39">
        <v>0.33333333333333298</v>
      </c>
      <c r="N291" s="38">
        <v>60</v>
      </c>
      <c r="O291" s="38">
        <f>+DEGREES(ASIN(COS(RADIANS(P286))*COS(RADIANS(O286))*COS(RADIANS(N291))+SIN(RADIANS(P286))*SIN(RADIANS(O286))))</f>
        <v>14.116401075408692</v>
      </c>
      <c r="P291" s="38">
        <f>180-DEGREES(ACOS((((SIN(RADIANS(O291)))*SIN(RADIANS(P286)))-SIN(RADIANS(O286)))/((COS(RADIANS(O291)))*COS(RADIANS(P286)))))</f>
        <v>116.75119018205405</v>
      </c>
      <c r="R291">
        <f t="shared" si="437"/>
        <v>7.5883598924591311</v>
      </c>
      <c r="S291">
        <f t="shared" si="438"/>
        <v>-26.751190182054046</v>
      </c>
      <c r="T291" s="153">
        <f t="shared" si="439"/>
        <v>0</v>
      </c>
      <c r="U291" s="153">
        <f t="shared" si="440"/>
        <v>0</v>
      </c>
      <c r="AE291" s="153" t="s">
        <v>94</v>
      </c>
      <c r="AF291" s="153" t="s">
        <v>93</v>
      </c>
      <c r="AG291" s="153" t="s">
        <v>42</v>
      </c>
      <c r="AH291" s="153" t="s">
        <v>43</v>
      </c>
      <c r="AI291" s="153" t="s">
        <v>94</v>
      </c>
      <c r="AJ291" s="153" t="s">
        <v>93</v>
      </c>
      <c r="AK291" s="153" t="s">
        <v>42</v>
      </c>
      <c r="AL291" s="153" t="s">
        <v>43</v>
      </c>
    </row>
    <row r="292" spans="1:38" x14ac:dyDescent="0.25">
      <c r="B292" s="39">
        <v>0.375</v>
      </c>
      <c r="C292">
        <v>45</v>
      </c>
      <c r="D292" s="38">
        <f>+DEGREES(ASIN(COS(RADIANS(E286))*COS(RADIANS(D286))*COS(RADIANS(C292))+SIN(RADIANS(E286))*SIN(RADIANS(D286))))</f>
        <v>23.565599898332856</v>
      </c>
      <c r="E292" s="38">
        <f>180-DEGREES(ACOS((((SIN(RADIANS(D292)))*SIN(RADIANS(E286)))-SIN(RADIANS(D286)))/((COS(RADIANS(D292)))*COS(RADIANS(E286)))))</f>
        <v>129.51809063723479</v>
      </c>
      <c r="G292">
        <f t="shared" si="433"/>
        <v>6.6434400101667146</v>
      </c>
      <c r="H292">
        <f t="shared" si="434"/>
        <v>-39.518090637234792</v>
      </c>
      <c r="I292" s="153">
        <f t="shared" si="435"/>
        <v>0</v>
      </c>
      <c r="J292" s="153">
        <f t="shared" si="436"/>
        <v>0</v>
      </c>
      <c r="M292" s="39">
        <v>0.375</v>
      </c>
      <c r="N292">
        <v>45</v>
      </c>
      <c r="O292" s="38">
        <f>+DEGREES(ASIN(COS(RADIANS(P286))*COS(RADIANS(O286))*COS(RADIANS(N292))+SIN(RADIANS(P286))*SIN(RADIANS(O286))))</f>
        <v>20.331024660834704</v>
      </c>
      <c r="P292" s="38">
        <f>180-DEGREES(ACOS((((SIN(RADIANS(O292)))*SIN(RADIANS(P286)))-SIN(RADIANS(O286)))/((COS(RADIANS(O292)))*COS(RADIANS(P286)))))</f>
        <v>131.05609632361453</v>
      </c>
      <c r="R292">
        <f t="shared" si="437"/>
        <v>6.96689753391653</v>
      </c>
      <c r="S292">
        <f t="shared" si="438"/>
        <v>-41.056096323614526</v>
      </c>
      <c r="T292" s="153">
        <f t="shared" si="439"/>
        <v>0</v>
      </c>
      <c r="U292" s="153">
        <f t="shared" si="440"/>
        <v>0</v>
      </c>
      <c r="X292">
        <v>-9</v>
      </c>
      <c r="Y292">
        <f>+A2</f>
        <v>9</v>
      </c>
      <c r="Z292">
        <f>+B2</f>
        <v>0</v>
      </c>
      <c r="AA292">
        <f>+C2</f>
        <v>0</v>
      </c>
      <c r="AC292">
        <f t="shared" ref="AC292:AC355" si="441">+IF($AE$51&lt;0,IF(Z292&lt;$AI$53,Z292,$AI$53),IF(AA292&gt;$AI$53,AA292,$AI$53))</f>
        <v>0</v>
      </c>
      <c r="AE292">
        <v>9</v>
      </c>
      <c r="AF292">
        <v>0</v>
      </c>
      <c r="AG292" s="153">
        <f t="shared" ref="AG292:AG310" si="442">+AE292*COS(RADIANS(AF292))</f>
        <v>9</v>
      </c>
      <c r="AH292" s="153">
        <f t="shared" ref="AH292:AH310" si="443">+AE292*SIN(RADIANS(AF292))</f>
        <v>0</v>
      </c>
      <c r="AI292">
        <v>9</v>
      </c>
      <c r="AJ292">
        <v>180</v>
      </c>
      <c r="AK292" s="153">
        <f t="shared" ref="AK292:AK310" si="444">+AI292*COS(RADIANS(AJ292))</f>
        <v>-9</v>
      </c>
      <c r="AL292" s="153">
        <f t="shared" ref="AL292:AL310" si="445">+AI292*SIN(RADIANS(AJ292))</f>
        <v>1.102633609417758E-15</v>
      </c>
    </row>
    <row r="293" spans="1:38" x14ac:dyDescent="0.25">
      <c r="B293" s="39">
        <v>0.41666666666666702</v>
      </c>
      <c r="C293" s="38">
        <v>30</v>
      </c>
      <c r="D293" s="38">
        <f>+DEGREES(ASIN(COS(RADIANS(E286))*COS(RADIANS(D286))*COS(RADIANS(C293))+SIN(RADIANS(E286))*SIN(RADIANS(D286))))</f>
        <v>29.402942542788431</v>
      </c>
      <c r="E293" s="38">
        <f>180-DEGREES(ACOS((((SIN(RADIANS(D293)))*SIN(RADIANS(E286)))-SIN(RADIANS(D286)))/((COS(RADIANS(D293)))*COS(RADIANS(E286)))))</f>
        <v>144.97636487234047</v>
      </c>
      <c r="G293">
        <f t="shared" si="433"/>
        <v>6.0597057457211569</v>
      </c>
      <c r="H293">
        <f t="shared" si="434"/>
        <v>-54.976364872340469</v>
      </c>
      <c r="I293" s="153">
        <f t="shared" si="435"/>
        <v>0</v>
      </c>
      <c r="J293" s="153">
        <f t="shared" si="436"/>
        <v>0</v>
      </c>
      <c r="M293" s="39">
        <v>0.41666666666666702</v>
      </c>
      <c r="N293" s="38">
        <v>30</v>
      </c>
      <c r="O293" s="38">
        <f>+DEGREES(ASIN(COS(RADIANS(P286))*COS(RADIANS(O286))*COS(RADIANS(N293))+SIN(RADIANS(P286))*SIN(RADIANS(O286))))</f>
        <v>25.271036694432379</v>
      </c>
      <c r="P293" s="38">
        <f>180-DEGREES(ACOS((((SIN(RADIANS(O293)))*SIN(RADIANS(P286)))-SIN(RADIANS(O286)))/((COS(RADIANS(O293)))*COS(RADIANS(P286)))))</f>
        <v>146.43373276828299</v>
      </c>
      <c r="R293">
        <f t="shared" si="437"/>
        <v>6.4728963305567619</v>
      </c>
      <c r="S293">
        <f t="shared" si="438"/>
        <v>-56.433732768282994</v>
      </c>
      <c r="T293" s="153">
        <f t="shared" si="439"/>
        <v>0</v>
      </c>
      <c r="U293" s="153">
        <f t="shared" si="440"/>
        <v>0</v>
      </c>
      <c r="X293">
        <f t="shared" ref="X293:X356" si="446">IF(AC293=AC292,X292,X292+0.1)</f>
        <v>-8.9</v>
      </c>
      <c r="Y293">
        <f t="shared" ref="Y293:Y356" si="447">IF(AC293=AC292,Y292,Y292-0.1)</f>
        <v>8.9</v>
      </c>
      <c r="Z293">
        <f t="shared" ref="Z293:AA324" si="448">+B3</f>
        <v>1.3379088160259622</v>
      </c>
      <c r="AA293">
        <f t="shared" si="448"/>
        <v>-1.3379088160259622</v>
      </c>
      <c r="AC293">
        <f t="shared" si="441"/>
        <v>-1.3379088160259622</v>
      </c>
      <c r="AE293">
        <v>9</v>
      </c>
      <c r="AF293">
        <v>5</v>
      </c>
      <c r="AG293" s="153">
        <f t="shared" si="442"/>
        <v>8.9657522828257097</v>
      </c>
      <c r="AH293" s="153">
        <f t="shared" si="443"/>
        <v>0.78440168472892347</v>
      </c>
      <c r="AI293">
        <v>9</v>
      </c>
      <c r="AJ293">
        <v>175</v>
      </c>
      <c r="AK293" s="153">
        <f t="shared" si="444"/>
        <v>-8.9657522828257097</v>
      </c>
      <c r="AL293" s="153">
        <f t="shared" si="445"/>
        <v>0.78440168472892369</v>
      </c>
    </row>
    <row r="294" spans="1:38" x14ac:dyDescent="0.25">
      <c r="B294" s="39">
        <v>0.45833333333333298</v>
      </c>
      <c r="C294">
        <v>15</v>
      </c>
      <c r="D294" s="38">
        <f>+DEGREES(ASIN(COS(RADIANS(E286))*COS(RADIANS(D286))*COS(RADIANS(C294))+SIN(RADIANS(E286))*SIN(RADIANS(D286))))</f>
        <v>33.246874034806808</v>
      </c>
      <c r="E294" s="38">
        <f>180-DEGREES(ACOS((((SIN(RADIANS(D294)))*SIN(RADIANS(E286)))-SIN(RADIANS(D286)))/((COS(RADIANS(D294)))*COS(RADIANS(E286)))))</f>
        <v>161.97285899302315</v>
      </c>
      <c r="G294">
        <f t="shared" si="433"/>
        <v>5.6753125965193192</v>
      </c>
      <c r="H294">
        <f t="shared" si="434"/>
        <v>-71.972858993023152</v>
      </c>
      <c r="I294" s="153">
        <f t="shared" si="435"/>
        <v>0</v>
      </c>
      <c r="J294" s="153">
        <f t="shared" si="436"/>
        <v>0</v>
      </c>
      <c r="M294" s="39">
        <v>0.45833333333333298</v>
      </c>
      <c r="N294">
        <v>15</v>
      </c>
      <c r="O294" s="38">
        <f>+DEGREES(ASIN(COS(RADIANS(P286))*COS(RADIANS(O286))*COS(RADIANS(N294))+SIN(RADIANS(P286))*SIN(RADIANS(O286))))</f>
        <v>28.479856336040129</v>
      </c>
      <c r="P294" s="38">
        <f>180-DEGREES(ACOS((((SIN(RADIANS(O294)))*SIN(RADIANS(P286)))-SIN(RADIANS(O286)))/((COS(RADIANS(O294)))*COS(RADIANS(P286)))))</f>
        <v>162.87574406738997</v>
      </c>
      <c r="R294">
        <f t="shared" si="437"/>
        <v>6.1520143663959868</v>
      </c>
      <c r="S294">
        <f t="shared" si="438"/>
        <v>-72.875744067389974</v>
      </c>
      <c r="T294" s="153">
        <f t="shared" si="439"/>
        <v>0</v>
      </c>
      <c r="U294" s="153">
        <f t="shared" si="440"/>
        <v>0</v>
      </c>
      <c r="X294">
        <f t="shared" si="446"/>
        <v>-8.8000000000000007</v>
      </c>
      <c r="Y294">
        <f t="shared" si="447"/>
        <v>8.8000000000000007</v>
      </c>
      <c r="Z294">
        <f t="shared" si="448"/>
        <v>1.8867962264113176</v>
      </c>
      <c r="AA294">
        <f t="shared" si="448"/>
        <v>-1.8867962264113176</v>
      </c>
      <c r="AC294">
        <f t="shared" si="441"/>
        <v>-1.8867962264113176</v>
      </c>
      <c r="AE294">
        <v>9</v>
      </c>
      <c r="AF294">
        <v>10</v>
      </c>
      <c r="AG294" s="153">
        <f t="shared" si="442"/>
        <v>8.8632697771098723</v>
      </c>
      <c r="AH294" s="153">
        <f t="shared" si="443"/>
        <v>1.562833599002373</v>
      </c>
      <c r="AI294">
        <v>9</v>
      </c>
      <c r="AJ294">
        <v>170</v>
      </c>
      <c r="AK294" s="153">
        <f t="shared" si="444"/>
        <v>-8.8632697771098723</v>
      </c>
      <c r="AL294" s="153">
        <f t="shared" si="445"/>
        <v>1.5628335990023725</v>
      </c>
    </row>
    <row r="295" spans="1:38" x14ac:dyDescent="0.25">
      <c r="B295" s="39">
        <v>0.5</v>
      </c>
      <c r="C295" s="38">
        <v>0</v>
      </c>
      <c r="D295" s="38">
        <f>+DEGREES(ASIN(COS(RADIANS(E286))*COS(RADIANS(D286))*COS(RADIANS(C295))+SIN(RADIANS(E286))*SIN(RADIANS(D286))))</f>
        <v>34.596346798145689</v>
      </c>
      <c r="E295" s="38">
        <f>+IF(E286&gt;=0,180,0)</f>
        <v>180</v>
      </c>
      <c r="G295">
        <f t="shared" si="433"/>
        <v>5.5403653201854315</v>
      </c>
      <c r="H295">
        <f t="shared" si="434"/>
        <v>-90</v>
      </c>
      <c r="I295" s="153">
        <f t="shared" si="435"/>
        <v>0</v>
      </c>
      <c r="J295" s="153">
        <f t="shared" si="436"/>
        <v>0</v>
      </c>
      <c r="M295" s="39">
        <v>0.5</v>
      </c>
      <c r="N295" s="38">
        <v>0</v>
      </c>
      <c r="O295" s="38">
        <f>+DEGREES(ASIN(COS(RADIANS(P286))*COS(RADIANS(O286))*COS(RADIANS(N295))+SIN(RADIANS(P286))*SIN(RADIANS(O286))))</f>
        <v>29.596346798145689</v>
      </c>
      <c r="P295" s="38">
        <f>+IF(P286&gt;=0,180,0)</f>
        <v>180</v>
      </c>
      <c r="R295">
        <f t="shared" si="437"/>
        <v>6.0403653201854315</v>
      </c>
      <c r="S295">
        <f t="shared" si="438"/>
        <v>-90</v>
      </c>
      <c r="T295" s="153">
        <f t="shared" si="439"/>
        <v>0</v>
      </c>
      <c r="U295" s="153">
        <f t="shared" si="440"/>
        <v>0</v>
      </c>
      <c r="X295">
        <f t="shared" si="446"/>
        <v>-8.7000000000000011</v>
      </c>
      <c r="Y295">
        <f t="shared" si="447"/>
        <v>8.7000000000000011</v>
      </c>
      <c r="Z295">
        <f t="shared" si="448"/>
        <v>2.304343724360586</v>
      </c>
      <c r="AA295">
        <f t="shared" si="448"/>
        <v>-2.304343724360586</v>
      </c>
      <c r="AC295">
        <f t="shared" si="441"/>
        <v>-2.304343724360586</v>
      </c>
      <c r="AE295">
        <v>9</v>
      </c>
      <c r="AF295">
        <v>15</v>
      </c>
      <c r="AG295" s="153">
        <f t="shared" si="442"/>
        <v>8.6933324366016151</v>
      </c>
      <c r="AH295" s="153">
        <f t="shared" si="443"/>
        <v>2.3293714059226867</v>
      </c>
      <c r="AI295">
        <v>9</v>
      </c>
      <c r="AJ295">
        <v>165</v>
      </c>
      <c r="AK295" s="153">
        <f t="shared" si="444"/>
        <v>-8.6933324366016134</v>
      </c>
      <c r="AL295" s="153">
        <f t="shared" si="445"/>
        <v>2.3293714059226893</v>
      </c>
    </row>
    <row r="296" spans="1:38" x14ac:dyDescent="0.25">
      <c r="B296" s="39">
        <v>0.54166666666666696</v>
      </c>
      <c r="C296">
        <v>-15</v>
      </c>
      <c r="D296" s="38">
        <f>+DEGREES(ASIN(COS(RADIANS(E286))*COS(RADIANS(D286))*COS(RADIANS(C296))+SIN(RADIANS(E286))*SIN(RADIANS(D286))))</f>
        <v>33.246874034806808</v>
      </c>
      <c r="E296" s="38">
        <f>-(180-DEGREES(ACOS((((SIN(RADIANS(D296)))*SIN(RADIANS(E286)))-SIN(RADIANS(D286)))/((COS(RADIANS(D296)))*COS(RADIANS(E286))))))</f>
        <v>-161.97285899302315</v>
      </c>
      <c r="G296">
        <f t="shared" si="433"/>
        <v>5.6753125965193192</v>
      </c>
      <c r="H296">
        <f t="shared" si="434"/>
        <v>251.97285899302315</v>
      </c>
      <c r="I296" s="153">
        <f t="shared" si="435"/>
        <v>0</v>
      </c>
      <c r="J296" s="153">
        <f t="shared" si="436"/>
        <v>0</v>
      </c>
      <c r="M296" s="39">
        <v>0.54166666666666696</v>
      </c>
      <c r="N296">
        <v>-15</v>
      </c>
      <c r="O296" s="38">
        <f>+DEGREES(ASIN(COS(RADIANS(P286))*COS(RADIANS(O286))*COS(RADIANS(N296))+SIN(RADIANS(P286))*SIN(RADIANS(O286))))</f>
        <v>28.479856336040129</v>
      </c>
      <c r="P296" s="38">
        <f>-(180-DEGREES(ACOS((((SIN(RADIANS(O296)))*SIN(RADIANS(P286)))-SIN(RADIANS(O286)))/((COS(RADIANS(O296)))*COS(RADIANS(P286))))))</f>
        <v>-162.87574406738997</v>
      </c>
      <c r="R296">
        <f t="shared" si="437"/>
        <v>6.1520143663959868</v>
      </c>
      <c r="S296">
        <f t="shared" si="438"/>
        <v>252.87574406738997</v>
      </c>
      <c r="T296" s="153">
        <f t="shared" si="439"/>
        <v>0</v>
      </c>
      <c r="U296" s="153">
        <f t="shared" si="440"/>
        <v>0</v>
      </c>
      <c r="X296">
        <f t="shared" si="446"/>
        <v>-8.6000000000000014</v>
      </c>
      <c r="Y296">
        <f t="shared" si="447"/>
        <v>8.6000000000000014</v>
      </c>
      <c r="Z296">
        <f t="shared" si="448"/>
        <v>2.6532998322843211</v>
      </c>
      <c r="AA296">
        <f t="shared" si="448"/>
        <v>-2.6532998322843211</v>
      </c>
      <c r="AC296">
        <f t="shared" si="441"/>
        <v>-2.6532998322843211</v>
      </c>
      <c r="AE296">
        <v>9</v>
      </c>
      <c r="AF296">
        <v>20</v>
      </c>
      <c r="AG296" s="153">
        <f t="shared" si="442"/>
        <v>8.4572335870731763</v>
      </c>
      <c r="AH296" s="153">
        <f t="shared" si="443"/>
        <v>3.0781812899310186</v>
      </c>
      <c r="AI296">
        <v>9</v>
      </c>
      <c r="AJ296">
        <v>160</v>
      </c>
      <c r="AK296" s="153">
        <f t="shared" si="444"/>
        <v>-8.4572335870731745</v>
      </c>
      <c r="AL296" s="153">
        <f t="shared" si="445"/>
        <v>3.0781812899310199</v>
      </c>
    </row>
    <row r="297" spans="1:38" x14ac:dyDescent="0.25">
      <c r="B297" s="39">
        <v>0.58333333333333304</v>
      </c>
      <c r="C297" s="38">
        <v>-30</v>
      </c>
      <c r="D297" s="38">
        <f>+DEGREES(ASIN(COS(RADIANS(E286))*COS(RADIANS(D286))*COS(RADIANS(C297))+SIN(RADIANS(E286))*SIN(RADIANS(D286))))</f>
        <v>29.402942542788431</v>
      </c>
      <c r="E297" s="38">
        <f>-(180-DEGREES(ACOS((((SIN(RADIANS(D297)))*SIN(RADIANS(E286)))-SIN(RADIANS(D286)))/((COS(RADIANS(D297)))*COS(RADIANS(E286))))))</f>
        <v>-144.97636487234047</v>
      </c>
      <c r="G297">
        <f t="shared" si="433"/>
        <v>6.0597057457211569</v>
      </c>
      <c r="H297">
        <f t="shared" si="434"/>
        <v>234.97636487234047</v>
      </c>
      <c r="I297" s="153">
        <f t="shared" si="435"/>
        <v>0</v>
      </c>
      <c r="J297" s="153">
        <f t="shared" si="436"/>
        <v>0</v>
      </c>
      <c r="M297" s="39">
        <v>0.58333333333333304</v>
      </c>
      <c r="N297" s="38">
        <v>-30</v>
      </c>
      <c r="O297" s="38">
        <f>+DEGREES(ASIN(COS(RADIANS(P286))*COS(RADIANS(O286))*COS(RADIANS(N297))+SIN(RADIANS(P286))*SIN(RADIANS(O286))))</f>
        <v>25.271036694432379</v>
      </c>
      <c r="P297" s="38">
        <f>-(180-DEGREES(ACOS((((SIN(RADIANS(O297)))*SIN(RADIANS(P286)))-SIN(RADIANS(O286)))/((COS(RADIANS(O297)))*COS(RADIANS(P286))))))</f>
        <v>-146.43373276828299</v>
      </c>
      <c r="R297">
        <f t="shared" si="437"/>
        <v>6.4728963305567619</v>
      </c>
      <c r="S297">
        <f t="shared" si="438"/>
        <v>236.43373276828299</v>
      </c>
      <c r="T297" s="153">
        <f t="shared" si="439"/>
        <v>0</v>
      </c>
      <c r="U297" s="153">
        <f t="shared" si="440"/>
        <v>0</v>
      </c>
      <c r="X297">
        <f t="shared" si="446"/>
        <v>-8.5000000000000018</v>
      </c>
      <c r="Y297">
        <f t="shared" si="447"/>
        <v>8.5000000000000018</v>
      </c>
      <c r="Z297">
        <f t="shared" si="448"/>
        <v>2.9580398915498081</v>
      </c>
      <c r="AA297">
        <f t="shared" si="448"/>
        <v>-2.9580398915498081</v>
      </c>
      <c r="AC297">
        <f t="shared" si="441"/>
        <v>-2.9580398915498081</v>
      </c>
      <c r="AE297">
        <v>9</v>
      </c>
      <c r="AF297">
        <v>25</v>
      </c>
      <c r="AG297" s="153">
        <f t="shared" si="442"/>
        <v>8.1567700833298495</v>
      </c>
      <c r="AH297" s="153">
        <f t="shared" si="443"/>
        <v>3.8035643556662948</v>
      </c>
      <c r="AI297">
        <v>9</v>
      </c>
      <c r="AJ297">
        <v>155</v>
      </c>
      <c r="AK297" s="153">
        <f t="shared" si="444"/>
        <v>-8.1567700833298495</v>
      </c>
      <c r="AL297" s="153">
        <f t="shared" si="445"/>
        <v>3.8035643556662952</v>
      </c>
    </row>
    <row r="298" spans="1:38" x14ac:dyDescent="0.25">
      <c r="B298" s="39">
        <v>0.625</v>
      </c>
      <c r="C298">
        <v>-45</v>
      </c>
      <c r="D298" s="38">
        <f>+DEGREES(ASIN(COS(RADIANS(E286))*COS(RADIANS(D286))*COS(RADIANS(C298))+SIN(RADIANS(E286))*SIN(RADIANS(D286))))</f>
        <v>23.565599898332856</v>
      </c>
      <c r="E298" s="38">
        <f>-(180-DEGREES(ACOS((((SIN(RADIANS(D298)))*SIN(RADIANS(E286)))-SIN(RADIANS(D286)))/((COS(RADIANS(D298)))*COS(RADIANS(E286))))))</f>
        <v>-129.51809063723479</v>
      </c>
      <c r="G298">
        <f t="shared" si="433"/>
        <v>6.6434400101667146</v>
      </c>
      <c r="H298">
        <f t="shared" si="434"/>
        <v>219.51809063723479</v>
      </c>
      <c r="I298" s="153">
        <f t="shared" si="435"/>
        <v>0</v>
      </c>
      <c r="J298" s="153">
        <f t="shared" si="436"/>
        <v>0</v>
      </c>
      <c r="M298" s="39">
        <v>0.625</v>
      </c>
      <c r="N298">
        <v>-45</v>
      </c>
      <c r="O298" s="38">
        <f>+DEGREES(ASIN(COS(RADIANS(P286))*COS(RADIANS(O286))*COS(RADIANS(N298))+SIN(RADIANS(P286))*SIN(RADIANS(O286))))</f>
        <v>20.331024660834704</v>
      </c>
      <c r="P298" s="38">
        <f>-(180-DEGREES(ACOS((((SIN(RADIANS(O298)))*SIN(RADIANS(P286)))-SIN(RADIANS(O286)))/((COS(RADIANS(O298)))*COS(RADIANS(P286))))))</f>
        <v>-131.05609632361453</v>
      </c>
      <c r="R298">
        <f t="shared" si="437"/>
        <v>6.96689753391653</v>
      </c>
      <c r="S298">
        <f t="shared" si="438"/>
        <v>221.05609632361453</v>
      </c>
      <c r="T298" s="153">
        <f t="shared" si="439"/>
        <v>0</v>
      </c>
      <c r="U298" s="153">
        <f t="shared" si="440"/>
        <v>0</v>
      </c>
      <c r="X298">
        <f t="shared" si="446"/>
        <v>-8.4000000000000021</v>
      </c>
      <c r="Y298">
        <f t="shared" si="447"/>
        <v>8.4000000000000021</v>
      </c>
      <c r="Z298">
        <f t="shared" si="448"/>
        <v>3.2310988842807022</v>
      </c>
      <c r="AA298">
        <f t="shared" si="448"/>
        <v>-3.2310988842807022</v>
      </c>
      <c r="AC298">
        <f t="shared" si="441"/>
        <v>-3.2310988842807022</v>
      </c>
      <c r="AE298">
        <v>9</v>
      </c>
      <c r="AF298">
        <v>30</v>
      </c>
      <c r="AG298" s="153">
        <f t="shared" si="442"/>
        <v>7.794228634059948</v>
      </c>
      <c r="AH298" s="153">
        <f t="shared" si="443"/>
        <v>4.4999999999999991</v>
      </c>
      <c r="AI298">
        <v>9</v>
      </c>
      <c r="AJ298">
        <v>150</v>
      </c>
      <c r="AK298" s="153">
        <f t="shared" si="444"/>
        <v>-7.794228634059948</v>
      </c>
      <c r="AL298" s="153">
        <f t="shared" si="445"/>
        <v>4.4999999999999991</v>
      </c>
    </row>
    <row r="299" spans="1:38" x14ac:dyDescent="0.25">
      <c r="B299" s="39">
        <v>0.66666666666666696</v>
      </c>
      <c r="C299" s="38">
        <v>-60</v>
      </c>
      <c r="D299" s="38">
        <f>+DEGREES(ASIN(COS(RADIANS(E286))*COS(RADIANS(D286))*COS(RADIANS(C299))+SIN(RADIANS(E286))*SIN(RADIANS(D286))))</f>
        <v>16.320503415244993</v>
      </c>
      <c r="E299" s="38">
        <f>-(180-DEGREES(ACOS((((SIN(RADIANS(D299)))*SIN(RADIANS(E286)))-SIN(RADIANS(D286)))/((COS(RADIANS(D299)))*COS(RADIANS(E286))))))</f>
        <v>-115.52931582669709</v>
      </c>
      <c r="G299">
        <f t="shared" si="433"/>
        <v>7.3679496584755011</v>
      </c>
      <c r="H299">
        <f t="shared" si="434"/>
        <v>205.52931582669709</v>
      </c>
      <c r="I299" s="153">
        <f t="shared" si="435"/>
        <v>0</v>
      </c>
      <c r="J299" s="153">
        <f t="shared" si="436"/>
        <v>0</v>
      </c>
      <c r="M299" s="39">
        <v>0.66666666666666696</v>
      </c>
      <c r="N299" s="38">
        <v>-60</v>
      </c>
      <c r="O299" s="38">
        <f>+DEGREES(ASIN(COS(RADIANS(P286))*COS(RADIANS(O286))*COS(RADIANS(N299))+SIN(RADIANS(P286))*SIN(RADIANS(O286))))</f>
        <v>14.116401075408692</v>
      </c>
      <c r="P299" s="38">
        <f>-(180-DEGREES(ACOS((((SIN(RADIANS(O299)))*SIN(RADIANS(P286)))-SIN(RADIANS(O286)))/((COS(RADIANS(O299)))*COS(RADIANS(P286))))))</f>
        <v>-116.75119018205405</v>
      </c>
      <c r="R299">
        <f t="shared" si="437"/>
        <v>7.5883598924591311</v>
      </c>
      <c r="S299">
        <f t="shared" si="438"/>
        <v>206.75119018205405</v>
      </c>
      <c r="T299" s="153">
        <f t="shared" si="439"/>
        <v>0</v>
      </c>
      <c r="U299" s="153">
        <f t="shared" si="440"/>
        <v>0</v>
      </c>
      <c r="X299">
        <f t="shared" si="446"/>
        <v>-8.3000000000000025</v>
      </c>
      <c r="Y299">
        <f t="shared" si="447"/>
        <v>8.3000000000000025</v>
      </c>
      <c r="Z299">
        <f t="shared" si="448"/>
        <v>3.479942528261061</v>
      </c>
      <c r="AA299">
        <f t="shared" si="448"/>
        <v>-3.479942528261061</v>
      </c>
      <c r="AC299">
        <f t="shared" si="441"/>
        <v>-3.479942528261061</v>
      </c>
      <c r="AE299">
        <v>9</v>
      </c>
      <c r="AF299">
        <v>35</v>
      </c>
      <c r="AG299" s="153">
        <f t="shared" si="442"/>
        <v>7.3723683986009263</v>
      </c>
      <c r="AH299" s="153">
        <f t="shared" si="443"/>
        <v>5.1621879271594144</v>
      </c>
      <c r="AI299">
        <v>9</v>
      </c>
      <c r="AJ299">
        <v>145</v>
      </c>
      <c r="AK299" s="153">
        <f t="shared" si="444"/>
        <v>-7.3723683986009272</v>
      </c>
      <c r="AL299" s="153">
        <f t="shared" si="445"/>
        <v>5.1621879271594135</v>
      </c>
    </row>
    <row r="300" spans="1:38" x14ac:dyDescent="0.25">
      <c r="B300" s="39">
        <v>0.70833333333333404</v>
      </c>
      <c r="C300">
        <v>-75</v>
      </c>
      <c r="D300" s="38">
        <f>+DEGREES(ASIN(COS(RADIANS(E286))*COS(RADIANS(D286))*COS(RADIANS(C300))+SIN(RADIANS(E286))*SIN(RADIANS(D286))))</f>
        <v>8.2028333744853068</v>
      </c>
      <c r="E300" s="38">
        <f>-(180-DEGREES(ACOS((((SIN(RADIANS(D300)))*SIN(RADIANS(E286)))-SIN(RADIANS(D286)))/((COS(RADIANS(D300)))*COS(RADIANS(E286))))))</f>
        <v>-102.60808432687864</v>
      </c>
      <c r="G300">
        <f t="shared" si="433"/>
        <v>8.1797166625514688</v>
      </c>
      <c r="H300">
        <f t="shared" si="434"/>
        <v>192.60808432687864</v>
      </c>
      <c r="I300" s="153">
        <f t="shared" si="435"/>
        <v>0</v>
      </c>
      <c r="J300" s="153">
        <f t="shared" si="436"/>
        <v>0</v>
      </c>
      <c r="M300" s="39">
        <v>0.70833333333333404</v>
      </c>
      <c r="N300">
        <v>-75</v>
      </c>
      <c r="O300" s="38">
        <f>+DEGREES(ASIN(COS(RADIANS(P286))*COS(RADIANS(O286))*COS(RADIANS(N300))+SIN(RADIANS(P286))*SIN(RADIANS(O286))))</f>
        <v>7.0828905917026601</v>
      </c>
      <c r="P300" s="38">
        <f>-(180-DEGREES(ACOS((((SIN(RADIANS(O300)))*SIN(RADIANS(P286)))-SIN(RADIANS(O286)))/((COS(RADIANS(O300)))*COS(RADIANS(P286))))))</f>
        <v>-103.26242674917356</v>
      </c>
      <c r="R300">
        <f t="shared" si="437"/>
        <v>8.2917109408297343</v>
      </c>
      <c r="S300">
        <f t="shared" si="438"/>
        <v>193.26242674917356</v>
      </c>
      <c r="T300" s="153">
        <f t="shared" si="439"/>
        <v>0</v>
      </c>
      <c r="U300" s="153">
        <f t="shared" si="440"/>
        <v>0</v>
      </c>
      <c r="X300">
        <f t="shared" si="446"/>
        <v>-8.2000000000000028</v>
      </c>
      <c r="Y300">
        <f t="shared" si="447"/>
        <v>8.2000000000000028</v>
      </c>
      <c r="Z300">
        <f t="shared" si="448"/>
        <v>3.7094473981982823</v>
      </c>
      <c r="AA300">
        <f t="shared" si="448"/>
        <v>-3.7094473981982823</v>
      </c>
      <c r="AC300">
        <f t="shared" si="441"/>
        <v>-3.7094473981982823</v>
      </c>
      <c r="AE300">
        <v>9</v>
      </c>
      <c r="AF300">
        <v>40</v>
      </c>
      <c r="AG300" s="153">
        <f t="shared" si="442"/>
        <v>6.894399988070802</v>
      </c>
      <c r="AH300" s="153">
        <f t="shared" si="443"/>
        <v>5.7850884871788537</v>
      </c>
      <c r="AI300">
        <v>9</v>
      </c>
      <c r="AJ300">
        <v>140</v>
      </c>
      <c r="AK300" s="153">
        <f t="shared" si="444"/>
        <v>-6.8943999880708011</v>
      </c>
      <c r="AL300" s="153">
        <f t="shared" si="445"/>
        <v>5.7850884871788555</v>
      </c>
    </row>
    <row r="301" spans="1:38" x14ac:dyDescent="0.25">
      <c r="B301" s="39">
        <v>0.75</v>
      </c>
      <c r="C301" s="38">
        <v>-90</v>
      </c>
      <c r="D301" s="38">
        <f>+DEGREES(ASIN(COS(RADIANS(E286))*COS(RADIANS(D286))*COS(RADIANS(C301))+SIN(RADIANS(E286))*SIN(RADIANS(D286))))</f>
        <v>-0.33065244560971324</v>
      </c>
      <c r="E301" s="38">
        <f>-(180-DEGREES(ACOS((((SIN(RADIANS(D301)))*SIN(RADIANS(E286)))-SIN(RADIANS(D286)))/((COS(RADIANS(D301)))*COS(RADIANS(E286))))))</f>
        <v>-90.231528535338782</v>
      </c>
      <c r="G301">
        <f t="shared" si="433"/>
        <v>9.0330652445609712</v>
      </c>
      <c r="H301">
        <f t="shared" si="434"/>
        <v>180.23152853533878</v>
      </c>
      <c r="I301" s="153">
        <f t="shared" si="435"/>
        <v>0</v>
      </c>
      <c r="J301" s="153">
        <f t="shared" si="436"/>
        <v>0</v>
      </c>
      <c r="M301" s="39">
        <v>0.75</v>
      </c>
      <c r="N301" s="38">
        <v>-90</v>
      </c>
      <c r="O301" s="38">
        <f>+DEGREES(ASIN(COS(RADIANS(P286))*COS(RADIANS(O286))*COS(RADIANS(N301))+SIN(RADIANS(P286))*SIN(RADIANS(O286))))</f>
        <v>-0.3495732041793162</v>
      </c>
      <c r="P301" s="38">
        <f>-(180-DEGREES(ACOS((((SIN(RADIANS(O301)))*SIN(RADIANS(P286)))-SIN(RADIANS(O286)))/((COS(RADIANS(O301)))*COS(RADIANS(P286))))))</f>
        <v>-90.201829105279003</v>
      </c>
      <c r="R301">
        <f t="shared" si="437"/>
        <v>9.0349573204179308</v>
      </c>
      <c r="S301">
        <f t="shared" si="438"/>
        <v>180.20182910527899</v>
      </c>
      <c r="T301" s="153">
        <f t="shared" si="439"/>
        <v>0</v>
      </c>
      <c r="U301" s="153">
        <f t="shared" si="440"/>
        <v>0</v>
      </c>
      <c r="X301">
        <f t="shared" si="446"/>
        <v>-8.1000000000000032</v>
      </c>
      <c r="Y301">
        <f t="shared" si="447"/>
        <v>8.1000000000000032</v>
      </c>
      <c r="Z301">
        <f t="shared" si="448"/>
        <v>3.9230090491866063</v>
      </c>
      <c r="AA301">
        <f t="shared" si="448"/>
        <v>-3.9230090491866063</v>
      </c>
      <c r="AC301">
        <f t="shared" si="441"/>
        <v>-3.9230090491866063</v>
      </c>
      <c r="AE301">
        <v>9</v>
      </c>
      <c r="AF301">
        <v>45</v>
      </c>
      <c r="AG301" s="153">
        <f t="shared" si="442"/>
        <v>6.3639610306789285</v>
      </c>
      <c r="AH301" s="153">
        <f t="shared" si="443"/>
        <v>6.3639610306789276</v>
      </c>
      <c r="AI301">
        <v>9</v>
      </c>
      <c r="AJ301">
        <v>135</v>
      </c>
      <c r="AK301" s="153">
        <f t="shared" si="444"/>
        <v>-6.3639610306789276</v>
      </c>
      <c r="AL301" s="153">
        <f t="shared" si="445"/>
        <v>6.3639610306789285</v>
      </c>
    </row>
    <row r="302" spans="1:38" x14ac:dyDescent="0.25">
      <c r="X302">
        <f t="shared" si="446"/>
        <v>-8.0000000000000036</v>
      </c>
      <c r="Y302">
        <f t="shared" si="447"/>
        <v>8.0000000000000036</v>
      </c>
      <c r="Z302">
        <f t="shared" si="448"/>
        <v>4.1231056256176606</v>
      </c>
      <c r="AA302">
        <f t="shared" si="448"/>
        <v>-4.1231056256176606</v>
      </c>
      <c r="AC302">
        <f t="shared" si="441"/>
        <v>-4.1231056256176606</v>
      </c>
      <c r="AE302">
        <v>9</v>
      </c>
      <c r="AF302">
        <v>50</v>
      </c>
      <c r="AG302" s="153">
        <f t="shared" si="442"/>
        <v>5.7850884871788546</v>
      </c>
      <c r="AH302" s="153">
        <f t="shared" si="443"/>
        <v>6.894399988070802</v>
      </c>
      <c r="AI302">
        <v>9</v>
      </c>
      <c r="AJ302">
        <v>130</v>
      </c>
      <c r="AK302" s="153">
        <f t="shared" si="444"/>
        <v>-5.7850884871788546</v>
      </c>
      <c r="AL302" s="153">
        <f t="shared" si="445"/>
        <v>6.894399988070802</v>
      </c>
    </row>
    <row r="303" spans="1:38" x14ac:dyDescent="0.25">
      <c r="X303">
        <f t="shared" si="446"/>
        <v>-7.9000000000000039</v>
      </c>
      <c r="Y303">
        <f t="shared" si="447"/>
        <v>7.9000000000000039</v>
      </c>
      <c r="Z303">
        <f t="shared" si="448"/>
        <v>4.3116122274620192</v>
      </c>
      <c r="AA303">
        <f t="shared" si="448"/>
        <v>-4.3116122274620192</v>
      </c>
      <c r="AC303">
        <f t="shared" si="441"/>
        <v>-4.3116122274620192</v>
      </c>
      <c r="AE303">
        <v>9</v>
      </c>
      <c r="AF303">
        <v>55</v>
      </c>
      <c r="AG303" s="153">
        <f t="shared" si="442"/>
        <v>5.1621879271594153</v>
      </c>
      <c r="AH303" s="153">
        <f t="shared" si="443"/>
        <v>7.3723683986009263</v>
      </c>
      <c r="AI303">
        <v>9</v>
      </c>
      <c r="AJ303">
        <v>125</v>
      </c>
      <c r="AK303" s="153">
        <f t="shared" si="444"/>
        <v>-5.1621879271594153</v>
      </c>
      <c r="AL303" s="153">
        <f t="shared" si="445"/>
        <v>7.3723683986009254</v>
      </c>
    </row>
    <row r="304" spans="1:38" x14ac:dyDescent="0.25">
      <c r="A304" s="155" t="s">
        <v>92</v>
      </c>
      <c r="B304" s="155">
        <v>21</v>
      </c>
      <c r="C304" s="315"/>
      <c r="D304" s="315"/>
      <c r="E304" s="316"/>
      <c r="L304" s="155" t="s">
        <v>92</v>
      </c>
      <c r="M304" s="155">
        <v>21</v>
      </c>
      <c r="N304" s="315"/>
      <c r="O304" s="315"/>
      <c r="P304" s="316"/>
      <c r="X304">
        <f t="shared" si="446"/>
        <v>-7.8000000000000043</v>
      </c>
      <c r="Y304">
        <f t="shared" si="447"/>
        <v>7.8000000000000043</v>
      </c>
      <c r="Z304">
        <f t="shared" si="448"/>
        <v>4.4899888641287298</v>
      </c>
      <c r="AA304">
        <f t="shared" si="448"/>
        <v>-4.4899888641287298</v>
      </c>
      <c r="AC304">
        <f t="shared" si="441"/>
        <v>-4.4899888641287298</v>
      </c>
      <c r="AE304">
        <v>9</v>
      </c>
      <c r="AF304">
        <v>60</v>
      </c>
      <c r="AG304" s="153">
        <f t="shared" si="442"/>
        <v>4.5000000000000009</v>
      </c>
      <c r="AH304" s="153">
        <f t="shared" si="443"/>
        <v>7.7942286340599471</v>
      </c>
      <c r="AI304">
        <v>9</v>
      </c>
      <c r="AJ304">
        <v>120</v>
      </c>
      <c r="AK304" s="153">
        <f t="shared" si="444"/>
        <v>-4.4999999999999982</v>
      </c>
      <c r="AL304" s="153">
        <f t="shared" si="445"/>
        <v>7.794228634059948</v>
      </c>
    </row>
    <row r="305" spans="1:38" x14ac:dyDescent="0.25">
      <c r="A305" s="155" t="s">
        <v>91</v>
      </c>
      <c r="B305" s="155">
        <v>3</v>
      </c>
      <c r="C305" s="315"/>
      <c r="D305" s="315"/>
      <c r="E305" s="316"/>
      <c r="L305" s="155" t="s">
        <v>91</v>
      </c>
      <c r="M305" s="155">
        <v>3</v>
      </c>
      <c r="N305" s="315"/>
      <c r="O305" s="315"/>
      <c r="P305" s="316"/>
      <c r="X305">
        <f t="shared" si="446"/>
        <v>-7.7000000000000046</v>
      </c>
      <c r="Y305">
        <f t="shared" si="447"/>
        <v>7.7000000000000046</v>
      </c>
      <c r="Z305">
        <f t="shared" si="448"/>
        <v>4.6593991028886972</v>
      </c>
      <c r="AA305">
        <f t="shared" si="448"/>
        <v>-4.6593991028886972</v>
      </c>
      <c r="AC305">
        <f t="shared" si="441"/>
        <v>-4.5000000000000009</v>
      </c>
      <c r="AE305">
        <v>9</v>
      </c>
      <c r="AF305">
        <v>65</v>
      </c>
      <c r="AG305" s="153">
        <f t="shared" si="442"/>
        <v>3.8035643556662948</v>
      </c>
      <c r="AH305" s="153">
        <f t="shared" si="443"/>
        <v>8.1567700833298495</v>
      </c>
      <c r="AI305">
        <v>9</v>
      </c>
      <c r="AJ305">
        <v>115</v>
      </c>
      <c r="AK305" s="153">
        <f t="shared" si="444"/>
        <v>-3.8035643556662939</v>
      </c>
      <c r="AL305" s="153">
        <f t="shared" si="445"/>
        <v>8.1567700833298495</v>
      </c>
    </row>
    <row r="306" spans="1:38" x14ac:dyDescent="0.25">
      <c r="C306" s="154">
        <f>+IF(B305=$AI$63,B304,IF(B305=$AJ$63,$AI$64+B304,IF(B305=$AK$63,$AI$64+$AJ$64+B304,IF(B305=$AL$63,$AI$64+$AJ$64+$AK$64+B304,IF(B305=$AM$63,$AI$64+$AJ$64+$AK$64+$AL$64+B304,IF(B305=$AN$63,$AI$64+$AJ$64+$AK$64+$AL$64+$AM$64+B304,IF(B305=$AO$63,$AI$64+$AJ$64+$AK$64+$AL$64+$AM$64+$AN$64+B304,IF(B305=$AP$63,$AI$64+$AJ$64+$AK$64+$AL$64+$AM$64+$AN$64+$AO$64+B304,IF(B305=$AQ$63,$AI$64+$AJ$64+$AK$64+$AL$64+$AM$64+$AN$64+$AO$64+$AP$64+B304,IF(B305=$AR$63,$AI$64+$AJ$64+$AK$64+$AL$64+$AM$64+$AN$64+$AO$64+$AP$64+$AQ$64+B304,IF(B305=$AS$63,$AI$64+$AJ$64+$AK$64+$AL$64+$AM$64+$AN$64+$AO$64+$AP$64+$AQ$64+$AR$64+B304,IF(B305=$AT$63,$AI$64+$AJ$64+$AK$64+$AL$64+$AM$64+$AN$64+$AO$64+$AP$64+$AQ$64+$AR$64+$AS$64+B304,"error"))))))))))))</f>
        <v>80</v>
      </c>
      <c r="D306" s="38">
        <f>23.45*SIN(RADIANS(360*((284+C306)/365)))</f>
        <v>-0.40365320185431652</v>
      </c>
      <c r="E306" s="155">
        <v>65</v>
      </c>
      <c r="N306" s="154">
        <f>+IF(M305=$AI$63,M304,IF(M305=$AJ$63,$AI$64+M304,IF(M305=$AK$63,$AI$64+$AJ$64+M304,IF(M305=$AL$63,$AI$64+$AJ$64+$AK$64+M304,IF(M305=$AM$63,$AI$64+$AJ$64+$AK$64+$AL$64+M304,IF(M305=$AN$63,$AI$64+$AJ$64+$AK$64+$AL$64+$AM$64+M304,IF(M305=$AO$63,$AI$64+$AJ$64+$AK$64+$AL$64+$AM$64+$AN$64+M304,IF(M305=$AP$63,$AI$64+$AJ$64+$AK$64+$AL$64+$AM$64+$AN$64+$AO$64+M304,IF(M305=$AQ$63,$AI$64+$AJ$64+$AK$64+$AL$64+$AM$64+$AN$64+$AO$64+$AP$64+M304,IF(M305=$AR$63,$AI$64+$AJ$64+$AK$64+$AL$64+$AM$64+$AN$64+$AO$64+$AP$64+$AQ$64+M304,IF(M305=$AS$63,$AI$64+$AJ$64+$AK$64+$AL$64+$AM$64+$AN$64+$AO$64+$AP$64+$AQ$64+$AR$64+M304,IF(M305=$AT$63,$AI$64+$AJ$64+$AK$64+$AL$64+$AM$64+$AN$64+$AO$64+$AP$64+$AQ$64+$AR$64+$AS$64+M304,"error"))))))))))))</f>
        <v>80</v>
      </c>
      <c r="O306" s="38">
        <f>23.45*SIN(RADIANS(360*((284+N306)/365)))</f>
        <v>-0.40365320185431652</v>
      </c>
      <c r="P306" s="155">
        <v>70</v>
      </c>
      <c r="X306">
        <f t="shared" si="446"/>
        <v>-7.7000000000000046</v>
      </c>
      <c r="Y306">
        <f t="shared" si="447"/>
        <v>7.7000000000000046</v>
      </c>
      <c r="Z306">
        <f t="shared" si="448"/>
        <v>4.8207883172775805</v>
      </c>
      <c r="AA306">
        <f t="shared" si="448"/>
        <v>-4.8207883172775805</v>
      </c>
      <c r="AC306">
        <f t="shared" si="441"/>
        <v>-4.5000000000000009</v>
      </c>
      <c r="AE306">
        <v>9</v>
      </c>
      <c r="AF306">
        <v>70</v>
      </c>
      <c r="AG306" s="153">
        <f t="shared" si="442"/>
        <v>3.0781812899310195</v>
      </c>
      <c r="AH306" s="153">
        <f t="shared" si="443"/>
        <v>8.4572335870731745</v>
      </c>
      <c r="AI306">
        <v>9</v>
      </c>
      <c r="AJ306">
        <v>110</v>
      </c>
      <c r="AK306" s="153">
        <f t="shared" si="444"/>
        <v>-3.0781812899310186</v>
      </c>
      <c r="AL306" s="153">
        <f t="shared" si="445"/>
        <v>8.4572335870731763</v>
      </c>
    </row>
    <row r="307" spans="1:38" x14ac:dyDescent="0.25">
      <c r="B307" s="317" t="s">
        <v>90</v>
      </c>
      <c r="C307" s="315"/>
      <c r="D307" s="315"/>
      <c r="E307" s="315"/>
      <c r="G307" s="319" t="s">
        <v>89</v>
      </c>
      <c r="H307" s="319"/>
      <c r="I307" s="319" t="s">
        <v>42</v>
      </c>
      <c r="J307" s="319" t="s">
        <v>43</v>
      </c>
      <c r="M307" s="317" t="s">
        <v>90</v>
      </c>
      <c r="N307" s="315"/>
      <c r="O307" s="315"/>
      <c r="P307" s="315"/>
      <c r="R307" s="319" t="s">
        <v>89</v>
      </c>
      <c r="S307" s="319"/>
      <c r="T307" s="319" t="s">
        <v>42</v>
      </c>
      <c r="U307" s="319" t="s">
        <v>43</v>
      </c>
      <c r="X307">
        <f t="shared" si="446"/>
        <v>-7.7000000000000046</v>
      </c>
      <c r="Y307">
        <f t="shared" si="447"/>
        <v>7.7000000000000046</v>
      </c>
      <c r="Z307">
        <f t="shared" si="448"/>
        <v>4.9749371855330997</v>
      </c>
      <c r="AA307">
        <f t="shared" si="448"/>
        <v>-4.9749371855330997</v>
      </c>
      <c r="AC307">
        <f t="shared" si="441"/>
        <v>-4.5000000000000009</v>
      </c>
      <c r="AE307">
        <v>9</v>
      </c>
      <c r="AF307">
        <v>75</v>
      </c>
      <c r="AG307" s="153">
        <f t="shared" si="442"/>
        <v>2.3293714059226867</v>
      </c>
      <c r="AH307" s="153">
        <f t="shared" si="443"/>
        <v>8.6933324366016151</v>
      </c>
      <c r="AI307">
        <v>9</v>
      </c>
      <c r="AJ307">
        <v>105</v>
      </c>
      <c r="AK307" s="153">
        <f t="shared" si="444"/>
        <v>-2.3293714059226875</v>
      </c>
      <c r="AL307" s="153">
        <f t="shared" si="445"/>
        <v>8.6933324366016151</v>
      </c>
    </row>
    <row r="308" spans="1:38" x14ac:dyDescent="0.25">
      <c r="B308" s="318"/>
      <c r="C308" s="315"/>
      <c r="D308" s="315"/>
      <c r="E308" s="315"/>
      <c r="G308" s="319"/>
      <c r="H308" s="319"/>
      <c r="I308" s="319"/>
      <c r="J308" s="319"/>
      <c r="M308" s="318"/>
      <c r="N308" s="315"/>
      <c r="O308" s="315"/>
      <c r="P308" s="315"/>
      <c r="R308" s="319"/>
      <c r="S308" s="319"/>
      <c r="T308" s="319"/>
      <c r="U308" s="319"/>
      <c r="X308">
        <f t="shared" si="446"/>
        <v>-7.7000000000000046</v>
      </c>
      <c r="Y308">
        <f t="shared" si="447"/>
        <v>7.7000000000000046</v>
      </c>
      <c r="Z308">
        <f t="shared" si="448"/>
        <v>5.1224993899462783</v>
      </c>
      <c r="AA308">
        <f t="shared" si="448"/>
        <v>-5.1224993899462783</v>
      </c>
      <c r="AC308">
        <f t="shared" si="441"/>
        <v>-4.5000000000000009</v>
      </c>
      <c r="AE308">
        <v>9</v>
      </c>
      <c r="AF308">
        <v>80</v>
      </c>
      <c r="AG308" s="153">
        <f t="shared" si="442"/>
        <v>1.5628335990023738</v>
      </c>
      <c r="AH308" s="153">
        <f t="shared" si="443"/>
        <v>8.8632697771098723</v>
      </c>
      <c r="AI308">
        <v>9</v>
      </c>
      <c r="AJ308">
        <v>100</v>
      </c>
      <c r="AK308" s="153">
        <f t="shared" si="444"/>
        <v>-1.5628335990023727</v>
      </c>
      <c r="AL308" s="153">
        <f t="shared" si="445"/>
        <v>8.8632697771098723</v>
      </c>
    </row>
    <row r="309" spans="1:38" x14ac:dyDescent="0.25">
      <c r="B309" s="39">
        <v>0.25</v>
      </c>
      <c r="C309" s="38">
        <v>90</v>
      </c>
      <c r="D309" s="38">
        <f>+DEGREES(ASIN(COS(RADIANS(E306))*COS(RADIANS(D306))*COS(RADIANS(C309))+SIN(RADIANS(E306))*SIN(RADIANS(D306))))</f>
        <v>-0.36583349958776845</v>
      </c>
      <c r="E309" s="38">
        <f>180-DEGREES(ACOS((((SIN(RADIANS(D309)))*SIN(RADIANS(E306)))-SIN(RADIANS(D306)))/((COS(RADIANS(D309)))*COS(RADIANS(E306)))))</f>
        <v>90.170593532787294</v>
      </c>
      <c r="G309">
        <f t="shared" ref="G309:G321" si="449">9-(D309/10)</f>
        <v>9.0365833499587769</v>
      </c>
      <c r="H309">
        <f t="shared" ref="H309:H321" si="450">90-E309+$AH$172</f>
        <v>-0.17059353278729361</v>
      </c>
      <c r="I309" s="153">
        <f t="shared" ref="I309:I321" si="451">IF($E$306&gt;=$AE$174,0,G309*COS(RADIANS(H309)))</f>
        <v>0</v>
      </c>
      <c r="J309" s="153">
        <f t="shared" ref="J309:J321" si="452">IF($E$306&gt;=$AE$174,0,G309*SIN(RADIANS(H309)))</f>
        <v>0</v>
      </c>
      <c r="M309" s="39">
        <v>0.25</v>
      </c>
      <c r="N309" s="38">
        <v>90</v>
      </c>
      <c r="O309" s="38">
        <f>+DEGREES(ASIN(COS(RADIANS(P306))*COS(RADIANS(O306))*COS(RADIANS(N309))+SIN(RADIANS(P306))*SIN(RADIANS(O306))))</f>
        <v>-0.3793095680889908</v>
      </c>
      <c r="P309" s="38">
        <f>180-DEGREES(ACOS((((SIN(RADIANS(O309)))*SIN(RADIANS(P306)))-SIN(RADIANS(O306)))/((COS(RADIANS(O309)))*COS(RADIANS(P306)))))</f>
        <v>90.138059542874117</v>
      </c>
      <c r="R309">
        <f t="shared" ref="R309:R321" si="453">9-(O309/10)</f>
        <v>9.0379309568088999</v>
      </c>
      <c r="S309">
        <f t="shared" ref="S309:S321" si="454">90-P309+$AH$172</f>
        <v>-0.13805954287411737</v>
      </c>
      <c r="T309" s="153">
        <f t="shared" ref="T309:T321" si="455">IF($P$306&gt;=$AE$174,0,R309*COS(RADIANS(S309)))</f>
        <v>0</v>
      </c>
      <c r="U309" s="153">
        <f t="shared" ref="U309:U321" si="456">IF($P$306&gt;=$AE$174,0,R309*SIN(RADIANS(S309)))</f>
        <v>0</v>
      </c>
      <c r="X309">
        <f t="shared" si="446"/>
        <v>-7.7000000000000046</v>
      </c>
      <c r="Y309">
        <f t="shared" si="447"/>
        <v>7.7000000000000046</v>
      </c>
      <c r="Z309">
        <f t="shared" si="448"/>
        <v>5.2640288753007427</v>
      </c>
      <c r="AA309">
        <f t="shared" si="448"/>
        <v>-5.2640288753007427</v>
      </c>
      <c r="AC309">
        <f t="shared" si="441"/>
        <v>-4.5000000000000009</v>
      </c>
      <c r="AE309">
        <v>9</v>
      </c>
      <c r="AF309">
        <v>85</v>
      </c>
      <c r="AG309" s="153">
        <f t="shared" si="442"/>
        <v>0.78440168472892324</v>
      </c>
      <c r="AH309" s="153">
        <f t="shared" si="443"/>
        <v>8.9657522828257097</v>
      </c>
      <c r="AI309">
        <v>9</v>
      </c>
      <c r="AJ309">
        <v>95</v>
      </c>
      <c r="AK309" s="153">
        <f t="shared" si="444"/>
        <v>-0.78440168472892413</v>
      </c>
      <c r="AL309" s="153">
        <f t="shared" si="445"/>
        <v>8.9657522828257097</v>
      </c>
    </row>
    <row r="310" spans="1:38" x14ac:dyDescent="0.25">
      <c r="B310" s="39">
        <v>0.29166666666666669</v>
      </c>
      <c r="C310">
        <v>75</v>
      </c>
      <c r="D310" s="38">
        <f>+DEGREES(ASIN(COS(RADIANS(E306))*COS(RADIANS(D306))*COS(RADIANS(C310))+SIN(RADIANS(E306))*SIN(RADIANS(D306))))</f>
        <v>5.9116037078203902</v>
      </c>
      <c r="E310" s="38">
        <f>180-DEGREES(ACOS((((SIN(RADIANS(D310)))*SIN(RADIANS(E306)))-SIN(RADIANS(D306)))/((COS(RADIANS(D310)))*COS(RADIANS(E306)))))</f>
        <v>103.81639011062393</v>
      </c>
      <c r="G310">
        <f t="shared" si="449"/>
        <v>8.4088396292179617</v>
      </c>
      <c r="H310">
        <f t="shared" si="450"/>
        <v>-13.816390110623928</v>
      </c>
      <c r="I310" s="153">
        <f t="shared" si="451"/>
        <v>0</v>
      </c>
      <c r="J310" s="153">
        <f t="shared" si="452"/>
        <v>0</v>
      </c>
      <c r="M310" s="39">
        <v>0.29166666666666669</v>
      </c>
      <c r="N310">
        <v>75</v>
      </c>
      <c r="O310" s="38">
        <f>+DEGREES(ASIN(COS(RADIANS(P306))*COS(RADIANS(O306))*COS(RADIANS(N310))+SIN(RADIANS(P306))*SIN(RADIANS(O306))))</f>
        <v>4.6977274021092281</v>
      </c>
      <c r="P310" s="38">
        <f>180-DEGREES(ACOS((((SIN(RADIANS(O310)))*SIN(RADIANS(P306)))-SIN(RADIANS(O306)))/((COS(RADIANS(O310)))*COS(RADIANS(P306)))))</f>
        <v>104.26705192605095</v>
      </c>
      <c r="R310">
        <f t="shared" si="453"/>
        <v>8.5302272597890774</v>
      </c>
      <c r="S310">
        <f t="shared" si="454"/>
        <v>-14.267051926050954</v>
      </c>
      <c r="T310" s="153">
        <f t="shared" si="455"/>
        <v>0</v>
      </c>
      <c r="U310" s="153">
        <f t="shared" si="456"/>
        <v>0</v>
      </c>
      <c r="X310">
        <f t="shared" si="446"/>
        <v>-7.7000000000000046</v>
      </c>
      <c r="Y310">
        <f t="shared" si="447"/>
        <v>7.7000000000000046</v>
      </c>
      <c r="Z310">
        <f t="shared" si="448"/>
        <v>5.3999999999999995</v>
      </c>
      <c r="AA310">
        <f t="shared" si="448"/>
        <v>-5.3999999999999995</v>
      </c>
      <c r="AC310">
        <f t="shared" si="441"/>
        <v>-4.5000000000000009</v>
      </c>
      <c r="AE310">
        <v>9</v>
      </c>
      <c r="AF310">
        <v>90</v>
      </c>
      <c r="AG310" s="153">
        <f t="shared" si="442"/>
        <v>5.51316804708879E-16</v>
      </c>
      <c r="AH310" s="153">
        <f t="shared" si="443"/>
        <v>9</v>
      </c>
      <c r="AI310">
        <v>9</v>
      </c>
      <c r="AJ310">
        <v>90</v>
      </c>
      <c r="AK310" s="153">
        <f t="shared" si="444"/>
        <v>5.51316804708879E-16</v>
      </c>
      <c r="AL310" s="153">
        <f t="shared" si="445"/>
        <v>9</v>
      </c>
    </row>
    <row r="311" spans="1:38" x14ac:dyDescent="0.25">
      <c r="B311" s="39">
        <v>0.33333333333333298</v>
      </c>
      <c r="C311" s="38">
        <v>60</v>
      </c>
      <c r="D311" s="38">
        <f>+DEGREES(ASIN(COS(RADIANS(E306))*COS(RADIANS(D306))*COS(RADIANS(C311))+SIN(RADIANS(E306))*SIN(RADIANS(D306))))</f>
        <v>11.824753402368048</v>
      </c>
      <c r="E311" s="38">
        <f>180-DEGREES(ACOS((((SIN(RADIANS(D311)))*SIN(RADIANS(E306)))-SIN(RADIANS(D306)))/((COS(RADIANS(D311)))*COS(RADIANS(E306)))))</f>
        <v>117.77555573647268</v>
      </c>
      <c r="G311">
        <f t="shared" si="449"/>
        <v>7.8175246597631958</v>
      </c>
      <c r="H311">
        <f t="shared" si="450"/>
        <v>-27.775555736472683</v>
      </c>
      <c r="I311" s="153">
        <f t="shared" si="451"/>
        <v>0</v>
      </c>
      <c r="J311" s="153">
        <f t="shared" si="452"/>
        <v>0</v>
      </c>
      <c r="M311" s="39">
        <v>0.33333333333333298</v>
      </c>
      <c r="N311" s="38">
        <v>60</v>
      </c>
      <c r="O311" s="38">
        <f>+DEGREES(ASIN(COS(RADIANS(P306))*COS(RADIANS(O306))*COS(RADIANS(N311))+SIN(RADIANS(P306))*SIN(RADIANS(O306))))</f>
        <v>9.4615489668857755</v>
      </c>
      <c r="P311" s="38">
        <f>180-DEGREES(ACOS((((SIN(RADIANS(O311)))*SIN(RADIANS(P306)))-SIN(RADIANS(O306)))/((COS(RADIANS(O311)))*COS(RADIANS(P306)))))</f>
        <v>118.60425981921006</v>
      </c>
      <c r="R311">
        <f t="shared" si="453"/>
        <v>8.0538451033114224</v>
      </c>
      <c r="S311">
        <f t="shared" si="454"/>
        <v>-28.604259819210057</v>
      </c>
      <c r="T311" s="153">
        <f t="shared" si="455"/>
        <v>0</v>
      </c>
      <c r="U311" s="153">
        <f t="shared" si="456"/>
        <v>0</v>
      </c>
      <c r="X311">
        <f t="shared" si="446"/>
        <v>-7.7000000000000046</v>
      </c>
      <c r="Y311">
        <f t="shared" si="447"/>
        <v>7.7000000000000046</v>
      </c>
      <c r="Z311">
        <f t="shared" si="448"/>
        <v>5.5308227236099334</v>
      </c>
      <c r="AA311">
        <f t="shared" si="448"/>
        <v>-5.5308227236099334</v>
      </c>
      <c r="AC311">
        <f t="shared" si="441"/>
        <v>-4.5000000000000009</v>
      </c>
    </row>
    <row r="312" spans="1:38" x14ac:dyDescent="0.25">
      <c r="B312" s="39">
        <v>0.375</v>
      </c>
      <c r="C312">
        <v>45</v>
      </c>
      <c r="D312" s="38">
        <f>+DEGREES(ASIN(COS(RADIANS(E306))*COS(RADIANS(D306))*COS(RADIANS(C312))+SIN(RADIANS(E306))*SIN(RADIANS(D306))))</f>
        <v>17.004323559235768</v>
      </c>
      <c r="E312" s="38">
        <f>180-DEGREES(ACOS((((SIN(RADIANS(D312)))*SIN(RADIANS(E306)))-SIN(RADIANS(D306)))/((COS(RADIANS(D312)))*COS(RADIANS(E306)))))</f>
        <v>132.31844102395206</v>
      </c>
      <c r="G312">
        <f t="shared" si="449"/>
        <v>7.299567644076423</v>
      </c>
      <c r="H312">
        <f t="shared" si="450"/>
        <v>-42.318441023952062</v>
      </c>
      <c r="I312" s="153">
        <f t="shared" si="451"/>
        <v>0</v>
      </c>
      <c r="J312" s="153">
        <f t="shared" si="452"/>
        <v>0</v>
      </c>
      <c r="M312" s="39">
        <v>0.375</v>
      </c>
      <c r="N312">
        <v>45</v>
      </c>
      <c r="O312" s="38">
        <f>+DEGREES(ASIN(COS(RADIANS(P306))*COS(RADIANS(O306))*COS(RADIANS(N312))+SIN(RADIANS(P306))*SIN(RADIANS(O306))))</f>
        <v>13.604509338364645</v>
      </c>
      <c r="P312" s="38">
        <f>180-DEGREES(ACOS((((SIN(RADIANS(O312)))*SIN(RADIANS(P306)))-SIN(RADIANS(O306)))/((COS(RADIANS(O312)))*COS(RADIANS(P306)))))</f>
        <v>133.32269035473772</v>
      </c>
      <c r="R312">
        <f t="shared" si="453"/>
        <v>7.6395490661635357</v>
      </c>
      <c r="S312">
        <f t="shared" si="454"/>
        <v>-43.322690354737716</v>
      </c>
      <c r="T312" s="153">
        <f t="shared" si="455"/>
        <v>0</v>
      </c>
      <c r="U312" s="153">
        <f t="shared" si="456"/>
        <v>0</v>
      </c>
      <c r="X312">
        <f t="shared" si="446"/>
        <v>-7.7000000000000046</v>
      </c>
      <c r="Y312">
        <f t="shared" si="447"/>
        <v>7.7000000000000046</v>
      </c>
      <c r="Z312">
        <f t="shared" si="448"/>
        <v>5.6568542494923806</v>
      </c>
      <c r="AA312">
        <f t="shared" si="448"/>
        <v>-5.6568542494923806</v>
      </c>
      <c r="AC312">
        <f t="shared" si="441"/>
        <v>-4.5000000000000009</v>
      </c>
    </row>
    <row r="313" spans="1:38" x14ac:dyDescent="0.25">
      <c r="B313" s="39">
        <v>0.41666666666666702</v>
      </c>
      <c r="C313" s="38">
        <v>30</v>
      </c>
      <c r="D313" s="38">
        <f>+DEGREES(ASIN(COS(RADIANS(E306))*COS(RADIANS(D306))*COS(RADIANS(C313))+SIN(RADIANS(E306))*SIN(RADIANS(D306))))</f>
        <v>21.075885200844958</v>
      </c>
      <c r="E313" s="38">
        <f>180-DEGREES(ACOS((((SIN(RADIANS(D313)))*SIN(RADIANS(E306)))-SIN(RADIANS(D306)))/((COS(RADIANS(D313)))*COS(RADIANS(E306)))))</f>
        <v>147.59964022587681</v>
      </c>
      <c r="G313">
        <f t="shared" si="449"/>
        <v>6.8924114799155038</v>
      </c>
      <c r="H313">
        <f t="shared" si="450"/>
        <v>-57.599640225876811</v>
      </c>
      <c r="I313" s="153">
        <f t="shared" si="451"/>
        <v>0</v>
      </c>
      <c r="J313" s="153">
        <f t="shared" si="452"/>
        <v>0</v>
      </c>
      <c r="M313" s="39">
        <v>0.41666666666666702</v>
      </c>
      <c r="N313" s="38">
        <v>30</v>
      </c>
      <c r="O313" s="38">
        <f>+DEGREES(ASIN(COS(RADIANS(P306))*COS(RADIANS(O306))*COS(RADIANS(N313))+SIN(RADIANS(P306))*SIN(RADIANS(O306))))</f>
        <v>16.832251996477833</v>
      </c>
      <c r="P313" s="38">
        <f>180-DEGREES(ACOS((((SIN(RADIANS(O313)))*SIN(RADIANS(P306)))-SIN(RADIANS(O306)))/((COS(RADIANS(O313)))*COS(RADIANS(P306)))))</f>
        <v>148.5088022488394</v>
      </c>
      <c r="R313">
        <f t="shared" si="453"/>
        <v>7.3167748003522171</v>
      </c>
      <c r="S313">
        <f t="shared" si="454"/>
        <v>-58.508802248839402</v>
      </c>
      <c r="T313" s="153">
        <f t="shared" si="455"/>
        <v>0</v>
      </c>
      <c r="U313" s="153">
        <f t="shared" si="456"/>
        <v>0</v>
      </c>
      <c r="X313">
        <f t="shared" si="446"/>
        <v>-7.7000000000000046</v>
      </c>
      <c r="Y313">
        <f t="shared" si="447"/>
        <v>7.7000000000000046</v>
      </c>
      <c r="Z313">
        <f t="shared" si="448"/>
        <v>5.7784080852774666</v>
      </c>
      <c r="AA313">
        <f t="shared" si="448"/>
        <v>-5.7784080852774666</v>
      </c>
      <c r="AC313">
        <f t="shared" si="441"/>
        <v>-4.5000000000000009</v>
      </c>
      <c r="AE313" s="153">
        <f t="shared" ref="AE313:AE331" si="457">+IF($AF$111="si",9,0)</f>
        <v>9</v>
      </c>
      <c r="AF313">
        <f t="shared" ref="AF313:AF331" si="458">IF($AE$51&lt;0,IF(AF292&lt;-$AE$51,AF292+$AE$48,-$AE$51+$AE$48),IF(-AF292&gt;-$AE$51,-AF292+$AE$48,-$AE$51+$AE$48))</f>
        <v>0</v>
      </c>
      <c r="AG313" s="153">
        <f t="shared" ref="AG313:AG331" si="459">+AE313*COS(RADIANS(AF313))</f>
        <v>9</v>
      </c>
      <c r="AH313" s="153">
        <f t="shared" ref="AH313:AH331" si="460">+AE313*SIN(RADIANS(AF313))</f>
        <v>0</v>
      </c>
      <c r="AI313" s="153">
        <f t="shared" ref="AI313:AI331" si="461">+IF($AF$111="si",9,0)</f>
        <v>9</v>
      </c>
      <c r="AJ313">
        <f t="shared" ref="AJ313:AJ331" si="462">IF($AE$51&lt;0,IF(AF292&lt;-$AE$51,AJ292+$AE$48,$AE$52+$AE$48),IF(-AF292&gt;-$AE$51,-AJ292+$AE$48,$AE$52+$AE$48))</f>
        <v>-180</v>
      </c>
      <c r="AK313" s="153">
        <f t="shared" ref="AK313:AK331" si="463">+AI313*COS(RADIANS(AJ313))</f>
        <v>-9</v>
      </c>
      <c r="AL313" s="153">
        <f t="shared" ref="AL313:AL331" si="464">+AI313*SIN(RADIANS(AJ313))</f>
        <v>-1.102633609417758E-15</v>
      </c>
    </row>
    <row r="314" spans="1:38" x14ac:dyDescent="0.25">
      <c r="B314" s="39">
        <v>0.45833333333333298</v>
      </c>
      <c r="C314">
        <v>15</v>
      </c>
      <c r="D314" s="38">
        <f>+DEGREES(ASIN(COS(RADIANS(E306))*COS(RADIANS(D306))*COS(RADIANS(C314))+SIN(RADIANS(E306))*SIN(RADIANS(D306))))</f>
        <v>23.692180533284578</v>
      </c>
      <c r="E314" s="38">
        <f>180-DEGREES(ACOS((((SIN(RADIANS(D314)))*SIN(RADIANS(E306)))-SIN(RADIANS(D306)))/((COS(RADIANS(D314)))*COS(RADIANS(E306)))))</f>
        <v>163.58254387307608</v>
      </c>
      <c r="G314">
        <f t="shared" si="449"/>
        <v>6.6307819466715419</v>
      </c>
      <c r="H314">
        <f t="shared" si="450"/>
        <v>-73.582543873076077</v>
      </c>
      <c r="I314" s="153">
        <f t="shared" si="451"/>
        <v>0</v>
      </c>
      <c r="J314" s="153">
        <f t="shared" si="452"/>
        <v>0</v>
      </c>
      <c r="M314" s="39">
        <v>0.45833333333333298</v>
      </c>
      <c r="N314">
        <v>15</v>
      </c>
      <c r="O314" s="38">
        <f>+DEGREES(ASIN(COS(RADIANS(P306))*COS(RADIANS(O306))*COS(RADIANS(N314))+SIN(RADIANS(P306))*SIN(RADIANS(O306))))</f>
        <v>18.889118792360932</v>
      </c>
      <c r="P314" s="38">
        <f>180-DEGREES(ACOS((((SIN(RADIANS(O314)))*SIN(RADIANS(P306)))-SIN(RADIANS(O306)))/((COS(RADIANS(O314)))*COS(RADIANS(P306)))))</f>
        <v>164.12474610310346</v>
      </c>
      <c r="R314">
        <f t="shared" si="453"/>
        <v>7.111088120763907</v>
      </c>
      <c r="S314">
        <f t="shared" si="454"/>
        <v>-74.124746103103462</v>
      </c>
      <c r="T314" s="153">
        <f t="shared" si="455"/>
        <v>0</v>
      </c>
      <c r="U314" s="153">
        <f t="shared" si="456"/>
        <v>0</v>
      </c>
      <c r="X314">
        <f t="shared" si="446"/>
        <v>-7.7000000000000046</v>
      </c>
      <c r="Y314">
        <f t="shared" si="447"/>
        <v>7.7000000000000046</v>
      </c>
      <c r="Z314">
        <f t="shared" si="448"/>
        <v>5.89576118919347</v>
      </c>
      <c r="AA314">
        <f t="shared" si="448"/>
        <v>-5.89576118919347</v>
      </c>
      <c r="AC314">
        <f t="shared" si="441"/>
        <v>-4.5000000000000009</v>
      </c>
      <c r="AE314" s="153">
        <f t="shared" si="457"/>
        <v>9</v>
      </c>
      <c r="AF314">
        <f t="shared" si="458"/>
        <v>-5</v>
      </c>
      <c r="AG314" s="153">
        <f t="shared" si="459"/>
        <v>8.9657522828257097</v>
      </c>
      <c r="AH314" s="153">
        <f t="shared" si="460"/>
        <v>-0.78440168472892347</v>
      </c>
      <c r="AI314" s="153">
        <f t="shared" si="461"/>
        <v>9</v>
      </c>
      <c r="AJ314">
        <f t="shared" si="462"/>
        <v>-175</v>
      </c>
      <c r="AK314" s="153">
        <f t="shared" si="463"/>
        <v>-8.9657522828257097</v>
      </c>
      <c r="AL314" s="153">
        <f t="shared" si="464"/>
        <v>-0.78440168472892369</v>
      </c>
    </row>
    <row r="315" spans="1:38" x14ac:dyDescent="0.25">
      <c r="B315" s="39">
        <v>0.5</v>
      </c>
      <c r="C315" s="38">
        <v>0</v>
      </c>
      <c r="D315" s="38">
        <f>+DEGREES(ASIN(COS(RADIANS(E306))*COS(RADIANS(D306))*COS(RADIANS(C315))+SIN(RADIANS(E306))*SIN(RADIANS(D306))))</f>
        <v>24.596346798145682</v>
      </c>
      <c r="E315" s="38">
        <f>+IF(E306&gt;=0,180,0)</f>
        <v>180</v>
      </c>
      <c r="G315">
        <f t="shared" si="449"/>
        <v>6.5403653201854315</v>
      </c>
      <c r="H315">
        <f t="shared" si="450"/>
        <v>-90</v>
      </c>
      <c r="I315" s="153">
        <f t="shared" si="451"/>
        <v>0</v>
      </c>
      <c r="J315" s="153">
        <f t="shared" si="452"/>
        <v>0</v>
      </c>
      <c r="M315" s="39">
        <v>0.5</v>
      </c>
      <c r="N315" s="38">
        <v>0</v>
      </c>
      <c r="O315" s="38">
        <f>+DEGREES(ASIN(COS(RADIANS(P306))*COS(RADIANS(O306))*COS(RADIANS(N315))+SIN(RADIANS(P306))*SIN(RADIANS(O306))))</f>
        <v>19.596346798145689</v>
      </c>
      <c r="P315" s="38">
        <f>+IF(P306&gt;=0,180,0)</f>
        <v>180</v>
      </c>
      <c r="R315">
        <f t="shared" si="453"/>
        <v>7.0403653201854315</v>
      </c>
      <c r="S315">
        <f t="shared" si="454"/>
        <v>-90</v>
      </c>
      <c r="T315" s="153">
        <f t="shared" si="455"/>
        <v>0</v>
      </c>
      <c r="U315" s="153">
        <f t="shared" si="456"/>
        <v>0</v>
      </c>
      <c r="X315">
        <f t="shared" si="446"/>
        <v>-7.7000000000000046</v>
      </c>
      <c r="Y315">
        <f t="shared" si="447"/>
        <v>7.7000000000000046</v>
      </c>
      <c r="Z315">
        <f t="shared" si="448"/>
        <v>6.009159675029446</v>
      </c>
      <c r="AA315">
        <f t="shared" si="448"/>
        <v>-6.009159675029446</v>
      </c>
      <c r="AC315">
        <f t="shared" si="441"/>
        <v>-4.5000000000000009</v>
      </c>
      <c r="AE315" s="153">
        <f t="shared" si="457"/>
        <v>9</v>
      </c>
      <c r="AF315">
        <f t="shared" si="458"/>
        <v>-10</v>
      </c>
      <c r="AG315" s="153">
        <f t="shared" si="459"/>
        <v>8.8632697771098723</v>
      </c>
      <c r="AH315" s="153">
        <f t="shared" si="460"/>
        <v>-1.562833599002373</v>
      </c>
      <c r="AI315" s="153">
        <f t="shared" si="461"/>
        <v>9</v>
      </c>
      <c r="AJ315">
        <f t="shared" si="462"/>
        <v>-170</v>
      </c>
      <c r="AK315" s="153">
        <f t="shared" si="463"/>
        <v>-8.8632697771098723</v>
      </c>
      <c r="AL315" s="153">
        <f t="shared" si="464"/>
        <v>-1.5628335990023725</v>
      </c>
    </row>
    <row r="316" spans="1:38" x14ac:dyDescent="0.25">
      <c r="B316" s="39">
        <v>0.54166666666666696</v>
      </c>
      <c r="C316">
        <v>-15</v>
      </c>
      <c r="D316" s="38">
        <f>+DEGREES(ASIN(COS(RADIANS(E306))*COS(RADIANS(D306))*COS(RADIANS(C316))+SIN(RADIANS(E306))*SIN(RADIANS(D306))))</f>
        <v>23.692180533284578</v>
      </c>
      <c r="E316" s="38">
        <f>-(180-DEGREES(ACOS((((SIN(RADIANS(D316)))*SIN(RADIANS(E306)))-SIN(RADIANS(D306)))/((COS(RADIANS(D316)))*COS(RADIANS(E306))))))</f>
        <v>-163.58254387307608</v>
      </c>
      <c r="G316">
        <f t="shared" si="449"/>
        <v>6.6307819466715419</v>
      </c>
      <c r="H316">
        <f t="shared" si="450"/>
        <v>253.58254387307608</v>
      </c>
      <c r="I316" s="153">
        <f t="shared" si="451"/>
        <v>0</v>
      </c>
      <c r="J316" s="153">
        <f t="shared" si="452"/>
        <v>0</v>
      </c>
      <c r="M316" s="39">
        <v>0.54166666666666696</v>
      </c>
      <c r="N316">
        <v>-15</v>
      </c>
      <c r="O316" s="38">
        <f>+DEGREES(ASIN(COS(RADIANS(P306))*COS(RADIANS(O306))*COS(RADIANS(N316))+SIN(RADIANS(P306))*SIN(RADIANS(O306))))</f>
        <v>18.889118792360932</v>
      </c>
      <c r="P316" s="38">
        <f>-(180-DEGREES(ACOS((((SIN(RADIANS(O316)))*SIN(RADIANS(P306)))-SIN(RADIANS(O306)))/((COS(RADIANS(O316)))*COS(RADIANS(P306))))))</f>
        <v>-164.12474610310346</v>
      </c>
      <c r="R316">
        <f t="shared" si="453"/>
        <v>7.111088120763907</v>
      </c>
      <c r="S316">
        <f t="shared" si="454"/>
        <v>254.12474610310346</v>
      </c>
      <c r="T316" s="153">
        <f t="shared" si="455"/>
        <v>0</v>
      </c>
      <c r="U316" s="153">
        <f t="shared" si="456"/>
        <v>0</v>
      </c>
      <c r="X316">
        <f t="shared" si="446"/>
        <v>-7.7000000000000046</v>
      </c>
      <c r="Y316">
        <f t="shared" si="447"/>
        <v>7.7000000000000046</v>
      </c>
      <c r="Z316">
        <f t="shared" si="448"/>
        <v>6.1188234163113426</v>
      </c>
      <c r="AA316">
        <f t="shared" si="448"/>
        <v>-6.1188234163113426</v>
      </c>
      <c r="AC316">
        <f t="shared" si="441"/>
        <v>-4.5000000000000009</v>
      </c>
      <c r="AE316" s="153">
        <f t="shared" si="457"/>
        <v>9</v>
      </c>
      <c r="AF316">
        <f t="shared" si="458"/>
        <v>-15</v>
      </c>
      <c r="AG316" s="153">
        <f t="shared" si="459"/>
        <v>8.6933324366016151</v>
      </c>
      <c r="AH316" s="153">
        <f t="shared" si="460"/>
        <v>-2.3293714059226867</v>
      </c>
      <c r="AI316" s="153">
        <f t="shared" si="461"/>
        <v>9</v>
      </c>
      <c r="AJ316">
        <f t="shared" si="462"/>
        <v>-165</v>
      </c>
      <c r="AK316" s="153">
        <f t="shared" si="463"/>
        <v>-8.6933324366016134</v>
      </c>
      <c r="AL316" s="153">
        <f t="shared" si="464"/>
        <v>-2.3293714059226893</v>
      </c>
    </row>
    <row r="317" spans="1:38" x14ac:dyDescent="0.25">
      <c r="B317" s="39">
        <v>0.58333333333333304</v>
      </c>
      <c r="C317" s="38">
        <v>-30</v>
      </c>
      <c r="D317" s="38">
        <f>+DEGREES(ASIN(COS(RADIANS(E306))*COS(RADIANS(D306))*COS(RADIANS(C317))+SIN(RADIANS(E306))*SIN(RADIANS(D306))))</f>
        <v>21.075885200844958</v>
      </c>
      <c r="E317" s="38">
        <f>-(180-DEGREES(ACOS((((SIN(RADIANS(D317)))*SIN(RADIANS(E306)))-SIN(RADIANS(D306)))/((COS(RADIANS(D317)))*COS(RADIANS(E306))))))</f>
        <v>-147.59964022587681</v>
      </c>
      <c r="G317">
        <f t="shared" si="449"/>
        <v>6.8924114799155038</v>
      </c>
      <c r="H317">
        <f t="shared" si="450"/>
        <v>237.59964022587681</v>
      </c>
      <c r="I317" s="153">
        <f t="shared" si="451"/>
        <v>0</v>
      </c>
      <c r="J317" s="153">
        <f t="shared" si="452"/>
        <v>0</v>
      </c>
      <c r="M317" s="39">
        <v>0.58333333333333304</v>
      </c>
      <c r="N317" s="38">
        <v>-30</v>
      </c>
      <c r="O317" s="38">
        <f>+DEGREES(ASIN(COS(RADIANS(P306))*COS(RADIANS(O306))*COS(RADIANS(N317))+SIN(RADIANS(P306))*SIN(RADIANS(O306))))</f>
        <v>16.832251996477833</v>
      </c>
      <c r="P317" s="38">
        <f>-(180-DEGREES(ACOS((((SIN(RADIANS(O317)))*SIN(RADIANS(P306)))-SIN(RADIANS(O306)))/((COS(RADIANS(O317)))*COS(RADIANS(P306))))))</f>
        <v>-148.5088022488394</v>
      </c>
      <c r="R317">
        <f t="shared" si="453"/>
        <v>7.3167748003522171</v>
      </c>
      <c r="S317">
        <f t="shared" si="454"/>
        <v>238.5088022488394</v>
      </c>
      <c r="T317" s="153">
        <f t="shared" si="455"/>
        <v>0</v>
      </c>
      <c r="U317" s="153">
        <f t="shared" si="456"/>
        <v>0</v>
      </c>
      <c r="X317">
        <f t="shared" si="446"/>
        <v>-7.7000000000000046</v>
      </c>
      <c r="Y317">
        <f t="shared" si="447"/>
        <v>7.7000000000000046</v>
      </c>
      <c r="Z317">
        <f t="shared" si="448"/>
        <v>6.2249497989943663</v>
      </c>
      <c r="AA317">
        <f t="shared" si="448"/>
        <v>-6.2249497989943663</v>
      </c>
      <c r="AC317">
        <f t="shared" si="441"/>
        <v>-4.5000000000000009</v>
      </c>
      <c r="AE317" s="153">
        <f t="shared" si="457"/>
        <v>9</v>
      </c>
      <c r="AF317">
        <f t="shared" si="458"/>
        <v>-20</v>
      </c>
      <c r="AG317" s="153">
        <f t="shared" si="459"/>
        <v>8.4572335870731763</v>
      </c>
      <c r="AH317" s="153">
        <f t="shared" si="460"/>
        <v>-3.0781812899310186</v>
      </c>
      <c r="AI317" s="153">
        <f t="shared" si="461"/>
        <v>9</v>
      </c>
      <c r="AJ317">
        <f t="shared" si="462"/>
        <v>-160</v>
      </c>
      <c r="AK317" s="153">
        <f t="shared" si="463"/>
        <v>-8.4572335870731745</v>
      </c>
      <c r="AL317" s="153">
        <f t="shared" si="464"/>
        <v>-3.0781812899310199</v>
      </c>
    </row>
    <row r="318" spans="1:38" x14ac:dyDescent="0.25">
      <c r="B318" s="39">
        <v>0.625</v>
      </c>
      <c r="C318">
        <v>-45</v>
      </c>
      <c r="D318" s="38">
        <f>+DEGREES(ASIN(COS(RADIANS(E306))*COS(RADIANS(D306))*COS(RADIANS(C318))+SIN(RADIANS(E306))*SIN(RADIANS(D306))))</f>
        <v>17.004323559235768</v>
      </c>
      <c r="E318" s="38">
        <f>-(180-DEGREES(ACOS((((SIN(RADIANS(D318)))*SIN(RADIANS(E306)))-SIN(RADIANS(D306)))/((COS(RADIANS(D318)))*COS(RADIANS(E306))))))</f>
        <v>-132.31844102395206</v>
      </c>
      <c r="G318">
        <f t="shared" si="449"/>
        <v>7.299567644076423</v>
      </c>
      <c r="H318">
        <f t="shared" si="450"/>
        <v>222.31844102395206</v>
      </c>
      <c r="I318" s="153">
        <f t="shared" si="451"/>
        <v>0</v>
      </c>
      <c r="J318" s="153">
        <f t="shared" si="452"/>
        <v>0</v>
      </c>
      <c r="M318" s="39">
        <v>0.625</v>
      </c>
      <c r="N318">
        <v>-45</v>
      </c>
      <c r="O318" s="38">
        <f>+DEGREES(ASIN(COS(RADIANS(P306))*COS(RADIANS(O306))*COS(RADIANS(N318))+SIN(RADIANS(P306))*SIN(RADIANS(O306))))</f>
        <v>13.604509338364645</v>
      </c>
      <c r="P318" s="38">
        <f>-(180-DEGREES(ACOS((((SIN(RADIANS(O318)))*SIN(RADIANS(P306)))-SIN(RADIANS(O306)))/((COS(RADIANS(O318)))*COS(RADIANS(P306))))))</f>
        <v>-133.32269035473772</v>
      </c>
      <c r="R318">
        <f t="shared" si="453"/>
        <v>7.6395490661635357</v>
      </c>
      <c r="S318">
        <f t="shared" si="454"/>
        <v>223.32269035473772</v>
      </c>
      <c r="T318" s="153">
        <f t="shared" si="455"/>
        <v>0</v>
      </c>
      <c r="U318" s="153">
        <f t="shared" si="456"/>
        <v>0</v>
      </c>
      <c r="X318">
        <f t="shared" si="446"/>
        <v>-7.7000000000000046</v>
      </c>
      <c r="Y318">
        <f t="shared" si="447"/>
        <v>7.7000000000000046</v>
      </c>
      <c r="Z318">
        <f t="shared" si="448"/>
        <v>6.327716807822549</v>
      </c>
      <c r="AA318">
        <f t="shared" si="448"/>
        <v>-6.327716807822549</v>
      </c>
      <c r="AC318">
        <f t="shared" si="441"/>
        <v>-4.5000000000000009</v>
      </c>
      <c r="AE318" s="153">
        <f t="shared" si="457"/>
        <v>9</v>
      </c>
      <c r="AF318">
        <f t="shared" si="458"/>
        <v>-25</v>
      </c>
      <c r="AG318" s="153">
        <f t="shared" si="459"/>
        <v>8.1567700833298495</v>
      </c>
      <c r="AH318" s="153">
        <f t="shared" si="460"/>
        <v>-3.8035643556662948</v>
      </c>
      <c r="AI318" s="153">
        <f t="shared" si="461"/>
        <v>9</v>
      </c>
      <c r="AJ318">
        <f t="shared" si="462"/>
        <v>-155</v>
      </c>
      <c r="AK318" s="153">
        <f t="shared" si="463"/>
        <v>-8.1567700833298495</v>
      </c>
      <c r="AL318" s="153">
        <f t="shared" si="464"/>
        <v>-3.8035643556662952</v>
      </c>
    </row>
    <row r="319" spans="1:38" x14ac:dyDescent="0.25">
      <c r="B319" s="39">
        <v>0.66666666666666696</v>
      </c>
      <c r="C319" s="38">
        <v>-60</v>
      </c>
      <c r="D319" s="38">
        <f>+DEGREES(ASIN(COS(RADIANS(E306))*COS(RADIANS(D306))*COS(RADIANS(C319))+SIN(RADIANS(E306))*SIN(RADIANS(D306))))</f>
        <v>11.824753402368048</v>
      </c>
      <c r="E319" s="38">
        <f>-(180-DEGREES(ACOS((((SIN(RADIANS(D319)))*SIN(RADIANS(E306)))-SIN(RADIANS(D306)))/((COS(RADIANS(D319)))*COS(RADIANS(E306))))))</f>
        <v>-117.77555573647268</v>
      </c>
      <c r="G319">
        <f t="shared" si="449"/>
        <v>7.8175246597631958</v>
      </c>
      <c r="H319">
        <f t="shared" si="450"/>
        <v>207.77555573647268</v>
      </c>
      <c r="I319" s="153">
        <f t="shared" si="451"/>
        <v>0</v>
      </c>
      <c r="J319" s="153">
        <f t="shared" si="452"/>
        <v>0</v>
      </c>
      <c r="M319" s="39">
        <v>0.66666666666666696</v>
      </c>
      <c r="N319" s="38">
        <v>-60</v>
      </c>
      <c r="O319" s="38">
        <f>+DEGREES(ASIN(COS(RADIANS(P306))*COS(RADIANS(O306))*COS(RADIANS(N319))+SIN(RADIANS(P306))*SIN(RADIANS(O306))))</f>
        <v>9.4615489668857755</v>
      </c>
      <c r="P319" s="38">
        <f>-(180-DEGREES(ACOS((((SIN(RADIANS(O319)))*SIN(RADIANS(P306)))-SIN(RADIANS(O306)))/((COS(RADIANS(O319)))*COS(RADIANS(P306))))))</f>
        <v>-118.60425981921006</v>
      </c>
      <c r="R319">
        <f t="shared" si="453"/>
        <v>8.0538451033114224</v>
      </c>
      <c r="S319">
        <f t="shared" si="454"/>
        <v>208.60425981921006</v>
      </c>
      <c r="T319" s="153">
        <f t="shared" si="455"/>
        <v>0</v>
      </c>
      <c r="U319" s="153">
        <f t="shared" si="456"/>
        <v>0</v>
      </c>
      <c r="X319">
        <f t="shared" si="446"/>
        <v>-7.7000000000000046</v>
      </c>
      <c r="Y319">
        <f t="shared" si="447"/>
        <v>7.7000000000000046</v>
      </c>
      <c r="Z319">
        <f t="shared" si="448"/>
        <v>6.4272855856885656</v>
      </c>
      <c r="AA319">
        <f t="shared" si="448"/>
        <v>-6.4272855856885656</v>
      </c>
      <c r="AC319">
        <f t="shared" si="441"/>
        <v>-4.5000000000000009</v>
      </c>
      <c r="AE319" s="153">
        <f t="shared" si="457"/>
        <v>9</v>
      </c>
      <c r="AF319">
        <f t="shared" si="458"/>
        <v>-30</v>
      </c>
      <c r="AG319" s="153">
        <f t="shared" si="459"/>
        <v>7.794228634059948</v>
      </c>
      <c r="AH319" s="153">
        <f t="shared" si="460"/>
        <v>-4.4999999999999991</v>
      </c>
      <c r="AI319" s="153">
        <f t="shared" si="461"/>
        <v>9</v>
      </c>
      <c r="AJ319">
        <f t="shared" si="462"/>
        <v>210</v>
      </c>
      <c r="AK319" s="153">
        <f t="shared" si="463"/>
        <v>-7.7942286340599471</v>
      </c>
      <c r="AL319" s="153">
        <f t="shared" si="464"/>
        <v>-4.5000000000000009</v>
      </c>
    </row>
    <row r="320" spans="1:38" x14ac:dyDescent="0.25">
      <c r="B320" s="39">
        <v>0.70833333333333404</v>
      </c>
      <c r="C320">
        <v>-75</v>
      </c>
      <c r="D320" s="38">
        <f>+DEGREES(ASIN(COS(RADIANS(E306))*COS(RADIANS(D306))*COS(RADIANS(C320))+SIN(RADIANS(E306))*SIN(RADIANS(D306))))</f>
        <v>5.9116037078203902</v>
      </c>
      <c r="E320" s="38">
        <f>-(180-DEGREES(ACOS((((SIN(RADIANS(D320)))*SIN(RADIANS(E306)))-SIN(RADIANS(D306)))/((COS(RADIANS(D320)))*COS(RADIANS(E306))))))</f>
        <v>-103.81639011062393</v>
      </c>
      <c r="G320">
        <f t="shared" si="449"/>
        <v>8.4088396292179617</v>
      </c>
      <c r="H320">
        <f t="shared" si="450"/>
        <v>193.81639011062393</v>
      </c>
      <c r="I320" s="153">
        <f t="shared" si="451"/>
        <v>0</v>
      </c>
      <c r="J320" s="153">
        <f t="shared" si="452"/>
        <v>0</v>
      </c>
      <c r="M320" s="39">
        <v>0.70833333333333404</v>
      </c>
      <c r="N320">
        <v>-75</v>
      </c>
      <c r="O320" s="38">
        <f>+DEGREES(ASIN(COS(RADIANS(P306))*COS(RADIANS(O306))*COS(RADIANS(N320))+SIN(RADIANS(P306))*SIN(RADIANS(O306))))</f>
        <v>4.6977274021092281</v>
      </c>
      <c r="P320" s="38">
        <f>-(180-DEGREES(ACOS((((SIN(RADIANS(O320)))*SIN(RADIANS(P306)))-SIN(RADIANS(O306)))/((COS(RADIANS(O320)))*COS(RADIANS(P306))))))</f>
        <v>-104.26705192605095</v>
      </c>
      <c r="R320">
        <f t="shared" si="453"/>
        <v>8.5302272597890774</v>
      </c>
      <c r="S320">
        <f t="shared" si="454"/>
        <v>194.26705192605095</v>
      </c>
      <c r="T320" s="153">
        <f t="shared" si="455"/>
        <v>0</v>
      </c>
      <c r="U320" s="153">
        <f t="shared" si="456"/>
        <v>0</v>
      </c>
      <c r="X320">
        <f t="shared" si="446"/>
        <v>-7.7000000000000046</v>
      </c>
      <c r="Y320">
        <f t="shared" si="447"/>
        <v>7.7000000000000046</v>
      </c>
      <c r="Z320">
        <f t="shared" si="448"/>
        <v>6.5238025721200357</v>
      </c>
      <c r="AA320">
        <f t="shared" si="448"/>
        <v>-6.5238025721200357</v>
      </c>
      <c r="AC320">
        <f t="shared" si="441"/>
        <v>-4.5000000000000009</v>
      </c>
      <c r="AE320" s="153">
        <f t="shared" si="457"/>
        <v>9</v>
      </c>
      <c r="AF320">
        <f t="shared" si="458"/>
        <v>-30</v>
      </c>
      <c r="AG320" s="153">
        <f t="shared" si="459"/>
        <v>7.794228634059948</v>
      </c>
      <c r="AH320" s="153">
        <f t="shared" si="460"/>
        <v>-4.4999999999999991</v>
      </c>
      <c r="AI320" s="153">
        <f t="shared" si="461"/>
        <v>9</v>
      </c>
      <c r="AJ320">
        <f t="shared" si="462"/>
        <v>210</v>
      </c>
      <c r="AK320" s="153">
        <f t="shared" si="463"/>
        <v>-7.7942286340599471</v>
      </c>
      <c r="AL320" s="153">
        <f t="shared" si="464"/>
        <v>-4.5000000000000009</v>
      </c>
    </row>
    <row r="321" spans="1:38" x14ac:dyDescent="0.25">
      <c r="B321" s="39">
        <v>0.75</v>
      </c>
      <c r="C321" s="38">
        <v>-90</v>
      </c>
      <c r="D321" s="38">
        <f>+DEGREES(ASIN(COS(RADIANS(E306))*COS(RADIANS(D306))*COS(RADIANS(C321))+SIN(RADIANS(E306))*SIN(RADIANS(D306))))</f>
        <v>-0.36583349958776845</v>
      </c>
      <c r="E321" s="38">
        <f>-(180-DEGREES(ACOS((((SIN(RADIANS(D321)))*SIN(RADIANS(E306)))-SIN(RADIANS(D306)))/((COS(RADIANS(D321)))*COS(RADIANS(E306))))))</f>
        <v>-90.170593532787294</v>
      </c>
      <c r="G321">
        <f t="shared" si="449"/>
        <v>9.0365833499587769</v>
      </c>
      <c r="H321">
        <f t="shared" si="450"/>
        <v>180.17059353278728</v>
      </c>
      <c r="I321" s="153">
        <f t="shared" si="451"/>
        <v>0</v>
      </c>
      <c r="J321" s="153">
        <f t="shared" si="452"/>
        <v>0</v>
      </c>
      <c r="M321" s="39">
        <v>0.75</v>
      </c>
      <c r="N321" s="38">
        <v>-90</v>
      </c>
      <c r="O321" s="38">
        <f>+DEGREES(ASIN(COS(RADIANS(P306))*COS(RADIANS(O306))*COS(RADIANS(N321))+SIN(RADIANS(P306))*SIN(RADIANS(O306))))</f>
        <v>-0.3793095680889908</v>
      </c>
      <c r="P321" s="38">
        <f>-(180-DEGREES(ACOS((((SIN(RADIANS(O321)))*SIN(RADIANS(P306)))-SIN(RADIANS(O306)))/((COS(RADIANS(O321)))*COS(RADIANS(P306))))))</f>
        <v>-90.138059542874117</v>
      </c>
      <c r="R321">
        <f t="shared" si="453"/>
        <v>9.0379309568088999</v>
      </c>
      <c r="S321">
        <f t="shared" si="454"/>
        <v>180.13805954287412</v>
      </c>
      <c r="T321" s="153">
        <f t="shared" si="455"/>
        <v>0</v>
      </c>
      <c r="U321" s="153">
        <f t="shared" si="456"/>
        <v>0</v>
      </c>
      <c r="X321">
        <f t="shared" si="446"/>
        <v>-7.7000000000000046</v>
      </c>
      <c r="Y321">
        <f t="shared" si="447"/>
        <v>7.7000000000000046</v>
      </c>
      <c r="Z321">
        <f t="shared" si="448"/>
        <v>6.6174013026262815</v>
      </c>
      <c r="AA321">
        <f t="shared" si="448"/>
        <v>-6.6174013026262815</v>
      </c>
      <c r="AC321">
        <f t="shared" si="441"/>
        <v>-4.5000000000000009</v>
      </c>
      <c r="AE321" s="153">
        <f t="shared" si="457"/>
        <v>9</v>
      </c>
      <c r="AF321">
        <f t="shared" si="458"/>
        <v>-30</v>
      </c>
      <c r="AG321" s="153">
        <f t="shared" si="459"/>
        <v>7.794228634059948</v>
      </c>
      <c r="AH321" s="153">
        <f t="shared" si="460"/>
        <v>-4.4999999999999991</v>
      </c>
      <c r="AI321" s="153">
        <f t="shared" si="461"/>
        <v>9</v>
      </c>
      <c r="AJ321">
        <f t="shared" si="462"/>
        <v>210</v>
      </c>
      <c r="AK321" s="153">
        <f t="shared" si="463"/>
        <v>-7.7942286340599471</v>
      </c>
      <c r="AL321" s="153">
        <f t="shared" si="464"/>
        <v>-4.5000000000000009</v>
      </c>
    </row>
    <row r="322" spans="1:38" x14ac:dyDescent="0.25">
      <c r="X322">
        <f t="shared" si="446"/>
        <v>-7.7000000000000046</v>
      </c>
      <c r="Y322">
        <f t="shared" si="447"/>
        <v>7.7000000000000046</v>
      </c>
      <c r="Z322">
        <f t="shared" si="448"/>
        <v>6.7082039324993694</v>
      </c>
      <c r="AA322">
        <f t="shared" si="448"/>
        <v>-6.7082039324993694</v>
      </c>
      <c r="AC322">
        <f t="shared" si="441"/>
        <v>-4.5000000000000009</v>
      </c>
      <c r="AE322" s="153">
        <f t="shared" si="457"/>
        <v>9</v>
      </c>
      <c r="AF322">
        <f t="shared" si="458"/>
        <v>-30</v>
      </c>
      <c r="AG322" s="153">
        <f t="shared" si="459"/>
        <v>7.794228634059948</v>
      </c>
      <c r="AH322" s="153">
        <f t="shared" si="460"/>
        <v>-4.4999999999999991</v>
      </c>
      <c r="AI322" s="153">
        <f t="shared" si="461"/>
        <v>9</v>
      </c>
      <c r="AJ322">
        <f t="shared" si="462"/>
        <v>210</v>
      </c>
      <c r="AK322" s="153">
        <f t="shared" si="463"/>
        <v>-7.7942286340599471</v>
      </c>
      <c r="AL322" s="153">
        <f t="shared" si="464"/>
        <v>-4.5000000000000009</v>
      </c>
    </row>
    <row r="323" spans="1:38" x14ac:dyDescent="0.25">
      <c r="X323">
        <f t="shared" si="446"/>
        <v>-7.7000000000000046</v>
      </c>
      <c r="Y323">
        <f t="shared" si="447"/>
        <v>7.7000000000000046</v>
      </c>
      <c r="Z323">
        <f t="shared" si="448"/>
        <v>6.7963225350184784</v>
      </c>
      <c r="AA323">
        <f t="shared" si="448"/>
        <v>-6.7963225350184784</v>
      </c>
      <c r="AC323">
        <f t="shared" si="441"/>
        <v>-4.5000000000000009</v>
      </c>
      <c r="AE323" s="153">
        <f t="shared" si="457"/>
        <v>9</v>
      </c>
      <c r="AF323">
        <f t="shared" si="458"/>
        <v>-30</v>
      </c>
      <c r="AG323" s="153">
        <f t="shared" si="459"/>
        <v>7.794228634059948</v>
      </c>
      <c r="AH323" s="153">
        <f t="shared" si="460"/>
        <v>-4.4999999999999991</v>
      </c>
      <c r="AI323" s="153">
        <f t="shared" si="461"/>
        <v>9</v>
      </c>
      <c r="AJ323">
        <f t="shared" si="462"/>
        <v>210</v>
      </c>
      <c r="AK323" s="153">
        <f t="shared" si="463"/>
        <v>-7.7942286340599471</v>
      </c>
      <c r="AL323" s="153">
        <f t="shared" si="464"/>
        <v>-4.5000000000000009</v>
      </c>
    </row>
    <row r="324" spans="1:38" x14ac:dyDescent="0.25">
      <c r="A324" s="155" t="s">
        <v>92</v>
      </c>
      <c r="B324" s="155">
        <v>21</v>
      </c>
      <c r="C324" s="315"/>
      <c r="D324" s="315"/>
      <c r="E324" s="316"/>
      <c r="L324" s="155" t="s">
        <v>92</v>
      </c>
      <c r="M324" s="155">
        <v>21</v>
      </c>
      <c r="N324" s="315"/>
      <c r="O324" s="315"/>
      <c r="P324" s="316"/>
      <c r="X324">
        <f t="shared" si="446"/>
        <v>-7.7000000000000046</v>
      </c>
      <c r="Y324">
        <f t="shared" si="447"/>
        <v>7.7000000000000046</v>
      </c>
      <c r="Z324">
        <f t="shared" si="448"/>
        <v>6.8818602136341012</v>
      </c>
      <c r="AA324">
        <f t="shared" si="448"/>
        <v>-6.8818602136341012</v>
      </c>
      <c r="AC324">
        <f t="shared" si="441"/>
        <v>-4.5000000000000009</v>
      </c>
      <c r="AE324" s="153">
        <f t="shared" si="457"/>
        <v>9</v>
      </c>
      <c r="AF324">
        <f t="shared" si="458"/>
        <v>-30</v>
      </c>
      <c r="AG324" s="153">
        <f t="shared" si="459"/>
        <v>7.794228634059948</v>
      </c>
      <c r="AH324" s="153">
        <f t="shared" si="460"/>
        <v>-4.4999999999999991</v>
      </c>
      <c r="AI324" s="153">
        <f t="shared" si="461"/>
        <v>9</v>
      </c>
      <c r="AJ324">
        <f t="shared" si="462"/>
        <v>210</v>
      </c>
      <c r="AK324" s="153">
        <f t="shared" si="463"/>
        <v>-7.7942286340599471</v>
      </c>
      <c r="AL324" s="153">
        <f t="shared" si="464"/>
        <v>-4.5000000000000009</v>
      </c>
    </row>
    <row r="325" spans="1:38" x14ac:dyDescent="0.25">
      <c r="A325" s="155" t="s">
        <v>91</v>
      </c>
      <c r="B325" s="155">
        <v>3</v>
      </c>
      <c r="C325" s="315"/>
      <c r="D325" s="315"/>
      <c r="E325" s="316"/>
      <c r="L325" s="155" t="s">
        <v>91</v>
      </c>
      <c r="M325" s="155">
        <v>3</v>
      </c>
      <c r="N325" s="315"/>
      <c r="O325" s="315"/>
      <c r="P325" s="316"/>
      <c r="X325">
        <f t="shared" si="446"/>
        <v>-7.7000000000000046</v>
      </c>
      <c r="Y325">
        <f t="shared" si="447"/>
        <v>7.7000000000000046</v>
      </c>
      <c r="Z325">
        <f t="shared" ref="Z325:AA356" si="465">+B35</f>
        <v>6.9649120597463394</v>
      </c>
      <c r="AA325">
        <f t="shared" si="465"/>
        <v>-6.9649120597463394</v>
      </c>
      <c r="AC325">
        <f t="shared" si="441"/>
        <v>-4.5000000000000009</v>
      </c>
      <c r="AE325" s="153">
        <f t="shared" si="457"/>
        <v>9</v>
      </c>
      <c r="AF325">
        <f t="shared" si="458"/>
        <v>-30</v>
      </c>
      <c r="AG325" s="153">
        <f t="shared" si="459"/>
        <v>7.794228634059948</v>
      </c>
      <c r="AH325" s="153">
        <f t="shared" si="460"/>
        <v>-4.4999999999999991</v>
      </c>
      <c r="AI325" s="153">
        <f t="shared" si="461"/>
        <v>9</v>
      </c>
      <c r="AJ325">
        <f t="shared" si="462"/>
        <v>210</v>
      </c>
      <c r="AK325" s="153">
        <f t="shared" si="463"/>
        <v>-7.7942286340599471</v>
      </c>
      <c r="AL325" s="153">
        <f t="shared" si="464"/>
        <v>-4.5000000000000009</v>
      </c>
    </row>
    <row r="326" spans="1:38" x14ac:dyDescent="0.25">
      <c r="C326" s="154">
        <f>+IF(B325=$AI$63,B324,IF(B325=$AJ$63,$AI$64+B324,IF(B325=$AK$63,$AI$64+$AJ$64+B324,IF(B325=$AL$63,$AI$64+$AJ$64+$AK$64+B324,IF(B325=$AM$63,$AI$64+$AJ$64+$AK$64+$AL$64+B324,IF(B325=$AN$63,$AI$64+$AJ$64+$AK$64+$AL$64+$AM$64+B324,IF(B325=$AO$63,$AI$64+$AJ$64+$AK$64+$AL$64+$AM$64+$AN$64+B324,IF(B325=$AP$63,$AI$64+$AJ$64+$AK$64+$AL$64+$AM$64+$AN$64+$AO$64+B324,IF(B325=$AQ$63,$AI$64+$AJ$64+$AK$64+$AL$64+$AM$64+$AN$64+$AO$64+$AP$64+B324,IF(B325=$AR$63,$AI$64+$AJ$64+$AK$64+$AL$64+$AM$64+$AN$64+$AO$64+$AP$64+$AQ$64+B324,IF(B325=$AS$63,$AI$64+$AJ$64+$AK$64+$AL$64+$AM$64+$AN$64+$AO$64+$AP$64+$AQ$64+$AR$64+B324,IF(B325=$AT$63,$AI$64+$AJ$64+$AK$64+$AL$64+$AM$64+$AN$64+$AO$64+$AP$64+$AQ$64+$AR$64+$AS$64+B324,"error"))))))))))))</f>
        <v>80</v>
      </c>
      <c r="D326" s="38">
        <f>23.45*SIN(RADIANS(360*((284+C326)/365)))</f>
        <v>-0.40365320185431652</v>
      </c>
      <c r="E326" s="155">
        <v>75</v>
      </c>
      <c r="N326" s="154">
        <f>+IF(M325=$AI$63,M324,IF(M325=$AJ$63,$AI$64+M324,IF(M325=$AK$63,$AI$64+$AJ$64+M324,IF(M325=$AL$63,$AI$64+$AJ$64+$AK$64+M324,IF(M325=$AM$63,$AI$64+$AJ$64+$AK$64+$AL$64+M324,IF(M325=$AN$63,$AI$64+$AJ$64+$AK$64+$AL$64+$AM$64+M324,IF(M325=$AO$63,$AI$64+$AJ$64+$AK$64+$AL$64+$AM$64+$AN$64+M324,IF(M325=$AP$63,$AI$64+$AJ$64+$AK$64+$AL$64+$AM$64+$AN$64+$AO$64+M324,IF(M325=$AQ$63,$AI$64+$AJ$64+$AK$64+$AL$64+$AM$64+$AN$64+$AO$64+$AP$64+M324,IF(M325=$AR$63,$AI$64+$AJ$64+$AK$64+$AL$64+$AM$64+$AN$64+$AO$64+$AP$64+$AQ$64+M324,IF(M325=$AS$63,$AI$64+$AJ$64+$AK$64+$AL$64+$AM$64+$AN$64+$AO$64+$AP$64+$AQ$64+$AR$64+M324,IF(M325=$AT$63,$AI$64+$AJ$64+$AK$64+$AL$64+$AM$64+$AN$64+$AO$64+$AP$64+$AQ$64+$AR$64+$AS$64+M324,"error"))))))))))))</f>
        <v>80</v>
      </c>
      <c r="O326" s="38">
        <f>23.45*SIN(RADIANS(360*((284+N326)/365)))</f>
        <v>-0.40365320185431652</v>
      </c>
      <c r="P326" s="155">
        <v>80</v>
      </c>
      <c r="X326">
        <f t="shared" si="446"/>
        <v>-7.7000000000000046</v>
      </c>
      <c r="Y326">
        <f t="shared" si="447"/>
        <v>7.7000000000000046</v>
      </c>
      <c r="Z326">
        <f t="shared" si="465"/>
        <v>7.0455659815234153</v>
      </c>
      <c r="AA326">
        <f t="shared" si="465"/>
        <v>-7.0455659815234153</v>
      </c>
      <c r="AC326">
        <f t="shared" si="441"/>
        <v>-4.5000000000000009</v>
      </c>
      <c r="AE326" s="153">
        <f t="shared" si="457"/>
        <v>9</v>
      </c>
      <c r="AF326">
        <f t="shared" si="458"/>
        <v>-30</v>
      </c>
      <c r="AG326" s="153">
        <f t="shared" si="459"/>
        <v>7.794228634059948</v>
      </c>
      <c r="AH326" s="153">
        <f t="shared" si="460"/>
        <v>-4.4999999999999991</v>
      </c>
      <c r="AI326" s="153">
        <f t="shared" si="461"/>
        <v>9</v>
      </c>
      <c r="AJ326">
        <f t="shared" si="462"/>
        <v>210</v>
      </c>
      <c r="AK326" s="153">
        <f t="shared" si="463"/>
        <v>-7.7942286340599471</v>
      </c>
      <c r="AL326" s="153">
        <f t="shared" si="464"/>
        <v>-4.5000000000000009</v>
      </c>
    </row>
    <row r="327" spans="1:38" x14ac:dyDescent="0.25">
      <c r="B327" s="317" t="s">
        <v>90</v>
      </c>
      <c r="C327" s="315"/>
      <c r="D327" s="315"/>
      <c r="E327" s="315"/>
      <c r="G327" s="319" t="s">
        <v>89</v>
      </c>
      <c r="H327" s="319"/>
      <c r="I327" s="319" t="s">
        <v>42</v>
      </c>
      <c r="J327" s="319" t="s">
        <v>43</v>
      </c>
      <c r="M327" s="317" t="s">
        <v>90</v>
      </c>
      <c r="N327" s="315"/>
      <c r="O327" s="315"/>
      <c r="P327" s="315"/>
      <c r="R327" s="319" t="s">
        <v>89</v>
      </c>
      <c r="S327" s="319"/>
      <c r="T327" s="319" t="s">
        <v>42</v>
      </c>
      <c r="U327" s="319" t="s">
        <v>43</v>
      </c>
      <c r="X327">
        <f t="shared" si="446"/>
        <v>-7.7000000000000046</v>
      </c>
      <c r="Y327">
        <f t="shared" si="447"/>
        <v>7.7000000000000046</v>
      </c>
      <c r="Z327">
        <f t="shared" si="465"/>
        <v>7.1239034243875032</v>
      </c>
      <c r="AA327">
        <f t="shared" si="465"/>
        <v>-7.1239034243875032</v>
      </c>
      <c r="AC327">
        <f t="shared" si="441"/>
        <v>-4.5000000000000009</v>
      </c>
      <c r="AE327" s="153">
        <f t="shared" si="457"/>
        <v>9</v>
      </c>
      <c r="AF327">
        <f t="shared" si="458"/>
        <v>-30</v>
      </c>
      <c r="AG327" s="153">
        <f t="shared" si="459"/>
        <v>7.794228634059948</v>
      </c>
      <c r="AH327" s="153">
        <f t="shared" si="460"/>
        <v>-4.4999999999999991</v>
      </c>
      <c r="AI327" s="153">
        <f t="shared" si="461"/>
        <v>9</v>
      </c>
      <c r="AJ327">
        <f t="shared" si="462"/>
        <v>210</v>
      </c>
      <c r="AK327" s="153">
        <f t="shared" si="463"/>
        <v>-7.7942286340599471</v>
      </c>
      <c r="AL327" s="153">
        <f t="shared" si="464"/>
        <v>-4.5000000000000009</v>
      </c>
    </row>
    <row r="328" spans="1:38" x14ac:dyDescent="0.25">
      <c r="B328" s="318"/>
      <c r="C328" s="315"/>
      <c r="D328" s="315"/>
      <c r="E328" s="315"/>
      <c r="G328" s="319"/>
      <c r="H328" s="319"/>
      <c r="I328" s="319"/>
      <c r="J328" s="319"/>
      <c r="M328" s="318"/>
      <c r="N328" s="315"/>
      <c r="O328" s="315"/>
      <c r="P328" s="315"/>
      <c r="R328" s="319"/>
      <c r="S328" s="319"/>
      <c r="T328" s="319"/>
      <c r="U328" s="319"/>
      <c r="X328">
        <f t="shared" si="446"/>
        <v>-7.7000000000000046</v>
      </c>
      <c r="Y328">
        <f t="shared" si="447"/>
        <v>7.7000000000000046</v>
      </c>
      <c r="Z328">
        <f t="shared" si="465"/>
        <v>7.2</v>
      </c>
      <c r="AA328">
        <f t="shared" si="465"/>
        <v>-7.2</v>
      </c>
      <c r="AC328">
        <f t="shared" si="441"/>
        <v>-4.5000000000000009</v>
      </c>
      <c r="AE328" s="153">
        <f t="shared" si="457"/>
        <v>9</v>
      </c>
      <c r="AF328">
        <f t="shared" si="458"/>
        <v>-30</v>
      </c>
      <c r="AG328" s="153">
        <f t="shared" si="459"/>
        <v>7.794228634059948</v>
      </c>
      <c r="AH328" s="153">
        <f t="shared" si="460"/>
        <v>-4.4999999999999991</v>
      </c>
      <c r="AI328" s="153">
        <f t="shared" si="461"/>
        <v>9</v>
      </c>
      <c r="AJ328">
        <f t="shared" si="462"/>
        <v>210</v>
      </c>
      <c r="AK328" s="153">
        <f t="shared" si="463"/>
        <v>-7.7942286340599471</v>
      </c>
      <c r="AL328" s="153">
        <f t="shared" si="464"/>
        <v>-4.5000000000000009</v>
      </c>
    </row>
    <row r="329" spans="1:38" x14ac:dyDescent="0.25">
      <c r="B329" s="39">
        <v>0.25</v>
      </c>
      <c r="C329" s="38">
        <v>90</v>
      </c>
      <c r="D329" s="38">
        <f>+DEGREES(ASIN(COS(RADIANS(E326))*COS(RADIANS(D326))*COS(RADIANS(C329))+SIN(RADIANS(E326))*SIN(RADIANS(D326))))</f>
        <v>-0.38989883647608925</v>
      </c>
      <c r="E329" s="38">
        <f>180-DEGREES(ACOS((((SIN(RADIANS(D329)))*SIN(RADIANS(E326)))-SIN(RADIANS(D326)))/((COS(RADIANS(D329)))*COS(RADIANS(E326)))))</f>
        <v>90.104474748944043</v>
      </c>
      <c r="G329">
        <f t="shared" ref="G329:G341" si="466">9-(D329/10)</f>
        <v>9.0389898836476092</v>
      </c>
      <c r="H329">
        <f t="shared" ref="H329:H341" si="467">90-E329+$AH$172</f>
        <v>-0.10447474894404252</v>
      </c>
      <c r="I329" s="153">
        <f t="shared" ref="I329:I341" si="468">IF($E$326&gt;=$AE$174,0,G329*COS(RADIANS(H329)))</f>
        <v>0</v>
      </c>
      <c r="J329" s="153">
        <f t="shared" ref="J329:J341" si="469">IF($E$326&gt;=$AE$174,0,G329*SIN(RADIANS(H329)))</f>
        <v>0</v>
      </c>
      <c r="M329" s="39">
        <v>0.25</v>
      </c>
      <c r="N329" s="38">
        <v>90</v>
      </c>
      <c r="O329" s="38">
        <f>+DEGREES(ASIN(COS(RADIANS(P326))*COS(RADIANS(O326))*COS(RADIANS(N329))+SIN(RADIANS(P326))*SIN(RADIANS(O326))))</f>
        <v>-0.39752070355606267</v>
      </c>
      <c r="P329" s="38">
        <f>180-DEGREES(ACOS((((SIN(RADIANS(O329)))*SIN(RADIANS(P326)))-SIN(RADIANS(O326)))/((COS(RADIANS(O329)))*COS(RADIANS(P326)))))</f>
        <v>90.070094767620148</v>
      </c>
      <c r="R329">
        <f t="shared" ref="R329:R341" si="470">9-(O329/10)</f>
        <v>9.0397520703556058</v>
      </c>
      <c r="S329">
        <f t="shared" ref="S329:S341" si="471">90-P329+$AH$172</f>
        <v>-7.0094767620147991E-2</v>
      </c>
      <c r="T329" s="153">
        <f t="shared" ref="T329:T341" si="472">IF($P$326&gt;=$AE$174,0,R329*COS(RADIANS(S329)))</f>
        <v>0</v>
      </c>
      <c r="U329" s="153">
        <f t="shared" ref="U329:U341" si="473">IF($P$326&gt;=$AE$174,0,R329*SIN(RADIANS(S329)))</f>
        <v>0</v>
      </c>
      <c r="X329">
        <f t="shared" si="446"/>
        <v>-7.7000000000000046</v>
      </c>
      <c r="Y329">
        <f t="shared" si="447"/>
        <v>7.7000000000000046</v>
      </c>
      <c r="Z329">
        <f t="shared" si="465"/>
        <v>7.2739260375673327</v>
      </c>
      <c r="AA329">
        <f t="shared" si="465"/>
        <v>-7.2739260375673327</v>
      </c>
      <c r="AC329">
        <f t="shared" si="441"/>
        <v>-4.5000000000000009</v>
      </c>
      <c r="AE329" s="153">
        <f t="shared" si="457"/>
        <v>9</v>
      </c>
      <c r="AF329">
        <f t="shared" si="458"/>
        <v>-30</v>
      </c>
      <c r="AG329" s="153">
        <f t="shared" si="459"/>
        <v>7.794228634059948</v>
      </c>
      <c r="AH329" s="153">
        <f t="shared" si="460"/>
        <v>-4.4999999999999991</v>
      </c>
      <c r="AI329" s="153">
        <f t="shared" si="461"/>
        <v>9</v>
      </c>
      <c r="AJ329">
        <f t="shared" si="462"/>
        <v>210</v>
      </c>
      <c r="AK329" s="153">
        <f t="shared" si="463"/>
        <v>-7.7942286340599471</v>
      </c>
      <c r="AL329" s="153">
        <f t="shared" si="464"/>
        <v>-4.5000000000000009</v>
      </c>
    </row>
    <row r="330" spans="1:38" x14ac:dyDescent="0.25">
      <c r="B330" s="39">
        <v>0.29166666666666669</v>
      </c>
      <c r="C330">
        <v>75</v>
      </c>
      <c r="D330" s="38">
        <f>+DEGREES(ASIN(COS(RADIANS(E326))*COS(RADIANS(D326))*COS(RADIANS(C330))+SIN(RADIANS(E326))*SIN(RADIANS(D326))))</f>
        <v>3.4501831241284342</v>
      </c>
      <c r="E330" s="38">
        <f>180-DEGREES(ACOS((((SIN(RADIANS(D330)))*SIN(RADIANS(E326)))-SIN(RADIANS(D326)))/((COS(RADIANS(D330)))*COS(RADIANS(E326)))))</f>
        <v>104.6121420429491</v>
      </c>
      <c r="G330">
        <f t="shared" si="466"/>
        <v>8.6549816875871564</v>
      </c>
      <c r="H330">
        <f t="shared" si="467"/>
        <v>-14.612142042949102</v>
      </c>
      <c r="I330" s="153">
        <f t="shared" si="468"/>
        <v>0</v>
      </c>
      <c r="J330" s="153">
        <f t="shared" si="469"/>
        <v>0</v>
      </c>
      <c r="M330" s="39">
        <v>0.29166666666666669</v>
      </c>
      <c r="N330">
        <v>75</v>
      </c>
      <c r="O330" s="38">
        <f>+DEGREES(ASIN(COS(RADIANS(P326))*COS(RADIANS(O326))*COS(RADIANS(N330))+SIN(RADIANS(P326))*SIN(RADIANS(O326))))</f>
        <v>2.1780134099668169</v>
      </c>
      <c r="P330" s="38">
        <f>180-DEGREES(ACOS((((SIN(RADIANS(O330)))*SIN(RADIANS(P326)))-SIN(RADIANS(O326)))/((COS(RADIANS(O330)))*COS(RADIANS(P326)))))</f>
        <v>104.84998864842244</v>
      </c>
      <c r="R330">
        <f t="shared" si="470"/>
        <v>8.7821986590033188</v>
      </c>
      <c r="S330">
        <f t="shared" si="471"/>
        <v>-14.849988648422439</v>
      </c>
      <c r="T330" s="153">
        <f t="shared" si="472"/>
        <v>0</v>
      </c>
      <c r="U330" s="153">
        <f t="shared" si="473"/>
        <v>0</v>
      </c>
      <c r="X330">
        <f t="shared" si="446"/>
        <v>-7.7000000000000046</v>
      </c>
      <c r="Y330">
        <f t="shared" si="447"/>
        <v>7.7000000000000046</v>
      </c>
      <c r="Z330">
        <f t="shared" si="465"/>
        <v>7.3457470688827824</v>
      </c>
      <c r="AA330">
        <f t="shared" si="465"/>
        <v>-7.3457470688827824</v>
      </c>
      <c r="AC330">
        <f t="shared" si="441"/>
        <v>-4.5000000000000009</v>
      </c>
      <c r="AE330" s="153">
        <f t="shared" si="457"/>
        <v>9</v>
      </c>
      <c r="AF330">
        <f t="shared" si="458"/>
        <v>-30</v>
      </c>
      <c r="AG330" s="153">
        <f t="shared" si="459"/>
        <v>7.794228634059948</v>
      </c>
      <c r="AH330" s="153">
        <f t="shared" si="460"/>
        <v>-4.4999999999999991</v>
      </c>
      <c r="AI330" s="153">
        <f t="shared" si="461"/>
        <v>9</v>
      </c>
      <c r="AJ330">
        <f t="shared" si="462"/>
        <v>210</v>
      </c>
      <c r="AK330" s="153">
        <f t="shared" si="463"/>
        <v>-7.7942286340599471</v>
      </c>
      <c r="AL330" s="153">
        <f t="shared" si="464"/>
        <v>-4.5000000000000009</v>
      </c>
    </row>
    <row r="331" spans="1:38" x14ac:dyDescent="0.25">
      <c r="B331" s="39">
        <v>0.33333333333333298</v>
      </c>
      <c r="C331" s="38">
        <v>60</v>
      </c>
      <c r="D331" s="38">
        <f>+DEGREES(ASIN(COS(RADIANS(E326))*COS(RADIANS(D326))*COS(RADIANS(C331))+SIN(RADIANS(E326))*SIN(RADIANS(D326))))</f>
        <v>7.0422574939074547</v>
      </c>
      <c r="E331" s="38">
        <f>180-DEGREES(ACOS((((SIN(RADIANS(D331)))*SIN(RADIANS(E326)))-SIN(RADIANS(D326)))/((COS(RADIANS(D331)))*COS(RADIANS(E326)))))</f>
        <v>119.23936275375299</v>
      </c>
      <c r="G331">
        <f t="shared" si="466"/>
        <v>8.295774250609254</v>
      </c>
      <c r="H331">
        <f t="shared" si="467"/>
        <v>-29.239362753752985</v>
      </c>
      <c r="I331" s="153">
        <f t="shared" si="468"/>
        <v>0</v>
      </c>
      <c r="J331" s="153">
        <f t="shared" si="469"/>
        <v>0</v>
      </c>
      <c r="M331" s="39">
        <v>0.33333333333333298</v>
      </c>
      <c r="N331" s="38">
        <v>60</v>
      </c>
      <c r="O331" s="38">
        <f>+DEGREES(ASIN(COS(RADIANS(P326))*COS(RADIANS(O326))*COS(RADIANS(N331))+SIN(RADIANS(P326))*SIN(RADIANS(O326))))</f>
        <v>4.5818949074716482</v>
      </c>
      <c r="P331" s="38">
        <f>180-DEGREES(ACOS((((SIN(RADIANS(O331)))*SIN(RADIANS(P326)))-SIN(RADIANS(O326)))/((COS(RADIANS(O331)))*COS(RADIANS(P326)))))</f>
        <v>119.68277971597945</v>
      </c>
      <c r="R331">
        <f t="shared" si="470"/>
        <v>8.5418105092528354</v>
      </c>
      <c r="S331">
        <f t="shared" si="471"/>
        <v>-29.68277971597945</v>
      </c>
      <c r="T331" s="153">
        <f t="shared" si="472"/>
        <v>0</v>
      </c>
      <c r="U331" s="153">
        <f t="shared" si="473"/>
        <v>0</v>
      </c>
      <c r="X331">
        <f t="shared" si="446"/>
        <v>-7.7000000000000046</v>
      </c>
      <c r="Y331">
        <f t="shared" si="447"/>
        <v>7.7000000000000046</v>
      </c>
      <c r="Z331">
        <f t="shared" si="465"/>
        <v>7.4155242565849653</v>
      </c>
      <c r="AA331">
        <f t="shared" si="465"/>
        <v>-7.4155242565849653</v>
      </c>
      <c r="AC331">
        <f t="shared" si="441"/>
        <v>-4.5000000000000009</v>
      </c>
      <c r="AE331" s="153">
        <f t="shared" si="457"/>
        <v>9</v>
      </c>
      <c r="AF331">
        <f t="shared" si="458"/>
        <v>-30</v>
      </c>
      <c r="AG331" s="153">
        <f t="shared" si="459"/>
        <v>7.794228634059948</v>
      </c>
      <c r="AH331" s="153">
        <f t="shared" si="460"/>
        <v>-4.4999999999999991</v>
      </c>
      <c r="AI331" s="153">
        <f t="shared" si="461"/>
        <v>9</v>
      </c>
      <c r="AJ331">
        <f t="shared" si="462"/>
        <v>210</v>
      </c>
      <c r="AK331" s="153">
        <f t="shared" si="463"/>
        <v>-7.7942286340599471</v>
      </c>
      <c r="AL331" s="153">
        <f t="shared" si="464"/>
        <v>-4.5000000000000009</v>
      </c>
    </row>
    <row r="332" spans="1:38" x14ac:dyDescent="0.25">
      <c r="B332" s="39">
        <v>0.375</v>
      </c>
      <c r="C332">
        <v>45</v>
      </c>
      <c r="D332" s="38">
        <f>+DEGREES(ASIN(COS(RADIANS(E326))*COS(RADIANS(D326))*COS(RADIANS(C332))+SIN(RADIANS(E326))*SIN(RADIANS(D326))))</f>
        <v>10.148684177519183</v>
      </c>
      <c r="E332" s="38">
        <f>180-DEGREES(ACOS((((SIN(RADIANS(D332)))*SIN(RADIANS(E326)))-SIN(RADIANS(D326)))/((COS(RADIANS(D332)))*COS(RADIANS(E326)))))</f>
        <v>134.08336375564744</v>
      </c>
      <c r="G332">
        <f t="shared" si="466"/>
        <v>7.9851315822480817</v>
      </c>
      <c r="H332">
        <f t="shared" si="467"/>
        <v>-44.08336375564744</v>
      </c>
      <c r="I332" s="153">
        <f t="shared" si="468"/>
        <v>0</v>
      </c>
      <c r="J332" s="153">
        <f t="shared" si="469"/>
        <v>0</v>
      </c>
      <c r="M332" s="39">
        <v>0.375</v>
      </c>
      <c r="N332">
        <v>45</v>
      </c>
      <c r="O332" s="38">
        <f>+DEGREES(ASIN(COS(RADIANS(P326))*COS(RADIANS(O326))*COS(RADIANS(N332))+SIN(RADIANS(P326))*SIN(RADIANS(O326))))</f>
        <v>6.6524676910812941</v>
      </c>
      <c r="P332" s="38">
        <f>180-DEGREES(ACOS((((SIN(RADIANS(O332)))*SIN(RADIANS(P326)))-SIN(RADIANS(O326)))/((COS(RADIANS(O332)))*COS(RADIANS(P326)))))</f>
        <v>134.61173113596442</v>
      </c>
      <c r="R332">
        <f t="shared" si="470"/>
        <v>8.3347532308918701</v>
      </c>
      <c r="S332">
        <f t="shared" si="471"/>
        <v>-44.611731135964419</v>
      </c>
      <c r="T332" s="153">
        <f t="shared" si="472"/>
        <v>0</v>
      </c>
      <c r="U332" s="153">
        <f t="shared" si="473"/>
        <v>0</v>
      </c>
      <c r="X332">
        <f t="shared" si="446"/>
        <v>-7.7000000000000046</v>
      </c>
      <c r="Y332">
        <f t="shared" si="447"/>
        <v>7.7000000000000046</v>
      </c>
      <c r="Z332">
        <f t="shared" si="465"/>
        <v>7.4833147735478827</v>
      </c>
      <c r="AA332">
        <f t="shared" si="465"/>
        <v>-7.4833147735478827</v>
      </c>
      <c r="AC332">
        <f t="shared" si="441"/>
        <v>-4.5000000000000009</v>
      </c>
    </row>
    <row r="333" spans="1:38" x14ac:dyDescent="0.25">
      <c r="B333" s="39">
        <v>0.41666666666666702</v>
      </c>
      <c r="C333" s="38">
        <v>30</v>
      </c>
      <c r="D333" s="38">
        <f>+DEGREES(ASIN(COS(RADIANS(E326))*COS(RADIANS(D326))*COS(RADIANS(C333))+SIN(RADIANS(E326))*SIN(RADIANS(D326))))</f>
        <v>12.552455316688945</v>
      </c>
      <c r="E333" s="38">
        <f>180-DEGREES(ACOS((((SIN(RADIANS(D333)))*SIN(RADIANS(E326)))-SIN(RADIANS(D326)))/((COS(RADIANS(D333)))*COS(RADIANS(E326)))))</f>
        <v>149.18743469538276</v>
      </c>
      <c r="G333">
        <f t="shared" si="466"/>
        <v>7.7447544683311058</v>
      </c>
      <c r="H333">
        <f t="shared" si="467"/>
        <v>-59.187434695382763</v>
      </c>
      <c r="I333" s="153">
        <f t="shared" si="468"/>
        <v>0</v>
      </c>
      <c r="J333" s="153">
        <f t="shared" si="469"/>
        <v>0</v>
      </c>
      <c r="M333" s="39">
        <v>0.41666666666666702</v>
      </c>
      <c r="N333" s="38">
        <v>30</v>
      </c>
      <c r="O333" s="38">
        <f>+DEGREES(ASIN(COS(RADIANS(P326))*COS(RADIANS(O326))*COS(RADIANS(N333))+SIN(RADIANS(P326))*SIN(RADIANS(O326))))</f>
        <v>8.2470699342316749</v>
      </c>
      <c r="P333" s="38">
        <f>180-DEGREES(ACOS((((SIN(RADIANS(O333)))*SIN(RADIANS(P326)))-SIN(RADIANS(O326)))/((COS(RADIANS(O333)))*COS(RADIANS(P326)))))</f>
        <v>149.65456496125748</v>
      </c>
      <c r="R333">
        <f t="shared" si="470"/>
        <v>8.1752930065768332</v>
      </c>
      <c r="S333">
        <f t="shared" si="471"/>
        <v>-59.654564961257478</v>
      </c>
      <c r="T333" s="153">
        <f t="shared" si="472"/>
        <v>0</v>
      </c>
      <c r="U333" s="153">
        <f t="shared" si="473"/>
        <v>0</v>
      </c>
      <c r="X333">
        <f t="shared" si="446"/>
        <v>-7.7000000000000046</v>
      </c>
      <c r="Y333">
        <f t="shared" si="447"/>
        <v>7.7000000000000046</v>
      </c>
      <c r="Z333">
        <f t="shared" si="465"/>
        <v>7.5491721400429066</v>
      </c>
      <c r="AA333">
        <f t="shared" si="465"/>
        <v>-7.5491721400429066</v>
      </c>
      <c r="AC333">
        <f t="shared" si="441"/>
        <v>-4.5000000000000009</v>
      </c>
    </row>
    <row r="334" spans="1:38" x14ac:dyDescent="0.25">
      <c r="B334" s="39">
        <v>0.45833333333333298</v>
      </c>
      <c r="C334">
        <v>15</v>
      </c>
      <c r="D334" s="38">
        <f>+DEGREES(ASIN(COS(RADIANS(E326))*COS(RADIANS(D326))*COS(RADIANS(C334))+SIN(RADIANS(E326))*SIN(RADIANS(D326))))</f>
        <v>14.074824437842839</v>
      </c>
      <c r="E334" s="38">
        <f>180-DEGREES(ACOS((((SIN(RADIANS(D334)))*SIN(RADIANS(E326)))-SIN(RADIANS(D326)))/((COS(RADIANS(D334)))*COS(RADIANS(E326)))))</f>
        <v>164.52470067475116</v>
      </c>
      <c r="G334">
        <f t="shared" si="466"/>
        <v>7.5925175562157161</v>
      </c>
      <c r="H334">
        <f t="shared" si="467"/>
        <v>-74.524700674751159</v>
      </c>
      <c r="I334" s="153">
        <f t="shared" si="468"/>
        <v>0</v>
      </c>
      <c r="J334" s="153">
        <f t="shared" si="469"/>
        <v>0</v>
      </c>
      <c r="M334" s="39">
        <v>0.45833333333333298</v>
      </c>
      <c r="N334">
        <v>15</v>
      </c>
      <c r="O334" s="38">
        <f>+DEGREES(ASIN(COS(RADIANS(P326))*COS(RADIANS(O326))*COS(RADIANS(N334))+SIN(RADIANS(P326))*SIN(RADIANS(O326))))</f>
        <v>9.2527018000496479</v>
      </c>
      <c r="P334" s="38">
        <f>180-DEGREES(ACOS((((SIN(RADIANS(O334)))*SIN(RADIANS(P326)))-SIN(RADIANS(O326)))/((COS(RADIANS(O334)))*COS(RADIANS(P326)))))</f>
        <v>164.79790398339722</v>
      </c>
      <c r="R334">
        <f t="shared" si="470"/>
        <v>8.074729819995035</v>
      </c>
      <c r="S334">
        <f t="shared" si="471"/>
        <v>-74.797903983397219</v>
      </c>
      <c r="T334" s="153">
        <f t="shared" si="472"/>
        <v>0</v>
      </c>
      <c r="U334" s="153">
        <f t="shared" si="473"/>
        <v>0</v>
      </c>
      <c r="X334">
        <f t="shared" si="446"/>
        <v>-7.7000000000000046</v>
      </c>
      <c r="Y334">
        <f t="shared" si="447"/>
        <v>7.7000000000000046</v>
      </c>
      <c r="Z334">
        <f t="shared" si="465"/>
        <v>7.6131465242697125</v>
      </c>
      <c r="AA334">
        <f t="shared" si="465"/>
        <v>-7.6131465242697125</v>
      </c>
      <c r="AC334">
        <f t="shared" si="441"/>
        <v>-4.5000000000000009</v>
      </c>
    </row>
    <row r="335" spans="1:38" x14ac:dyDescent="0.25">
      <c r="B335" s="39">
        <v>0.5</v>
      </c>
      <c r="C335" s="38">
        <v>0</v>
      </c>
      <c r="D335" s="38">
        <f>+DEGREES(ASIN(COS(RADIANS(E326))*COS(RADIANS(D326))*COS(RADIANS(C335))+SIN(RADIANS(E326))*SIN(RADIANS(D326))))</f>
        <v>14.596346798145682</v>
      </c>
      <c r="E335" s="38">
        <f>+IF(E326&gt;=0,180,0)</f>
        <v>180</v>
      </c>
      <c r="G335">
        <f t="shared" si="466"/>
        <v>7.5403653201854315</v>
      </c>
      <c r="H335">
        <f t="shared" si="467"/>
        <v>-90</v>
      </c>
      <c r="I335" s="153">
        <f t="shared" si="468"/>
        <v>0</v>
      </c>
      <c r="J335" s="153">
        <f t="shared" si="469"/>
        <v>0</v>
      </c>
      <c r="M335" s="39">
        <v>0.5</v>
      </c>
      <c r="N335" s="38">
        <v>0</v>
      </c>
      <c r="O335" s="38">
        <f>+DEGREES(ASIN(COS(RADIANS(P326))*COS(RADIANS(O326))*COS(RADIANS(N335))+SIN(RADIANS(P326))*SIN(RADIANS(O326))))</f>
        <v>9.5963467981456887</v>
      </c>
      <c r="P335" s="38">
        <f>+IF(P326&gt;=0,180,0)</f>
        <v>180</v>
      </c>
      <c r="R335">
        <f t="shared" si="470"/>
        <v>8.0403653201854315</v>
      </c>
      <c r="S335">
        <f t="shared" si="471"/>
        <v>-90</v>
      </c>
      <c r="T335" s="153">
        <f t="shared" si="472"/>
        <v>0</v>
      </c>
      <c r="U335" s="153">
        <f t="shared" si="473"/>
        <v>0</v>
      </c>
      <c r="X335">
        <f t="shared" si="446"/>
        <v>-7.7000000000000046</v>
      </c>
      <c r="Y335">
        <f t="shared" si="447"/>
        <v>7.7000000000000046</v>
      </c>
      <c r="Z335">
        <f t="shared" si="465"/>
        <v>7.6752850109947053</v>
      </c>
      <c r="AA335">
        <f t="shared" si="465"/>
        <v>-7.6752850109947053</v>
      </c>
      <c r="AC335">
        <f t="shared" si="441"/>
        <v>-4.5000000000000009</v>
      </c>
    </row>
    <row r="336" spans="1:38" x14ac:dyDescent="0.25">
      <c r="B336" s="39">
        <v>0.54166666666666696</v>
      </c>
      <c r="C336">
        <v>-15</v>
      </c>
      <c r="D336" s="38">
        <f>+DEGREES(ASIN(COS(RADIANS(E326))*COS(RADIANS(D326))*COS(RADIANS(C336))+SIN(RADIANS(E326))*SIN(RADIANS(D326))))</f>
        <v>14.074824437842839</v>
      </c>
      <c r="E336" s="38">
        <f>-(180-DEGREES(ACOS((((SIN(RADIANS(D336)))*SIN(RADIANS(E326)))-SIN(RADIANS(D326)))/((COS(RADIANS(D336)))*COS(RADIANS(E326))))))</f>
        <v>-164.52470067475116</v>
      </c>
      <c r="G336">
        <f t="shared" si="466"/>
        <v>7.5925175562157161</v>
      </c>
      <c r="H336">
        <f t="shared" si="467"/>
        <v>254.52470067475116</v>
      </c>
      <c r="I336" s="153">
        <f t="shared" si="468"/>
        <v>0</v>
      </c>
      <c r="J336" s="153">
        <f t="shared" si="469"/>
        <v>0</v>
      </c>
      <c r="M336" s="39">
        <v>0.54166666666666696</v>
      </c>
      <c r="N336">
        <v>-15</v>
      </c>
      <c r="O336" s="38">
        <f>+DEGREES(ASIN(COS(RADIANS(P326))*COS(RADIANS(O326))*COS(RADIANS(N336))+SIN(RADIANS(P326))*SIN(RADIANS(O326))))</f>
        <v>9.2527018000496479</v>
      </c>
      <c r="P336" s="38">
        <f>-(180-DEGREES(ACOS((((SIN(RADIANS(O336)))*SIN(RADIANS(P326)))-SIN(RADIANS(O326)))/((COS(RADIANS(O336)))*COS(RADIANS(P326))))))</f>
        <v>-164.79790398339722</v>
      </c>
      <c r="R336">
        <f t="shared" si="470"/>
        <v>8.074729819995035</v>
      </c>
      <c r="S336">
        <f t="shared" si="471"/>
        <v>254.79790398339722</v>
      </c>
      <c r="T336" s="153">
        <f t="shared" si="472"/>
        <v>0</v>
      </c>
      <c r="U336" s="153">
        <f t="shared" si="473"/>
        <v>0</v>
      </c>
      <c r="X336">
        <f t="shared" si="446"/>
        <v>-7.7000000000000046</v>
      </c>
      <c r="Y336">
        <f t="shared" si="447"/>
        <v>7.7000000000000046</v>
      </c>
      <c r="Z336">
        <f t="shared" si="465"/>
        <v>7.7356318423254864</v>
      </c>
      <c r="AA336">
        <f t="shared" si="465"/>
        <v>-7.7356318423254864</v>
      </c>
      <c r="AC336">
        <f t="shared" si="441"/>
        <v>-4.5000000000000009</v>
      </c>
    </row>
    <row r="337" spans="1:29" x14ac:dyDescent="0.25">
      <c r="B337" s="39">
        <v>0.58333333333333304</v>
      </c>
      <c r="C337" s="38">
        <v>-30</v>
      </c>
      <c r="D337" s="38">
        <f>+DEGREES(ASIN(COS(RADIANS(E326))*COS(RADIANS(D326))*COS(RADIANS(C337))+SIN(RADIANS(E326))*SIN(RADIANS(D326))))</f>
        <v>12.552455316688945</v>
      </c>
      <c r="E337" s="38">
        <f>-(180-DEGREES(ACOS((((SIN(RADIANS(D337)))*SIN(RADIANS(E326)))-SIN(RADIANS(D326)))/((COS(RADIANS(D337)))*COS(RADIANS(E326))))))</f>
        <v>-149.18743469538276</v>
      </c>
      <c r="G337">
        <f t="shared" si="466"/>
        <v>7.7447544683311058</v>
      </c>
      <c r="H337">
        <f t="shared" si="467"/>
        <v>239.18743469538276</v>
      </c>
      <c r="I337" s="153">
        <f t="shared" si="468"/>
        <v>0</v>
      </c>
      <c r="J337" s="153">
        <f t="shared" si="469"/>
        <v>0</v>
      </c>
      <c r="M337" s="39">
        <v>0.58333333333333304</v>
      </c>
      <c r="N337" s="38">
        <v>-30</v>
      </c>
      <c r="O337" s="38">
        <f>+DEGREES(ASIN(COS(RADIANS(P326))*COS(RADIANS(O326))*COS(RADIANS(N337))+SIN(RADIANS(P326))*SIN(RADIANS(O326))))</f>
        <v>8.2470699342316749</v>
      </c>
      <c r="P337" s="38">
        <f>-(180-DEGREES(ACOS((((SIN(RADIANS(O337)))*SIN(RADIANS(P326)))-SIN(RADIANS(O326)))/((COS(RADIANS(O337)))*COS(RADIANS(P326))))))</f>
        <v>-149.65456496125748</v>
      </c>
      <c r="R337">
        <f t="shared" si="470"/>
        <v>8.1752930065768332</v>
      </c>
      <c r="S337">
        <f t="shared" si="471"/>
        <v>239.65456496125748</v>
      </c>
      <c r="T337" s="153">
        <f t="shared" si="472"/>
        <v>0</v>
      </c>
      <c r="U337" s="153">
        <f t="shared" si="473"/>
        <v>0</v>
      </c>
      <c r="X337">
        <f t="shared" si="446"/>
        <v>-7.7000000000000046</v>
      </c>
      <c r="Y337">
        <f t="shared" si="447"/>
        <v>7.7000000000000046</v>
      </c>
      <c r="Z337">
        <f t="shared" si="465"/>
        <v>7.794228634059948</v>
      </c>
      <c r="AA337">
        <f t="shared" si="465"/>
        <v>-7.794228634059948</v>
      </c>
      <c r="AC337">
        <f t="shared" si="441"/>
        <v>-4.5000000000000009</v>
      </c>
    </row>
    <row r="338" spans="1:29" x14ac:dyDescent="0.25">
      <c r="B338" s="39">
        <v>0.625</v>
      </c>
      <c r="C338">
        <v>-45</v>
      </c>
      <c r="D338" s="38">
        <f>+DEGREES(ASIN(COS(RADIANS(E326))*COS(RADIANS(D326))*COS(RADIANS(C338))+SIN(RADIANS(E326))*SIN(RADIANS(D326))))</f>
        <v>10.148684177519183</v>
      </c>
      <c r="E338" s="38">
        <f>-(180-DEGREES(ACOS((((SIN(RADIANS(D338)))*SIN(RADIANS(E326)))-SIN(RADIANS(D326)))/((COS(RADIANS(D338)))*COS(RADIANS(E326))))))</f>
        <v>-134.08336375564744</v>
      </c>
      <c r="G338">
        <f t="shared" si="466"/>
        <v>7.9851315822480817</v>
      </c>
      <c r="H338">
        <f t="shared" si="467"/>
        <v>224.08336375564744</v>
      </c>
      <c r="I338" s="153">
        <f t="shared" si="468"/>
        <v>0</v>
      </c>
      <c r="J338" s="153">
        <f t="shared" si="469"/>
        <v>0</v>
      </c>
      <c r="M338" s="39">
        <v>0.625</v>
      </c>
      <c r="N338">
        <v>-45</v>
      </c>
      <c r="O338" s="38">
        <f>+DEGREES(ASIN(COS(RADIANS(P326))*COS(RADIANS(O326))*COS(RADIANS(N338))+SIN(RADIANS(P326))*SIN(RADIANS(O326))))</f>
        <v>6.6524676910812941</v>
      </c>
      <c r="P338" s="38">
        <f>-(180-DEGREES(ACOS((((SIN(RADIANS(O338)))*SIN(RADIANS(P326)))-SIN(RADIANS(O326)))/((COS(RADIANS(O338)))*COS(RADIANS(P326))))))</f>
        <v>-134.61173113596442</v>
      </c>
      <c r="R338">
        <f t="shared" si="470"/>
        <v>8.3347532308918701</v>
      </c>
      <c r="S338">
        <f t="shared" si="471"/>
        <v>224.61173113596442</v>
      </c>
      <c r="T338" s="153">
        <f t="shared" si="472"/>
        <v>0</v>
      </c>
      <c r="U338" s="153">
        <f t="shared" si="473"/>
        <v>0</v>
      </c>
      <c r="X338">
        <f t="shared" si="446"/>
        <v>-7.7000000000000046</v>
      </c>
      <c r="Y338">
        <f t="shared" si="447"/>
        <v>7.7000000000000046</v>
      </c>
      <c r="Z338">
        <f t="shared" si="465"/>
        <v>7.8511145705562084</v>
      </c>
      <c r="AA338">
        <f t="shared" si="465"/>
        <v>-7.8511145705562084</v>
      </c>
      <c r="AC338">
        <f t="shared" si="441"/>
        <v>-4.5000000000000009</v>
      </c>
    </row>
    <row r="339" spans="1:29" x14ac:dyDescent="0.25">
      <c r="B339" s="39">
        <v>0.66666666666666696</v>
      </c>
      <c r="C339" s="38">
        <v>-60</v>
      </c>
      <c r="D339" s="38">
        <f>+DEGREES(ASIN(COS(RADIANS(E326))*COS(RADIANS(D326))*COS(RADIANS(C339))+SIN(RADIANS(E326))*SIN(RADIANS(D326))))</f>
        <v>7.0422574939074547</v>
      </c>
      <c r="E339" s="38">
        <f>-(180-DEGREES(ACOS((((SIN(RADIANS(D339)))*SIN(RADIANS(E326)))-SIN(RADIANS(D326)))/((COS(RADIANS(D339)))*COS(RADIANS(E326))))))</f>
        <v>-119.23936275375299</v>
      </c>
      <c r="G339">
        <f t="shared" si="466"/>
        <v>8.295774250609254</v>
      </c>
      <c r="H339">
        <f t="shared" si="467"/>
        <v>209.23936275375297</v>
      </c>
      <c r="I339" s="153">
        <f t="shared" si="468"/>
        <v>0</v>
      </c>
      <c r="J339" s="153">
        <f t="shared" si="469"/>
        <v>0</v>
      </c>
      <c r="M339" s="39">
        <v>0.66666666666666696</v>
      </c>
      <c r="N339" s="38">
        <v>-60</v>
      </c>
      <c r="O339" s="38">
        <f>+DEGREES(ASIN(COS(RADIANS(P326))*COS(RADIANS(O326))*COS(RADIANS(N339))+SIN(RADIANS(P326))*SIN(RADIANS(O326))))</f>
        <v>4.5818949074716482</v>
      </c>
      <c r="P339" s="38">
        <f>-(180-DEGREES(ACOS((((SIN(RADIANS(O339)))*SIN(RADIANS(P326)))-SIN(RADIANS(O326)))/((COS(RADIANS(O339)))*COS(RADIANS(P326))))))</f>
        <v>-119.68277971597945</v>
      </c>
      <c r="R339">
        <f t="shared" si="470"/>
        <v>8.5418105092528354</v>
      </c>
      <c r="S339">
        <f t="shared" si="471"/>
        <v>209.68277971597945</v>
      </c>
      <c r="T339" s="153">
        <f t="shared" si="472"/>
        <v>0</v>
      </c>
      <c r="U339" s="153">
        <f t="shared" si="473"/>
        <v>0</v>
      </c>
      <c r="X339">
        <f t="shared" si="446"/>
        <v>-7.7000000000000046</v>
      </c>
      <c r="Y339">
        <f t="shared" si="447"/>
        <v>7.7000000000000046</v>
      </c>
      <c r="Z339">
        <f t="shared" si="465"/>
        <v>7.9063265806567848</v>
      </c>
      <c r="AA339">
        <f t="shared" si="465"/>
        <v>-7.9063265806567848</v>
      </c>
      <c r="AC339">
        <f t="shared" si="441"/>
        <v>-4.5000000000000009</v>
      </c>
    </row>
    <row r="340" spans="1:29" x14ac:dyDescent="0.25">
      <c r="B340" s="39">
        <v>0.70833333333333404</v>
      </c>
      <c r="C340">
        <v>-75</v>
      </c>
      <c r="D340" s="38">
        <f>+DEGREES(ASIN(COS(RADIANS(E326))*COS(RADIANS(D326))*COS(RADIANS(C340))+SIN(RADIANS(E326))*SIN(RADIANS(D326))))</f>
        <v>3.4501831241284342</v>
      </c>
      <c r="E340" s="38">
        <f>-(180-DEGREES(ACOS((((SIN(RADIANS(D340)))*SIN(RADIANS(E326)))-SIN(RADIANS(D326)))/((COS(RADIANS(D340)))*COS(RADIANS(E326))))))</f>
        <v>-104.6121420429491</v>
      </c>
      <c r="G340">
        <f t="shared" si="466"/>
        <v>8.6549816875871564</v>
      </c>
      <c r="H340">
        <f t="shared" si="467"/>
        <v>194.6121420429491</v>
      </c>
      <c r="I340" s="153">
        <f t="shared" si="468"/>
        <v>0</v>
      </c>
      <c r="J340" s="153">
        <f t="shared" si="469"/>
        <v>0</v>
      </c>
      <c r="M340" s="39">
        <v>0.70833333333333404</v>
      </c>
      <c r="N340">
        <v>-75</v>
      </c>
      <c r="O340" s="38">
        <f>+DEGREES(ASIN(COS(RADIANS(P326))*COS(RADIANS(O326))*COS(RADIANS(N340))+SIN(RADIANS(P326))*SIN(RADIANS(O326))))</f>
        <v>2.1780134099668169</v>
      </c>
      <c r="P340" s="38">
        <f>-(180-DEGREES(ACOS((((SIN(RADIANS(O340)))*SIN(RADIANS(P326)))-SIN(RADIANS(O326)))/((COS(RADIANS(O340)))*COS(RADIANS(P326))))))</f>
        <v>-104.84998864842244</v>
      </c>
      <c r="R340">
        <f t="shared" si="470"/>
        <v>8.7821986590033188</v>
      </c>
      <c r="S340">
        <f t="shared" si="471"/>
        <v>194.84998864842242</v>
      </c>
      <c r="T340" s="153">
        <f t="shared" si="472"/>
        <v>0</v>
      </c>
      <c r="U340" s="153">
        <f t="shared" si="473"/>
        <v>0</v>
      </c>
      <c r="X340">
        <f t="shared" si="446"/>
        <v>-7.7000000000000046</v>
      </c>
      <c r="Y340">
        <f t="shared" si="447"/>
        <v>7.7000000000000046</v>
      </c>
      <c r="Z340">
        <f t="shared" si="465"/>
        <v>7.9598994968529597</v>
      </c>
      <c r="AA340">
        <f t="shared" si="465"/>
        <v>-7.9598994968529597</v>
      </c>
      <c r="AC340">
        <f t="shared" si="441"/>
        <v>-4.5000000000000009</v>
      </c>
    </row>
    <row r="341" spans="1:29" x14ac:dyDescent="0.25">
      <c r="B341" s="39">
        <v>0.75</v>
      </c>
      <c r="C341" s="38">
        <v>-90</v>
      </c>
      <c r="D341" s="38">
        <f>+DEGREES(ASIN(COS(RADIANS(E326))*COS(RADIANS(D326))*COS(RADIANS(C341))+SIN(RADIANS(E326))*SIN(RADIANS(D326))))</f>
        <v>-0.38989883647608925</v>
      </c>
      <c r="E341" s="38">
        <f>-(180-DEGREES(ACOS((((SIN(RADIANS(D341)))*SIN(RADIANS(E326)))-SIN(RADIANS(D326)))/((COS(RADIANS(D341)))*COS(RADIANS(E326))))))</f>
        <v>-90.104474748944043</v>
      </c>
      <c r="G341">
        <f t="shared" si="466"/>
        <v>9.0389898836476092</v>
      </c>
      <c r="H341">
        <f t="shared" si="467"/>
        <v>180.10447474894403</v>
      </c>
      <c r="I341" s="153">
        <f t="shared" si="468"/>
        <v>0</v>
      </c>
      <c r="J341" s="153">
        <f t="shared" si="469"/>
        <v>0</v>
      </c>
      <c r="M341" s="39">
        <v>0.75</v>
      </c>
      <c r="N341" s="38">
        <v>-90</v>
      </c>
      <c r="O341" s="38">
        <f>+DEGREES(ASIN(COS(RADIANS(P326))*COS(RADIANS(O326))*COS(RADIANS(N341))+SIN(RADIANS(P326))*SIN(RADIANS(O326))))</f>
        <v>-0.39752070355606267</v>
      </c>
      <c r="P341" s="38">
        <f>-(180-DEGREES(ACOS((((SIN(RADIANS(O341)))*SIN(RADIANS(P326)))-SIN(RADIANS(O326)))/((COS(RADIANS(O341)))*COS(RADIANS(P326))))))</f>
        <v>-90.070094767620148</v>
      </c>
      <c r="R341">
        <f t="shared" si="470"/>
        <v>9.0397520703556058</v>
      </c>
      <c r="S341">
        <f t="shared" si="471"/>
        <v>180.07009476762016</v>
      </c>
      <c r="T341" s="153">
        <f t="shared" si="472"/>
        <v>0</v>
      </c>
      <c r="U341" s="153">
        <f t="shared" si="473"/>
        <v>0</v>
      </c>
      <c r="X341">
        <f t="shared" si="446"/>
        <v>-7.7000000000000046</v>
      </c>
      <c r="Y341">
        <f t="shared" si="447"/>
        <v>7.7000000000000046</v>
      </c>
      <c r="Z341">
        <f t="shared" si="465"/>
        <v>8.0118661995817178</v>
      </c>
      <c r="AA341">
        <f t="shared" si="465"/>
        <v>-8.0118661995817178</v>
      </c>
      <c r="AC341">
        <f t="shared" si="441"/>
        <v>-4.5000000000000009</v>
      </c>
    </row>
    <row r="342" spans="1:29" x14ac:dyDescent="0.25">
      <c r="X342">
        <f t="shared" si="446"/>
        <v>-7.7000000000000046</v>
      </c>
      <c r="Y342">
        <f t="shared" si="447"/>
        <v>7.7000000000000046</v>
      </c>
      <c r="Z342">
        <f t="shared" si="465"/>
        <v>8.0622577482985491</v>
      </c>
      <c r="AA342">
        <f t="shared" si="465"/>
        <v>-8.0622577482985491</v>
      </c>
      <c r="AC342">
        <f t="shared" si="441"/>
        <v>-4.5000000000000009</v>
      </c>
    </row>
    <row r="343" spans="1:29" x14ac:dyDescent="0.25">
      <c r="X343">
        <f t="shared" si="446"/>
        <v>-7.7000000000000046</v>
      </c>
      <c r="Y343">
        <f t="shared" si="447"/>
        <v>7.7000000000000046</v>
      </c>
      <c r="Z343">
        <f t="shared" si="465"/>
        <v>8.1111035007574657</v>
      </c>
      <c r="AA343">
        <f t="shared" si="465"/>
        <v>-8.1111035007574657</v>
      </c>
      <c r="AC343">
        <f t="shared" si="441"/>
        <v>-4.5000000000000009</v>
      </c>
    </row>
    <row r="344" spans="1:29" x14ac:dyDescent="0.25">
      <c r="A344" s="155" t="s">
        <v>92</v>
      </c>
      <c r="B344" s="155">
        <v>21</v>
      </c>
      <c r="C344" s="315"/>
      <c r="D344" s="315"/>
      <c r="E344" s="316"/>
      <c r="L344" s="155" t="s">
        <v>92</v>
      </c>
      <c r="M344" s="155">
        <v>21</v>
      </c>
      <c r="N344" s="315"/>
      <c r="O344" s="315"/>
      <c r="P344" s="316"/>
      <c r="X344">
        <f t="shared" si="446"/>
        <v>-7.7000000000000046</v>
      </c>
      <c r="Y344">
        <f t="shared" si="447"/>
        <v>7.7000000000000046</v>
      </c>
      <c r="Z344">
        <f t="shared" si="465"/>
        <v>8.1584312217484563</v>
      </c>
      <c r="AA344">
        <f t="shared" si="465"/>
        <v>-8.1584312217484563</v>
      </c>
      <c r="AC344">
        <f t="shared" si="441"/>
        <v>-4.5000000000000009</v>
      </c>
    </row>
    <row r="345" spans="1:29" x14ac:dyDescent="0.25">
      <c r="A345" s="155" t="s">
        <v>91</v>
      </c>
      <c r="B345" s="155">
        <v>3</v>
      </c>
      <c r="C345" s="315"/>
      <c r="D345" s="315"/>
      <c r="E345" s="316"/>
      <c r="L345" s="155" t="s">
        <v>91</v>
      </c>
      <c r="M345" s="155">
        <v>3</v>
      </c>
      <c r="N345" s="315"/>
      <c r="O345" s="315"/>
      <c r="P345" s="316"/>
      <c r="X345">
        <f t="shared" si="446"/>
        <v>-7.7000000000000046</v>
      </c>
      <c r="Y345">
        <f t="shared" si="447"/>
        <v>7.7000000000000046</v>
      </c>
      <c r="Z345">
        <f t="shared" si="465"/>
        <v>8.2042671823874684</v>
      </c>
      <c r="AA345">
        <f t="shared" si="465"/>
        <v>-8.2042671823874684</v>
      </c>
      <c r="AC345">
        <f t="shared" si="441"/>
        <v>-4.5000000000000009</v>
      </c>
    </row>
    <row r="346" spans="1:29" x14ac:dyDescent="0.25">
      <c r="C346" s="154">
        <f>+IF(B345=$AI$63,B344,IF(B345=$AJ$63,$AI$64+B344,IF(B345=$AK$63,$AI$64+$AJ$64+B344,IF(B345=$AL$63,$AI$64+$AJ$64+$AK$64+B344,IF(B345=$AM$63,$AI$64+$AJ$64+$AK$64+$AL$64+B344,IF(B345=$AN$63,$AI$64+$AJ$64+$AK$64+$AL$64+$AM$64+B344,IF(B345=$AO$63,$AI$64+$AJ$64+$AK$64+$AL$64+$AM$64+$AN$64+B344,IF(B345=$AP$63,$AI$64+$AJ$64+$AK$64+$AL$64+$AM$64+$AN$64+$AO$64+B344,IF(B345=$AQ$63,$AI$64+$AJ$64+$AK$64+$AL$64+$AM$64+$AN$64+$AO$64+$AP$64+B344,IF(B345=$AR$63,$AI$64+$AJ$64+$AK$64+$AL$64+$AM$64+$AN$64+$AO$64+$AP$64+$AQ$64+B344,IF(B345=$AS$63,$AI$64+$AJ$64+$AK$64+$AL$64+$AM$64+$AN$64+$AO$64+$AP$64+$AQ$64+$AR$64+B344,IF(B345=$AT$63,$AI$64+$AJ$64+$AK$64+$AL$64+$AM$64+$AN$64+$AO$64+$AP$64+$AQ$64+$AR$64+$AS$64+B344,"error"))))))))))))</f>
        <v>80</v>
      </c>
      <c r="D346" s="38">
        <f>23.45*SIN(RADIANS(360*((284+C346)/365)))</f>
        <v>-0.40365320185431652</v>
      </c>
      <c r="E346" s="155">
        <v>85</v>
      </c>
      <c r="N346" s="154">
        <f>+IF(M345=$AI$63,M344,IF(M345=$AJ$63,$AI$64+M344,IF(M345=$AK$63,$AI$64+$AJ$64+M344,IF(M345=$AL$63,$AI$64+$AJ$64+$AK$64+M344,IF(M345=$AM$63,$AI$64+$AJ$64+$AK$64+$AL$64+M344,IF(M345=$AN$63,$AI$64+$AJ$64+$AK$64+$AL$64+$AM$64+M344,IF(M345=$AO$63,$AI$64+$AJ$64+$AK$64+$AL$64+$AM$64+$AN$64+M344,IF(M345=$AP$63,$AI$64+$AJ$64+$AK$64+$AL$64+$AM$64+$AN$64+$AO$64+M344,IF(M345=$AQ$63,$AI$64+$AJ$64+$AK$64+$AL$64+$AM$64+$AN$64+$AO$64+$AP$64+M344,IF(M345=$AR$63,$AI$64+$AJ$64+$AK$64+$AL$64+$AM$64+$AN$64+$AO$64+$AP$64+$AQ$64+M344,IF(M345=$AS$63,$AI$64+$AJ$64+$AK$64+$AL$64+$AM$64+$AN$64+$AO$64+$AP$64+$AQ$64+$AR$64+M344,IF(M345=$AT$63,$AI$64+$AJ$64+$AK$64+$AL$64+$AM$64+$AN$64+$AO$64+$AP$64+$AQ$64+$AR$64+$AS$64+M344,"error"))))))))))))</f>
        <v>80</v>
      </c>
      <c r="O346" s="38">
        <f>23.45*SIN(RADIANS(360*((284+N346)/365)))</f>
        <v>-0.40365320185431652</v>
      </c>
      <c r="P346" s="155">
        <v>90</v>
      </c>
      <c r="X346">
        <f t="shared" si="446"/>
        <v>-7.7000000000000046</v>
      </c>
      <c r="Y346">
        <f t="shared" si="447"/>
        <v>7.7000000000000046</v>
      </c>
      <c r="Z346">
        <f t="shared" si="465"/>
        <v>8.2486362509205122</v>
      </c>
      <c r="AA346">
        <f t="shared" si="465"/>
        <v>-8.2486362509205122</v>
      </c>
      <c r="AC346">
        <f t="shared" si="441"/>
        <v>-4.5000000000000009</v>
      </c>
    </row>
    <row r="347" spans="1:29" x14ac:dyDescent="0.25">
      <c r="B347" s="317" t="s">
        <v>90</v>
      </c>
      <c r="C347" s="315"/>
      <c r="D347" s="315"/>
      <c r="E347" s="315"/>
      <c r="G347" s="319" t="s">
        <v>89</v>
      </c>
      <c r="H347" s="319"/>
      <c r="I347" s="319" t="s">
        <v>42</v>
      </c>
      <c r="J347" s="319" t="s">
        <v>43</v>
      </c>
      <c r="M347" s="317" t="s">
        <v>90</v>
      </c>
      <c r="N347" s="315"/>
      <c r="O347" s="315"/>
      <c r="P347" s="315"/>
      <c r="R347" s="319" t="s">
        <v>89</v>
      </c>
      <c r="S347" s="319"/>
      <c r="T347" s="319" t="s">
        <v>42</v>
      </c>
      <c r="U347" s="319" t="s">
        <v>43</v>
      </c>
      <c r="X347">
        <f t="shared" si="446"/>
        <v>-7.7000000000000046</v>
      </c>
      <c r="Y347">
        <f t="shared" si="447"/>
        <v>7.7000000000000046</v>
      </c>
      <c r="Z347">
        <f t="shared" si="465"/>
        <v>8.2915619758885004</v>
      </c>
      <c r="AA347">
        <f t="shared" si="465"/>
        <v>-8.2915619758885004</v>
      </c>
      <c r="AC347">
        <f t="shared" si="441"/>
        <v>-4.5000000000000009</v>
      </c>
    </row>
    <row r="348" spans="1:29" x14ac:dyDescent="0.25">
      <c r="B348" s="318"/>
      <c r="C348" s="315"/>
      <c r="D348" s="315"/>
      <c r="E348" s="315"/>
      <c r="G348" s="319"/>
      <c r="H348" s="319"/>
      <c r="I348" s="319"/>
      <c r="J348" s="319"/>
      <c r="M348" s="318"/>
      <c r="N348" s="315"/>
      <c r="O348" s="315"/>
      <c r="P348" s="315"/>
      <c r="R348" s="319"/>
      <c r="S348" s="319"/>
      <c r="T348" s="319"/>
      <c r="U348" s="319"/>
      <c r="X348">
        <f t="shared" si="446"/>
        <v>-7.7000000000000046</v>
      </c>
      <c r="Y348">
        <f t="shared" si="447"/>
        <v>7.7000000000000046</v>
      </c>
      <c r="Z348">
        <f t="shared" si="465"/>
        <v>8.3330666623998635</v>
      </c>
      <c r="AA348">
        <f t="shared" si="465"/>
        <v>-8.3330666623998635</v>
      </c>
      <c r="AC348">
        <f t="shared" si="441"/>
        <v>-4.5000000000000009</v>
      </c>
    </row>
    <row r="349" spans="1:29" x14ac:dyDescent="0.25">
      <c r="B349" s="39">
        <v>0.25</v>
      </c>
      <c r="C349" s="38">
        <v>90</v>
      </c>
      <c r="D349" s="38">
        <f>+DEGREES(ASIN(COS(RADIANS(E346))*COS(RADIANS(D346))*COS(RADIANS(C349))+SIN(RADIANS(E346))*SIN(RADIANS(D346))))</f>
        <v>-0.40211715428687494</v>
      </c>
      <c r="E349" s="38">
        <f>180-DEGREES(ACOS((((SIN(RADIANS(D349)))*SIN(RADIANS(E346)))-SIN(RADIANS(D346)))/((COS(RADIANS(D349)))*COS(RADIANS(E346)))))</f>
        <v>90.035181272252657</v>
      </c>
      <c r="G349">
        <f t="shared" ref="G349:G361" si="474">9-(D349/10)</f>
        <v>9.0402117154286881</v>
      </c>
      <c r="H349">
        <f t="shared" ref="H349:H361" si="475">90-E349+$AH$172</f>
        <v>-3.5181272252657436E-2</v>
      </c>
      <c r="I349" s="153">
        <f t="shared" ref="I349:I361" si="476">IF($E$346&gt;=$AE$174,0,G349*COS(RADIANS(H349)))</f>
        <v>0</v>
      </c>
      <c r="J349" s="153">
        <f t="shared" ref="J349:J361" si="477">IF($E$346&gt;=$AE$174,0,G349*SIN(RADIANS(H349)))</f>
        <v>0</v>
      </c>
      <c r="M349" s="39">
        <v>0.25</v>
      </c>
      <c r="N349" s="38">
        <v>90</v>
      </c>
      <c r="O349" s="38">
        <f>+DEGREES(ASIN(COS(RADIANS(P346))*COS(RADIANS(O346))*COS(RADIANS(N349))+SIN(RADIANS(P346))*SIN(RADIANS(O346))))</f>
        <v>-0.40365320185431658</v>
      </c>
      <c r="P349" s="38">
        <f>180-DEGREES(ACOS((((SIN(RADIANS(O349)))*SIN(RADIANS(P346)))-SIN(RADIANS(O346)))/((COS(RADIANS(O349)))*COS(RADIANS(P346)))))</f>
        <v>89.188685079818654</v>
      </c>
      <c r="R349">
        <f t="shared" ref="R349:R361" si="478">9-(O349/10)</f>
        <v>9.0403653201854315</v>
      </c>
      <c r="S349">
        <f t="shared" ref="S349:S361" si="479">90-P349+$AH$172</f>
        <v>0.81131492018134566</v>
      </c>
      <c r="T349" s="153">
        <f t="shared" ref="T349:T361" si="480">+R349*COS(RADIANS(S349))</f>
        <v>9.0394589984632496</v>
      </c>
      <c r="U349" s="153">
        <f t="shared" ref="U349:U361" si="481">+R349*SIN(RADIANS(S349))</f>
        <v>0.12800834938866149</v>
      </c>
      <c r="X349">
        <f t="shared" si="446"/>
        <v>-7.7000000000000046</v>
      </c>
      <c r="Y349">
        <f t="shared" si="447"/>
        <v>7.7000000000000046</v>
      </c>
      <c r="Z349">
        <f t="shared" si="465"/>
        <v>8.3731714421717172</v>
      </c>
      <c r="AA349">
        <f t="shared" si="465"/>
        <v>-8.3731714421717172</v>
      </c>
      <c r="AC349">
        <f t="shared" si="441"/>
        <v>-4.5000000000000009</v>
      </c>
    </row>
    <row r="350" spans="1:29" x14ac:dyDescent="0.25">
      <c r="B350" s="39">
        <v>0.29166666666666669</v>
      </c>
      <c r="C350">
        <v>75</v>
      </c>
      <c r="D350" s="38">
        <f>+DEGREES(ASIN(COS(RADIANS(E346))*COS(RADIANS(D346))*COS(RADIANS(C350))+SIN(RADIANS(E346))*SIN(RADIANS(D346))))</f>
        <v>0.89034323905128876</v>
      </c>
      <c r="E350" s="38">
        <f>180-DEGREES(ACOS((((SIN(RADIANS(D350)))*SIN(RADIANS(E346)))-SIN(RADIANS(D346)))/((COS(RADIANS(D350)))*COS(RADIANS(E346)))))</f>
        <v>104.97947359962487</v>
      </c>
      <c r="G350">
        <f t="shared" si="474"/>
        <v>8.9109656760948717</v>
      </c>
      <c r="H350">
        <f t="shared" si="475"/>
        <v>-14.979473599624868</v>
      </c>
      <c r="I350" s="153">
        <f t="shared" si="476"/>
        <v>0</v>
      </c>
      <c r="J350" s="153">
        <f t="shared" si="477"/>
        <v>0</v>
      </c>
      <c r="M350" s="39">
        <v>0.29166666666666669</v>
      </c>
      <c r="N350">
        <v>75</v>
      </c>
      <c r="O350" s="38">
        <f>+DEGREES(ASIN(COS(RADIANS(P346))*COS(RADIANS(O346))*COS(RADIANS(N350))+SIN(RADIANS(P346))*SIN(RADIANS(O346))))</f>
        <v>-0.40365320185431569</v>
      </c>
      <c r="P350" s="38">
        <f>180-DEGREES(ACOS((((SIN(RADIANS(O350)))*SIN(RADIANS(P346)))-SIN(RADIANS(O346)))/((COS(RADIANS(O350)))*COS(RADIANS(P346)))))</f>
        <v>103.92868139600179</v>
      </c>
      <c r="R350">
        <f t="shared" si="478"/>
        <v>9.0403653201854315</v>
      </c>
      <c r="S350">
        <f t="shared" si="479"/>
        <v>-13.928681396001792</v>
      </c>
      <c r="T350" s="153">
        <f t="shared" si="480"/>
        <v>8.7745433716572361</v>
      </c>
      <c r="U350" s="153">
        <f t="shared" si="481"/>
        <v>-2.176141939607223</v>
      </c>
      <c r="X350">
        <f t="shared" si="446"/>
        <v>-7.7000000000000046</v>
      </c>
      <c r="Y350">
        <f t="shared" si="447"/>
        <v>7.7000000000000046</v>
      </c>
      <c r="Z350">
        <f t="shared" si="465"/>
        <v>8.4118963379252349</v>
      </c>
      <c r="AA350">
        <f t="shared" si="465"/>
        <v>-8.4118963379252349</v>
      </c>
      <c r="AC350">
        <f t="shared" si="441"/>
        <v>-4.5000000000000009</v>
      </c>
    </row>
    <row r="351" spans="1:29" x14ac:dyDescent="0.25">
      <c r="B351" s="39">
        <v>0.33333333333333298</v>
      </c>
      <c r="C351" s="38">
        <v>60</v>
      </c>
      <c r="D351" s="38">
        <f>+DEGREES(ASIN(COS(RADIANS(E346))*COS(RADIANS(D346))*COS(RADIANS(C351))+SIN(RADIANS(E346))*SIN(RADIANS(D346))))</f>
        <v>2.095119169309497</v>
      </c>
      <c r="E351" s="38">
        <f>180-DEGREES(ACOS((((SIN(RADIANS(D351)))*SIN(RADIANS(E346)))-SIN(RADIANS(D346)))/((COS(RADIANS(D351)))*COS(RADIANS(E346)))))</f>
        <v>119.93601790114869</v>
      </c>
      <c r="G351">
        <f t="shared" si="474"/>
        <v>8.7904880830690502</v>
      </c>
      <c r="H351">
        <f t="shared" si="475"/>
        <v>-29.936017901148688</v>
      </c>
      <c r="I351" s="153">
        <f t="shared" si="476"/>
        <v>0</v>
      </c>
      <c r="J351" s="153">
        <f t="shared" si="477"/>
        <v>0</v>
      </c>
      <c r="M351" s="39">
        <v>0.33333333333333298</v>
      </c>
      <c r="N351" s="38">
        <v>60</v>
      </c>
      <c r="O351" s="38">
        <f>+DEGREES(ASIN(COS(RADIANS(P346))*COS(RADIANS(O346))*COS(RADIANS(N351))+SIN(RADIANS(P346))*SIN(RADIANS(O346))))</f>
        <v>-0.40365320185431486</v>
      </c>
      <c r="P351" s="38">
        <f>180-DEGREES(ACOS((((SIN(RADIANS(O351)))*SIN(RADIANS(P346)))-SIN(RADIANS(O346)))/((COS(RADIANS(O351)))*COS(RADIANS(P346)))))</f>
        <v>117.85711724825478</v>
      </c>
      <c r="R351">
        <f t="shared" si="478"/>
        <v>9.0403653201854315</v>
      </c>
      <c r="S351">
        <f t="shared" si="479"/>
        <v>-27.857117248254781</v>
      </c>
      <c r="T351" s="153">
        <f t="shared" si="480"/>
        <v>7.992728030561687</v>
      </c>
      <c r="U351" s="153">
        <f t="shared" si="481"/>
        <v>-4.2242755298257864</v>
      </c>
      <c r="X351">
        <f t="shared" si="446"/>
        <v>-7.7000000000000046</v>
      </c>
      <c r="Y351">
        <f t="shared" si="447"/>
        <v>7.7000000000000046</v>
      </c>
      <c r="Z351">
        <f t="shared" si="465"/>
        <v>8.4492603226554692</v>
      </c>
      <c r="AA351">
        <f t="shared" si="465"/>
        <v>-8.4492603226554692</v>
      </c>
      <c r="AC351">
        <f t="shared" si="441"/>
        <v>-4.5000000000000009</v>
      </c>
    </row>
    <row r="352" spans="1:29" x14ac:dyDescent="0.25">
      <c r="B352" s="39">
        <v>0.375</v>
      </c>
      <c r="C352">
        <v>45</v>
      </c>
      <c r="D352" s="38">
        <f>+DEGREES(ASIN(COS(RADIANS(E346))*COS(RADIANS(D346))*COS(RADIANS(C352))+SIN(RADIANS(E346))*SIN(RADIANS(D346))))</f>
        <v>3.1304038781027361</v>
      </c>
      <c r="E352" s="38">
        <f>180-DEGREES(ACOS((((SIN(RADIANS(D352)))*SIN(RADIANS(E346)))-SIN(RADIANS(D346)))/((COS(RADIANS(D352)))*COS(RADIANS(E346)))))</f>
        <v>134.91573937647593</v>
      </c>
      <c r="G352">
        <f t="shared" si="474"/>
        <v>8.6869596121897263</v>
      </c>
      <c r="H352">
        <f t="shared" si="475"/>
        <v>-44.915739376475926</v>
      </c>
      <c r="I352" s="153">
        <f t="shared" si="476"/>
        <v>0</v>
      </c>
      <c r="J352" s="153">
        <f t="shared" si="477"/>
        <v>0</v>
      </c>
      <c r="M352" s="39">
        <v>0.375</v>
      </c>
      <c r="N352">
        <v>45</v>
      </c>
      <c r="O352" s="38">
        <f>+DEGREES(ASIN(COS(RADIANS(P346))*COS(RADIANS(O346))*COS(RADIANS(N352))+SIN(RADIANS(P346))*SIN(RADIANS(O346))))</f>
        <v>-0.40365320185431408</v>
      </c>
      <c r="P352" s="38">
        <f>180-DEGREES(ACOS((((SIN(RADIANS(O352)))*SIN(RADIANS(P346)))-SIN(RADIANS(O346)))/((COS(RADIANS(O352)))*COS(RADIANS(P346)))))</f>
        <v>133.93346201565646</v>
      </c>
      <c r="R352">
        <f t="shared" si="478"/>
        <v>9.0403653201854315</v>
      </c>
      <c r="S352">
        <f t="shared" si="479"/>
        <v>-43.93346201565646</v>
      </c>
      <c r="T352" s="153">
        <f t="shared" si="480"/>
        <v>6.5103831648525796</v>
      </c>
      <c r="U352" s="153">
        <f t="shared" si="481"/>
        <v>-6.272409120044351</v>
      </c>
      <c r="X352">
        <f t="shared" si="446"/>
        <v>-7.7000000000000046</v>
      </c>
      <c r="Y352">
        <f t="shared" si="447"/>
        <v>7.7000000000000046</v>
      </c>
      <c r="Z352">
        <f t="shared" si="465"/>
        <v>8.4852813742385695</v>
      </c>
      <c r="AA352">
        <f t="shared" si="465"/>
        <v>-8.4852813742385695</v>
      </c>
      <c r="AC352">
        <f t="shared" si="441"/>
        <v>-4.5000000000000009</v>
      </c>
    </row>
    <row r="353" spans="2:29" x14ac:dyDescent="0.25">
      <c r="B353" s="39">
        <v>0.41666666666666702</v>
      </c>
      <c r="C353" s="38">
        <v>30</v>
      </c>
      <c r="D353" s="38">
        <f>+DEGREES(ASIN(COS(RADIANS(E346))*COS(RADIANS(D346))*COS(RADIANS(C353))+SIN(RADIANS(E346))*SIN(RADIANS(D346))))</f>
        <v>3.9254822674522174</v>
      </c>
      <c r="E353" s="38">
        <f>180-DEGREES(ACOS((((SIN(RADIANS(D353)))*SIN(RADIANS(E346)))-SIN(RADIANS(D346)))/((COS(RADIANS(D353)))*COS(RADIANS(E346)))))</f>
        <v>149.92300310108433</v>
      </c>
      <c r="G353">
        <f t="shared" si="474"/>
        <v>8.6074517732547786</v>
      </c>
      <c r="H353">
        <f t="shared" si="475"/>
        <v>-59.923003101084333</v>
      </c>
      <c r="I353" s="153">
        <f t="shared" si="476"/>
        <v>0</v>
      </c>
      <c r="J353" s="153">
        <f t="shared" si="477"/>
        <v>0</v>
      </c>
      <c r="M353" s="39">
        <v>0.41666666666666702</v>
      </c>
      <c r="N353" s="38">
        <v>30</v>
      </c>
      <c r="O353" s="38">
        <f>+DEGREES(ASIN(COS(RADIANS(P346))*COS(RADIANS(O346))*COS(RADIANS(N353))+SIN(RADIANS(P346))*SIN(RADIANS(O346))))</f>
        <v>-0.40365320185431353</v>
      </c>
      <c r="P353" s="38">
        <f>180-DEGREES(ACOS((((SIN(RADIANS(O353)))*SIN(RADIANS(P346)))-SIN(RADIANS(O346)))/((COS(RADIANS(O353)))*COS(RADIANS(P346)))))</f>
        <v>148.16586575520893</v>
      </c>
      <c r="R353">
        <f t="shared" si="478"/>
        <v>9.0403653201854315</v>
      </c>
      <c r="S353">
        <f t="shared" si="479"/>
        <v>-58.165865755208927</v>
      </c>
      <c r="T353" s="153">
        <f t="shared" si="480"/>
        <v>4.7684494413654006</v>
      </c>
      <c r="U353" s="153">
        <f t="shared" si="481"/>
        <v>-7.6805009633196093</v>
      </c>
      <c r="X353">
        <f t="shared" si="446"/>
        <v>-7.7000000000000046</v>
      </c>
      <c r="Y353">
        <f t="shared" si="447"/>
        <v>7.7000000000000046</v>
      </c>
      <c r="Z353">
        <f t="shared" si="465"/>
        <v>8.519976525789259</v>
      </c>
      <c r="AA353">
        <f t="shared" si="465"/>
        <v>-8.519976525789259</v>
      </c>
      <c r="AC353">
        <f t="shared" si="441"/>
        <v>-4.5000000000000009</v>
      </c>
    </row>
    <row r="354" spans="2:29" x14ac:dyDescent="0.25">
      <c r="B354" s="39">
        <v>0.45833333333333298</v>
      </c>
      <c r="C354">
        <v>15</v>
      </c>
      <c r="D354" s="38">
        <f>+DEGREES(ASIN(COS(RADIANS(E346))*COS(RADIANS(D346))*COS(RADIANS(C354))+SIN(RADIANS(E346))*SIN(RADIANS(D346))))</f>
        <v>4.4256675253812849</v>
      </c>
      <c r="E354" s="38">
        <f>180-DEGREES(ACOS((((SIN(RADIANS(D354)))*SIN(RADIANS(E346)))-SIN(RADIANS(D346)))/((COS(RADIANS(D354)))*COS(RADIANS(E346)))))</f>
        <v>164.95446399611654</v>
      </c>
      <c r="G354">
        <f t="shared" si="474"/>
        <v>8.5574332474618711</v>
      </c>
      <c r="H354">
        <f t="shared" si="475"/>
        <v>-74.954463996116544</v>
      </c>
      <c r="I354" s="153">
        <f t="shared" si="476"/>
        <v>0</v>
      </c>
      <c r="J354" s="153">
        <f t="shared" si="477"/>
        <v>0</v>
      </c>
      <c r="M354" s="39">
        <v>0.45833333333333298</v>
      </c>
      <c r="N354">
        <v>15</v>
      </c>
      <c r="O354" s="38">
        <f>+DEGREES(ASIN(COS(RADIANS(P346))*COS(RADIANS(O346))*COS(RADIANS(N354))+SIN(RADIANS(P346))*SIN(RADIANS(O346))))</f>
        <v>-0.40365320185431319</v>
      </c>
      <c r="P354" s="38">
        <f>180-DEGREES(ACOS((((SIN(RADIANS(O354)))*SIN(RADIANS(P346)))-SIN(RADIANS(O346)))/((COS(RADIANS(O354)))*COS(RADIANS(P346)))))</f>
        <v>161.56737258921899</v>
      </c>
      <c r="R354">
        <f t="shared" si="478"/>
        <v>9.0403653201854315</v>
      </c>
      <c r="S354">
        <f t="shared" si="479"/>
        <v>-71.567372589218991</v>
      </c>
      <c r="T354" s="153">
        <f t="shared" si="480"/>
        <v>2.8584670411979398</v>
      </c>
      <c r="U354" s="153">
        <f t="shared" si="481"/>
        <v>-8.5765594090402324</v>
      </c>
      <c r="X354">
        <f t="shared" si="446"/>
        <v>-7.7000000000000046</v>
      </c>
      <c r="Y354">
        <f t="shared" si="447"/>
        <v>7.7000000000000046</v>
      </c>
      <c r="Z354">
        <f t="shared" si="465"/>
        <v>8.5533619121372393</v>
      </c>
      <c r="AA354">
        <f t="shared" si="465"/>
        <v>-8.5533619121372393</v>
      </c>
      <c r="AC354">
        <f t="shared" si="441"/>
        <v>-4.5000000000000009</v>
      </c>
    </row>
    <row r="355" spans="2:29" x14ac:dyDescent="0.25">
      <c r="B355" s="39">
        <v>0.5</v>
      </c>
      <c r="C355" s="38">
        <v>0</v>
      </c>
      <c r="D355" s="38">
        <f>+DEGREES(ASIN(COS(RADIANS(E346))*COS(RADIANS(D346))*COS(RADIANS(C355))+SIN(RADIANS(E346))*SIN(RADIANS(D346))))</f>
        <v>4.5963467981456816</v>
      </c>
      <c r="E355" s="38">
        <f>+IF(E346&gt;=0,180,0)</f>
        <v>180</v>
      </c>
      <c r="G355">
        <f t="shared" si="474"/>
        <v>8.5403653201854315</v>
      </c>
      <c r="H355">
        <f t="shared" si="475"/>
        <v>-90</v>
      </c>
      <c r="I355" s="153">
        <f t="shared" si="476"/>
        <v>0</v>
      </c>
      <c r="J355" s="153">
        <f t="shared" si="477"/>
        <v>0</v>
      </c>
      <c r="M355" s="39">
        <v>0.5</v>
      </c>
      <c r="N355" s="38">
        <v>0</v>
      </c>
      <c r="O355" s="38">
        <f>+DEGREES(ASIN(COS(RADIANS(P346))*COS(RADIANS(O346))*COS(RADIANS(N355))+SIN(RADIANS(P346))*SIN(RADIANS(O346))))</f>
        <v>-0.40365320185431303</v>
      </c>
      <c r="P355" s="38">
        <f>+IF(P346&gt;=0,180,0)</f>
        <v>180</v>
      </c>
      <c r="R355">
        <f t="shared" si="478"/>
        <v>9.0403653201854315</v>
      </c>
      <c r="S355">
        <f t="shared" si="479"/>
        <v>-90</v>
      </c>
      <c r="T355" s="153">
        <f t="shared" si="480"/>
        <v>5.5378948019173271E-16</v>
      </c>
      <c r="U355" s="153">
        <f t="shared" si="481"/>
        <v>-9.0403653201854315</v>
      </c>
      <c r="X355">
        <f t="shared" si="446"/>
        <v>-7.7000000000000046</v>
      </c>
      <c r="Y355">
        <f t="shared" si="447"/>
        <v>7.7000000000000046</v>
      </c>
      <c r="Z355">
        <f t="shared" si="465"/>
        <v>8.5854528127525107</v>
      </c>
      <c r="AA355">
        <f t="shared" si="465"/>
        <v>-8.5854528127525107</v>
      </c>
      <c r="AC355">
        <f t="shared" si="441"/>
        <v>-4.5000000000000009</v>
      </c>
    </row>
    <row r="356" spans="2:29" x14ac:dyDescent="0.25">
      <c r="B356" s="39">
        <v>0.54166666666666696</v>
      </c>
      <c r="C356">
        <v>-15</v>
      </c>
      <c r="D356" s="38">
        <f>+DEGREES(ASIN(COS(RADIANS(E346))*COS(RADIANS(D346))*COS(RADIANS(C356))+SIN(RADIANS(E346))*SIN(RADIANS(D346))))</f>
        <v>4.4256675253812849</v>
      </c>
      <c r="E356" s="38">
        <f>-(180-DEGREES(ACOS((((SIN(RADIANS(D356)))*SIN(RADIANS(E346)))-SIN(RADIANS(D346)))/((COS(RADIANS(D356)))*COS(RADIANS(E346))))))</f>
        <v>-164.95446399611654</v>
      </c>
      <c r="G356">
        <f t="shared" si="474"/>
        <v>8.5574332474618711</v>
      </c>
      <c r="H356">
        <f t="shared" si="475"/>
        <v>254.95446399611654</v>
      </c>
      <c r="I356" s="153">
        <f t="shared" si="476"/>
        <v>0</v>
      </c>
      <c r="J356" s="153">
        <f t="shared" si="477"/>
        <v>0</v>
      </c>
      <c r="M356" s="39">
        <v>0.54166666666666696</v>
      </c>
      <c r="N356">
        <v>-15</v>
      </c>
      <c r="O356" s="38">
        <f>+DEGREES(ASIN(COS(RADIANS(P346))*COS(RADIANS(O346))*COS(RADIANS(N356))+SIN(RADIANS(P346))*SIN(RADIANS(O346))))</f>
        <v>-0.40365320185431319</v>
      </c>
      <c r="P356" s="38">
        <f>-(180-DEGREES(ACOS((((SIN(RADIANS(O356)))*SIN(RADIANS(P346)))-SIN(RADIANS(O346)))/((COS(RADIANS(O356)))*COS(RADIANS(P346))))))</f>
        <v>-161.56737258921899</v>
      </c>
      <c r="R356">
        <f t="shared" si="478"/>
        <v>9.0403653201854315</v>
      </c>
      <c r="S356">
        <f t="shared" si="479"/>
        <v>251.56737258921899</v>
      </c>
      <c r="T356" s="153">
        <f t="shared" si="480"/>
        <v>-2.8584670411979411</v>
      </c>
      <c r="U356" s="153">
        <f t="shared" si="481"/>
        <v>-8.5765594090402324</v>
      </c>
      <c r="X356">
        <f t="shared" si="446"/>
        <v>-7.7000000000000046</v>
      </c>
      <c r="Y356">
        <f t="shared" si="447"/>
        <v>7.7000000000000046</v>
      </c>
      <c r="Z356">
        <f t="shared" si="465"/>
        <v>8.616263691415206</v>
      </c>
      <c r="AA356">
        <f t="shared" si="465"/>
        <v>-8.616263691415206</v>
      </c>
      <c r="AC356">
        <f t="shared" ref="AC356:AC382" si="482">+IF($AE$51&lt;0,IF(Z356&lt;$AI$53,Z356,$AI$53),IF(AA356&gt;$AI$53,AA356,$AI$53))</f>
        <v>-4.5000000000000009</v>
      </c>
    </row>
    <row r="357" spans="2:29" x14ac:dyDescent="0.25">
      <c r="B357" s="39">
        <v>0.58333333333333304</v>
      </c>
      <c r="C357" s="38">
        <v>-30</v>
      </c>
      <c r="D357" s="38">
        <f>+DEGREES(ASIN(COS(RADIANS(E346))*COS(RADIANS(D346))*COS(RADIANS(C357))+SIN(RADIANS(E346))*SIN(RADIANS(D346))))</f>
        <v>3.9254822674522174</v>
      </c>
      <c r="E357" s="38">
        <f>-(180-DEGREES(ACOS((((SIN(RADIANS(D357)))*SIN(RADIANS(E346)))-SIN(RADIANS(D346)))/((COS(RADIANS(D357)))*COS(RADIANS(E346))))))</f>
        <v>-149.92300310108433</v>
      </c>
      <c r="G357">
        <f t="shared" si="474"/>
        <v>8.6074517732547786</v>
      </c>
      <c r="H357">
        <f t="shared" si="475"/>
        <v>239.92300310108433</v>
      </c>
      <c r="I357" s="153">
        <f t="shared" si="476"/>
        <v>0</v>
      </c>
      <c r="J357" s="153">
        <f t="shared" si="477"/>
        <v>0</v>
      </c>
      <c r="M357" s="39">
        <v>0.58333333333333304</v>
      </c>
      <c r="N357" s="38">
        <v>-30</v>
      </c>
      <c r="O357" s="38">
        <f>+DEGREES(ASIN(COS(RADIANS(P346))*COS(RADIANS(O346))*COS(RADIANS(N357))+SIN(RADIANS(P346))*SIN(RADIANS(O346))))</f>
        <v>-0.40365320185431353</v>
      </c>
      <c r="P357" s="38">
        <f>-(180-DEGREES(ACOS((((SIN(RADIANS(O357)))*SIN(RADIANS(P346)))-SIN(RADIANS(O346)))/((COS(RADIANS(O357)))*COS(RADIANS(P346))))))</f>
        <v>-148.16586575520893</v>
      </c>
      <c r="R357">
        <f t="shared" si="478"/>
        <v>9.0403653201854315</v>
      </c>
      <c r="S357">
        <f t="shared" si="479"/>
        <v>238.16586575520893</v>
      </c>
      <c r="T357" s="153">
        <f t="shared" si="480"/>
        <v>-4.7684494413654015</v>
      </c>
      <c r="U357" s="153">
        <f t="shared" si="481"/>
        <v>-7.6805009633196084</v>
      </c>
      <c r="X357">
        <f t="shared" ref="X357:X382" si="483">IF(AC357=AC356,X356,X356+0.1)</f>
        <v>-7.7000000000000046</v>
      </c>
      <c r="Y357">
        <f t="shared" ref="Y357:Y382" si="484">IF(AC357=AC356,Y356,Y356-0.1)</f>
        <v>7.7000000000000046</v>
      </c>
      <c r="Z357">
        <f t="shared" ref="Z357:AA388" si="485">+B67</f>
        <v>8.6458082328952912</v>
      </c>
      <c r="AA357">
        <f t="shared" si="485"/>
        <v>-8.6458082328952912</v>
      </c>
      <c r="AC357">
        <f t="shared" si="482"/>
        <v>-4.5000000000000009</v>
      </c>
    </row>
    <row r="358" spans="2:29" x14ac:dyDescent="0.25">
      <c r="B358" s="39">
        <v>0.625</v>
      </c>
      <c r="C358">
        <v>-45</v>
      </c>
      <c r="D358" s="38">
        <f>+DEGREES(ASIN(COS(RADIANS(E346))*COS(RADIANS(D346))*COS(RADIANS(C358))+SIN(RADIANS(E346))*SIN(RADIANS(D346))))</f>
        <v>3.1304038781027361</v>
      </c>
      <c r="E358" s="38">
        <f>-(180-DEGREES(ACOS((((SIN(RADIANS(D358)))*SIN(RADIANS(E346)))-SIN(RADIANS(D346)))/((COS(RADIANS(D358)))*COS(RADIANS(E346))))))</f>
        <v>-134.91573937647593</v>
      </c>
      <c r="G358">
        <f t="shared" si="474"/>
        <v>8.6869596121897263</v>
      </c>
      <c r="H358">
        <f t="shared" si="475"/>
        <v>224.91573937647593</v>
      </c>
      <c r="I358" s="153">
        <f t="shared" si="476"/>
        <v>0</v>
      </c>
      <c r="J358" s="153">
        <f t="shared" si="477"/>
        <v>0</v>
      </c>
      <c r="M358" s="39">
        <v>0.625</v>
      </c>
      <c r="N358">
        <v>-45</v>
      </c>
      <c r="O358" s="38">
        <f>+DEGREES(ASIN(COS(RADIANS(P346))*COS(RADIANS(O346))*COS(RADIANS(N358))+SIN(RADIANS(P346))*SIN(RADIANS(O346))))</f>
        <v>-0.40365320185431408</v>
      </c>
      <c r="P358" s="38">
        <f>-(180-DEGREES(ACOS((((SIN(RADIANS(O358)))*SIN(RADIANS(P346)))-SIN(RADIANS(O346)))/((COS(RADIANS(O358)))*COS(RADIANS(P346))))))</f>
        <v>-133.93346201565646</v>
      </c>
      <c r="R358">
        <f t="shared" si="478"/>
        <v>9.0403653201854315</v>
      </c>
      <c r="S358">
        <f t="shared" si="479"/>
        <v>223.93346201565646</v>
      </c>
      <c r="T358" s="153">
        <f t="shared" si="480"/>
        <v>-6.5103831648525805</v>
      </c>
      <c r="U358" s="153">
        <f t="shared" si="481"/>
        <v>-6.2724091200443493</v>
      </c>
      <c r="X358">
        <f t="shared" si="483"/>
        <v>-7.7000000000000046</v>
      </c>
      <c r="Y358">
        <f t="shared" si="484"/>
        <v>7.7000000000000046</v>
      </c>
      <c r="Z358">
        <f t="shared" si="485"/>
        <v>8.6740993768805765</v>
      </c>
      <c r="AA358">
        <f t="shared" si="485"/>
        <v>-8.6740993768805765</v>
      </c>
      <c r="AC358">
        <f t="shared" si="482"/>
        <v>-4.5000000000000009</v>
      </c>
    </row>
    <row r="359" spans="2:29" x14ac:dyDescent="0.25">
      <c r="B359" s="39">
        <v>0.66666666666666696</v>
      </c>
      <c r="C359" s="38">
        <v>-60</v>
      </c>
      <c r="D359" s="38">
        <f>+DEGREES(ASIN(COS(RADIANS(E346))*COS(RADIANS(D346))*COS(RADIANS(C359))+SIN(RADIANS(E346))*SIN(RADIANS(D346))))</f>
        <v>2.095119169309497</v>
      </c>
      <c r="E359" s="38">
        <f>-(180-DEGREES(ACOS((((SIN(RADIANS(D359)))*SIN(RADIANS(E346)))-SIN(RADIANS(D346)))/((COS(RADIANS(D359)))*COS(RADIANS(E346))))))</f>
        <v>-119.93601790114869</v>
      </c>
      <c r="G359">
        <f t="shared" si="474"/>
        <v>8.7904880830690502</v>
      </c>
      <c r="H359">
        <f t="shared" si="475"/>
        <v>209.93601790114869</v>
      </c>
      <c r="I359" s="153">
        <f t="shared" si="476"/>
        <v>0</v>
      </c>
      <c r="J359" s="153">
        <f t="shared" si="477"/>
        <v>0</v>
      </c>
      <c r="M359" s="39">
        <v>0.66666666666666696</v>
      </c>
      <c r="N359" s="38">
        <v>-60</v>
      </c>
      <c r="O359" s="38">
        <f>+DEGREES(ASIN(COS(RADIANS(P346))*COS(RADIANS(O346))*COS(RADIANS(N359))+SIN(RADIANS(P346))*SIN(RADIANS(O346))))</f>
        <v>-0.40365320185431486</v>
      </c>
      <c r="P359" s="38">
        <f>-(180-DEGREES(ACOS((((SIN(RADIANS(O359)))*SIN(RADIANS(P346)))-SIN(RADIANS(O346)))/((COS(RADIANS(O359)))*COS(RADIANS(P346))))))</f>
        <v>-117.85711724825478</v>
      </c>
      <c r="R359">
        <f t="shared" si="478"/>
        <v>9.0403653201854315</v>
      </c>
      <c r="S359">
        <f t="shared" si="479"/>
        <v>207.85711724825478</v>
      </c>
      <c r="T359" s="153">
        <f t="shared" si="480"/>
        <v>-7.9927280305616879</v>
      </c>
      <c r="U359" s="153">
        <f t="shared" si="481"/>
        <v>-4.2242755298257864</v>
      </c>
      <c r="X359">
        <f t="shared" si="483"/>
        <v>-7.7000000000000046</v>
      </c>
      <c r="Y359">
        <f t="shared" si="484"/>
        <v>7.7000000000000046</v>
      </c>
      <c r="Z359">
        <f t="shared" si="485"/>
        <v>8.7011493493675882</v>
      </c>
      <c r="AA359">
        <f t="shared" si="485"/>
        <v>-8.7011493493675882</v>
      </c>
      <c r="AC359">
        <f t="shared" si="482"/>
        <v>-4.5000000000000009</v>
      </c>
    </row>
    <row r="360" spans="2:29" x14ac:dyDescent="0.25">
      <c r="B360" s="39">
        <v>0.70833333333333404</v>
      </c>
      <c r="C360">
        <v>-75</v>
      </c>
      <c r="D360" s="38">
        <f>+DEGREES(ASIN(COS(RADIANS(E346))*COS(RADIANS(D346))*COS(RADIANS(C360))+SIN(RADIANS(E346))*SIN(RADIANS(D346))))</f>
        <v>0.89034323905128876</v>
      </c>
      <c r="E360" s="38">
        <f>-(180-DEGREES(ACOS((((SIN(RADIANS(D360)))*SIN(RADIANS(E346)))-SIN(RADIANS(D346)))/((COS(RADIANS(D360)))*COS(RADIANS(E346))))))</f>
        <v>-104.97947359962487</v>
      </c>
      <c r="G360">
        <f t="shared" si="474"/>
        <v>8.9109656760948717</v>
      </c>
      <c r="H360">
        <f t="shared" si="475"/>
        <v>194.97947359962487</v>
      </c>
      <c r="I360" s="153">
        <f t="shared" si="476"/>
        <v>0</v>
      </c>
      <c r="J360" s="153">
        <f t="shared" si="477"/>
        <v>0</v>
      </c>
      <c r="M360" s="39">
        <v>0.70833333333333404</v>
      </c>
      <c r="N360">
        <v>-75</v>
      </c>
      <c r="O360" s="38">
        <f>+DEGREES(ASIN(COS(RADIANS(P346))*COS(RADIANS(O346))*COS(RADIANS(N360))+SIN(RADIANS(P346))*SIN(RADIANS(O346))))</f>
        <v>-0.40365320185431569</v>
      </c>
      <c r="P360" s="38">
        <f>-(180-DEGREES(ACOS((((SIN(RADIANS(O360)))*SIN(RADIANS(P346)))-SIN(RADIANS(O346)))/((COS(RADIANS(O360)))*COS(RADIANS(P346))))))</f>
        <v>-103.92868139600179</v>
      </c>
      <c r="R360">
        <f t="shared" si="478"/>
        <v>9.0403653201854315</v>
      </c>
      <c r="S360">
        <f t="shared" si="479"/>
        <v>193.92868139600179</v>
      </c>
      <c r="T360" s="153">
        <f t="shared" si="480"/>
        <v>-8.7745433716572361</v>
      </c>
      <c r="U360" s="153">
        <f t="shared" si="481"/>
        <v>-2.1761419396072239</v>
      </c>
      <c r="X360">
        <f t="shared" si="483"/>
        <v>-7.7000000000000046</v>
      </c>
      <c r="Y360">
        <f t="shared" si="484"/>
        <v>7.7000000000000046</v>
      </c>
      <c r="Z360">
        <f t="shared" si="485"/>
        <v>8.7269696917085717</v>
      </c>
      <c r="AA360">
        <f t="shared" si="485"/>
        <v>-8.7269696917085717</v>
      </c>
      <c r="AC360">
        <f t="shared" si="482"/>
        <v>-4.5000000000000009</v>
      </c>
    </row>
    <row r="361" spans="2:29" x14ac:dyDescent="0.25">
      <c r="B361" s="39">
        <v>0.75</v>
      </c>
      <c r="C361" s="38">
        <v>-90</v>
      </c>
      <c r="D361" s="38">
        <f>+DEGREES(ASIN(COS(RADIANS(E346))*COS(RADIANS(D346))*COS(RADIANS(C361))+SIN(RADIANS(E346))*SIN(RADIANS(D346))))</f>
        <v>-0.40211715428687494</v>
      </c>
      <c r="E361" s="38">
        <f>-(180-DEGREES(ACOS((((SIN(RADIANS(D361)))*SIN(RADIANS(E346)))-SIN(RADIANS(D346)))/((COS(RADIANS(D361)))*COS(RADIANS(E346))))))</f>
        <v>-90.035181272252657</v>
      </c>
      <c r="G361">
        <f t="shared" si="474"/>
        <v>9.0402117154286881</v>
      </c>
      <c r="H361">
        <f t="shared" si="475"/>
        <v>180.03518127225266</v>
      </c>
      <c r="I361" s="153">
        <f t="shared" si="476"/>
        <v>0</v>
      </c>
      <c r="J361" s="153">
        <f t="shared" si="477"/>
        <v>0</v>
      </c>
      <c r="M361" s="39">
        <v>0.75</v>
      </c>
      <c r="N361" s="38">
        <v>-90</v>
      </c>
      <c r="O361" s="38">
        <f>+DEGREES(ASIN(COS(RADIANS(P346))*COS(RADIANS(O346))*COS(RADIANS(N361))+SIN(RADIANS(P346))*SIN(RADIANS(O346))))</f>
        <v>-0.40365320185431658</v>
      </c>
      <c r="P361" s="38">
        <f>-(180-DEGREES(ACOS((((SIN(RADIANS(O361)))*SIN(RADIANS(P346)))-SIN(RADIANS(O346)))/((COS(RADIANS(O361)))*COS(RADIANS(P346))))))</f>
        <v>-89.188685079818654</v>
      </c>
      <c r="R361">
        <f t="shared" si="478"/>
        <v>9.0403653201854315</v>
      </c>
      <c r="S361">
        <f t="shared" si="479"/>
        <v>179.18868507981864</v>
      </c>
      <c r="T361" s="153">
        <f t="shared" si="480"/>
        <v>-9.0394589984632496</v>
      </c>
      <c r="U361" s="153">
        <f t="shared" si="481"/>
        <v>0.12800834938866223</v>
      </c>
      <c r="X361">
        <f t="shared" si="483"/>
        <v>-7.7000000000000046</v>
      </c>
      <c r="Y361">
        <f t="shared" si="484"/>
        <v>7.7000000000000046</v>
      </c>
      <c r="Z361">
        <f t="shared" si="485"/>
        <v>8.7515712874888933</v>
      </c>
      <c r="AA361">
        <f t="shared" si="485"/>
        <v>-8.7515712874888933</v>
      </c>
      <c r="AC361">
        <f t="shared" si="482"/>
        <v>-4.5000000000000009</v>
      </c>
    </row>
    <row r="362" spans="2:29" x14ac:dyDescent="0.25">
      <c r="X362">
        <f t="shared" si="483"/>
        <v>-7.7000000000000046</v>
      </c>
      <c r="Y362">
        <f t="shared" si="484"/>
        <v>7.7000000000000046</v>
      </c>
      <c r="Z362">
        <f t="shared" si="485"/>
        <v>8.7749643873921226</v>
      </c>
      <c r="AA362">
        <f t="shared" si="485"/>
        <v>-8.7749643873921226</v>
      </c>
      <c r="AC362">
        <f t="shared" si="482"/>
        <v>-4.5000000000000009</v>
      </c>
    </row>
    <row r="363" spans="2:29" x14ac:dyDescent="0.25">
      <c r="X363">
        <f t="shared" si="483"/>
        <v>-7.7000000000000046</v>
      </c>
      <c r="Y363">
        <f t="shared" si="484"/>
        <v>7.7000000000000046</v>
      </c>
      <c r="Z363">
        <f t="shared" si="485"/>
        <v>8.7971586321948294</v>
      </c>
      <c r="AA363">
        <f t="shared" si="485"/>
        <v>-8.7971586321948294</v>
      </c>
      <c r="AC363">
        <f t="shared" si="482"/>
        <v>-4.5000000000000009</v>
      </c>
    </row>
    <row r="364" spans="2:29" x14ac:dyDescent="0.25">
      <c r="X364">
        <f t="shared" si="483"/>
        <v>-7.7000000000000046</v>
      </c>
      <c r="Y364">
        <f t="shared" si="484"/>
        <v>7.7000000000000046</v>
      </c>
      <c r="Z364">
        <f t="shared" si="485"/>
        <v>8.8181630740194414</v>
      </c>
      <c r="AA364">
        <f t="shared" si="485"/>
        <v>-8.8181630740194414</v>
      </c>
      <c r="AC364">
        <f t="shared" si="482"/>
        <v>-4.5000000000000009</v>
      </c>
    </row>
    <row r="365" spans="2:29" x14ac:dyDescent="0.25">
      <c r="X365">
        <f t="shared" si="483"/>
        <v>-7.7000000000000046</v>
      </c>
      <c r="Y365">
        <f t="shared" si="484"/>
        <v>7.7000000000000046</v>
      </c>
      <c r="Z365">
        <f t="shared" si="485"/>
        <v>8.8379861959611592</v>
      </c>
      <c r="AA365">
        <f t="shared" si="485"/>
        <v>-8.8379861959611592</v>
      </c>
      <c r="AC365">
        <f t="shared" si="482"/>
        <v>-4.5000000000000009</v>
      </c>
    </row>
    <row r="366" spans="2:29" x14ac:dyDescent="0.25">
      <c r="X366">
        <f t="shared" si="483"/>
        <v>-7.7000000000000046</v>
      </c>
      <c r="Y366">
        <f t="shared" si="484"/>
        <v>7.7000000000000046</v>
      </c>
      <c r="Z366">
        <f t="shared" si="485"/>
        <v>8.8566359301938107</v>
      </c>
      <c r="AA366">
        <f t="shared" si="485"/>
        <v>-8.8566359301938107</v>
      </c>
      <c r="AC366">
        <f t="shared" si="482"/>
        <v>-4.5000000000000009</v>
      </c>
    </row>
    <row r="367" spans="2:29" x14ac:dyDescent="0.25">
      <c r="X367">
        <f t="shared" si="483"/>
        <v>-7.7000000000000046</v>
      </c>
      <c r="Y367">
        <f t="shared" si="484"/>
        <v>7.7000000000000046</v>
      </c>
      <c r="Z367">
        <f t="shared" si="485"/>
        <v>8.8741196746494246</v>
      </c>
      <c r="AA367">
        <f t="shared" si="485"/>
        <v>-8.8741196746494246</v>
      </c>
      <c r="AC367">
        <f t="shared" si="482"/>
        <v>-4.5000000000000009</v>
      </c>
    </row>
    <row r="368" spans="2:29" x14ac:dyDescent="0.25">
      <c r="X368">
        <f t="shared" si="483"/>
        <v>-7.7000000000000046</v>
      </c>
      <c r="Y368">
        <f t="shared" si="484"/>
        <v>7.7000000000000046</v>
      </c>
      <c r="Z368">
        <f t="shared" si="485"/>
        <v>8.8904443083571483</v>
      </c>
      <c r="AA368">
        <f t="shared" si="485"/>
        <v>-8.8904443083571483</v>
      </c>
      <c r="AC368">
        <f t="shared" si="482"/>
        <v>-4.5000000000000009</v>
      </c>
    </row>
    <row r="369" spans="24:29" x14ac:dyDescent="0.25">
      <c r="X369">
        <f t="shared" si="483"/>
        <v>-7.7000000000000046</v>
      </c>
      <c r="Y369">
        <f t="shared" si="484"/>
        <v>7.7000000000000046</v>
      </c>
      <c r="Z369">
        <f t="shared" si="485"/>
        <v>8.9056162055188519</v>
      </c>
      <c r="AA369">
        <f t="shared" si="485"/>
        <v>-8.9056162055188519</v>
      </c>
      <c r="AC369">
        <f t="shared" si="482"/>
        <v>-4.5000000000000009</v>
      </c>
    </row>
    <row r="370" spans="24:29" x14ac:dyDescent="0.25">
      <c r="X370">
        <f t="shared" si="483"/>
        <v>-7.7000000000000046</v>
      </c>
      <c r="Y370">
        <f t="shared" si="484"/>
        <v>7.7000000000000046</v>
      </c>
      <c r="Z370">
        <f t="shared" si="485"/>
        <v>8.9196412483911036</v>
      </c>
      <c r="AA370">
        <f t="shared" si="485"/>
        <v>-8.9196412483911036</v>
      </c>
      <c r="AC370">
        <f t="shared" si="482"/>
        <v>-4.5000000000000009</v>
      </c>
    </row>
    <row r="371" spans="24:29" x14ac:dyDescent="0.25">
      <c r="X371">
        <f t="shared" si="483"/>
        <v>-7.7000000000000046</v>
      </c>
      <c r="Y371">
        <f t="shared" si="484"/>
        <v>7.7000000000000046</v>
      </c>
      <c r="Z371">
        <f t="shared" si="485"/>
        <v>8.9325248390362741</v>
      </c>
      <c r="AA371">
        <f t="shared" si="485"/>
        <v>-8.9325248390362741</v>
      </c>
      <c r="AC371">
        <f t="shared" si="482"/>
        <v>-4.5000000000000009</v>
      </c>
    </row>
    <row r="372" spans="24:29" x14ac:dyDescent="0.25">
      <c r="X372">
        <f t="shared" si="483"/>
        <v>-7.7000000000000046</v>
      </c>
      <c r="Y372">
        <f t="shared" si="484"/>
        <v>7.7000000000000046</v>
      </c>
      <c r="Z372">
        <f t="shared" si="485"/>
        <v>8.9442719099991592</v>
      </c>
      <c r="AA372">
        <f t="shared" si="485"/>
        <v>-8.9442719099991592</v>
      </c>
      <c r="AC372">
        <f t="shared" si="482"/>
        <v>-4.5000000000000009</v>
      </c>
    </row>
    <row r="373" spans="24:29" x14ac:dyDescent="0.25">
      <c r="X373">
        <f t="shared" si="483"/>
        <v>-7.7000000000000046</v>
      </c>
      <c r="Y373">
        <f t="shared" si="484"/>
        <v>7.7000000000000046</v>
      </c>
      <c r="Z373">
        <f t="shared" si="485"/>
        <v>8.95488693395958</v>
      </c>
      <c r="AA373">
        <f t="shared" si="485"/>
        <v>-8.95488693395958</v>
      </c>
      <c r="AC373">
        <f t="shared" si="482"/>
        <v>-4.5000000000000009</v>
      </c>
    </row>
    <row r="374" spans="24:29" x14ac:dyDescent="0.25">
      <c r="X374">
        <f t="shared" si="483"/>
        <v>-7.7000000000000046</v>
      </c>
      <c r="Y374">
        <f t="shared" si="484"/>
        <v>7.7000000000000046</v>
      </c>
      <c r="Z374">
        <f t="shared" si="485"/>
        <v>8.964373932405989</v>
      </c>
      <c r="AA374">
        <f t="shared" si="485"/>
        <v>-8.964373932405989</v>
      </c>
      <c r="AC374">
        <f t="shared" si="482"/>
        <v>-4.5000000000000009</v>
      </c>
    </row>
    <row r="375" spans="24:29" x14ac:dyDescent="0.25">
      <c r="X375">
        <f t="shared" si="483"/>
        <v>-7.7000000000000046</v>
      </c>
      <c r="Y375">
        <f t="shared" si="484"/>
        <v>7.7000000000000046</v>
      </c>
      <c r="Z375">
        <f t="shared" si="485"/>
        <v>8.9727364833700545</v>
      </c>
      <c r="AA375">
        <f t="shared" si="485"/>
        <v>-8.9727364833700545</v>
      </c>
      <c r="AC375">
        <f t="shared" si="482"/>
        <v>-4.5000000000000009</v>
      </c>
    </row>
    <row r="376" spans="24:29" x14ac:dyDescent="0.25">
      <c r="X376">
        <f t="shared" si="483"/>
        <v>-7.7000000000000046</v>
      </c>
      <c r="Y376">
        <f t="shared" si="484"/>
        <v>7.7000000000000046</v>
      </c>
      <c r="Z376">
        <f t="shared" si="485"/>
        <v>8.9799777282574595</v>
      </c>
      <c r="AA376">
        <f t="shared" si="485"/>
        <v>-8.9799777282574595</v>
      </c>
      <c r="AC376">
        <f t="shared" si="482"/>
        <v>-4.5000000000000009</v>
      </c>
    </row>
    <row r="377" spans="24:29" x14ac:dyDescent="0.25">
      <c r="X377">
        <f t="shared" si="483"/>
        <v>-7.7000000000000046</v>
      </c>
      <c r="Y377">
        <f t="shared" si="484"/>
        <v>7.7000000000000046</v>
      </c>
      <c r="Z377">
        <f t="shared" si="485"/>
        <v>8.9861003778057142</v>
      </c>
      <c r="AA377">
        <f t="shared" si="485"/>
        <v>-8.9861003778057142</v>
      </c>
      <c r="AC377">
        <f t="shared" si="482"/>
        <v>-4.5000000000000009</v>
      </c>
    </row>
    <row r="378" spans="24:29" x14ac:dyDescent="0.25">
      <c r="X378">
        <f t="shared" si="483"/>
        <v>-7.7000000000000046</v>
      </c>
      <c r="Y378">
        <f t="shared" si="484"/>
        <v>7.7000000000000046</v>
      </c>
      <c r="Z378">
        <f t="shared" si="485"/>
        <v>8.9911067171956098</v>
      </c>
      <c r="AA378">
        <f t="shared" si="485"/>
        <v>-8.9911067171956098</v>
      </c>
      <c r="AC378">
        <f t="shared" si="482"/>
        <v>-4.5000000000000009</v>
      </c>
    </row>
    <row r="379" spans="24:29" x14ac:dyDescent="0.25">
      <c r="X379">
        <f t="shared" si="483"/>
        <v>-7.7000000000000046</v>
      </c>
      <c r="Y379">
        <f t="shared" si="484"/>
        <v>7.7000000000000046</v>
      </c>
      <c r="Z379">
        <f t="shared" si="485"/>
        <v>8.9949986103389694</v>
      </c>
      <c r="AA379">
        <f t="shared" si="485"/>
        <v>-8.9949986103389694</v>
      </c>
      <c r="AC379">
        <f t="shared" si="482"/>
        <v>-4.5000000000000009</v>
      </c>
    </row>
    <row r="380" spans="24:29" x14ac:dyDescent="0.25">
      <c r="X380">
        <f t="shared" si="483"/>
        <v>-7.7000000000000046</v>
      </c>
      <c r="Y380">
        <f t="shared" si="484"/>
        <v>7.7000000000000046</v>
      </c>
      <c r="Z380">
        <f t="shared" si="485"/>
        <v>8.9977775033615934</v>
      </c>
      <c r="AA380">
        <f t="shared" si="485"/>
        <v>-8.9977775033615934</v>
      </c>
      <c r="AC380">
        <f t="shared" si="482"/>
        <v>-4.5000000000000009</v>
      </c>
    </row>
    <row r="381" spans="24:29" x14ac:dyDescent="0.25">
      <c r="X381">
        <f t="shared" si="483"/>
        <v>-7.7000000000000046</v>
      </c>
      <c r="Y381">
        <f t="shared" si="484"/>
        <v>7.7000000000000046</v>
      </c>
      <c r="Z381">
        <f t="shared" si="485"/>
        <v>8.9994444272966092</v>
      </c>
      <c r="AA381">
        <f t="shared" si="485"/>
        <v>-8.9994444272966092</v>
      </c>
      <c r="AC381">
        <f t="shared" si="482"/>
        <v>-4.5000000000000009</v>
      </c>
    </row>
    <row r="382" spans="24:29" x14ac:dyDescent="0.25">
      <c r="X382">
        <f t="shared" si="483"/>
        <v>-7.7000000000000046</v>
      </c>
      <c r="Y382">
        <f t="shared" si="484"/>
        <v>7.7000000000000046</v>
      </c>
      <c r="Z382">
        <f t="shared" si="485"/>
        <v>9</v>
      </c>
      <c r="AA382">
        <f t="shared" si="485"/>
        <v>-9</v>
      </c>
      <c r="AC382">
        <f t="shared" si="482"/>
        <v>-4.5000000000000009</v>
      </c>
    </row>
    <row r="383" spans="24:29" x14ac:dyDescent="0.25">
      <c r="Y383">
        <f t="shared" ref="Y383:AA414" si="486">+A93</f>
        <v>-0.1</v>
      </c>
      <c r="Z383">
        <f t="shared" si="485"/>
        <v>8.9994444272966092</v>
      </c>
      <c r="AA383">
        <f t="shared" si="485"/>
        <v>-8.9994444272966092</v>
      </c>
    </row>
    <row r="384" spans="24:29" x14ac:dyDescent="0.25">
      <c r="Y384">
        <f t="shared" si="486"/>
        <v>-0.2</v>
      </c>
      <c r="Z384">
        <f t="shared" si="485"/>
        <v>8.9977775033615934</v>
      </c>
      <c r="AA384">
        <f t="shared" si="485"/>
        <v>-8.9977775033615934</v>
      </c>
    </row>
    <row r="385" spans="25:27" x14ac:dyDescent="0.25">
      <c r="Y385">
        <f t="shared" si="486"/>
        <v>-0.3</v>
      </c>
      <c r="Z385">
        <f t="shared" si="485"/>
        <v>8.9949986103389694</v>
      </c>
      <c r="AA385">
        <f t="shared" si="485"/>
        <v>-8.9949986103389694</v>
      </c>
    </row>
    <row r="386" spans="25:27" x14ac:dyDescent="0.25">
      <c r="Y386">
        <f t="shared" si="486"/>
        <v>-0.4</v>
      </c>
      <c r="Z386">
        <f t="shared" si="485"/>
        <v>8.9911067171956098</v>
      </c>
      <c r="AA386">
        <f t="shared" si="485"/>
        <v>-8.9911067171956098</v>
      </c>
    </row>
    <row r="387" spans="25:27" x14ac:dyDescent="0.25">
      <c r="Y387">
        <f t="shared" si="486"/>
        <v>-0.5</v>
      </c>
      <c r="Z387">
        <f t="shared" si="485"/>
        <v>8.9861003778057142</v>
      </c>
      <c r="AA387">
        <f t="shared" si="485"/>
        <v>-8.9861003778057142</v>
      </c>
    </row>
    <row r="388" spans="25:27" x14ac:dyDescent="0.25">
      <c r="Y388">
        <f t="shared" si="486"/>
        <v>-0.6</v>
      </c>
      <c r="Z388">
        <f t="shared" si="485"/>
        <v>8.9799777282574595</v>
      </c>
      <c r="AA388">
        <f t="shared" si="485"/>
        <v>-8.9799777282574595</v>
      </c>
    </row>
    <row r="389" spans="25:27" x14ac:dyDescent="0.25">
      <c r="Y389">
        <f t="shared" si="486"/>
        <v>-0.7</v>
      </c>
      <c r="Z389">
        <f t="shared" si="486"/>
        <v>8.9727364833700545</v>
      </c>
      <c r="AA389">
        <f t="shared" si="486"/>
        <v>-8.9727364833700545</v>
      </c>
    </row>
    <row r="390" spans="25:27" x14ac:dyDescent="0.25">
      <c r="Y390">
        <f t="shared" si="486"/>
        <v>-0.8</v>
      </c>
      <c r="Z390">
        <f t="shared" si="486"/>
        <v>8.964373932405989</v>
      </c>
      <c r="AA390">
        <f t="shared" si="486"/>
        <v>-8.964373932405989</v>
      </c>
    </row>
    <row r="391" spans="25:27" x14ac:dyDescent="0.25">
      <c r="Y391">
        <f t="shared" si="486"/>
        <v>-0.9</v>
      </c>
      <c r="Z391">
        <f t="shared" si="486"/>
        <v>8.95488693395958</v>
      </c>
      <c r="AA391">
        <f t="shared" si="486"/>
        <v>-8.95488693395958</v>
      </c>
    </row>
    <row r="392" spans="25:27" x14ac:dyDescent="0.25">
      <c r="Y392">
        <f t="shared" si="486"/>
        <v>-1</v>
      </c>
      <c r="Z392">
        <f t="shared" si="486"/>
        <v>8.9442719099991592</v>
      </c>
      <c r="AA392">
        <f t="shared" si="486"/>
        <v>-8.9442719099991592</v>
      </c>
    </row>
    <row r="393" spans="25:27" x14ac:dyDescent="0.25">
      <c r="Y393">
        <f t="shared" si="486"/>
        <v>-1.1000000000000001</v>
      </c>
      <c r="Z393">
        <f t="shared" si="486"/>
        <v>8.9325248390362741</v>
      </c>
      <c r="AA393">
        <f t="shared" si="486"/>
        <v>-8.9325248390362741</v>
      </c>
    </row>
    <row r="394" spans="25:27" x14ac:dyDescent="0.25">
      <c r="Y394">
        <f t="shared" si="486"/>
        <v>-1.2</v>
      </c>
      <c r="Z394">
        <f t="shared" si="486"/>
        <v>8.9196412483911036</v>
      </c>
      <c r="AA394">
        <f t="shared" si="486"/>
        <v>-8.9196412483911036</v>
      </c>
    </row>
    <row r="395" spans="25:27" x14ac:dyDescent="0.25">
      <c r="Y395">
        <f t="shared" si="486"/>
        <v>-1.3</v>
      </c>
      <c r="Z395">
        <f t="shared" si="486"/>
        <v>8.9056162055188519</v>
      </c>
      <c r="AA395">
        <f t="shared" si="486"/>
        <v>-8.9056162055188519</v>
      </c>
    </row>
    <row r="396" spans="25:27" x14ac:dyDescent="0.25">
      <c r="Y396">
        <f t="shared" si="486"/>
        <v>-1.4</v>
      </c>
      <c r="Z396">
        <f t="shared" si="486"/>
        <v>8.8904443083571483</v>
      </c>
      <c r="AA396">
        <f t="shared" si="486"/>
        <v>-8.8904443083571483</v>
      </c>
    </row>
    <row r="397" spans="25:27" x14ac:dyDescent="0.25">
      <c r="Y397">
        <f t="shared" si="486"/>
        <v>-1.5</v>
      </c>
      <c r="Z397">
        <f t="shared" si="486"/>
        <v>8.8741196746494246</v>
      </c>
      <c r="AA397">
        <f t="shared" si="486"/>
        <v>-8.8741196746494246</v>
      </c>
    </row>
    <row r="398" spans="25:27" x14ac:dyDescent="0.25">
      <c r="Y398">
        <f t="shared" si="486"/>
        <v>-1.6</v>
      </c>
      <c r="Z398">
        <f t="shared" si="486"/>
        <v>8.8566359301938107</v>
      </c>
      <c r="AA398">
        <f t="shared" si="486"/>
        <v>-8.8566359301938107</v>
      </c>
    </row>
    <row r="399" spans="25:27" x14ac:dyDescent="0.25">
      <c r="Y399">
        <f t="shared" si="486"/>
        <v>-1.7</v>
      </c>
      <c r="Z399">
        <f t="shared" si="486"/>
        <v>8.8379861959611592</v>
      </c>
      <c r="AA399">
        <f t="shared" si="486"/>
        <v>-8.8379861959611592</v>
      </c>
    </row>
    <row r="400" spans="25:27" x14ac:dyDescent="0.25">
      <c r="Y400">
        <f t="shared" si="486"/>
        <v>-1.8</v>
      </c>
      <c r="Z400">
        <f t="shared" si="486"/>
        <v>8.8181630740194414</v>
      </c>
      <c r="AA400">
        <f t="shared" si="486"/>
        <v>-8.8181630740194414</v>
      </c>
    </row>
    <row r="401" spans="25:27" x14ac:dyDescent="0.25">
      <c r="Y401">
        <f t="shared" si="486"/>
        <v>-1.9</v>
      </c>
      <c r="Z401">
        <f t="shared" si="486"/>
        <v>8.7971586321948294</v>
      </c>
      <c r="AA401">
        <f t="shared" si="486"/>
        <v>-8.7971586321948294</v>
      </c>
    </row>
    <row r="402" spans="25:27" x14ac:dyDescent="0.25">
      <c r="Y402">
        <f t="shared" si="486"/>
        <v>-2</v>
      </c>
      <c r="Z402">
        <f t="shared" si="486"/>
        <v>8.7749643873921226</v>
      </c>
      <c r="AA402">
        <f t="shared" si="486"/>
        <v>-8.7749643873921226</v>
      </c>
    </row>
    <row r="403" spans="25:27" x14ac:dyDescent="0.25">
      <c r="Y403">
        <f t="shared" si="486"/>
        <v>-2.1</v>
      </c>
      <c r="Z403">
        <f t="shared" si="486"/>
        <v>8.7515712874888933</v>
      </c>
      <c r="AA403">
        <f t="shared" si="486"/>
        <v>-8.7515712874888933</v>
      </c>
    </row>
    <row r="404" spans="25:27" x14ac:dyDescent="0.25">
      <c r="Y404">
        <f t="shared" si="486"/>
        <v>-2.2000000000000002</v>
      </c>
      <c r="Z404">
        <f t="shared" si="486"/>
        <v>8.7269696917085717</v>
      </c>
      <c r="AA404">
        <f t="shared" si="486"/>
        <v>-8.7269696917085717</v>
      </c>
    </row>
    <row r="405" spans="25:27" x14ac:dyDescent="0.25">
      <c r="Y405">
        <f t="shared" si="486"/>
        <v>-2.2999999999999998</v>
      </c>
      <c r="Z405">
        <f t="shared" si="486"/>
        <v>8.7011493493675882</v>
      </c>
      <c r="AA405">
        <f t="shared" si="486"/>
        <v>-8.7011493493675882</v>
      </c>
    </row>
    <row r="406" spans="25:27" x14ac:dyDescent="0.25">
      <c r="Y406">
        <f t="shared" si="486"/>
        <v>-2.4</v>
      </c>
      <c r="Z406">
        <f t="shared" si="486"/>
        <v>8.6740993768805765</v>
      </c>
      <c r="AA406">
        <f t="shared" si="486"/>
        <v>-8.6740993768805765</v>
      </c>
    </row>
    <row r="407" spans="25:27" x14ac:dyDescent="0.25">
      <c r="Y407">
        <f t="shared" si="486"/>
        <v>-2.5</v>
      </c>
      <c r="Z407">
        <f t="shared" si="486"/>
        <v>8.6458082328952912</v>
      </c>
      <c r="AA407">
        <f t="shared" si="486"/>
        <v>-8.6458082328952912</v>
      </c>
    </row>
    <row r="408" spans="25:27" x14ac:dyDescent="0.25">
      <c r="Y408">
        <f t="shared" si="486"/>
        <v>-2.6</v>
      </c>
      <c r="Z408">
        <f t="shared" si="486"/>
        <v>8.616263691415206</v>
      </c>
      <c r="AA408">
        <f t="shared" si="486"/>
        <v>-8.616263691415206</v>
      </c>
    </row>
    <row r="409" spans="25:27" x14ac:dyDescent="0.25">
      <c r="Y409">
        <f t="shared" si="486"/>
        <v>-2.7</v>
      </c>
      <c r="Z409">
        <f t="shared" si="486"/>
        <v>8.5854528127525107</v>
      </c>
      <c r="AA409">
        <f t="shared" si="486"/>
        <v>-8.5854528127525107</v>
      </c>
    </row>
    <row r="410" spans="25:27" x14ac:dyDescent="0.25">
      <c r="Y410">
        <f t="shared" si="486"/>
        <v>-2.8</v>
      </c>
      <c r="Z410">
        <f t="shared" si="486"/>
        <v>8.5533619121372393</v>
      </c>
      <c r="AA410">
        <f t="shared" si="486"/>
        <v>-8.5533619121372393</v>
      </c>
    </row>
    <row r="411" spans="25:27" x14ac:dyDescent="0.25">
      <c r="Y411">
        <f t="shared" si="486"/>
        <v>-2.9</v>
      </c>
      <c r="Z411">
        <f t="shared" si="486"/>
        <v>8.519976525789259</v>
      </c>
      <c r="AA411">
        <f t="shared" si="486"/>
        <v>-8.519976525789259</v>
      </c>
    </row>
    <row r="412" spans="25:27" x14ac:dyDescent="0.25">
      <c r="Y412">
        <f t="shared" si="486"/>
        <v>-3</v>
      </c>
      <c r="Z412">
        <f t="shared" si="486"/>
        <v>8.4852813742385695</v>
      </c>
      <c r="AA412">
        <f t="shared" si="486"/>
        <v>-8.4852813742385695</v>
      </c>
    </row>
    <row r="413" spans="25:27" x14ac:dyDescent="0.25">
      <c r="Y413">
        <f t="shared" si="486"/>
        <v>-3.1</v>
      </c>
      <c r="Z413">
        <f t="shared" si="486"/>
        <v>8.4492603226554692</v>
      </c>
      <c r="AA413">
        <f t="shared" si="486"/>
        <v>-8.4492603226554692</v>
      </c>
    </row>
    <row r="414" spans="25:27" x14ac:dyDescent="0.25">
      <c r="Y414">
        <f t="shared" si="486"/>
        <v>-3.2</v>
      </c>
      <c r="Z414">
        <f t="shared" si="486"/>
        <v>8.4118963379252349</v>
      </c>
      <c r="AA414">
        <f t="shared" si="486"/>
        <v>-8.4118963379252349</v>
      </c>
    </row>
    <row r="415" spans="25:27" x14ac:dyDescent="0.25">
      <c r="Y415">
        <f t="shared" ref="Y415:AA446" si="487">+A125</f>
        <v>-3.3</v>
      </c>
      <c r="Z415">
        <f t="shared" si="487"/>
        <v>8.3731714421717172</v>
      </c>
      <c r="AA415">
        <f t="shared" si="487"/>
        <v>-8.3731714421717172</v>
      </c>
    </row>
    <row r="416" spans="25:27" x14ac:dyDescent="0.25">
      <c r="Y416">
        <f t="shared" si="487"/>
        <v>-3.4</v>
      </c>
      <c r="Z416">
        <f t="shared" si="487"/>
        <v>8.3330666623998635</v>
      </c>
      <c r="AA416">
        <f t="shared" si="487"/>
        <v>-8.3330666623998635</v>
      </c>
    </row>
    <row r="417" spans="25:27" x14ac:dyDescent="0.25">
      <c r="Y417">
        <f t="shared" si="487"/>
        <v>-3.5</v>
      </c>
      <c r="Z417">
        <f t="shared" si="487"/>
        <v>8.2915619758885004</v>
      </c>
      <c r="AA417">
        <f t="shared" si="487"/>
        <v>-8.2915619758885004</v>
      </c>
    </row>
    <row r="418" spans="25:27" x14ac:dyDescent="0.25">
      <c r="Y418">
        <f t="shared" si="487"/>
        <v>-3.6</v>
      </c>
      <c r="Z418">
        <f t="shared" si="487"/>
        <v>8.2486362509205122</v>
      </c>
      <c r="AA418">
        <f t="shared" si="487"/>
        <v>-8.2486362509205122</v>
      </c>
    </row>
    <row r="419" spans="25:27" x14ac:dyDescent="0.25">
      <c r="Y419">
        <f t="shared" si="487"/>
        <v>-3.7</v>
      </c>
      <c r="Z419">
        <f t="shared" si="487"/>
        <v>8.2042671823874684</v>
      </c>
      <c r="AA419">
        <f t="shared" si="487"/>
        <v>-8.2042671823874684</v>
      </c>
    </row>
    <row r="420" spans="25:27" x14ac:dyDescent="0.25">
      <c r="Y420">
        <f t="shared" si="487"/>
        <v>-3.8</v>
      </c>
      <c r="Z420">
        <f t="shared" si="487"/>
        <v>8.1584312217484563</v>
      </c>
      <c r="AA420">
        <f t="shared" si="487"/>
        <v>-8.1584312217484563</v>
      </c>
    </row>
    <row r="421" spans="25:27" x14ac:dyDescent="0.25">
      <c r="Y421">
        <f t="shared" si="487"/>
        <v>-3.9</v>
      </c>
      <c r="Z421">
        <f t="shared" si="487"/>
        <v>8.1111035007574657</v>
      </c>
      <c r="AA421">
        <f t="shared" si="487"/>
        <v>-8.1111035007574657</v>
      </c>
    </row>
    <row r="422" spans="25:27" x14ac:dyDescent="0.25">
      <c r="Y422">
        <f t="shared" si="487"/>
        <v>-4</v>
      </c>
      <c r="Z422">
        <f t="shared" si="487"/>
        <v>8.0622577482985491</v>
      </c>
      <c r="AA422">
        <f t="shared" si="487"/>
        <v>-8.0622577482985491</v>
      </c>
    </row>
    <row r="423" spans="25:27" x14ac:dyDescent="0.25">
      <c r="Y423">
        <f t="shared" si="487"/>
        <v>-4.0999999999999996</v>
      </c>
      <c r="Z423">
        <f t="shared" si="487"/>
        <v>8.0118661995817178</v>
      </c>
      <c r="AA423">
        <f t="shared" si="487"/>
        <v>-8.0118661995817178</v>
      </c>
    </row>
    <row r="424" spans="25:27" x14ac:dyDescent="0.25">
      <c r="Y424">
        <f t="shared" si="487"/>
        <v>-4.2</v>
      </c>
      <c r="Z424">
        <f t="shared" si="487"/>
        <v>7.9598994968529597</v>
      </c>
      <c r="AA424">
        <f t="shared" si="487"/>
        <v>-7.9598994968529597</v>
      </c>
    </row>
    <row r="425" spans="25:27" x14ac:dyDescent="0.25">
      <c r="Y425">
        <f t="shared" si="487"/>
        <v>-4.3</v>
      </c>
      <c r="Z425">
        <f t="shared" si="487"/>
        <v>7.9063265806567848</v>
      </c>
      <c r="AA425">
        <f t="shared" si="487"/>
        <v>-7.9063265806567848</v>
      </c>
    </row>
    <row r="426" spans="25:27" x14ac:dyDescent="0.25">
      <c r="Y426">
        <f t="shared" si="487"/>
        <v>-4.4000000000000004</v>
      </c>
      <c r="Z426">
        <f t="shared" si="487"/>
        <v>7.8511145705562084</v>
      </c>
      <c r="AA426">
        <f t="shared" si="487"/>
        <v>-7.8511145705562084</v>
      </c>
    </row>
    <row r="427" spans="25:27" x14ac:dyDescent="0.25">
      <c r="Y427">
        <f t="shared" si="487"/>
        <v>-4.5</v>
      </c>
      <c r="Z427">
        <f t="shared" si="487"/>
        <v>7.794228634059948</v>
      </c>
      <c r="AA427">
        <f t="shared" si="487"/>
        <v>-7.794228634059948</v>
      </c>
    </row>
    <row r="428" spans="25:27" x14ac:dyDescent="0.25">
      <c r="Y428">
        <f t="shared" si="487"/>
        <v>-4.5999999999999996</v>
      </c>
      <c r="Z428">
        <f t="shared" si="487"/>
        <v>7.7356318423254864</v>
      </c>
      <c r="AA428">
        <f t="shared" si="487"/>
        <v>-7.7356318423254864</v>
      </c>
    </row>
    <row r="429" spans="25:27" x14ac:dyDescent="0.25">
      <c r="Y429">
        <f t="shared" si="487"/>
        <v>-4.7</v>
      </c>
      <c r="Z429">
        <f t="shared" si="487"/>
        <v>7.6752850109947053</v>
      </c>
      <c r="AA429">
        <f t="shared" si="487"/>
        <v>-7.6752850109947053</v>
      </c>
    </row>
    <row r="430" spans="25:27" x14ac:dyDescent="0.25">
      <c r="Y430">
        <f t="shared" si="487"/>
        <v>-4.8</v>
      </c>
      <c r="Z430">
        <f t="shared" si="487"/>
        <v>7.6131465242697125</v>
      </c>
      <c r="AA430">
        <f t="shared" si="487"/>
        <v>-7.6131465242697125</v>
      </c>
    </row>
    <row r="431" spans="25:27" x14ac:dyDescent="0.25">
      <c r="Y431">
        <f t="shared" si="487"/>
        <v>-4.9000000000000004</v>
      </c>
      <c r="Z431">
        <f t="shared" si="487"/>
        <v>7.5491721400429066</v>
      </c>
      <c r="AA431">
        <f t="shared" si="487"/>
        <v>-7.5491721400429066</v>
      </c>
    </row>
    <row r="432" spans="25:27" x14ac:dyDescent="0.25">
      <c r="Y432">
        <f t="shared" si="487"/>
        <v>-5</v>
      </c>
      <c r="Z432">
        <f t="shared" si="487"/>
        <v>7.4833147735478827</v>
      </c>
      <c r="AA432">
        <f t="shared" si="487"/>
        <v>-7.4833147735478827</v>
      </c>
    </row>
    <row r="433" spans="25:27" x14ac:dyDescent="0.25">
      <c r="Y433">
        <f t="shared" si="487"/>
        <v>-5.0999999999999996</v>
      </c>
      <c r="Z433">
        <f t="shared" si="487"/>
        <v>7.4155242565849653</v>
      </c>
      <c r="AA433">
        <f t="shared" si="487"/>
        <v>-7.4155242565849653</v>
      </c>
    </row>
    <row r="434" spans="25:27" x14ac:dyDescent="0.25">
      <c r="Y434">
        <f t="shared" si="487"/>
        <v>-5.2</v>
      </c>
      <c r="Z434">
        <f t="shared" si="487"/>
        <v>7.3457470688827824</v>
      </c>
      <c r="AA434">
        <f t="shared" si="487"/>
        <v>-7.3457470688827824</v>
      </c>
    </row>
    <row r="435" spans="25:27" x14ac:dyDescent="0.25">
      <c r="Y435">
        <f t="shared" si="487"/>
        <v>-5.3</v>
      </c>
      <c r="Z435">
        <f t="shared" si="487"/>
        <v>7.2739260375673327</v>
      </c>
      <c r="AA435">
        <f t="shared" si="487"/>
        <v>-7.2739260375673327</v>
      </c>
    </row>
    <row r="436" spans="25:27" x14ac:dyDescent="0.25">
      <c r="Y436">
        <f t="shared" si="487"/>
        <v>-5.4</v>
      </c>
      <c r="Z436">
        <f t="shared" si="487"/>
        <v>7.2</v>
      </c>
      <c r="AA436">
        <f t="shared" si="487"/>
        <v>-7.2</v>
      </c>
    </row>
    <row r="437" spans="25:27" x14ac:dyDescent="0.25">
      <c r="Y437">
        <f t="shared" si="487"/>
        <v>-5.5</v>
      </c>
      <c r="Z437">
        <f t="shared" si="487"/>
        <v>7.1239034243875032</v>
      </c>
      <c r="AA437">
        <f t="shared" si="487"/>
        <v>-7.1239034243875032</v>
      </c>
    </row>
    <row r="438" spans="25:27" x14ac:dyDescent="0.25">
      <c r="Y438">
        <f t="shared" si="487"/>
        <v>-5.6</v>
      </c>
      <c r="Z438">
        <f t="shared" si="487"/>
        <v>7.0455659815234153</v>
      </c>
      <c r="AA438">
        <f t="shared" si="487"/>
        <v>-7.0455659815234153</v>
      </c>
    </row>
    <row r="439" spans="25:27" x14ac:dyDescent="0.25">
      <c r="Y439">
        <f t="shared" si="487"/>
        <v>-5.7</v>
      </c>
      <c r="Z439">
        <f t="shared" si="487"/>
        <v>6.9649120597463394</v>
      </c>
      <c r="AA439">
        <f t="shared" si="487"/>
        <v>-6.9649120597463394</v>
      </c>
    </row>
    <row r="440" spans="25:27" x14ac:dyDescent="0.25">
      <c r="Y440">
        <f t="shared" si="487"/>
        <v>-5.8</v>
      </c>
      <c r="Z440">
        <f t="shared" si="487"/>
        <v>6.8818602136341012</v>
      </c>
      <c r="AA440">
        <f t="shared" si="487"/>
        <v>-6.8818602136341012</v>
      </c>
    </row>
    <row r="441" spans="25:27" x14ac:dyDescent="0.25">
      <c r="Y441">
        <f t="shared" si="487"/>
        <v>-5.9</v>
      </c>
      <c r="Z441">
        <f t="shared" si="487"/>
        <v>6.7963225350184784</v>
      </c>
      <c r="AA441">
        <f t="shared" si="487"/>
        <v>-6.7963225350184784</v>
      </c>
    </row>
    <row r="442" spans="25:27" x14ac:dyDescent="0.25">
      <c r="Y442">
        <f t="shared" si="487"/>
        <v>-6</v>
      </c>
      <c r="Z442">
        <f t="shared" si="487"/>
        <v>6.7082039324993694</v>
      </c>
      <c r="AA442">
        <f t="shared" si="487"/>
        <v>-6.7082039324993694</v>
      </c>
    </row>
    <row r="443" spans="25:27" x14ac:dyDescent="0.25">
      <c r="Y443">
        <f t="shared" si="487"/>
        <v>-6.1</v>
      </c>
      <c r="Z443">
        <f t="shared" si="487"/>
        <v>6.6174013026262815</v>
      </c>
      <c r="AA443">
        <f t="shared" si="487"/>
        <v>-6.6174013026262815</v>
      </c>
    </row>
    <row r="444" spans="25:27" x14ac:dyDescent="0.25">
      <c r="Y444">
        <f t="shared" si="487"/>
        <v>-6.2</v>
      </c>
      <c r="Z444">
        <f t="shared" si="487"/>
        <v>6.5238025721200357</v>
      </c>
      <c r="AA444">
        <f t="shared" si="487"/>
        <v>-6.5238025721200357</v>
      </c>
    </row>
    <row r="445" spans="25:27" x14ac:dyDescent="0.25">
      <c r="Y445">
        <f t="shared" si="487"/>
        <v>-6.3</v>
      </c>
      <c r="Z445">
        <f t="shared" si="487"/>
        <v>6.4272855856885656</v>
      </c>
      <c r="AA445">
        <f t="shared" si="487"/>
        <v>-6.4272855856885656</v>
      </c>
    </row>
    <row r="446" spans="25:27" x14ac:dyDescent="0.25">
      <c r="Y446">
        <f t="shared" si="487"/>
        <v>-6.4</v>
      </c>
      <c r="Z446">
        <f t="shared" si="487"/>
        <v>6.327716807822549</v>
      </c>
      <c r="AA446">
        <f t="shared" si="487"/>
        <v>-6.327716807822549</v>
      </c>
    </row>
    <row r="447" spans="25:27" x14ac:dyDescent="0.25">
      <c r="Y447">
        <f t="shared" ref="Y447:AA472" si="488">+A157</f>
        <v>-6.5</v>
      </c>
      <c r="Z447">
        <f t="shared" si="488"/>
        <v>6.2249497989943663</v>
      </c>
      <c r="AA447">
        <f t="shared" si="488"/>
        <v>-6.2249497989943663</v>
      </c>
    </row>
    <row r="448" spans="25:27" x14ac:dyDescent="0.25">
      <c r="Y448">
        <f t="shared" si="488"/>
        <v>-6.6</v>
      </c>
      <c r="Z448">
        <f t="shared" si="488"/>
        <v>6.1188234163113426</v>
      </c>
      <c r="AA448">
        <f t="shared" si="488"/>
        <v>-6.1188234163113426</v>
      </c>
    </row>
    <row r="449" spans="25:27" x14ac:dyDescent="0.25">
      <c r="Y449">
        <f t="shared" si="488"/>
        <v>-6.7</v>
      </c>
      <c r="Z449">
        <f t="shared" si="488"/>
        <v>6.009159675029446</v>
      </c>
      <c r="AA449">
        <f t="shared" si="488"/>
        <v>-6.009159675029446</v>
      </c>
    </row>
    <row r="450" spans="25:27" x14ac:dyDescent="0.25">
      <c r="Y450">
        <f t="shared" si="488"/>
        <v>-6.8</v>
      </c>
      <c r="Z450">
        <f t="shared" si="488"/>
        <v>5.89576118919347</v>
      </c>
      <c r="AA450">
        <f t="shared" si="488"/>
        <v>-5.89576118919347</v>
      </c>
    </row>
    <row r="451" spans="25:27" x14ac:dyDescent="0.25">
      <c r="Y451">
        <f t="shared" si="488"/>
        <v>-6.9</v>
      </c>
      <c r="Z451">
        <f t="shared" si="488"/>
        <v>5.7784080852774666</v>
      </c>
      <c r="AA451">
        <f t="shared" si="488"/>
        <v>-5.7784080852774666</v>
      </c>
    </row>
    <row r="452" spans="25:27" x14ac:dyDescent="0.25">
      <c r="Y452">
        <f t="shared" si="488"/>
        <v>-7</v>
      </c>
      <c r="Z452">
        <f t="shared" si="488"/>
        <v>5.6568542494923806</v>
      </c>
      <c r="AA452">
        <f t="shared" si="488"/>
        <v>-5.6568542494923806</v>
      </c>
    </row>
    <row r="453" spans="25:27" x14ac:dyDescent="0.25">
      <c r="Y453">
        <f t="shared" si="488"/>
        <v>-7.1</v>
      </c>
      <c r="Z453">
        <f t="shared" si="488"/>
        <v>5.5308227236099334</v>
      </c>
      <c r="AA453">
        <f t="shared" si="488"/>
        <v>-5.5308227236099334</v>
      </c>
    </row>
    <row r="454" spans="25:27" x14ac:dyDescent="0.25">
      <c r="Y454">
        <f t="shared" si="488"/>
        <v>-7.2</v>
      </c>
      <c r="Z454">
        <f t="shared" si="488"/>
        <v>5.3999999999999995</v>
      </c>
      <c r="AA454">
        <f t="shared" si="488"/>
        <v>-5.3999999999999995</v>
      </c>
    </row>
    <row r="455" spans="25:27" x14ac:dyDescent="0.25">
      <c r="Y455">
        <f t="shared" si="488"/>
        <v>-7.3</v>
      </c>
      <c r="Z455">
        <f t="shared" si="488"/>
        <v>5.2640288753007427</v>
      </c>
      <c r="AA455">
        <f t="shared" si="488"/>
        <v>-5.2640288753007427</v>
      </c>
    </row>
    <row r="456" spans="25:27" x14ac:dyDescent="0.25">
      <c r="Y456">
        <f t="shared" si="488"/>
        <v>-7.4</v>
      </c>
      <c r="Z456">
        <f t="shared" si="488"/>
        <v>5.1224993899462783</v>
      </c>
      <c r="AA456">
        <f t="shared" si="488"/>
        <v>-5.1224993899462783</v>
      </c>
    </row>
    <row r="457" spans="25:27" x14ac:dyDescent="0.25">
      <c r="Y457">
        <f t="shared" si="488"/>
        <v>-7.5</v>
      </c>
      <c r="Z457">
        <f t="shared" si="488"/>
        <v>4.9749371855330997</v>
      </c>
      <c r="AA457">
        <f t="shared" si="488"/>
        <v>-4.9749371855330997</v>
      </c>
    </row>
    <row r="458" spans="25:27" x14ac:dyDescent="0.25">
      <c r="Y458">
        <f t="shared" si="488"/>
        <v>-7.6</v>
      </c>
      <c r="Z458">
        <f t="shared" si="488"/>
        <v>4.8207883172775805</v>
      </c>
      <c r="AA458">
        <f t="shared" si="488"/>
        <v>-4.8207883172775805</v>
      </c>
    </row>
    <row r="459" spans="25:27" x14ac:dyDescent="0.25">
      <c r="Y459">
        <f t="shared" si="488"/>
        <v>-7.7</v>
      </c>
      <c r="Z459">
        <f t="shared" si="488"/>
        <v>4.6593991028886972</v>
      </c>
      <c r="AA459">
        <f t="shared" si="488"/>
        <v>-4.6593991028886972</v>
      </c>
    </row>
    <row r="460" spans="25:27" x14ac:dyDescent="0.25">
      <c r="Y460">
        <f t="shared" si="488"/>
        <v>-7.8</v>
      </c>
      <c r="Z460">
        <f t="shared" si="488"/>
        <v>4.4899888641287298</v>
      </c>
      <c r="AA460">
        <f t="shared" si="488"/>
        <v>-4.4899888641287298</v>
      </c>
    </row>
    <row r="461" spans="25:27" x14ac:dyDescent="0.25">
      <c r="Y461">
        <f t="shared" si="488"/>
        <v>-7.9</v>
      </c>
      <c r="Z461">
        <f t="shared" si="488"/>
        <v>4.3116122274620192</v>
      </c>
      <c r="AA461">
        <f t="shared" si="488"/>
        <v>-4.3116122274620192</v>
      </c>
    </row>
    <row r="462" spans="25:27" x14ac:dyDescent="0.25">
      <c r="Y462">
        <f t="shared" si="488"/>
        <v>-8</v>
      </c>
      <c r="Z462">
        <f t="shared" si="488"/>
        <v>4.1231056256176606</v>
      </c>
      <c r="AA462">
        <f t="shared" si="488"/>
        <v>-4.1231056256176606</v>
      </c>
    </row>
    <row r="463" spans="25:27" x14ac:dyDescent="0.25">
      <c r="Y463">
        <f t="shared" si="488"/>
        <v>-8.1</v>
      </c>
      <c r="Z463">
        <f t="shared" si="488"/>
        <v>3.9230090491866063</v>
      </c>
      <c r="AA463">
        <f t="shared" si="488"/>
        <v>-3.9230090491866063</v>
      </c>
    </row>
    <row r="464" spans="25:27" x14ac:dyDescent="0.25">
      <c r="Y464">
        <f t="shared" si="488"/>
        <v>-8.1999999999999993</v>
      </c>
      <c r="Z464">
        <f t="shared" si="488"/>
        <v>3.7094473981982823</v>
      </c>
      <c r="AA464">
        <f t="shared" si="488"/>
        <v>-3.7094473981982823</v>
      </c>
    </row>
    <row r="465" spans="1:41" x14ac:dyDescent="0.25">
      <c r="Y465">
        <f t="shared" si="488"/>
        <v>-8.3000000000000007</v>
      </c>
      <c r="Z465">
        <f t="shared" si="488"/>
        <v>3.479942528261061</v>
      </c>
      <c r="AA465">
        <f t="shared" si="488"/>
        <v>-3.479942528261061</v>
      </c>
    </row>
    <row r="466" spans="1:41" x14ac:dyDescent="0.25">
      <c r="Y466">
        <f t="shared" si="488"/>
        <v>-8.4</v>
      </c>
      <c r="Z466">
        <f t="shared" si="488"/>
        <v>3.2310988842807022</v>
      </c>
      <c r="AA466">
        <f t="shared" si="488"/>
        <v>-3.2310988842807022</v>
      </c>
    </row>
    <row r="467" spans="1:41" x14ac:dyDescent="0.25">
      <c r="Y467">
        <f t="shared" si="488"/>
        <v>-8.5</v>
      </c>
      <c r="Z467">
        <f t="shared" si="488"/>
        <v>2.9580398915498081</v>
      </c>
      <c r="AA467">
        <f t="shared" si="488"/>
        <v>-2.9580398915498081</v>
      </c>
    </row>
    <row r="468" spans="1:41" x14ac:dyDescent="0.25">
      <c r="Y468">
        <f t="shared" si="488"/>
        <v>-8.6</v>
      </c>
      <c r="Z468">
        <f t="shared" si="488"/>
        <v>2.6532998322843211</v>
      </c>
      <c r="AA468">
        <f t="shared" si="488"/>
        <v>-2.6532998322843211</v>
      </c>
    </row>
    <row r="469" spans="1:41" x14ac:dyDescent="0.25">
      <c r="Y469">
        <f t="shared" si="488"/>
        <v>-8.6999999999999993</v>
      </c>
      <c r="Z469">
        <f t="shared" si="488"/>
        <v>2.304343724360586</v>
      </c>
      <c r="AA469">
        <f t="shared" si="488"/>
        <v>-2.304343724360586</v>
      </c>
    </row>
    <row r="470" spans="1:41" x14ac:dyDescent="0.25">
      <c r="Y470">
        <f t="shared" si="488"/>
        <v>-8.8000000000000007</v>
      </c>
      <c r="Z470">
        <f t="shared" si="488"/>
        <v>1.8867962264113176</v>
      </c>
      <c r="AA470">
        <f t="shared" si="488"/>
        <v>-1.8867962264113176</v>
      </c>
    </row>
    <row r="471" spans="1:41" x14ac:dyDescent="0.25">
      <c r="Y471">
        <f t="shared" si="488"/>
        <v>-8.9</v>
      </c>
      <c r="Z471">
        <f t="shared" si="488"/>
        <v>1.3379088160259622</v>
      </c>
      <c r="AA471">
        <f t="shared" si="488"/>
        <v>-1.3379088160259622</v>
      </c>
    </row>
    <row r="472" spans="1:41" x14ac:dyDescent="0.25">
      <c r="Y472">
        <f t="shared" si="488"/>
        <v>-9</v>
      </c>
      <c r="Z472">
        <f t="shared" si="488"/>
        <v>0</v>
      </c>
      <c r="AA472">
        <f t="shared" si="488"/>
        <v>0</v>
      </c>
    </row>
    <row r="475" spans="1:41" x14ac:dyDescent="0.25">
      <c r="A475" s="155" t="s">
        <v>92</v>
      </c>
      <c r="B475" s="155">
        <v>1</v>
      </c>
      <c r="C475" s="315"/>
      <c r="D475" s="315"/>
      <c r="E475" s="328"/>
      <c r="G475" s="155" t="s">
        <v>92</v>
      </c>
      <c r="H475" s="155">
        <v>1</v>
      </c>
      <c r="I475" s="315"/>
      <c r="J475" s="315"/>
      <c r="K475" s="316"/>
      <c r="M475" s="155" t="s">
        <v>92</v>
      </c>
      <c r="N475" s="155">
        <v>1</v>
      </c>
      <c r="O475" s="315"/>
      <c r="P475" s="315"/>
      <c r="Q475" s="316"/>
      <c r="S475" s="155" t="s">
        <v>92</v>
      </c>
      <c r="T475" s="155">
        <v>1</v>
      </c>
      <c r="U475" s="315"/>
      <c r="V475" s="315"/>
      <c r="W475" s="316"/>
      <c r="Y475" s="155" t="s">
        <v>92</v>
      </c>
      <c r="Z475" s="155">
        <v>1</v>
      </c>
      <c r="AA475" s="315"/>
      <c r="AB475" s="315"/>
      <c r="AC475" s="316"/>
      <c r="AE475" s="155" t="s">
        <v>92</v>
      </c>
      <c r="AF475" s="155">
        <v>21</v>
      </c>
      <c r="AG475" s="315"/>
      <c r="AH475" s="315"/>
      <c r="AI475" s="316"/>
      <c r="AK475" s="155" t="s">
        <v>92</v>
      </c>
      <c r="AL475" s="155">
        <v>1</v>
      </c>
      <c r="AM475" s="315"/>
      <c r="AN475" s="315"/>
      <c r="AO475" s="316"/>
    </row>
    <row r="476" spans="1:41" x14ac:dyDescent="0.25">
      <c r="A476" s="155" t="s">
        <v>91</v>
      </c>
      <c r="B476" s="155">
        <v>2</v>
      </c>
      <c r="C476" s="315"/>
      <c r="D476" s="315"/>
      <c r="E476" s="328"/>
      <c r="G476" s="155" t="s">
        <v>91</v>
      </c>
      <c r="H476" s="155">
        <v>3</v>
      </c>
      <c r="I476" s="315"/>
      <c r="J476" s="315"/>
      <c r="K476" s="316"/>
      <c r="M476" s="155" t="s">
        <v>91</v>
      </c>
      <c r="N476" s="155">
        <v>4</v>
      </c>
      <c r="O476" s="315"/>
      <c r="P476" s="315"/>
      <c r="Q476" s="316"/>
      <c r="S476" s="155" t="s">
        <v>91</v>
      </c>
      <c r="T476" s="155">
        <v>5</v>
      </c>
      <c r="U476" s="315"/>
      <c r="V476" s="315"/>
      <c r="W476" s="316"/>
      <c r="Y476" s="155" t="s">
        <v>91</v>
      </c>
      <c r="Z476" s="155">
        <v>6</v>
      </c>
      <c r="AA476" s="315"/>
      <c r="AB476" s="315"/>
      <c r="AC476" s="316"/>
      <c r="AE476" s="155" t="s">
        <v>91</v>
      </c>
      <c r="AF476" s="155">
        <v>6</v>
      </c>
      <c r="AG476" s="315"/>
      <c r="AH476" s="315"/>
      <c r="AI476" s="316"/>
      <c r="AK476" s="155" t="s">
        <v>91</v>
      </c>
      <c r="AL476" s="155">
        <v>1</v>
      </c>
      <c r="AM476" s="315"/>
      <c r="AN476" s="315"/>
      <c r="AO476" s="316"/>
    </row>
    <row r="477" spans="1:41" x14ac:dyDescent="0.25">
      <c r="C477" s="154">
        <f>+IF(B476=$AI$63,B475,IF(B476=$AJ$63,$AI$64+B475,IF(B476=$AK$63,$AI$64+$AJ$64+B475,IF(B476=$AL$63,$AI$64+$AJ$64+$AK$64+B475,IF(B476=$AM$63,$AI$64+$AJ$64+$AK$64+$AL$64+B475,IF(B476=$AN$63,$AI$64+$AJ$64+$AK$64+$AL$64+$AM$64+B475,IF(B476=$AO$63,$AI$64+$AJ$64+$AK$64+$AL$64+$AM$64+$AN$64+B475,IF(B476=$AP$63,$AI$64+$AJ$64+$AK$64+$AL$64+$AM$64+$AN$64+$AO$64+B475,IF(B476=$AQ$63,$AI$64+$AJ$64+$AK$64+$AL$64+$AM$64+$AN$64+$AO$64+$AP$64+B475,IF(B476=$AR$63,$AI$64+$AJ$64+$AK$64+$AL$64+$AM$64+$AN$64+$AO$64+$AP$64+$AQ$64+B475,IF(B476=$AS$63,$AI$64+$AJ$64+$AK$64+$AL$64+$AM$64+$AN$64+$AO$64+$AP$64+$AQ$64+$AR$64+B475,IF(B476=$AT$63,$AI$64+$AJ$64+$AK$64+$AL$64+$AM$64+$AN$64+$AO$64+$AP$64+$AQ$64+$AR$64+$AS$64+B475,"error"))))))))))))</f>
        <v>32</v>
      </c>
      <c r="D477" s="38">
        <f>23.45*SIN(RADIANS(360*((284+C477)/365)))</f>
        <v>-17.516495456484215</v>
      </c>
      <c r="E477" s="155">
        <f>+IF(ABS('Control Solar 1er Sem'!$H$4)&gt;89.9,89.9,IF(ABS('Control Solar 1er Sem'!$H$4)&lt;-89.9,-89.9,ABS('Control Solar 1er Sem'!$H$4)))</f>
        <v>29.08</v>
      </c>
      <c r="I477" s="154">
        <f>+IF(H476=$AI$63,H475,IF(H476=$AJ$63,$AI$64+H475,IF(H476=$AK$63,$AI$64+$AJ$64+H475,IF(H476=$AL$63,$AI$64+$AJ$64+$AK$64+H475,IF(H476=$AM$63,$AI$64+$AJ$64+$AK$64+$AL$64+H475,IF(H476=$AN$63,$AI$64+$AJ$64+$AK$64+$AL$64+$AM$64+H475,IF(H476=$AO$63,$AI$64+$AJ$64+$AK$64+$AL$64+$AM$64+$AN$64+H475,IF(H476=$AP$63,$AI$64+$AJ$64+$AK$64+$AL$64+$AM$64+$AN$64+$AO$64+H475,IF(H476=$AQ$63,$AI$64+$AJ$64+$AK$64+$AL$64+$AM$64+$AN$64+$AO$64+$AP$64+H475,IF(H476=$AR$63,$AI$64+$AJ$64+$AK$64+$AL$64+$AM$64+$AN$64+$AO$64+$AP$64+$AQ$64+H475,IF(H476=$AS$63,$AI$64+$AJ$64+$AK$64+$AL$64+$AM$64+$AN$64+$AO$64+$AP$64+$AQ$64+$AR$64+H475,IF(H476=$AT$63,$AI$64+$AJ$64+$AK$64+$AL$64+$AM$64+$AN$64+$AO$64+$AP$64+$AQ$64+$AR$64+$AS$64+H475,"error"))))))))))))</f>
        <v>60</v>
      </c>
      <c r="J477" s="38">
        <f>23.45*SIN(RADIANS(360*((284+I477)/365)))</f>
        <v>-8.2937050650359065</v>
      </c>
      <c r="K477" s="155">
        <f>+IF(ABS('Control Solar 1er Sem'!$H$4)&gt;89.9,89.9,IF(ABS('Control Solar 1er Sem'!$H$4)&lt;-89.9,-89.9,ABS('Control Solar 1er Sem'!$H$4)))</f>
        <v>29.08</v>
      </c>
      <c r="O477" s="154">
        <f>+IF(N476=$AI$63,N475,IF(N476=$AJ$63,$AI$64+N475,IF(N476=$AK$63,$AI$64+$AJ$64+N475,IF(N476=$AL$63,$AI$64+$AJ$64+$AK$64+N475,IF(N476=$AM$63,$AI$64+$AJ$64+$AK$64+$AL$64+N475,IF(N476=$AN$63,$AI$64+$AJ$64+$AK$64+$AL$64+$AM$64+N475,IF(N476=$AO$63,$AI$64+$AJ$64+$AK$64+$AL$64+$AM$64+$AN$64+N475,IF(N476=$AP$63,$AI$64+$AJ$64+$AK$64+$AL$64+$AM$64+$AN$64+$AO$64+N475,IF(N476=$AQ$63,$AI$64+$AJ$64+$AK$64+$AL$64+$AM$64+$AN$64+$AO$64+$AP$64+N475,IF(N476=$AR$63,$AI$64+$AJ$64+$AK$64+$AL$64+$AM$64+$AN$64+$AO$64+$AP$64+$AQ$64+N475,IF(N476=$AS$63,$AI$64+$AJ$64+$AK$64+$AL$64+$AM$64+$AN$64+$AO$64+$AP$64+$AQ$64+$AR$64+N475,IF(N476=$AT$63,$AI$64+$AJ$64+$AK$64+$AL$64+$AM$64+$AN$64+$AO$64+$AP$64+$AQ$64+$AR$64+$AS$64+N475,"error"))))))))))))</f>
        <v>91</v>
      </c>
      <c r="P477" s="38">
        <f>23.45*SIN(RADIANS(360*((284+O477)/365)))</f>
        <v>4.0168242310556641</v>
      </c>
      <c r="Q477" s="155">
        <f>+IF(ABS('Control Solar 1er Sem'!$H$4)&gt;89.9,89.9,IF(ABS('Control Solar 1er Sem'!$H$4)&lt;-89.9,-89.9,ABS('Control Solar 1er Sem'!$H$4)))</f>
        <v>29.08</v>
      </c>
      <c r="U477" s="154">
        <f>+IF(T476=$AI$63,T475,IF(T476=$AJ$63,$AI$64+T475,IF(T476=$AK$63,$AI$64+$AJ$64+T475,IF(T476=$AL$63,$AI$64+$AJ$64+$AK$64+T475,IF(T476=$AM$63,$AI$64+$AJ$64+$AK$64+$AL$64+T475,IF(T476=$AN$63,$AI$64+$AJ$64+$AK$64+$AL$64+$AM$64+T475,IF(T476=$AO$63,$AI$64+$AJ$64+$AK$64+$AL$64+$AM$64+$AN$64+T475,IF(T476=$AP$63,$AI$64+$AJ$64+$AK$64+$AL$64+$AM$64+$AN$64+$AO$64+T475,IF(T476=$AQ$63,$AI$64+$AJ$64+$AK$64+$AL$64+$AM$64+$AN$64+$AO$64+$AP$64+T475,IF(T476=$AR$63,$AI$64+$AJ$64+$AK$64+$AL$64+$AM$64+$AN$64+$AO$64+$AP$64+$AQ$64+T475,IF(T476=$AS$63,$AI$64+$AJ$64+$AK$64+$AL$64+$AM$64+$AN$64+$AO$64+$AP$64+$AQ$64+$AR$64+T475,IF(T476=$AT$63,$AI$64+$AJ$64+$AK$64+$AL$64+$AM$64+$AN$64+$AO$64+$AP$64+$AQ$64+$AR$64+$AS$64+T475,"error"))))))))))))</f>
        <v>121</v>
      </c>
      <c r="V477" s="38">
        <f>23.45*SIN(RADIANS(360*((284+U477)/365)))</f>
        <v>14.90088745587467</v>
      </c>
      <c r="W477" s="155">
        <f>+IF(ABS('Control Solar 1er Sem'!$H$4)&gt;89.9,89.9,IF(ABS('Control Solar 1er Sem'!$H$4)&lt;-89.9,-89.9,ABS('Control Solar 1er Sem'!$H$4)))</f>
        <v>29.08</v>
      </c>
      <c r="AA477" s="154">
        <f>+IF(Z476=$AI$63,Z475,IF(Z476=$AJ$63,$AI$64+Z475,IF(Z476=$AK$63,$AI$64+$AJ$64+Z475,IF(Z476=$AL$63,$AI$64+$AJ$64+$AK$64+Z475,IF(Z476=$AM$63,$AI$64+$AJ$64+$AK$64+$AL$64+Z475,IF(Z476=$AN$63,$AI$64+$AJ$64+$AK$64+$AL$64+$AM$64+Z475,IF(Z476=$AO$63,$AI$64+$AJ$64+$AK$64+$AL$64+$AM$64+$AN$64+Z475,IF(Z476=$AP$63,$AI$64+$AJ$64+$AK$64+$AL$64+$AM$64+$AN$64+$AO$64+Z475,IF(Z476=$AQ$63,$AI$64+$AJ$64+$AK$64+$AL$64+$AM$64+$AN$64+$AO$64+$AP$64+Z475,IF(Z476=$AR$63,$AI$64+$AJ$64+$AK$64+$AL$64+$AM$64+$AN$64+$AO$64+$AP$64+$AQ$64+Z475,IF(Z476=$AS$63,$AI$64+$AJ$64+$AK$64+$AL$64+$AM$64+$AN$64+$AO$64+$AP$64+$AQ$64+$AR$64+Z475,IF(Z476=$AT$63,$AI$64+$AJ$64+$AK$64+$AL$64+$AM$64+$AN$64+$AO$64+$AP$64+$AQ$64+$AR$64+$AS$64+Z475,"error"))))))))))))</f>
        <v>152</v>
      </c>
      <c r="AB477" s="38">
        <f>23.45*SIN(RADIANS(360*((284+AA477)/365)))</f>
        <v>22.039624558737447</v>
      </c>
      <c r="AC477" s="155">
        <f>+IF(ABS('Control Solar 1er Sem'!$H$4)&gt;89.9,89.9,IF(ABS('Control Solar 1er Sem'!$H$4)&lt;-89.9,-89.9,ABS('Control Solar 1er Sem'!$H$4)))</f>
        <v>29.08</v>
      </c>
      <c r="AG477" s="154">
        <f>+IF(AF476=$AI$63,AF475,IF(AF476=$AJ$63,$AI$64+AF475,IF(AF476=$AK$63,$AI$64+$AJ$64+AF475,IF(AF476=$AL$63,$AI$64+$AJ$64+$AK$64+AF475,IF(AF476=$AM$63,$AI$64+$AJ$64+$AK$64+$AL$64+AF475,IF(AF476=$AN$63,$AI$64+$AJ$64+$AK$64+$AL$64+$AM$64+AF475,IF(AF476=$AO$63,$AI$64+$AJ$64+$AK$64+$AL$64+$AM$64+$AN$64+AF475,IF(AF476=$AP$63,$AI$64+$AJ$64+$AK$64+$AL$64+$AM$64+$AN$64+$AO$64+AF475,IF(AF476=$AQ$63,$AI$64+$AJ$64+$AK$64+$AL$64+$AM$64+$AN$64+$AO$64+$AP$64+AF475,IF(AF476=$AR$63,$AI$64+$AJ$64+$AK$64+$AL$64+$AM$64+$AN$64+$AO$64+$AP$64+$AQ$64+AF475,IF(AF476=$AS$63,$AI$64+$AJ$64+$AK$64+$AL$64+$AM$64+$AN$64+$AO$64+$AP$64+$AQ$64+$AR$64+AF475,IF(AF476=$AT$63,$AI$64+$AJ$64+$AK$64+$AL$64+$AM$64+$AN$64+$AO$64+$AP$64+$AQ$64+$AR$64+$AS$64+AF475,"error"))))))))))))</f>
        <v>172</v>
      </c>
      <c r="AH477" s="38">
        <f>23.45*SIN(RADIANS(360*((284+AG477)/365)))</f>
        <v>23.449782846813658</v>
      </c>
      <c r="AI477" s="155">
        <f>+IF(ABS('Control Solar 1er Sem'!$H$4)&gt;89.9,89.9,IF(ABS('Control Solar 1er Sem'!$H$4)&lt;-89.9,-89.9,ABS('Control Solar 1er Sem'!$H$4)))</f>
        <v>29.08</v>
      </c>
      <c r="AM477" s="154">
        <f>+IF(AL476=$AI$63,AL475,IF(AL476=$AJ$63,$AI$64+AL475,IF(AL476=$AK$63,$AI$64+$AJ$64+AL475,IF(AL476=$AL$63,$AI$64+$AJ$64+$AK$64+AL475,IF(AL476=$AM$63,$AI$64+$AJ$64+$AK$64+$AL$64+AL475,IF(AL476=$AN$63,$AI$64+$AJ$64+$AK$64+$AL$64+$AM$64+AL475,IF(AL476=$AO$63,$AI$64+$AJ$64+$AK$64+$AL$64+$AM$64+$AN$64+AL475,IF(AL476=$AP$63,$AI$64+$AJ$64+$AK$64+$AL$64+$AM$64+$AN$64+$AO$64+AL475,IF(AL476=$AQ$63,$AI$64+$AJ$64+$AK$64+$AL$64+$AM$64+$AN$64+$AO$64+$AP$64+AL475,IF(AL476=$AR$63,$AI$64+$AJ$64+$AK$64+$AL$64+$AM$64+$AN$64+$AO$64+$AP$64+$AQ$64+AL475,IF(AL476=$AS$63,$AI$64+$AJ$64+$AK$64+$AL$64+$AM$64+$AN$64+$AO$64+$AP$64+$AQ$64+$AR$64+AL475,IF(AL476=$AT$63,$AI$64+$AJ$64+$AK$64+$AL$64+$AM$64+$AN$64+$AO$64+$AP$64+$AQ$64+$AR$64+$AS$64+AL475,"error"))))))))))))</f>
        <v>1</v>
      </c>
      <c r="AN477" s="38">
        <f>23.45*SIN(RADIANS(360*((284+AM477)/365)))</f>
        <v>-23.011636727869238</v>
      </c>
      <c r="AO477" s="155">
        <f>+IF(ABS('Control Solar 1er Sem'!$H$4)&gt;89.9,89.9,IF(ABS('Control Solar 1er Sem'!$H$4)&lt;-89.9,-89.9,ABS('Control Solar 1er Sem'!$H$4)))</f>
        <v>29.08</v>
      </c>
    </row>
    <row r="478" spans="1:41" x14ac:dyDescent="0.25">
      <c r="B478" s="317" t="s">
        <v>90</v>
      </c>
      <c r="C478" s="315"/>
      <c r="D478" s="315"/>
      <c r="E478" s="315"/>
      <c r="H478" s="317" t="s">
        <v>90</v>
      </c>
      <c r="I478" s="315"/>
      <c r="J478" s="315"/>
      <c r="K478" s="315"/>
      <c r="N478" s="317" t="s">
        <v>90</v>
      </c>
      <c r="O478" s="315"/>
      <c r="P478" s="315"/>
      <c r="Q478" s="315"/>
      <c r="T478" s="317" t="s">
        <v>90</v>
      </c>
      <c r="U478" s="315"/>
      <c r="V478" s="315"/>
      <c r="W478" s="315"/>
      <c r="X478" s="319"/>
      <c r="Z478" s="317" t="s">
        <v>90</v>
      </c>
      <c r="AA478" s="315"/>
      <c r="AB478" s="315"/>
      <c r="AC478" s="315"/>
      <c r="AF478" s="317" t="s">
        <v>90</v>
      </c>
      <c r="AG478" s="315"/>
      <c r="AH478" s="315"/>
      <c r="AI478" s="315"/>
      <c r="AJ478" s="319"/>
      <c r="AL478" s="317" t="s">
        <v>90</v>
      </c>
      <c r="AM478" s="315"/>
      <c r="AN478" s="315"/>
      <c r="AO478" s="315"/>
    </row>
    <row r="479" spans="1:41" x14ac:dyDescent="0.25">
      <c r="B479" s="318"/>
      <c r="C479" s="315"/>
      <c r="D479" s="315"/>
      <c r="E479" s="315"/>
      <c r="H479" s="318"/>
      <c r="I479" s="315"/>
      <c r="J479" s="315"/>
      <c r="K479" s="315"/>
      <c r="N479" s="318"/>
      <c r="O479" s="315"/>
      <c r="P479" s="315"/>
      <c r="Q479" s="315"/>
      <c r="T479" s="318"/>
      <c r="U479" s="315"/>
      <c r="V479" s="315"/>
      <c r="W479" s="315"/>
      <c r="X479" s="319"/>
      <c r="Z479" s="318"/>
      <c r="AA479" s="315"/>
      <c r="AB479" s="315"/>
      <c r="AC479" s="315"/>
      <c r="AF479" s="318"/>
      <c r="AG479" s="315"/>
      <c r="AH479" s="315"/>
      <c r="AI479" s="315"/>
      <c r="AJ479" s="319"/>
      <c r="AL479" s="318"/>
      <c r="AM479" s="315"/>
      <c r="AN479" s="315"/>
      <c r="AO479" s="315"/>
    </row>
    <row r="480" spans="1:41" x14ac:dyDescent="0.25">
      <c r="B480" s="39">
        <v>4.1666666666666664E-2</v>
      </c>
      <c r="C480" s="38">
        <v>165</v>
      </c>
      <c r="D480" s="38">
        <f t="shared" ref="D480:D543" si="489">IF((DEGREES(ASIN(COS(RADIANS($E$477))*COS(RADIANS($D$477))*COS(RADIANS(C480))+SIN(RADIANS($E$477))*SIN(RADIANS($D$477)))))&lt;0,0,DEGREES(ASIN(COS(RADIANS($E$477))*COS(RADIANS($D$477))*COS(RADIANS(C480))+SIN(RADIANS($E$477))*SIN(RADIANS($D$477)))))</f>
        <v>0</v>
      </c>
      <c r="E480" s="38">
        <f t="shared" ref="E480:E523" si="490">180-DEGREES(ACOS((((SIN(RADIANS(D480)))*SIN(RADIANS($E$477)))-SIN(RADIANS($D$477)))/((COS(RADIANS(D480)))*COS(RADIANS($E$477)))))</f>
        <v>110.14480796075449</v>
      </c>
      <c r="H480" s="39">
        <v>4.1666666666666664E-2</v>
      </c>
      <c r="I480" s="38">
        <v>165</v>
      </c>
      <c r="J480" s="38">
        <f t="shared" ref="J480:J543" si="491">IF((DEGREES(ASIN(COS(RADIANS($K$477))*COS(RADIANS($J$477))*COS(RADIANS(I480))+SIN(RADIANS($K$477))*SIN(RADIANS($J$477)))))&lt;0,0,DEGREES(ASIN(COS(RADIANS($K$477))*COS(RADIANS($J$477))*COS(RADIANS(I480))+SIN(RADIANS($K$477))*SIN(RADIANS($J$477)))))</f>
        <v>0</v>
      </c>
      <c r="K480" s="38">
        <f t="shared" ref="K480:K523" si="492">180-DEGREES(ACOS((((SIN(RADIANS(J480)))*SIN(RADIANS($K$477)))-SIN(RADIANS($J$477)))/((COS(RADIANS(J480)))*COS(RADIANS($K$477)))))</f>
        <v>99.500362928216276</v>
      </c>
      <c r="N480" s="39">
        <v>4.1666666666666664E-2</v>
      </c>
      <c r="O480" s="38">
        <v>165</v>
      </c>
      <c r="P480" s="38">
        <f t="shared" ref="P480:P543" si="493">IF((DEGREES(ASIN(COS(RADIANS($Q$477))*COS(RADIANS($P$477))*COS(RADIANS(O480))+SIN(RADIANS($Q$477))*SIN(RADIANS($P$477)))))&lt;0,0,DEGREES(ASIN(COS(RADIANS($Q$477))*COS(RADIANS($P$477))*COS(RADIANS(O480))+SIN(RADIANS($Q$477))*SIN(RADIANS($P$477)))))</f>
        <v>0</v>
      </c>
      <c r="Q480" s="38">
        <f t="shared" ref="Q480:Q523" si="494">180-DEGREES(ACOS((((SIN(RADIANS(P480)))*SIN(RADIANS($Q$477)))-SIN(RADIANS($P$477)))/((COS(RADIANS(P480)))*COS(RADIANS($Q$477)))))</f>
        <v>85.402618331677971</v>
      </c>
      <c r="T480" s="39">
        <v>4.1666666666666664E-2</v>
      </c>
      <c r="U480" s="38">
        <v>165</v>
      </c>
      <c r="V480" s="38">
        <f t="shared" ref="V480:V543" si="495">IF((DEGREES(ASIN(COS(RADIANS($W$477))*COS(RADIANS($V$477))*COS(RADIANS(U480))+SIN(RADIANS($W$477))*SIN(RADIANS($V$477)))))&lt;0,0,DEGREES(ASIN(COS(RADIANS($W$477))*COS(RADIANS($V$477))*COS(RADIANS(U480))+SIN(RADIANS($W$477))*SIN(RADIANS($V$477)))))</f>
        <v>0</v>
      </c>
      <c r="W480" s="38">
        <f t="shared" ref="W480:W523" si="496">180-DEGREES(ACOS((((SIN(RADIANS(V480)))*SIN(RADIANS($W$477)))-SIN(RADIANS($V$477)))/((COS(RADIANS(V480)))*COS(RADIANS($W$477)))))</f>
        <v>72.888092578495346</v>
      </c>
      <c r="Z480" s="39">
        <v>4.1666666666666664E-2</v>
      </c>
      <c r="AA480" s="38">
        <v>165</v>
      </c>
      <c r="AB480" s="38">
        <f t="shared" ref="AB480:AB543" si="497">IF((DEGREES(ASIN(COS(RADIANS($AC$477))*COS(RADIANS($AB$477))*COS(RADIANS(AA480))+SIN(RADIANS($AC$477))*SIN(RADIANS($AB$477)))))&lt;0,0,DEGREES(ASIN(COS(RADIANS($AC$477))*COS(RADIANS($AB$477))*COS(RADIANS(AA480))+SIN(RADIANS($AC$477))*SIN(RADIANS($AB$477)))))</f>
        <v>0</v>
      </c>
      <c r="AC480" s="38">
        <f t="shared" ref="AC480:AC523" si="498">180-DEGREES(ACOS((((SIN(RADIANS(AB480)))*SIN(RADIANS($AC$477)))-SIN(RADIANS($AB$477)))/((COS(RADIANS(AB480)))*COS(RADIANS($AC$477)))))</f>
        <v>64.572176712649494</v>
      </c>
      <c r="AF480" s="39">
        <v>4.1666666666666664E-2</v>
      </c>
      <c r="AG480" s="38">
        <v>165</v>
      </c>
      <c r="AH480" s="38">
        <f t="shared" ref="AH480:AH543" si="499">IF((DEGREES(ASIN(COS(RADIANS($AI$477))*COS(RADIANS($AH$477))*COS(RADIANS(AG480))+SIN(RADIANS($AI$477))*SIN(RADIANS($AH$477)))))&lt;0,0,DEGREES(ASIN(COS(RADIANS($AI$477))*COS(RADIANS($AH$477))*COS(RADIANS(AG480))+SIN(RADIANS($AI$477))*SIN(RADIANS($AH$477)))))</f>
        <v>0</v>
      </c>
      <c r="AI480" s="38">
        <f t="shared" ref="AI480:AI523" si="500">180-DEGREES(ACOS((((SIN(RADIANS(AH480)))*SIN(RADIANS($AI$477)))-SIN(RADIANS($AH$477)))/((COS(RADIANS(AH480)))*COS(RADIANS($AI$477)))))</f>
        <v>62.9128608915928</v>
      </c>
      <c r="AL480" s="39">
        <v>4.1666666666666664E-2</v>
      </c>
      <c r="AM480" s="38">
        <v>165</v>
      </c>
      <c r="AN480" s="38">
        <f t="shared" ref="AN480:AN543" si="501">IF((DEGREES(ASIN(COS(RADIANS($AO$477))*COS(RADIANS($AN$477))*COS(RADIANS(AM480))+SIN(RADIANS($AO$477))*SIN(RADIANS($AN$477)))))&lt;0,0,DEGREES(ASIN(COS(RADIANS($AO$477))*COS(RADIANS($AN$477))*COS(RADIANS(AM480))+SIN(RADIANS($AO$477))*SIN(RADIANS($AN$477)))))</f>
        <v>0</v>
      </c>
      <c r="AO480" s="38">
        <f t="shared" ref="AO480:AO523" si="502">180-DEGREES(ACOS((((SIN(RADIANS(AN480)))*SIN(RADIANS($AO$477)))-SIN(RADIANS($AN$477)))/((COS(RADIANS(AN480)))*COS(RADIANS($AO$477)))))</f>
        <v>116.57086830691144</v>
      </c>
    </row>
    <row r="481" spans="1:41" x14ac:dyDescent="0.25">
      <c r="B481" s="39">
        <v>5.2083333333333336E-2</v>
      </c>
      <c r="C481" s="38">
        <f t="shared" ref="C481:C524" si="503">+C480-3.75</f>
        <v>161.25</v>
      </c>
      <c r="D481" s="38">
        <f t="shared" si="489"/>
        <v>0</v>
      </c>
      <c r="E481" s="38">
        <f t="shared" si="490"/>
        <v>110.14480796075449</v>
      </c>
      <c r="H481" s="39">
        <v>5.2083333333333336E-2</v>
      </c>
      <c r="I481" s="38">
        <f t="shared" ref="I481:I524" si="504">+I480-3.75</f>
        <v>161.25</v>
      </c>
      <c r="J481" s="38">
        <f t="shared" si="491"/>
        <v>0</v>
      </c>
      <c r="K481" s="38">
        <f t="shared" si="492"/>
        <v>99.500362928216276</v>
      </c>
      <c r="N481" s="39">
        <v>5.2083333333333336E-2</v>
      </c>
      <c r="O481" s="38">
        <f t="shared" ref="O481:O524" si="505">+O480-3.75</f>
        <v>161.25</v>
      </c>
      <c r="P481" s="38">
        <f t="shared" si="493"/>
        <v>0</v>
      </c>
      <c r="Q481" s="38">
        <f t="shared" si="494"/>
        <v>85.402618331677971</v>
      </c>
      <c r="T481" s="39">
        <v>5.2083333333333336E-2</v>
      </c>
      <c r="U481" s="38">
        <f t="shared" ref="U481:U524" si="506">+U480-3.75</f>
        <v>161.25</v>
      </c>
      <c r="V481" s="38">
        <f t="shared" si="495"/>
        <v>0</v>
      </c>
      <c r="W481" s="38">
        <f t="shared" si="496"/>
        <v>72.888092578495346</v>
      </c>
      <c r="Z481" s="39">
        <v>5.2083333333333336E-2</v>
      </c>
      <c r="AA481" s="38">
        <f t="shared" ref="AA481:AA524" si="507">+AA480-3.75</f>
        <v>161.25</v>
      </c>
      <c r="AB481" s="38">
        <f t="shared" si="497"/>
        <v>0</v>
      </c>
      <c r="AC481" s="38">
        <f t="shared" si="498"/>
        <v>64.572176712649494</v>
      </c>
      <c r="AF481" s="39">
        <v>5.2083333333333336E-2</v>
      </c>
      <c r="AG481" s="38">
        <f t="shared" ref="AG481:AG524" si="508">+AG480-3.75</f>
        <v>161.25</v>
      </c>
      <c r="AH481" s="38">
        <f t="shared" si="499"/>
        <v>0</v>
      </c>
      <c r="AI481" s="38">
        <f t="shared" si="500"/>
        <v>62.9128608915928</v>
      </c>
      <c r="AL481" s="39">
        <v>5.2083333333333336E-2</v>
      </c>
      <c r="AM481" s="38">
        <f t="shared" ref="AM481:AM524" si="509">+AM480-3.75</f>
        <v>161.25</v>
      </c>
      <c r="AN481" s="38">
        <f t="shared" si="501"/>
        <v>0</v>
      </c>
      <c r="AO481" s="38">
        <f t="shared" si="502"/>
        <v>116.57086830691144</v>
      </c>
    </row>
    <row r="482" spans="1:41" x14ac:dyDescent="0.25">
      <c r="B482" s="39">
        <v>6.25E-2</v>
      </c>
      <c r="C482" s="38">
        <f t="shared" si="503"/>
        <v>157.5</v>
      </c>
      <c r="D482" s="38">
        <f t="shared" si="489"/>
        <v>0</v>
      </c>
      <c r="E482" s="38">
        <f t="shared" si="490"/>
        <v>110.14480796075449</v>
      </c>
      <c r="H482" s="39">
        <v>6.25E-2</v>
      </c>
      <c r="I482" s="38">
        <f t="shared" si="504"/>
        <v>157.5</v>
      </c>
      <c r="J482" s="38">
        <f t="shared" si="491"/>
        <v>0</v>
      </c>
      <c r="K482" s="38">
        <f t="shared" si="492"/>
        <v>99.500362928216276</v>
      </c>
      <c r="N482" s="39">
        <v>6.25E-2</v>
      </c>
      <c r="O482" s="38">
        <f t="shared" si="505"/>
        <v>157.5</v>
      </c>
      <c r="P482" s="38">
        <f t="shared" si="493"/>
        <v>0</v>
      </c>
      <c r="Q482" s="38">
        <f t="shared" si="494"/>
        <v>85.402618331677971</v>
      </c>
      <c r="T482" s="39">
        <v>6.25E-2</v>
      </c>
      <c r="U482" s="38">
        <f t="shared" si="506"/>
        <v>157.5</v>
      </c>
      <c r="V482" s="38">
        <f t="shared" si="495"/>
        <v>0</v>
      </c>
      <c r="W482" s="38">
        <f t="shared" si="496"/>
        <v>72.888092578495346</v>
      </c>
      <c r="Z482" s="39">
        <v>6.25E-2</v>
      </c>
      <c r="AA482" s="38">
        <f t="shared" si="507"/>
        <v>157.5</v>
      </c>
      <c r="AB482" s="38">
        <f t="shared" si="497"/>
        <v>0</v>
      </c>
      <c r="AC482" s="38">
        <f t="shared" si="498"/>
        <v>64.572176712649494</v>
      </c>
      <c r="AF482" s="39">
        <v>6.25E-2</v>
      </c>
      <c r="AG482" s="38">
        <f t="shared" si="508"/>
        <v>157.5</v>
      </c>
      <c r="AH482" s="38">
        <f t="shared" si="499"/>
        <v>0</v>
      </c>
      <c r="AI482" s="38">
        <f t="shared" si="500"/>
        <v>62.9128608915928</v>
      </c>
      <c r="AL482" s="39">
        <v>6.25E-2</v>
      </c>
      <c r="AM482" s="38">
        <f t="shared" si="509"/>
        <v>157.5</v>
      </c>
      <c r="AN482" s="38">
        <f t="shared" si="501"/>
        <v>0</v>
      </c>
      <c r="AO482" s="38">
        <f t="shared" si="502"/>
        <v>116.57086830691144</v>
      </c>
    </row>
    <row r="483" spans="1:41" x14ac:dyDescent="0.25">
      <c r="B483" s="39">
        <v>7.2916666666666699E-2</v>
      </c>
      <c r="C483" s="38">
        <f t="shared" si="503"/>
        <v>153.75</v>
      </c>
      <c r="D483" s="38">
        <f t="shared" si="489"/>
        <v>0</v>
      </c>
      <c r="E483" s="38">
        <f t="shared" si="490"/>
        <v>110.14480796075449</v>
      </c>
      <c r="H483" s="39">
        <v>7.2916666666666699E-2</v>
      </c>
      <c r="I483" s="38">
        <f t="shared" si="504"/>
        <v>153.75</v>
      </c>
      <c r="J483" s="38">
        <f t="shared" si="491"/>
        <v>0</v>
      </c>
      <c r="K483" s="38">
        <f t="shared" si="492"/>
        <v>99.500362928216276</v>
      </c>
      <c r="N483" s="39">
        <v>7.2916666666666699E-2</v>
      </c>
      <c r="O483" s="38">
        <f t="shared" si="505"/>
        <v>153.75</v>
      </c>
      <c r="P483" s="38">
        <f t="shared" si="493"/>
        <v>0</v>
      </c>
      <c r="Q483" s="38">
        <f t="shared" si="494"/>
        <v>85.402618331677971</v>
      </c>
      <c r="T483" s="39">
        <v>7.2916666666666699E-2</v>
      </c>
      <c r="U483" s="38">
        <f t="shared" si="506"/>
        <v>153.75</v>
      </c>
      <c r="V483" s="38">
        <f t="shared" si="495"/>
        <v>0</v>
      </c>
      <c r="W483" s="38">
        <f t="shared" si="496"/>
        <v>72.888092578495346</v>
      </c>
      <c r="Z483" s="39">
        <v>7.2916666666666699E-2</v>
      </c>
      <c r="AA483" s="38">
        <f t="shared" si="507"/>
        <v>153.75</v>
      </c>
      <c r="AB483" s="38">
        <f t="shared" si="497"/>
        <v>0</v>
      </c>
      <c r="AC483" s="38">
        <f t="shared" si="498"/>
        <v>64.572176712649494</v>
      </c>
      <c r="AF483" s="39">
        <v>7.2916666666666699E-2</v>
      </c>
      <c r="AG483" s="38">
        <f t="shared" si="508"/>
        <v>153.75</v>
      </c>
      <c r="AH483" s="38">
        <f t="shared" si="499"/>
        <v>0</v>
      </c>
      <c r="AI483" s="38">
        <f t="shared" si="500"/>
        <v>62.9128608915928</v>
      </c>
      <c r="AL483" s="39">
        <v>7.2916666666666699E-2</v>
      </c>
      <c r="AM483" s="38">
        <f t="shared" si="509"/>
        <v>153.75</v>
      </c>
      <c r="AN483" s="38">
        <f t="shared" si="501"/>
        <v>0</v>
      </c>
      <c r="AO483" s="38">
        <f t="shared" si="502"/>
        <v>116.57086830691144</v>
      </c>
    </row>
    <row r="484" spans="1:41" x14ac:dyDescent="0.25">
      <c r="A484" s="50"/>
      <c r="B484" s="39">
        <v>8.3333333333333301E-2</v>
      </c>
      <c r="C484" s="38">
        <f t="shared" si="503"/>
        <v>150</v>
      </c>
      <c r="D484" s="38">
        <f t="shared" si="489"/>
        <v>0</v>
      </c>
      <c r="E484" s="38">
        <f t="shared" si="490"/>
        <v>110.14480796075449</v>
      </c>
      <c r="H484" s="39">
        <v>8.3333333333333301E-2</v>
      </c>
      <c r="I484" s="38">
        <f t="shared" si="504"/>
        <v>150</v>
      </c>
      <c r="J484" s="38">
        <f t="shared" si="491"/>
        <v>0</v>
      </c>
      <c r="K484" s="38">
        <f t="shared" si="492"/>
        <v>99.500362928216276</v>
      </c>
      <c r="N484" s="39">
        <v>8.3333333333333301E-2</v>
      </c>
      <c r="O484" s="38">
        <f t="shared" si="505"/>
        <v>150</v>
      </c>
      <c r="P484" s="38">
        <f t="shared" si="493"/>
        <v>0</v>
      </c>
      <c r="Q484" s="38">
        <f t="shared" si="494"/>
        <v>85.402618331677971</v>
      </c>
      <c r="T484" s="39">
        <v>8.3333333333333301E-2</v>
      </c>
      <c r="U484" s="38">
        <f t="shared" si="506"/>
        <v>150</v>
      </c>
      <c r="V484" s="38">
        <f t="shared" si="495"/>
        <v>0</v>
      </c>
      <c r="W484" s="38">
        <f t="shared" si="496"/>
        <v>72.888092578495346</v>
      </c>
      <c r="Z484" s="39">
        <v>8.3333333333333301E-2</v>
      </c>
      <c r="AA484" s="38">
        <f t="shared" si="507"/>
        <v>150</v>
      </c>
      <c r="AB484" s="38">
        <f t="shared" si="497"/>
        <v>0</v>
      </c>
      <c r="AC484" s="38">
        <f t="shared" si="498"/>
        <v>64.572176712649494</v>
      </c>
      <c r="AF484" s="39">
        <v>8.3333333333333301E-2</v>
      </c>
      <c r="AG484" s="38">
        <f t="shared" si="508"/>
        <v>150</v>
      </c>
      <c r="AH484" s="38">
        <f t="shared" si="499"/>
        <v>0</v>
      </c>
      <c r="AI484" s="38">
        <f t="shared" si="500"/>
        <v>62.9128608915928</v>
      </c>
      <c r="AL484" s="39">
        <v>8.3333333333333301E-2</v>
      </c>
      <c r="AM484" s="38">
        <f t="shared" si="509"/>
        <v>150</v>
      </c>
      <c r="AN484" s="38">
        <f t="shared" si="501"/>
        <v>0</v>
      </c>
      <c r="AO484" s="38">
        <f t="shared" si="502"/>
        <v>116.57086830691144</v>
      </c>
    </row>
    <row r="485" spans="1:41" x14ac:dyDescent="0.25">
      <c r="A485" s="50"/>
      <c r="B485" s="39">
        <v>9.3750000000000097E-2</v>
      </c>
      <c r="C485" s="38">
        <f t="shared" si="503"/>
        <v>146.25</v>
      </c>
      <c r="D485" s="38">
        <f t="shared" si="489"/>
        <v>0</v>
      </c>
      <c r="E485" s="38">
        <f t="shared" si="490"/>
        <v>110.14480796075449</v>
      </c>
      <c r="H485" s="39">
        <v>9.3750000000000097E-2</v>
      </c>
      <c r="I485" s="38">
        <f t="shared" si="504"/>
        <v>146.25</v>
      </c>
      <c r="J485" s="38">
        <f t="shared" si="491"/>
        <v>0</v>
      </c>
      <c r="K485" s="38">
        <f t="shared" si="492"/>
        <v>99.500362928216276</v>
      </c>
      <c r="N485" s="39">
        <v>9.3750000000000097E-2</v>
      </c>
      <c r="O485" s="38">
        <f t="shared" si="505"/>
        <v>146.25</v>
      </c>
      <c r="P485" s="38">
        <f t="shared" si="493"/>
        <v>0</v>
      </c>
      <c r="Q485" s="38">
        <f t="shared" si="494"/>
        <v>85.402618331677971</v>
      </c>
      <c r="T485" s="39">
        <v>9.3750000000000097E-2</v>
      </c>
      <c r="U485" s="38">
        <f t="shared" si="506"/>
        <v>146.25</v>
      </c>
      <c r="V485" s="38">
        <f t="shared" si="495"/>
        <v>0</v>
      </c>
      <c r="W485" s="38">
        <f t="shared" si="496"/>
        <v>72.888092578495346</v>
      </c>
      <c r="Z485" s="39">
        <v>9.3750000000000097E-2</v>
      </c>
      <c r="AA485" s="38">
        <f t="shared" si="507"/>
        <v>146.25</v>
      </c>
      <c r="AB485" s="38">
        <f t="shared" si="497"/>
        <v>0</v>
      </c>
      <c r="AC485" s="38">
        <f t="shared" si="498"/>
        <v>64.572176712649494</v>
      </c>
      <c r="AF485" s="39">
        <v>9.3750000000000097E-2</v>
      </c>
      <c r="AG485" s="38">
        <f t="shared" si="508"/>
        <v>146.25</v>
      </c>
      <c r="AH485" s="38">
        <f t="shared" si="499"/>
        <v>0</v>
      </c>
      <c r="AI485" s="38">
        <f t="shared" si="500"/>
        <v>62.9128608915928</v>
      </c>
      <c r="AL485" s="39">
        <v>9.3750000000000097E-2</v>
      </c>
      <c r="AM485" s="38">
        <f t="shared" si="509"/>
        <v>146.25</v>
      </c>
      <c r="AN485" s="38">
        <f t="shared" si="501"/>
        <v>0</v>
      </c>
      <c r="AO485" s="38">
        <f t="shared" si="502"/>
        <v>116.57086830691144</v>
      </c>
    </row>
    <row r="486" spans="1:41" x14ac:dyDescent="0.25">
      <c r="A486" s="50"/>
      <c r="B486" s="39">
        <v>0.104166666666667</v>
      </c>
      <c r="C486" s="38">
        <f t="shared" si="503"/>
        <v>142.5</v>
      </c>
      <c r="D486" s="38">
        <f t="shared" si="489"/>
        <v>0</v>
      </c>
      <c r="E486" s="38">
        <f t="shared" si="490"/>
        <v>110.14480796075449</v>
      </c>
      <c r="H486" s="39">
        <v>0.104166666666667</v>
      </c>
      <c r="I486" s="38">
        <f t="shared" si="504"/>
        <v>142.5</v>
      </c>
      <c r="J486" s="38">
        <f t="shared" si="491"/>
        <v>0</v>
      </c>
      <c r="K486" s="38">
        <f t="shared" si="492"/>
        <v>99.500362928216276</v>
      </c>
      <c r="N486" s="39">
        <v>0.104166666666667</v>
      </c>
      <c r="O486" s="38">
        <f t="shared" si="505"/>
        <v>142.5</v>
      </c>
      <c r="P486" s="38">
        <f t="shared" si="493"/>
        <v>0</v>
      </c>
      <c r="Q486" s="38">
        <f t="shared" si="494"/>
        <v>85.402618331677971</v>
      </c>
      <c r="T486" s="39">
        <v>0.104166666666667</v>
      </c>
      <c r="U486" s="38">
        <f t="shared" si="506"/>
        <v>142.5</v>
      </c>
      <c r="V486" s="38">
        <f t="shared" si="495"/>
        <v>0</v>
      </c>
      <c r="W486" s="38">
        <f t="shared" si="496"/>
        <v>72.888092578495346</v>
      </c>
      <c r="Z486" s="39">
        <v>0.104166666666667</v>
      </c>
      <c r="AA486" s="38">
        <f t="shared" si="507"/>
        <v>142.5</v>
      </c>
      <c r="AB486" s="38">
        <f t="shared" si="497"/>
        <v>0</v>
      </c>
      <c r="AC486" s="38">
        <f t="shared" si="498"/>
        <v>64.572176712649494</v>
      </c>
      <c r="AF486" s="39">
        <v>0.104166666666667</v>
      </c>
      <c r="AG486" s="38">
        <f t="shared" si="508"/>
        <v>142.5</v>
      </c>
      <c r="AH486" s="38">
        <f t="shared" si="499"/>
        <v>0</v>
      </c>
      <c r="AI486" s="38">
        <f t="shared" si="500"/>
        <v>62.9128608915928</v>
      </c>
      <c r="AL486" s="39">
        <v>0.104166666666667</v>
      </c>
      <c r="AM486" s="38">
        <f t="shared" si="509"/>
        <v>142.5</v>
      </c>
      <c r="AN486" s="38">
        <f t="shared" si="501"/>
        <v>0</v>
      </c>
      <c r="AO486" s="38">
        <f t="shared" si="502"/>
        <v>116.57086830691144</v>
      </c>
    </row>
    <row r="487" spans="1:41" x14ac:dyDescent="0.25">
      <c r="A487" s="50"/>
      <c r="B487" s="39">
        <v>0.11458333333333399</v>
      </c>
      <c r="C487" s="38">
        <f t="shared" si="503"/>
        <v>138.75</v>
      </c>
      <c r="D487" s="38">
        <f t="shared" si="489"/>
        <v>0</v>
      </c>
      <c r="E487" s="38">
        <f t="shared" si="490"/>
        <v>110.14480796075449</v>
      </c>
      <c r="H487" s="39">
        <v>0.11458333333333399</v>
      </c>
      <c r="I487" s="38">
        <f t="shared" si="504"/>
        <v>138.75</v>
      </c>
      <c r="J487" s="38">
        <f t="shared" si="491"/>
        <v>0</v>
      </c>
      <c r="K487" s="38">
        <f t="shared" si="492"/>
        <v>99.500362928216276</v>
      </c>
      <c r="N487" s="39">
        <v>0.11458333333333399</v>
      </c>
      <c r="O487" s="38">
        <f t="shared" si="505"/>
        <v>138.75</v>
      </c>
      <c r="P487" s="38">
        <f t="shared" si="493"/>
        <v>0</v>
      </c>
      <c r="Q487" s="38">
        <f t="shared" si="494"/>
        <v>85.402618331677971</v>
      </c>
      <c r="T487" s="39">
        <v>0.11458333333333399</v>
      </c>
      <c r="U487" s="38">
        <f t="shared" si="506"/>
        <v>138.75</v>
      </c>
      <c r="V487" s="38">
        <f t="shared" si="495"/>
        <v>0</v>
      </c>
      <c r="W487" s="38">
        <f t="shared" si="496"/>
        <v>72.888092578495346</v>
      </c>
      <c r="Z487" s="39">
        <v>0.11458333333333399</v>
      </c>
      <c r="AA487" s="38">
        <f t="shared" si="507"/>
        <v>138.75</v>
      </c>
      <c r="AB487" s="38">
        <f t="shared" si="497"/>
        <v>0</v>
      </c>
      <c r="AC487" s="38">
        <f t="shared" si="498"/>
        <v>64.572176712649494</v>
      </c>
      <c r="AF487" s="39">
        <v>0.11458333333333399</v>
      </c>
      <c r="AG487" s="38">
        <f t="shared" si="508"/>
        <v>138.75</v>
      </c>
      <c r="AH487" s="38">
        <f t="shared" si="499"/>
        <v>0</v>
      </c>
      <c r="AI487" s="38">
        <f t="shared" si="500"/>
        <v>62.9128608915928</v>
      </c>
      <c r="AL487" s="39">
        <v>0.11458333333333399</v>
      </c>
      <c r="AM487" s="38">
        <f t="shared" si="509"/>
        <v>138.75</v>
      </c>
      <c r="AN487" s="38">
        <f t="shared" si="501"/>
        <v>0</v>
      </c>
      <c r="AO487" s="38">
        <f t="shared" si="502"/>
        <v>116.57086830691144</v>
      </c>
    </row>
    <row r="488" spans="1:41" x14ac:dyDescent="0.25">
      <c r="B488" s="39">
        <v>0.125</v>
      </c>
      <c r="C488" s="38">
        <f t="shared" si="503"/>
        <v>135</v>
      </c>
      <c r="D488" s="38">
        <f t="shared" si="489"/>
        <v>0</v>
      </c>
      <c r="E488" s="38">
        <f t="shared" si="490"/>
        <v>110.14480796075449</v>
      </c>
      <c r="H488" s="39">
        <v>0.125</v>
      </c>
      <c r="I488" s="38">
        <f t="shared" si="504"/>
        <v>135</v>
      </c>
      <c r="J488" s="38">
        <f t="shared" si="491"/>
        <v>0</v>
      </c>
      <c r="K488" s="38">
        <f t="shared" si="492"/>
        <v>99.500362928216276</v>
      </c>
      <c r="N488" s="39">
        <v>0.125</v>
      </c>
      <c r="O488" s="38">
        <f t="shared" si="505"/>
        <v>135</v>
      </c>
      <c r="P488" s="38">
        <f t="shared" si="493"/>
        <v>0</v>
      </c>
      <c r="Q488" s="38">
        <f t="shared" si="494"/>
        <v>85.402618331677971</v>
      </c>
      <c r="T488" s="39">
        <v>0.125</v>
      </c>
      <c r="U488" s="38">
        <f t="shared" si="506"/>
        <v>135</v>
      </c>
      <c r="V488" s="38">
        <f t="shared" si="495"/>
        <v>0</v>
      </c>
      <c r="W488" s="38">
        <f t="shared" si="496"/>
        <v>72.888092578495346</v>
      </c>
      <c r="Z488" s="39">
        <v>0.125</v>
      </c>
      <c r="AA488" s="38">
        <f t="shared" si="507"/>
        <v>135</v>
      </c>
      <c r="AB488" s="38">
        <f t="shared" si="497"/>
        <v>0</v>
      </c>
      <c r="AC488" s="38">
        <f t="shared" si="498"/>
        <v>64.572176712649494</v>
      </c>
      <c r="AF488" s="39">
        <v>0.125</v>
      </c>
      <c r="AG488" s="38">
        <f t="shared" si="508"/>
        <v>135</v>
      </c>
      <c r="AH488" s="38">
        <f t="shared" si="499"/>
        <v>0</v>
      </c>
      <c r="AI488" s="38">
        <f t="shared" si="500"/>
        <v>62.9128608915928</v>
      </c>
      <c r="AL488" s="39">
        <v>0.125</v>
      </c>
      <c r="AM488" s="38">
        <f t="shared" si="509"/>
        <v>135</v>
      </c>
      <c r="AN488" s="38">
        <f t="shared" si="501"/>
        <v>0</v>
      </c>
      <c r="AO488" s="38">
        <f t="shared" si="502"/>
        <v>116.57086830691144</v>
      </c>
    </row>
    <row r="489" spans="1:41" x14ac:dyDescent="0.25">
      <c r="B489" s="39">
        <v>0.13541666666666799</v>
      </c>
      <c r="C489" s="38">
        <f t="shared" si="503"/>
        <v>131.25</v>
      </c>
      <c r="D489" s="38">
        <f t="shared" si="489"/>
        <v>0</v>
      </c>
      <c r="E489" s="38">
        <f t="shared" si="490"/>
        <v>110.14480796075449</v>
      </c>
      <c r="H489" s="39">
        <v>0.13541666666666799</v>
      </c>
      <c r="I489" s="38">
        <f t="shared" si="504"/>
        <v>131.25</v>
      </c>
      <c r="J489" s="38">
        <f t="shared" si="491"/>
        <v>0</v>
      </c>
      <c r="K489" s="38">
        <f t="shared" si="492"/>
        <v>99.500362928216276</v>
      </c>
      <c r="N489" s="39">
        <v>0.13541666666666799</v>
      </c>
      <c r="O489" s="38">
        <f t="shared" si="505"/>
        <v>131.25</v>
      </c>
      <c r="P489" s="38">
        <f t="shared" si="493"/>
        <v>0</v>
      </c>
      <c r="Q489" s="38">
        <f t="shared" si="494"/>
        <v>85.402618331677971</v>
      </c>
      <c r="T489" s="39">
        <v>0.13541666666666799</v>
      </c>
      <c r="U489" s="38">
        <f t="shared" si="506"/>
        <v>131.25</v>
      </c>
      <c r="V489" s="38">
        <f t="shared" si="495"/>
        <v>0</v>
      </c>
      <c r="W489" s="38">
        <f t="shared" si="496"/>
        <v>72.888092578495346</v>
      </c>
      <c r="Z489" s="39">
        <v>0.13541666666666799</v>
      </c>
      <c r="AA489" s="38">
        <f t="shared" si="507"/>
        <v>131.25</v>
      </c>
      <c r="AB489" s="38">
        <f t="shared" si="497"/>
        <v>0</v>
      </c>
      <c r="AC489" s="38">
        <f t="shared" si="498"/>
        <v>64.572176712649494</v>
      </c>
      <c r="AF489" s="39">
        <v>0.13541666666666799</v>
      </c>
      <c r="AG489" s="38">
        <f t="shared" si="508"/>
        <v>131.25</v>
      </c>
      <c r="AH489" s="38">
        <f t="shared" si="499"/>
        <v>0</v>
      </c>
      <c r="AI489" s="38">
        <f t="shared" si="500"/>
        <v>62.9128608915928</v>
      </c>
      <c r="AL489" s="39">
        <v>0.13541666666666799</v>
      </c>
      <c r="AM489" s="38">
        <f t="shared" si="509"/>
        <v>131.25</v>
      </c>
      <c r="AN489" s="38">
        <f t="shared" si="501"/>
        <v>0</v>
      </c>
      <c r="AO489" s="38">
        <f t="shared" si="502"/>
        <v>116.57086830691144</v>
      </c>
    </row>
    <row r="490" spans="1:41" x14ac:dyDescent="0.25">
      <c r="B490" s="39">
        <v>0.14583333333333501</v>
      </c>
      <c r="C490" s="38">
        <f t="shared" si="503"/>
        <v>127.5</v>
      </c>
      <c r="D490" s="38">
        <f t="shared" si="489"/>
        <v>0</v>
      </c>
      <c r="E490" s="38">
        <f t="shared" si="490"/>
        <v>110.14480796075449</v>
      </c>
      <c r="H490" s="39">
        <v>0.14583333333333501</v>
      </c>
      <c r="I490" s="38">
        <f t="shared" si="504"/>
        <v>127.5</v>
      </c>
      <c r="J490" s="38">
        <f t="shared" si="491"/>
        <v>0</v>
      </c>
      <c r="K490" s="38">
        <f t="shared" si="492"/>
        <v>99.500362928216276</v>
      </c>
      <c r="N490" s="39">
        <v>0.14583333333333501</v>
      </c>
      <c r="O490" s="38">
        <f t="shared" si="505"/>
        <v>127.5</v>
      </c>
      <c r="P490" s="38">
        <f t="shared" si="493"/>
        <v>0</v>
      </c>
      <c r="Q490" s="38">
        <f t="shared" si="494"/>
        <v>85.402618331677971</v>
      </c>
      <c r="T490" s="39">
        <v>0.14583333333333501</v>
      </c>
      <c r="U490" s="38">
        <f t="shared" si="506"/>
        <v>127.5</v>
      </c>
      <c r="V490" s="38">
        <f t="shared" si="495"/>
        <v>0</v>
      </c>
      <c r="W490" s="38">
        <f t="shared" si="496"/>
        <v>72.888092578495346</v>
      </c>
      <c r="Z490" s="39">
        <v>0.14583333333333501</v>
      </c>
      <c r="AA490" s="38">
        <f t="shared" si="507"/>
        <v>127.5</v>
      </c>
      <c r="AB490" s="38">
        <f t="shared" si="497"/>
        <v>0</v>
      </c>
      <c r="AC490" s="38">
        <f t="shared" si="498"/>
        <v>64.572176712649494</v>
      </c>
      <c r="AF490" s="39">
        <v>0.14583333333333501</v>
      </c>
      <c r="AG490" s="38">
        <f t="shared" si="508"/>
        <v>127.5</v>
      </c>
      <c r="AH490" s="38">
        <f t="shared" si="499"/>
        <v>0</v>
      </c>
      <c r="AI490" s="38">
        <f t="shared" si="500"/>
        <v>62.9128608915928</v>
      </c>
      <c r="AL490" s="39">
        <v>0.14583333333333501</v>
      </c>
      <c r="AM490" s="38">
        <f t="shared" si="509"/>
        <v>127.5</v>
      </c>
      <c r="AN490" s="38">
        <f t="shared" si="501"/>
        <v>0</v>
      </c>
      <c r="AO490" s="38">
        <f t="shared" si="502"/>
        <v>116.57086830691144</v>
      </c>
    </row>
    <row r="491" spans="1:41" x14ac:dyDescent="0.25">
      <c r="B491" s="39">
        <v>0.156250000000002</v>
      </c>
      <c r="C491" s="38">
        <f t="shared" si="503"/>
        <v>123.75</v>
      </c>
      <c r="D491" s="38">
        <f t="shared" si="489"/>
        <v>0</v>
      </c>
      <c r="E491" s="38">
        <f t="shared" si="490"/>
        <v>110.14480796075449</v>
      </c>
      <c r="H491" s="39">
        <v>0.156250000000002</v>
      </c>
      <c r="I491" s="38">
        <f t="shared" si="504"/>
        <v>123.75</v>
      </c>
      <c r="J491" s="38">
        <f t="shared" si="491"/>
        <v>0</v>
      </c>
      <c r="K491" s="38">
        <f t="shared" si="492"/>
        <v>99.500362928216276</v>
      </c>
      <c r="N491" s="39">
        <v>0.156250000000002</v>
      </c>
      <c r="O491" s="38">
        <f t="shared" si="505"/>
        <v>123.75</v>
      </c>
      <c r="P491" s="38">
        <f t="shared" si="493"/>
        <v>0</v>
      </c>
      <c r="Q491" s="38">
        <f t="shared" si="494"/>
        <v>85.402618331677971</v>
      </c>
      <c r="T491" s="39">
        <v>0.156250000000002</v>
      </c>
      <c r="U491" s="38">
        <f t="shared" si="506"/>
        <v>123.75</v>
      </c>
      <c r="V491" s="38">
        <f t="shared" si="495"/>
        <v>0</v>
      </c>
      <c r="W491" s="38">
        <f t="shared" si="496"/>
        <v>72.888092578495346</v>
      </c>
      <c r="Z491" s="39">
        <v>0.156250000000002</v>
      </c>
      <c r="AA491" s="38">
        <f t="shared" si="507"/>
        <v>123.75</v>
      </c>
      <c r="AB491" s="38">
        <f t="shared" si="497"/>
        <v>0</v>
      </c>
      <c r="AC491" s="38">
        <f t="shared" si="498"/>
        <v>64.572176712649494</v>
      </c>
      <c r="AF491" s="39">
        <v>0.156250000000002</v>
      </c>
      <c r="AG491" s="38">
        <f t="shared" si="508"/>
        <v>123.75</v>
      </c>
      <c r="AH491" s="38">
        <f t="shared" si="499"/>
        <v>0</v>
      </c>
      <c r="AI491" s="38">
        <f t="shared" si="500"/>
        <v>62.9128608915928</v>
      </c>
      <c r="AL491" s="39">
        <v>0.156250000000002</v>
      </c>
      <c r="AM491" s="38">
        <f t="shared" si="509"/>
        <v>123.75</v>
      </c>
      <c r="AN491" s="38">
        <f t="shared" si="501"/>
        <v>0</v>
      </c>
      <c r="AO491" s="38">
        <f t="shared" si="502"/>
        <v>116.57086830691144</v>
      </c>
    </row>
    <row r="492" spans="1:41" x14ac:dyDescent="0.25">
      <c r="B492" s="39">
        <v>0.16666666666666899</v>
      </c>
      <c r="C492" s="38">
        <f t="shared" si="503"/>
        <v>120</v>
      </c>
      <c r="D492" s="38">
        <f t="shared" si="489"/>
        <v>0</v>
      </c>
      <c r="E492" s="38">
        <f t="shared" si="490"/>
        <v>110.14480796075449</v>
      </c>
      <c r="H492" s="39">
        <v>0.16666666666666899</v>
      </c>
      <c r="I492" s="38">
        <f t="shared" si="504"/>
        <v>120</v>
      </c>
      <c r="J492" s="38">
        <f t="shared" si="491"/>
        <v>0</v>
      </c>
      <c r="K492" s="38">
        <f t="shared" si="492"/>
        <v>99.500362928216276</v>
      </c>
      <c r="N492" s="39">
        <v>0.16666666666666899</v>
      </c>
      <c r="O492" s="38">
        <f t="shared" si="505"/>
        <v>120</v>
      </c>
      <c r="P492" s="38">
        <f t="shared" si="493"/>
        <v>0</v>
      </c>
      <c r="Q492" s="38">
        <f t="shared" si="494"/>
        <v>85.402618331677971</v>
      </c>
      <c r="T492" s="39">
        <v>0.16666666666666899</v>
      </c>
      <c r="U492" s="38">
        <f t="shared" si="506"/>
        <v>120</v>
      </c>
      <c r="V492" s="38">
        <f t="shared" si="495"/>
        <v>0</v>
      </c>
      <c r="W492" s="38">
        <f t="shared" si="496"/>
        <v>72.888092578495346</v>
      </c>
      <c r="Z492" s="39">
        <v>0.16666666666666899</v>
      </c>
      <c r="AA492" s="38">
        <f t="shared" si="507"/>
        <v>120</v>
      </c>
      <c r="AB492" s="38">
        <f t="shared" si="497"/>
        <v>0</v>
      </c>
      <c r="AC492" s="38">
        <f t="shared" si="498"/>
        <v>64.572176712649494</v>
      </c>
      <c r="AF492" s="39">
        <v>0.16666666666666899</v>
      </c>
      <c r="AG492" s="38">
        <f t="shared" si="508"/>
        <v>120</v>
      </c>
      <c r="AH492" s="38">
        <f t="shared" si="499"/>
        <v>0</v>
      </c>
      <c r="AI492" s="38">
        <f t="shared" si="500"/>
        <v>62.9128608915928</v>
      </c>
      <c r="AL492" s="39">
        <v>0.16666666666666899</v>
      </c>
      <c r="AM492" s="38">
        <f t="shared" si="509"/>
        <v>120</v>
      </c>
      <c r="AN492" s="38">
        <f t="shared" si="501"/>
        <v>0</v>
      </c>
      <c r="AO492" s="38">
        <f t="shared" si="502"/>
        <v>116.57086830691144</v>
      </c>
    </row>
    <row r="493" spans="1:41" x14ac:dyDescent="0.25">
      <c r="B493" s="39">
        <v>0.17708333333333601</v>
      </c>
      <c r="C493" s="38">
        <f t="shared" si="503"/>
        <v>116.25</v>
      </c>
      <c r="D493" s="38">
        <f t="shared" si="489"/>
        <v>0</v>
      </c>
      <c r="E493" s="38">
        <f t="shared" si="490"/>
        <v>110.14480796075449</v>
      </c>
      <c r="H493" s="39">
        <v>0.17708333333333601</v>
      </c>
      <c r="I493" s="38">
        <f t="shared" si="504"/>
        <v>116.25</v>
      </c>
      <c r="J493" s="38">
        <f t="shared" si="491"/>
        <v>0</v>
      </c>
      <c r="K493" s="38">
        <f t="shared" si="492"/>
        <v>99.500362928216276</v>
      </c>
      <c r="N493" s="39">
        <v>0.17708333333333601</v>
      </c>
      <c r="O493" s="38">
        <f t="shared" si="505"/>
        <v>116.25</v>
      </c>
      <c r="P493" s="38">
        <f t="shared" si="493"/>
        <v>0</v>
      </c>
      <c r="Q493" s="38">
        <f t="shared" si="494"/>
        <v>85.402618331677971</v>
      </c>
      <c r="T493" s="39">
        <v>0.17708333333333601</v>
      </c>
      <c r="U493" s="38">
        <f t="shared" si="506"/>
        <v>116.25</v>
      </c>
      <c r="V493" s="38">
        <f t="shared" si="495"/>
        <v>0</v>
      </c>
      <c r="W493" s="38">
        <f t="shared" si="496"/>
        <v>72.888092578495346</v>
      </c>
      <c r="Z493" s="39">
        <v>0.17708333333333601</v>
      </c>
      <c r="AA493" s="38">
        <f t="shared" si="507"/>
        <v>116.25</v>
      </c>
      <c r="AB493" s="38">
        <f t="shared" si="497"/>
        <v>0</v>
      </c>
      <c r="AC493" s="38">
        <f t="shared" si="498"/>
        <v>64.572176712649494</v>
      </c>
      <c r="AF493" s="39">
        <v>0.17708333333333601</v>
      </c>
      <c r="AG493" s="38">
        <f t="shared" si="508"/>
        <v>116.25</v>
      </c>
      <c r="AH493" s="38">
        <f t="shared" si="499"/>
        <v>0</v>
      </c>
      <c r="AI493" s="38">
        <f t="shared" si="500"/>
        <v>62.9128608915928</v>
      </c>
      <c r="AL493" s="39">
        <v>0.17708333333333601</v>
      </c>
      <c r="AM493" s="38">
        <f t="shared" si="509"/>
        <v>116.25</v>
      </c>
      <c r="AN493" s="38">
        <f t="shared" si="501"/>
        <v>0</v>
      </c>
      <c r="AO493" s="38">
        <f t="shared" si="502"/>
        <v>116.57086830691144</v>
      </c>
    </row>
    <row r="494" spans="1:41" x14ac:dyDescent="0.25">
      <c r="B494" s="39">
        <v>0.187500000000003</v>
      </c>
      <c r="C494" s="38">
        <f t="shared" si="503"/>
        <v>112.5</v>
      </c>
      <c r="D494" s="38">
        <f t="shared" si="489"/>
        <v>0</v>
      </c>
      <c r="E494" s="38">
        <f t="shared" si="490"/>
        <v>110.14480796075449</v>
      </c>
      <c r="H494" s="39">
        <v>0.187500000000003</v>
      </c>
      <c r="I494" s="38">
        <f t="shared" si="504"/>
        <v>112.5</v>
      </c>
      <c r="J494" s="38">
        <f t="shared" si="491"/>
        <v>0</v>
      </c>
      <c r="K494" s="38">
        <f t="shared" si="492"/>
        <v>99.500362928216276</v>
      </c>
      <c r="N494" s="39">
        <v>0.187500000000003</v>
      </c>
      <c r="O494" s="38">
        <f t="shared" si="505"/>
        <v>112.5</v>
      </c>
      <c r="P494" s="38">
        <f t="shared" si="493"/>
        <v>0</v>
      </c>
      <c r="Q494" s="38">
        <f t="shared" si="494"/>
        <v>85.402618331677971</v>
      </c>
      <c r="T494" s="39">
        <v>0.187500000000003</v>
      </c>
      <c r="U494" s="38">
        <f t="shared" si="506"/>
        <v>112.5</v>
      </c>
      <c r="V494" s="38">
        <f t="shared" si="495"/>
        <v>0</v>
      </c>
      <c r="W494" s="38">
        <f t="shared" si="496"/>
        <v>72.888092578495346</v>
      </c>
      <c r="Z494" s="39">
        <v>0.187500000000003</v>
      </c>
      <c r="AA494" s="38">
        <f t="shared" si="507"/>
        <v>112.5</v>
      </c>
      <c r="AB494" s="38">
        <f t="shared" si="497"/>
        <v>0</v>
      </c>
      <c r="AC494" s="38">
        <f t="shared" si="498"/>
        <v>64.572176712649494</v>
      </c>
      <c r="AF494" s="39">
        <v>0.187500000000003</v>
      </c>
      <c r="AG494" s="38">
        <f t="shared" si="508"/>
        <v>112.5</v>
      </c>
      <c r="AH494" s="38">
        <f t="shared" si="499"/>
        <v>0</v>
      </c>
      <c r="AI494" s="38">
        <f t="shared" si="500"/>
        <v>62.9128608915928</v>
      </c>
      <c r="AL494" s="39">
        <v>0.187500000000003</v>
      </c>
      <c r="AM494" s="38">
        <f t="shared" si="509"/>
        <v>112.5</v>
      </c>
      <c r="AN494" s="38">
        <f t="shared" si="501"/>
        <v>0</v>
      </c>
      <c r="AO494" s="38">
        <f t="shared" si="502"/>
        <v>116.57086830691144</v>
      </c>
    </row>
    <row r="495" spans="1:41" x14ac:dyDescent="0.25">
      <c r="B495" s="39">
        <v>0.19791666666666999</v>
      </c>
      <c r="C495" s="38">
        <f t="shared" si="503"/>
        <v>108.75</v>
      </c>
      <c r="D495" s="38">
        <f t="shared" si="489"/>
        <v>0</v>
      </c>
      <c r="E495" s="38">
        <f t="shared" si="490"/>
        <v>110.14480796075449</v>
      </c>
      <c r="H495" s="39">
        <v>0.19791666666666999</v>
      </c>
      <c r="I495" s="38">
        <f t="shared" si="504"/>
        <v>108.75</v>
      </c>
      <c r="J495" s="38">
        <f t="shared" si="491"/>
        <v>0</v>
      </c>
      <c r="K495" s="38">
        <f t="shared" si="492"/>
        <v>99.500362928216276</v>
      </c>
      <c r="N495" s="39">
        <v>0.19791666666666999</v>
      </c>
      <c r="O495" s="38">
        <f t="shared" si="505"/>
        <v>108.75</v>
      </c>
      <c r="P495" s="38">
        <f t="shared" si="493"/>
        <v>0</v>
      </c>
      <c r="Q495" s="38">
        <f t="shared" si="494"/>
        <v>85.402618331677971</v>
      </c>
      <c r="T495" s="39">
        <v>0.19791666666666999</v>
      </c>
      <c r="U495" s="38">
        <f t="shared" si="506"/>
        <v>108.75</v>
      </c>
      <c r="V495" s="38">
        <f t="shared" si="495"/>
        <v>0</v>
      </c>
      <c r="W495" s="38">
        <f t="shared" si="496"/>
        <v>72.888092578495346</v>
      </c>
      <c r="Z495" s="39">
        <v>0.19791666666666999</v>
      </c>
      <c r="AA495" s="38">
        <f t="shared" si="507"/>
        <v>108.75</v>
      </c>
      <c r="AB495" s="38">
        <f t="shared" si="497"/>
        <v>0</v>
      </c>
      <c r="AC495" s="38">
        <f t="shared" si="498"/>
        <v>64.572176712649494</v>
      </c>
      <c r="AF495" s="39">
        <v>0.19791666666666999</v>
      </c>
      <c r="AG495" s="38">
        <f t="shared" si="508"/>
        <v>108.75</v>
      </c>
      <c r="AH495" s="38">
        <f t="shared" si="499"/>
        <v>0</v>
      </c>
      <c r="AI495" s="38">
        <f t="shared" si="500"/>
        <v>62.9128608915928</v>
      </c>
      <c r="AL495" s="39">
        <v>0.19791666666666999</v>
      </c>
      <c r="AM495" s="38">
        <f t="shared" si="509"/>
        <v>108.75</v>
      </c>
      <c r="AN495" s="38">
        <f t="shared" si="501"/>
        <v>0</v>
      </c>
      <c r="AO495" s="38">
        <f t="shared" si="502"/>
        <v>116.57086830691144</v>
      </c>
    </row>
    <row r="496" spans="1:41" x14ac:dyDescent="0.25">
      <c r="B496" s="39">
        <v>0.20833333333333701</v>
      </c>
      <c r="C496" s="38">
        <f t="shared" si="503"/>
        <v>105</v>
      </c>
      <c r="D496" s="38">
        <f t="shared" si="489"/>
        <v>0</v>
      </c>
      <c r="E496" s="38">
        <f t="shared" si="490"/>
        <v>110.14480796075449</v>
      </c>
      <c r="H496" s="39">
        <v>0.20833333333333701</v>
      </c>
      <c r="I496" s="38">
        <f t="shared" si="504"/>
        <v>105</v>
      </c>
      <c r="J496" s="38">
        <f t="shared" si="491"/>
        <v>0</v>
      </c>
      <c r="K496" s="38">
        <f t="shared" si="492"/>
        <v>99.500362928216276</v>
      </c>
      <c r="N496" s="39">
        <v>0.20833333333333701</v>
      </c>
      <c r="O496" s="38">
        <f t="shared" si="505"/>
        <v>105</v>
      </c>
      <c r="P496" s="38">
        <f t="shared" si="493"/>
        <v>0</v>
      </c>
      <c r="Q496" s="38">
        <f t="shared" si="494"/>
        <v>85.402618331677971</v>
      </c>
      <c r="T496" s="39">
        <v>0.20833333333333701</v>
      </c>
      <c r="U496" s="38">
        <f t="shared" si="506"/>
        <v>105</v>
      </c>
      <c r="V496" s="38">
        <f t="shared" si="495"/>
        <v>0</v>
      </c>
      <c r="W496" s="38">
        <f t="shared" si="496"/>
        <v>72.888092578495346</v>
      </c>
      <c r="Z496" s="39">
        <v>0.20833333333333701</v>
      </c>
      <c r="AA496" s="38">
        <f t="shared" si="507"/>
        <v>105</v>
      </c>
      <c r="AB496" s="38">
        <f t="shared" si="497"/>
        <v>0</v>
      </c>
      <c r="AC496" s="38">
        <f t="shared" si="498"/>
        <v>64.572176712649494</v>
      </c>
      <c r="AF496" s="39">
        <v>0.20833333333333701</v>
      </c>
      <c r="AG496" s="38">
        <f t="shared" si="508"/>
        <v>105</v>
      </c>
      <c r="AH496" s="38">
        <f t="shared" si="499"/>
        <v>0</v>
      </c>
      <c r="AI496" s="38">
        <f t="shared" si="500"/>
        <v>62.9128608915928</v>
      </c>
      <c r="AL496" s="39">
        <v>0.20833333333333701</v>
      </c>
      <c r="AM496" s="38">
        <f t="shared" si="509"/>
        <v>105</v>
      </c>
      <c r="AN496" s="38">
        <f t="shared" si="501"/>
        <v>0</v>
      </c>
      <c r="AO496" s="38">
        <f t="shared" si="502"/>
        <v>116.57086830691144</v>
      </c>
    </row>
    <row r="497" spans="2:41" x14ac:dyDescent="0.25">
      <c r="B497" s="39">
        <v>0.218750000000004</v>
      </c>
      <c r="C497" s="38">
        <f t="shared" si="503"/>
        <v>101.25</v>
      </c>
      <c r="D497" s="38">
        <f t="shared" si="489"/>
        <v>0</v>
      </c>
      <c r="E497" s="38">
        <f t="shared" si="490"/>
        <v>110.14480796075449</v>
      </c>
      <c r="H497" s="39">
        <v>0.218750000000004</v>
      </c>
      <c r="I497" s="38">
        <f t="shared" si="504"/>
        <v>101.25</v>
      </c>
      <c r="J497" s="38">
        <f t="shared" si="491"/>
        <v>0</v>
      </c>
      <c r="K497" s="38">
        <f t="shared" si="492"/>
        <v>99.500362928216276</v>
      </c>
      <c r="N497" s="39">
        <v>0.218750000000004</v>
      </c>
      <c r="O497" s="38">
        <f t="shared" si="505"/>
        <v>101.25</v>
      </c>
      <c r="P497" s="38">
        <f t="shared" si="493"/>
        <v>0</v>
      </c>
      <c r="Q497" s="38">
        <f t="shared" si="494"/>
        <v>85.402618331677971</v>
      </c>
      <c r="T497" s="39">
        <v>0.218750000000004</v>
      </c>
      <c r="U497" s="38">
        <f t="shared" si="506"/>
        <v>101.25</v>
      </c>
      <c r="V497" s="38">
        <f t="shared" si="495"/>
        <v>0</v>
      </c>
      <c r="W497" s="38">
        <f t="shared" si="496"/>
        <v>72.888092578495346</v>
      </c>
      <c r="Z497" s="39">
        <v>0.218750000000004</v>
      </c>
      <c r="AA497" s="38">
        <f t="shared" si="507"/>
        <v>101.25</v>
      </c>
      <c r="AB497" s="38">
        <f t="shared" si="497"/>
        <v>1.3949093661271876</v>
      </c>
      <c r="AC497" s="38">
        <f t="shared" si="498"/>
        <v>65.420288430266694</v>
      </c>
      <c r="AF497" s="39">
        <v>0.218750000000004</v>
      </c>
      <c r="AG497" s="38">
        <f t="shared" si="508"/>
        <v>101.25</v>
      </c>
      <c r="AH497" s="38">
        <f t="shared" si="499"/>
        <v>2.1202753980372413</v>
      </c>
      <c r="AI497" s="38">
        <f t="shared" si="500"/>
        <v>64.210417713039391</v>
      </c>
      <c r="AL497" s="39">
        <v>0.218750000000004</v>
      </c>
      <c r="AM497" s="38">
        <f t="shared" si="509"/>
        <v>101.25</v>
      </c>
      <c r="AN497" s="38">
        <f t="shared" si="501"/>
        <v>0</v>
      </c>
      <c r="AO497" s="38">
        <f t="shared" si="502"/>
        <v>116.57086830691144</v>
      </c>
    </row>
    <row r="498" spans="2:41" x14ac:dyDescent="0.25">
      <c r="B498" s="39">
        <v>0.22916666666667099</v>
      </c>
      <c r="C498" s="38">
        <f t="shared" si="503"/>
        <v>97.5</v>
      </c>
      <c r="D498" s="38">
        <f t="shared" si="489"/>
        <v>0</v>
      </c>
      <c r="E498" s="38">
        <f t="shared" si="490"/>
        <v>110.14480796075449</v>
      </c>
      <c r="H498" s="39">
        <v>0.22916666666667099</v>
      </c>
      <c r="I498" s="38">
        <f t="shared" si="504"/>
        <v>97.5</v>
      </c>
      <c r="J498" s="38">
        <f t="shared" si="491"/>
        <v>0</v>
      </c>
      <c r="K498" s="38">
        <f t="shared" si="492"/>
        <v>99.500362928216276</v>
      </c>
      <c r="N498" s="39">
        <v>0.22916666666667099</v>
      </c>
      <c r="O498" s="38">
        <f t="shared" si="505"/>
        <v>97.5</v>
      </c>
      <c r="P498" s="38">
        <f t="shared" si="493"/>
        <v>0</v>
      </c>
      <c r="Q498" s="38">
        <f t="shared" si="494"/>
        <v>85.402618331677971</v>
      </c>
      <c r="T498" s="39">
        <v>0.22916666666667099</v>
      </c>
      <c r="U498" s="38">
        <f t="shared" si="506"/>
        <v>97.5</v>
      </c>
      <c r="V498" s="38">
        <f t="shared" si="495"/>
        <v>0.84487497082691032</v>
      </c>
      <c r="W498" s="38">
        <f t="shared" si="496"/>
        <v>73.377202136517397</v>
      </c>
      <c r="Z498" s="39">
        <v>0.22916666666667099</v>
      </c>
      <c r="AA498" s="38">
        <f t="shared" si="507"/>
        <v>97.5</v>
      </c>
      <c r="AB498" s="38">
        <f t="shared" si="497"/>
        <v>4.3957662688924266</v>
      </c>
      <c r="AC498" s="38">
        <f t="shared" si="498"/>
        <v>67.176756132372105</v>
      </c>
      <c r="AF498" s="39">
        <v>0.22916666666667099</v>
      </c>
      <c r="AG498" s="38">
        <f t="shared" si="508"/>
        <v>97.5</v>
      </c>
      <c r="AH498" s="38">
        <f t="shared" si="499"/>
        <v>5.0924146750739654</v>
      </c>
      <c r="AI498" s="38">
        <f t="shared" si="500"/>
        <v>65.946471612619035</v>
      </c>
      <c r="AL498" s="39">
        <v>0.22916666666667099</v>
      </c>
      <c r="AM498" s="38">
        <f t="shared" si="509"/>
        <v>97.5</v>
      </c>
      <c r="AN498" s="38">
        <f t="shared" si="501"/>
        <v>0</v>
      </c>
      <c r="AO498" s="38">
        <f t="shared" si="502"/>
        <v>116.57086830691144</v>
      </c>
    </row>
    <row r="499" spans="2:41" x14ac:dyDescent="0.25">
      <c r="B499" s="39">
        <v>0.23958333333333801</v>
      </c>
      <c r="C499" s="38">
        <f t="shared" si="503"/>
        <v>93.75</v>
      </c>
      <c r="D499" s="38">
        <f t="shared" si="489"/>
        <v>0</v>
      </c>
      <c r="E499" s="38">
        <f t="shared" si="490"/>
        <v>110.14480796075449</v>
      </c>
      <c r="H499" s="39">
        <v>0.23958333333333801</v>
      </c>
      <c r="I499" s="38">
        <f t="shared" si="504"/>
        <v>93.75</v>
      </c>
      <c r="J499" s="38">
        <f t="shared" si="491"/>
        <v>0</v>
      </c>
      <c r="K499" s="38">
        <f t="shared" si="492"/>
        <v>99.500362928216276</v>
      </c>
      <c r="N499" s="39">
        <v>0.23958333333333801</v>
      </c>
      <c r="O499" s="38">
        <f t="shared" si="505"/>
        <v>93.75</v>
      </c>
      <c r="P499" s="38">
        <f t="shared" si="493"/>
        <v>0</v>
      </c>
      <c r="Q499" s="38">
        <f t="shared" si="494"/>
        <v>85.402618331677971</v>
      </c>
      <c r="T499" s="39">
        <v>0.23958333333333801</v>
      </c>
      <c r="U499" s="38">
        <f t="shared" si="506"/>
        <v>93.75</v>
      </c>
      <c r="V499" s="38">
        <f t="shared" si="495"/>
        <v>3.9993524973288235</v>
      </c>
      <c r="W499" s="38">
        <f t="shared" si="496"/>
        <v>75.162722135292299</v>
      </c>
      <c r="Z499" s="39">
        <v>0.23958333333333801</v>
      </c>
      <c r="AA499" s="38">
        <f t="shared" si="507"/>
        <v>93.75</v>
      </c>
      <c r="AB499" s="38">
        <f t="shared" si="497"/>
        <v>7.4349294898703304</v>
      </c>
      <c r="AC499" s="38">
        <f t="shared" si="498"/>
        <v>68.872771807684487</v>
      </c>
      <c r="AF499" s="39">
        <v>0.23958333333333801</v>
      </c>
      <c r="AG499" s="38">
        <f t="shared" si="508"/>
        <v>93.75</v>
      </c>
      <c r="AH499" s="38">
        <f t="shared" si="499"/>
        <v>8.1043070057537481</v>
      </c>
      <c r="AI499" s="38">
        <f t="shared" si="500"/>
        <v>67.620103183634782</v>
      </c>
      <c r="AL499" s="39">
        <v>0.23958333333333801</v>
      </c>
      <c r="AM499" s="38">
        <f t="shared" si="509"/>
        <v>93.75</v>
      </c>
      <c r="AN499" s="38">
        <f t="shared" si="501"/>
        <v>0</v>
      </c>
      <c r="AO499" s="38">
        <f t="shared" si="502"/>
        <v>116.57086830691144</v>
      </c>
    </row>
    <row r="500" spans="2:41" x14ac:dyDescent="0.25">
      <c r="B500" s="39">
        <v>0.250000000000005</v>
      </c>
      <c r="C500" s="38">
        <f t="shared" si="503"/>
        <v>90</v>
      </c>
      <c r="D500" s="38">
        <f t="shared" si="489"/>
        <v>0</v>
      </c>
      <c r="E500" s="38">
        <f t="shared" si="490"/>
        <v>110.14480796075449</v>
      </c>
      <c r="H500" s="39">
        <v>0.250000000000005</v>
      </c>
      <c r="I500" s="38">
        <f t="shared" si="504"/>
        <v>90</v>
      </c>
      <c r="J500" s="38">
        <f t="shared" si="491"/>
        <v>0</v>
      </c>
      <c r="K500" s="38">
        <f t="shared" si="492"/>
        <v>99.500362928216276</v>
      </c>
      <c r="N500" s="39">
        <v>0.250000000000005</v>
      </c>
      <c r="O500" s="38">
        <f t="shared" si="505"/>
        <v>90</v>
      </c>
      <c r="P500" s="38">
        <f t="shared" si="493"/>
        <v>1.9510766725967672</v>
      </c>
      <c r="Q500" s="38">
        <f t="shared" si="494"/>
        <v>86.488170658290201</v>
      </c>
      <c r="T500" s="39">
        <v>0.250000000000005</v>
      </c>
      <c r="U500" s="38">
        <f t="shared" si="506"/>
        <v>90</v>
      </c>
      <c r="V500" s="38">
        <f t="shared" si="495"/>
        <v>7.1796941081018506</v>
      </c>
      <c r="W500" s="38">
        <f t="shared" si="496"/>
        <v>76.908415468616056</v>
      </c>
      <c r="Z500" s="39">
        <v>0.250000000000005</v>
      </c>
      <c r="AA500" s="38">
        <f t="shared" si="507"/>
        <v>90</v>
      </c>
      <c r="AB500" s="38">
        <f t="shared" si="497"/>
        <v>10.508522694850116</v>
      </c>
      <c r="AC500" s="38">
        <f t="shared" si="498"/>
        <v>70.516285917220941</v>
      </c>
      <c r="AF500" s="39">
        <v>0.250000000000005</v>
      </c>
      <c r="AG500" s="38">
        <f t="shared" si="508"/>
        <v>90</v>
      </c>
      <c r="AH500" s="38">
        <f t="shared" si="499"/>
        <v>11.152054967319165</v>
      </c>
      <c r="AI500" s="38">
        <f t="shared" si="500"/>
        <v>69.238766580276192</v>
      </c>
      <c r="AL500" s="39">
        <v>0.250000000000005</v>
      </c>
      <c r="AM500" s="38">
        <f t="shared" si="509"/>
        <v>90</v>
      </c>
      <c r="AN500" s="38">
        <f t="shared" si="501"/>
        <v>0</v>
      </c>
      <c r="AO500" s="38">
        <f t="shared" si="502"/>
        <v>116.57086830691144</v>
      </c>
    </row>
    <row r="501" spans="2:41" x14ac:dyDescent="0.25">
      <c r="B501" s="39">
        <v>0.26041666666667201</v>
      </c>
      <c r="C501" s="38">
        <f t="shared" si="503"/>
        <v>86.25</v>
      </c>
      <c r="D501" s="38">
        <f t="shared" si="489"/>
        <v>0</v>
      </c>
      <c r="E501" s="38">
        <f t="shared" si="490"/>
        <v>110.14480796075449</v>
      </c>
      <c r="H501" s="39">
        <v>0.26041666666667201</v>
      </c>
      <c r="I501" s="38">
        <f t="shared" si="504"/>
        <v>86.25</v>
      </c>
      <c r="J501" s="38">
        <f t="shared" si="491"/>
        <v>0</v>
      </c>
      <c r="K501" s="38">
        <f t="shared" si="492"/>
        <v>99.500362928216276</v>
      </c>
      <c r="N501" s="39">
        <v>0.26041666666667201</v>
      </c>
      <c r="O501" s="38">
        <f t="shared" si="505"/>
        <v>86.25</v>
      </c>
      <c r="P501" s="38">
        <f t="shared" si="493"/>
        <v>5.2248361178513711</v>
      </c>
      <c r="Q501" s="38">
        <f t="shared" si="494"/>
        <v>88.301939675400064</v>
      </c>
      <c r="T501" s="39">
        <v>0.26041666666667201</v>
      </c>
      <c r="U501" s="38">
        <f t="shared" si="506"/>
        <v>86.25</v>
      </c>
      <c r="V501" s="38">
        <f t="shared" si="495"/>
        <v>10.382459749151513</v>
      </c>
      <c r="W501" s="38">
        <f t="shared" si="496"/>
        <v>78.624229318809967</v>
      </c>
      <c r="Z501" s="39">
        <v>0.26041666666667201</v>
      </c>
      <c r="AA501" s="38">
        <f t="shared" si="507"/>
        <v>86.25</v>
      </c>
      <c r="AB501" s="38">
        <f t="shared" si="497"/>
        <v>13.613046915231564</v>
      </c>
      <c r="AC501" s="38">
        <f t="shared" si="498"/>
        <v>72.115019262386028</v>
      </c>
      <c r="AF501" s="39">
        <v>0.26041666666667201</v>
      </c>
      <c r="AG501" s="38">
        <f t="shared" si="508"/>
        <v>86.25</v>
      </c>
      <c r="AH501" s="38">
        <f t="shared" si="499"/>
        <v>14.232141959296721</v>
      </c>
      <c r="AI501" s="38">
        <f t="shared" si="500"/>
        <v>70.809669788281539</v>
      </c>
      <c r="AL501" s="39">
        <v>0.26041666666667201</v>
      </c>
      <c r="AM501" s="38">
        <f t="shared" si="509"/>
        <v>86.25</v>
      </c>
      <c r="AN501" s="38">
        <f t="shared" si="501"/>
        <v>0</v>
      </c>
      <c r="AO501" s="38">
        <f t="shared" si="502"/>
        <v>116.57086830691144</v>
      </c>
    </row>
    <row r="502" spans="2:41" x14ac:dyDescent="0.25">
      <c r="B502" s="39">
        <v>0.27083333333333898</v>
      </c>
      <c r="C502" s="38">
        <f t="shared" si="503"/>
        <v>82.5</v>
      </c>
      <c r="D502" s="38">
        <f t="shared" si="489"/>
        <v>0</v>
      </c>
      <c r="E502" s="38">
        <f t="shared" si="490"/>
        <v>110.14480796075449</v>
      </c>
      <c r="H502" s="39">
        <v>0.27083333333333898</v>
      </c>
      <c r="I502" s="38">
        <f t="shared" si="504"/>
        <v>82.5</v>
      </c>
      <c r="J502" s="38">
        <f t="shared" si="491"/>
        <v>2.4513254600836665</v>
      </c>
      <c r="K502" s="38">
        <f t="shared" si="492"/>
        <v>100.89519561539142</v>
      </c>
      <c r="N502" s="39">
        <v>0.27083333333333898</v>
      </c>
      <c r="O502" s="38">
        <f t="shared" si="505"/>
        <v>82.5</v>
      </c>
      <c r="P502" s="38">
        <f t="shared" si="493"/>
        <v>8.5016694215855537</v>
      </c>
      <c r="Q502" s="38">
        <f t="shared" si="494"/>
        <v>90.119615933503979</v>
      </c>
      <c r="T502" s="39">
        <v>0.27083333333333898</v>
      </c>
      <c r="U502" s="38">
        <f t="shared" si="506"/>
        <v>82.5</v>
      </c>
      <c r="V502" s="38">
        <f t="shared" si="495"/>
        <v>13.604468496767481</v>
      </c>
      <c r="W502" s="38">
        <f t="shared" si="496"/>
        <v>80.320102804730865</v>
      </c>
      <c r="Z502" s="39">
        <v>0.27083333333333898</v>
      </c>
      <c r="AA502" s="38">
        <f t="shared" si="507"/>
        <v>82.5</v>
      </c>
      <c r="AB502" s="38">
        <f t="shared" si="497"/>
        <v>16.74532951014211</v>
      </c>
      <c r="AC502" s="38">
        <f t="shared" si="498"/>
        <v>73.676564272932183</v>
      </c>
      <c r="AF502" s="39">
        <v>0.27083333333333898</v>
      </c>
      <c r="AG502" s="38">
        <f t="shared" si="508"/>
        <v>82.5</v>
      </c>
      <c r="AH502" s="38">
        <f t="shared" si="499"/>
        <v>17.341384212199728</v>
      </c>
      <c r="AI502" s="38">
        <f t="shared" si="500"/>
        <v>72.339857941509536</v>
      </c>
      <c r="AL502" s="39">
        <v>0.27083333333333898</v>
      </c>
      <c r="AM502" s="38">
        <f t="shared" si="509"/>
        <v>82.5</v>
      </c>
      <c r="AN502" s="38">
        <f t="shared" si="501"/>
        <v>0</v>
      </c>
      <c r="AO502" s="38">
        <f t="shared" si="502"/>
        <v>116.57086830691144</v>
      </c>
    </row>
    <row r="503" spans="2:41" x14ac:dyDescent="0.25">
      <c r="B503" s="39">
        <v>0.281250000000006</v>
      </c>
      <c r="C503" s="38">
        <f t="shared" si="503"/>
        <v>78.75</v>
      </c>
      <c r="D503" s="38">
        <f t="shared" si="489"/>
        <v>0.93431249689201767</v>
      </c>
      <c r="E503" s="38">
        <f t="shared" si="490"/>
        <v>110.70211741949838</v>
      </c>
      <c r="H503" s="39">
        <v>0.281250000000006</v>
      </c>
      <c r="I503" s="38">
        <f t="shared" si="504"/>
        <v>78.75</v>
      </c>
      <c r="J503" s="38">
        <f t="shared" si="491"/>
        <v>5.6588938422367825</v>
      </c>
      <c r="K503" s="38">
        <f t="shared" si="492"/>
        <v>102.76595097130003</v>
      </c>
      <c r="N503" s="39">
        <v>0.281250000000006</v>
      </c>
      <c r="O503" s="38">
        <f t="shared" si="505"/>
        <v>78.75</v>
      </c>
      <c r="P503" s="38">
        <f t="shared" si="493"/>
        <v>11.778277554284251</v>
      </c>
      <c r="Q503" s="38">
        <f t="shared" si="494"/>
        <v>91.95333172927613</v>
      </c>
      <c r="T503" s="39">
        <v>0.281250000000006</v>
      </c>
      <c r="U503" s="38">
        <f t="shared" si="506"/>
        <v>78.75</v>
      </c>
      <c r="V503" s="38">
        <f t="shared" si="495"/>
        <v>16.842735146975919</v>
      </c>
      <c r="W503" s="38">
        <f t="shared" si="496"/>
        <v>82.006171907360311</v>
      </c>
      <c r="Z503" s="39">
        <v>0.281250000000006</v>
      </c>
      <c r="AA503" s="38">
        <f t="shared" si="507"/>
        <v>78.75</v>
      </c>
      <c r="AB503" s="38">
        <f t="shared" si="497"/>
        <v>19.902477425593524</v>
      </c>
      <c r="AC503" s="38">
        <f t="shared" si="498"/>
        <v>75.208505156583556</v>
      </c>
      <c r="AF503" s="39">
        <v>0.281250000000006</v>
      </c>
      <c r="AG503" s="38">
        <f t="shared" si="508"/>
        <v>78.75</v>
      </c>
      <c r="AH503" s="38">
        <f t="shared" si="499"/>
        <v>20.476887020474013</v>
      </c>
      <c r="AI503" s="38">
        <f t="shared" si="500"/>
        <v>73.83631338575087</v>
      </c>
      <c r="AL503" s="39">
        <v>0.281250000000006</v>
      </c>
      <c r="AM503" s="38">
        <f t="shared" si="509"/>
        <v>78.75</v>
      </c>
      <c r="AN503" s="38">
        <f t="shared" si="501"/>
        <v>0</v>
      </c>
      <c r="AO503" s="38">
        <f t="shared" si="502"/>
        <v>116.57086830691144</v>
      </c>
    </row>
    <row r="504" spans="2:41" x14ac:dyDescent="0.25">
      <c r="B504" s="39">
        <v>0.29166666666667301</v>
      </c>
      <c r="C504" s="38">
        <f t="shared" si="503"/>
        <v>75</v>
      </c>
      <c r="D504" s="38">
        <f t="shared" si="489"/>
        <v>3.9806023907424599</v>
      </c>
      <c r="E504" s="38">
        <f t="shared" si="490"/>
        <v>112.5771078319798</v>
      </c>
      <c r="H504" s="39">
        <v>0.29166666666667301</v>
      </c>
      <c r="I504" s="38">
        <f t="shared" si="504"/>
        <v>75</v>
      </c>
      <c r="J504" s="38">
        <f t="shared" si="491"/>
        <v>8.8424843209748119</v>
      </c>
      <c r="K504" s="38">
        <f t="shared" si="492"/>
        <v>104.68802822282147</v>
      </c>
      <c r="N504" s="39">
        <v>0.29166666666667301</v>
      </c>
      <c r="O504" s="38">
        <f t="shared" si="505"/>
        <v>75</v>
      </c>
      <c r="P504" s="38">
        <f t="shared" si="493"/>
        <v>15.051271742006362</v>
      </c>
      <c r="Q504" s="38">
        <f t="shared" si="494"/>
        <v>93.815787356682009</v>
      </c>
      <c r="T504" s="39">
        <v>0.29166666666667301</v>
      </c>
      <c r="U504" s="38">
        <f t="shared" si="506"/>
        <v>75</v>
      </c>
      <c r="V504" s="38">
        <f t="shared" si="495"/>
        <v>20.094408212134532</v>
      </c>
      <c r="W504" s="38">
        <f t="shared" si="496"/>
        <v>83.69300591455243</v>
      </c>
      <c r="Z504" s="39">
        <v>0.29166666666667301</v>
      </c>
      <c r="AA504" s="38">
        <f t="shared" si="507"/>
        <v>75</v>
      </c>
      <c r="AB504" s="38">
        <f t="shared" si="497"/>
        <v>23.081833865003894</v>
      </c>
      <c r="AC504" s="38">
        <f t="shared" si="498"/>
        <v>76.718561537440678</v>
      </c>
      <c r="AF504" s="39">
        <v>0.29166666666667301</v>
      </c>
      <c r="AG504" s="38">
        <f t="shared" si="508"/>
        <v>75</v>
      </c>
      <c r="AH504" s="38">
        <f t="shared" si="499"/>
        <v>23.63600454935963</v>
      </c>
      <c r="AI504" s="38">
        <f t="shared" si="500"/>
        <v>75.306075969479892</v>
      </c>
      <c r="AL504" s="39">
        <v>0.29166666666667301</v>
      </c>
      <c r="AM504" s="38">
        <f t="shared" si="509"/>
        <v>75</v>
      </c>
      <c r="AN504" s="38">
        <f t="shared" si="501"/>
        <v>1.0425877010819102</v>
      </c>
      <c r="AO504" s="38">
        <f t="shared" si="502"/>
        <v>117.22586297915178</v>
      </c>
    </row>
    <row r="505" spans="2:41" x14ac:dyDescent="0.25">
      <c r="B505" s="39">
        <v>0.30208333333333998</v>
      </c>
      <c r="C505" s="38">
        <f t="shared" si="503"/>
        <v>71.25</v>
      </c>
      <c r="D505" s="38">
        <f t="shared" si="489"/>
        <v>6.9848965382721495</v>
      </c>
      <c r="E505" s="38">
        <f t="shared" si="490"/>
        <v>114.52594178789599</v>
      </c>
      <c r="H505" s="39">
        <v>0.30208333333333998</v>
      </c>
      <c r="I505" s="38">
        <f t="shared" si="504"/>
        <v>71.25</v>
      </c>
      <c r="J505" s="38">
        <f t="shared" si="491"/>
        <v>11.997722975509879</v>
      </c>
      <c r="K505" s="38">
        <f t="shared" si="492"/>
        <v>106.67407096407753</v>
      </c>
      <c r="N505" s="39">
        <v>0.30208333333333998</v>
      </c>
      <c r="O505" s="38">
        <f t="shared" si="505"/>
        <v>71.25</v>
      </c>
      <c r="P505" s="38">
        <f t="shared" si="493"/>
        <v>18.317081148338275</v>
      </c>
      <c r="Q505" s="38">
        <f t="shared" si="494"/>
        <v>95.720565560101377</v>
      </c>
      <c r="T505" s="39">
        <v>0.30208333333333998</v>
      </c>
      <c r="U505" s="38">
        <f t="shared" si="506"/>
        <v>71.25</v>
      </c>
      <c r="V505" s="38">
        <f t="shared" si="495"/>
        <v>23.356706677362645</v>
      </c>
      <c r="W505" s="38">
        <f t="shared" si="496"/>
        <v>85.391887846707746</v>
      </c>
      <c r="Z505" s="39">
        <v>0.30208333333333998</v>
      </c>
      <c r="AA505" s="38">
        <f t="shared" si="507"/>
        <v>71.25</v>
      </c>
      <c r="AB505" s="38">
        <f t="shared" si="497"/>
        <v>26.280937316511903</v>
      </c>
      <c r="AC505" s="38">
        <f t="shared" si="498"/>
        <v>78.214763234690579</v>
      </c>
      <c r="AF505" s="39">
        <v>0.30208333333333998</v>
      </c>
      <c r="AG505" s="38">
        <f t="shared" si="508"/>
        <v>71.25</v>
      </c>
      <c r="AH505" s="38">
        <f t="shared" si="499"/>
        <v>26.816302428045219</v>
      </c>
      <c r="AI505" s="38">
        <f t="shared" si="500"/>
        <v>76.756389670247245</v>
      </c>
      <c r="AL505" s="39">
        <v>0.30208333333333998</v>
      </c>
      <c r="AM505" s="38">
        <f t="shared" si="509"/>
        <v>71.25</v>
      </c>
      <c r="AN505" s="38">
        <f t="shared" si="501"/>
        <v>3.9317047480627632</v>
      </c>
      <c r="AO505" s="38">
        <f t="shared" si="502"/>
        <v>119.11619473496825</v>
      </c>
    </row>
    <row r="506" spans="2:41" x14ac:dyDescent="0.25">
      <c r="B506" s="39">
        <v>0.31250000000000699</v>
      </c>
      <c r="C506" s="38">
        <f t="shared" si="503"/>
        <v>67.5</v>
      </c>
      <c r="D506" s="38">
        <f t="shared" si="489"/>
        <v>9.9419021858772343</v>
      </c>
      <c r="E506" s="38">
        <f t="shared" si="490"/>
        <v>116.55936890670264</v>
      </c>
      <c r="H506" s="39">
        <v>0.31250000000000699</v>
      </c>
      <c r="I506" s="38">
        <f t="shared" si="504"/>
        <v>67.5</v>
      </c>
      <c r="J506" s="38">
        <f t="shared" si="491"/>
        <v>15.119715862375806</v>
      </c>
      <c r="K506" s="38">
        <f t="shared" si="492"/>
        <v>108.73760944398796</v>
      </c>
      <c r="N506" s="39">
        <v>0.31250000000000699</v>
      </c>
      <c r="O506" s="38">
        <f t="shared" si="505"/>
        <v>67.5</v>
      </c>
      <c r="P506" s="38">
        <f t="shared" si="493"/>
        <v>21.571848682913263</v>
      </c>
      <c r="Q506" s="38">
        <f t="shared" si="494"/>
        <v>97.682489105457122</v>
      </c>
      <c r="T506" s="39">
        <v>0.31250000000000699</v>
      </c>
      <c r="U506" s="38">
        <f t="shared" si="506"/>
        <v>67.5</v>
      </c>
      <c r="V506" s="38">
        <f t="shared" si="495"/>
        <v>26.626852300629036</v>
      </c>
      <c r="W506" s="38">
        <f t="shared" si="496"/>
        <v>87.115156347814008</v>
      </c>
      <c r="Z506" s="39">
        <v>0.31250000000000699</v>
      </c>
      <c r="AA506" s="38">
        <f t="shared" si="507"/>
        <v>67.5</v>
      </c>
      <c r="AB506" s="38">
        <f t="shared" si="497"/>
        <v>29.497481663761743</v>
      </c>
      <c r="AC506" s="38">
        <f t="shared" si="498"/>
        <v>79.705667903745379</v>
      </c>
      <c r="AF506" s="39">
        <v>0.31250000000000699</v>
      </c>
      <c r="AG506" s="38">
        <f t="shared" si="508"/>
        <v>67.5</v>
      </c>
      <c r="AH506" s="38">
        <f t="shared" si="499"/>
        <v>30.015522183197557</v>
      </c>
      <c r="AI506" s="38">
        <f t="shared" si="500"/>
        <v>78.194885172264662</v>
      </c>
      <c r="AL506" s="39">
        <v>0.31250000000000699</v>
      </c>
      <c r="AM506" s="38">
        <f t="shared" si="509"/>
        <v>67.5</v>
      </c>
      <c r="AN506" s="38">
        <f t="shared" si="501"/>
        <v>6.7669919116472963</v>
      </c>
      <c r="AO506" s="38">
        <f t="shared" si="502"/>
        <v>121.09326239230391</v>
      </c>
    </row>
    <row r="507" spans="2:41" x14ac:dyDescent="0.25">
      <c r="B507" s="39">
        <v>0.32291666666667401</v>
      </c>
      <c r="C507" s="38">
        <f t="shared" si="503"/>
        <v>63.75</v>
      </c>
      <c r="D507" s="38">
        <f t="shared" si="489"/>
        <v>12.845661301158438</v>
      </c>
      <c r="E507" s="38">
        <f t="shared" si="490"/>
        <v>118.68877858440862</v>
      </c>
      <c r="H507" s="39">
        <v>0.32291666666667401</v>
      </c>
      <c r="I507" s="38">
        <f t="shared" si="504"/>
        <v>63.75</v>
      </c>
      <c r="J507" s="38">
        <f t="shared" si="491"/>
        <v>18.202927787402345</v>
      </c>
      <c r="K507" s="38">
        <f t="shared" si="492"/>
        <v>110.89328742751351</v>
      </c>
      <c r="N507" s="39">
        <v>0.32291666666667401</v>
      </c>
      <c r="O507" s="38">
        <f t="shared" si="505"/>
        <v>63.75</v>
      </c>
      <c r="P507" s="38">
        <f t="shared" si="493"/>
        <v>24.811309009703319</v>
      </c>
      <c r="Q507" s="38">
        <f t="shared" si="494"/>
        <v>99.718036938710767</v>
      </c>
      <c r="T507" s="39">
        <v>0.32291666666667401</v>
      </c>
      <c r="U507" s="38">
        <f t="shared" si="506"/>
        <v>63.75</v>
      </c>
      <c r="V507" s="38">
        <f t="shared" si="495"/>
        <v>29.901993339964587</v>
      </c>
      <c r="W507" s="38">
        <f t="shared" si="496"/>
        <v>88.87663356136872</v>
      </c>
      <c r="Z507" s="39">
        <v>0.32291666666667401</v>
      </c>
      <c r="AA507" s="38">
        <f t="shared" si="507"/>
        <v>63.75</v>
      </c>
      <c r="AB507" s="38">
        <f t="shared" si="497"/>
        <v>32.729275782797934</v>
      </c>
      <c r="AC507" s="38">
        <f t="shared" si="498"/>
        <v>81.200639092786062</v>
      </c>
      <c r="AF507" s="39">
        <v>0.32291666666667401</v>
      </c>
      <c r="AG507" s="38">
        <f t="shared" si="508"/>
        <v>63.75</v>
      </c>
      <c r="AH507" s="38">
        <f t="shared" si="499"/>
        <v>33.231546345941183</v>
      </c>
      <c r="AI507" s="38">
        <f t="shared" si="500"/>
        <v>79.6298130154468</v>
      </c>
      <c r="AL507" s="39">
        <v>0.32291666666667401</v>
      </c>
      <c r="AM507" s="38">
        <f t="shared" si="509"/>
        <v>63.75</v>
      </c>
      <c r="AN507" s="38">
        <f t="shared" si="501"/>
        <v>9.5424491197324475</v>
      </c>
      <c r="AO507" s="38">
        <f t="shared" si="502"/>
        <v>123.16619289075763</v>
      </c>
    </row>
    <row r="508" spans="2:41" x14ac:dyDescent="0.25">
      <c r="B508" s="39">
        <v>0.33333333333334098</v>
      </c>
      <c r="C508" s="38">
        <f t="shared" si="503"/>
        <v>60</v>
      </c>
      <c r="D508" s="38">
        <f t="shared" si="489"/>
        <v>15.689450108647346</v>
      </c>
      <c r="E508" s="38">
        <f t="shared" si="490"/>
        <v>120.92625519511847</v>
      </c>
      <c r="H508" s="39">
        <v>0.33333333333334098</v>
      </c>
      <c r="I508" s="38">
        <f t="shared" si="504"/>
        <v>60</v>
      </c>
      <c r="J508" s="38">
        <f t="shared" si="491"/>
        <v>21.241041758651765</v>
      </c>
      <c r="K508" s="38">
        <f t="shared" si="492"/>
        <v>113.15708853016723</v>
      </c>
      <c r="N508" s="39">
        <v>0.33333333333334098</v>
      </c>
      <c r="O508" s="38">
        <f t="shared" si="505"/>
        <v>60</v>
      </c>
      <c r="P508" s="38">
        <f t="shared" si="493"/>
        <v>28.03064132064042</v>
      </c>
      <c r="Q508" s="38">
        <f t="shared" si="494"/>
        <v>101.84583698554694</v>
      </c>
      <c r="T508" s="39">
        <v>0.33333333333334098</v>
      </c>
      <c r="U508" s="38">
        <f t="shared" si="506"/>
        <v>60</v>
      </c>
      <c r="V508" s="38">
        <f t="shared" si="495"/>
        <v>33.179114183303909</v>
      </c>
      <c r="W508" s="38">
        <f t="shared" si="496"/>
        <v>90.692173646055892</v>
      </c>
      <c r="Z508" s="39">
        <v>0.33333333333334098</v>
      </c>
      <c r="AA508" s="38">
        <f t="shared" si="507"/>
        <v>60</v>
      </c>
      <c r="AB508" s="38">
        <f t="shared" si="497"/>
        <v>35.974200517974971</v>
      </c>
      <c r="AC508" s="38">
        <f t="shared" si="498"/>
        <v>82.710211003016923</v>
      </c>
      <c r="AF508" s="39">
        <v>0.33333333333334098</v>
      </c>
      <c r="AG508" s="38">
        <f t="shared" si="508"/>
        <v>60</v>
      </c>
      <c r="AH508" s="38">
        <f t="shared" si="499"/>
        <v>36.462362723804389</v>
      </c>
      <c r="AI508" s="38">
        <f t="shared" si="500"/>
        <v>81.070349439875727</v>
      </c>
      <c r="AL508" s="39">
        <v>0.33333333333334098</v>
      </c>
      <c r="AM508" s="38">
        <f t="shared" si="509"/>
        <v>60</v>
      </c>
      <c r="AN508" s="38">
        <f t="shared" si="501"/>
        <v>12.251377298592953</v>
      </c>
      <c r="AO508" s="38">
        <f t="shared" si="502"/>
        <v>125.34452095224731</v>
      </c>
    </row>
    <row r="509" spans="2:41" x14ac:dyDescent="0.25">
      <c r="B509" s="39">
        <v>0.34375000000000799</v>
      </c>
      <c r="C509" s="38">
        <f t="shared" si="503"/>
        <v>56.25</v>
      </c>
      <c r="D509" s="38">
        <f t="shared" si="489"/>
        <v>18.465669796710831</v>
      </c>
      <c r="E509" s="38">
        <f t="shared" si="490"/>
        <v>123.28459419408361</v>
      </c>
      <c r="H509" s="39">
        <v>0.34375000000000799</v>
      </c>
      <c r="I509" s="38">
        <f t="shared" si="504"/>
        <v>56.25</v>
      </c>
      <c r="J509" s="38">
        <f t="shared" si="491"/>
        <v>24.226795427541798</v>
      </c>
      <c r="K509" s="38">
        <f t="shared" si="492"/>
        <v>115.54655425603949</v>
      </c>
      <c r="N509" s="39">
        <v>0.34375000000000799</v>
      </c>
      <c r="O509" s="38">
        <f t="shared" si="505"/>
        <v>56.25</v>
      </c>
      <c r="P509" s="38">
        <f t="shared" si="493"/>
        <v>31.224287336900556</v>
      </c>
      <c r="Q509" s="38">
        <f t="shared" si="494"/>
        <v>104.08725617335617</v>
      </c>
      <c r="T509" s="39">
        <v>0.34375000000000799</v>
      </c>
      <c r="U509" s="38">
        <f t="shared" si="506"/>
        <v>56.25</v>
      </c>
      <c r="V509" s="38">
        <f t="shared" si="495"/>
        <v>36.454923161732175</v>
      </c>
      <c r="W509" s="38">
        <f t="shared" si="496"/>
        <v>92.580381462762588</v>
      </c>
      <c r="Z509" s="39">
        <v>0.34375000000000799</v>
      </c>
      <c r="AA509" s="38">
        <f t="shared" si="507"/>
        <v>56.25</v>
      </c>
      <c r="AB509" s="38">
        <f t="shared" si="497"/>
        <v>39.230160105746087</v>
      </c>
      <c r="AC509" s="38">
        <f t="shared" si="498"/>
        <v>84.246579785342263</v>
      </c>
      <c r="AF509" s="39">
        <v>0.34375000000000799</v>
      </c>
      <c r="AG509" s="38">
        <f t="shared" si="508"/>
        <v>56.25</v>
      </c>
      <c r="AH509" s="38">
        <f t="shared" si="499"/>
        <v>39.706025776532329</v>
      </c>
      <c r="AI509" s="38">
        <f t="shared" si="500"/>
        <v>82.527008733511849</v>
      </c>
      <c r="AL509" s="39">
        <v>0.34375000000000799</v>
      </c>
      <c r="AM509" s="38">
        <f t="shared" si="509"/>
        <v>56.25</v>
      </c>
      <c r="AN509" s="38">
        <f t="shared" si="501"/>
        <v>14.886303279823363</v>
      </c>
      <c r="AO509" s="38">
        <f t="shared" si="502"/>
        <v>127.63813328175564</v>
      </c>
    </row>
    <row r="510" spans="2:41" x14ac:dyDescent="0.25">
      <c r="B510" s="39">
        <v>0.35416666666667501</v>
      </c>
      <c r="C510" s="38">
        <f t="shared" si="503"/>
        <v>52.5</v>
      </c>
      <c r="D510" s="38">
        <f t="shared" si="489"/>
        <v>21.165730212534523</v>
      </c>
      <c r="E510" s="38">
        <f t="shared" si="490"/>
        <v>125.7772625091784</v>
      </c>
      <c r="H510" s="39">
        <v>0.35416666666667501</v>
      </c>
      <c r="I510" s="38">
        <f t="shared" si="504"/>
        <v>52.5</v>
      </c>
      <c r="J510" s="38">
        <f t="shared" si="491"/>
        <v>27.15179118044739</v>
      </c>
      <c r="K510" s="38">
        <f t="shared" si="492"/>
        <v>118.08097799360625</v>
      </c>
      <c r="N510" s="39">
        <v>0.35416666666667501</v>
      </c>
      <c r="O510" s="38">
        <f t="shared" si="505"/>
        <v>52.5</v>
      </c>
      <c r="P510" s="38">
        <f t="shared" si="493"/>
        <v>34.385722158930136</v>
      </c>
      <c r="Q510" s="38">
        <f t="shared" si="494"/>
        <v>106.46710982681223</v>
      </c>
      <c r="T510" s="39">
        <v>0.35416666666667501</v>
      </c>
      <c r="U510" s="38">
        <f t="shared" si="506"/>
        <v>52.5</v>
      </c>
      <c r="V510" s="38">
        <f t="shared" si="495"/>
        <v>39.725707391673502</v>
      </c>
      <c r="W510" s="38">
        <f t="shared" si="496"/>
        <v>94.563573092330401</v>
      </c>
      <c r="Z510" s="39">
        <v>0.35416666666667501</v>
      </c>
      <c r="AA510" s="38">
        <f t="shared" si="507"/>
        <v>52.5</v>
      </c>
      <c r="AB510" s="38">
        <f t="shared" si="497"/>
        <v>42.495023757793398</v>
      </c>
      <c r="AC510" s="38">
        <f t="shared" si="498"/>
        <v>85.824282836310999</v>
      </c>
      <c r="AF510" s="39">
        <v>0.35416666666667501</v>
      </c>
      <c r="AG510" s="38">
        <f t="shared" si="508"/>
        <v>52.5</v>
      </c>
      <c r="AH510" s="38">
        <f t="shared" si="499"/>
        <v>42.96061211769922</v>
      </c>
      <c r="AI510" s="38">
        <f t="shared" si="500"/>
        <v>84.012214678363549</v>
      </c>
      <c r="AL510" s="39">
        <v>0.35416666666667501</v>
      </c>
      <c r="AM510" s="38">
        <f t="shared" si="509"/>
        <v>52.5</v>
      </c>
      <c r="AN510" s="38">
        <f t="shared" si="501"/>
        <v>17.43890578214755</v>
      </c>
      <c r="AO510" s="38">
        <f t="shared" si="502"/>
        <v>130.05716000222259</v>
      </c>
    </row>
    <row r="511" spans="2:41" x14ac:dyDescent="0.25">
      <c r="B511" s="39">
        <v>0.36458333333334197</v>
      </c>
      <c r="C511" s="38">
        <f t="shared" si="503"/>
        <v>48.75</v>
      </c>
      <c r="D511" s="38">
        <f t="shared" si="489"/>
        <v>23.779930338375731</v>
      </c>
      <c r="E511" s="38">
        <f t="shared" si="490"/>
        <v>128.41828038454514</v>
      </c>
      <c r="H511" s="39">
        <v>0.36458333333334197</v>
      </c>
      <c r="I511" s="38">
        <f t="shared" si="504"/>
        <v>48.75</v>
      </c>
      <c r="J511" s="38">
        <f t="shared" si="491"/>
        <v>30.006277614225631</v>
      </c>
      <c r="K511" s="38">
        <f t="shared" si="492"/>
        <v>120.78154732364752</v>
      </c>
      <c r="N511" s="39">
        <v>0.36458333333334197</v>
      </c>
      <c r="O511" s="38">
        <f t="shared" si="505"/>
        <v>48.75</v>
      </c>
      <c r="P511" s="38">
        <f t="shared" si="493"/>
        <v>37.507161881970838</v>
      </c>
      <c r="Q511" s="38">
        <f t="shared" si="494"/>
        <v>109.01451125006722</v>
      </c>
      <c r="T511" s="39">
        <v>0.36458333333334197</v>
      </c>
      <c r="U511" s="38">
        <f t="shared" si="506"/>
        <v>48.75</v>
      </c>
      <c r="V511" s="38">
        <f t="shared" si="495"/>
        <v>42.987138064766839</v>
      </c>
      <c r="W511" s="38">
        <f t="shared" si="496"/>
        <v>96.669083066016839</v>
      </c>
      <c r="Z511" s="39">
        <v>0.36458333333334197</v>
      </c>
      <c r="AA511" s="38">
        <f t="shared" si="507"/>
        <v>48.75</v>
      </c>
      <c r="AB511" s="38">
        <f t="shared" si="497"/>
        <v>45.766550833953623</v>
      </c>
      <c r="AC511" s="38">
        <f t="shared" si="498"/>
        <v>87.461163088077541</v>
      </c>
      <c r="AF511" s="39">
        <v>0.36458333333334197</v>
      </c>
      <c r="AG511" s="38">
        <f t="shared" si="508"/>
        <v>48.75</v>
      </c>
      <c r="AH511" s="38">
        <f t="shared" si="499"/>
        <v>46.224165608624986</v>
      </c>
      <c r="AI511" s="38">
        <f t="shared" si="500"/>
        <v>85.541114838437892</v>
      </c>
      <c r="AL511" s="39">
        <v>0.36458333333334197</v>
      </c>
      <c r="AM511" s="38">
        <f t="shared" si="509"/>
        <v>48.75</v>
      </c>
      <c r="AN511" s="38">
        <f t="shared" si="501"/>
        <v>19.899947289311033</v>
      </c>
      <c r="AO511" s="38">
        <f t="shared" si="502"/>
        <v>132.61179780419786</v>
      </c>
    </row>
    <row r="512" spans="2:41" x14ac:dyDescent="0.25">
      <c r="B512" s="39">
        <v>0.37500000000000899</v>
      </c>
      <c r="C512" s="38">
        <f t="shared" si="503"/>
        <v>45</v>
      </c>
      <c r="D512" s="38">
        <f t="shared" si="489"/>
        <v>26.297342212361595</v>
      </c>
      <c r="E512" s="38">
        <f t="shared" si="490"/>
        <v>131.22199491730089</v>
      </c>
      <c r="H512" s="39">
        <v>0.37500000000000899</v>
      </c>
      <c r="I512" s="38">
        <f t="shared" si="504"/>
        <v>45</v>
      </c>
      <c r="J512" s="38">
        <f t="shared" si="491"/>
        <v>32.778902474630826</v>
      </c>
      <c r="K512" s="38">
        <f t="shared" si="492"/>
        <v>123.67138966374844</v>
      </c>
      <c r="N512" s="39">
        <v>0.37500000000000899</v>
      </c>
      <c r="O512" s="38">
        <f t="shared" si="505"/>
        <v>45</v>
      </c>
      <c r="P512" s="38">
        <f t="shared" si="493"/>
        <v>40.579187314260722</v>
      </c>
      <c r="Q512" s="38">
        <f t="shared" si="494"/>
        <v>111.76387408261022</v>
      </c>
      <c r="T512" s="39">
        <v>0.37500000000000899</v>
      </c>
      <c r="U512" s="38">
        <f t="shared" si="506"/>
        <v>45</v>
      </c>
      <c r="V512" s="38">
        <f t="shared" si="495"/>
        <v>46.234000924702507</v>
      </c>
      <c r="W512" s="38">
        <f t="shared" si="496"/>
        <v>98.931073312987834</v>
      </c>
      <c r="Z512" s="39">
        <v>0.37500000000000899</v>
      </c>
      <c r="AA512" s="38">
        <f t="shared" si="507"/>
        <v>45</v>
      </c>
      <c r="AB512" s="38">
        <f t="shared" si="497"/>
        <v>49.04228910837859</v>
      </c>
      <c r="AC512" s="38">
        <f t="shared" si="498"/>
        <v>89.179775376606813</v>
      </c>
      <c r="AF512" s="39">
        <v>0.37500000000000899</v>
      </c>
      <c r="AG512" s="38">
        <f t="shared" si="508"/>
        <v>45</v>
      </c>
      <c r="AH512" s="38">
        <f t="shared" si="499"/>
        <v>49.494624805188728</v>
      </c>
      <c r="AI512" s="38">
        <f t="shared" si="500"/>
        <v>87.132774729162193</v>
      </c>
      <c r="AL512" s="39">
        <v>0.37500000000000899</v>
      </c>
      <c r="AM512" s="38">
        <f t="shared" si="509"/>
        <v>45</v>
      </c>
      <c r="AN512" s="38">
        <f t="shared" si="501"/>
        <v>22.259218825541542</v>
      </c>
      <c r="AO512" s="38">
        <f t="shared" si="502"/>
        <v>135.31204694577815</v>
      </c>
    </row>
    <row r="513" spans="2:41" x14ac:dyDescent="0.25">
      <c r="B513" s="39">
        <v>0.38541666666667601</v>
      </c>
      <c r="C513" s="38">
        <f t="shared" si="503"/>
        <v>41.25</v>
      </c>
      <c r="D513" s="38">
        <f t="shared" si="489"/>
        <v>28.705708936178901</v>
      </c>
      <c r="E513" s="38">
        <f t="shared" si="490"/>
        <v>134.20270878401178</v>
      </c>
      <c r="H513" s="39">
        <v>0.38541666666667601</v>
      </c>
      <c r="I513" s="38">
        <f t="shared" si="504"/>
        <v>41.25</v>
      </c>
      <c r="J513" s="38">
        <f t="shared" si="491"/>
        <v>35.45644159934281</v>
      </c>
      <c r="K513" s="38">
        <f t="shared" si="492"/>
        <v>126.77545203792891</v>
      </c>
      <c r="N513" s="39">
        <v>0.38541666666667601</v>
      </c>
      <c r="O513" s="38">
        <f t="shared" si="505"/>
        <v>41.25</v>
      </c>
      <c r="P513" s="38">
        <f t="shared" si="493"/>
        <v>43.590258007807279</v>
      </c>
      <c r="Q513" s="38">
        <f t="shared" si="494"/>
        <v>114.75605713389055</v>
      </c>
      <c r="T513" s="39">
        <v>0.38541666666667601</v>
      </c>
      <c r="U513" s="38">
        <f t="shared" si="506"/>
        <v>41.25</v>
      </c>
      <c r="V513" s="38">
        <f t="shared" si="495"/>
        <v>49.459812598063799</v>
      </c>
      <c r="W513" s="38">
        <f t="shared" si="496"/>
        <v>101.39307426076078</v>
      </c>
      <c r="Z513" s="39">
        <v>0.38541666666667601</v>
      </c>
      <c r="AA513" s="38">
        <f t="shared" si="507"/>
        <v>41.25</v>
      </c>
      <c r="AB513" s="38">
        <f t="shared" si="497"/>
        <v>52.319428670327412</v>
      </c>
      <c r="AC513" s="38">
        <f t="shared" si="498"/>
        <v>91.009496805368997</v>
      </c>
      <c r="AF513" s="39">
        <v>0.38541666666667601</v>
      </c>
      <c r="AG513" s="38">
        <f t="shared" si="508"/>
        <v>41.25</v>
      </c>
      <c r="AH513" s="38">
        <f t="shared" si="499"/>
        <v>52.769720664377957</v>
      </c>
      <c r="AI513" s="38">
        <f t="shared" si="500"/>
        <v>88.81198326588455</v>
      </c>
      <c r="AL513" s="39">
        <v>0.38541666666667601</v>
      </c>
      <c r="AM513" s="38">
        <f t="shared" si="509"/>
        <v>41.25</v>
      </c>
      <c r="AN513" s="38">
        <f t="shared" si="501"/>
        <v>24.505507292084097</v>
      </c>
      <c r="AO513" s="38">
        <f t="shared" si="502"/>
        <v>138.16734330797073</v>
      </c>
    </row>
    <row r="514" spans="2:41" x14ac:dyDescent="0.25">
      <c r="B514" s="39">
        <v>0.39583333333334297</v>
      </c>
      <c r="C514" s="38">
        <f t="shared" si="503"/>
        <v>37.5</v>
      </c>
      <c r="D514" s="38">
        <f t="shared" si="489"/>
        <v>30.991372620610438</v>
      </c>
      <c r="E514" s="38">
        <f t="shared" si="490"/>
        <v>137.37412293128529</v>
      </c>
      <c r="H514" s="39">
        <v>0.39583333333334297</v>
      </c>
      <c r="I514" s="38">
        <f t="shared" si="504"/>
        <v>37.5</v>
      </c>
      <c r="J514" s="38">
        <f t="shared" si="491"/>
        <v>38.023516172043877</v>
      </c>
      <c r="K514" s="38">
        <f t="shared" si="492"/>
        <v>130.12011395158518</v>
      </c>
      <c r="N514" s="39">
        <v>0.39583333333334297</v>
      </c>
      <c r="O514" s="38">
        <f t="shared" si="505"/>
        <v>37.5</v>
      </c>
      <c r="P514" s="38">
        <f t="shared" si="493"/>
        <v>46.526086303943565</v>
      </c>
      <c r="Q514" s="38">
        <f t="shared" si="494"/>
        <v>118.03958931708698</v>
      </c>
      <c r="T514" s="39">
        <v>0.39583333333334297</v>
      </c>
      <c r="U514" s="38">
        <f t="shared" si="506"/>
        <v>37.5</v>
      </c>
      <c r="V514" s="38">
        <f t="shared" si="495"/>
        <v>52.656260335367804</v>
      </c>
      <c r="W514" s="38">
        <f t="shared" si="496"/>
        <v>104.11160019876351</v>
      </c>
      <c r="Z514" s="39">
        <v>0.39583333333334297</v>
      </c>
      <c r="AA514" s="38">
        <f t="shared" si="507"/>
        <v>37.5</v>
      </c>
      <c r="AB514" s="38">
        <f t="shared" si="497"/>
        <v>55.594581223038837</v>
      </c>
      <c r="AC514" s="38">
        <f t="shared" si="498"/>
        <v>92.989792229720422</v>
      </c>
      <c r="AF514" s="39">
        <v>0.39583333333334297</v>
      </c>
      <c r="AG514" s="38">
        <f t="shared" si="508"/>
        <v>37.5</v>
      </c>
      <c r="AH514" s="38">
        <f t="shared" si="499"/>
        <v>56.046823385268709</v>
      </c>
      <c r="AI514" s="38">
        <f t="shared" si="500"/>
        <v>90.61207438362122</v>
      </c>
      <c r="AL514" s="39">
        <v>0.39583333333334297</v>
      </c>
      <c r="AM514" s="38">
        <f t="shared" si="509"/>
        <v>37.5</v>
      </c>
      <c r="AN514" s="38">
        <f t="shared" si="501"/>
        <v>26.626598034991446</v>
      </c>
      <c r="AO514" s="38">
        <f t="shared" si="502"/>
        <v>141.18606855224019</v>
      </c>
    </row>
    <row r="515" spans="2:41" x14ac:dyDescent="0.25">
      <c r="B515" s="39">
        <v>0.40625000000000999</v>
      </c>
      <c r="C515" s="38">
        <f t="shared" si="503"/>
        <v>33.75</v>
      </c>
      <c r="D515" s="38">
        <f t="shared" si="489"/>
        <v>33.13925442520032</v>
      </c>
      <c r="E515" s="38">
        <f t="shared" si="490"/>
        <v>140.74855254966261</v>
      </c>
      <c r="H515" s="39">
        <v>0.40625000000000999</v>
      </c>
      <c r="I515" s="38">
        <f t="shared" si="504"/>
        <v>33.75</v>
      </c>
      <c r="J515" s="38">
        <f t="shared" si="491"/>
        <v>40.462323140338867</v>
      </c>
      <c r="K515" s="38">
        <f t="shared" si="492"/>
        <v>133.73239482747636</v>
      </c>
      <c r="N515" s="39">
        <v>0.40625000000000999</v>
      </c>
      <c r="O515" s="38">
        <f t="shared" si="505"/>
        <v>33.75</v>
      </c>
      <c r="P515" s="38">
        <f t="shared" si="493"/>
        <v>49.368840247490724</v>
      </c>
      <c r="Q515" s="38">
        <f t="shared" si="494"/>
        <v>121.67180516597313</v>
      </c>
      <c r="T515" s="39">
        <v>0.40625000000000999</v>
      </c>
      <c r="U515" s="38">
        <f t="shared" si="506"/>
        <v>33.75</v>
      </c>
      <c r="V515" s="38">
        <f t="shared" si="495"/>
        <v>55.812364414492947</v>
      </c>
      <c r="W515" s="38">
        <f t="shared" si="496"/>
        <v>107.16133887200536</v>
      </c>
      <c r="Z515" s="39">
        <v>0.40625000000000999</v>
      </c>
      <c r="AA515" s="38">
        <f t="shared" si="507"/>
        <v>33.75</v>
      </c>
      <c r="AB515" s="38">
        <f t="shared" si="497"/>
        <v>58.863430130174407</v>
      </c>
      <c r="AC515" s="38">
        <f t="shared" si="498"/>
        <v>95.17544040926218</v>
      </c>
      <c r="AF515" s="39">
        <v>0.40625000000000999</v>
      </c>
      <c r="AG515" s="38">
        <f t="shared" si="508"/>
        <v>33.75</v>
      </c>
      <c r="AH515" s="38">
        <f t="shared" si="499"/>
        <v>59.322699706541478</v>
      </c>
      <c r="AI515" s="38">
        <f t="shared" si="500"/>
        <v>92.579502568460512</v>
      </c>
      <c r="AL515" s="39">
        <v>0.40625000000000999</v>
      </c>
      <c r="AM515" s="38">
        <f t="shared" si="509"/>
        <v>33.75</v>
      </c>
      <c r="AN515" s="38">
        <f t="shared" si="501"/>
        <v>28.609328312721424</v>
      </c>
      <c r="AO515" s="38">
        <f t="shared" si="502"/>
        <v>144.37492789342167</v>
      </c>
    </row>
    <row r="516" spans="2:41" x14ac:dyDescent="0.25">
      <c r="B516" s="39">
        <v>0.41666666666667701</v>
      </c>
      <c r="C516" s="38">
        <f t="shared" si="503"/>
        <v>30</v>
      </c>
      <c r="D516" s="38">
        <f t="shared" si="489"/>
        <v>35.132915612826856</v>
      </c>
      <c r="E516" s="38">
        <f t="shared" si="490"/>
        <v>144.33588641082156</v>
      </c>
      <c r="H516" s="39">
        <v>0.41666666666667701</v>
      </c>
      <c r="I516" s="38">
        <f t="shared" si="504"/>
        <v>30</v>
      </c>
      <c r="J516" s="38">
        <f t="shared" si="491"/>
        <v>42.752422426604682</v>
      </c>
      <c r="K516" s="38">
        <f t="shared" si="492"/>
        <v>137.63858177436344</v>
      </c>
      <c r="N516" s="39">
        <v>0.41666666666667701</v>
      </c>
      <c r="O516" s="38">
        <f t="shared" si="505"/>
        <v>30</v>
      </c>
      <c r="P516" s="38">
        <f t="shared" si="493"/>
        <v>52.096153918797427</v>
      </c>
      <c r="Q516" s="38">
        <f t="shared" si="494"/>
        <v>125.71951693085082</v>
      </c>
      <c r="T516" s="39">
        <v>0.41666666666667701</v>
      </c>
      <c r="U516" s="38">
        <f t="shared" si="506"/>
        <v>30</v>
      </c>
      <c r="V516" s="38">
        <f t="shared" si="495"/>
        <v>58.913198956609463</v>
      </c>
      <c r="W516" s="38">
        <f t="shared" si="496"/>
        <v>110.64261236918068</v>
      </c>
      <c r="Z516" s="39">
        <v>0.41666666666667701</v>
      </c>
      <c r="AA516" s="38">
        <f t="shared" si="507"/>
        <v>30</v>
      </c>
      <c r="AB516" s="38">
        <f t="shared" si="497"/>
        <v>62.120147714715685</v>
      </c>
      <c r="AC516" s="38">
        <f t="shared" si="498"/>
        <v>97.645217635946267</v>
      </c>
      <c r="AF516" s="39">
        <v>0.41666666666667701</v>
      </c>
      <c r="AG516" s="38">
        <f t="shared" si="508"/>
        <v>30</v>
      </c>
      <c r="AH516" s="38">
        <f t="shared" si="499"/>
        <v>62.593106094089499</v>
      </c>
      <c r="AI516" s="38">
        <f t="shared" si="500"/>
        <v>94.781580028246267</v>
      </c>
      <c r="AL516" s="39">
        <v>0.41666666666667701</v>
      </c>
      <c r="AM516" s="38">
        <f t="shared" si="509"/>
        <v>30</v>
      </c>
      <c r="AN516" s="38">
        <f t="shared" si="501"/>
        <v>30.439709654260056</v>
      </c>
      <c r="AO516" s="38">
        <f t="shared" si="502"/>
        <v>147.73819825211658</v>
      </c>
    </row>
    <row r="517" spans="2:41" x14ac:dyDescent="0.25">
      <c r="B517" s="39">
        <v>0.42708333333334397</v>
      </c>
      <c r="C517" s="38">
        <f t="shared" si="503"/>
        <v>26.25</v>
      </c>
      <c r="D517" s="38">
        <f t="shared" si="489"/>
        <v>36.954734293761113</v>
      </c>
      <c r="E517" s="38">
        <f t="shared" si="490"/>
        <v>148.14228700663386</v>
      </c>
      <c r="H517" s="39">
        <v>0.42708333333334397</v>
      </c>
      <c r="I517" s="38">
        <f t="shared" si="504"/>
        <v>26.25</v>
      </c>
      <c r="J517" s="38">
        <f t="shared" si="491"/>
        <v>44.870650074713652</v>
      </c>
      <c r="K517" s="38">
        <f t="shared" si="492"/>
        <v>141.86208773002306</v>
      </c>
      <c r="N517" s="39">
        <v>0.42708333333334397</v>
      </c>
      <c r="O517" s="38">
        <f t="shared" si="505"/>
        <v>26.25</v>
      </c>
      <c r="P517" s="38">
        <f t="shared" si="493"/>
        <v>54.6799580245643</v>
      </c>
      <c r="Q517" s="38">
        <f t="shared" si="494"/>
        <v>130.25848836531455</v>
      </c>
      <c r="T517" s="39">
        <v>0.42708333333334397</v>
      </c>
      <c r="U517" s="38">
        <f t="shared" si="506"/>
        <v>26.25</v>
      </c>
      <c r="V517" s="38">
        <f t="shared" si="495"/>
        <v>61.937903656407016</v>
      </c>
      <c r="W517" s="38">
        <f t="shared" si="496"/>
        <v>114.69196284152088</v>
      </c>
      <c r="Z517" s="39">
        <v>0.42708333333334397</v>
      </c>
      <c r="AA517" s="38">
        <f t="shared" si="507"/>
        <v>26.25</v>
      </c>
      <c r="AB517" s="38">
        <f t="shared" si="497"/>
        <v>65.356373345511315</v>
      </c>
      <c r="AC517" s="38">
        <f t="shared" si="498"/>
        <v>100.51694281614662</v>
      </c>
      <c r="AF517" s="39">
        <v>0.42708333333334397</v>
      </c>
      <c r="AG517" s="38">
        <f t="shared" si="508"/>
        <v>26.25</v>
      </c>
      <c r="AH517" s="38">
        <f t="shared" si="499"/>
        <v>65.852065383625572</v>
      </c>
      <c r="AI517" s="38">
        <f t="shared" si="500"/>
        <v>97.320207125180872</v>
      </c>
      <c r="AL517" s="39">
        <v>0.42708333333334397</v>
      </c>
      <c r="AM517" s="38">
        <f t="shared" si="509"/>
        <v>26.25</v>
      </c>
      <c r="AN517" s="38">
        <f t="shared" si="501"/>
        <v>32.103137689028557</v>
      </c>
      <c r="AO517" s="38">
        <f t="shared" si="502"/>
        <v>151.27687148239153</v>
      </c>
    </row>
    <row r="518" spans="2:41" x14ac:dyDescent="0.25">
      <c r="B518" s="39">
        <v>0.43750000000001099</v>
      </c>
      <c r="C518" s="38">
        <f t="shared" si="503"/>
        <v>22.5</v>
      </c>
      <c r="D518" s="38">
        <f t="shared" si="489"/>
        <v>38.586234675889074</v>
      </c>
      <c r="E518" s="38">
        <f t="shared" si="490"/>
        <v>152.1686791332223</v>
      </c>
      <c r="H518" s="39">
        <v>0.43750000000001099</v>
      </c>
      <c r="I518" s="38">
        <f t="shared" si="504"/>
        <v>22.5</v>
      </c>
      <c r="J518" s="38">
        <f t="shared" si="491"/>
        <v>46.791256419696218</v>
      </c>
      <c r="K518" s="38">
        <f t="shared" si="492"/>
        <v>146.42038816407361</v>
      </c>
      <c r="N518" s="39">
        <v>0.43750000000001099</v>
      </c>
      <c r="O518" s="38">
        <f t="shared" si="505"/>
        <v>22.5</v>
      </c>
      <c r="P518" s="38">
        <f t="shared" si="493"/>
        <v>57.085227950933245</v>
      </c>
      <c r="Q518" s="38">
        <f t="shared" si="494"/>
        <v>135.37040516162483</v>
      </c>
      <c r="T518" s="39">
        <v>0.43750000000001099</v>
      </c>
      <c r="U518" s="38">
        <f t="shared" si="506"/>
        <v>22.5</v>
      </c>
      <c r="V518" s="38">
        <f t="shared" si="495"/>
        <v>64.85656185960751</v>
      </c>
      <c r="W518" s="38">
        <f t="shared" si="496"/>
        <v>119.49650182395177</v>
      </c>
      <c r="Z518" s="39">
        <v>0.43750000000001099</v>
      </c>
      <c r="AA518" s="38">
        <f t="shared" si="507"/>
        <v>22.5</v>
      </c>
      <c r="AB518" s="38">
        <f t="shared" si="497"/>
        <v>68.559315678555663</v>
      </c>
      <c r="AC518" s="38">
        <f t="shared" si="498"/>
        <v>103.97477635578694</v>
      </c>
      <c r="AF518" s="39">
        <v>0.43750000000001099</v>
      </c>
      <c r="AG518" s="38">
        <f t="shared" si="508"/>
        <v>22.5</v>
      </c>
      <c r="AH518" s="38">
        <f t="shared" si="499"/>
        <v>69.090493335033685</v>
      </c>
      <c r="AI518" s="38">
        <f t="shared" si="500"/>
        <v>100.35764369223884</v>
      </c>
      <c r="AL518" s="39">
        <v>0.43750000000001099</v>
      </c>
      <c r="AM518" s="38">
        <f t="shared" si="509"/>
        <v>22.5</v>
      </c>
      <c r="AN518" s="38">
        <f t="shared" si="501"/>
        <v>33.584705474254456</v>
      </c>
      <c r="AO518" s="38">
        <f t="shared" si="502"/>
        <v>154.98774850536256</v>
      </c>
    </row>
    <row r="519" spans="2:41" x14ac:dyDescent="0.25">
      <c r="B519" s="39">
        <v>0.44791666666667801</v>
      </c>
      <c r="C519" s="38">
        <f t="shared" si="503"/>
        <v>18.75</v>
      </c>
      <c r="D519" s="38">
        <f t="shared" si="489"/>
        <v>40.008600423503495</v>
      </c>
      <c r="E519" s="38">
        <f t="shared" si="490"/>
        <v>156.40915005874612</v>
      </c>
      <c r="H519" s="39">
        <v>0.44791666666667801</v>
      </c>
      <c r="I519" s="38">
        <f t="shared" si="504"/>
        <v>18.75</v>
      </c>
      <c r="J519" s="38">
        <f t="shared" si="491"/>
        <v>48.486394640260585</v>
      </c>
      <c r="K519" s="38">
        <f t="shared" si="492"/>
        <v>151.32102682859207</v>
      </c>
      <c r="N519" s="39">
        <v>0.44791666666667801</v>
      </c>
      <c r="O519" s="38">
        <f t="shared" si="505"/>
        <v>18.75</v>
      </c>
      <c r="P519" s="38">
        <f t="shared" si="493"/>
        <v>59.268918970625663</v>
      </c>
      <c r="Q519" s="38">
        <f t="shared" si="494"/>
        <v>141.13530250393069</v>
      </c>
      <c r="T519" s="39">
        <v>0.44791666666667801</v>
      </c>
      <c r="U519" s="38">
        <f t="shared" si="506"/>
        <v>18.75</v>
      </c>
      <c r="V519" s="38">
        <f t="shared" si="495"/>
        <v>67.625326772187762</v>
      </c>
      <c r="W519" s="38">
        <f t="shared" si="496"/>
        <v>125.31097935928398</v>
      </c>
      <c r="Z519" s="39">
        <v>0.44791666666667801</v>
      </c>
      <c r="AA519" s="38">
        <f t="shared" si="507"/>
        <v>18.75</v>
      </c>
      <c r="AB519" s="38">
        <f t="shared" si="497"/>
        <v>71.707994207809435</v>
      </c>
      <c r="AC519" s="38">
        <f t="shared" si="498"/>
        <v>108.32122597124561</v>
      </c>
      <c r="AF519" s="39">
        <v>0.44791666666667801</v>
      </c>
      <c r="AG519" s="38">
        <f t="shared" si="508"/>
        <v>18.75</v>
      </c>
      <c r="AH519" s="38">
        <f t="shared" si="499"/>
        <v>72.293384766068968</v>
      </c>
      <c r="AI519" s="38">
        <f t="shared" si="500"/>
        <v>104.1681266407447</v>
      </c>
      <c r="AL519" s="39">
        <v>0.44791666666667801</v>
      </c>
      <c r="AM519" s="38">
        <f t="shared" si="509"/>
        <v>18.75</v>
      </c>
      <c r="AN519" s="38">
        <f t="shared" si="501"/>
        <v>34.869629107521455</v>
      </c>
      <c r="AO519" s="38">
        <f t="shared" si="502"/>
        <v>158.86257803594248</v>
      </c>
    </row>
    <row r="520" spans="2:41" x14ac:dyDescent="0.25">
      <c r="B520" s="39">
        <v>0.45833333333334503</v>
      </c>
      <c r="C520" s="38">
        <f t="shared" si="503"/>
        <v>15</v>
      </c>
      <c r="D520" s="38">
        <f t="shared" si="489"/>
        <v>41.203386965463082</v>
      </c>
      <c r="E520" s="38">
        <f t="shared" si="490"/>
        <v>160.84947792309023</v>
      </c>
      <c r="H520" s="39">
        <v>0.45833333333334503</v>
      </c>
      <c r="I520" s="38">
        <f t="shared" si="504"/>
        <v>15</v>
      </c>
      <c r="J520" s="38">
        <f t="shared" si="491"/>
        <v>49.927090631227195</v>
      </c>
      <c r="K520" s="38">
        <f t="shared" si="492"/>
        <v>156.55697888534539</v>
      </c>
      <c r="N520" s="39">
        <v>0.45833333333334503</v>
      </c>
      <c r="O520" s="38">
        <f t="shared" si="505"/>
        <v>15</v>
      </c>
      <c r="P520" s="38">
        <f t="shared" si="493"/>
        <v>61.179653601104718</v>
      </c>
      <c r="Q520" s="38">
        <f t="shared" si="494"/>
        <v>147.61688935411229</v>
      </c>
      <c r="T520" s="39">
        <v>0.45833333333334503</v>
      </c>
      <c r="U520" s="38">
        <f t="shared" si="506"/>
        <v>15</v>
      </c>
      <c r="V520" s="38">
        <f t="shared" si="495"/>
        <v>70.179120424793908</v>
      </c>
      <c r="W520" s="38">
        <f t="shared" si="496"/>
        <v>132.47024428392857</v>
      </c>
      <c r="Z520" s="39">
        <v>0.45833333333334503</v>
      </c>
      <c r="AA520" s="38">
        <f t="shared" si="507"/>
        <v>15</v>
      </c>
      <c r="AB520" s="38">
        <f t="shared" si="497"/>
        <v>74.765245687919915</v>
      </c>
      <c r="AC520" s="38">
        <f t="shared" si="498"/>
        <v>114.0806639695666</v>
      </c>
      <c r="AF520" s="39">
        <v>0.45833333333334503</v>
      </c>
      <c r="AG520" s="38">
        <f t="shared" si="508"/>
        <v>15</v>
      </c>
      <c r="AH520" s="38">
        <f t="shared" si="499"/>
        <v>75.433504705998018</v>
      </c>
      <c r="AI520" s="38">
        <f t="shared" si="500"/>
        <v>109.24906860936896</v>
      </c>
      <c r="AL520" s="39">
        <v>0.45833333333334503</v>
      </c>
      <c r="AM520" s="38">
        <f t="shared" si="509"/>
        <v>15</v>
      </c>
      <c r="AN520" s="38">
        <f t="shared" si="501"/>
        <v>35.943781380086349</v>
      </c>
      <c r="AO520" s="38">
        <f t="shared" si="502"/>
        <v>162.88737099929463</v>
      </c>
    </row>
    <row r="521" spans="2:41" x14ac:dyDescent="0.25">
      <c r="B521" s="39">
        <v>0.46875000000001199</v>
      </c>
      <c r="C521" s="38">
        <f t="shared" si="503"/>
        <v>11.25</v>
      </c>
      <c r="D521" s="38">
        <f t="shared" si="489"/>
        <v>42.153416478788429</v>
      </c>
      <c r="E521" s="38">
        <f t="shared" si="490"/>
        <v>165.46609328345443</v>
      </c>
      <c r="H521" s="39">
        <v>0.46875000000001199</v>
      </c>
      <c r="I521" s="38">
        <f t="shared" si="504"/>
        <v>11.25</v>
      </c>
      <c r="J521" s="38">
        <f t="shared" si="491"/>
        <v>51.084784156101065</v>
      </c>
      <c r="K521" s="38">
        <f t="shared" si="492"/>
        <v>162.10212019074373</v>
      </c>
      <c r="N521" s="39">
        <v>0.46875000000001199</v>
      </c>
      <c r="O521" s="38">
        <f t="shared" si="505"/>
        <v>11.25</v>
      </c>
      <c r="P521" s="38">
        <f t="shared" si="493"/>
        <v>62.759112002659698</v>
      </c>
      <c r="Q521" s="38">
        <f t="shared" si="494"/>
        <v>154.8389975113019</v>
      </c>
      <c r="T521" s="39">
        <v>0.46875000000001199</v>
      </c>
      <c r="U521" s="38">
        <f t="shared" si="506"/>
        <v>11.25</v>
      </c>
      <c r="V521" s="38">
        <f t="shared" si="495"/>
        <v>72.422030979321647</v>
      </c>
      <c r="W521" s="38">
        <f t="shared" si="496"/>
        <v>141.37180736345297</v>
      </c>
      <c r="Z521" s="39">
        <v>0.46875000000001199</v>
      </c>
      <c r="AA521" s="38">
        <f t="shared" si="507"/>
        <v>11.25</v>
      </c>
      <c r="AB521" s="38">
        <f t="shared" si="497"/>
        <v>77.659460168674883</v>
      </c>
      <c r="AC521" s="38">
        <f t="shared" si="498"/>
        <v>122.20793991746395</v>
      </c>
      <c r="AF521" s="39">
        <v>0.46875000000001199</v>
      </c>
      <c r="AG521" s="38">
        <f t="shared" si="508"/>
        <v>11.25</v>
      </c>
      <c r="AH521" s="38">
        <f t="shared" si="499"/>
        <v>78.455669637047322</v>
      </c>
      <c r="AI521" s="38">
        <f t="shared" si="500"/>
        <v>116.57818835866789</v>
      </c>
      <c r="AL521" s="39">
        <v>0.46875000000001199</v>
      </c>
      <c r="AM521" s="38">
        <f t="shared" si="509"/>
        <v>11.25</v>
      </c>
      <c r="AN521" s="38">
        <f t="shared" si="501"/>
        <v>36.794310562600629</v>
      </c>
      <c r="AO521" s="38">
        <f t="shared" si="502"/>
        <v>167.04204621930259</v>
      </c>
    </row>
    <row r="522" spans="2:41" x14ac:dyDescent="0.25">
      <c r="B522" s="39">
        <v>0.47916666666667901</v>
      </c>
      <c r="C522" s="38">
        <f t="shared" si="503"/>
        <v>7.5</v>
      </c>
      <c r="D522" s="38">
        <f t="shared" si="489"/>
        <v>42.843795303430973</v>
      </c>
      <c r="E522" s="38">
        <f t="shared" si="490"/>
        <v>170.22582109620205</v>
      </c>
      <c r="H522" s="39">
        <v>0.47916666666667901</v>
      </c>
      <c r="I522" s="38">
        <f t="shared" si="504"/>
        <v>7.5</v>
      </c>
      <c r="J522" s="38">
        <f t="shared" si="491"/>
        <v>51.933418421751355</v>
      </c>
      <c r="K522" s="38">
        <f t="shared" si="492"/>
        <v>167.90806244970912</v>
      </c>
      <c r="N522" s="39">
        <v>0.47916666666667901</v>
      </c>
      <c r="O522" s="38">
        <f t="shared" si="505"/>
        <v>7.5</v>
      </c>
      <c r="P522" s="38">
        <f t="shared" si="493"/>
        <v>63.946316535914804</v>
      </c>
      <c r="Q522" s="38">
        <f t="shared" si="494"/>
        <v>162.75537922197969</v>
      </c>
      <c r="T522" s="39">
        <v>0.47916666666667901</v>
      </c>
      <c r="U522" s="38">
        <f t="shared" si="506"/>
        <v>7.5</v>
      </c>
      <c r="V522" s="38">
        <f t="shared" si="495"/>
        <v>74.219255442281607</v>
      </c>
      <c r="W522" s="38">
        <f t="shared" si="496"/>
        <v>152.36663247705818</v>
      </c>
      <c r="Z522" s="39">
        <v>0.47916666666667901</v>
      </c>
      <c r="AA522" s="38">
        <f t="shared" si="507"/>
        <v>7.5</v>
      </c>
      <c r="AB522" s="38">
        <f t="shared" si="497"/>
        <v>80.241084021286682</v>
      </c>
      <c r="AC522" s="38">
        <f t="shared" si="498"/>
        <v>134.45660980654239</v>
      </c>
      <c r="AF522" s="39">
        <v>0.47916666666667901</v>
      </c>
      <c r="AG522" s="38">
        <f t="shared" si="508"/>
        <v>7.5</v>
      </c>
      <c r="AH522" s="38">
        <f t="shared" si="499"/>
        <v>81.233104553844399</v>
      </c>
      <c r="AI522" s="38">
        <f t="shared" si="500"/>
        <v>128.21842313636409</v>
      </c>
      <c r="AL522" s="39">
        <v>0.47916666666667901</v>
      </c>
      <c r="AM522" s="38">
        <f t="shared" si="509"/>
        <v>7.5</v>
      </c>
      <c r="AN522" s="38">
        <f t="shared" si="501"/>
        <v>37.410299462056066</v>
      </c>
      <c r="AO522" s="38">
        <f t="shared" si="502"/>
        <v>171.30055878952365</v>
      </c>
    </row>
    <row r="523" spans="2:41" x14ac:dyDescent="0.25">
      <c r="B523" s="39">
        <v>0.48958333333334603</v>
      </c>
      <c r="C523" s="38">
        <f t="shared" si="503"/>
        <v>3.75</v>
      </c>
      <c r="D523" s="38">
        <f t="shared" si="489"/>
        <v>43.262945341914246</v>
      </c>
      <c r="E523" s="38">
        <f t="shared" si="490"/>
        <v>175.08669956125479</v>
      </c>
      <c r="H523" s="39">
        <v>0.48958333333334603</v>
      </c>
      <c r="I523" s="38">
        <f t="shared" si="504"/>
        <v>3.75</v>
      </c>
      <c r="J523" s="38">
        <f t="shared" si="491"/>
        <v>52.451869064489031</v>
      </c>
      <c r="K523" s="38">
        <f t="shared" si="492"/>
        <v>173.90389028355548</v>
      </c>
      <c r="N523" s="39">
        <v>0.48958333333334603</v>
      </c>
      <c r="O523" s="38">
        <f t="shared" si="505"/>
        <v>3.75</v>
      </c>
      <c r="P523" s="38">
        <f t="shared" si="493"/>
        <v>64.685539973324694</v>
      </c>
      <c r="Q523" s="38">
        <f t="shared" si="494"/>
        <v>171.22334001059369</v>
      </c>
      <c r="T523" s="39">
        <v>0.48958333333334603</v>
      </c>
      <c r="U523" s="38">
        <f t="shared" si="506"/>
        <v>3.75</v>
      </c>
      <c r="V523" s="38">
        <f t="shared" si="495"/>
        <v>75.403930559328714</v>
      </c>
      <c r="W523" s="38">
        <f t="shared" si="496"/>
        <v>165.47481083447175</v>
      </c>
      <c r="Z523" s="39">
        <v>0.48958333333334603</v>
      </c>
      <c r="AA523" s="38">
        <f t="shared" si="507"/>
        <v>3.75</v>
      </c>
      <c r="AB523" s="38">
        <f t="shared" si="497"/>
        <v>82.190610360438285</v>
      </c>
      <c r="AC523" s="38">
        <f t="shared" si="498"/>
        <v>153.50220048664417</v>
      </c>
      <c r="AF523" s="39">
        <v>0.48958333333334603</v>
      </c>
      <c r="AG523" s="38">
        <f t="shared" si="508"/>
        <v>3.75</v>
      </c>
      <c r="AH523" s="38">
        <f t="shared" si="499"/>
        <v>83.443209461256842</v>
      </c>
      <c r="AI523" s="38">
        <f t="shared" si="500"/>
        <v>148.30065305276554</v>
      </c>
      <c r="AL523" s="39">
        <v>0.48958333333334603</v>
      </c>
      <c r="AM523" s="38">
        <f t="shared" si="509"/>
        <v>3.75</v>
      </c>
      <c r="AN523" s="38">
        <f t="shared" si="501"/>
        <v>37.783399579107147</v>
      </c>
      <c r="AO523" s="38">
        <f t="shared" si="502"/>
        <v>175.63161653134421</v>
      </c>
    </row>
    <row r="524" spans="2:41" x14ac:dyDescent="0.25">
      <c r="B524" s="39">
        <v>0.50000000000001299</v>
      </c>
      <c r="C524" s="38">
        <f t="shared" si="503"/>
        <v>0</v>
      </c>
      <c r="D524" s="38">
        <f t="shared" si="489"/>
        <v>43.40350454351578</v>
      </c>
      <c r="E524" s="38">
        <f>IF(E522&gt;E523,0,IF(E523&lt;90,90,180))</f>
        <v>180</v>
      </c>
      <c r="H524" s="39">
        <v>0.50000000000001299</v>
      </c>
      <c r="I524" s="38">
        <f t="shared" si="504"/>
        <v>0</v>
      </c>
      <c r="J524" s="38">
        <f t="shared" si="491"/>
        <v>52.626294934964093</v>
      </c>
      <c r="K524" s="38">
        <f>IF(K522&gt;K523,0,IF(K523&lt;90,90,180))</f>
        <v>180</v>
      </c>
      <c r="N524" s="39">
        <v>0.50000000000001299</v>
      </c>
      <c r="O524" s="38">
        <f t="shared" si="505"/>
        <v>0</v>
      </c>
      <c r="P524" s="38">
        <f t="shared" si="493"/>
        <v>64.936824231055681</v>
      </c>
      <c r="Q524" s="38">
        <f>IF(Q522&gt;Q523,0,IF(Q523&lt;90,90,180))</f>
        <v>180</v>
      </c>
      <c r="T524" s="39">
        <v>0.50000000000001299</v>
      </c>
      <c r="U524" s="38">
        <f t="shared" si="506"/>
        <v>0</v>
      </c>
      <c r="V524" s="38">
        <f t="shared" si="495"/>
        <v>75.820887455874669</v>
      </c>
      <c r="W524" s="38">
        <f>IF(W522&gt;W523,0,IF(W523&lt;90,90,180))</f>
        <v>180</v>
      </c>
      <c r="Z524" s="39">
        <v>0.50000000000001299</v>
      </c>
      <c r="AA524" s="38">
        <f t="shared" si="507"/>
        <v>0</v>
      </c>
      <c r="AB524" s="38">
        <f t="shared" si="497"/>
        <v>82.959624558737431</v>
      </c>
      <c r="AC524" s="38">
        <f>IF(AC522&gt;AC523,0,IF(AC523&lt;90,90,180))</f>
        <v>180</v>
      </c>
      <c r="AF524" s="39">
        <v>0.50000000000001299</v>
      </c>
      <c r="AG524" s="38">
        <f t="shared" si="508"/>
        <v>0</v>
      </c>
      <c r="AH524" s="38">
        <f t="shared" si="499"/>
        <v>84.369782846813621</v>
      </c>
      <c r="AI524" s="38">
        <f>IF(AI522&gt;AI523,0,IF(AI523&lt;90,90,180))</f>
        <v>180</v>
      </c>
      <c r="AL524" s="39">
        <v>0.50000000000001299</v>
      </c>
      <c r="AM524" s="38">
        <f t="shared" si="509"/>
        <v>0</v>
      </c>
      <c r="AN524" s="38">
        <f t="shared" si="501"/>
        <v>37.908363272130764</v>
      </c>
      <c r="AO524" s="38">
        <f>IF(AO522&gt;AO523,0,IF(AO523&lt;90,90,180))</f>
        <v>180</v>
      </c>
    </row>
    <row r="525" spans="2:41" x14ac:dyDescent="0.25">
      <c r="B525" s="39">
        <v>0.5</v>
      </c>
      <c r="C525" s="38">
        <v>0</v>
      </c>
      <c r="D525" s="38">
        <f t="shared" si="489"/>
        <v>43.40350454351578</v>
      </c>
      <c r="E525" s="38">
        <f>+IF(E524=0,360,IF(E524=90,270,180))</f>
        <v>180</v>
      </c>
      <c r="H525" s="39">
        <v>0.5</v>
      </c>
      <c r="I525" s="38">
        <v>0</v>
      </c>
      <c r="J525" s="38">
        <f t="shared" si="491"/>
        <v>52.626294934964093</v>
      </c>
      <c r="K525" s="38">
        <f>+IF(K524=0,360,IF(K524=90,270,180))</f>
        <v>180</v>
      </c>
      <c r="N525" s="39">
        <v>0.5</v>
      </c>
      <c r="O525" s="38">
        <v>0</v>
      </c>
      <c r="P525" s="38">
        <f t="shared" si="493"/>
        <v>64.936824231055681</v>
      </c>
      <c r="Q525" s="38">
        <f>+IF(Q524=0,360,IF(Q524=90,270,180))</f>
        <v>180</v>
      </c>
      <c r="T525" s="39">
        <v>0.5</v>
      </c>
      <c r="U525" s="38">
        <v>0</v>
      </c>
      <c r="V525" s="38">
        <f t="shared" si="495"/>
        <v>75.820887455874669</v>
      </c>
      <c r="W525" s="38">
        <f>+IF(W524=0,360,IF(W524=90,270,180))</f>
        <v>180</v>
      </c>
      <c r="Z525" s="39">
        <v>0.5</v>
      </c>
      <c r="AA525" s="38">
        <v>0</v>
      </c>
      <c r="AB525" s="38">
        <f t="shared" si="497"/>
        <v>82.959624558737431</v>
      </c>
      <c r="AC525" s="38">
        <f>+IF(AC524=0,360,IF(AC524=90,270,180))</f>
        <v>180</v>
      </c>
      <c r="AF525" s="39">
        <v>0.5</v>
      </c>
      <c r="AG525" s="38">
        <v>0</v>
      </c>
      <c r="AH525" s="38">
        <f t="shared" si="499"/>
        <v>84.369782846813621</v>
      </c>
      <c r="AI525" s="38">
        <f>+IF(AI524=0,360,IF(AI524=90,270,180))</f>
        <v>180</v>
      </c>
      <c r="AL525" s="39">
        <v>0.5</v>
      </c>
      <c r="AM525" s="38">
        <v>0</v>
      </c>
      <c r="AN525" s="38">
        <f t="shared" si="501"/>
        <v>37.908363272130764</v>
      </c>
      <c r="AO525" s="38">
        <f>+IF(AO524=0,360,IF(AO524=90,270,180))</f>
        <v>180</v>
      </c>
    </row>
    <row r="526" spans="2:41" x14ac:dyDescent="0.25">
      <c r="B526" s="39">
        <v>0.51041666666666663</v>
      </c>
      <c r="C526" s="38">
        <f t="shared" ref="C526:C569" si="510">+C525-3.75</f>
        <v>-3.75</v>
      </c>
      <c r="D526" s="38">
        <f t="shared" si="489"/>
        <v>43.262945341914246</v>
      </c>
      <c r="E526" s="38">
        <f t="shared" ref="E526:E569" si="511">360-(180-DEGREES(ACOS((((SIN(RADIANS(D526)))*SIN(RADIANS($E$477)))-SIN(RADIANS($D$477)))/((COS(RADIANS(D526)))*COS(RADIANS($E$477))))))</f>
        <v>184.91330043874521</v>
      </c>
      <c r="H526" s="39">
        <v>0.51041666666666663</v>
      </c>
      <c r="I526" s="38">
        <f t="shared" ref="I526:I569" si="512">+I525-3.75</f>
        <v>-3.75</v>
      </c>
      <c r="J526" s="38">
        <f t="shared" si="491"/>
        <v>52.451869064489031</v>
      </c>
      <c r="K526" s="38">
        <f t="shared" ref="K526:K569" si="513">360-(180-DEGREES(ACOS((((SIN(RADIANS(J526)))*SIN(RADIANS($K$477)))-SIN(RADIANS($J$477)))/((COS(RADIANS(J526)))*COS(RADIANS($K$477))))))</f>
        <v>186.09610971644452</v>
      </c>
      <c r="N526" s="39">
        <v>0.51041666666666663</v>
      </c>
      <c r="O526" s="38">
        <f t="shared" ref="O526:O569" si="514">+O525-3.75</f>
        <v>-3.75</v>
      </c>
      <c r="P526" s="38">
        <f t="shared" si="493"/>
        <v>64.685539973324694</v>
      </c>
      <c r="Q526" s="38">
        <f t="shared" ref="Q526:Q569" si="515">360-(180-DEGREES(ACOS((((SIN(RADIANS(P526)))*SIN(RADIANS($Q$477)))-SIN(RADIANS($P$477)))/((COS(RADIANS(P526)))*COS(RADIANS($Q$477))))))</f>
        <v>188.77665998940631</v>
      </c>
      <c r="T526" s="39">
        <v>0.51041666666666663</v>
      </c>
      <c r="U526" s="38">
        <f t="shared" ref="U526:U569" si="516">+U525-3.75</f>
        <v>-3.75</v>
      </c>
      <c r="V526" s="38">
        <f t="shared" si="495"/>
        <v>75.403930559328714</v>
      </c>
      <c r="W526" s="38">
        <f t="shared" ref="W526:W569" si="517">360-(180-DEGREES(ACOS((((SIN(RADIANS(V526)))*SIN(RADIANS($W$477)))-SIN(RADIANS($V$477)))/((COS(RADIANS(V526)))*COS(RADIANS($W$477))))))</f>
        <v>194.52518916552825</v>
      </c>
      <c r="Z526" s="39">
        <v>0.51041666666666663</v>
      </c>
      <c r="AA526" s="38">
        <f t="shared" ref="AA526:AA569" si="518">+AA525-3.75</f>
        <v>-3.75</v>
      </c>
      <c r="AB526" s="38">
        <f t="shared" si="497"/>
        <v>82.190610360438285</v>
      </c>
      <c r="AC526" s="38">
        <f t="shared" ref="AC526:AC569" si="519">360-(180-DEGREES(ACOS((((SIN(RADIANS(AB526)))*SIN(RADIANS($AC$477)))-SIN(RADIANS($AB$477)))/((COS(RADIANS(AB526)))*COS(RADIANS($AC$477))))))</f>
        <v>206.49779951335583</v>
      </c>
      <c r="AF526" s="39">
        <v>0.51041666666666663</v>
      </c>
      <c r="AG526" s="38">
        <f t="shared" ref="AG526:AG569" si="520">+AG525-3.75</f>
        <v>-3.75</v>
      </c>
      <c r="AH526" s="38">
        <f t="shared" si="499"/>
        <v>83.443209461256842</v>
      </c>
      <c r="AI526" s="38">
        <f t="shared" ref="AI526:AI569" si="521">360-(180-DEGREES(ACOS((((SIN(RADIANS(AH526)))*SIN(RADIANS($AI$477)))-SIN(RADIANS($AH$477)))/((COS(RADIANS(AH526)))*COS(RADIANS($AI$477))))))</f>
        <v>211.69934694723446</v>
      </c>
      <c r="AL526" s="39">
        <v>0.51041666666666663</v>
      </c>
      <c r="AM526" s="38">
        <f t="shared" ref="AM526:AM569" si="522">+AM525-3.75</f>
        <v>-3.75</v>
      </c>
      <c r="AN526" s="38">
        <f t="shared" si="501"/>
        <v>37.783399579107147</v>
      </c>
      <c r="AO526" s="38">
        <f t="shared" ref="AO526:AO569" si="523">360-(180-DEGREES(ACOS((((SIN(RADIANS(AN526)))*SIN(RADIANS($AO$477)))-SIN(RADIANS($AN$477)))/((COS(RADIANS(AN526)))*COS(RADIANS($AO$477))))))</f>
        <v>184.36838346865579</v>
      </c>
    </row>
    <row r="527" spans="2:41" x14ac:dyDescent="0.25">
      <c r="B527" s="39">
        <v>0.52083333333333304</v>
      </c>
      <c r="C527" s="38">
        <f t="shared" si="510"/>
        <v>-7.5</v>
      </c>
      <c r="D527" s="38">
        <f t="shared" si="489"/>
        <v>42.843795303430973</v>
      </c>
      <c r="E527" s="38">
        <f t="shared" si="511"/>
        <v>189.77417890379795</v>
      </c>
      <c r="H527" s="39">
        <v>0.52083333333333304</v>
      </c>
      <c r="I527" s="38">
        <f t="shared" si="512"/>
        <v>-7.5</v>
      </c>
      <c r="J527" s="38">
        <f t="shared" si="491"/>
        <v>51.933418421751355</v>
      </c>
      <c r="K527" s="38">
        <f t="shared" si="513"/>
        <v>192.09193755029088</v>
      </c>
      <c r="N527" s="39">
        <v>0.52083333333333304</v>
      </c>
      <c r="O527" s="38">
        <f t="shared" si="514"/>
        <v>-7.5</v>
      </c>
      <c r="P527" s="38">
        <f t="shared" si="493"/>
        <v>63.946316535914804</v>
      </c>
      <c r="Q527" s="38">
        <f t="shared" si="515"/>
        <v>197.24462077802031</v>
      </c>
      <c r="T527" s="39">
        <v>0.52083333333333304</v>
      </c>
      <c r="U527" s="38">
        <f t="shared" si="516"/>
        <v>-7.5</v>
      </c>
      <c r="V527" s="38">
        <f t="shared" si="495"/>
        <v>74.219255442281607</v>
      </c>
      <c r="W527" s="38">
        <f t="shared" si="517"/>
        <v>207.63336752294182</v>
      </c>
      <c r="Z527" s="39">
        <v>0.52083333333333304</v>
      </c>
      <c r="AA527" s="38">
        <f t="shared" si="518"/>
        <v>-7.5</v>
      </c>
      <c r="AB527" s="38">
        <f t="shared" si="497"/>
        <v>80.241084021286682</v>
      </c>
      <c r="AC527" s="38">
        <f t="shared" si="519"/>
        <v>225.54339019345761</v>
      </c>
      <c r="AF527" s="39">
        <v>0.52083333333333304</v>
      </c>
      <c r="AG527" s="38">
        <f t="shared" si="520"/>
        <v>-7.5</v>
      </c>
      <c r="AH527" s="38">
        <f t="shared" si="499"/>
        <v>81.233104553844399</v>
      </c>
      <c r="AI527" s="38">
        <f t="shared" si="521"/>
        <v>231.78157686363591</v>
      </c>
      <c r="AL527" s="39">
        <v>0.52083333333333304</v>
      </c>
      <c r="AM527" s="38">
        <f t="shared" si="522"/>
        <v>-7.5</v>
      </c>
      <c r="AN527" s="38">
        <f t="shared" si="501"/>
        <v>37.410299462056066</v>
      </c>
      <c r="AO527" s="38">
        <f t="shared" si="523"/>
        <v>188.69944121047635</v>
      </c>
    </row>
    <row r="528" spans="2:41" x14ac:dyDescent="0.25">
      <c r="B528" s="39">
        <v>0.53125</v>
      </c>
      <c r="C528" s="38">
        <f t="shared" si="510"/>
        <v>-11.25</v>
      </c>
      <c r="D528" s="38">
        <f t="shared" si="489"/>
        <v>42.153416478788429</v>
      </c>
      <c r="E528" s="38">
        <f t="shared" si="511"/>
        <v>194.53390671654557</v>
      </c>
      <c r="H528" s="39">
        <v>0.53125</v>
      </c>
      <c r="I528" s="38">
        <f t="shared" si="512"/>
        <v>-11.25</v>
      </c>
      <c r="J528" s="38">
        <f t="shared" si="491"/>
        <v>51.084784156101065</v>
      </c>
      <c r="K528" s="38">
        <f t="shared" si="513"/>
        <v>197.89787980925627</v>
      </c>
      <c r="N528" s="39">
        <v>0.53125</v>
      </c>
      <c r="O528" s="38">
        <f t="shared" si="514"/>
        <v>-11.25</v>
      </c>
      <c r="P528" s="38">
        <f t="shared" si="493"/>
        <v>62.759112002659698</v>
      </c>
      <c r="Q528" s="38">
        <f t="shared" si="515"/>
        <v>205.1610024886981</v>
      </c>
      <c r="T528" s="39">
        <v>0.53125</v>
      </c>
      <c r="U528" s="38">
        <f t="shared" si="516"/>
        <v>-11.25</v>
      </c>
      <c r="V528" s="38">
        <f t="shared" si="495"/>
        <v>72.422030979321647</v>
      </c>
      <c r="W528" s="38">
        <f t="shared" si="517"/>
        <v>218.62819263654703</v>
      </c>
      <c r="Z528" s="39">
        <v>0.53125</v>
      </c>
      <c r="AA528" s="38">
        <f t="shared" si="518"/>
        <v>-11.25</v>
      </c>
      <c r="AB528" s="38">
        <f t="shared" si="497"/>
        <v>77.659460168674883</v>
      </c>
      <c r="AC528" s="38">
        <f t="shared" si="519"/>
        <v>237.79206008253607</v>
      </c>
      <c r="AF528" s="39">
        <v>0.53125</v>
      </c>
      <c r="AG528" s="38">
        <f t="shared" si="520"/>
        <v>-11.25</v>
      </c>
      <c r="AH528" s="38">
        <f t="shared" si="499"/>
        <v>78.455669637047322</v>
      </c>
      <c r="AI528" s="38">
        <f t="shared" si="521"/>
        <v>243.42181164133211</v>
      </c>
      <c r="AL528" s="39">
        <v>0.53125</v>
      </c>
      <c r="AM528" s="38">
        <f t="shared" si="522"/>
        <v>-11.25</v>
      </c>
      <c r="AN528" s="38">
        <f t="shared" si="501"/>
        <v>36.794310562600629</v>
      </c>
      <c r="AO528" s="38">
        <f t="shared" si="523"/>
        <v>192.95795378069741</v>
      </c>
    </row>
    <row r="529" spans="2:41" x14ac:dyDescent="0.25">
      <c r="B529" s="39">
        <v>0.54166666666666696</v>
      </c>
      <c r="C529" s="38">
        <f t="shared" si="510"/>
        <v>-15</v>
      </c>
      <c r="D529" s="38">
        <f t="shared" si="489"/>
        <v>41.203386965463082</v>
      </c>
      <c r="E529" s="38">
        <f t="shared" si="511"/>
        <v>199.15052207690977</v>
      </c>
      <c r="H529" s="39">
        <v>0.54166666666666696</v>
      </c>
      <c r="I529" s="38">
        <f t="shared" si="512"/>
        <v>-15</v>
      </c>
      <c r="J529" s="38">
        <f t="shared" si="491"/>
        <v>49.927090631227195</v>
      </c>
      <c r="K529" s="38">
        <f t="shared" si="513"/>
        <v>203.44302111465461</v>
      </c>
      <c r="N529" s="39">
        <v>0.54166666666666696</v>
      </c>
      <c r="O529" s="38">
        <f t="shared" si="514"/>
        <v>-15</v>
      </c>
      <c r="P529" s="38">
        <f t="shared" si="493"/>
        <v>61.179653601104718</v>
      </c>
      <c r="Q529" s="38">
        <f t="shared" si="515"/>
        <v>212.38311064588771</v>
      </c>
      <c r="T529" s="39">
        <v>0.54166666666666696</v>
      </c>
      <c r="U529" s="38">
        <f t="shared" si="516"/>
        <v>-15</v>
      </c>
      <c r="V529" s="38">
        <f t="shared" si="495"/>
        <v>70.179120424793908</v>
      </c>
      <c r="W529" s="38">
        <f t="shared" si="517"/>
        <v>227.52975571607143</v>
      </c>
      <c r="Z529" s="39">
        <v>0.54166666666666696</v>
      </c>
      <c r="AA529" s="38">
        <f t="shared" si="518"/>
        <v>-15</v>
      </c>
      <c r="AB529" s="38">
        <f t="shared" si="497"/>
        <v>74.765245687919915</v>
      </c>
      <c r="AC529" s="38">
        <f t="shared" si="519"/>
        <v>245.91933603043339</v>
      </c>
      <c r="AF529" s="39">
        <v>0.54166666666666696</v>
      </c>
      <c r="AG529" s="38">
        <f t="shared" si="520"/>
        <v>-15</v>
      </c>
      <c r="AH529" s="38">
        <f t="shared" si="499"/>
        <v>75.433504705998018</v>
      </c>
      <c r="AI529" s="38">
        <f t="shared" si="521"/>
        <v>250.75093139063102</v>
      </c>
      <c r="AL529" s="39">
        <v>0.54166666666666696</v>
      </c>
      <c r="AM529" s="38">
        <f t="shared" si="522"/>
        <v>-15</v>
      </c>
      <c r="AN529" s="38">
        <f t="shared" si="501"/>
        <v>35.943781380086349</v>
      </c>
      <c r="AO529" s="38">
        <f t="shared" si="523"/>
        <v>197.11262900070537</v>
      </c>
    </row>
    <row r="530" spans="2:41" x14ac:dyDescent="0.25">
      <c r="B530" s="39">
        <v>0.55208333333333304</v>
      </c>
      <c r="C530" s="38">
        <f t="shared" si="510"/>
        <v>-18.75</v>
      </c>
      <c r="D530" s="38">
        <f t="shared" si="489"/>
        <v>40.008600423503495</v>
      </c>
      <c r="E530" s="38">
        <f t="shared" si="511"/>
        <v>203.59084994125388</v>
      </c>
      <c r="H530" s="39">
        <v>0.55208333333333304</v>
      </c>
      <c r="I530" s="38">
        <f t="shared" si="512"/>
        <v>-18.75</v>
      </c>
      <c r="J530" s="38">
        <f t="shared" si="491"/>
        <v>48.486394640260585</v>
      </c>
      <c r="K530" s="38">
        <f t="shared" si="513"/>
        <v>208.67897317140793</v>
      </c>
      <c r="N530" s="39">
        <v>0.55208333333333304</v>
      </c>
      <c r="O530" s="38">
        <f t="shared" si="514"/>
        <v>-18.75</v>
      </c>
      <c r="P530" s="38">
        <f t="shared" si="493"/>
        <v>59.268918970625663</v>
      </c>
      <c r="Q530" s="38">
        <f t="shared" si="515"/>
        <v>218.86469749606931</v>
      </c>
      <c r="T530" s="39">
        <v>0.55208333333333304</v>
      </c>
      <c r="U530" s="38">
        <f t="shared" si="516"/>
        <v>-18.75</v>
      </c>
      <c r="V530" s="38">
        <f t="shared" si="495"/>
        <v>67.625326772187762</v>
      </c>
      <c r="W530" s="38">
        <f t="shared" si="517"/>
        <v>234.68902064071602</v>
      </c>
      <c r="Z530" s="39">
        <v>0.55208333333333304</v>
      </c>
      <c r="AA530" s="38">
        <f t="shared" si="518"/>
        <v>-18.75</v>
      </c>
      <c r="AB530" s="38">
        <f t="shared" si="497"/>
        <v>71.707994207809435</v>
      </c>
      <c r="AC530" s="38">
        <f t="shared" si="519"/>
        <v>251.67877402875439</v>
      </c>
      <c r="AF530" s="39">
        <v>0.55208333333333304</v>
      </c>
      <c r="AG530" s="38">
        <f t="shared" si="520"/>
        <v>-18.75</v>
      </c>
      <c r="AH530" s="38">
        <f t="shared" si="499"/>
        <v>72.293384766068968</v>
      </c>
      <c r="AI530" s="38">
        <f t="shared" si="521"/>
        <v>255.8318733592553</v>
      </c>
      <c r="AL530" s="39">
        <v>0.55208333333333304</v>
      </c>
      <c r="AM530" s="38">
        <f t="shared" si="522"/>
        <v>-18.75</v>
      </c>
      <c r="AN530" s="38">
        <f t="shared" si="501"/>
        <v>34.869629107521455</v>
      </c>
      <c r="AO530" s="38">
        <f t="shared" si="523"/>
        <v>201.13742196405752</v>
      </c>
    </row>
    <row r="531" spans="2:41" x14ac:dyDescent="0.25">
      <c r="B531" s="39">
        <v>0.5625</v>
      </c>
      <c r="C531" s="38">
        <f t="shared" si="510"/>
        <v>-22.5</v>
      </c>
      <c r="D531" s="38">
        <f t="shared" si="489"/>
        <v>38.586234675889074</v>
      </c>
      <c r="E531" s="38">
        <f t="shared" si="511"/>
        <v>207.8313208667777</v>
      </c>
      <c r="H531" s="39">
        <v>0.5625</v>
      </c>
      <c r="I531" s="38">
        <f t="shared" si="512"/>
        <v>-22.5</v>
      </c>
      <c r="J531" s="38">
        <f t="shared" si="491"/>
        <v>46.791256419696218</v>
      </c>
      <c r="K531" s="38">
        <f t="shared" si="513"/>
        <v>213.57961183592639</v>
      </c>
      <c r="N531" s="39">
        <v>0.5625</v>
      </c>
      <c r="O531" s="38">
        <f t="shared" si="514"/>
        <v>-22.5</v>
      </c>
      <c r="P531" s="38">
        <f t="shared" si="493"/>
        <v>57.085227950933245</v>
      </c>
      <c r="Q531" s="38">
        <f t="shared" si="515"/>
        <v>224.62959483837517</v>
      </c>
      <c r="T531" s="39">
        <v>0.5625</v>
      </c>
      <c r="U531" s="38">
        <f t="shared" si="516"/>
        <v>-22.5</v>
      </c>
      <c r="V531" s="38">
        <f t="shared" si="495"/>
        <v>64.85656185960751</v>
      </c>
      <c r="W531" s="38">
        <f t="shared" si="517"/>
        <v>240.50349817604823</v>
      </c>
      <c r="Z531" s="39">
        <v>0.5625</v>
      </c>
      <c r="AA531" s="38">
        <f t="shared" si="518"/>
        <v>-22.5</v>
      </c>
      <c r="AB531" s="38">
        <f t="shared" si="497"/>
        <v>68.559315678555663</v>
      </c>
      <c r="AC531" s="38">
        <f t="shared" si="519"/>
        <v>256.02522364421304</v>
      </c>
      <c r="AF531" s="39">
        <v>0.5625</v>
      </c>
      <c r="AG531" s="38">
        <f t="shared" si="520"/>
        <v>-22.5</v>
      </c>
      <c r="AH531" s="38">
        <f t="shared" si="499"/>
        <v>69.090493335033685</v>
      </c>
      <c r="AI531" s="38">
        <f t="shared" si="521"/>
        <v>259.64235630776113</v>
      </c>
      <c r="AL531" s="39">
        <v>0.5625</v>
      </c>
      <c r="AM531" s="38">
        <f t="shared" si="522"/>
        <v>-22.5</v>
      </c>
      <c r="AN531" s="38">
        <f t="shared" si="501"/>
        <v>33.584705474254456</v>
      </c>
      <c r="AO531" s="38">
        <f t="shared" si="523"/>
        <v>205.01225149463744</v>
      </c>
    </row>
    <row r="532" spans="2:41" x14ac:dyDescent="0.25">
      <c r="B532" s="39">
        <v>0.57291666666666596</v>
      </c>
      <c r="C532" s="38">
        <f t="shared" si="510"/>
        <v>-26.25</v>
      </c>
      <c r="D532" s="38">
        <f t="shared" si="489"/>
        <v>36.954734293761113</v>
      </c>
      <c r="E532" s="38">
        <f t="shared" si="511"/>
        <v>211.85771299336614</v>
      </c>
      <c r="H532" s="39">
        <v>0.57291666666666596</v>
      </c>
      <c r="I532" s="38">
        <f t="shared" si="512"/>
        <v>-26.25</v>
      </c>
      <c r="J532" s="38">
        <f t="shared" si="491"/>
        <v>44.870650074713652</v>
      </c>
      <c r="K532" s="38">
        <f t="shared" si="513"/>
        <v>218.13791226997694</v>
      </c>
      <c r="N532" s="39">
        <v>0.57291666666666596</v>
      </c>
      <c r="O532" s="38">
        <f t="shared" si="514"/>
        <v>-26.25</v>
      </c>
      <c r="P532" s="38">
        <f t="shared" si="493"/>
        <v>54.6799580245643</v>
      </c>
      <c r="Q532" s="38">
        <f t="shared" si="515"/>
        <v>229.74151163468545</v>
      </c>
      <c r="T532" s="39">
        <v>0.57291666666666596</v>
      </c>
      <c r="U532" s="38">
        <f t="shared" si="516"/>
        <v>-26.25</v>
      </c>
      <c r="V532" s="38">
        <f t="shared" si="495"/>
        <v>61.937903656407016</v>
      </c>
      <c r="W532" s="38">
        <f t="shared" si="517"/>
        <v>245.30803715847912</v>
      </c>
      <c r="Z532" s="39">
        <v>0.57291666666666596</v>
      </c>
      <c r="AA532" s="38">
        <f t="shared" si="518"/>
        <v>-26.25</v>
      </c>
      <c r="AB532" s="38">
        <f t="shared" si="497"/>
        <v>65.356373345511315</v>
      </c>
      <c r="AC532" s="38">
        <f t="shared" si="519"/>
        <v>259.48305718385336</v>
      </c>
      <c r="AF532" s="39">
        <v>0.57291666666666596</v>
      </c>
      <c r="AG532" s="38">
        <f t="shared" si="520"/>
        <v>-26.25</v>
      </c>
      <c r="AH532" s="38">
        <f t="shared" si="499"/>
        <v>65.852065383625572</v>
      </c>
      <c r="AI532" s="38">
        <f t="shared" si="521"/>
        <v>262.6797928748191</v>
      </c>
      <c r="AL532" s="39">
        <v>0.57291666666666596</v>
      </c>
      <c r="AM532" s="38">
        <f t="shared" si="522"/>
        <v>-26.25</v>
      </c>
      <c r="AN532" s="38">
        <f t="shared" si="501"/>
        <v>32.103137689028557</v>
      </c>
      <c r="AO532" s="38">
        <f t="shared" si="523"/>
        <v>208.72312851760847</v>
      </c>
    </row>
    <row r="533" spans="2:41" x14ac:dyDescent="0.25">
      <c r="B533" s="39">
        <v>0.58333333333333304</v>
      </c>
      <c r="C533" s="38">
        <f t="shared" si="510"/>
        <v>-30</v>
      </c>
      <c r="D533" s="38">
        <f t="shared" si="489"/>
        <v>35.132915612826856</v>
      </c>
      <c r="E533" s="38">
        <f t="shared" si="511"/>
        <v>215.66411358917844</v>
      </c>
      <c r="H533" s="39">
        <v>0.58333333333333304</v>
      </c>
      <c r="I533" s="38">
        <f t="shared" si="512"/>
        <v>-30</v>
      </c>
      <c r="J533" s="38">
        <f t="shared" si="491"/>
        <v>42.752422426604682</v>
      </c>
      <c r="K533" s="38">
        <f t="shared" si="513"/>
        <v>222.36141822563656</v>
      </c>
      <c r="N533" s="39">
        <v>0.58333333333333304</v>
      </c>
      <c r="O533" s="38">
        <f t="shared" si="514"/>
        <v>-30</v>
      </c>
      <c r="P533" s="38">
        <f t="shared" si="493"/>
        <v>52.096153918797427</v>
      </c>
      <c r="Q533" s="38">
        <f t="shared" si="515"/>
        <v>234.28048306914917</v>
      </c>
      <c r="T533" s="39">
        <v>0.58333333333333304</v>
      </c>
      <c r="U533" s="38">
        <f t="shared" si="516"/>
        <v>-30</v>
      </c>
      <c r="V533" s="38">
        <f t="shared" si="495"/>
        <v>58.913198956609463</v>
      </c>
      <c r="W533" s="38">
        <f t="shared" si="517"/>
        <v>249.35738763081932</v>
      </c>
      <c r="Z533" s="39">
        <v>0.58333333333333304</v>
      </c>
      <c r="AA533" s="38">
        <f t="shared" si="518"/>
        <v>-30</v>
      </c>
      <c r="AB533" s="38">
        <f t="shared" si="497"/>
        <v>62.120147714715685</v>
      </c>
      <c r="AC533" s="38">
        <f t="shared" si="519"/>
        <v>262.35478236405373</v>
      </c>
      <c r="AF533" s="39">
        <v>0.58333333333333304</v>
      </c>
      <c r="AG533" s="38">
        <f t="shared" si="520"/>
        <v>-30</v>
      </c>
      <c r="AH533" s="38">
        <f t="shared" si="499"/>
        <v>62.593106094089499</v>
      </c>
      <c r="AI533" s="38">
        <f t="shared" si="521"/>
        <v>265.21841997175375</v>
      </c>
      <c r="AL533" s="39">
        <v>0.58333333333333304</v>
      </c>
      <c r="AM533" s="38">
        <f t="shared" si="522"/>
        <v>-30</v>
      </c>
      <c r="AN533" s="38">
        <f t="shared" si="501"/>
        <v>30.439709654260056</v>
      </c>
      <c r="AO533" s="38">
        <f t="shared" si="523"/>
        <v>212.26180174788342</v>
      </c>
    </row>
    <row r="534" spans="2:41" x14ac:dyDescent="0.25">
      <c r="B534" s="39">
        <v>0.59375</v>
      </c>
      <c r="C534" s="38">
        <f t="shared" si="510"/>
        <v>-33.75</v>
      </c>
      <c r="D534" s="38">
        <f t="shared" si="489"/>
        <v>33.13925442520032</v>
      </c>
      <c r="E534" s="38">
        <f t="shared" si="511"/>
        <v>219.25144745033739</v>
      </c>
      <c r="H534" s="39">
        <v>0.59375</v>
      </c>
      <c r="I534" s="38">
        <f t="shared" si="512"/>
        <v>-33.75</v>
      </c>
      <c r="J534" s="38">
        <f t="shared" si="491"/>
        <v>40.462323140338867</v>
      </c>
      <c r="K534" s="38">
        <f t="shared" si="513"/>
        <v>226.26760517252364</v>
      </c>
      <c r="N534" s="39">
        <v>0.59375</v>
      </c>
      <c r="O534" s="38">
        <f t="shared" si="514"/>
        <v>-33.75</v>
      </c>
      <c r="P534" s="38">
        <f t="shared" si="493"/>
        <v>49.368840247490724</v>
      </c>
      <c r="Q534" s="38">
        <f t="shared" si="515"/>
        <v>238.32819483402687</v>
      </c>
      <c r="T534" s="39">
        <v>0.59375</v>
      </c>
      <c r="U534" s="38">
        <f t="shared" si="516"/>
        <v>-33.75</v>
      </c>
      <c r="V534" s="38">
        <f t="shared" si="495"/>
        <v>55.812364414492947</v>
      </c>
      <c r="W534" s="38">
        <f t="shared" si="517"/>
        <v>252.83866112799464</v>
      </c>
      <c r="Z534" s="39">
        <v>0.59375</v>
      </c>
      <c r="AA534" s="38">
        <f t="shared" si="518"/>
        <v>-33.75</v>
      </c>
      <c r="AB534" s="38">
        <f t="shared" si="497"/>
        <v>58.863430130174407</v>
      </c>
      <c r="AC534" s="38">
        <f t="shared" si="519"/>
        <v>264.82455959073781</v>
      </c>
      <c r="AF534" s="39">
        <v>0.59375</v>
      </c>
      <c r="AG534" s="38">
        <f t="shared" si="520"/>
        <v>-33.75</v>
      </c>
      <c r="AH534" s="38">
        <f t="shared" si="499"/>
        <v>59.322699706541478</v>
      </c>
      <c r="AI534" s="38">
        <f t="shared" si="521"/>
        <v>267.4204974315395</v>
      </c>
      <c r="AL534" s="39">
        <v>0.59375</v>
      </c>
      <c r="AM534" s="38">
        <f t="shared" si="522"/>
        <v>-33.75</v>
      </c>
      <c r="AN534" s="38">
        <f t="shared" si="501"/>
        <v>28.609328312721424</v>
      </c>
      <c r="AO534" s="38">
        <f t="shared" si="523"/>
        <v>215.62507210657833</v>
      </c>
    </row>
    <row r="535" spans="2:41" x14ac:dyDescent="0.25">
      <c r="B535" s="39">
        <v>0.60416666666666596</v>
      </c>
      <c r="C535" s="38">
        <f t="shared" si="510"/>
        <v>-37.5</v>
      </c>
      <c r="D535" s="38">
        <f t="shared" si="489"/>
        <v>30.991372620610438</v>
      </c>
      <c r="E535" s="38">
        <f t="shared" si="511"/>
        <v>222.62587706871471</v>
      </c>
      <c r="H535" s="39">
        <v>0.60416666666666596</v>
      </c>
      <c r="I535" s="38">
        <f t="shared" si="512"/>
        <v>-37.5</v>
      </c>
      <c r="J535" s="38">
        <f t="shared" si="491"/>
        <v>38.023516172043877</v>
      </c>
      <c r="K535" s="38">
        <f t="shared" si="513"/>
        <v>229.87988604841482</v>
      </c>
      <c r="N535" s="39">
        <v>0.60416666666666596</v>
      </c>
      <c r="O535" s="38">
        <f t="shared" si="514"/>
        <v>-37.5</v>
      </c>
      <c r="P535" s="38">
        <f t="shared" si="493"/>
        <v>46.526086303943565</v>
      </c>
      <c r="Q535" s="38">
        <f t="shared" si="515"/>
        <v>241.96041068291302</v>
      </c>
      <c r="T535" s="39">
        <v>0.60416666666666596</v>
      </c>
      <c r="U535" s="38">
        <f t="shared" si="516"/>
        <v>-37.5</v>
      </c>
      <c r="V535" s="38">
        <f t="shared" si="495"/>
        <v>52.656260335367804</v>
      </c>
      <c r="W535" s="38">
        <f t="shared" si="517"/>
        <v>255.88839980123649</v>
      </c>
      <c r="Z535" s="39">
        <v>0.60416666666666596</v>
      </c>
      <c r="AA535" s="38">
        <f t="shared" si="518"/>
        <v>-37.5</v>
      </c>
      <c r="AB535" s="38">
        <f t="shared" si="497"/>
        <v>55.594581223038837</v>
      </c>
      <c r="AC535" s="38">
        <f t="shared" si="519"/>
        <v>267.01020777027958</v>
      </c>
      <c r="AF535" s="39">
        <v>0.60416666666666596</v>
      </c>
      <c r="AG535" s="38">
        <f t="shared" si="520"/>
        <v>-37.5</v>
      </c>
      <c r="AH535" s="38">
        <f t="shared" si="499"/>
        <v>56.046823385268709</v>
      </c>
      <c r="AI535" s="38">
        <f t="shared" si="521"/>
        <v>269.38792561637877</v>
      </c>
      <c r="AL535" s="39">
        <v>0.60416666666666596</v>
      </c>
      <c r="AM535" s="38">
        <f t="shared" si="522"/>
        <v>-37.5</v>
      </c>
      <c r="AN535" s="38">
        <f t="shared" si="501"/>
        <v>26.626598034991446</v>
      </c>
      <c r="AO535" s="38">
        <f t="shared" si="523"/>
        <v>218.81393144775981</v>
      </c>
    </row>
    <row r="536" spans="2:41" x14ac:dyDescent="0.25">
      <c r="B536" s="39">
        <v>0.61458333333333304</v>
      </c>
      <c r="C536" s="38">
        <f t="shared" si="510"/>
        <v>-41.25</v>
      </c>
      <c r="D536" s="38">
        <f t="shared" si="489"/>
        <v>28.705708936178901</v>
      </c>
      <c r="E536" s="38">
        <f t="shared" si="511"/>
        <v>225.79729121598822</v>
      </c>
      <c r="H536" s="39">
        <v>0.61458333333333304</v>
      </c>
      <c r="I536" s="38">
        <f t="shared" si="512"/>
        <v>-41.25</v>
      </c>
      <c r="J536" s="38">
        <f t="shared" si="491"/>
        <v>35.45644159934281</v>
      </c>
      <c r="K536" s="38">
        <f t="shared" si="513"/>
        <v>233.22454796207109</v>
      </c>
      <c r="N536" s="39">
        <v>0.61458333333333304</v>
      </c>
      <c r="O536" s="38">
        <f t="shared" si="514"/>
        <v>-41.25</v>
      </c>
      <c r="P536" s="38">
        <f t="shared" si="493"/>
        <v>43.590258007807279</v>
      </c>
      <c r="Q536" s="38">
        <f t="shared" si="515"/>
        <v>245.24394286610945</v>
      </c>
      <c r="T536" s="39">
        <v>0.61458333333333304</v>
      </c>
      <c r="U536" s="38">
        <f t="shared" si="516"/>
        <v>-41.25</v>
      </c>
      <c r="V536" s="38">
        <f t="shared" si="495"/>
        <v>49.459812598063799</v>
      </c>
      <c r="W536" s="38">
        <f t="shared" si="517"/>
        <v>258.60692573923922</v>
      </c>
      <c r="Z536" s="39">
        <v>0.61458333333333304</v>
      </c>
      <c r="AA536" s="38">
        <f t="shared" si="518"/>
        <v>-41.25</v>
      </c>
      <c r="AB536" s="38">
        <f t="shared" si="497"/>
        <v>52.319428670327412</v>
      </c>
      <c r="AC536" s="38">
        <f t="shared" si="519"/>
        <v>268.990503194631</v>
      </c>
      <c r="AF536" s="39">
        <v>0.61458333333333304</v>
      </c>
      <c r="AG536" s="38">
        <f t="shared" si="520"/>
        <v>-41.25</v>
      </c>
      <c r="AH536" s="38">
        <f t="shared" si="499"/>
        <v>52.769720664377957</v>
      </c>
      <c r="AI536" s="38">
        <f t="shared" si="521"/>
        <v>271.18801673411542</v>
      </c>
      <c r="AL536" s="39">
        <v>0.61458333333333304</v>
      </c>
      <c r="AM536" s="38">
        <f t="shared" si="522"/>
        <v>-41.25</v>
      </c>
      <c r="AN536" s="38">
        <f t="shared" si="501"/>
        <v>24.505507292084097</v>
      </c>
      <c r="AO536" s="38">
        <f t="shared" si="523"/>
        <v>221.83265669202927</v>
      </c>
    </row>
    <row r="537" spans="2:41" x14ac:dyDescent="0.25">
      <c r="B537" s="39">
        <v>0.625</v>
      </c>
      <c r="C537" s="38">
        <f t="shared" si="510"/>
        <v>-45</v>
      </c>
      <c r="D537" s="38">
        <f t="shared" si="489"/>
        <v>26.297342212361595</v>
      </c>
      <c r="E537" s="38">
        <f t="shared" si="511"/>
        <v>228.77800508269911</v>
      </c>
      <c r="H537" s="39">
        <v>0.625</v>
      </c>
      <c r="I537" s="38">
        <f t="shared" si="512"/>
        <v>-45</v>
      </c>
      <c r="J537" s="38">
        <f t="shared" si="491"/>
        <v>32.778902474630826</v>
      </c>
      <c r="K537" s="38">
        <f t="shared" si="513"/>
        <v>236.32861033625156</v>
      </c>
      <c r="N537" s="39">
        <v>0.625</v>
      </c>
      <c r="O537" s="38">
        <f t="shared" si="514"/>
        <v>-45</v>
      </c>
      <c r="P537" s="38">
        <f t="shared" si="493"/>
        <v>40.579187314260722</v>
      </c>
      <c r="Q537" s="38">
        <f t="shared" si="515"/>
        <v>248.23612591738978</v>
      </c>
      <c r="T537" s="39">
        <v>0.625</v>
      </c>
      <c r="U537" s="38">
        <f t="shared" si="516"/>
        <v>-45</v>
      </c>
      <c r="V537" s="38">
        <f t="shared" si="495"/>
        <v>46.234000924702507</v>
      </c>
      <c r="W537" s="38">
        <f t="shared" si="517"/>
        <v>261.06892668701215</v>
      </c>
      <c r="Z537" s="39">
        <v>0.625</v>
      </c>
      <c r="AA537" s="38">
        <f t="shared" si="518"/>
        <v>-45</v>
      </c>
      <c r="AB537" s="38">
        <f t="shared" si="497"/>
        <v>49.04228910837859</v>
      </c>
      <c r="AC537" s="38">
        <f t="shared" si="519"/>
        <v>270.82022462339319</v>
      </c>
      <c r="AF537" s="39">
        <v>0.625</v>
      </c>
      <c r="AG537" s="38">
        <f t="shared" si="520"/>
        <v>-45</v>
      </c>
      <c r="AH537" s="38">
        <f t="shared" si="499"/>
        <v>49.494624805188728</v>
      </c>
      <c r="AI537" s="38">
        <f t="shared" si="521"/>
        <v>272.86722527083782</v>
      </c>
      <c r="AL537" s="39">
        <v>0.625</v>
      </c>
      <c r="AM537" s="38">
        <f t="shared" si="522"/>
        <v>-45</v>
      </c>
      <c r="AN537" s="38">
        <f t="shared" si="501"/>
        <v>22.259218825541542</v>
      </c>
      <c r="AO537" s="38">
        <f t="shared" si="523"/>
        <v>224.68795305422185</v>
      </c>
    </row>
    <row r="538" spans="2:41" x14ac:dyDescent="0.25">
      <c r="B538" s="39">
        <v>0.63541666666666596</v>
      </c>
      <c r="C538" s="38">
        <f t="shared" si="510"/>
        <v>-48.75</v>
      </c>
      <c r="D538" s="38">
        <f t="shared" si="489"/>
        <v>23.779930338375731</v>
      </c>
      <c r="E538" s="38">
        <f t="shared" si="511"/>
        <v>231.58171961545486</v>
      </c>
      <c r="H538" s="39">
        <v>0.63541666666666596</v>
      </c>
      <c r="I538" s="38">
        <f t="shared" si="512"/>
        <v>-48.75</v>
      </c>
      <c r="J538" s="38">
        <f t="shared" si="491"/>
        <v>30.006277614225631</v>
      </c>
      <c r="K538" s="38">
        <f t="shared" si="513"/>
        <v>239.21845267635248</v>
      </c>
      <c r="N538" s="39">
        <v>0.63541666666666596</v>
      </c>
      <c r="O538" s="38">
        <f t="shared" si="514"/>
        <v>-48.75</v>
      </c>
      <c r="P538" s="38">
        <f t="shared" si="493"/>
        <v>37.507161881970838</v>
      </c>
      <c r="Q538" s="38">
        <f t="shared" si="515"/>
        <v>250.98548874993278</v>
      </c>
      <c r="T538" s="39">
        <v>0.63541666666666596</v>
      </c>
      <c r="U538" s="38">
        <f t="shared" si="516"/>
        <v>-48.75</v>
      </c>
      <c r="V538" s="38">
        <f t="shared" si="495"/>
        <v>42.987138064766839</v>
      </c>
      <c r="W538" s="38">
        <f t="shared" si="517"/>
        <v>263.33091693398319</v>
      </c>
      <c r="Z538" s="39">
        <v>0.63541666666666596</v>
      </c>
      <c r="AA538" s="38">
        <f t="shared" si="518"/>
        <v>-48.75</v>
      </c>
      <c r="AB538" s="38">
        <f t="shared" si="497"/>
        <v>45.766550833953623</v>
      </c>
      <c r="AC538" s="38">
        <f t="shared" si="519"/>
        <v>272.53883691192243</v>
      </c>
      <c r="AF538" s="39">
        <v>0.63541666666666596</v>
      </c>
      <c r="AG538" s="38">
        <f t="shared" si="520"/>
        <v>-48.75</v>
      </c>
      <c r="AH538" s="38">
        <f t="shared" si="499"/>
        <v>46.224165608624986</v>
      </c>
      <c r="AI538" s="38">
        <f t="shared" si="521"/>
        <v>274.45888516156208</v>
      </c>
      <c r="AL538" s="39">
        <v>0.63541666666666596</v>
      </c>
      <c r="AM538" s="38">
        <f t="shared" si="522"/>
        <v>-48.75</v>
      </c>
      <c r="AN538" s="38">
        <f t="shared" si="501"/>
        <v>19.899947289311033</v>
      </c>
      <c r="AO538" s="38">
        <f t="shared" si="523"/>
        <v>227.38820219580214</v>
      </c>
    </row>
    <row r="539" spans="2:41" x14ac:dyDescent="0.25">
      <c r="B539" s="39">
        <v>0.64583333333333304</v>
      </c>
      <c r="C539" s="38">
        <f t="shared" si="510"/>
        <v>-52.5</v>
      </c>
      <c r="D539" s="38">
        <f t="shared" si="489"/>
        <v>21.165730212534523</v>
      </c>
      <c r="E539" s="38">
        <f t="shared" si="511"/>
        <v>234.2227374908216</v>
      </c>
      <c r="H539" s="39">
        <v>0.64583333333333304</v>
      </c>
      <c r="I539" s="38">
        <f t="shared" si="512"/>
        <v>-52.5</v>
      </c>
      <c r="J539" s="38">
        <f t="shared" si="491"/>
        <v>27.15179118044739</v>
      </c>
      <c r="K539" s="38">
        <f t="shared" si="513"/>
        <v>241.91902200639373</v>
      </c>
      <c r="N539" s="39">
        <v>0.64583333333333304</v>
      </c>
      <c r="O539" s="38">
        <f t="shared" si="514"/>
        <v>-52.5</v>
      </c>
      <c r="P539" s="38">
        <f t="shared" si="493"/>
        <v>34.385722158930136</v>
      </c>
      <c r="Q539" s="38">
        <f t="shared" si="515"/>
        <v>253.53289017318775</v>
      </c>
      <c r="T539" s="39">
        <v>0.64583333333333304</v>
      </c>
      <c r="U539" s="38">
        <f t="shared" si="516"/>
        <v>-52.5</v>
      </c>
      <c r="V539" s="38">
        <f t="shared" si="495"/>
        <v>39.725707391673502</v>
      </c>
      <c r="W539" s="38">
        <f t="shared" si="517"/>
        <v>265.43642690766961</v>
      </c>
      <c r="Z539" s="39">
        <v>0.64583333333333304</v>
      </c>
      <c r="AA539" s="38">
        <f t="shared" si="518"/>
        <v>-52.5</v>
      </c>
      <c r="AB539" s="38">
        <f t="shared" si="497"/>
        <v>42.495023757793398</v>
      </c>
      <c r="AC539" s="38">
        <f t="shared" si="519"/>
        <v>274.175717163689</v>
      </c>
      <c r="AF539" s="39">
        <v>0.64583333333333304</v>
      </c>
      <c r="AG539" s="38">
        <f t="shared" si="520"/>
        <v>-52.5</v>
      </c>
      <c r="AH539" s="38">
        <f t="shared" si="499"/>
        <v>42.96061211769922</v>
      </c>
      <c r="AI539" s="38">
        <f t="shared" si="521"/>
        <v>275.98778532163647</v>
      </c>
      <c r="AL539" s="39">
        <v>0.64583333333333304</v>
      </c>
      <c r="AM539" s="38">
        <f t="shared" si="522"/>
        <v>-52.5</v>
      </c>
      <c r="AN539" s="38">
        <f t="shared" si="501"/>
        <v>17.43890578214755</v>
      </c>
      <c r="AO539" s="38">
        <f t="shared" si="523"/>
        <v>229.94283999777741</v>
      </c>
    </row>
    <row r="540" spans="2:41" x14ac:dyDescent="0.25">
      <c r="B540" s="39">
        <v>0.656249999999999</v>
      </c>
      <c r="C540" s="38">
        <f t="shared" si="510"/>
        <v>-56.25</v>
      </c>
      <c r="D540" s="38">
        <f t="shared" si="489"/>
        <v>18.465669796710831</v>
      </c>
      <c r="E540" s="38">
        <f t="shared" si="511"/>
        <v>236.71540580591639</v>
      </c>
      <c r="H540" s="39">
        <v>0.656249999999999</v>
      </c>
      <c r="I540" s="38">
        <f t="shared" si="512"/>
        <v>-56.25</v>
      </c>
      <c r="J540" s="38">
        <f t="shared" si="491"/>
        <v>24.226795427541798</v>
      </c>
      <c r="K540" s="38">
        <f t="shared" si="513"/>
        <v>244.45344574396051</v>
      </c>
      <c r="N540" s="39">
        <v>0.656249999999999</v>
      </c>
      <c r="O540" s="38">
        <f t="shared" si="514"/>
        <v>-56.25</v>
      </c>
      <c r="P540" s="38">
        <f t="shared" si="493"/>
        <v>31.224287336900556</v>
      </c>
      <c r="Q540" s="38">
        <f t="shared" si="515"/>
        <v>255.91274382664383</v>
      </c>
      <c r="T540" s="39">
        <v>0.656249999999999</v>
      </c>
      <c r="U540" s="38">
        <f t="shared" si="516"/>
        <v>-56.25</v>
      </c>
      <c r="V540" s="38">
        <f t="shared" si="495"/>
        <v>36.454923161732175</v>
      </c>
      <c r="W540" s="38">
        <f t="shared" si="517"/>
        <v>267.4196185372374</v>
      </c>
      <c r="Z540" s="39">
        <v>0.656249999999999</v>
      </c>
      <c r="AA540" s="38">
        <f t="shared" si="518"/>
        <v>-56.25</v>
      </c>
      <c r="AB540" s="38">
        <f t="shared" si="497"/>
        <v>39.230160105746087</v>
      </c>
      <c r="AC540" s="38">
        <f t="shared" si="519"/>
        <v>275.75342021465775</v>
      </c>
      <c r="AF540" s="39">
        <v>0.656249999999999</v>
      </c>
      <c r="AG540" s="38">
        <f t="shared" si="520"/>
        <v>-56.25</v>
      </c>
      <c r="AH540" s="38">
        <f t="shared" si="499"/>
        <v>39.706025776532329</v>
      </c>
      <c r="AI540" s="38">
        <f t="shared" si="521"/>
        <v>277.47299126648818</v>
      </c>
      <c r="AL540" s="39">
        <v>0.656249999999999</v>
      </c>
      <c r="AM540" s="38">
        <f t="shared" si="522"/>
        <v>-56.25</v>
      </c>
      <c r="AN540" s="38">
        <f t="shared" si="501"/>
        <v>14.886303279823363</v>
      </c>
      <c r="AO540" s="38">
        <f t="shared" si="523"/>
        <v>232.36186671824436</v>
      </c>
    </row>
    <row r="541" spans="2:41" x14ac:dyDescent="0.25">
      <c r="B541" s="39">
        <v>0.66666666666666596</v>
      </c>
      <c r="C541" s="38">
        <f t="shared" si="510"/>
        <v>-60</v>
      </c>
      <c r="D541" s="38">
        <f t="shared" si="489"/>
        <v>15.689450108647346</v>
      </c>
      <c r="E541" s="38">
        <f t="shared" si="511"/>
        <v>239.07374480488153</v>
      </c>
      <c r="H541" s="39">
        <v>0.66666666666666596</v>
      </c>
      <c r="I541" s="38">
        <f t="shared" si="512"/>
        <v>-60</v>
      </c>
      <c r="J541" s="38">
        <f t="shared" si="491"/>
        <v>21.241041758651765</v>
      </c>
      <c r="K541" s="38">
        <f t="shared" si="513"/>
        <v>246.84291146983276</v>
      </c>
      <c r="N541" s="39">
        <v>0.66666666666666596</v>
      </c>
      <c r="O541" s="38">
        <f t="shared" si="514"/>
        <v>-60</v>
      </c>
      <c r="P541" s="38">
        <f t="shared" si="493"/>
        <v>28.03064132064042</v>
      </c>
      <c r="Q541" s="38">
        <f t="shared" si="515"/>
        <v>258.15416301445305</v>
      </c>
      <c r="T541" s="39">
        <v>0.66666666666666596</v>
      </c>
      <c r="U541" s="38">
        <f t="shared" si="516"/>
        <v>-60</v>
      </c>
      <c r="V541" s="38">
        <f t="shared" si="495"/>
        <v>33.179114183303909</v>
      </c>
      <c r="W541" s="38">
        <f t="shared" si="517"/>
        <v>269.30782635394411</v>
      </c>
      <c r="Z541" s="39">
        <v>0.66666666666666596</v>
      </c>
      <c r="AA541" s="38">
        <f t="shared" si="518"/>
        <v>-60</v>
      </c>
      <c r="AB541" s="38">
        <f t="shared" si="497"/>
        <v>35.974200517974971</v>
      </c>
      <c r="AC541" s="38">
        <f t="shared" si="519"/>
        <v>277.28978899698308</v>
      </c>
      <c r="AF541" s="39">
        <v>0.66666666666666596</v>
      </c>
      <c r="AG541" s="38">
        <f t="shared" si="520"/>
        <v>-60</v>
      </c>
      <c r="AH541" s="38">
        <f t="shared" si="499"/>
        <v>36.462362723804389</v>
      </c>
      <c r="AI541" s="38">
        <f t="shared" si="521"/>
        <v>278.92965056012429</v>
      </c>
      <c r="AL541" s="39">
        <v>0.66666666666666596</v>
      </c>
      <c r="AM541" s="38">
        <f t="shared" si="522"/>
        <v>-60</v>
      </c>
      <c r="AN541" s="38">
        <f t="shared" si="501"/>
        <v>12.251377298592953</v>
      </c>
      <c r="AO541" s="38">
        <f t="shared" si="523"/>
        <v>234.65547904775269</v>
      </c>
    </row>
    <row r="542" spans="2:41" x14ac:dyDescent="0.25">
      <c r="B542" s="39">
        <v>0.67708333333333304</v>
      </c>
      <c r="C542" s="38">
        <f t="shared" si="510"/>
        <v>-63.75</v>
      </c>
      <c r="D542" s="38">
        <f t="shared" si="489"/>
        <v>12.845661301158438</v>
      </c>
      <c r="E542" s="38">
        <f t="shared" si="511"/>
        <v>241.31122141559138</v>
      </c>
      <c r="H542" s="39">
        <v>0.67708333333333304</v>
      </c>
      <c r="I542" s="38">
        <f t="shared" si="512"/>
        <v>-63.75</v>
      </c>
      <c r="J542" s="38">
        <f t="shared" si="491"/>
        <v>18.202927787402345</v>
      </c>
      <c r="K542" s="38">
        <f t="shared" si="513"/>
        <v>249.10671257248649</v>
      </c>
      <c r="N542" s="39">
        <v>0.67708333333333304</v>
      </c>
      <c r="O542" s="38">
        <f t="shared" si="514"/>
        <v>-63.75</v>
      </c>
      <c r="P542" s="38">
        <f t="shared" si="493"/>
        <v>24.811309009703319</v>
      </c>
      <c r="Q542" s="38">
        <f t="shared" si="515"/>
        <v>260.28196306128922</v>
      </c>
      <c r="T542" s="39">
        <v>0.67708333333333304</v>
      </c>
      <c r="U542" s="38">
        <f t="shared" si="516"/>
        <v>-63.75</v>
      </c>
      <c r="V542" s="38">
        <f t="shared" si="495"/>
        <v>29.901993339964587</v>
      </c>
      <c r="W542" s="38">
        <f t="shared" si="517"/>
        <v>271.12336643863125</v>
      </c>
      <c r="Z542" s="39">
        <v>0.67708333333333304</v>
      </c>
      <c r="AA542" s="38">
        <f t="shared" si="518"/>
        <v>-63.75</v>
      </c>
      <c r="AB542" s="38">
        <f t="shared" si="497"/>
        <v>32.729275782797934</v>
      </c>
      <c r="AC542" s="38">
        <f t="shared" si="519"/>
        <v>278.79936090721395</v>
      </c>
      <c r="AF542" s="39">
        <v>0.67708333333333304</v>
      </c>
      <c r="AG542" s="38">
        <f t="shared" si="520"/>
        <v>-63.75</v>
      </c>
      <c r="AH542" s="38">
        <f t="shared" si="499"/>
        <v>33.231546345941183</v>
      </c>
      <c r="AI542" s="38">
        <f t="shared" si="521"/>
        <v>280.37018698455319</v>
      </c>
      <c r="AL542" s="39">
        <v>0.67708333333333304</v>
      </c>
      <c r="AM542" s="38">
        <f t="shared" si="522"/>
        <v>-63.75</v>
      </c>
      <c r="AN542" s="38">
        <f t="shared" si="501"/>
        <v>9.5424491197324475</v>
      </c>
      <c r="AO542" s="38">
        <f t="shared" si="523"/>
        <v>236.83380710924237</v>
      </c>
    </row>
    <row r="543" spans="2:41" x14ac:dyDescent="0.25">
      <c r="B543" s="39">
        <v>0.687499999999999</v>
      </c>
      <c r="C543" s="38">
        <f t="shared" si="510"/>
        <v>-67.5</v>
      </c>
      <c r="D543" s="38">
        <f t="shared" si="489"/>
        <v>9.9419021858772343</v>
      </c>
      <c r="E543" s="38">
        <f t="shared" si="511"/>
        <v>243.44063109329736</v>
      </c>
      <c r="H543" s="39">
        <v>0.687499999999999</v>
      </c>
      <c r="I543" s="38">
        <f t="shared" si="512"/>
        <v>-67.5</v>
      </c>
      <c r="J543" s="38">
        <f t="shared" si="491"/>
        <v>15.119715862375806</v>
      </c>
      <c r="K543" s="38">
        <f t="shared" si="513"/>
        <v>251.26239055601204</v>
      </c>
      <c r="N543" s="39">
        <v>0.687499999999999</v>
      </c>
      <c r="O543" s="38">
        <f t="shared" si="514"/>
        <v>-67.5</v>
      </c>
      <c r="P543" s="38">
        <f t="shared" si="493"/>
        <v>21.571848682913263</v>
      </c>
      <c r="Q543" s="38">
        <f t="shared" si="515"/>
        <v>262.31751089454286</v>
      </c>
      <c r="T543" s="39">
        <v>0.687499999999999</v>
      </c>
      <c r="U543" s="38">
        <f t="shared" si="516"/>
        <v>-67.5</v>
      </c>
      <c r="V543" s="38">
        <f t="shared" si="495"/>
        <v>26.626852300629036</v>
      </c>
      <c r="W543" s="38">
        <f t="shared" si="517"/>
        <v>272.88484365218596</v>
      </c>
      <c r="Z543" s="39">
        <v>0.687499999999999</v>
      </c>
      <c r="AA543" s="38">
        <f t="shared" si="518"/>
        <v>-67.5</v>
      </c>
      <c r="AB543" s="38">
        <f t="shared" si="497"/>
        <v>29.497481663761743</v>
      </c>
      <c r="AC543" s="38">
        <f t="shared" si="519"/>
        <v>280.29433209625461</v>
      </c>
      <c r="AF543" s="39">
        <v>0.687499999999999</v>
      </c>
      <c r="AG543" s="38">
        <f t="shared" si="520"/>
        <v>-67.5</v>
      </c>
      <c r="AH543" s="38">
        <f t="shared" si="499"/>
        <v>30.015522183197557</v>
      </c>
      <c r="AI543" s="38">
        <f t="shared" si="521"/>
        <v>281.80511482773534</v>
      </c>
      <c r="AL543" s="39">
        <v>0.687499999999999</v>
      </c>
      <c r="AM543" s="38">
        <f t="shared" si="522"/>
        <v>-67.5</v>
      </c>
      <c r="AN543" s="38">
        <f t="shared" si="501"/>
        <v>6.7669919116472963</v>
      </c>
      <c r="AO543" s="38">
        <f t="shared" si="523"/>
        <v>238.90673760769607</v>
      </c>
    </row>
    <row r="544" spans="2:41" x14ac:dyDescent="0.25">
      <c r="B544" s="39">
        <v>0.69791666666666596</v>
      </c>
      <c r="C544" s="38">
        <f t="shared" si="510"/>
        <v>-71.25</v>
      </c>
      <c r="D544" s="38">
        <f t="shared" ref="D544:D569" si="524">IF((DEGREES(ASIN(COS(RADIANS($E$477))*COS(RADIANS($D$477))*COS(RADIANS(C544))+SIN(RADIANS($E$477))*SIN(RADIANS($D$477)))))&lt;0,0,DEGREES(ASIN(COS(RADIANS($E$477))*COS(RADIANS($D$477))*COS(RADIANS(C544))+SIN(RADIANS($E$477))*SIN(RADIANS($D$477)))))</f>
        <v>6.9848965382721495</v>
      </c>
      <c r="E544" s="38">
        <f t="shared" si="511"/>
        <v>245.47405821210401</v>
      </c>
      <c r="H544" s="39">
        <v>0.69791666666666596</v>
      </c>
      <c r="I544" s="38">
        <f t="shared" si="512"/>
        <v>-71.25</v>
      </c>
      <c r="J544" s="38">
        <f t="shared" ref="J544:J569" si="525">IF((DEGREES(ASIN(COS(RADIANS($K$477))*COS(RADIANS($J$477))*COS(RADIANS(I544))+SIN(RADIANS($K$477))*SIN(RADIANS($J$477)))))&lt;0,0,DEGREES(ASIN(COS(RADIANS($K$477))*COS(RADIANS($J$477))*COS(RADIANS(I544))+SIN(RADIANS($K$477))*SIN(RADIANS($J$477)))))</f>
        <v>11.997722975509879</v>
      </c>
      <c r="K544" s="38">
        <f t="shared" si="513"/>
        <v>253.32592903592246</v>
      </c>
      <c r="N544" s="39">
        <v>0.69791666666666596</v>
      </c>
      <c r="O544" s="38">
        <f t="shared" si="514"/>
        <v>-71.25</v>
      </c>
      <c r="P544" s="38">
        <f t="shared" ref="P544:P569" si="526">IF((DEGREES(ASIN(COS(RADIANS($Q$477))*COS(RADIANS($P$477))*COS(RADIANS(O544))+SIN(RADIANS($Q$477))*SIN(RADIANS($P$477)))))&lt;0,0,DEGREES(ASIN(COS(RADIANS($Q$477))*COS(RADIANS($P$477))*COS(RADIANS(O544))+SIN(RADIANS($Q$477))*SIN(RADIANS($P$477)))))</f>
        <v>18.317081148338275</v>
      </c>
      <c r="Q544" s="38">
        <f t="shared" si="515"/>
        <v>264.27943443989864</v>
      </c>
      <c r="T544" s="39">
        <v>0.69791666666666596</v>
      </c>
      <c r="U544" s="38">
        <f t="shared" si="516"/>
        <v>-71.25</v>
      </c>
      <c r="V544" s="38">
        <f t="shared" ref="V544:V569" si="527">IF((DEGREES(ASIN(COS(RADIANS($W$477))*COS(RADIANS($V$477))*COS(RADIANS(U544))+SIN(RADIANS($W$477))*SIN(RADIANS($V$477)))))&lt;0,0,DEGREES(ASIN(COS(RADIANS($W$477))*COS(RADIANS($V$477))*COS(RADIANS(U544))+SIN(RADIANS($W$477))*SIN(RADIANS($V$477)))))</f>
        <v>23.356706677362645</v>
      </c>
      <c r="W544" s="38">
        <f t="shared" si="517"/>
        <v>274.60811215329227</v>
      </c>
      <c r="Z544" s="39">
        <v>0.69791666666666596</v>
      </c>
      <c r="AA544" s="38">
        <f t="shared" si="518"/>
        <v>-71.25</v>
      </c>
      <c r="AB544" s="38">
        <f t="shared" ref="AB544:AB569" si="528">IF((DEGREES(ASIN(COS(RADIANS($AC$477))*COS(RADIANS($AB$477))*COS(RADIANS(AA544))+SIN(RADIANS($AC$477))*SIN(RADIANS($AB$477)))))&lt;0,0,DEGREES(ASIN(COS(RADIANS($AC$477))*COS(RADIANS($AB$477))*COS(RADIANS(AA544))+SIN(RADIANS($AC$477))*SIN(RADIANS($AB$477)))))</f>
        <v>26.280937316511903</v>
      </c>
      <c r="AC544" s="38">
        <f t="shared" si="519"/>
        <v>281.78523676530943</v>
      </c>
      <c r="AF544" s="39">
        <v>0.69791666666666596</v>
      </c>
      <c r="AG544" s="38">
        <f t="shared" si="520"/>
        <v>-71.25</v>
      </c>
      <c r="AH544" s="38">
        <f t="shared" ref="AH544:AH569" si="529">IF((DEGREES(ASIN(COS(RADIANS($AI$477))*COS(RADIANS($AH$477))*COS(RADIANS(AG544))+SIN(RADIANS($AI$477))*SIN(RADIANS($AH$477)))))&lt;0,0,DEGREES(ASIN(COS(RADIANS($AI$477))*COS(RADIANS($AH$477))*COS(RADIANS(AG544))+SIN(RADIANS($AI$477))*SIN(RADIANS($AH$477)))))</f>
        <v>26.816302428045219</v>
      </c>
      <c r="AI544" s="38">
        <f t="shared" si="521"/>
        <v>283.24361032975276</v>
      </c>
      <c r="AL544" s="39">
        <v>0.69791666666666596</v>
      </c>
      <c r="AM544" s="38">
        <f t="shared" si="522"/>
        <v>-71.25</v>
      </c>
      <c r="AN544" s="38">
        <f t="shared" ref="AN544:AN569" si="530">IF((DEGREES(ASIN(COS(RADIANS($AO$477))*COS(RADIANS($AN$477))*COS(RADIANS(AM544))+SIN(RADIANS($AO$477))*SIN(RADIANS($AN$477)))))&lt;0,0,DEGREES(ASIN(COS(RADIANS($AO$477))*COS(RADIANS($AN$477))*COS(RADIANS(AM544))+SIN(RADIANS($AO$477))*SIN(RADIANS($AN$477)))))</f>
        <v>3.9317047480627632</v>
      </c>
      <c r="AO544" s="38">
        <f t="shared" si="523"/>
        <v>240.88380526503175</v>
      </c>
    </row>
    <row r="545" spans="2:41" x14ac:dyDescent="0.25">
      <c r="B545" s="39">
        <v>0.70833333333333304</v>
      </c>
      <c r="C545" s="38">
        <f t="shared" si="510"/>
        <v>-75</v>
      </c>
      <c r="D545" s="38">
        <f t="shared" si="524"/>
        <v>3.9806023907424599</v>
      </c>
      <c r="E545" s="38">
        <f t="shared" si="511"/>
        <v>247.42289216802021</v>
      </c>
      <c r="H545" s="39">
        <v>0.70833333333333304</v>
      </c>
      <c r="I545" s="38">
        <f t="shared" si="512"/>
        <v>-75</v>
      </c>
      <c r="J545" s="38">
        <f t="shared" si="525"/>
        <v>8.8424843209748119</v>
      </c>
      <c r="K545" s="38">
        <f t="shared" si="513"/>
        <v>255.31197177717854</v>
      </c>
      <c r="N545" s="39">
        <v>0.70833333333333304</v>
      </c>
      <c r="O545" s="38">
        <f t="shared" si="514"/>
        <v>-75</v>
      </c>
      <c r="P545" s="38">
        <f t="shared" si="526"/>
        <v>15.051271742006362</v>
      </c>
      <c r="Q545" s="38">
        <f t="shared" si="515"/>
        <v>266.18421264331801</v>
      </c>
      <c r="T545" s="39">
        <v>0.70833333333333304</v>
      </c>
      <c r="U545" s="38">
        <f t="shared" si="516"/>
        <v>-75</v>
      </c>
      <c r="V545" s="38">
        <f t="shared" si="527"/>
        <v>20.094408212134532</v>
      </c>
      <c r="W545" s="38">
        <f t="shared" si="517"/>
        <v>276.30699408544757</v>
      </c>
      <c r="Z545" s="39">
        <v>0.70833333333333304</v>
      </c>
      <c r="AA545" s="38">
        <f t="shared" si="518"/>
        <v>-75</v>
      </c>
      <c r="AB545" s="38">
        <f t="shared" si="528"/>
        <v>23.081833865003894</v>
      </c>
      <c r="AC545" s="38">
        <f t="shared" si="519"/>
        <v>283.28143846255932</v>
      </c>
      <c r="AF545" s="39">
        <v>0.70833333333333304</v>
      </c>
      <c r="AG545" s="38">
        <f t="shared" si="520"/>
        <v>-75</v>
      </c>
      <c r="AH545" s="38">
        <f t="shared" si="529"/>
        <v>23.63600454935963</v>
      </c>
      <c r="AI545" s="38">
        <f t="shared" si="521"/>
        <v>284.69392403052012</v>
      </c>
      <c r="AL545" s="39">
        <v>0.70833333333333304</v>
      </c>
      <c r="AM545" s="38">
        <f t="shared" si="522"/>
        <v>-75</v>
      </c>
      <c r="AN545" s="38">
        <f t="shared" si="530"/>
        <v>1.0425877010819102</v>
      </c>
      <c r="AO545" s="38">
        <f t="shared" si="523"/>
        <v>242.77413702084823</v>
      </c>
    </row>
    <row r="546" spans="2:41" x14ac:dyDescent="0.25">
      <c r="B546" s="39">
        <v>0.718749999999999</v>
      </c>
      <c r="C546" s="38">
        <f t="shared" si="510"/>
        <v>-78.75</v>
      </c>
      <c r="D546" s="38">
        <f t="shared" si="524"/>
        <v>0.93431249689201767</v>
      </c>
      <c r="E546" s="38">
        <f t="shared" si="511"/>
        <v>249.29788258050161</v>
      </c>
      <c r="H546" s="39">
        <v>0.718749999999999</v>
      </c>
      <c r="I546" s="38">
        <f t="shared" si="512"/>
        <v>-78.75</v>
      </c>
      <c r="J546" s="38">
        <f t="shared" si="525"/>
        <v>5.6588938422367825</v>
      </c>
      <c r="K546" s="38">
        <f t="shared" si="513"/>
        <v>257.23404902869999</v>
      </c>
      <c r="N546" s="39">
        <v>0.718749999999999</v>
      </c>
      <c r="O546" s="38">
        <f t="shared" si="514"/>
        <v>-78.75</v>
      </c>
      <c r="P546" s="38">
        <f t="shared" si="526"/>
        <v>11.778277554284251</v>
      </c>
      <c r="Q546" s="38">
        <f t="shared" si="515"/>
        <v>268.0466682707239</v>
      </c>
      <c r="T546" s="39">
        <v>0.718749999999999</v>
      </c>
      <c r="U546" s="38">
        <f t="shared" si="516"/>
        <v>-78.75</v>
      </c>
      <c r="V546" s="38">
        <f t="shared" si="527"/>
        <v>16.842735146975919</v>
      </c>
      <c r="W546" s="38">
        <f t="shared" si="517"/>
        <v>277.99382809263966</v>
      </c>
      <c r="Z546" s="39">
        <v>0.718749999999999</v>
      </c>
      <c r="AA546" s="38">
        <f t="shared" si="518"/>
        <v>-78.75</v>
      </c>
      <c r="AB546" s="38">
        <f t="shared" si="528"/>
        <v>19.902477425593524</v>
      </c>
      <c r="AC546" s="38">
        <f t="shared" si="519"/>
        <v>284.79149484341644</v>
      </c>
      <c r="AF546" s="39">
        <v>0.718749999999999</v>
      </c>
      <c r="AG546" s="38">
        <f t="shared" si="520"/>
        <v>-78.75</v>
      </c>
      <c r="AH546" s="38">
        <f t="shared" si="529"/>
        <v>20.476887020474013</v>
      </c>
      <c r="AI546" s="38">
        <f t="shared" si="521"/>
        <v>286.16368661424912</v>
      </c>
      <c r="AL546" s="39">
        <v>0.718749999999999</v>
      </c>
      <c r="AM546" s="38">
        <f t="shared" si="522"/>
        <v>-78.75</v>
      </c>
      <c r="AN546" s="38">
        <f t="shared" si="530"/>
        <v>0</v>
      </c>
      <c r="AO546" s="38">
        <f t="shared" si="523"/>
        <v>243.42913169308855</v>
      </c>
    </row>
    <row r="547" spans="2:41" x14ac:dyDescent="0.25">
      <c r="B547" s="39">
        <v>0.72916666666666596</v>
      </c>
      <c r="C547" s="38">
        <f t="shared" si="510"/>
        <v>-82.5</v>
      </c>
      <c r="D547" s="38">
        <f t="shared" si="524"/>
        <v>0</v>
      </c>
      <c r="E547" s="38">
        <f t="shared" si="511"/>
        <v>249.85519203924551</v>
      </c>
      <c r="H547" s="39">
        <v>0.72916666666666596</v>
      </c>
      <c r="I547" s="38">
        <f t="shared" si="512"/>
        <v>-82.5</v>
      </c>
      <c r="J547" s="38">
        <f t="shared" si="525"/>
        <v>2.4513254600836665</v>
      </c>
      <c r="K547" s="38">
        <f t="shared" si="513"/>
        <v>259.1048043846086</v>
      </c>
      <c r="N547" s="39">
        <v>0.72916666666666596</v>
      </c>
      <c r="O547" s="38">
        <f t="shared" si="514"/>
        <v>-82.5</v>
      </c>
      <c r="P547" s="38">
        <f t="shared" si="526"/>
        <v>8.5016694215855537</v>
      </c>
      <c r="Q547" s="38">
        <f t="shared" si="515"/>
        <v>269.88038406649605</v>
      </c>
      <c r="T547" s="39">
        <v>0.72916666666666596</v>
      </c>
      <c r="U547" s="38">
        <f t="shared" si="516"/>
        <v>-82.5</v>
      </c>
      <c r="V547" s="38">
        <f t="shared" si="527"/>
        <v>13.604468496767481</v>
      </c>
      <c r="W547" s="38">
        <f t="shared" si="517"/>
        <v>279.67989719526912</v>
      </c>
      <c r="Z547" s="39">
        <v>0.72916666666666596</v>
      </c>
      <c r="AA547" s="38">
        <f t="shared" si="518"/>
        <v>-82.5</v>
      </c>
      <c r="AB547" s="38">
        <f t="shared" si="528"/>
        <v>16.74532951014211</v>
      </c>
      <c r="AC547" s="38">
        <f t="shared" si="519"/>
        <v>286.32343572706782</v>
      </c>
      <c r="AF547" s="39">
        <v>0.72916666666666596</v>
      </c>
      <c r="AG547" s="38">
        <f t="shared" si="520"/>
        <v>-82.5</v>
      </c>
      <c r="AH547" s="38">
        <f t="shared" si="529"/>
        <v>17.341384212199728</v>
      </c>
      <c r="AI547" s="38">
        <f t="shared" si="521"/>
        <v>287.66014205849046</v>
      </c>
      <c r="AL547" s="39">
        <v>0.72916666666666596</v>
      </c>
      <c r="AM547" s="38">
        <f t="shared" si="522"/>
        <v>-82.5</v>
      </c>
      <c r="AN547" s="38">
        <f t="shared" si="530"/>
        <v>0</v>
      </c>
      <c r="AO547" s="38">
        <f t="shared" si="523"/>
        <v>243.42913169308855</v>
      </c>
    </row>
    <row r="548" spans="2:41" x14ac:dyDescent="0.25">
      <c r="B548" s="39">
        <v>0.73958333333333204</v>
      </c>
      <c r="C548" s="38">
        <f t="shared" si="510"/>
        <v>-86.25</v>
      </c>
      <c r="D548" s="38">
        <f t="shared" si="524"/>
        <v>0</v>
      </c>
      <c r="E548" s="38">
        <f t="shared" si="511"/>
        <v>249.85519203924551</v>
      </c>
      <c r="H548" s="39">
        <v>0.73958333333333204</v>
      </c>
      <c r="I548" s="38">
        <f t="shared" si="512"/>
        <v>-86.25</v>
      </c>
      <c r="J548" s="38">
        <f t="shared" si="525"/>
        <v>0</v>
      </c>
      <c r="K548" s="38">
        <f t="shared" si="513"/>
        <v>260.4996370717837</v>
      </c>
      <c r="N548" s="39">
        <v>0.73958333333333204</v>
      </c>
      <c r="O548" s="38">
        <f t="shared" si="514"/>
        <v>-86.25</v>
      </c>
      <c r="P548" s="38">
        <f t="shared" si="526"/>
        <v>5.2248361178513711</v>
      </c>
      <c r="Q548" s="38">
        <f t="shared" si="515"/>
        <v>271.69806032459996</v>
      </c>
      <c r="T548" s="39">
        <v>0.73958333333333204</v>
      </c>
      <c r="U548" s="38">
        <f t="shared" si="516"/>
        <v>-86.25</v>
      </c>
      <c r="V548" s="38">
        <f t="shared" si="527"/>
        <v>10.382459749151513</v>
      </c>
      <c r="W548" s="38">
        <f t="shared" si="517"/>
        <v>281.37577068119003</v>
      </c>
      <c r="Z548" s="39">
        <v>0.73958333333333204</v>
      </c>
      <c r="AA548" s="38">
        <f t="shared" si="518"/>
        <v>-86.25</v>
      </c>
      <c r="AB548" s="38">
        <f t="shared" si="528"/>
        <v>13.613046915231564</v>
      </c>
      <c r="AC548" s="38">
        <f t="shared" si="519"/>
        <v>287.884980737614</v>
      </c>
      <c r="AF548" s="39">
        <v>0.73958333333333204</v>
      </c>
      <c r="AG548" s="38">
        <f t="shared" si="520"/>
        <v>-86.25</v>
      </c>
      <c r="AH548" s="38">
        <f t="shared" si="529"/>
        <v>14.232141959296721</v>
      </c>
      <c r="AI548" s="38">
        <f t="shared" si="521"/>
        <v>289.19033021171845</v>
      </c>
      <c r="AL548" s="39">
        <v>0.73958333333333204</v>
      </c>
      <c r="AM548" s="38">
        <f t="shared" si="522"/>
        <v>-86.25</v>
      </c>
      <c r="AN548" s="38">
        <f t="shared" si="530"/>
        <v>0</v>
      </c>
      <c r="AO548" s="38">
        <f t="shared" si="523"/>
        <v>243.42913169308855</v>
      </c>
    </row>
    <row r="549" spans="2:41" x14ac:dyDescent="0.25">
      <c r="B549" s="39">
        <v>0.749999999999999</v>
      </c>
      <c r="C549" s="38">
        <f t="shared" si="510"/>
        <v>-90</v>
      </c>
      <c r="D549" s="38">
        <f t="shared" si="524"/>
        <v>0</v>
      </c>
      <c r="E549" s="38">
        <f t="shared" si="511"/>
        <v>249.85519203924551</v>
      </c>
      <c r="H549" s="39">
        <v>0.749999999999999</v>
      </c>
      <c r="I549" s="38">
        <f t="shared" si="512"/>
        <v>-90</v>
      </c>
      <c r="J549" s="38">
        <f t="shared" si="525"/>
        <v>0</v>
      </c>
      <c r="K549" s="38">
        <f t="shared" si="513"/>
        <v>260.4996370717837</v>
      </c>
      <c r="N549" s="39">
        <v>0.749999999999999</v>
      </c>
      <c r="O549" s="38">
        <f t="shared" si="514"/>
        <v>-90</v>
      </c>
      <c r="P549" s="38">
        <f t="shared" si="526"/>
        <v>1.9510766725967672</v>
      </c>
      <c r="Q549" s="38">
        <f t="shared" si="515"/>
        <v>273.51182934170981</v>
      </c>
      <c r="T549" s="39">
        <v>0.749999999999999</v>
      </c>
      <c r="U549" s="38">
        <f t="shared" si="516"/>
        <v>-90</v>
      </c>
      <c r="V549" s="38">
        <f t="shared" si="527"/>
        <v>7.1796941081018506</v>
      </c>
      <c r="W549" s="38">
        <f t="shared" si="517"/>
        <v>283.09158453138394</v>
      </c>
      <c r="Z549" s="39">
        <v>0.749999999999999</v>
      </c>
      <c r="AA549" s="38">
        <f t="shared" si="518"/>
        <v>-90</v>
      </c>
      <c r="AB549" s="38">
        <f t="shared" si="528"/>
        <v>10.508522694850116</v>
      </c>
      <c r="AC549" s="38">
        <f t="shared" si="519"/>
        <v>289.48371408277904</v>
      </c>
      <c r="AF549" s="39">
        <v>0.749999999999999</v>
      </c>
      <c r="AG549" s="38">
        <f t="shared" si="520"/>
        <v>-90</v>
      </c>
      <c r="AH549" s="38">
        <f t="shared" si="529"/>
        <v>11.152054967319165</v>
      </c>
      <c r="AI549" s="38">
        <f t="shared" si="521"/>
        <v>290.76123341972379</v>
      </c>
      <c r="AL549" s="39">
        <v>0.749999999999999</v>
      </c>
      <c r="AM549" s="38">
        <f t="shared" si="522"/>
        <v>-90</v>
      </c>
      <c r="AN549" s="38">
        <f t="shared" si="530"/>
        <v>0</v>
      </c>
      <c r="AO549" s="38">
        <f t="shared" si="523"/>
        <v>243.42913169308855</v>
      </c>
    </row>
    <row r="550" spans="2:41" x14ac:dyDescent="0.25">
      <c r="B550" s="39">
        <v>0.76041666666666596</v>
      </c>
      <c r="C550" s="38">
        <f t="shared" si="510"/>
        <v>-93.75</v>
      </c>
      <c r="D550" s="38">
        <f t="shared" si="524"/>
        <v>0</v>
      </c>
      <c r="E550" s="38">
        <f t="shared" si="511"/>
        <v>249.85519203924551</v>
      </c>
      <c r="H550" s="39">
        <v>0.76041666666666596</v>
      </c>
      <c r="I550" s="38">
        <f t="shared" si="512"/>
        <v>-93.75</v>
      </c>
      <c r="J550" s="38">
        <f t="shared" si="525"/>
        <v>0</v>
      </c>
      <c r="K550" s="38">
        <f t="shared" si="513"/>
        <v>260.4996370717837</v>
      </c>
      <c r="N550" s="39">
        <v>0.76041666666666596</v>
      </c>
      <c r="O550" s="38">
        <f t="shared" si="514"/>
        <v>-93.75</v>
      </c>
      <c r="P550" s="38">
        <f t="shared" si="526"/>
        <v>0</v>
      </c>
      <c r="Q550" s="38">
        <f t="shared" si="515"/>
        <v>274.59738166832204</v>
      </c>
      <c r="T550" s="39">
        <v>0.76041666666666596</v>
      </c>
      <c r="U550" s="38">
        <f t="shared" si="516"/>
        <v>-93.75</v>
      </c>
      <c r="V550" s="38">
        <f t="shared" si="527"/>
        <v>3.9993524973288235</v>
      </c>
      <c r="W550" s="38">
        <f t="shared" si="517"/>
        <v>284.83727786470769</v>
      </c>
      <c r="Z550" s="39">
        <v>0.76041666666666596</v>
      </c>
      <c r="AA550" s="38">
        <f t="shared" si="518"/>
        <v>-93.75</v>
      </c>
      <c r="AB550" s="38">
        <f t="shared" si="528"/>
        <v>7.4349294898703304</v>
      </c>
      <c r="AC550" s="38">
        <f t="shared" si="519"/>
        <v>291.1272281923155</v>
      </c>
      <c r="AF550" s="39">
        <v>0.76041666666666596</v>
      </c>
      <c r="AG550" s="38">
        <f t="shared" si="520"/>
        <v>-93.75</v>
      </c>
      <c r="AH550" s="38">
        <f t="shared" si="529"/>
        <v>8.1043070057537481</v>
      </c>
      <c r="AI550" s="38">
        <f t="shared" si="521"/>
        <v>292.3798968163652</v>
      </c>
      <c r="AL550" s="39">
        <v>0.76041666666666596</v>
      </c>
      <c r="AM550" s="38">
        <f t="shared" si="522"/>
        <v>-93.75</v>
      </c>
      <c r="AN550" s="38">
        <f t="shared" si="530"/>
        <v>0</v>
      </c>
      <c r="AO550" s="38">
        <f t="shared" si="523"/>
        <v>243.42913169308855</v>
      </c>
    </row>
    <row r="551" spans="2:41" x14ac:dyDescent="0.25">
      <c r="B551" s="39">
        <v>0.77083333333333204</v>
      </c>
      <c r="C551" s="38">
        <f t="shared" si="510"/>
        <v>-97.5</v>
      </c>
      <c r="D551" s="38">
        <f t="shared" si="524"/>
        <v>0</v>
      </c>
      <c r="E551" s="38">
        <f t="shared" si="511"/>
        <v>249.85519203924551</v>
      </c>
      <c r="H551" s="39">
        <v>0.77083333333333204</v>
      </c>
      <c r="I551" s="38">
        <f t="shared" si="512"/>
        <v>-97.5</v>
      </c>
      <c r="J551" s="38">
        <f t="shared" si="525"/>
        <v>0</v>
      </c>
      <c r="K551" s="38">
        <f t="shared" si="513"/>
        <v>260.4996370717837</v>
      </c>
      <c r="N551" s="39">
        <v>0.77083333333333204</v>
      </c>
      <c r="O551" s="38">
        <f t="shared" si="514"/>
        <v>-97.5</v>
      </c>
      <c r="P551" s="38">
        <f t="shared" si="526"/>
        <v>0</v>
      </c>
      <c r="Q551" s="38">
        <f t="shared" si="515"/>
        <v>274.59738166832204</v>
      </c>
      <c r="T551" s="39">
        <v>0.77083333333333204</v>
      </c>
      <c r="U551" s="38">
        <f t="shared" si="516"/>
        <v>-97.5</v>
      </c>
      <c r="V551" s="38">
        <f t="shared" si="527"/>
        <v>0.84487497082691032</v>
      </c>
      <c r="W551" s="38">
        <f t="shared" si="517"/>
        <v>286.62279786348262</v>
      </c>
      <c r="Z551" s="39">
        <v>0.77083333333333204</v>
      </c>
      <c r="AA551" s="38">
        <f t="shared" si="518"/>
        <v>-97.5</v>
      </c>
      <c r="AB551" s="38">
        <f t="shared" si="528"/>
        <v>4.3957662688924266</v>
      </c>
      <c r="AC551" s="38">
        <f t="shared" si="519"/>
        <v>292.82324386762787</v>
      </c>
      <c r="AF551" s="39">
        <v>0.77083333333333204</v>
      </c>
      <c r="AG551" s="38">
        <f t="shared" si="520"/>
        <v>-97.5</v>
      </c>
      <c r="AH551" s="38">
        <f t="shared" si="529"/>
        <v>5.0924146750739654</v>
      </c>
      <c r="AI551" s="38">
        <f t="shared" si="521"/>
        <v>294.05352838738099</v>
      </c>
      <c r="AL551" s="39">
        <v>0.77083333333333204</v>
      </c>
      <c r="AM551" s="38">
        <f t="shared" si="522"/>
        <v>-97.5</v>
      </c>
      <c r="AN551" s="38">
        <f t="shared" si="530"/>
        <v>0</v>
      </c>
      <c r="AO551" s="38">
        <f t="shared" si="523"/>
        <v>243.42913169308855</v>
      </c>
    </row>
    <row r="552" spans="2:41" x14ac:dyDescent="0.25">
      <c r="B552" s="39">
        <v>0.781249999999999</v>
      </c>
      <c r="C552" s="38">
        <f t="shared" si="510"/>
        <v>-101.25</v>
      </c>
      <c r="D552" s="38">
        <f t="shared" si="524"/>
        <v>0</v>
      </c>
      <c r="E552" s="38">
        <f t="shared" si="511"/>
        <v>249.85519203924551</v>
      </c>
      <c r="H552" s="39">
        <v>0.781249999999999</v>
      </c>
      <c r="I552" s="38">
        <f t="shared" si="512"/>
        <v>-101.25</v>
      </c>
      <c r="J552" s="38">
        <f t="shared" si="525"/>
        <v>0</v>
      </c>
      <c r="K552" s="38">
        <f t="shared" si="513"/>
        <v>260.4996370717837</v>
      </c>
      <c r="N552" s="39">
        <v>0.781249999999999</v>
      </c>
      <c r="O552" s="38">
        <f t="shared" si="514"/>
        <v>-101.25</v>
      </c>
      <c r="P552" s="38">
        <f t="shared" si="526"/>
        <v>0</v>
      </c>
      <c r="Q552" s="38">
        <f t="shared" si="515"/>
        <v>274.59738166832204</v>
      </c>
      <c r="T552" s="39">
        <v>0.781249999999999</v>
      </c>
      <c r="U552" s="38">
        <f t="shared" si="516"/>
        <v>-101.25</v>
      </c>
      <c r="V552" s="38">
        <f t="shared" si="527"/>
        <v>0</v>
      </c>
      <c r="W552" s="38">
        <f t="shared" si="517"/>
        <v>287.11190742150467</v>
      </c>
      <c r="Z552" s="39">
        <v>0.781249999999999</v>
      </c>
      <c r="AA552" s="38">
        <f t="shared" si="518"/>
        <v>-101.25</v>
      </c>
      <c r="AB552" s="38">
        <f t="shared" si="528"/>
        <v>1.3949093661271876</v>
      </c>
      <c r="AC552" s="38">
        <f t="shared" si="519"/>
        <v>294.57971156973332</v>
      </c>
      <c r="AF552" s="39">
        <v>0.781249999999999</v>
      </c>
      <c r="AG552" s="38">
        <f t="shared" si="520"/>
        <v>-101.25</v>
      </c>
      <c r="AH552" s="38">
        <f t="shared" si="529"/>
        <v>2.1202753980372413</v>
      </c>
      <c r="AI552" s="38">
        <f t="shared" si="521"/>
        <v>295.78958228696058</v>
      </c>
      <c r="AL552" s="39">
        <v>0.781249999999999</v>
      </c>
      <c r="AM552" s="38">
        <f t="shared" si="522"/>
        <v>-101.25</v>
      </c>
      <c r="AN552" s="38">
        <f t="shared" si="530"/>
        <v>0</v>
      </c>
      <c r="AO552" s="38">
        <f t="shared" si="523"/>
        <v>243.42913169308855</v>
      </c>
    </row>
    <row r="553" spans="2:41" x14ac:dyDescent="0.25">
      <c r="B553" s="39">
        <v>0.79166666666666596</v>
      </c>
      <c r="C553" s="38">
        <f t="shared" si="510"/>
        <v>-105</v>
      </c>
      <c r="D553" s="38">
        <f t="shared" si="524"/>
        <v>0</v>
      </c>
      <c r="E553" s="38">
        <f t="shared" si="511"/>
        <v>249.85519203924551</v>
      </c>
      <c r="H553" s="39">
        <v>0.79166666666666596</v>
      </c>
      <c r="I553" s="38">
        <f t="shared" si="512"/>
        <v>-105</v>
      </c>
      <c r="J553" s="38">
        <f t="shared" si="525"/>
        <v>0</v>
      </c>
      <c r="K553" s="38">
        <f t="shared" si="513"/>
        <v>260.4996370717837</v>
      </c>
      <c r="N553" s="39">
        <v>0.79166666666666596</v>
      </c>
      <c r="O553" s="38">
        <f t="shared" si="514"/>
        <v>-105</v>
      </c>
      <c r="P553" s="38">
        <f t="shared" si="526"/>
        <v>0</v>
      </c>
      <c r="Q553" s="38">
        <f t="shared" si="515"/>
        <v>274.59738166832204</v>
      </c>
      <c r="T553" s="39">
        <v>0.79166666666666596</v>
      </c>
      <c r="U553" s="38">
        <f t="shared" si="516"/>
        <v>-105</v>
      </c>
      <c r="V553" s="38">
        <f t="shared" si="527"/>
        <v>0</v>
      </c>
      <c r="W553" s="38">
        <f t="shared" si="517"/>
        <v>287.11190742150467</v>
      </c>
      <c r="Z553" s="39">
        <v>0.79166666666666596</v>
      </c>
      <c r="AA553" s="38">
        <f t="shared" si="518"/>
        <v>-105</v>
      </c>
      <c r="AB553" s="38">
        <f t="shared" si="528"/>
        <v>0</v>
      </c>
      <c r="AC553" s="38">
        <f t="shared" si="519"/>
        <v>295.42782328735052</v>
      </c>
      <c r="AF553" s="39">
        <v>0.79166666666666596</v>
      </c>
      <c r="AG553" s="38">
        <f t="shared" si="520"/>
        <v>-105</v>
      </c>
      <c r="AH553" s="38">
        <f t="shared" si="529"/>
        <v>0</v>
      </c>
      <c r="AI553" s="38">
        <f t="shared" si="521"/>
        <v>297.0871391084072</v>
      </c>
      <c r="AL553" s="39">
        <v>0.79166666666666596</v>
      </c>
      <c r="AM553" s="38">
        <f t="shared" si="522"/>
        <v>-105</v>
      </c>
      <c r="AN553" s="38">
        <f t="shared" si="530"/>
        <v>0</v>
      </c>
      <c r="AO553" s="38">
        <f t="shared" si="523"/>
        <v>243.42913169308855</v>
      </c>
    </row>
    <row r="554" spans="2:41" x14ac:dyDescent="0.25">
      <c r="B554" s="39">
        <v>0.80208333333333204</v>
      </c>
      <c r="C554" s="38">
        <f t="shared" si="510"/>
        <v>-108.75</v>
      </c>
      <c r="D554" s="38">
        <f t="shared" si="524"/>
        <v>0</v>
      </c>
      <c r="E554" s="38">
        <f t="shared" si="511"/>
        <v>249.85519203924551</v>
      </c>
      <c r="H554" s="39">
        <v>0.80208333333333204</v>
      </c>
      <c r="I554" s="38">
        <f t="shared" si="512"/>
        <v>-108.75</v>
      </c>
      <c r="J554" s="38">
        <f t="shared" si="525"/>
        <v>0</v>
      </c>
      <c r="K554" s="38">
        <f t="shared" si="513"/>
        <v>260.4996370717837</v>
      </c>
      <c r="N554" s="39">
        <v>0.80208333333333204</v>
      </c>
      <c r="O554" s="38">
        <f t="shared" si="514"/>
        <v>-108.75</v>
      </c>
      <c r="P554" s="38">
        <f t="shared" si="526"/>
        <v>0</v>
      </c>
      <c r="Q554" s="38">
        <f t="shared" si="515"/>
        <v>274.59738166832204</v>
      </c>
      <c r="T554" s="39">
        <v>0.80208333333333204</v>
      </c>
      <c r="U554" s="38">
        <f t="shared" si="516"/>
        <v>-108.75</v>
      </c>
      <c r="V554" s="38">
        <f t="shared" si="527"/>
        <v>0</v>
      </c>
      <c r="W554" s="38">
        <f t="shared" si="517"/>
        <v>287.11190742150467</v>
      </c>
      <c r="Z554" s="39">
        <v>0.80208333333333204</v>
      </c>
      <c r="AA554" s="38">
        <f t="shared" si="518"/>
        <v>-108.75</v>
      </c>
      <c r="AB554" s="38">
        <f t="shared" si="528"/>
        <v>0</v>
      </c>
      <c r="AC554" s="38">
        <f t="shared" si="519"/>
        <v>295.42782328735052</v>
      </c>
      <c r="AF554" s="39">
        <v>0.80208333333333204</v>
      </c>
      <c r="AG554" s="38">
        <f t="shared" si="520"/>
        <v>-108.75</v>
      </c>
      <c r="AH554" s="38">
        <f t="shared" si="529"/>
        <v>0</v>
      </c>
      <c r="AI554" s="38">
        <f t="shared" si="521"/>
        <v>297.0871391084072</v>
      </c>
      <c r="AL554" s="39">
        <v>0.80208333333333204</v>
      </c>
      <c r="AM554" s="38">
        <f t="shared" si="522"/>
        <v>-108.75</v>
      </c>
      <c r="AN554" s="38">
        <f t="shared" si="530"/>
        <v>0</v>
      </c>
      <c r="AO554" s="38">
        <f t="shared" si="523"/>
        <v>243.42913169308855</v>
      </c>
    </row>
    <row r="555" spans="2:41" x14ac:dyDescent="0.25">
      <c r="B555" s="39">
        <v>0.812499999999999</v>
      </c>
      <c r="C555" s="38">
        <f t="shared" si="510"/>
        <v>-112.5</v>
      </c>
      <c r="D555" s="38">
        <f t="shared" si="524"/>
        <v>0</v>
      </c>
      <c r="E555" s="38">
        <f t="shared" si="511"/>
        <v>249.85519203924551</v>
      </c>
      <c r="H555" s="39">
        <v>0.812499999999999</v>
      </c>
      <c r="I555" s="38">
        <f t="shared" si="512"/>
        <v>-112.5</v>
      </c>
      <c r="J555" s="38">
        <f t="shared" si="525"/>
        <v>0</v>
      </c>
      <c r="K555" s="38">
        <f t="shared" si="513"/>
        <v>260.4996370717837</v>
      </c>
      <c r="N555" s="39">
        <v>0.812499999999999</v>
      </c>
      <c r="O555" s="38">
        <f t="shared" si="514"/>
        <v>-112.5</v>
      </c>
      <c r="P555" s="38">
        <f t="shared" si="526"/>
        <v>0</v>
      </c>
      <c r="Q555" s="38">
        <f t="shared" si="515"/>
        <v>274.59738166832204</v>
      </c>
      <c r="T555" s="39">
        <v>0.812499999999999</v>
      </c>
      <c r="U555" s="38">
        <f t="shared" si="516"/>
        <v>-112.5</v>
      </c>
      <c r="V555" s="38">
        <f t="shared" si="527"/>
        <v>0</v>
      </c>
      <c r="W555" s="38">
        <f t="shared" si="517"/>
        <v>287.11190742150467</v>
      </c>
      <c r="Z555" s="39">
        <v>0.812499999999999</v>
      </c>
      <c r="AA555" s="38">
        <f t="shared" si="518"/>
        <v>-112.5</v>
      </c>
      <c r="AB555" s="38">
        <f t="shared" si="528"/>
        <v>0</v>
      </c>
      <c r="AC555" s="38">
        <f t="shared" si="519"/>
        <v>295.42782328735052</v>
      </c>
      <c r="AF555" s="39">
        <v>0.812499999999999</v>
      </c>
      <c r="AG555" s="38">
        <f t="shared" si="520"/>
        <v>-112.5</v>
      </c>
      <c r="AH555" s="38">
        <f t="shared" si="529"/>
        <v>0</v>
      </c>
      <c r="AI555" s="38">
        <f t="shared" si="521"/>
        <v>297.0871391084072</v>
      </c>
      <c r="AL555" s="39">
        <v>0.812499999999999</v>
      </c>
      <c r="AM555" s="38">
        <f t="shared" si="522"/>
        <v>-112.5</v>
      </c>
      <c r="AN555" s="38">
        <f t="shared" si="530"/>
        <v>0</v>
      </c>
      <c r="AO555" s="38">
        <f t="shared" si="523"/>
        <v>243.42913169308855</v>
      </c>
    </row>
    <row r="556" spans="2:41" x14ac:dyDescent="0.25">
      <c r="B556" s="39">
        <v>0.82291666666666596</v>
      </c>
      <c r="C556" s="38">
        <f t="shared" si="510"/>
        <v>-116.25</v>
      </c>
      <c r="D556" s="38">
        <f t="shared" si="524"/>
        <v>0</v>
      </c>
      <c r="E556" s="38">
        <f t="shared" si="511"/>
        <v>249.85519203924551</v>
      </c>
      <c r="H556" s="39">
        <v>0.82291666666666596</v>
      </c>
      <c r="I556" s="38">
        <f t="shared" si="512"/>
        <v>-116.25</v>
      </c>
      <c r="J556" s="38">
        <f t="shared" si="525"/>
        <v>0</v>
      </c>
      <c r="K556" s="38">
        <f t="shared" si="513"/>
        <v>260.4996370717837</v>
      </c>
      <c r="N556" s="39">
        <v>0.82291666666666596</v>
      </c>
      <c r="O556" s="38">
        <f t="shared" si="514"/>
        <v>-116.25</v>
      </c>
      <c r="P556" s="38">
        <f t="shared" si="526"/>
        <v>0</v>
      </c>
      <c r="Q556" s="38">
        <f t="shared" si="515"/>
        <v>274.59738166832204</v>
      </c>
      <c r="T556" s="39">
        <v>0.82291666666666596</v>
      </c>
      <c r="U556" s="38">
        <f t="shared" si="516"/>
        <v>-116.25</v>
      </c>
      <c r="V556" s="38">
        <f t="shared" si="527"/>
        <v>0</v>
      </c>
      <c r="W556" s="38">
        <f t="shared" si="517"/>
        <v>287.11190742150467</v>
      </c>
      <c r="Z556" s="39">
        <v>0.82291666666666596</v>
      </c>
      <c r="AA556" s="38">
        <f t="shared" si="518"/>
        <v>-116.25</v>
      </c>
      <c r="AB556" s="38">
        <f t="shared" si="528"/>
        <v>0</v>
      </c>
      <c r="AC556" s="38">
        <f t="shared" si="519"/>
        <v>295.42782328735052</v>
      </c>
      <c r="AF556" s="39">
        <v>0.82291666666666596</v>
      </c>
      <c r="AG556" s="38">
        <f t="shared" si="520"/>
        <v>-116.25</v>
      </c>
      <c r="AH556" s="38">
        <f t="shared" si="529"/>
        <v>0</v>
      </c>
      <c r="AI556" s="38">
        <f t="shared" si="521"/>
        <v>297.0871391084072</v>
      </c>
      <c r="AL556" s="39">
        <v>0.82291666666666596</v>
      </c>
      <c r="AM556" s="38">
        <f t="shared" si="522"/>
        <v>-116.25</v>
      </c>
      <c r="AN556" s="38">
        <f t="shared" si="530"/>
        <v>0</v>
      </c>
      <c r="AO556" s="38">
        <f t="shared" si="523"/>
        <v>243.42913169308855</v>
      </c>
    </row>
    <row r="557" spans="2:41" x14ac:dyDescent="0.25">
      <c r="B557" s="39">
        <v>0.83333333333333204</v>
      </c>
      <c r="C557" s="38">
        <f t="shared" si="510"/>
        <v>-120</v>
      </c>
      <c r="D557" s="38">
        <f t="shared" si="524"/>
        <v>0</v>
      </c>
      <c r="E557" s="38">
        <f t="shared" si="511"/>
        <v>249.85519203924551</v>
      </c>
      <c r="H557" s="39">
        <v>0.83333333333333204</v>
      </c>
      <c r="I557" s="38">
        <f t="shared" si="512"/>
        <v>-120</v>
      </c>
      <c r="J557" s="38">
        <f t="shared" si="525"/>
        <v>0</v>
      </c>
      <c r="K557" s="38">
        <f t="shared" si="513"/>
        <v>260.4996370717837</v>
      </c>
      <c r="N557" s="39">
        <v>0.83333333333333204</v>
      </c>
      <c r="O557" s="38">
        <f t="shared" si="514"/>
        <v>-120</v>
      </c>
      <c r="P557" s="38">
        <f t="shared" si="526"/>
        <v>0</v>
      </c>
      <c r="Q557" s="38">
        <f t="shared" si="515"/>
        <v>274.59738166832204</v>
      </c>
      <c r="T557" s="39">
        <v>0.83333333333333204</v>
      </c>
      <c r="U557" s="38">
        <f t="shared" si="516"/>
        <v>-120</v>
      </c>
      <c r="V557" s="38">
        <f t="shared" si="527"/>
        <v>0</v>
      </c>
      <c r="W557" s="38">
        <f t="shared" si="517"/>
        <v>287.11190742150467</v>
      </c>
      <c r="Z557" s="39">
        <v>0.83333333333333204</v>
      </c>
      <c r="AA557" s="38">
        <f t="shared" si="518"/>
        <v>-120</v>
      </c>
      <c r="AB557" s="38">
        <f t="shared" si="528"/>
        <v>0</v>
      </c>
      <c r="AC557" s="38">
        <f t="shared" si="519"/>
        <v>295.42782328735052</v>
      </c>
      <c r="AF557" s="39">
        <v>0.83333333333333204</v>
      </c>
      <c r="AG557" s="38">
        <f t="shared" si="520"/>
        <v>-120</v>
      </c>
      <c r="AH557" s="38">
        <f t="shared" si="529"/>
        <v>0</v>
      </c>
      <c r="AI557" s="38">
        <f t="shared" si="521"/>
        <v>297.0871391084072</v>
      </c>
      <c r="AL557" s="39">
        <v>0.83333333333333204</v>
      </c>
      <c r="AM557" s="38">
        <f t="shared" si="522"/>
        <v>-120</v>
      </c>
      <c r="AN557" s="38">
        <f t="shared" si="530"/>
        <v>0</v>
      </c>
      <c r="AO557" s="38">
        <f t="shared" si="523"/>
        <v>243.42913169308855</v>
      </c>
    </row>
    <row r="558" spans="2:41" x14ac:dyDescent="0.25">
      <c r="B558" s="39">
        <v>0.843749999999999</v>
      </c>
      <c r="C558" s="38">
        <f t="shared" si="510"/>
        <v>-123.75</v>
      </c>
      <c r="D558" s="38">
        <f t="shared" si="524"/>
        <v>0</v>
      </c>
      <c r="E558" s="38">
        <f t="shared" si="511"/>
        <v>249.85519203924551</v>
      </c>
      <c r="H558" s="39">
        <v>0.843749999999999</v>
      </c>
      <c r="I558" s="38">
        <f t="shared" si="512"/>
        <v>-123.75</v>
      </c>
      <c r="J558" s="38">
        <f t="shared" si="525"/>
        <v>0</v>
      </c>
      <c r="K558" s="38">
        <f t="shared" si="513"/>
        <v>260.4996370717837</v>
      </c>
      <c r="N558" s="39">
        <v>0.843749999999999</v>
      </c>
      <c r="O558" s="38">
        <f t="shared" si="514"/>
        <v>-123.75</v>
      </c>
      <c r="P558" s="38">
        <f t="shared" si="526"/>
        <v>0</v>
      </c>
      <c r="Q558" s="38">
        <f t="shared" si="515"/>
        <v>274.59738166832204</v>
      </c>
      <c r="T558" s="39">
        <v>0.843749999999999</v>
      </c>
      <c r="U558" s="38">
        <f t="shared" si="516"/>
        <v>-123.75</v>
      </c>
      <c r="V558" s="38">
        <f t="shared" si="527"/>
        <v>0</v>
      </c>
      <c r="W558" s="38">
        <f t="shared" si="517"/>
        <v>287.11190742150467</v>
      </c>
      <c r="Z558" s="39">
        <v>0.843749999999999</v>
      </c>
      <c r="AA558" s="38">
        <f t="shared" si="518"/>
        <v>-123.75</v>
      </c>
      <c r="AB558" s="38">
        <f t="shared" si="528"/>
        <v>0</v>
      </c>
      <c r="AC558" s="38">
        <f t="shared" si="519"/>
        <v>295.42782328735052</v>
      </c>
      <c r="AF558" s="39">
        <v>0.843749999999999</v>
      </c>
      <c r="AG558" s="38">
        <f t="shared" si="520"/>
        <v>-123.75</v>
      </c>
      <c r="AH558" s="38">
        <f t="shared" si="529"/>
        <v>0</v>
      </c>
      <c r="AI558" s="38">
        <f t="shared" si="521"/>
        <v>297.0871391084072</v>
      </c>
      <c r="AL558" s="39">
        <v>0.843749999999999</v>
      </c>
      <c r="AM558" s="38">
        <f t="shared" si="522"/>
        <v>-123.75</v>
      </c>
      <c r="AN558" s="38">
        <f t="shared" si="530"/>
        <v>0</v>
      </c>
      <c r="AO558" s="38">
        <f t="shared" si="523"/>
        <v>243.42913169308855</v>
      </c>
    </row>
    <row r="559" spans="2:41" x14ac:dyDescent="0.25">
      <c r="B559" s="39">
        <v>0.85416666666666496</v>
      </c>
      <c r="C559" s="38">
        <f t="shared" si="510"/>
        <v>-127.5</v>
      </c>
      <c r="D559" s="38">
        <f t="shared" si="524"/>
        <v>0</v>
      </c>
      <c r="E559" s="38">
        <f t="shared" si="511"/>
        <v>249.85519203924551</v>
      </c>
      <c r="H559" s="39">
        <v>0.85416666666666496</v>
      </c>
      <c r="I559" s="38">
        <f t="shared" si="512"/>
        <v>-127.5</v>
      </c>
      <c r="J559" s="38">
        <f t="shared" si="525"/>
        <v>0</v>
      </c>
      <c r="K559" s="38">
        <f t="shared" si="513"/>
        <v>260.4996370717837</v>
      </c>
      <c r="N559" s="39">
        <v>0.85416666666666496</v>
      </c>
      <c r="O559" s="38">
        <f t="shared" si="514"/>
        <v>-127.5</v>
      </c>
      <c r="P559" s="38">
        <f t="shared" si="526"/>
        <v>0</v>
      </c>
      <c r="Q559" s="38">
        <f t="shared" si="515"/>
        <v>274.59738166832204</v>
      </c>
      <c r="T559" s="39">
        <v>0.85416666666666496</v>
      </c>
      <c r="U559" s="38">
        <f t="shared" si="516"/>
        <v>-127.5</v>
      </c>
      <c r="V559" s="38">
        <f t="shared" si="527"/>
        <v>0</v>
      </c>
      <c r="W559" s="38">
        <f t="shared" si="517"/>
        <v>287.11190742150467</v>
      </c>
      <c r="Z559" s="39">
        <v>0.85416666666666496</v>
      </c>
      <c r="AA559" s="38">
        <f t="shared" si="518"/>
        <v>-127.5</v>
      </c>
      <c r="AB559" s="38">
        <f t="shared" si="528"/>
        <v>0</v>
      </c>
      <c r="AC559" s="38">
        <f t="shared" si="519"/>
        <v>295.42782328735052</v>
      </c>
      <c r="AF559" s="39">
        <v>0.85416666666666496</v>
      </c>
      <c r="AG559" s="38">
        <f t="shared" si="520"/>
        <v>-127.5</v>
      </c>
      <c r="AH559" s="38">
        <f t="shared" si="529"/>
        <v>0</v>
      </c>
      <c r="AI559" s="38">
        <f t="shared" si="521"/>
        <v>297.0871391084072</v>
      </c>
      <c r="AL559" s="39">
        <v>0.85416666666666496</v>
      </c>
      <c r="AM559" s="38">
        <f t="shared" si="522"/>
        <v>-127.5</v>
      </c>
      <c r="AN559" s="38">
        <f t="shared" si="530"/>
        <v>0</v>
      </c>
      <c r="AO559" s="38">
        <f t="shared" si="523"/>
        <v>243.42913169308855</v>
      </c>
    </row>
    <row r="560" spans="2:41" x14ac:dyDescent="0.25">
      <c r="B560" s="39">
        <v>0.86458333333333204</v>
      </c>
      <c r="C560" s="38">
        <f t="shared" si="510"/>
        <v>-131.25</v>
      </c>
      <c r="D560" s="38">
        <f t="shared" si="524"/>
        <v>0</v>
      </c>
      <c r="E560" s="38">
        <f t="shared" si="511"/>
        <v>249.85519203924551</v>
      </c>
      <c r="H560" s="39">
        <v>0.86458333333333204</v>
      </c>
      <c r="I560" s="38">
        <f t="shared" si="512"/>
        <v>-131.25</v>
      </c>
      <c r="J560" s="38">
        <f t="shared" si="525"/>
        <v>0</v>
      </c>
      <c r="K560" s="38">
        <f t="shared" si="513"/>
        <v>260.4996370717837</v>
      </c>
      <c r="N560" s="39">
        <v>0.86458333333333204</v>
      </c>
      <c r="O560" s="38">
        <f t="shared" si="514"/>
        <v>-131.25</v>
      </c>
      <c r="P560" s="38">
        <f t="shared" si="526"/>
        <v>0</v>
      </c>
      <c r="Q560" s="38">
        <f t="shared" si="515"/>
        <v>274.59738166832204</v>
      </c>
      <c r="T560" s="39">
        <v>0.86458333333333204</v>
      </c>
      <c r="U560" s="38">
        <f t="shared" si="516"/>
        <v>-131.25</v>
      </c>
      <c r="V560" s="38">
        <f t="shared" si="527"/>
        <v>0</v>
      </c>
      <c r="W560" s="38">
        <f t="shared" si="517"/>
        <v>287.11190742150467</v>
      </c>
      <c r="Z560" s="39">
        <v>0.86458333333333204</v>
      </c>
      <c r="AA560" s="38">
        <f t="shared" si="518"/>
        <v>-131.25</v>
      </c>
      <c r="AB560" s="38">
        <f t="shared" si="528"/>
        <v>0</v>
      </c>
      <c r="AC560" s="38">
        <f t="shared" si="519"/>
        <v>295.42782328735052</v>
      </c>
      <c r="AF560" s="39">
        <v>0.86458333333333204</v>
      </c>
      <c r="AG560" s="38">
        <f t="shared" si="520"/>
        <v>-131.25</v>
      </c>
      <c r="AH560" s="38">
        <f t="shared" si="529"/>
        <v>0</v>
      </c>
      <c r="AI560" s="38">
        <f t="shared" si="521"/>
        <v>297.0871391084072</v>
      </c>
      <c r="AL560" s="39">
        <v>0.86458333333333204</v>
      </c>
      <c r="AM560" s="38">
        <f t="shared" si="522"/>
        <v>-131.25</v>
      </c>
      <c r="AN560" s="38">
        <f t="shared" si="530"/>
        <v>0</v>
      </c>
      <c r="AO560" s="38">
        <f t="shared" si="523"/>
        <v>243.42913169308855</v>
      </c>
    </row>
    <row r="561" spans="2:41" x14ac:dyDescent="0.25">
      <c r="B561" s="39">
        <v>0.874999999999999</v>
      </c>
      <c r="C561" s="38">
        <f t="shared" si="510"/>
        <v>-135</v>
      </c>
      <c r="D561" s="38">
        <f t="shared" si="524"/>
        <v>0</v>
      </c>
      <c r="E561" s="38">
        <f t="shared" si="511"/>
        <v>249.85519203924551</v>
      </c>
      <c r="H561" s="39">
        <v>0.874999999999999</v>
      </c>
      <c r="I561" s="38">
        <f t="shared" si="512"/>
        <v>-135</v>
      </c>
      <c r="J561" s="38">
        <f t="shared" si="525"/>
        <v>0</v>
      </c>
      <c r="K561" s="38">
        <f t="shared" si="513"/>
        <v>260.4996370717837</v>
      </c>
      <c r="N561" s="39">
        <v>0.874999999999999</v>
      </c>
      <c r="O561" s="38">
        <f t="shared" si="514"/>
        <v>-135</v>
      </c>
      <c r="P561" s="38">
        <f t="shared" si="526"/>
        <v>0</v>
      </c>
      <c r="Q561" s="38">
        <f t="shared" si="515"/>
        <v>274.59738166832204</v>
      </c>
      <c r="T561" s="39">
        <v>0.874999999999999</v>
      </c>
      <c r="U561" s="38">
        <f t="shared" si="516"/>
        <v>-135</v>
      </c>
      <c r="V561" s="38">
        <f t="shared" si="527"/>
        <v>0</v>
      </c>
      <c r="W561" s="38">
        <f t="shared" si="517"/>
        <v>287.11190742150467</v>
      </c>
      <c r="Z561" s="39">
        <v>0.874999999999999</v>
      </c>
      <c r="AA561" s="38">
        <f t="shared" si="518"/>
        <v>-135</v>
      </c>
      <c r="AB561" s="38">
        <f t="shared" si="528"/>
        <v>0</v>
      </c>
      <c r="AC561" s="38">
        <f t="shared" si="519"/>
        <v>295.42782328735052</v>
      </c>
      <c r="AF561" s="39">
        <v>0.874999999999999</v>
      </c>
      <c r="AG561" s="38">
        <f t="shared" si="520"/>
        <v>-135</v>
      </c>
      <c r="AH561" s="38">
        <f t="shared" si="529"/>
        <v>0</v>
      </c>
      <c r="AI561" s="38">
        <f t="shared" si="521"/>
        <v>297.0871391084072</v>
      </c>
      <c r="AL561" s="39">
        <v>0.874999999999999</v>
      </c>
      <c r="AM561" s="38">
        <f t="shared" si="522"/>
        <v>-135</v>
      </c>
      <c r="AN561" s="38">
        <f t="shared" si="530"/>
        <v>0</v>
      </c>
      <c r="AO561" s="38">
        <f t="shared" si="523"/>
        <v>243.42913169308855</v>
      </c>
    </row>
    <row r="562" spans="2:41" x14ac:dyDescent="0.25">
      <c r="B562" s="39">
        <v>0.88541666666666496</v>
      </c>
      <c r="C562" s="38">
        <f t="shared" si="510"/>
        <v>-138.75</v>
      </c>
      <c r="D562" s="38">
        <f t="shared" si="524"/>
        <v>0</v>
      </c>
      <c r="E562" s="38">
        <f t="shared" si="511"/>
        <v>249.85519203924551</v>
      </c>
      <c r="H562" s="39">
        <v>0.88541666666666496</v>
      </c>
      <c r="I562" s="38">
        <f t="shared" si="512"/>
        <v>-138.75</v>
      </c>
      <c r="J562" s="38">
        <f t="shared" si="525"/>
        <v>0</v>
      </c>
      <c r="K562" s="38">
        <f t="shared" si="513"/>
        <v>260.4996370717837</v>
      </c>
      <c r="N562" s="39">
        <v>0.88541666666666496</v>
      </c>
      <c r="O562" s="38">
        <f t="shared" si="514"/>
        <v>-138.75</v>
      </c>
      <c r="P562" s="38">
        <f t="shared" si="526"/>
        <v>0</v>
      </c>
      <c r="Q562" s="38">
        <f t="shared" si="515"/>
        <v>274.59738166832204</v>
      </c>
      <c r="T562" s="39">
        <v>0.88541666666666496</v>
      </c>
      <c r="U562" s="38">
        <f t="shared" si="516"/>
        <v>-138.75</v>
      </c>
      <c r="V562" s="38">
        <f t="shared" si="527"/>
        <v>0</v>
      </c>
      <c r="W562" s="38">
        <f t="shared" si="517"/>
        <v>287.11190742150467</v>
      </c>
      <c r="Z562" s="39">
        <v>0.88541666666666496</v>
      </c>
      <c r="AA562" s="38">
        <f t="shared" si="518"/>
        <v>-138.75</v>
      </c>
      <c r="AB562" s="38">
        <f t="shared" si="528"/>
        <v>0</v>
      </c>
      <c r="AC562" s="38">
        <f t="shared" si="519"/>
        <v>295.42782328735052</v>
      </c>
      <c r="AF562" s="39">
        <v>0.88541666666666496</v>
      </c>
      <c r="AG562" s="38">
        <f t="shared" si="520"/>
        <v>-138.75</v>
      </c>
      <c r="AH562" s="38">
        <f t="shared" si="529"/>
        <v>0</v>
      </c>
      <c r="AI562" s="38">
        <f t="shared" si="521"/>
        <v>297.0871391084072</v>
      </c>
      <c r="AL562" s="39">
        <v>0.88541666666666496</v>
      </c>
      <c r="AM562" s="38">
        <f t="shared" si="522"/>
        <v>-138.75</v>
      </c>
      <c r="AN562" s="38">
        <f t="shared" si="530"/>
        <v>0</v>
      </c>
      <c r="AO562" s="38">
        <f t="shared" si="523"/>
        <v>243.42913169308855</v>
      </c>
    </row>
    <row r="563" spans="2:41" x14ac:dyDescent="0.25">
      <c r="B563" s="39">
        <v>0.89583333333333204</v>
      </c>
      <c r="C563" s="38">
        <f t="shared" si="510"/>
        <v>-142.5</v>
      </c>
      <c r="D563" s="38">
        <f t="shared" si="524"/>
        <v>0</v>
      </c>
      <c r="E563" s="38">
        <f t="shared" si="511"/>
        <v>249.85519203924551</v>
      </c>
      <c r="H563" s="39">
        <v>0.89583333333333204</v>
      </c>
      <c r="I563" s="38">
        <f t="shared" si="512"/>
        <v>-142.5</v>
      </c>
      <c r="J563" s="38">
        <f t="shared" si="525"/>
        <v>0</v>
      </c>
      <c r="K563" s="38">
        <f t="shared" si="513"/>
        <v>260.4996370717837</v>
      </c>
      <c r="N563" s="39">
        <v>0.89583333333333204</v>
      </c>
      <c r="O563" s="38">
        <f t="shared" si="514"/>
        <v>-142.5</v>
      </c>
      <c r="P563" s="38">
        <f t="shared" si="526"/>
        <v>0</v>
      </c>
      <c r="Q563" s="38">
        <f t="shared" si="515"/>
        <v>274.59738166832204</v>
      </c>
      <c r="T563" s="39">
        <v>0.89583333333333204</v>
      </c>
      <c r="U563" s="38">
        <f t="shared" si="516"/>
        <v>-142.5</v>
      </c>
      <c r="V563" s="38">
        <f t="shared" si="527"/>
        <v>0</v>
      </c>
      <c r="W563" s="38">
        <f t="shared" si="517"/>
        <v>287.11190742150467</v>
      </c>
      <c r="Z563" s="39">
        <v>0.89583333333333204</v>
      </c>
      <c r="AA563" s="38">
        <f t="shared" si="518"/>
        <v>-142.5</v>
      </c>
      <c r="AB563" s="38">
        <f t="shared" si="528"/>
        <v>0</v>
      </c>
      <c r="AC563" s="38">
        <f t="shared" si="519"/>
        <v>295.42782328735052</v>
      </c>
      <c r="AF563" s="39">
        <v>0.89583333333333204</v>
      </c>
      <c r="AG563" s="38">
        <f t="shared" si="520"/>
        <v>-142.5</v>
      </c>
      <c r="AH563" s="38">
        <f t="shared" si="529"/>
        <v>0</v>
      </c>
      <c r="AI563" s="38">
        <f t="shared" si="521"/>
        <v>297.0871391084072</v>
      </c>
      <c r="AL563" s="39">
        <v>0.89583333333333204</v>
      </c>
      <c r="AM563" s="38">
        <f t="shared" si="522"/>
        <v>-142.5</v>
      </c>
      <c r="AN563" s="38">
        <f t="shared" si="530"/>
        <v>0</v>
      </c>
      <c r="AO563" s="38">
        <f t="shared" si="523"/>
        <v>243.42913169308855</v>
      </c>
    </row>
    <row r="564" spans="2:41" x14ac:dyDescent="0.25">
      <c r="B564" s="39">
        <v>0.906249999999999</v>
      </c>
      <c r="C564" s="38">
        <f t="shared" si="510"/>
        <v>-146.25</v>
      </c>
      <c r="D564" s="38">
        <f t="shared" si="524"/>
        <v>0</v>
      </c>
      <c r="E564" s="38">
        <f t="shared" si="511"/>
        <v>249.85519203924551</v>
      </c>
      <c r="H564" s="39">
        <v>0.906249999999999</v>
      </c>
      <c r="I564" s="38">
        <f t="shared" si="512"/>
        <v>-146.25</v>
      </c>
      <c r="J564" s="38">
        <f t="shared" si="525"/>
        <v>0</v>
      </c>
      <c r="K564" s="38">
        <f t="shared" si="513"/>
        <v>260.4996370717837</v>
      </c>
      <c r="N564" s="39">
        <v>0.906249999999999</v>
      </c>
      <c r="O564" s="38">
        <f t="shared" si="514"/>
        <v>-146.25</v>
      </c>
      <c r="P564" s="38">
        <f t="shared" si="526"/>
        <v>0</v>
      </c>
      <c r="Q564" s="38">
        <f t="shared" si="515"/>
        <v>274.59738166832204</v>
      </c>
      <c r="T564" s="39">
        <v>0.906249999999999</v>
      </c>
      <c r="U564" s="38">
        <f t="shared" si="516"/>
        <v>-146.25</v>
      </c>
      <c r="V564" s="38">
        <f t="shared" si="527"/>
        <v>0</v>
      </c>
      <c r="W564" s="38">
        <f t="shared" si="517"/>
        <v>287.11190742150467</v>
      </c>
      <c r="Z564" s="39">
        <v>0.906249999999999</v>
      </c>
      <c r="AA564" s="38">
        <f t="shared" si="518"/>
        <v>-146.25</v>
      </c>
      <c r="AB564" s="38">
        <f t="shared" si="528"/>
        <v>0</v>
      </c>
      <c r="AC564" s="38">
        <f t="shared" si="519"/>
        <v>295.42782328735052</v>
      </c>
      <c r="AF564" s="39">
        <v>0.906249999999999</v>
      </c>
      <c r="AG564" s="38">
        <f t="shared" si="520"/>
        <v>-146.25</v>
      </c>
      <c r="AH564" s="38">
        <f t="shared" si="529"/>
        <v>0</v>
      </c>
      <c r="AI564" s="38">
        <f t="shared" si="521"/>
        <v>297.0871391084072</v>
      </c>
      <c r="AL564" s="39">
        <v>0.906249999999999</v>
      </c>
      <c r="AM564" s="38">
        <f t="shared" si="522"/>
        <v>-146.25</v>
      </c>
      <c r="AN564" s="38">
        <f t="shared" si="530"/>
        <v>0</v>
      </c>
      <c r="AO564" s="38">
        <f t="shared" si="523"/>
        <v>243.42913169308855</v>
      </c>
    </row>
    <row r="565" spans="2:41" x14ac:dyDescent="0.25">
      <c r="B565" s="39">
        <v>0.91666666666666496</v>
      </c>
      <c r="C565" s="38">
        <f t="shared" si="510"/>
        <v>-150</v>
      </c>
      <c r="D565" s="38">
        <f t="shared" si="524"/>
        <v>0</v>
      </c>
      <c r="E565" s="38">
        <f t="shared" si="511"/>
        <v>249.85519203924551</v>
      </c>
      <c r="H565" s="39">
        <v>0.91666666666666496</v>
      </c>
      <c r="I565" s="38">
        <f t="shared" si="512"/>
        <v>-150</v>
      </c>
      <c r="J565" s="38">
        <f t="shared" si="525"/>
        <v>0</v>
      </c>
      <c r="K565" s="38">
        <f t="shared" si="513"/>
        <v>260.4996370717837</v>
      </c>
      <c r="N565" s="39">
        <v>0.91666666666666496</v>
      </c>
      <c r="O565" s="38">
        <f t="shared" si="514"/>
        <v>-150</v>
      </c>
      <c r="P565" s="38">
        <f t="shared" si="526"/>
        <v>0</v>
      </c>
      <c r="Q565" s="38">
        <f t="shared" si="515"/>
        <v>274.59738166832204</v>
      </c>
      <c r="T565" s="39">
        <v>0.91666666666666496</v>
      </c>
      <c r="U565" s="38">
        <f t="shared" si="516"/>
        <v>-150</v>
      </c>
      <c r="V565" s="38">
        <f t="shared" si="527"/>
        <v>0</v>
      </c>
      <c r="W565" s="38">
        <f t="shared" si="517"/>
        <v>287.11190742150467</v>
      </c>
      <c r="Z565" s="39">
        <v>0.91666666666666496</v>
      </c>
      <c r="AA565" s="38">
        <f t="shared" si="518"/>
        <v>-150</v>
      </c>
      <c r="AB565" s="38">
        <f t="shared" si="528"/>
        <v>0</v>
      </c>
      <c r="AC565" s="38">
        <f t="shared" si="519"/>
        <v>295.42782328735052</v>
      </c>
      <c r="AF565" s="39">
        <v>0.91666666666666496</v>
      </c>
      <c r="AG565" s="38">
        <f t="shared" si="520"/>
        <v>-150</v>
      </c>
      <c r="AH565" s="38">
        <f t="shared" si="529"/>
        <v>0</v>
      </c>
      <c r="AI565" s="38">
        <f t="shared" si="521"/>
        <v>297.0871391084072</v>
      </c>
      <c r="AL565" s="39">
        <v>0.91666666666666496</v>
      </c>
      <c r="AM565" s="38">
        <f t="shared" si="522"/>
        <v>-150</v>
      </c>
      <c r="AN565" s="38">
        <f t="shared" si="530"/>
        <v>0</v>
      </c>
      <c r="AO565" s="38">
        <f t="shared" si="523"/>
        <v>243.42913169308855</v>
      </c>
    </row>
    <row r="566" spans="2:41" x14ac:dyDescent="0.25">
      <c r="B566" s="39">
        <v>0.92708333333333204</v>
      </c>
      <c r="C566" s="38">
        <f t="shared" si="510"/>
        <v>-153.75</v>
      </c>
      <c r="D566" s="38">
        <f t="shared" si="524"/>
        <v>0</v>
      </c>
      <c r="E566" s="38">
        <f t="shared" si="511"/>
        <v>249.85519203924551</v>
      </c>
      <c r="H566" s="39">
        <v>0.92708333333333204</v>
      </c>
      <c r="I566" s="38">
        <f t="shared" si="512"/>
        <v>-153.75</v>
      </c>
      <c r="J566" s="38">
        <f t="shared" si="525"/>
        <v>0</v>
      </c>
      <c r="K566" s="38">
        <f t="shared" si="513"/>
        <v>260.4996370717837</v>
      </c>
      <c r="N566" s="39">
        <v>0.92708333333333204</v>
      </c>
      <c r="O566" s="38">
        <f t="shared" si="514"/>
        <v>-153.75</v>
      </c>
      <c r="P566" s="38">
        <f t="shared" si="526"/>
        <v>0</v>
      </c>
      <c r="Q566" s="38">
        <f t="shared" si="515"/>
        <v>274.59738166832204</v>
      </c>
      <c r="T566" s="39">
        <v>0.92708333333333204</v>
      </c>
      <c r="U566" s="38">
        <f t="shared" si="516"/>
        <v>-153.75</v>
      </c>
      <c r="V566" s="38">
        <f t="shared" si="527"/>
        <v>0</v>
      </c>
      <c r="W566" s="38">
        <f t="shared" si="517"/>
        <v>287.11190742150467</v>
      </c>
      <c r="Z566" s="39">
        <v>0.92708333333333204</v>
      </c>
      <c r="AA566" s="38">
        <f t="shared" si="518"/>
        <v>-153.75</v>
      </c>
      <c r="AB566" s="38">
        <f t="shared" si="528"/>
        <v>0</v>
      </c>
      <c r="AC566" s="38">
        <f t="shared" si="519"/>
        <v>295.42782328735052</v>
      </c>
      <c r="AF566" s="39">
        <v>0.92708333333333204</v>
      </c>
      <c r="AG566" s="38">
        <f t="shared" si="520"/>
        <v>-153.75</v>
      </c>
      <c r="AH566" s="38">
        <f t="shared" si="529"/>
        <v>0</v>
      </c>
      <c r="AI566" s="38">
        <f t="shared" si="521"/>
        <v>297.0871391084072</v>
      </c>
      <c r="AL566" s="39">
        <v>0.92708333333333204</v>
      </c>
      <c r="AM566" s="38">
        <f t="shared" si="522"/>
        <v>-153.75</v>
      </c>
      <c r="AN566" s="38">
        <f t="shared" si="530"/>
        <v>0</v>
      </c>
      <c r="AO566" s="38">
        <f t="shared" si="523"/>
        <v>243.42913169308855</v>
      </c>
    </row>
    <row r="567" spans="2:41" x14ac:dyDescent="0.25">
      <c r="B567" s="39">
        <v>0.937499999999998</v>
      </c>
      <c r="C567" s="38">
        <f t="shared" si="510"/>
        <v>-157.5</v>
      </c>
      <c r="D567" s="38">
        <f t="shared" si="524"/>
        <v>0</v>
      </c>
      <c r="E567" s="38">
        <f t="shared" si="511"/>
        <v>249.85519203924551</v>
      </c>
      <c r="H567" s="39">
        <v>0.937499999999998</v>
      </c>
      <c r="I567" s="38">
        <f t="shared" si="512"/>
        <v>-157.5</v>
      </c>
      <c r="J567" s="38">
        <f t="shared" si="525"/>
        <v>0</v>
      </c>
      <c r="K567" s="38">
        <f t="shared" si="513"/>
        <v>260.4996370717837</v>
      </c>
      <c r="N567" s="39">
        <v>0.937499999999998</v>
      </c>
      <c r="O567" s="38">
        <f t="shared" si="514"/>
        <v>-157.5</v>
      </c>
      <c r="P567" s="38">
        <f t="shared" si="526"/>
        <v>0</v>
      </c>
      <c r="Q567" s="38">
        <f t="shared" si="515"/>
        <v>274.59738166832204</v>
      </c>
      <c r="T567" s="39">
        <v>0.937499999999998</v>
      </c>
      <c r="U567" s="38">
        <f t="shared" si="516"/>
        <v>-157.5</v>
      </c>
      <c r="V567" s="38">
        <f t="shared" si="527"/>
        <v>0</v>
      </c>
      <c r="W567" s="38">
        <f t="shared" si="517"/>
        <v>287.11190742150467</v>
      </c>
      <c r="Z567" s="39">
        <v>0.937499999999998</v>
      </c>
      <c r="AA567" s="38">
        <f t="shared" si="518"/>
        <v>-157.5</v>
      </c>
      <c r="AB567" s="38">
        <f t="shared" si="528"/>
        <v>0</v>
      </c>
      <c r="AC567" s="38">
        <f t="shared" si="519"/>
        <v>295.42782328735052</v>
      </c>
      <c r="AF567" s="39">
        <v>0.937499999999998</v>
      </c>
      <c r="AG567" s="38">
        <f t="shared" si="520"/>
        <v>-157.5</v>
      </c>
      <c r="AH567" s="38">
        <f t="shared" si="529"/>
        <v>0</v>
      </c>
      <c r="AI567" s="38">
        <f t="shared" si="521"/>
        <v>297.0871391084072</v>
      </c>
      <c r="AL567" s="39">
        <v>0.937499999999998</v>
      </c>
      <c r="AM567" s="38">
        <f t="shared" si="522"/>
        <v>-157.5</v>
      </c>
      <c r="AN567" s="38">
        <f t="shared" si="530"/>
        <v>0</v>
      </c>
      <c r="AO567" s="38">
        <f t="shared" si="523"/>
        <v>243.42913169308855</v>
      </c>
    </row>
    <row r="568" spans="2:41" x14ac:dyDescent="0.25">
      <c r="B568" s="39">
        <v>0.94791666666666496</v>
      </c>
      <c r="C568" s="38">
        <f t="shared" si="510"/>
        <v>-161.25</v>
      </c>
      <c r="D568" s="38">
        <f t="shared" si="524"/>
        <v>0</v>
      </c>
      <c r="E568" s="38">
        <f t="shared" si="511"/>
        <v>249.85519203924551</v>
      </c>
      <c r="H568" s="39">
        <v>0.94791666666666496</v>
      </c>
      <c r="I568" s="38">
        <f t="shared" si="512"/>
        <v>-161.25</v>
      </c>
      <c r="J568" s="38">
        <f t="shared" si="525"/>
        <v>0</v>
      </c>
      <c r="K568" s="38">
        <f t="shared" si="513"/>
        <v>260.4996370717837</v>
      </c>
      <c r="N568" s="39">
        <v>0.94791666666666496</v>
      </c>
      <c r="O568" s="38">
        <f t="shared" si="514"/>
        <v>-161.25</v>
      </c>
      <c r="P568" s="38">
        <f t="shared" si="526"/>
        <v>0</v>
      </c>
      <c r="Q568" s="38">
        <f t="shared" si="515"/>
        <v>274.59738166832204</v>
      </c>
      <c r="T568" s="39">
        <v>0.94791666666666496</v>
      </c>
      <c r="U568" s="38">
        <f t="shared" si="516"/>
        <v>-161.25</v>
      </c>
      <c r="V568" s="38">
        <f t="shared" si="527"/>
        <v>0</v>
      </c>
      <c r="W568" s="38">
        <f t="shared" si="517"/>
        <v>287.11190742150467</v>
      </c>
      <c r="Z568" s="39">
        <v>0.94791666666666496</v>
      </c>
      <c r="AA568" s="38">
        <f t="shared" si="518"/>
        <v>-161.25</v>
      </c>
      <c r="AB568" s="38">
        <f t="shared" si="528"/>
        <v>0</v>
      </c>
      <c r="AC568" s="38">
        <f t="shared" si="519"/>
        <v>295.42782328735052</v>
      </c>
      <c r="AF568" s="39">
        <v>0.94791666666666496</v>
      </c>
      <c r="AG568" s="38">
        <f t="shared" si="520"/>
        <v>-161.25</v>
      </c>
      <c r="AH568" s="38">
        <f t="shared" si="529"/>
        <v>0</v>
      </c>
      <c r="AI568" s="38">
        <f t="shared" si="521"/>
        <v>297.0871391084072</v>
      </c>
      <c r="AL568" s="39">
        <v>0.94791666666666496</v>
      </c>
      <c r="AM568" s="38">
        <f t="shared" si="522"/>
        <v>-161.25</v>
      </c>
      <c r="AN568" s="38">
        <f t="shared" si="530"/>
        <v>0</v>
      </c>
      <c r="AO568" s="38">
        <f t="shared" si="523"/>
        <v>243.42913169308855</v>
      </c>
    </row>
    <row r="569" spans="2:41" x14ac:dyDescent="0.25">
      <c r="B569" s="39">
        <v>0.95833333333333204</v>
      </c>
      <c r="C569" s="38">
        <f t="shared" si="510"/>
        <v>-165</v>
      </c>
      <c r="D569" s="38">
        <f t="shared" si="524"/>
        <v>0</v>
      </c>
      <c r="E569" s="38">
        <f t="shared" si="511"/>
        <v>249.85519203924551</v>
      </c>
      <c r="H569" s="39">
        <v>0.95833333333333204</v>
      </c>
      <c r="I569" s="38">
        <f t="shared" si="512"/>
        <v>-165</v>
      </c>
      <c r="J569" s="38">
        <f t="shared" si="525"/>
        <v>0</v>
      </c>
      <c r="K569" s="38">
        <f t="shared" si="513"/>
        <v>260.4996370717837</v>
      </c>
      <c r="N569" s="39">
        <v>0.95833333333333204</v>
      </c>
      <c r="O569" s="38">
        <f t="shared" si="514"/>
        <v>-165</v>
      </c>
      <c r="P569" s="38">
        <f t="shared" si="526"/>
        <v>0</v>
      </c>
      <c r="Q569" s="38">
        <f t="shared" si="515"/>
        <v>274.59738166832204</v>
      </c>
      <c r="T569" s="39">
        <v>0.95833333333333204</v>
      </c>
      <c r="U569" s="38">
        <f t="shared" si="516"/>
        <v>-165</v>
      </c>
      <c r="V569" s="38">
        <f t="shared" si="527"/>
        <v>0</v>
      </c>
      <c r="W569" s="38">
        <f t="shared" si="517"/>
        <v>287.11190742150467</v>
      </c>
      <c r="Z569" s="39">
        <v>0.95833333333333204</v>
      </c>
      <c r="AA569" s="38">
        <f t="shared" si="518"/>
        <v>-165</v>
      </c>
      <c r="AB569" s="38">
        <f t="shared" si="528"/>
        <v>0</v>
      </c>
      <c r="AC569" s="38">
        <f t="shared" si="519"/>
        <v>295.42782328735052</v>
      </c>
      <c r="AF569" s="39">
        <v>0.95833333333333204</v>
      </c>
      <c r="AG569" s="38">
        <f t="shared" si="520"/>
        <v>-165</v>
      </c>
      <c r="AH569" s="38">
        <f t="shared" si="529"/>
        <v>0</v>
      </c>
      <c r="AI569" s="38">
        <f t="shared" si="521"/>
        <v>297.0871391084072</v>
      </c>
      <c r="AL569" s="39">
        <v>0.95833333333333204</v>
      </c>
      <c r="AM569" s="38">
        <f t="shared" si="522"/>
        <v>-165</v>
      </c>
      <c r="AN569" s="38">
        <f t="shared" si="530"/>
        <v>0</v>
      </c>
      <c r="AO569" s="38">
        <f t="shared" si="523"/>
        <v>243.42913169308855</v>
      </c>
    </row>
  </sheetData>
  <sheetProtection password="E6CB" sheet="1" objects="1" scenarios="1"/>
  <mergeCells count="644">
    <mergeCell ref="AG46:AG47"/>
    <mergeCell ref="AK46:AK47"/>
    <mergeCell ref="AP83:AP84"/>
    <mergeCell ref="AQ83:AQ84"/>
    <mergeCell ref="AR83:AR84"/>
    <mergeCell ref="BA83:BA84"/>
    <mergeCell ref="DE83:DE84"/>
    <mergeCell ref="DF83:DF84"/>
    <mergeCell ref="V84:V85"/>
    <mergeCell ref="Z84:Z85"/>
    <mergeCell ref="BX83:BX84"/>
    <mergeCell ref="BY83:BY84"/>
    <mergeCell ref="CH83:CH84"/>
    <mergeCell ref="CI83:CI84"/>
    <mergeCell ref="CJ83:CJ84"/>
    <mergeCell ref="CS83:CS84"/>
    <mergeCell ref="BB83:BB84"/>
    <mergeCell ref="BC83:BC84"/>
    <mergeCell ref="BL83:BL84"/>
    <mergeCell ref="BM83:BM84"/>
    <mergeCell ref="BN83:BN84"/>
    <mergeCell ref="BW83:BW84"/>
    <mergeCell ref="AO86:AO87"/>
    <mergeCell ref="AP86:AP87"/>
    <mergeCell ref="AQ86:AQ87"/>
    <mergeCell ref="AR86:AR87"/>
    <mergeCell ref="AT86:AT87"/>
    <mergeCell ref="AU86:AU87"/>
    <mergeCell ref="CT83:CT84"/>
    <mergeCell ref="CU83:CU84"/>
    <mergeCell ref="DD83:DD84"/>
    <mergeCell ref="BE86:BE87"/>
    <mergeCell ref="BF86:BF87"/>
    <mergeCell ref="BG86:BG87"/>
    <mergeCell ref="BH86:BH87"/>
    <mergeCell ref="BK86:BK87"/>
    <mergeCell ref="BL86:BL87"/>
    <mergeCell ref="AV86:AV87"/>
    <mergeCell ref="AW86:AW87"/>
    <mergeCell ref="AZ86:AZ87"/>
    <mergeCell ref="BA86:BA87"/>
    <mergeCell ref="BB86:BB87"/>
    <mergeCell ref="BC86:BC87"/>
    <mergeCell ref="BV86:BV87"/>
    <mergeCell ref="BW86:BW87"/>
    <mergeCell ref="BX86:BX87"/>
    <mergeCell ref="BY86:BY87"/>
    <mergeCell ref="CA86:CA87"/>
    <mergeCell ref="CB86:CB87"/>
    <mergeCell ref="BM86:BM87"/>
    <mergeCell ref="BN86:BN87"/>
    <mergeCell ref="BP86:BP87"/>
    <mergeCell ref="BQ86:BQ87"/>
    <mergeCell ref="BR86:BR87"/>
    <mergeCell ref="BS86:BS87"/>
    <mergeCell ref="CN86:CN87"/>
    <mergeCell ref="CO86:CO87"/>
    <mergeCell ref="CR86:CR87"/>
    <mergeCell ref="CS86:CS87"/>
    <mergeCell ref="CC86:CC87"/>
    <mergeCell ref="CD86:CD87"/>
    <mergeCell ref="CG86:CG87"/>
    <mergeCell ref="CH86:CH87"/>
    <mergeCell ref="CI86:CI87"/>
    <mergeCell ref="CJ86:CJ87"/>
    <mergeCell ref="DJ86:DJ87"/>
    <mergeCell ref="DK86:DK87"/>
    <mergeCell ref="AP115:AP116"/>
    <mergeCell ref="AQ115:AQ116"/>
    <mergeCell ref="AR115:AR116"/>
    <mergeCell ref="BA115:BA116"/>
    <mergeCell ref="BB115:BB116"/>
    <mergeCell ref="BC115:BC116"/>
    <mergeCell ref="BL115:BL116"/>
    <mergeCell ref="BM115:BM116"/>
    <mergeCell ref="DC86:DC87"/>
    <mergeCell ref="DD86:DD87"/>
    <mergeCell ref="DE86:DE87"/>
    <mergeCell ref="DF86:DF87"/>
    <mergeCell ref="DH86:DH87"/>
    <mergeCell ref="DI86:DI87"/>
    <mergeCell ref="CT86:CT87"/>
    <mergeCell ref="CU86:CU87"/>
    <mergeCell ref="CW86:CW87"/>
    <mergeCell ref="CX86:CX87"/>
    <mergeCell ref="CY86:CY87"/>
    <mergeCell ref="CZ86:CZ87"/>
    <mergeCell ref="CL86:CL87"/>
    <mergeCell ref="CM86:CM87"/>
    <mergeCell ref="AO118:AO119"/>
    <mergeCell ref="AP118:AP119"/>
    <mergeCell ref="AQ118:AQ119"/>
    <mergeCell ref="AR118:AR119"/>
    <mergeCell ref="AT118:AT119"/>
    <mergeCell ref="AU118:AU119"/>
    <mergeCell ref="AV118:AV119"/>
    <mergeCell ref="AW118:AW119"/>
    <mergeCell ref="AZ118:AZ119"/>
    <mergeCell ref="BN118:BN119"/>
    <mergeCell ref="BP118:BP119"/>
    <mergeCell ref="BA118:BA119"/>
    <mergeCell ref="BB118:BB119"/>
    <mergeCell ref="BC118:BC119"/>
    <mergeCell ref="BE118:BE119"/>
    <mergeCell ref="BF118:BF119"/>
    <mergeCell ref="BG118:BG119"/>
    <mergeCell ref="DF115:DF116"/>
    <mergeCell ref="CJ115:CJ116"/>
    <mergeCell ref="CS115:CS116"/>
    <mergeCell ref="CT115:CT116"/>
    <mergeCell ref="CU115:CU116"/>
    <mergeCell ref="DD115:DD116"/>
    <mergeCell ref="DE115:DE116"/>
    <mergeCell ref="BN115:BN116"/>
    <mergeCell ref="BW115:BW116"/>
    <mergeCell ref="BX115:BX116"/>
    <mergeCell ref="BY115:BY116"/>
    <mergeCell ref="CH115:CH116"/>
    <mergeCell ref="CI115:CI116"/>
    <mergeCell ref="AO146:AP146"/>
    <mergeCell ref="AQ146:AR146"/>
    <mergeCell ref="AS146:AT146"/>
    <mergeCell ref="AU146:AV146"/>
    <mergeCell ref="AW146:AX146"/>
    <mergeCell ref="CX118:CX119"/>
    <mergeCell ref="CY118:CY119"/>
    <mergeCell ref="CZ118:CZ119"/>
    <mergeCell ref="DC118:DC119"/>
    <mergeCell ref="CO118:CO119"/>
    <mergeCell ref="CR118:CR119"/>
    <mergeCell ref="CS118:CS119"/>
    <mergeCell ref="CT118:CT119"/>
    <mergeCell ref="CU118:CU119"/>
    <mergeCell ref="CW118:CW119"/>
    <mergeCell ref="CH118:CH119"/>
    <mergeCell ref="CI118:CI119"/>
    <mergeCell ref="CJ118:CJ119"/>
    <mergeCell ref="CL118:CL119"/>
    <mergeCell ref="CM118:CM119"/>
    <mergeCell ref="CN118:CN119"/>
    <mergeCell ref="BY118:BY119"/>
    <mergeCell ref="CA118:CA119"/>
    <mergeCell ref="CB118:CB119"/>
    <mergeCell ref="BC146:BD146"/>
    <mergeCell ref="BE146:BF146"/>
    <mergeCell ref="BG146:BH146"/>
    <mergeCell ref="BI146:BJ146"/>
    <mergeCell ref="DF118:DF119"/>
    <mergeCell ref="DH118:DH119"/>
    <mergeCell ref="DI118:DI119"/>
    <mergeCell ref="DJ118:DJ119"/>
    <mergeCell ref="DK118:DK119"/>
    <mergeCell ref="DD118:DD119"/>
    <mergeCell ref="DE118:DE119"/>
    <mergeCell ref="CC118:CC119"/>
    <mergeCell ref="CD118:CD119"/>
    <mergeCell ref="CG118:CG119"/>
    <mergeCell ref="BQ118:BQ119"/>
    <mergeCell ref="BR118:BR119"/>
    <mergeCell ref="BS118:BS119"/>
    <mergeCell ref="BV118:BV119"/>
    <mergeCell ref="BW118:BW119"/>
    <mergeCell ref="BX118:BX119"/>
    <mergeCell ref="BH118:BH119"/>
    <mergeCell ref="BK118:BK119"/>
    <mergeCell ref="BL118:BL119"/>
    <mergeCell ref="BM118:BM119"/>
    <mergeCell ref="CI146:CJ146"/>
    <mergeCell ref="AC172:AC173"/>
    <mergeCell ref="AD172:AD173"/>
    <mergeCell ref="AE172:AE173"/>
    <mergeCell ref="AB175:AB176"/>
    <mergeCell ref="AC175:AC176"/>
    <mergeCell ref="AD175:AD176"/>
    <mergeCell ref="AE175:AE176"/>
    <mergeCell ref="AG175:AG176"/>
    <mergeCell ref="AH175:AH176"/>
    <mergeCell ref="BW146:BX146"/>
    <mergeCell ref="BY146:BZ146"/>
    <mergeCell ref="CA146:CB146"/>
    <mergeCell ref="CC146:CD146"/>
    <mergeCell ref="CE146:CF146"/>
    <mergeCell ref="CG146:CH146"/>
    <mergeCell ref="BK146:BL146"/>
    <mergeCell ref="BM146:BN146"/>
    <mergeCell ref="BO146:BP146"/>
    <mergeCell ref="BQ146:BR146"/>
    <mergeCell ref="BS146:BT146"/>
    <mergeCell ref="BU146:BV146"/>
    <mergeCell ref="AY146:AZ146"/>
    <mergeCell ref="BA146:BB146"/>
    <mergeCell ref="BC179:BD179"/>
    <mergeCell ref="BE179:BF179"/>
    <mergeCell ref="BG179:BH179"/>
    <mergeCell ref="AI175:AI176"/>
    <mergeCell ref="AJ175:AJ176"/>
    <mergeCell ref="AO179:AP179"/>
    <mergeCell ref="AQ179:AR179"/>
    <mergeCell ref="AS179:AT179"/>
    <mergeCell ref="AU179:AV179"/>
    <mergeCell ref="CG179:CH179"/>
    <mergeCell ref="CI179:CJ179"/>
    <mergeCell ref="AN181:AN184"/>
    <mergeCell ref="C184:C185"/>
    <mergeCell ref="D184:D185"/>
    <mergeCell ref="E184:E185"/>
    <mergeCell ref="N184:N185"/>
    <mergeCell ref="O184:O185"/>
    <mergeCell ref="P184:P185"/>
    <mergeCell ref="BU179:BV179"/>
    <mergeCell ref="BW179:BX179"/>
    <mergeCell ref="BY179:BZ179"/>
    <mergeCell ref="CA179:CB179"/>
    <mergeCell ref="CC179:CD179"/>
    <mergeCell ref="CE179:CF179"/>
    <mergeCell ref="BI179:BJ179"/>
    <mergeCell ref="BK179:BL179"/>
    <mergeCell ref="BM179:BN179"/>
    <mergeCell ref="BO179:BP179"/>
    <mergeCell ref="BQ179:BR179"/>
    <mergeCell ref="BS179:BT179"/>
    <mergeCell ref="AW179:AX179"/>
    <mergeCell ref="AY179:AZ179"/>
    <mergeCell ref="BA179:BB179"/>
    <mergeCell ref="B187:B188"/>
    <mergeCell ref="C187:C188"/>
    <mergeCell ref="D187:D188"/>
    <mergeCell ref="E187:E188"/>
    <mergeCell ref="G187:G188"/>
    <mergeCell ref="H187:H188"/>
    <mergeCell ref="I187:I188"/>
    <mergeCell ref="J187:J188"/>
    <mergeCell ref="M187:M188"/>
    <mergeCell ref="U187:U188"/>
    <mergeCell ref="AN191:AN194"/>
    <mergeCell ref="AN196:AN199"/>
    <mergeCell ref="AN201:AN204"/>
    <mergeCell ref="C204:C205"/>
    <mergeCell ref="D204:D205"/>
    <mergeCell ref="E204:E205"/>
    <mergeCell ref="N204:N205"/>
    <mergeCell ref="O204:O205"/>
    <mergeCell ref="P204:P205"/>
    <mergeCell ref="N187:N188"/>
    <mergeCell ref="O187:O188"/>
    <mergeCell ref="P187:P188"/>
    <mergeCell ref="R187:R188"/>
    <mergeCell ref="S187:S188"/>
    <mergeCell ref="T187:T188"/>
    <mergeCell ref="AN186:AN189"/>
    <mergeCell ref="B207:B208"/>
    <mergeCell ref="C207:C208"/>
    <mergeCell ref="D207:D208"/>
    <mergeCell ref="E207:E208"/>
    <mergeCell ref="G207:G208"/>
    <mergeCell ref="H207:H208"/>
    <mergeCell ref="I207:I208"/>
    <mergeCell ref="J207:J208"/>
    <mergeCell ref="M207:M208"/>
    <mergeCell ref="U207:U208"/>
    <mergeCell ref="AQ211:AR211"/>
    <mergeCell ref="AT211:AU211"/>
    <mergeCell ref="AW211:AX211"/>
    <mergeCell ref="AZ211:BA211"/>
    <mergeCell ref="BC211:BD211"/>
    <mergeCell ref="N207:N208"/>
    <mergeCell ref="O207:O208"/>
    <mergeCell ref="P207:P208"/>
    <mergeCell ref="R207:R208"/>
    <mergeCell ref="S207:S208"/>
    <mergeCell ref="T207:T208"/>
    <mergeCell ref="AN206:AN209"/>
    <mergeCell ref="N224:N225"/>
    <mergeCell ref="O224:O225"/>
    <mergeCell ref="P224:P225"/>
    <mergeCell ref="BA212:BA213"/>
    <mergeCell ref="BC212:BC213"/>
    <mergeCell ref="BD212:BD213"/>
    <mergeCell ref="BF211:BG211"/>
    <mergeCell ref="BI211:BJ211"/>
    <mergeCell ref="AP212:AP213"/>
    <mergeCell ref="AQ212:AQ213"/>
    <mergeCell ref="AR212:AR213"/>
    <mergeCell ref="AT212:AT213"/>
    <mergeCell ref="AU212:AU213"/>
    <mergeCell ref="AW212:AW213"/>
    <mergeCell ref="AX212:AX213"/>
    <mergeCell ref="AZ212:AZ213"/>
    <mergeCell ref="BJ212:BJ213"/>
    <mergeCell ref="BF212:BF213"/>
    <mergeCell ref="BG212:BG213"/>
    <mergeCell ref="BI212:BI213"/>
    <mergeCell ref="B227:B228"/>
    <mergeCell ref="C227:C228"/>
    <mergeCell ref="D227:D228"/>
    <mergeCell ref="E227:E228"/>
    <mergeCell ref="G227:G228"/>
    <mergeCell ref="H227:H228"/>
    <mergeCell ref="C224:C225"/>
    <mergeCell ref="D224:D225"/>
    <mergeCell ref="E224:E225"/>
    <mergeCell ref="R227:R228"/>
    <mergeCell ref="S227:S228"/>
    <mergeCell ref="T227:T228"/>
    <mergeCell ref="U227:U228"/>
    <mergeCell ref="AC239:AC240"/>
    <mergeCell ref="AD239:AD240"/>
    <mergeCell ref="I227:I228"/>
    <mergeCell ref="J227:J228"/>
    <mergeCell ref="M227:M228"/>
    <mergeCell ref="N227:N228"/>
    <mergeCell ref="O227:O228"/>
    <mergeCell ref="P227:P228"/>
    <mergeCell ref="CK239:CL239"/>
    <mergeCell ref="AQ240:AQ241"/>
    <mergeCell ref="AR240:AR241"/>
    <mergeCell ref="AS240:AS241"/>
    <mergeCell ref="AT240:AT241"/>
    <mergeCell ref="AU240:AU241"/>
    <mergeCell ref="AV240:AV241"/>
    <mergeCell ref="BS239:BT239"/>
    <mergeCell ref="BU239:BV239"/>
    <mergeCell ref="BW239:BX239"/>
    <mergeCell ref="BY239:BZ239"/>
    <mergeCell ref="CA239:CB239"/>
    <mergeCell ref="CC239:CD239"/>
    <mergeCell ref="BG239:BH239"/>
    <mergeCell ref="BI239:BJ239"/>
    <mergeCell ref="BK239:BL239"/>
    <mergeCell ref="BM239:BN239"/>
    <mergeCell ref="BO239:BP239"/>
    <mergeCell ref="BQ239:BR239"/>
    <mergeCell ref="AU239:AV239"/>
    <mergeCell ref="AW239:AX239"/>
    <mergeCell ref="AY239:AZ239"/>
    <mergeCell ref="BA239:BB239"/>
    <mergeCell ref="BC239:BD239"/>
    <mergeCell ref="CE239:CF239"/>
    <mergeCell ref="CG239:CH239"/>
    <mergeCell ref="CI239:CJ239"/>
    <mergeCell ref="BE239:BF239"/>
    <mergeCell ref="BL240:BL241"/>
    <mergeCell ref="BM240:BM241"/>
    <mergeCell ref="BN240:BN241"/>
    <mergeCell ref="BC240:BC241"/>
    <mergeCell ref="BD240:BD241"/>
    <mergeCell ref="BE240:BE241"/>
    <mergeCell ref="BF240:BF241"/>
    <mergeCell ref="BG240:BG241"/>
    <mergeCell ref="BH240:BH241"/>
    <mergeCell ref="CJ240:CJ241"/>
    <mergeCell ref="BP240:BP241"/>
    <mergeCell ref="BQ240:BQ241"/>
    <mergeCell ref="BR240:BR241"/>
    <mergeCell ref="BS240:BS241"/>
    <mergeCell ref="BT240:BT241"/>
    <mergeCell ref="BI240:BI241"/>
    <mergeCell ref="BJ240:BJ241"/>
    <mergeCell ref="BK240:BK241"/>
    <mergeCell ref="CK240:CK241"/>
    <mergeCell ref="CL240:CL241"/>
    <mergeCell ref="CA240:CA241"/>
    <mergeCell ref="CB240:CB241"/>
    <mergeCell ref="CC240:CC241"/>
    <mergeCell ref="CD240:CD241"/>
    <mergeCell ref="CE240:CE241"/>
    <mergeCell ref="CF240:CF241"/>
    <mergeCell ref="C244:C245"/>
    <mergeCell ref="D244:D245"/>
    <mergeCell ref="E244:E245"/>
    <mergeCell ref="N244:N245"/>
    <mergeCell ref="O244:O245"/>
    <mergeCell ref="P244:P245"/>
    <mergeCell ref="CG240:CG241"/>
    <mergeCell ref="CH240:CH241"/>
    <mergeCell ref="CI240:CI241"/>
    <mergeCell ref="BU240:BU241"/>
    <mergeCell ref="BV240:BV241"/>
    <mergeCell ref="BW240:BW241"/>
    <mergeCell ref="BX240:BX241"/>
    <mergeCell ref="BY240:BY241"/>
    <mergeCell ref="BZ240:BZ241"/>
    <mergeCell ref="BO240:BO241"/>
    <mergeCell ref="AZ240:AZ241"/>
    <mergeCell ref="BA240:BA241"/>
    <mergeCell ref="BB240:BB241"/>
    <mergeCell ref="AE239:AE240"/>
    <mergeCell ref="AF239:AF240"/>
    <mergeCell ref="AG239:AG240"/>
    <mergeCell ref="AH239:AH240"/>
    <mergeCell ref="AQ239:AR239"/>
    <mergeCell ref="AS239:AT239"/>
    <mergeCell ref="AW240:AW241"/>
    <mergeCell ref="AX240:AX241"/>
    <mergeCell ref="AY240:AY241"/>
    <mergeCell ref="B247:B248"/>
    <mergeCell ref="C247:C248"/>
    <mergeCell ref="D247:D248"/>
    <mergeCell ref="E247:E248"/>
    <mergeCell ref="G247:G248"/>
    <mergeCell ref="H247:H248"/>
    <mergeCell ref="AY250:AZ250"/>
    <mergeCell ref="BA250:BB250"/>
    <mergeCell ref="BC250:BD250"/>
    <mergeCell ref="I247:I248"/>
    <mergeCell ref="J247:J248"/>
    <mergeCell ref="M247:M248"/>
    <mergeCell ref="N247:N248"/>
    <mergeCell ref="O247:O248"/>
    <mergeCell ref="P247:P248"/>
    <mergeCell ref="BE250:BF250"/>
    <mergeCell ref="R247:R248"/>
    <mergeCell ref="S247:S248"/>
    <mergeCell ref="T247:T248"/>
    <mergeCell ref="U247:U248"/>
    <mergeCell ref="AQ250:AR250"/>
    <mergeCell ref="AS250:AT250"/>
    <mergeCell ref="CE250:CF250"/>
    <mergeCell ref="CG250:CH250"/>
    <mergeCell ref="CI250:CJ250"/>
    <mergeCell ref="CK250:CL250"/>
    <mergeCell ref="AQ251:AQ252"/>
    <mergeCell ref="AR251:AR252"/>
    <mergeCell ref="AS251:AS252"/>
    <mergeCell ref="AT251:AT252"/>
    <mergeCell ref="AU251:AU252"/>
    <mergeCell ref="AV251:AV252"/>
    <mergeCell ref="BS250:BT250"/>
    <mergeCell ref="BU250:BV250"/>
    <mergeCell ref="BW250:BX250"/>
    <mergeCell ref="BY250:BZ250"/>
    <mergeCell ref="CA250:CB250"/>
    <mergeCell ref="CC250:CD250"/>
    <mergeCell ref="BG250:BH250"/>
    <mergeCell ref="BI250:BJ250"/>
    <mergeCell ref="BK250:BL250"/>
    <mergeCell ref="BM250:BN250"/>
    <mergeCell ref="BO250:BP250"/>
    <mergeCell ref="BQ250:BR250"/>
    <mergeCell ref="AU250:AV250"/>
    <mergeCell ref="AW250:AX250"/>
    <mergeCell ref="BC251:BC252"/>
    <mergeCell ref="BD251:BD252"/>
    <mergeCell ref="BE251:BE252"/>
    <mergeCell ref="BF251:BF252"/>
    <mergeCell ref="BG251:BG252"/>
    <mergeCell ref="BH251:BH252"/>
    <mergeCell ref="AW251:AW252"/>
    <mergeCell ref="AX251:AX252"/>
    <mergeCell ref="AY251:AY252"/>
    <mergeCell ref="AZ251:AZ252"/>
    <mergeCell ref="BA251:BA252"/>
    <mergeCell ref="BB251:BB252"/>
    <mergeCell ref="BR251:BR252"/>
    <mergeCell ref="BS251:BS252"/>
    <mergeCell ref="BT251:BT252"/>
    <mergeCell ref="BI251:BI252"/>
    <mergeCell ref="BJ251:BJ252"/>
    <mergeCell ref="BK251:BK252"/>
    <mergeCell ref="BL251:BL252"/>
    <mergeCell ref="BM251:BM252"/>
    <mergeCell ref="BN251:BN252"/>
    <mergeCell ref="N264:N265"/>
    <mergeCell ref="O264:O265"/>
    <mergeCell ref="P264:P265"/>
    <mergeCell ref="CG251:CG252"/>
    <mergeCell ref="CH251:CH252"/>
    <mergeCell ref="CI251:CI252"/>
    <mergeCell ref="CJ251:CJ252"/>
    <mergeCell ref="CK251:CK252"/>
    <mergeCell ref="CL251:CL252"/>
    <mergeCell ref="CA251:CA252"/>
    <mergeCell ref="CB251:CB252"/>
    <mergeCell ref="CC251:CC252"/>
    <mergeCell ref="CD251:CD252"/>
    <mergeCell ref="CE251:CE252"/>
    <mergeCell ref="CF251:CF252"/>
    <mergeCell ref="BU251:BU252"/>
    <mergeCell ref="BV251:BV252"/>
    <mergeCell ref="BW251:BW252"/>
    <mergeCell ref="BX251:BX252"/>
    <mergeCell ref="BY251:BY252"/>
    <mergeCell ref="BZ251:BZ252"/>
    <mergeCell ref="BO251:BO252"/>
    <mergeCell ref="BP251:BP252"/>
    <mergeCell ref="BQ251:BQ252"/>
    <mergeCell ref="B267:B268"/>
    <mergeCell ref="C267:C268"/>
    <mergeCell ref="D267:D268"/>
    <mergeCell ref="E267:E268"/>
    <mergeCell ref="G267:G268"/>
    <mergeCell ref="H267:H268"/>
    <mergeCell ref="C264:C265"/>
    <mergeCell ref="D264:D265"/>
    <mergeCell ref="E264:E265"/>
    <mergeCell ref="R267:R268"/>
    <mergeCell ref="S267:S268"/>
    <mergeCell ref="T267:T268"/>
    <mergeCell ref="U267:U268"/>
    <mergeCell ref="C284:C285"/>
    <mergeCell ref="D284:D285"/>
    <mergeCell ref="E284:E285"/>
    <mergeCell ref="N284:N285"/>
    <mergeCell ref="O284:O285"/>
    <mergeCell ref="P284:P285"/>
    <mergeCell ref="I267:I268"/>
    <mergeCell ref="J267:J268"/>
    <mergeCell ref="M267:M268"/>
    <mergeCell ref="N267:N268"/>
    <mergeCell ref="O267:O268"/>
    <mergeCell ref="P267:P268"/>
    <mergeCell ref="U287:U288"/>
    <mergeCell ref="C304:C305"/>
    <mergeCell ref="D304:D305"/>
    <mergeCell ref="E304:E305"/>
    <mergeCell ref="N304:N305"/>
    <mergeCell ref="O304:O305"/>
    <mergeCell ref="P304:P305"/>
    <mergeCell ref="I287:I288"/>
    <mergeCell ref="J287:J288"/>
    <mergeCell ref="M287:M288"/>
    <mergeCell ref="N287:N288"/>
    <mergeCell ref="O287:O288"/>
    <mergeCell ref="P287:P288"/>
    <mergeCell ref="C287:C288"/>
    <mergeCell ref="D287:D288"/>
    <mergeCell ref="E287:E288"/>
    <mergeCell ref="G287:G288"/>
    <mergeCell ref="H287:H288"/>
    <mergeCell ref="B307:B308"/>
    <mergeCell ref="C307:C308"/>
    <mergeCell ref="D307:D308"/>
    <mergeCell ref="E307:E308"/>
    <mergeCell ref="G307:G308"/>
    <mergeCell ref="H307:H308"/>
    <mergeCell ref="R287:R288"/>
    <mergeCell ref="S287:S288"/>
    <mergeCell ref="T287:T288"/>
    <mergeCell ref="B287:B288"/>
    <mergeCell ref="R307:R308"/>
    <mergeCell ref="S307:S308"/>
    <mergeCell ref="T307:T308"/>
    <mergeCell ref="U307:U308"/>
    <mergeCell ref="C324:C325"/>
    <mergeCell ref="D324:D325"/>
    <mergeCell ref="E324:E325"/>
    <mergeCell ref="N324:N325"/>
    <mergeCell ref="O324:O325"/>
    <mergeCell ref="P324:P325"/>
    <mergeCell ref="I307:I308"/>
    <mergeCell ref="J307:J308"/>
    <mergeCell ref="M307:M308"/>
    <mergeCell ref="N307:N308"/>
    <mergeCell ref="O307:O308"/>
    <mergeCell ref="P307:P308"/>
    <mergeCell ref="U327:U328"/>
    <mergeCell ref="C344:C345"/>
    <mergeCell ref="D344:D345"/>
    <mergeCell ref="E344:E345"/>
    <mergeCell ref="N344:N345"/>
    <mergeCell ref="O344:O345"/>
    <mergeCell ref="P344:P345"/>
    <mergeCell ref="I327:I328"/>
    <mergeCell ref="J327:J328"/>
    <mergeCell ref="M327:M328"/>
    <mergeCell ref="N327:N328"/>
    <mergeCell ref="O327:O328"/>
    <mergeCell ref="P327:P328"/>
    <mergeCell ref="C327:C328"/>
    <mergeCell ref="D327:D328"/>
    <mergeCell ref="E327:E328"/>
    <mergeCell ref="G327:G328"/>
    <mergeCell ref="H327:H328"/>
    <mergeCell ref="B347:B348"/>
    <mergeCell ref="C347:C348"/>
    <mergeCell ref="D347:D348"/>
    <mergeCell ref="E347:E348"/>
    <mergeCell ref="G347:G348"/>
    <mergeCell ref="H347:H348"/>
    <mergeCell ref="R327:R328"/>
    <mergeCell ref="S327:S328"/>
    <mergeCell ref="T327:T328"/>
    <mergeCell ref="B327:B328"/>
    <mergeCell ref="R347:R348"/>
    <mergeCell ref="S347:S348"/>
    <mergeCell ref="T347:T348"/>
    <mergeCell ref="U347:U348"/>
    <mergeCell ref="C475:C476"/>
    <mergeCell ref="D475:D476"/>
    <mergeCell ref="E475:E476"/>
    <mergeCell ref="I475:I476"/>
    <mergeCell ref="J475:J476"/>
    <mergeCell ref="K475:K476"/>
    <mergeCell ref="I347:I348"/>
    <mergeCell ref="J347:J348"/>
    <mergeCell ref="M347:M348"/>
    <mergeCell ref="N347:N348"/>
    <mergeCell ref="O347:O348"/>
    <mergeCell ref="P347:P348"/>
    <mergeCell ref="AM475:AM476"/>
    <mergeCell ref="AN475:AN476"/>
    <mergeCell ref="AO475:AO476"/>
    <mergeCell ref="B478:B479"/>
    <mergeCell ref="C478:C479"/>
    <mergeCell ref="D478:D479"/>
    <mergeCell ref="E478:E479"/>
    <mergeCell ref="H478:H479"/>
    <mergeCell ref="I478:I479"/>
    <mergeCell ref="J478:J479"/>
    <mergeCell ref="AA475:AA476"/>
    <mergeCell ref="AB475:AB476"/>
    <mergeCell ref="AC475:AC476"/>
    <mergeCell ref="AG475:AG476"/>
    <mergeCell ref="AH475:AH476"/>
    <mergeCell ref="AI475:AI476"/>
    <mergeCell ref="O475:O476"/>
    <mergeCell ref="P475:P476"/>
    <mergeCell ref="Q475:Q476"/>
    <mergeCell ref="U475:U476"/>
    <mergeCell ref="V475:V476"/>
    <mergeCell ref="W475:W476"/>
    <mergeCell ref="U478:U479"/>
    <mergeCell ref="V478:V479"/>
    <mergeCell ref="W478:W479"/>
    <mergeCell ref="X478:X479"/>
    <mergeCell ref="Z478:Z479"/>
    <mergeCell ref="AA478:AA479"/>
    <mergeCell ref="K478:K479"/>
    <mergeCell ref="N478:N479"/>
    <mergeCell ref="O478:O479"/>
    <mergeCell ref="P478:P479"/>
    <mergeCell ref="Q478:Q479"/>
    <mergeCell ref="T478:T479"/>
    <mergeCell ref="AJ478:AJ479"/>
    <mergeCell ref="AL478:AL479"/>
    <mergeCell ref="AM478:AM479"/>
    <mergeCell ref="AN478:AN479"/>
    <mergeCell ref="AO478:AO479"/>
    <mergeCell ref="AB478:AB479"/>
    <mergeCell ref="AC478:AC479"/>
    <mergeCell ref="AF478:AF479"/>
    <mergeCell ref="AG478:AG479"/>
    <mergeCell ref="AH478:AH479"/>
    <mergeCell ref="AI478:AI479"/>
  </mergeCells>
  <pageMargins left="0.62992125984251968" right="0.23622047244094491" top="0.35433070866141736" bottom="0.35433070866141736" header="0.11811023622047245" footer="0.11811023622047245"/>
  <pageSetup orientation="landscape" horizontalDpi="0" verticalDpi="0"/>
  <drawing r:id="rId1"/>
  <legacyDrawing r:id="rId2"/>
  <oleObjects>
    <mc:AlternateContent xmlns:mc="http://schemas.openxmlformats.org/markup-compatibility/2006">
      <mc:Choice Requires="x14">
        <oleObject progId="Equation.DSMT4" shapeId="8193" r:id="rId3">
          <objectPr defaultSize="0" r:id="rId4">
            <anchor moveWithCells="1">
              <from>
                <xdr:col>21</xdr:col>
                <xdr:colOff>304800</xdr:colOff>
                <xdr:row>83</xdr:row>
                <xdr:rowOff>76200</xdr:rowOff>
              </from>
              <to>
                <xdr:col>21</xdr:col>
                <xdr:colOff>714375</xdr:colOff>
                <xdr:row>84</xdr:row>
                <xdr:rowOff>161925</xdr:rowOff>
              </to>
            </anchor>
          </objectPr>
        </oleObject>
      </mc:Choice>
      <mc:Fallback>
        <oleObject progId="Equation.DSMT4" shapeId="8193" r:id="rId3"/>
      </mc:Fallback>
    </mc:AlternateContent>
    <mc:AlternateContent xmlns:mc="http://schemas.openxmlformats.org/markup-compatibility/2006">
      <mc:Choice Requires="x14">
        <oleObject progId="Equation.DSMT4" shapeId="8194" r:id="rId5">
          <objectPr defaultSize="0" r:id="rId4">
            <anchor moveWithCells="1">
              <from>
                <xdr:col>25</xdr:col>
                <xdr:colOff>304800</xdr:colOff>
                <xdr:row>83</xdr:row>
                <xdr:rowOff>76200</xdr:rowOff>
              </from>
              <to>
                <xdr:col>25</xdr:col>
                <xdr:colOff>714375</xdr:colOff>
                <xdr:row>84</xdr:row>
                <xdr:rowOff>161925</xdr:rowOff>
              </to>
            </anchor>
          </objectPr>
        </oleObject>
      </mc:Choice>
      <mc:Fallback>
        <oleObject progId="Equation.DSMT4" shapeId="8194" r:id="rId5"/>
      </mc:Fallback>
    </mc:AlternateContent>
    <mc:AlternateContent xmlns:mc="http://schemas.openxmlformats.org/markup-compatibility/2006">
      <mc:Choice Requires="x14">
        <oleObject progId="Equation.DSMT4" shapeId="8195" r:id="rId6">
          <objectPr defaultSize="0" r:id="rId7">
            <anchor moveWithCells="1">
              <from>
                <xdr:col>41</xdr:col>
                <xdr:colOff>200025</xdr:colOff>
                <xdr:row>73</xdr:row>
                <xdr:rowOff>114300</xdr:rowOff>
              </from>
              <to>
                <xdr:col>43</xdr:col>
                <xdr:colOff>647700</xdr:colOff>
                <xdr:row>80</xdr:row>
                <xdr:rowOff>123825</xdr:rowOff>
              </to>
            </anchor>
          </objectPr>
        </oleObject>
      </mc:Choice>
      <mc:Fallback>
        <oleObject progId="Equation.DSMT4" shapeId="8195" r:id="rId6"/>
      </mc:Fallback>
    </mc:AlternateContent>
    <mc:AlternateContent xmlns:mc="http://schemas.openxmlformats.org/markup-compatibility/2006">
      <mc:Choice Requires="x14">
        <oleObject progId="Equation.DSMT4" shapeId="8196" r:id="rId8">
          <objectPr defaultSize="0" r:id="rId9">
            <anchor moveWithCells="1">
              <from>
                <xdr:col>44</xdr:col>
                <xdr:colOff>304800</xdr:colOff>
                <xdr:row>73</xdr:row>
                <xdr:rowOff>47625</xdr:rowOff>
              </from>
              <to>
                <xdr:col>46</xdr:col>
                <xdr:colOff>676275</xdr:colOff>
                <xdr:row>75</xdr:row>
                <xdr:rowOff>114300</xdr:rowOff>
              </to>
            </anchor>
          </objectPr>
        </oleObject>
      </mc:Choice>
      <mc:Fallback>
        <oleObject progId="Equation.DSMT4" shapeId="8196" r:id="rId8"/>
      </mc:Fallback>
    </mc:AlternateContent>
    <mc:AlternateContent xmlns:mc="http://schemas.openxmlformats.org/markup-compatibility/2006">
      <mc:Choice Requires="x14">
        <oleObject progId="Equation.DSMT4" shapeId="8197" r:id="rId10">
          <objectPr defaultSize="0" r:id="rId11">
            <anchor moveWithCells="1">
              <from>
                <xdr:col>44</xdr:col>
                <xdr:colOff>219075</xdr:colOff>
                <xdr:row>76</xdr:row>
                <xdr:rowOff>76200</xdr:rowOff>
              </from>
              <to>
                <xdr:col>48</xdr:col>
                <xdr:colOff>123825</xdr:colOff>
                <xdr:row>77</xdr:row>
                <xdr:rowOff>161925</xdr:rowOff>
              </to>
            </anchor>
          </objectPr>
        </oleObject>
      </mc:Choice>
      <mc:Fallback>
        <oleObject progId="Equation.DSMT4" shapeId="8197" r:id="rId10"/>
      </mc:Fallback>
    </mc:AlternateContent>
    <mc:AlternateContent xmlns:mc="http://schemas.openxmlformats.org/markup-compatibility/2006">
      <mc:Choice Requires="x14">
        <oleObject progId="Equation.DSMT4" shapeId="8198" r:id="rId12">
          <objectPr defaultSize="0" r:id="rId13">
            <anchor moveWithCells="1">
              <from>
                <xdr:col>44</xdr:col>
                <xdr:colOff>219075</xdr:colOff>
                <xdr:row>78</xdr:row>
                <xdr:rowOff>161925</xdr:rowOff>
              </from>
              <to>
                <xdr:col>46</xdr:col>
                <xdr:colOff>990600</xdr:colOff>
                <xdr:row>81</xdr:row>
                <xdr:rowOff>38100</xdr:rowOff>
              </to>
            </anchor>
          </objectPr>
        </oleObject>
      </mc:Choice>
      <mc:Fallback>
        <oleObject progId="Equation.DSMT4" shapeId="8198" r:id="rId12"/>
      </mc:Fallback>
    </mc:AlternateContent>
    <mc:AlternateContent xmlns:mc="http://schemas.openxmlformats.org/markup-compatibility/2006">
      <mc:Choice Requires="x14">
        <oleObject progId="Equation.DSMT4" shapeId="8199" r:id="rId14">
          <objectPr defaultSize="0" r:id="rId15">
            <anchor moveWithCells="1">
              <from>
                <xdr:col>41</xdr:col>
                <xdr:colOff>428625</xdr:colOff>
                <xdr:row>82</xdr:row>
                <xdr:rowOff>152400</xdr:rowOff>
              </from>
              <to>
                <xdr:col>41</xdr:col>
                <xdr:colOff>609600</xdr:colOff>
                <xdr:row>83</xdr:row>
                <xdr:rowOff>114300</xdr:rowOff>
              </to>
            </anchor>
          </objectPr>
        </oleObject>
      </mc:Choice>
      <mc:Fallback>
        <oleObject progId="Equation.DSMT4" shapeId="8199" r:id="rId14"/>
      </mc:Fallback>
    </mc:AlternateContent>
    <mc:AlternateContent xmlns:mc="http://schemas.openxmlformats.org/markup-compatibility/2006">
      <mc:Choice Requires="x14">
        <oleObject progId="Equation.DSMT4" shapeId="8200" r:id="rId16">
          <objectPr defaultSize="0" r:id="rId17">
            <anchor moveWithCells="1">
              <from>
                <xdr:col>42</xdr:col>
                <xdr:colOff>257175</xdr:colOff>
                <xdr:row>82</xdr:row>
                <xdr:rowOff>85725</xdr:rowOff>
              </from>
              <to>
                <xdr:col>42</xdr:col>
                <xdr:colOff>676275</xdr:colOff>
                <xdr:row>83</xdr:row>
                <xdr:rowOff>180975</xdr:rowOff>
              </to>
            </anchor>
          </objectPr>
        </oleObject>
      </mc:Choice>
      <mc:Fallback>
        <oleObject progId="Equation.DSMT4" shapeId="8200" r:id="rId16"/>
      </mc:Fallback>
    </mc:AlternateContent>
    <mc:AlternateContent xmlns:mc="http://schemas.openxmlformats.org/markup-compatibility/2006">
      <mc:Choice Requires="x14">
        <oleObject progId="Equation.DSMT4" shapeId="8201" r:id="rId18">
          <objectPr defaultSize="0" r:id="rId19">
            <anchor moveWithCells="1">
              <from>
                <xdr:col>41</xdr:col>
                <xdr:colOff>295275</xdr:colOff>
                <xdr:row>85</xdr:row>
                <xdr:rowOff>104775</xdr:rowOff>
              </from>
              <to>
                <xdr:col>41</xdr:col>
                <xdr:colOff>714375</xdr:colOff>
                <xdr:row>86</xdr:row>
                <xdr:rowOff>200025</xdr:rowOff>
              </to>
            </anchor>
          </objectPr>
        </oleObject>
      </mc:Choice>
      <mc:Fallback>
        <oleObject progId="Equation.DSMT4" shapeId="8201" r:id="rId18"/>
      </mc:Fallback>
    </mc:AlternateContent>
    <mc:AlternateContent xmlns:mc="http://schemas.openxmlformats.org/markup-compatibility/2006">
      <mc:Choice Requires="x14">
        <oleObject progId="Equation.DSMT4" shapeId="8202" r:id="rId20">
          <objectPr defaultSize="0" r:id="rId21">
            <anchor moveWithCells="1">
              <from>
                <xdr:col>42</xdr:col>
                <xdr:colOff>295275</xdr:colOff>
                <xdr:row>85</xdr:row>
                <xdr:rowOff>104775</xdr:rowOff>
              </from>
              <to>
                <xdr:col>42</xdr:col>
                <xdr:colOff>714375</xdr:colOff>
                <xdr:row>86</xdr:row>
                <xdr:rowOff>200025</xdr:rowOff>
              </to>
            </anchor>
          </objectPr>
        </oleObject>
      </mc:Choice>
      <mc:Fallback>
        <oleObject progId="Equation.DSMT4" shapeId="8202" r:id="rId20"/>
      </mc:Fallback>
    </mc:AlternateContent>
    <mc:AlternateContent xmlns:mc="http://schemas.openxmlformats.org/markup-compatibility/2006">
      <mc:Choice Requires="x14">
        <oleObject progId="Equation.DSMT4" shapeId="8203" r:id="rId22">
          <objectPr defaultSize="0" r:id="rId23">
            <anchor moveWithCells="1">
              <from>
                <xdr:col>43</xdr:col>
                <xdr:colOff>314325</xdr:colOff>
                <xdr:row>82</xdr:row>
                <xdr:rowOff>85725</xdr:rowOff>
              </from>
              <to>
                <xdr:col>43</xdr:col>
                <xdr:colOff>733425</xdr:colOff>
                <xdr:row>83</xdr:row>
                <xdr:rowOff>180975</xdr:rowOff>
              </to>
            </anchor>
          </objectPr>
        </oleObject>
      </mc:Choice>
      <mc:Fallback>
        <oleObject progId="Equation.DSMT4" shapeId="8203" r:id="rId22"/>
      </mc:Fallback>
    </mc:AlternateContent>
    <mc:AlternateContent xmlns:mc="http://schemas.openxmlformats.org/markup-compatibility/2006">
      <mc:Choice Requires="x14">
        <oleObject progId="Equation.DSMT4" shapeId="8204" r:id="rId24">
          <objectPr defaultSize="0" r:id="rId25">
            <anchor moveWithCells="1">
              <from>
                <xdr:col>43</xdr:col>
                <xdr:colOff>304800</xdr:colOff>
                <xdr:row>85</xdr:row>
                <xdr:rowOff>85725</xdr:rowOff>
              </from>
              <to>
                <xdr:col>43</xdr:col>
                <xdr:colOff>714375</xdr:colOff>
                <xdr:row>86</xdr:row>
                <xdr:rowOff>180975</xdr:rowOff>
              </to>
            </anchor>
          </objectPr>
        </oleObject>
      </mc:Choice>
      <mc:Fallback>
        <oleObject progId="Equation.DSMT4" shapeId="8204" r:id="rId24"/>
      </mc:Fallback>
    </mc:AlternateContent>
    <mc:AlternateContent xmlns:mc="http://schemas.openxmlformats.org/markup-compatibility/2006">
      <mc:Choice Requires="x14">
        <oleObject progId="Equation.DSMT4" shapeId="8205" r:id="rId26">
          <objectPr defaultSize="0" r:id="rId27">
            <anchor moveWithCells="1">
              <from>
                <xdr:col>46</xdr:col>
                <xdr:colOff>304800</xdr:colOff>
                <xdr:row>85</xdr:row>
                <xdr:rowOff>76200</xdr:rowOff>
              </from>
              <to>
                <xdr:col>46</xdr:col>
                <xdr:colOff>714375</xdr:colOff>
                <xdr:row>86</xdr:row>
                <xdr:rowOff>161925</xdr:rowOff>
              </to>
            </anchor>
          </objectPr>
        </oleObject>
      </mc:Choice>
      <mc:Fallback>
        <oleObject progId="Equation.DSMT4" shapeId="8205" r:id="rId26"/>
      </mc:Fallback>
    </mc:AlternateContent>
    <mc:AlternateContent xmlns:mc="http://schemas.openxmlformats.org/markup-compatibility/2006">
      <mc:Choice Requires="x14">
        <oleObject progId="Equation.DSMT4" shapeId="8206" r:id="rId28">
          <objectPr defaultSize="0" r:id="rId15">
            <anchor moveWithCells="1">
              <from>
                <xdr:col>52</xdr:col>
                <xdr:colOff>428625</xdr:colOff>
                <xdr:row>82</xdr:row>
                <xdr:rowOff>152400</xdr:rowOff>
              </from>
              <to>
                <xdr:col>52</xdr:col>
                <xdr:colOff>609600</xdr:colOff>
                <xdr:row>83</xdr:row>
                <xdr:rowOff>114300</xdr:rowOff>
              </to>
            </anchor>
          </objectPr>
        </oleObject>
      </mc:Choice>
      <mc:Fallback>
        <oleObject progId="Equation.DSMT4" shapeId="8206" r:id="rId28"/>
      </mc:Fallback>
    </mc:AlternateContent>
    <mc:AlternateContent xmlns:mc="http://schemas.openxmlformats.org/markup-compatibility/2006">
      <mc:Choice Requires="x14">
        <oleObject progId="Equation.DSMT4" shapeId="8207" r:id="rId29">
          <objectPr defaultSize="0" r:id="rId17">
            <anchor moveWithCells="1">
              <from>
                <xdr:col>53</xdr:col>
                <xdr:colOff>257175</xdr:colOff>
                <xdr:row>82</xdr:row>
                <xdr:rowOff>85725</xdr:rowOff>
              </from>
              <to>
                <xdr:col>53</xdr:col>
                <xdr:colOff>676275</xdr:colOff>
                <xdr:row>83</xdr:row>
                <xdr:rowOff>180975</xdr:rowOff>
              </to>
            </anchor>
          </objectPr>
        </oleObject>
      </mc:Choice>
      <mc:Fallback>
        <oleObject progId="Equation.DSMT4" shapeId="8207" r:id="rId29"/>
      </mc:Fallback>
    </mc:AlternateContent>
    <mc:AlternateContent xmlns:mc="http://schemas.openxmlformats.org/markup-compatibility/2006">
      <mc:Choice Requires="x14">
        <oleObject progId="Equation.DSMT4" shapeId="8208" r:id="rId30">
          <objectPr defaultSize="0" r:id="rId19">
            <anchor moveWithCells="1">
              <from>
                <xdr:col>52</xdr:col>
                <xdr:colOff>295275</xdr:colOff>
                <xdr:row>85</xdr:row>
                <xdr:rowOff>104775</xdr:rowOff>
              </from>
              <to>
                <xdr:col>52</xdr:col>
                <xdr:colOff>714375</xdr:colOff>
                <xdr:row>86</xdr:row>
                <xdr:rowOff>200025</xdr:rowOff>
              </to>
            </anchor>
          </objectPr>
        </oleObject>
      </mc:Choice>
      <mc:Fallback>
        <oleObject progId="Equation.DSMT4" shapeId="8208" r:id="rId30"/>
      </mc:Fallback>
    </mc:AlternateContent>
    <mc:AlternateContent xmlns:mc="http://schemas.openxmlformats.org/markup-compatibility/2006">
      <mc:Choice Requires="x14">
        <oleObject progId="Equation.DSMT4" shapeId="8209" r:id="rId31">
          <objectPr defaultSize="0" r:id="rId21">
            <anchor moveWithCells="1">
              <from>
                <xdr:col>53</xdr:col>
                <xdr:colOff>295275</xdr:colOff>
                <xdr:row>85</xdr:row>
                <xdr:rowOff>104775</xdr:rowOff>
              </from>
              <to>
                <xdr:col>53</xdr:col>
                <xdr:colOff>714375</xdr:colOff>
                <xdr:row>86</xdr:row>
                <xdr:rowOff>200025</xdr:rowOff>
              </to>
            </anchor>
          </objectPr>
        </oleObject>
      </mc:Choice>
      <mc:Fallback>
        <oleObject progId="Equation.DSMT4" shapeId="8209" r:id="rId31"/>
      </mc:Fallback>
    </mc:AlternateContent>
    <mc:AlternateContent xmlns:mc="http://schemas.openxmlformats.org/markup-compatibility/2006">
      <mc:Choice Requires="x14">
        <oleObject progId="Equation.DSMT4" shapeId="8210" r:id="rId32">
          <objectPr defaultSize="0" r:id="rId23">
            <anchor moveWithCells="1">
              <from>
                <xdr:col>54</xdr:col>
                <xdr:colOff>333375</xdr:colOff>
                <xdr:row>82</xdr:row>
                <xdr:rowOff>85725</xdr:rowOff>
              </from>
              <to>
                <xdr:col>54</xdr:col>
                <xdr:colOff>733425</xdr:colOff>
                <xdr:row>83</xdr:row>
                <xdr:rowOff>180975</xdr:rowOff>
              </to>
            </anchor>
          </objectPr>
        </oleObject>
      </mc:Choice>
      <mc:Fallback>
        <oleObject progId="Equation.DSMT4" shapeId="8210" r:id="rId32"/>
      </mc:Fallback>
    </mc:AlternateContent>
    <mc:AlternateContent xmlns:mc="http://schemas.openxmlformats.org/markup-compatibility/2006">
      <mc:Choice Requires="x14">
        <oleObject progId="Equation.DSMT4" shapeId="8211" r:id="rId33">
          <objectPr defaultSize="0" r:id="rId25">
            <anchor moveWithCells="1">
              <from>
                <xdr:col>54</xdr:col>
                <xdr:colOff>304800</xdr:colOff>
                <xdr:row>85</xdr:row>
                <xdr:rowOff>85725</xdr:rowOff>
              </from>
              <to>
                <xdr:col>54</xdr:col>
                <xdr:colOff>714375</xdr:colOff>
                <xdr:row>86</xdr:row>
                <xdr:rowOff>180975</xdr:rowOff>
              </to>
            </anchor>
          </objectPr>
        </oleObject>
      </mc:Choice>
      <mc:Fallback>
        <oleObject progId="Equation.DSMT4" shapeId="8211" r:id="rId33"/>
      </mc:Fallback>
    </mc:AlternateContent>
    <mc:AlternateContent xmlns:mc="http://schemas.openxmlformats.org/markup-compatibility/2006">
      <mc:Choice Requires="x14">
        <oleObject progId="Equation.DSMT4" shapeId="8212" r:id="rId34">
          <objectPr defaultSize="0" r:id="rId27">
            <anchor moveWithCells="1">
              <from>
                <xdr:col>57</xdr:col>
                <xdr:colOff>304800</xdr:colOff>
                <xdr:row>85</xdr:row>
                <xdr:rowOff>76200</xdr:rowOff>
              </from>
              <to>
                <xdr:col>57</xdr:col>
                <xdr:colOff>714375</xdr:colOff>
                <xdr:row>86</xdr:row>
                <xdr:rowOff>161925</xdr:rowOff>
              </to>
            </anchor>
          </objectPr>
        </oleObject>
      </mc:Choice>
      <mc:Fallback>
        <oleObject progId="Equation.DSMT4" shapeId="8212" r:id="rId34"/>
      </mc:Fallback>
    </mc:AlternateContent>
    <mc:AlternateContent xmlns:mc="http://schemas.openxmlformats.org/markup-compatibility/2006">
      <mc:Choice Requires="x14">
        <oleObject progId="Equation.DSMT4" shapeId="8213" r:id="rId35">
          <objectPr defaultSize="0" r:id="rId15">
            <anchor moveWithCells="1">
              <from>
                <xdr:col>63</xdr:col>
                <xdr:colOff>428625</xdr:colOff>
                <xdr:row>82</xdr:row>
                <xdr:rowOff>152400</xdr:rowOff>
              </from>
              <to>
                <xdr:col>63</xdr:col>
                <xdr:colOff>609600</xdr:colOff>
                <xdr:row>83</xdr:row>
                <xdr:rowOff>114300</xdr:rowOff>
              </to>
            </anchor>
          </objectPr>
        </oleObject>
      </mc:Choice>
      <mc:Fallback>
        <oleObject progId="Equation.DSMT4" shapeId="8213" r:id="rId35"/>
      </mc:Fallback>
    </mc:AlternateContent>
    <mc:AlternateContent xmlns:mc="http://schemas.openxmlformats.org/markup-compatibility/2006">
      <mc:Choice Requires="x14">
        <oleObject progId="Equation.DSMT4" shapeId="8214" r:id="rId36">
          <objectPr defaultSize="0" r:id="rId17">
            <anchor moveWithCells="1">
              <from>
                <xdr:col>64</xdr:col>
                <xdr:colOff>257175</xdr:colOff>
                <xdr:row>82</xdr:row>
                <xdr:rowOff>85725</xdr:rowOff>
              </from>
              <to>
                <xdr:col>64</xdr:col>
                <xdr:colOff>676275</xdr:colOff>
                <xdr:row>83</xdr:row>
                <xdr:rowOff>180975</xdr:rowOff>
              </to>
            </anchor>
          </objectPr>
        </oleObject>
      </mc:Choice>
      <mc:Fallback>
        <oleObject progId="Equation.DSMT4" shapeId="8214" r:id="rId36"/>
      </mc:Fallback>
    </mc:AlternateContent>
    <mc:AlternateContent xmlns:mc="http://schemas.openxmlformats.org/markup-compatibility/2006">
      <mc:Choice Requires="x14">
        <oleObject progId="Equation.DSMT4" shapeId="8215" r:id="rId37">
          <objectPr defaultSize="0" r:id="rId19">
            <anchor moveWithCells="1">
              <from>
                <xdr:col>63</xdr:col>
                <xdr:colOff>295275</xdr:colOff>
                <xdr:row>85</xdr:row>
                <xdr:rowOff>104775</xdr:rowOff>
              </from>
              <to>
                <xdr:col>63</xdr:col>
                <xdr:colOff>714375</xdr:colOff>
                <xdr:row>86</xdr:row>
                <xdr:rowOff>200025</xdr:rowOff>
              </to>
            </anchor>
          </objectPr>
        </oleObject>
      </mc:Choice>
      <mc:Fallback>
        <oleObject progId="Equation.DSMT4" shapeId="8215" r:id="rId37"/>
      </mc:Fallback>
    </mc:AlternateContent>
    <mc:AlternateContent xmlns:mc="http://schemas.openxmlformats.org/markup-compatibility/2006">
      <mc:Choice Requires="x14">
        <oleObject progId="Equation.DSMT4" shapeId="8216" r:id="rId38">
          <objectPr defaultSize="0" r:id="rId21">
            <anchor moveWithCells="1">
              <from>
                <xdr:col>64</xdr:col>
                <xdr:colOff>295275</xdr:colOff>
                <xdr:row>85</xdr:row>
                <xdr:rowOff>104775</xdr:rowOff>
              </from>
              <to>
                <xdr:col>64</xdr:col>
                <xdr:colOff>714375</xdr:colOff>
                <xdr:row>86</xdr:row>
                <xdr:rowOff>200025</xdr:rowOff>
              </to>
            </anchor>
          </objectPr>
        </oleObject>
      </mc:Choice>
      <mc:Fallback>
        <oleObject progId="Equation.DSMT4" shapeId="8216" r:id="rId38"/>
      </mc:Fallback>
    </mc:AlternateContent>
    <mc:AlternateContent xmlns:mc="http://schemas.openxmlformats.org/markup-compatibility/2006">
      <mc:Choice Requires="x14">
        <oleObject progId="Equation.DSMT4" shapeId="8217" r:id="rId39">
          <objectPr defaultSize="0" r:id="rId23">
            <anchor moveWithCells="1">
              <from>
                <xdr:col>65</xdr:col>
                <xdr:colOff>314325</xdr:colOff>
                <xdr:row>82</xdr:row>
                <xdr:rowOff>85725</xdr:rowOff>
              </from>
              <to>
                <xdr:col>65</xdr:col>
                <xdr:colOff>733425</xdr:colOff>
                <xdr:row>83</xdr:row>
                <xdr:rowOff>180975</xdr:rowOff>
              </to>
            </anchor>
          </objectPr>
        </oleObject>
      </mc:Choice>
      <mc:Fallback>
        <oleObject progId="Equation.DSMT4" shapeId="8217" r:id="rId39"/>
      </mc:Fallback>
    </mc:AlternateContent>
    <mc:AlternateContent xmlns:mc="http://schemas.openxmlformats.org/markup-compatibility/2006">
      <mc:Choice Requires="x14">
        <oleObject progId="Equation.DSMT4" shapeId="8218" r:id="rId40">
          <objectPr defaultSize="0" r:id="rId25">
            <anchor moveWithCells="1">
              <from>
                <xdr:col>65</xdr:col>
                <xdr:colOff>304800</xdr:colOff>
                <xdr:row>85</xdr:row>
                <xdr:rowOff>85725</xdr:rowOff>
              </from>
              <to>
                <xdr:col>65</xdr:col>
                <xdr:colOff>714375</xdr:colOff>
                <xdr:row>86</xdr:row>
                <xdr:rowOff>180975</xdr:rowOff>
              </to>
            </anchor>
          </objectPr>
        </oleObject>
      </mc:Choice>
      <mc:Fallback>
        <oleObject progId="Equation.DSMT4" shapeId="8218" r:id="rId40"/>
      </mc:Fallback>
    </mc:AlternateContent>
    <mc:AlternateContent xmlns:mc="http://schemas.openxmlformats.org/markup-compatibility/2006">
      <mc:Choice Requires="x14">
        <oleObject progId="Equation.DSMT4" shapeId="8219" r:id="rId41">
          <objectPr defaultSize="0" r:id="rId27">
            <anchor moveWithCells="1">
              <from>
                <xdr:col>68</xdr:col>
                <xdr:colOff>304800</xdr:colOff>
                <xdr:row>85</xdr:row>
                <xdr:rowOff>76200</xdr:rowOff>
              </from>
              <to>
                <xdr:col>68</xdr:col>
                <xdr:colOff>714375</xdr:colOff>
                <xdr:row>86</xdr:row>
                <xdr:rowOff>161925</xdr:rowOff>
              </to>
            </anchor>
          </objectPr>
        </oleObject>
      </mc:Choice>
      <mc:Fallback>
        <oleObject progId="Equation.DSMT4" shapeId="8219" r:id="rId41"/>
      </mc:Fallback>
    </mc:AlternateContent>
    <mc:AlternateContent xmlns:mc="http://schemas.openxmlformats.org/markup-compatibility/2006">
      <mc:Choice Requires="x14">
        <oleObject progId="Equation.DSMT4" shapeId="8220" r:id="rId42">
          <objectPr defaultSize="0" r:id="rId15">
            <anchor moveWithCells="1">
              <from>
                <xdr:col>74</xdr:col>
                <xdr:colOff>428625</xdr:colOff>
                <xdr:row>82</xdr:row>
                <xdr:rowOff>152400</xdr:rowOff>
              </from>
              <to>
                <xdr:col>74</xdr:col>
                <xdr:colOff>609600</xdr:colOff>
                <xdr:row>83</xdr:row>
                <xdr:rowOff>114300</xdr:rowOff>
              </to>
            </anchor>
          </objectPr>
        </oleObject>
      </mc:Choice>
      <mc:Fallback>
        <oleObject progId="Equation.DSMT4" shapeId="8220" r:id="rId42"/>
      </mc:Fallback>
    </mc:AlternateContent>
    <mc:AlternateContent xmlns:mc="http://schemas.openxmlformats.org/markup-compatibility/2006">
      <mc:Choice Requires="x14">
        <oleObject progId="Equation.DSMT4" shapeId="8221" r:id="rId43">
          <objectPr defaultSize="0" r:id="rId17">
            <anchor moveWithCells="1">
              <from>
                <xdr:col>75</xdr:col>
                <xdr:colOff>257175</xdr:colOff>
                <xdr:row>82</xdr:row>
                <xdr:rowOff>85725</xdr:rowOff>
              </from>
              <to>
                <xdr:col>75</xdr:col>
                <xdr:colOff>676275</xdr:colOff>
                <xdr:row>83</xdr:row>
                <xdr:rowOff>180975</xdr:rowOff>
              </to>
            </anchor>
          </objectPr>
        </oleObject>
      </mc:Choice>
      <mc:Fallback>
        <oleObject progId="Equation.DSMT4" shapeId="8221" r:id="rId43"/>
      </mc:Fallback>
    </mc:AlternateContent>
    <mc:AlternateContent xmlns:mc="http://schemas.openxmlformats.org/markup-compatibility/2006">
      <mc:Choice Requires="x14">
        <oleObject progId="Equation.DSMT4" shapeId="8222" r:id="rId44">
          <objectPr defaultSize="0" r:id="rId19">
            <anchor moveWithCells="1">
              <from>
                <xdr:col>74</xdr:col>
                <xdr:colOff>295275</xdr:colOff>
                <xdr:row>85</xdr:row>
                <xdr:rowOff>104775</xdr:rowOff>
              </from>
              <to>
                <xdr:col>74</xdr:col>
                <xdr:colOff>714375</xdr:colOff>
                <xdr:row>86</xdr:row>
                <xdr:rowOff>200025</xdr:rowOff>
              </to>
            </anchor>
          </objectPr>
        </oleObject>
      </mc:Choice>
      <mc:Fallback>
        <oleObject progId="Equation.DSMT4" shapeId="8222" r:id="rId44"/>
      </mc:Fallback>
    </mc:AlternateContent>
    <mc:AlternateContent xmlns:mc="http://schemas.openxmlformats.org/markup-compatibility/2006">
      <mc:Choice Requires="x14">
        <oleObject progId="Equation.DSMT4" shapeId="8223" r:id="rId45">
          <objectPr defaultSize="0" r:id="rId21">
            <anchor moveWithCells="1">
              <from>
                <xdr:col>75</xdr:col>
                <xdr:colOff>295275</xdr:colOff>
                <xdr:row>85</xdr:row>
                <xdr:rowOff>104775</xdr:rowOff>
              </from>
              <to>
                <xdr:col>75</xdr:col>
                <xdr:colOff>714375</xdr:colOff>
                <xdr:row>86</xdr:row>
                <xdr:rowOff>200025</xdr:rowOff>
              </to>
            </anchor>
          </objectPr>
        </oleObject>
      </mc:Choice>
      <mc:Fallback>
        <oleObject progId="Equation.DSMT4" shapeId="8223" r:id="rId45"/>
      </mc:Fallback>
    </mc:AlternateContent>
    <mc:AlternateContent xmlns:mc="http://schemas.openxmlformats.org/markup-compatibility/2006">
      <mc:Choice Requires="x14">
        <oleObject progId="Equation.DSMT4" shapeId="8224" r:id="rId46">
          <objectPr defaultSize="0" r:id="rId23">
            <anchor moveWithCells="1">
              <from>
                <xdr:col>76</xdr:col>
                <xdr:colOff>314325</xdr:colOff>
                <xdr:row>82</xdr:row>
                <xdr:rowOff>85725</xdr:rowOff>
              </from>
              <to>
                <xdr:col>76</xdr:col>
                <xdr:colOff>733425</xdr:colOff>
                <xdr:row>83</xdr:row>
                <xdr:rowOff>180975</xdr:rowOff>
              </to>
            </anchor>
          </objectPr>
        </oleObject>
      </mc:Choice>
      <mc:Fallback>
        <oleObject progId="Equation.DSMT4" shapeId="8224" r:id="rId46"/>
      </mc:Fallback>
    </mc:AlternateContent>
    <mc:AlternateContent xmlns:mc="http://schemas.openxmlformats.org/markup-compatibility/2006">
      <mc:Choice Requires="x14">
        <oleObject progId="Equation.DSMT4" shapeId="8225" r:id="rId47">
          <objectPr defaultSize="0" r:id="rId25">
            <anchor moveWithCells="1">
              <from>
                <xdr:col>76</xdr:col>
                <xdr:colOff>304800</xdr:colOff>
                <xdr:row>85</xdr:row>
                <xdr:rowOff>85725</xdr:rowOff>
              </from>
              <to>
                <xdr:col>76</xdr:col>
                <xdr:colOff>714375</xdr:colOff>
                <xdr:row>86</xdr:row>
                <xdr:rowOff>180975</xdr:rowOff>
              </to>
            </anchor>
          </objectPr>
        </oleObject>
      </mc:Choice>
      <mc:Fallback>
        <oleObject progId="Equation.DSMT4" shapeId="8225" r:id="rId47"/>
      </mc:Fallback>
    </mc:AlternateContent>
    <mc:AlternateContent xmlns:mc="http://schemas.openxmlformats.org/markup-compatibility/2006">
      <mc:Choice Requires="x14">
        <oleObject progId="Equation.DSMT4" shapeId="8226" r:id="rId48">
          <objectPr defaultSize="0" r:id="rId27">
            <anchor moveWithCells="1">
              <from>
                <xdr:col>79</xdr:col>
                <xdr:colOff>304800</xdr:colOff>
                <xdr:row>85</xdr:row>
                <xdr:rowOff>76200</xdr:rowOff>
              </from>
              <to>
                <xdr:col>79</xdr:col>
                <xdr:colOff>714375</xdr:colOff>
                <xdr:row>86</xdr:row>
                <xdr:rowOff>161925</xdr:rowOff>
              </to>
            </anchor>
          </objectPr>
        </oleObject>
      </mc:Choice>
      <mc:Fallback>
        <oleObject progId="Equation.DSMT4" shapeId="8226" r:id="rId48"/>
      </mc:Fallback>
    </mc:AlternateContent>
    <mc:AlternateContent xmlns:mc="http://schemas.openxmlformats.org/markup-compatibility/2006">
      <mc:Choice Requires="x14">
        <oleObject progId="Equation.DSMT4" shapeId="8227" r:id="rId49">
          <objectPr defaultSize="0" r:id="rId15">
            <anchor moveWithCells="1">
              <from>
                <xdr:col>85</xdr:col>
                <xdr:colOff>428625</xdr:colOff>
                <xdr:row>82</xdr:row>
                <xdr:rowOff>152400</xdr:rowOff>
              </from>
              <to>
                <xdr:col>85</xdr:col>
                <xdr:colOff>609600</xdr:colOff>
                <xdr:row>83</xdr:row>
                <xdr:rowOff>114300</xdr:rowOff>
              </to>
            </anchor>
          </objectPr>
        </oleObject>
      </mc:Choice>
      <mc:Fallback>
        <oleObject progId="Equation.DSMT4" shapeId="8227" r:id="rId49"/>
      </mc:Fallback>
    </mc:AlternateContent>
    <mc:AlternateContent xmlns:mc="http://schemas.openxmlformats.org/markup-compatibility/2006">
      <mc:Choice Requires="x14">
        <oleObject progId="Equation.DSMT4" shapeId="8228" r:id="rId50">
          <objectPr defaultSize="0" r:id="rId17">
            <anchor moveWithCells="1">
              <from>
                <xdr:col>86</xdr:col>
                <xdr:colOff>257175</xdr:colOff>
                <xdr:row>82</xdr:row>
                <xdr:rowOff>85725</xdr:rowOff>
              </from>
              <to>
                <xdr:col>86</xdr:col>
                <xdr:colOff>676275</xdr:colOff>
                <xdr:row>83</xdr:row>
                <xdr:rowOff>180975</xdr:rowOff>
              </to>
            </anchor>
          </objectPr>
        </oleObject>
      </mc:Choice>
      <mc:Fallback>
        <oleObject progId="Equation.DSMT4" shapeId="8228" r:id="rId50"/>
      </mc:Fallback>
    </mc:AlternateContent>
    <mc:AlternateContent xmlns:mc="http://schemas.openxmlformats.org/markup-compatibility/2006">
      <mc:Choice Requires="x14">
        <oleObject progId="Equation.DSMT4" shapeId="8229" r:id="rId51">
          <objectPr defaultSize="0" r:id="rId19">
            <anchor moveWithCells="1">
              <from>
                <xdr:col>85</xdr:col>
                <xdr:colOff>295275</xdr:colOff>
                <xdr:row>85</xdr:row>
                <xdr:rowOff>104775</xdr:rowOff>
              </from>
              <to>
                <xdr:col>85</xdr:col>
                <xdr:colOff>714375</xdr:colOff>
                <xdr:row>86</xdr:row>
                <xdr:rowOff>200025</xdr:rowOff>
              </to>
            </anchor>
          </objectPr>
        </oleObject>
      </mc:Choice>
      <mc:Fallback>
        <oleObject progId="Equation.DSMT4" shapeId="8229" r:id="rId51"/>
      </mc:Fallback>
    </mc:AlternateContent>
    <mc:AlternateContent xmlns:mc="http://schemas.openxmlformats.org/markup-compatibility/2006">
      <mc:Choice Requires="x14">
        <oleObject progId="Equation.DSMT4" shapeId="8230" r:id="rId52">
          <objectPr defaultSize="0" r:id="rId21">
            <anchor moveWithCells="1">
              <from>
                <xdr:col>86</xdr:col>
                <xdr:colOff>295275</xdr:colOff>
                <xdr:row>85</xdr:row>
                <xdr:rowOff>104775</xdr:rowOff>
              </from>
              <to>
                <xdr:col>86</xdr:col>
                <xdr:colOff>714375</xdr:colOff>
                <xdr:row>86</xdr:row>
                <xdr:rowOff>200025</xdr:rowOff>
              </to>
            </anchor>
          </objectPr>
        </oleObject>
      </mc:Choice>
      <mc:Fallback>
        <oleObject progId="Equation.DSMT4" shapeId="8230" r:id="rId52"/>
      </mc:Fallback>
    </mc:AlternateContent>
    <mc:AlternateContent xmlns:mc="http://schemas.openxmlformats.org/markup-compatibility/2006">
      <mc:Choice Requires="x14">
        <oleObject progId="Equation.DSMT4" shapeId="8231" r:id="rId53">
          <objectPr defaultSize="0" r:id="rId23">
            <anchor moveWithCells="1">
              <from>
                <xdr:col>87</xdr:col>
                <xdr:colOff>314325</xdr:colOff>
                <xdr:row>82</xdr:row>
                <xdr:rowOff>85725</xdr:rowOff>
              </from>
              <to>
                <xdr:col>87</xdr:col>
                <xdr:colOff>733425</xdr:colOff>
                <xdr:row>83</xdr:row>
                <xdr:rowOff>180975</xdr:rowOff>
              </to>
            </anchor>
          </objectPr>
        </oleObject>
      </mc:Choice>
      <mc:Fallback>
        <oleObject progId="Equation.DSMT4" shapeId="8231" r:id="rId53"/>
      </mc:Fallback>
    </mc:AlternateContent>
    <mc:AlternateContent xmlns:mc="http://schemas.openxmlformats.org/markup-compatibility/2006">
      <mc:Choice Requires="x14">
        <oleObject progId="Equation.DSMT4" shapeId="8232" r:id="rId54">
          <objectPr defaultSize="0" r:id="rId25">
            <anchor moveWithCells="1">
              <from>
                <xdr:col>87</xdr:col>
                <xdr:colOff>304800</xdr:colOff>
                <xdr:row>85</xdr:row>
                <xdr:rowOff>85725</xdr:rowOff>
              </from>
              <to>
                <xdr:col>87</xdr:col>
                <xdr:colOff>714375</xdr:colOff>
                <xdr:row>86</xdr:row>
                <xdr:rowOff>180975</xdr:rowOff>
              </to>
            </anchor>
          </objectPr>
        </oleObject>
      </mc:Choice>
      <mc:Fallback>
        <oleObject progId="Equation.DSMT4" shapeId="8232" r:id="rId54"/>
      </mc:Fallback>
    </mc:AlternateContent>
    <mc:AlternateContent xmlns:mc="http://schemas.openxmlformats.org/markup-compatibility/2006">
      <mc:Choice Requires="x14">
        <oleObject progId="Equation.DSMT4" shapeId="8233" r:id="rId55">
          <objectPr defaultSize="0" r:id="rId27">
            <anchor moveWithCells="1">
              <from>
                <xdr:col>90</xdr:col>
                <xdr:colOff>304800</xdr:colOff>
                <xdr:row>85</xdr:row>
                <xdr:rowOff>76200</xdr:rowOff>
              </from>
              <to>
                <xdr:col>90</xdr:col>
                <xdr:colOff>714375</xdr:colOff>
                <xdr:row>86</xdr:row>
                <xdr:rowOff>161925</xdr:rowOff>
              </to>
            </anchor>
          </objectPr>
        </oleObject>
      </mc:Choice>
      <mc:Fallback>
        <oleObject progId="Equation.DSMT4" shapeId="8233" r:id="rId55"/>
      </mc:Fallback>
    </mc:AlternateContent>
    <mc:AlternateContent xmlns:mc="http://schemas.openxmlformats.org/markup-compatibility/2006">
      <mc:Choice Requires="x14">
        <oleObject progId="Equation.DSMT4" shapeId="8234" r:id="rId56">
          <objectPr defaultSize="0" r:id="rId15">
            <anchor moveWithCells="1">
              <from>
                <xdr:col>96</xdr:col>
                <xdr:colOff>428625</xdr:colOff>
                <xdr:row>82</xdr:row>
                <xdr:rowOff>152400</xdr:rowOff>
              </from>
              <to>
                <xdr:col>96</xdr:col>
                <xdr:colOff>609600</xdr:colOff>
                <xdr:row>83</xdr:row>
                <xdr:rowOff>114300</xdr:rowOff>
              </to>
            </anchor>
          </objectPr>
        </oleObject>
      </mc:Choice>
      <mc:Fallback>
        <oleObject progId="Equation.DSMT4" shapeId="8234" r:id="rId56"/>
      </mc:Fallback>
    </mc:AlternateContent>
    <mc:AlternateContent xmlns:mc="http://schemas.openxmlformats.org/markup-compatibility/2006">
      <mc:Choice Requires="x14">
        <oleObject progId="Equation.DSMT4" shapeId="8235" r:id="rId57">
          <objectPr defaultSize="0" r:id="rId17">
            <anchor moveWithCells="1">
              <from>
                <xdr:col>97</xdr:col>
                <xdr:colOff>257175</xdr:colOff>
                <xdr:row>82</xdr:row>
                <xdr:rowOff>85725</xdr:rowOff>
              </from>
              <to>
                <xdr:col>97</xdr:col>
                <xdr:colOff>676275</xdr:colOff>
                <xdr:row>83</xdr:row>
                <xdr:rowOff>180975</xdr:rowOff>
              </to>
            </anchor>
          </objectPr>
        </oleObject>
      </mc:Choice>
      <mc:Fallback>
        <oleObject progId="Equation.DSMT4" shapeId="8235" r:id="rId57"/>
      </mc:Fallback>
    </mc:AlternateContent>
    <mc:AlternateContent xmlns:mc="http://schemas.openxmlformats.org/markup-compatibility/2006">
      <mc:Choice Requires="x14">
        <oleObject progId="Equation.DSMT4" shapeId="8236" r:id="rId58">
          <objectPr defaultSize="0" r:id="rId19">
            <anchor moveWithCells="1">
              <from>
                <xdr:col>96</xdr:col>
                <xdr:colOff>295275</xdr:colOff>
                <xdr:row>85</xdr:row>
                <xdr:rowOff>104775</xdr:rowOff>
              </from>
              <to>
                <xdr:col>96</xdr:col>
                <xdr:colOff>714375</xdr:colOff>
                <xdr:row>86</xdr:row>
                <xdr:rowOff>200025</xdr:rowOff>
              </to>
            </anchor>
          </objectPr>
        </oleObject>
      </mc:Choice>
      <mc:Fallback>
        <oleObject progId="Equation.DSMT4" shapeId="8236" r:id="rId58"/>
      </mc:Fallback>
    </mc:AlternateContent>
    <mc:AlternateContent xmlns:mc="http://schemas.openxmlformats.org/markup-compatibility/2006">
      <mc:Choice Requires="x14">
        <oleObject progId="Equation.DSMT4" shapeId="8237" r:id="rId59">
          <objectPr defaultSize="0" r:id="rId21">
            <anchor moveWithCells="1">
              <from>
                <xdr:col>97</xdr:col>
                <xdr:colOff>295275</xdr:colOff>
                <xdr:row>85</xdr:row>
                <xdr:rowOff>104775</xdr:rowOff>
              </from>
              <to>
                <xdr:col>97</xdr:col>
                <xdr:colOff>714375</xdr:colOff>
                <xdr:row>86</xdr:row>
                <xdr:rowOff>200025</xdr:rowOff>
              </to>
            </anchor>
          </objectPr>
        </oleObject>
      </mc:Choice>
      <mc:Fallback>
        <oleObject progId="Equation.DSMT4" shapeId="8237" r:id="rId59"/>
      </mc:Fallback>
    </mc:AlternateContent>
    <mc:AlternateContent xmlns:mc="http://schemas.openxmlformats.org/markup-compatibility/2006">
      <mc:Choice Requires="x14">
        <oleObject progId="Equation.DSMT4" shapeId="8238" r:id="rId60">
          <objectPr defaultSize="0" r:id="rId23">
            <anchor moveWithCells="1">
              <from>
                <xdr:col>98</xdr:col>
                <xdr:colOff>314325</xdr:colOff>
                <xdr:row>82</xdr:row>
                <xdr:rowOff>85725</xdr:rowOff>
              </from>
              <to>
                <xdr:col>98</xdr:col>
                <xdr:colOff>733425</xdr:colOff>
                <xdr:row>83</xdr:row>
                <xdr:rowOff>180975</xdr:rowOff>
              </to>
            </anchor>
          </objectPr>
        </oleObject>
      </mc:Choice>
      <mc:Fallback>
        <oleObject progId="Equation.DSMT4" shapeId="8238" r:id="rId60"/>
      </mc:Fallback>
    </mc:AlternateContent>
    <mc:AlternateContent xmlns:mc="http://schemas.openxmlformats.org/markup-compatibility/2006">
      <mc:Choice Requires="x14">
        <oleObject progId="Equation.DSMT4" shapeId="8239" r:id="rId61">
          <objectPr defaultSize="0" r:id="rId25">
            <anchor moveWithCells="1">
              <from>
                <xdr:col>98</xdr:col>
                <xdr:colOff>304800</xdr:colOff>
                <xdr:row>85</xdr:row>
                <xdr:rowOff>85725</xdr:rowOff>
              </from>
              <to>
                <xdr:col>98</xdr:col>
                <xdr:colOff>714375</xdr:colOff>
                <xdr:row>86</xdr:row>
                <xdr:rowOff>180975</xdr:rowOff>
              </to>
            </anchor>
          </objectPr>
        </oleObject>
      </mc:Choice>
      <mc:Fallback>
        <oleObject progId="Equation.DSMT4" shapeId="8239" r:id="rId61"/>
      </mc:Fallback>
    </mc:AlternateContent>
    <mc:AlternateContent xmlns:mc="http://schemas.openxmlformats.org/markup-compatibility/2006">
      <mc:Choice Requires="x14">
        <oleObject progId="Equation.DSMT4" shapeId="8240" r:id="rId62">
          <objectPr defaultSize="0" r:id="rId27">
            <anchor moveWithCells="1">
              <from>
                <xdr:col>101</xdr:col>
                <xdr:colOff>304800</xdr:colOff>
                <xdr:row>85</xdr:row>
                <xdr:rowOff>76200</xdr:rowOff>
              </from>
              <to>
                <xdr:col>101</xdr:col>
                <xdr:colOff>714375</xdr:colOff>
                <xdr:row>86</xdr:row>
                <xdr:rowOff>161925</xdr:rowOff>
              </to>
            </anchor>
          </objectPr>
        </oleObject>
      </mc:Choice>
      <mc:Fallback>
        <oleObject progId="Equation.DSMT4" shapeId="8240" r:id="rId62"/>
      </mc:Fallback>
    </mc:AlternateContent>
    <mc:AlternateContent xmlns:mc="http://schemas.openxmlformats.org/markup-compatibility/2006">
      <mc:Choice Requires="x14">
        <oleObject progId="Equation.DSMT4" shapeId="8241" r:id="rId63">
          <objectPr defaultSize="0" r:id="rId15">
            <anchor moveWithCells="1">
              <from>
                <xdr:col>107</xdr:col>
                <xdr:colOff>428625</xdr:colOff>
                <xdr:row>82</xdr:row>
                <xdr:rowOff>152400</xdr:rowOff>
              </from>
              <to>
                <xdr:col>107</xdr:col>
                <xdr:colOff>609600</xdr:colOff>
                <xdr:row>83</xdr:row>
                <xdr:rowOff>114300</xdr:rowOff>
              </to>
            </anchor>
          </objectPr>
        </oleObject>
      </mc:Choice>
      <mc:Fallback>
        <oleObject progId="Equation.DSMT4" shapeId="8241" r:id="rId63"/>
      </mc:Fallback>
    </mc:AlternateContent>
    <mc:AlternateContent xmlns:mc="http://schemas.openxmlformats.org/markup-compatibility/2006">
      <mc:Choice Requires="x14">
        <oleObject progId="Equation.DSMT4" shapeId="8242" r:id="rId64">
          <objectPr defaultSize="0" r:id="rId17">
            <anchor moveWithCells="1">
              <from>
                <xdr:col>108</xdr:col>
                <xdr:colOff>257175</xdr:colOff>
                <xdr:row>82</xdr:row>
                <xdr:rowOff>85725</xdr:rowOff>
              </from>
              <to>
                <xdr:col>108</xdr:col>
                <xdr:colOff>647700</xdr:colOff>
                <xdr:row>83</xdr:row>
                <xdr:rowOff>180975</xdr:rowOff>
              </to>
            </anchor>
          </objectPr>
        </oleObject>
      </mc:Choice>
      <mc:Fallback>
        <oleObject progId="Equation.DSMT4" shapeId="8242" r:id="rId64"/>
      </mc:Fallback>
    </mc:AlternateContent>
    <mc:AlternateContent xmlns:mc="http://schemas.openxmlformats.org/markup-compatibility/2006">
      <mc:Choice Requires="x14">
        <oleObject progId="Equation.DSMT4" shapeId="8243" r:id="rId65">
          <objectPr defaultSize="0" r:id="rId19">
            <anchor moveWithCells="1">
              <from>
                <xdr:col>107</xdr:col>
                <xdr:colOff>295275</xdr:colOff>
                <xdr:row>85</xdr:row>
                <xdr:rowOff>104775</xdr:rowOff>
              </from>
              <to>
                <xdr:col>107</xdr:col>
                <xdr:colOff>714375</xdr:colOff>
                <xdr:row>86</xdr:row>
                <xdr:rowOff>200025</xdr:rowOff>
              </to>
            </anchor>
          </objectPr>
        </oleObject>
      </mc:Choice>
      <mc:Fallback>
        <oleObject progId="Equation.DSMT4" shapeId="8243" r:id="rId65"/>
      </mc:Fallback>
    </mc:AlternateContent>
    <mc:AlternateContent xmlns:mc="http://schemas.openxmlformats.org/markup-compatibility/2006">
      <mc:Choice Requires="x14">
        <oleObject progId="Equation.DSMT4" shapeId="8244" r:id="rId66">
          <objectPr defaultSize="0" r:id="rId21">
            <anchor moveWithCells="1">
              <from>
                <xdr:col>108</xdr:col>
                <xdr:colOff>295275</xdr:colOff>
                <xdr:row>85</xdr:row>
                <xdr:rowOff>104775</xdr:rowOff>
              </from>
              <to>
                <xdr:col>108</xdr:col>
                <xdr:colOff>714375</xdr:colOff>
                <xdr:row>86</xdr:row>
                <xdr:rowOff>200025</xdr:rowOff>
              </to>
            </anchor>
          </objectPr>
        </oleObject>
      </mc:Choice>
      <mc:Fallback>
        <oleObject progId="Equation.DSMT4" shapeId="8244" r:id="rId66"/>
      </mc:Fallback>
    </mc:AlternateContent>
    <mc:AlternateContent xmlns:mc="http://schemas.openxmlformats.org/markup-compatibility/2006">
      <mc:Choice Requires="x14">
        <oleObject progId="Equation.DSMT4" shapeId="8245" r:id="rId67">
          <objectPr defaultSize="0" r:id="rId23">
            <anchor moveWithCells="1">
              <from>
                <xdr:col>109</xdr:col>
                <xdr:colOff>314325</xdr:colOff>
                <xdr:row>82</xdr:row>
                <xdr:rowOff>85725</xdr:rowOff>
              </from>
              <to>
                <xdr:col>109</xdr:col>
                <xdr:colOff>733425</xdr:colOff>
                <xdr:row>83</xdr:row>
                <xdr:rowOff>180975</xdr:rowOff>
              </to>
            </anchor>
          </objectPr>
        </oleObject>
      </mc:Choice>
      <mc:Fallback>
        <oleObject progId="Equation.DSMT4" shapeId="8245" r:id="rId67"/>
      </mc:Fallback>
    </mc:AlternateContent>
    <mc:AlternateContent xmlns:mc="http://schemas.openxmlformats.org/markup-compatibility/2006">
      <mc:Choice Requires="x14">
        <oleObject progId="Equation.DSMT4" shapeId="8246" r:id="rId68">
          <objectPr defaultSize="0" r:id="rId25">
            <anchor moveWithCells="1">
              <from>
                <xdr:col>109</xdr:col>
                <xdr:colOff>304800</xdr:colOff>
                <xdr:row>85</xdr:row>
                <xdr:rowOff>85725</xdr:rowOff>
              </from>
              <to>
                <xdr:col>109</xdr:col>
                <xdr:colOff>714375</xdr:colOff>
                <xdr:row>86</xdr:row>
                <xdr:rowOff>180975</xdr:rowOff>
              </to>
            </anchor>
          </objectPr>
        </oleObject>
      </mc:Choice>
      <mc:Fallback>
        <oleObject progId="Equation.DSMT4" shapeId="8246" r:id="rId68"/>
      </mc:Fallback>
    </mc:AlternateContent>
    <mc:AlternateContent xmlns:mc="http://schemas.openxmlformats.org/markup-compatibility/2006">
      <mc:Choice Requires="x14">
        <oleObject progId="Equation.DSMT4" shapeId="8247" r:id="rId69">
          <objectPr defaultSize="0" r:id="rId27">
            <anchor moveWithCells="1">
              <from>
                <xdr:col>112</xdr:col>
                <xdr:colOff>304800</xdr:colOff>
                <xdr:row>85</xdr:row>
                <xdr:rowOff>76200</xdr:rowOff>
              </from>
              <to>
                <xdr:col>112</xdr:col>
                <xdr:colOff>714375</xdr:colOff>
                <xdr:row>86</xdr:row>
                <xdr:rowOff>161925</xdr:rowOff>
              </to>
            </anchor>
          </objectPr>
        </oleObject>
      </mc:Choice>
      <mc:Fallback>
        <oleObject progId="Equation.DSMT4" shapeId="8247" r:id="rId69"/>
      </mc:Fallback>
    </mc:AlternateContent>
    <mc:AlternateContent xmlns:mc="http://schemas.openxmlformats.org/markup-compatibility/2006">
      <mc:Choice Requires="x14">
        <oleObject progId="Equation.DSMT4" shapeId="8248" r:id="rId70">
          <objectPr defaultSize="0" r:id="rId15">
            <anchor moveWithCells="1">
              <from>
                <xdr:col>41</xdr:col>
                <xdr:colOff>428625</xdr:colOff>
                <xdr:row>114</xdr:row>
                <xdr:rowOff>152400</xdr:rowOff>
              </from>
              <to>
                <xdr:col>41</xdr:col>
                <xdr:colOff>609600</xdr:colOff>
                <xdr:row>115</xdr:row>
                <xdr:rowOff>114300</xdr:rowOff>
              </to>
            </anchor>
          </objectPr>
        </oleObject>
      </mc:Choice>
      <mc:Fallback>
        <oleObject progId="Equation.DSMT4" shapeId="8248" r:id="rId70"/>
      </mc:Fallback>
    </mc:AlternateContent>
    <mc:AlternateContent xmlns:mc="http://schemas.openxmlformats.org/markup-compatibility/2006">
      <mc:Choice Requires="x14">
        <oleObject progId="Equation.DSMT4" shapeId="8249" r:id="rId71">
          <objectPr defaultSize="0" r:id="rId17">
            <anchor moveWithCells="1">
              <from>
                <xdr:col>42</xdr:col>
                <xdr:colOff>257175</xdr:colOff>
                <xdr:row>114</xdr:row>
                <xdr:rowOff>85725</xdr:rowOff>
              </from>
              <to>
                <xdr:col>42</xdr:col>
                <xdr:colOff>647700</xdr:colOff>
                <xdr:row>115</xdr:row>
                <xdr:rowOff>180975</xdr:rowOff>
              </to>
            </anchor>
          </objectPr>
        </oleObject>
      </mc:Choice>
      <mc:Fallback>
        <oleObject progId="Equation.DSMT4" shapeId="8249" r:id="rId71"/>
      </mc:Fallback>
    </mc:AlternateContent>
    <mc:AlternateContent xmlns:mc="http://schemas.openxmlformats.org/markup-compatibility/2006">
      <mc:Choice Requires="x14">
        <oleObject progId="Equation.DSMT4" shapeId="8250" r:id="rId72">
          <objectPr defaultSize="0" r:id="rId19">
            <anchor moveWithCells="1">
              <from>
                <xdr:col>41</xdr:col>
                <xdr:colOff>295275</xdr:colOff>
                <xdr:row>117</xdr:row>
                <xdr:rowOff>104775</xdr:rowOff>
              </from>
              <to>
                <xdr:col>41</xdr:col>
                <xdr:colOff>714375</xdr:colOff>
                <xdr:row>118</xdr:row>
                <xdr:rowOff>200025</xdr:rowOff>
              </to>
            </anchor>
          </objectPr>
        </oleObject>
      </mc:Choice>
      <mc:Fallback>
        <oleObject progId="Equation.DSMT4" shapeId="8250" r:id="rId72"/>
      </mc:Fallback>
    </mc:AlternateContent>
    <mc:AlternateContent xmlns:mc="http://schemas.openxmlformats.org/markup-compatibility/2006">
      <mc:Choice Requires="x14">
        <oleObject progId="Equation.DSMT4" shapeId="8251" r:id="rId73">
          <objectPr defaultSize="0" r:id="rId21">
            <anchor moveWithCells="1">
              <from>
                <xdr:col>42</xdr:col>
                <xdr:colOff>295275</xdr:colOff>
                <xdr:row>117</xdr:row>
                <xdr:rowOff>104775</xdr:rowOff>
              </from>
              <to>
                <xdr:col>42</xdr:col>
                <xdr:colOff>714375</xdr:colOff>
                <xdr:row>118</xdr:row>
                <xdr:rowOff>200025</xdr:rowOff>
              </to>
            </anchor>
          </objectPr>
        </oleObject>
      </mc:Choice>
      <mc:Fallback>
        <oleObject progId="Equation.DSMT4" shapeId="8251" r:id="rId73"/>
      </mc:Fallback>
    </mc:AlternateContent>
    <mc:AlternateContent xmlns:mc="http://schemas.openxmlformats.org/markup-compatibility/2006">
      <mc:Choice Requires="x14">
        <oleObject progId="Equation.DSMT4" shapeId="8252" r:id="rId74">
          <objectPr defaultSize="0" r:id="rId23">
            <anchor moveWithCells="1">
              <from>
                <xdr:col>43</xdr:col>
                <xdr:colOff>314325</xdr:colOff>
                <xdr:row>114</xdr:row>
                <xdr:rowOff>85725</xdr:rowOff>
              </from>
              <to>
                <xdr:col>43</xdr:col>
                <xdr:colOff>733425</xdr:colOff>
                <xdr:row>115</xdr:row>
                <xdr:rowOff>180975</xdr:rowOff>
              </to>
            </anchor>
          </objectPr>
        </oleObject>
      </mc:Choice>
      <mc:Fallback>
        <oleObject progId="Equation.DSMT4" shapeId="8252" r:id="rId74"/>
      </mc:Fallback>
    </mc:AlternateContent>
    <mc:AlternateContent xmlns:mc="http://schemas.openxmlformats.org/markup-compatibility/2006">
      <mc:Choice Requires="x14">
        <oleObject progId="Equation.DSMT4" shapeId="8253" r:id="rId75">
          <objectPr defaultSize="0" r:id="rId25">
            <anchor moveWithCells="1">
              <from>
                <xdr:col>43</xdr:col>
                <xdr:colOff>304800</xdr:colOff>
                <xdr:row>117</xdr:row>
                <xdr:rowOff>85725</xdr:rowOff>
              </from>
              <to>
                <xdr:col>43</xdr:col>
                <xdr:colOff>714375</xdr:colOff>
                <xdr:row>118</xdr:row>
                <xdr:rowOff>180975</xdr:rowOff>
              </to>
            </anchor>
          </objectPr>
        </oleObject>
      </mc:Choice>
      <mc:Fallback>
        <oleObject progId="Equation.DSMT4" shapeId="8253" r:id="rId75"/>
      </mc:Fallback>
    </mc:AlternateContent>
    <mc:AlternateContent xmlns:mc="http://schemas.openxmlformats.org/markup-compatibility/2006">
      <mc:Choice Requires="x14">
        <oleObject progId="Equation.DSMT4" shapeId="8254" r:id="rId76">
          <objectPr defaultSize="0" r:id="rId27">
            <anchor moveWithCells="1">
              <from>
                <xdr:col>46</xdr:col>
                <xdr:colOff>304800</xdr:colOff>
                <xdr:row>117</xdr:row>
                <xdr:rowOff>76200</xdr:rowOff>
              </from>
              <to>
                <xdr:col>46</xdr:col>
                <xdr:colOff>714375</xdr:colOff>
                <xdr:row>118</xdr:row>
                <xdr:rowOff>161925</xdr:rowOff>
              </to>
            </anchor>
          </objectPr>
        </oleObject>
      </mc:Choice>
      <mc:Fallback>
        <oleObject progId="Equation.DSMT4" shapeId="8254" r:id="rId76"/>
      </mc:Fallback>
    </mc:AlternateContent>
    <mc:AlternateContent xmlns:mc="http://schemas.openxmlformats.org/markup-compatibility/2006">
      <mc:Choice Requires="x14">
        <oleObject progId="Equation.DSMT4" shapeId="8255" r:id="rId77">
          <objectPr defaultSize="0" r:id="rId15">
            <anchor moveWithCells="1">
              <from>
                <xdr:col>52</xdr:col>
                <xdr:colOff>428625</xdr:colOff>
                <xdr:row>114</xdr:row>
                <xdr:rowOff>152400</xdr:rowOff>
              </from>
              <to>
                <xdr:col>52</xdr:col>
                <xdr:colOff>609600</xdr:colOff>
                <xdr:row>115</xdr:row>
                <xdr:rowOff>114300</xdr:rowOff>
              </to>
            </anchor>
          </objectPr>
        </oleObject>
      </mc:Choice>
      <mc:Fallback>
        <oleObject progId="Equation.DSMT4" shapeId="8255" r:id="rId77"/>
      </mc:Fallback>
    </mc:AlternateContent>
    <mc:AlternateContent xmlns:mc="http://schemas.openxmlformats.org/markup-compatibility/2006">
      <mc:Choice Requires="x14">
        <oleObject progId="Equation.DSMT4" shapeId="8256" r:id="rId78">
          <objectPr defaultSize="0" r:id="rId17">
            <anchor moveWithCells="1">
              <from>
                <xdr:col>53</xdr:col>
                <xdr:colOff>257175</xdr:colOff>
                <xdr:row>114</xdr:row>
                <xdr:rowOff>85725</xdr:rowOff>
              </from>
              <to>
                <xdr:col>53</xdr:col>
                <xdr:colOff>647700</xdr:colOff>
                <xdr:row>115</xdr:row>
                <xdr:rowOff>180975</xdr:rowOff>
              </to>
            </anchor>
          </objectPr>
        </oleObject>
      </mc:Choice>
      <mc:Fallback>
        <oleObject progId="Equation.DSMT4" shapeId="8256" r:id="rId78"/>
      </mc:Fallback>
    </mc:AlternateContent>
    <mc:AlternateContent xmlns:mc="http://schemas.openxmlformats.org/markup-compatibility/2006">
      <mc:Choice Requires="x14">
        <oleObject progId="Equation.DSMT4" shapeId="8257" r:id="rId79">
          <objectPr defaultSize="0" r:id="rId19">
            <anchor moveWithCells="1">
              <from>
                <xdr:col>52</xdr:col>
                <xdr:colOff>295275</xdr:colOff>
                <xdr:row>117</xdr:row>
                <xdr:rowOff>104775</xdr:rowOff>
              </from>
              <to>
                <xdr:col>52</xdr:col>
                <xdr:colOff>714375</xdr:colOff>
                <xdr:row>118</xdr:row>
                <xdr:rowOff>200025</xdr:rowOff>
              </to>
            </anchor>
          </objectPr>
        </oleObject>
      </mc:Choice>
      <mc:Fallback>
        <oleObject progId="Equation.DSMT4" shapeId="8257" r:id="rId79"/>
      </mc:Fallback>
    </mc:AlternateContent>
    <mc:AlternateContent xmlns:mc="http://schemas.openxmlformats.org/markup-compatibility/2006">
      <mc:Choice Requires="x14">
        <oleObject progId="Equation.DSMT4" shapeId="8258" r:id="rId80">
          <objectPr defaultSize="0" r:id="rId21">
            <anchor moveWithCells="1">
              <from>
                <xdr:col>53</xdr:col>
                <xdr:colOff>295275</xdr:colOff>
                <xdr:row>117</xdr:row>
                <xdr:rowOff>104775</xdr:rowOff>
              </from>
              <to>
                <xdr:col>53</xdr:col>
                <xdr:colOff>714375</xdr:colOff>
                <xdr:row>118</xdr:row>
                <xdr:rowOff>200025</xdr:rowOff>
              </to>
            </anchor>
          </objectPr>
        </oleObject>
      </mc:Choice>
      <mc:Fallback>
        <oleObject progId="Equation.DSMT4" shapeId="8258" r:id="rId80"/>
      </mc:Fallback>
    </mc:AlternateContent>
    <mc:AlternateContent xmlns:mc="http://schemas.openxmlformats.org/markup-compatibility/2006">
      <mc:Choice Requires="x14">
        <oleObject progId="Equation.DSMT4" shapeId="8259" r:id="rId81">
          <objectPr defaultSize="0" r:id="rId23">
            <anchor moveWithCells="1">
              <from>
                <xdr:col>54</xdr:col>
                <xdr:colOff>314325</xdr:colOff>
                <xdr:row>114</xdr:row>
                <xdr:rowOff>85725</xdr:rowOff>
              </from>
              <to>
                <xdr:col>54</xdr:col>
                <xdr:colOff>733425</xdr:colOff>
                <xdr:row>115</xdr:row>
                <xdr:rowOff>180975</xdr:rowOff>
              </to>
            </anchor>
          </objectPr>
        </oleObject>
      </mc:Choice>
      <mc:Fallback>
        <oleObject progId="Equation.DSMT4" shapeId="8259" r:id="rId81"/>
      </mc:Fallback>
    </mc:AlternateContent>
    <mc:AlternateContent xmlns:mc="http://schemas.openxmlformats.org/markup-compatibility/2006">
      <mc:Choice Requires="x14">
        <oleObject progId="Equation.DSMT4" shapeId="8260" r:id="rId82">
          <objectPr defaultSize="0" r:id="rId25">
            <anchor moveWithCells="1">
              <from>
                <xdr:col>54</xdr:col>
                <xdr:colOff>304800</xdr:colOff>
                <xdr:row>117</xdr:row>
                <xdr:rowOff>85725</xdr:rowOff>
              </from>
              <to>
                <xdr:col>54</xdr:col>
                <xdr:colOff>714375</xdr:colOff>
                <xdr:row>118</xdr:row>
                <xdr:rowOff>180975</xdr:rowOff>
              </to>
            </anchor>
          </objectPr>
        </oleObject>
      </mc:Choice>
      <mc:Fallback>
        <oleObject progId="Equation.DSMT4" shapeId="8260" r:id="rId82"/>
      </mc:Fallback>
    </mc:AlternateContent>
    <mc:AlternateContent xmlns:mc="http://schemas.openxmlformats.org/markup-compatibility/2006">
      <mc:Choice Requires="x14">
        <oleObject progId="Equation.DSMT4" shapeId="8261" r:id="rId83">
          <objectPr defaultSize="0" r:id="rId27">
            <anchor moveWithCells="1">
              <from>
                <xdr:col>57</xdr:col>
                <xdr:colOff>304800</xdr:colOff>
                <xdr:row>117</xdr:row>
                <xdr:rowOff>76200</xdr:rowOff>
              </from>
              <to>
                <xdr:col>57</xdr:col>
                <xdr:colOff>714375</xdr:colOff>
                <xdr:row>118</xdr:row>
                <xdr:rowOff>161925</xdr:rowOff>
              </to>
            </anchor>
          </objectPr>
        </oleObject>
      </mc:Choice>
      <mc:Fallback>
        <oleObject progId="Equation.DSMT4" shapeId="8261" r:id="rId83"/>
      </mc:Fallback>
    </mc:AlternateContent>
    <mc:AlternateContent xmlns:mc="http://schemas.openxmlformats.org/markup-compatibility/2006">
      <mc:Choice Requires="x14">
        <oleObject progId="Equation.DSMT4" shapeId="8262" r:id="rId84">
          <objectPr defaultSize="0" r:id="rId15">
            <anchor moveWithCells="1">
              <from>
                <xdr:col>63</xdr:col>
                <xdr:colOff>428625</xdr:colOff>
                <xdr:row>114</xdr:row>
                <xdr:rowOff>152400</xdr:rowOff>
              </from>
              <to>
                <xdr:col>63</xdr:col>
                <xdr:colOff>609600</xdr:colOff>
                <xdr:row>115</xdr:row>
                <xdr:rowOff>114300</xdr:rowOff>
              </to>
            </anchor>
          </objectPr>
        </oleObject>
      </mc:Choice>
      <mc:Fallback>
        <oleObject progId="Equation.DSMT4" shapeId="8262" r:id="rId84"/>
      </mc:Fallback>
    </mc:AlternateContent>
    <mc:AlternateContent xmlns:mc="http://schemas.openxmlformats.org/markup-compatibility/2006">
      <mc:Choice Requires="x14">
        <oleObject progId="Equation.DSMT4" shapeId="8263" r:id="rId85">
          <objectPr defaultSize="0" r:id="rId17">
            <anchor moveWithCells="1">
              <from>
                <xdr:col>64</xdr:col>
                <xdr:colOff>257175</xdr:colOff>
                <xdr:row>114</xdr:row>
                <xdr:rowOff>85725</xdr:rowOff>
              </from>
              <to>
                <xdr:col>64</xdr:col>
                <xdr:colOff>647700</xdr:colOff>
                <xdr:row>115</xdr:row>
                <xdr:rowOff>180975</xdr:rowOff>
              </to>
            </anchor>
          </objectPr>
        </oleObject>
      </mc:Choice>
      <mc:Fallback>
        <oleObject progId="Equation.DSMT4" shapeId="8263" r:id="rId85"/>
      </mc:Fallback>
    </mc:AlternateContent>
    <mc:AlternateContent xmlns:mc="http://schemas.openxmlformats.org/markup-compatibility/2006">
      <mc:Choice Requires="x14">
        <oleObject progId="Equation.DSMT4" shapeId="8264" r:id="rId86">
          <objectPr defaultSize="0" r:id="rId19">
            <anchor moveWithCells="1">
              <from>
                <xdr:col>63</xdr:col>
                <xdr:colOff>295275</xdr:colOff>
                <xdr:row>117</xdr:row>
                <xdr:rowOff>104775</xdr:rowOff>
              </from>
              <to>
                <xdr:col>63</xdr:col>
                <xdr:colOff>714375</xdr:colOff>
                <xdr:row>118</xdr:row>
                <xdr:rowOff>200025</xdr:rowOff>
              </to>
            </anchor>
          </objectPr>
        </oleObject>
      </mc:Choice>
      <mc:Fallback>
        <oleObject progId="Equation.DSMT4" shapeId="8264" r:id="rId86"/>
      </mc:Fallback>
    </mc:AlternateContent>
    <mc:AlternateContent xmlns:mc="http://schemas.openxmlformats.org/markup-compatibility/2006">
      <mc:Choice Requires="x14">
        <oleObject progId="Equation.DSMT4" shapeId="8265" r:id="rId87">
          <objectPr defaultSize="0" r:id="rId21">
            <anchor moveWithCells="1">
              <from>
                <xdr:col>64</xdr:col>
                <xdr:colOff>295275</xdr:colOff>
                <xdr:row>117</xdr:row>
                <xdr:rowOff>104775</xdr:rowOff>
              </from>
              <to>
                <xdr:col>64</xdr:col>
                <xdr:colOff>714375</xdr:colOff>
                <xdr:row>118</xdr:row>
                <xdr:rowOff>200025</xdr:rowOff>
              </to>
            </anchor>
          </objectPr>
        </oleObject>
      </mc:Choice>
      <mc:Fallback>
        <oleObject progId="Equation.DSMT4" shapeId="8265" r:id="rId87"/>
      </mc:Fallback>
    </mc:AlternateContent>
    <mc:AlternateContent xmlns:mc="http://schemas.openxmlformats.org/markup-compatibility/2006">
      <mc:Choice Requires="x14">
        <oleObject progId="Equation.DSMT4" shapeId="8266" r:id="rId88">
          <objectPr defaultSize="0" r:id="rId23">
            <anchor moveWithCells="1">
              <from>
                <xdr:col>65</xdr:col>
                <xdr:colOff>314325</xdr:colOff>
                <xdr:row>114</xdr:row>
                <xdr:rowOff>85725</xdr:rowOff>
              </from>
              <to>
                <xdr:col>65</xdr:col>
                <xdr:colOff>733425</xdr:colOff>
                <xdr:row>115</xdr:row>
                <xdr:rowOff>180975</xdr:rowOff>
              </to>
            </anchor>
          </objectPr>
        </oleObject>
      </mc:Choice>
      <mc:Fallback>
        <oleObject progId="Equation.DSMT4" shapeId="8266" r:id="rId88"/>
      </mc:Fallback>
    </mc:AlternateContent>
    <mc:AlternateContent xmlns:mc="http://schemas.openxmlformats.org/markup-compatibility/2006">
      <mc:Choice Requires="x14">
        <oleObject progId="Equation.DSMT4" shapeId="8267" r:id="rId89">
          <objectPr defaultSize="0" r:id="rId25">
            <anchor moveWithCells="1">
              <from>
                <xdr:col>65</xdr:col>
                <xdr:colOff>304800</xdr:colOff>
                <xdr:row>117</xdr:row>
                <xdr:rowOff>85725</xdr:rowOff>
              </from>
              <to>
                <xdr:col>65</xdr:col>
                <xdr:colOff>714375</xdr:colOff>
                <xdr:row>118</xdr:row>
                <xdr:rowOff>180975</xdr:rowOff>
              </to>
            </anchor>
          </objectPr>
        </oleObject>
      </mc:Choice>
      <mc:Fallback>
        <oleObject progId="Equation.DSMT4" shapeId="8267" r:id="rId89"/>
      </mc:Fallback>
    </mc:AlternateContent>
    <mc:AlternateContent xmlns:mc="http://schemas.openxmlformats.org/markup-compatibility/2006">
      <mc:Choice Requires="x14">
        <oleObject progId="Equation.DSMT4" shapeId="8268" r:id="rId90">
          <objectPr defaultSize="0" r:id="rId27">
            <anchor moveWithCells="1">
              <from>
                <xdr:col>68</xdr:col>
                <xdr:colOff>304800</xdr:colOff>
                <xdr:row>117</xdr:row>
                <xdr:rowOff>76200</xdr:rowOff>
              </from>
              <to>
                <xdr:col>68</xdr:col>
                <xdr:colOff>714375</xdr:colOff>
                <xdr:row>118</xdr:row>
                <xdr:rowOff>161925</xdr:rowOff>
              </to>
            </anchor>
          </objectPr>
        </oleObject>
      </mc:Choice>
      <mc:Fallback>
        <oleObject progId="Equation.DSMT4" shapeId="8268" r:id="rId90"/>
      </mc:Fallback>
    </mc:AlternateContent>
    <mc:AlternateContent xmlns:mc="http://schemas.openxmlformats.org/markup-compatibility/2006">
      <mc:Choice Requires="x14">
        <oleObject progId="Equation.DSMT4" shapeId="8269" r:id="rId91">
          <objectPr defaultSize="0" r:id="rId15">
            <anchor moveWithCells="1">
              <from>
                <xdr:col>74</xdr:col>
                <xdr:colOff>428625</xdr:colOff>
                <xdr:row>114</xdr:row>
                <xdr:rowOff>152400</xdr:rowOff>
              </from>
              <to>
                <xdr:col>74</xdr:col>
                <xdr:colOff>609600</xdr:colOff>
                <xdr:row>115</xdr:row>
                <xdr:rowOff>114300</xdr:rowOff>
              </to>
            </anchor>
          </objectPr>
        </oleObject>
      </mc:Choice>
      <mc:Fallback>
        <oleObject progId="Equation.DSMT4" shapeId="8269" r:id="rId91"/>
      </mc:Fallback>
    </mc:AlternateContent>
    <mc:AlternateContent xmlns:mc="http://schemas.openxmlformats.org/markup-compatibility/2006">
      <mc:Choice Requires="x14">
        <oleObject progId="Equation.DSMT4" shapeId="8270" r:id="rId92">
          <objectPr defaultSize="0" r:id="rId17">
            <anchor moveWithCells="1">
              <from>
                <xdr:col>75</xdr:col>
                <xdr:colOff>257175</xdr:colOff>
                <xdr:row>114</xdr:row>
                <xdr:rowOff>85725</xdr:rowOff>
              </from>
              <to>
                <xdr:col>75</xdr:col>
                <xdr:colOff>647700</xdr:colOff>
                <xdr:row>115</xdr:row>
                <xdr:rowOff>180975</xdr:rowOff>
              </to>
            </anchor>
          </objectPr>
        </oleObject>
      </mc:Choice>
      <mc:Fallback>
        <oleObject progId="Equation.DSMT4" shapeId="8270" r:id="rId92"/>
      </mc:Fallback>
    </mc:AlternateContent>
    <mc:AlternateContent xmlns:mc="http://schemas.openxmlformats.org/markup-compatibility/2006">
      <mc:Choice Requires="x14">
        <oleObject progId="Equation.DSMT4" shapeId="8271" r:id="rId93">
          <objectPr defaultSize="0" r:id="rId19">
            <anchor moveWithCells="1">
              <from>
                <xdr:col>74</xdr:col>
                <xdr:colOff>295275</xdr:colOff>
                <xdr:row>117</xdr:row>
                <xdr:rowOff>104775</xdr:rowOff>
              </from>
              <to>
                <xdr:col>74</xdr:col>
                <xdr:colOff>714375</xdr:colOff>
                <xdr:row>118</xdr:row>
                <xdr:rowOff>200025</xdr:rowOff>
              </to>
            </anchor>
          </objectPr>
        </oleObject>
      </mc:Choice>
      <mc:Fallback>
        <oleObject progId="Equation.DSMT4" shapeId="8271" r:id="rId93"/>
      </mc:Fallback>
    </mc:AlternateContent>
    <mc:AlternateContent xmlns:mc="http://schemas.openxmlformats.org/markup-compatibility/2006">
      <mc:Choice Requires="x14">
        <oleObject progId="Equation.DSMT4" shapeId="8272" r:id="rId94">
          <objectPr defaultSize="0" r:id="rId21">
            <anchor moveWithCells="1">
              <from>
                <xdr:col>75</xdr:col>
                <xdr:colOff>295275</xdr:colOff>
                <xdr:row>117</xdr:row>
                <xdr:rowOff>104775</xdr:rowOff>
              </from>
              <to>
                <xdr:col>75</xdr:col>
                <xdr:colOff>714375</xdr:colOff>
                <xdr:row>118</xdr:row>
                <xdr:rowOff>200025</xdr:rowOff>
              </to>
            </anchor>
          </objectPr>
        </oleObject>
      </mc:Choice>
      <mc:Fallback>
        <oleObject progId="Equation.DSMT4" shapeId="8272" r:id="rId94"/>
      </mc:Fallback>
    </mc:AlternateContent>
    <mc:AlternateContent xmlns:mc="http://schemas.openxmlformats.org/markup-compatibility/2006">
      <mc:Choice Requires="x14">
        <oleObject progId="Equation.DSMT4" shapeId="8273" r:id="rId95">
          <objectPr defaultSize="0" r:id="rId23">
            <anchor moveWithCells="1">
              <from>
                <xdr:col>76</xdr:col>
                <xdr:colOff>314325</xdr:colOff>
                <xdr:row>114</xdr:row>
                <xdr:rowOff>85725</xdr:rowOff>
              </from>
              <to>
                <xdr:col>76</xdr:col>
                <xdr:colOff>733425</xdr:colOff>
                <xdr:row>115</xdr:row>
                <xdr:rowOff>180975</xdr:rowOff>
              </to>
            </anchor>
          </objectPr>
        </oleObject>
      </mc:Choice>
      <mc:Fallback>
        <oleObject progId="Equation.DSMT4" shapeId="8273" r:id="rId95"/>
      </mc:Fallback>
    </mc:AlternateContent>
    <mc:AlternateContent xmlns:mc="http://schemas.openxmlformats.org/markup-compatibility/2006">
      <mc:Choice Requires="x14">
        <oleObject progId="Equation.DSMT4" shapeId="8274" r:id="rId96">
          <objectPr defaultSize="0" r:id="rId25">
            <anchor moveWithCells="1">
              <from>
                <xdr:col>76</xdr:col>
                <xdr:colOff>304800</xdr:colOff>
                <xdr:row>117</xdr:row>
                <xdr:rowOff>85725</xdr:rowOff>
              </from>
              <to>
                <xdr:col>76</xdr:col>
                <xdr:colOff>714375</xdr:colOff>
                <xdr:row>118</xdr:row>
                <xdr:rowOff>180975</xdr:rowOff>
              </to>
            </anchor>
          </objectPr>
        </oleObject>
      </mc:Choice>
      <mc:Fallback>
        <oleObject progId="Equation.DSMT4" shapeId="8274" r:id="rId96"/>
      </mc:Fallback>
    </mc:AlternateContent>
    <mc:AlternateContent xmlns:mc="http://schemas.openxmlformats.org/markup-compatibility/2006">
      <mc:Choice Requires="x14">
        <oleObject progId="Equation.DSMT4" shapeId="8275" r:id="rId97">
          <objectPr defaultSize="0" r:id="rId27">
            <anchor moveWithCells="1">
              <from>
                <xdr:col>79</xdr:col>
                <xdr:colOff>304800</xdr:colOff>
                <xdr:row>117</xdr:row>
                <xdr:rowOff>76200</xdr:rowOff>
              </from>
              <to>
                <xdr:col>79</xdr:col>
                <xdr:colOff>714375</xdr:colOff>
                <xdr:row>118</xdr:row>
                <xdr:rowOff>161925</xdr:rowOff>
              </to>
            </anchor>
          </objectPr>
        </oleObject>
      </mc:Choice>
      <mc:Fallback>
        <oleObject progId="Equation.DSMT4" shapeId="8275" r:id="rId97"/>
      </mc:Fallback>
    </mc:AlternateContent>
    <mc:AlternateContent xmlns:mc="http://schemas.openxmlformats.org/markup-compatibility/2006">
      <mc:Choice Requires="x14">
        <oleObject progId="Equation.DSMT4" shapeId="8276" r:id="rId98">
          <objectPr defaultSize="0" r:id="rId15">
            <anchor moveWithCells="1">
              <from>
                <xdr:col>85</xdr:col>
                <xdr:colOff>428625</xdr:colOff>
                <xdr:row>114</xdr:row>
                <xdr:rowOff>152400</xdr:rowOff>
              </from>
              <to>
                <xdr:col>85</xdr:col>
                <xdr:colOff>609600</xdr:colOff>
                <xdr:row>115</xdr:row>
                <xdr:rowOff>114300</xdr:rowOff>
              </to>
            </anchor>
          </objectPr>
        </oleObject>
      </mc:Choice>
      <mc:Fallback>
        <oleObject progId="Equation.DSMT4" shapeId="8276" r:id="rId98"/>
      </mc:Fallback>
    </mc:AlternateContent>
    <mc:AlternateContent xmlns:mc="http://schemas.openxmlformats.org/markup-compatibility/2006">
      <mc:Choice Requires="x14">
        <oleObject progId="Equation.DSMT4" shapeId="8277" r:id="rId99">
          <objectPr defaultSize="0" r:id="rId17">
            <anchor moveWithCells="1">
              <from>
                <xdr:col>86</xdr:col>
                <xdr:colOff>257175</xdr:colOff>
                <xdr:row>114</xdr:row>
                <xdr:rowOff>85725</xdr:rowOff>
              </from>
              <to>
                <xdr:col>86</xdr:col>
                <xdr:colOff>647700</xdr:colOff>
                <xdr:row>115</xdr:row>
                <xdr:rowOff>180975</xdr:rowOff>
              </to>
            </anchor>
          </objectPr>
        </oleObject>
      </mc:Choice>
      <mc:Fallback>
        <oleObject progId="Equation.DSMT4" shapeId="8277" r:id="rId99"/>
      </mc:Fallback>
    </mc:AlternateContent>
    <mc:AlternateContent xmlns:mc="http://schemas.openxmlformats.org/markup-compatibility/2006">
      <mc:Choice Requires="x14">
        <oleObject progId="Equation.DSMT4" shapeId="8278" r:id="rId100">
          <objectPr defaultSize="0" r:id="rId19">
            <anchor moveWithCells="1">
              <from>
                <xdr:col>85</xdr:col>
                <xdr:colOff>295275</xdr:colOff>
                <xdr:row>117</xdr:row>
                <xdr:rowOff>104775</xdr:rowOff>
              </from>
              <to>
                <xdr:col>85</xdr:col>
                <xdr:colOff>714375</xdr:colOff>
                <xdr:row>118</xdr:row>
                <xdr:rowOff>200025</xdr:rowOff>
              </to>
            </anchor>
          </objectPr>
        </oleObject>
      </mc:Choice>
      <mc:Fallback>
        <oleObject progId="Equation.DSMT4" shapeId="8278" r:id="rId100"/>
      </mc:Fallback>
    </mc:AlternateContent>
    <mc:AlternateContent xmlns:mc="http://schemas.openxmlformats.org/markup-compatibility/2006">
      <mc:Choice Requires="x14">
        <oleObject progId="Equation.DSMT4" shapeId="8279" r:id="rId101">
          <objectPr defaultSize="0" r:id="rId21">
            <anchor moveWithCells="1">
              <from>
                <xdr:col>86</xdr:col>
                <xdr:colOff>295275</xdr:colOff>
                <xdr:row>117</xdr:row>
                <xdr:rowOff>104775</xdr:rowOff>
              </from>
              <to>
                <xdr:col>86</xdr:col>
                <xdr:colOff>714375</xdr:colOff>
                <xdr:row>118</xdr:row>
                <xdr:rowOff>200025</xdr:rowOff>
              </to>
            </anchor>
          </objectPr>
        </oleObject>
      </mc:Choice>
      <mc:Fallback>
        <oleObject progId="Equation.DSMT4" shapeId="8279" r:id="rId101"/>
      </mc:Fallback>
    </mc:AlternateContent>
    <mc:AlternateContent xmlns:mc="http://schemas.openxmlformats.org/markup-compatibility/2006">
      <mc:Choice Requires="x14">
        <oleObject progId="Equation.DSMT4" shapeId="8280" r:id="rId102">
          <objectPr defaultSize="0" r:id="rId23">
            <anchor moveWithCells="1">
              <from>
                <xdr:col>87</xdr:col>
                <xdr:colOff>314325</xdr:colOff>
                <xdr:row>114</xdr:row>
                <xdr:rowOff>85725</xdr:rowOff>
              </from>
              <to>
                <xdr:col>87</xdr:col>
                <xdr:colOff>733425</xdr:colOff>
                <xdr:row>115</xdr:row>
                <xdr:rowOff>180975</xdr:rowOff>
              </to>
            </anchor>
          </objectPr>
        </oleObject>
      </mc:Choice>
      <mc:Fallback>
        <oleObject progId="Equation.DSMT4" shapeId="8280" r:id="rId102"/>
      </mc:Fallback>
    </mc:AlternateContent>
    <mc:AlternateContent xmlns:mc="http://schemas.openxmlformats.org/markup-compatibility/2006">
      <mc:Choice Requires="x14">
        <oleObject progId="Equation.DSMT4" shapeId="8281" r:id="rId103">
          <objectPr defaultSize="0" r:id="rId25">
            <anchor moveWithCells="1">
              <from>
                <xdr:col>87</xdr:col>
                <xdr:colOff>304800</xdr:colOff>
                <xdr:row>117</xdr:row>
                <xdr:rowOff>85725</xdr:rowOff>
              </from>
              <to>
                <xdr:col>87</xdr:col>
                <xdr:colOff>714375</xdr:colOff>
                <xdr:row>118</xdr:row>
                <xdr:rowOff>180975</xdr:rowOff>
              </to>
            </anchor>
          </objectPr>
        </oleObject>
      </mc:Choice>
      <mc:Fallback>
        <oleObject progId="Equation.DSMT4" shapeId="8281" r:id="rId103"/>
      </mc:Fallback>
    </mc:AlternateContent>
    <mc:AlternateContent xmlns:mc="http://schemas.openxmlformats.org/markup-compatibility/2006">
      <mc:Choice Requires="x14">
        <oleObject progId="Equation.DSMT4" shapeId="8282" r:id="rId104">
          <objectPr defaultSize="0" r:id="rId27">
            <anchor moveWithCells="1">
              <from>
                <xdr:col>90</xdr:col>
                <xdr:colOff>304800</xdr:colOff>
                <xdr:row>117</xdr:row>
                <xdr:rowOff>76200</xdr:rowOff>
              </from>
              <to>
                <xdr:col>90</xdr:col>
                <xdr:colOff>714375</xdr:colOff>
                <xdr:row>118</xdr:row>
                <xdr:rowOff>161925</xdr:rowOff>
              </to>
            </anchor>
          </objectPr>
        </oleObject>
      </mc:Choice>
      <mc:Fallback>
        <oleObject progId="Equation.DSMT4" shapeId="8282" r:id="rId104"/>
      </mc:Fallback>
    </mc:AlternateContent>
    <mc:AlternateContent xmlns:mc="http://schemas.openxmlformats.org/markup-compatibility/2006">
      <mc:Choice Requires="x14">
        <oleObject progId="Equation.DSMT4" shapeId="8283" r:id="rId105">
          <objectPr defaultSize="0" r:id="rId15">
            <anchor moveWithCells="1">
              <from>
                <xdr:col>96</xdr:col>
                <xdr:colOff>428625</xdr:colOff>
                <xdr:row>114</xdr:row>
                <xdr:rowOff>152400</xdr:rowOff>
              </from>
              <to>
                <xdr:col>96</xdr:col>
                <xdr:colOff>609600</xdr:colOff>
                <xdr:row>115</xdr:row>
                <xdr:rowOff>114300</xdr:rowOff>
              </to>
            </anchor>
          </objectPr>
        </oleObject>
      </mc:Choice>
      <mc:Fallback>
        <oleObject progId="Equation.DSMT4" shapeId="8283" r:id="rId105"/>
      </mc:Fallback>
    </mc:AlternateContent>
    <mc:AlternateContent xmlns:mc="http://schemas.openxmlformats.org/markup-compatibility/2006">
      <mc:Choice Requires="x14">
        <oleObject progId="Equation.DSMT4" shapeId="8284" r:id="rId106">
          <objectPr defaultSize="0" r:id="rId17">
            <anchor moveWithCells="1">
              <from>
                <xdr:col>97</xdr:col>
                <xdr:colOff>257175</xdr:colOff>
                <xdr:row>114</xdr:row>
                <xdr:rowOff>85725</xdr:rowOff>
              </from>
              <to>
                <xdr:col>97</xdr:col>
                <xdr:colOff>647700</xdr:colOff>
                <xdr:row>115</xdr:row>
                <xdr:rowOff>180975</xdr:rowOff>
              </to>
            </anchor>
          </objectPr>
        </oleObject>
      </mc:Choice>
      <mc:Fallback>
        <oleObject progId="Equation.DSMT4" shapeId="8284" r:id="rId106"/>
      </mc:Fallback>
    </mc:AlternateContent>
    <mc:AlternateContent xmlns:mc="http://schemas.openxmlformats.org/markup-compatibility/2006">
      <mc:Choice Requires="x14">
        <oleObject progId="Equation.DSMT4" shapeId="8285" r:id="rId107">
          <objectPr defaultSize="0" r:id="rId19">
            <anchor moveWithCells="1">
              <from>
                <xdr:col>96</xdr:col>
                <xdr:colOff>295275</xdr:colOff>
                <xdr:row>117</xdr:row>
                <xdr:rowOff>104775</xdr:rowOff>
              </from>
              <to>
                <xdr:col>96</xdr:col>
                <xdr:colOff>714375</xdr:colOff>
                <xdr:row>118</xdr:row>
                <xdr:rowOff>200025</xdr:rowOff>
              </to>
            </anchor>
          </objectPr>
        </oleObject>
      </mc:Choice>
      <mc:Fallback>
        <oleObject progId="Equation.DSMT4" shapeId="8285" r:id="rId107"/>
      </mc:Fallback>
    </mc:AlternateContent>
    <mc:AlternateContent xmlns:mc="http://schemas.openxmlformats.org/markup-compatibility/2006">
      <mc:Choice Requires="x14">
        <oleObject progId="Equation.DSMT4" shapeId="8286" r:id="rId108">
          <objectPr defaultSize="0" r:id="rId21">
            <anchor moveWithCells="1">
              <from>
                <xdr:col>97</xdr:col>
                <xdr:colOff>295275</xdr:colOff>
                <xdr:row>117</xdr:row>
                <xdr:rowOff>104775</xdr:rowOff>
              </from>
              <to>
                <xdr:col>97</xdr:col>
                <xdr:colOff>714375</xdr:colOff>
                <xdr:row>118</xdr:row>
                <xdr:rowOff>200025</xdr:rowOff>
              </to>
            </anchor>
          </objectPr>
        </oleObject>
      </mc:Choice>
      <mc:Fallback>
        <oleObject progId="Equation.DSMT4" shapeId="8286" r:id="rId108"/>
      </mc:Fallback>
    </mc:AlternateContent>
    <mc:AlternateContent xmlns:mc="http://schemas.openxmlformats.org/markup-compatibility/2006">
      <mc:Choice Requires="x14">
        <oleObject progId="Equation.DSMT4" shapeId="8287" r:id="rId109">
          <objectPr defaultSize="0" r:id="rId23">
            <anchor moveWithCells="1">
              <from>
                <xdr:col>98</xdr:col>
                <xdr:colOff>314325</xdr:colOff>
                <xdr:row>114</xdr:row>
                <xdr:rowOff>85725</xdr:rowOff>
              </from>
              <to>
                <xdr:col>98</xdr:col>
                <xdr:colOff>733425</xdr:colOff>
                <xdr:row>115</xdr:row>
                <xdr:rowOff>180975</xdr:rowOff>
              </to>
            </anchor>
          </objectPr>
        </oleObject>
      </mc:Choice>
      <mc:Fallback>
        <oleObject progId="Equation.DSMT4" shapeId="8287" r:id="rId109"/>
      </mc:Fallback>
    </mc:AlternateContent>
    <mc:AlternateContent xmlns:mc="http://schemas.openxmlformats.org/markup-compatibility/2006">
      <mc:Choice Requires="x14">
        <oleObject progId="Equation.DSMT4" shapeId="8288" r:id="rId110">
          <objectPr defaultSize="0" r:id="rId25">
            <anchor moveWithCells="1">
              <from>
                <xdr:col>98</xdr:col>
                <xdr:colOff>304800</xdr:colOff>
                <xdr:row>117</xdr:row>
                <xdr:rowOff>85725</xdr:rowOff>
              </from>
              <to>
                <xdr:col>98</xdr:col>
                <xdr:colOff>714375</xdr:colOff>
                <xdr:row>118</xdr:row>
                <xdr:rowOff>180975</xdr:rowOff>
              </to>
            </anchor>
          </objectPr>
        </oleObject>
      </mc:Choice>
      <mc:Fallback>
        <oleObject progId="Equation.DSMT4" shapeId="8288" r:id="rId110"/>
      </mc:Fallback>
    </mc:AlternateContent>
    <mc:AlternateContent xmlns:mc="http://schemas.openxmlformats.org/markup-compatibility/2006">
      <mc:Choice Requires="x14">
        <oleObject progId="Equation.DSMT4" shapeId="8289" r:id="rId111">
          <objectPr defaultSize="0" r:id="rId27">
            <anchor moveWithCells="1">
              <from>
                <xdr:col>101</xdr:col>
                <xdr:colOff>304800</xdr:colOff>
                <xdr:row>117</xdr:row>
                <xdr:rowOff>76200</xdr:rowOff>
              </from>
              <to>
                <xdr:col>101</xdr:col>
                <xdr:colOff>714375</xdr:colOff>
                <xdr:row>118</xdr:row>
                <xdr:rowOff>161925</xdr:rowOff>
              </to>
            </anchor>
          </objectPr>
        </oleObject>
      </mc:Choice>
      <mc:Fallback>
        <oleObject progId="Equation.DSMT4" shapeId="8289" r:id="rId111"/>
      </mc:Fallback>
    </mc:AlternateContent>
    <mc:AlternateContent xmlns:mc="http://schemas.openxmlformats.org/markup-compatibility/2006">
      <mc:Choice Requires="x14">
        <oleObject progId="Equation.DSMT4" shapeId="8290" r:id="rId112">
          <objectPr defaultSize="0" r:id="rId15">
            <anchor moveWithCells="1">
              <from>
                <xdr:col>107</xdr:col>
                <xdr:colOff>428625</xdr:colOff>
                <xdr:row>114</xdr:row>
                <xdr:rowOff>152400</xdr:rowOff>
              </from>
              <to>
                <xdr:col>107</xdr:col>
                <xdr:colOff>609600</xdr:colOff>
                <xdr:row>115</xdr:row>
                <xdr:rowOff>114300</xdr:rowOff>
              </to>
            </anchor>
          </objectPr>
        </oleObject>
      </mc:Choice>
      <mc:Fallback>
        <oleObject progId="Equation.DSMT4" shapeId="8290" r:id="rId112"/>
      </mc:Fallback>
    </mc:AlternateContent>
    <mc:AlternateContent xmlns:mc="http://schemas.openxmlformats.org/markup-compatibility/2006">
      <mc:Choice Requires="x14">
        <oleObject progId="Equation.DSMT4" shapeId="8291" r:id="rId113">
          <objectPr defaultSize="0" r:id="rId17">
            <anchor moveWithCells="1">
              <from>
                <xdr:col>108</xdr:col>
                <xdr:colOff>257175</xdr:colOff>
                <xdr:row>114</xdr:row>
                <xdr:rowOff>85725</xdr:rowOff>
              </from>
              <to>
                <xdr:col>108</xdr:col>
                <xdr:colOff>647700</xdr:colOff>
                <xdr:row>115</xdr:row>
                <xdr:rowOff>180975</xdr:rowOff>
              </to>
            </anchor>
          </objectPr>
        </oleObject>
      </mc:Choice>
      <mc:Fallback>
        <oleObject progId="Equation.DSMT4" shapeId="8291" r:id="rId113"/>
      </mc:Fallback>
    </mc:AlternateContent>
    <mc:AlternateContent xmlns:mc="http://schemas.openxmlformats.org/markup-compatibility/2006">
      <mc:Choice Requires="x14">
        <oleObject progId="Equation.DSMT4" shapeId="8292" r:id="rId114">
          <objectPr defaultSize="0" r:id="rId19">
            <anchor moveWithCells="1">
              <from>
                <xdr:col>107</xdr:col>
                <xdr:colOff>295275</xdr:colOff>
                <xdr:row>117</xdr:row>
                <xdr:rowOff>104775</xdr:rowOff>
              </from>
              <to>
                <xdr:col>107</xdr:col>
                <xdr:colOff>714375</xdr:colOff>
                <xdr:row>118</xdr:row>
                <xdr:rowOff>200025</xdr:rowOff>
              </to>
            </anchor>
          </objectPr>
        </oleObject>
      </mc:Choice>
      <mc:Fallback>
        <oleObject progId="Equation.DSMT4" shapeId="8292" r:id="rId114"/>
      </mc:Fallback>
    </mc:AlternateContent>
    <mc:AlternateContent xmlns:mc="http://schemas.openxmlformats.org/markup-compatibility/2006">
      <mc:Choice Requires="x14">
        <oleObject progId="Equation.DSMT4" shapeId="8293" r:id="rId115">
          <objectPr defaultSize="0" r:id="rId21">
            <anchor moveWithCells="1">
              <from>
                <xdr:col>108</xdr:col>
                <xdr:colOff>295275</xdr:colOff>
                <xdr:row>117</xdr:row>
                <xdr:rowOff>104775</xdr:rowOff>
              </from>
              <to>
                <xdr:col>108</xdr:col>
                <xdr:colOff>714375</xdr:colOff>
                <xdr:row>118</xdr:row>
                <xdr:rowOff>200025</xdr:rowOff>
              </to>
            </anchor>
          </objectPr>
        </oleObject>
      </mc:Choice>
      <mc:Fallback>
        <oleObject progId="Equation.DSMT4" shapeId="8293" r:id="rId115"/>
      </mc:Fallback>
    </mc:AlternateContent>
    <mc:AlternateContent xmlns:mc="http://schemas.openxmlformats.org/markup-compatibility/2006">
      <mc:Choice Requires="x14">
        <oleObject progId="Equation.DSMT4" shapeId="8294" r:id="rId116">
          <objectPr defaultSize="0" r:id="rId23">
            <anchor moveWithCells="1">
              <from>
                <xdr:col>109</xdr:col>
                <xdr:colOff>314325</xdr:colOff>
                <xdr:row>114</xdr:row>
                <xdr:rowOff>85725</xdr:rowOff>
              </from>
              <to>
                <xdr:col>109</xdr:col>
                <xdr:colOff>733425</xdr:colOff>
                <xdr:row>115</xdr:row>
                <xdr:rowOff>180975</xdr:rowOff>
              </to>
            </anchor>
          </objectPr>
        </oleObject>
      </mc:Choice>
      <mc:Fallback>
        <oleObject progId="Equation.DSMT4" shapeId="8294" r:id="rId116"/>
      </mc:Fallback>
    </mc:AlternateContent>
    <mc:AlternateContent xmlns:mc="http://schemas.openxmlformats.org/markup-compatibility/2006">
      <mc:Choice Requires="x14">
        <oleObject progId="Equation.DSMT4" shapeId="8295" r:id="rId117">
          <objectPr defaultSize="0" r:id="rId25">
            <anchor moveWithCells="1">
              <from>
                <xdr:col>109</xdr:col>
                <xdr:colOff>304800</xdr:colOff>
                <xdr:row>117</xdr:row>
                <xdr:rowOff>85725</xdr:rowOff>
              </from>
              <to>
                <xdr:col>109</xdr:col>
                <xdr:colOff>714375</xdr:colOff>
                <xdr:row>118</xdr:row>
                <xdr:rowOff>180975</xdr:rowOff>
              </to>
            </anchor>
          </objectPr>
        </oleObject>
      </mc:Choice>
      <mc:Fallback>
        <oleObject progId="Equation.DSMT4" shapeId="8295" r:id="rId117"/>
      </mc:Fallback>
    </mc:AlternateContent>
    <mc:AlternateContent xmlns:mc="http://schemas.openxmlformats.org/markup-compatibility/2006">
      <mc:Choice Requires="x14">
        <oleObject progId="Equation.DSMT4" shapeId="8296" r:id="rId118">
          <objectPr defaultSize="0" r:id="rId27">
            <anchor moveWithCells="1">
              <from>
                <xdr:col>112</xdr:col>
                <xdr:colOff>304800</xdr:colOff>
                <xdr:row>117</xdr:row>
                <xdr:rowOff>76200</xdr:rowOff>
              </from>
              <to>
                <xdr:col>112</xdr:col>
                <xdr:colOff>714375</xdr:colOff>
                <xdr:row>118</xdr:row>
                <xdr:rowOff>161925</xdr:rowOff>
              </to>
            </anchor>
          </objectPr>
        </oleObject>
      </mc:Choice>
      <mc:Fallback>
        <oleObject progId="Equation.DSMT4" shapeId="8296" r:id="rId118"/>
      </mc:Fallback>
    </mc:AlternateContent>
    <mc:AlternateContent xmlns:mc="http://schemas.openxmlformats.org/markup-compatibility/2006">
      <mc:Choice Requires="x14">
        <oleObject progId="Equation.DSMT4" shapeId="8297" r:id="rId119">
          <objectPr defaultSize="0" r:id="rId17">
            <anchor moveWithCells="1">
              <from>
                <xdr:col>42</xdr:col>
                <xdr:colOff>257175</xdr:colOff>
                <xdr:row>211</xdr:row>
                <xdr:rowOff>85725</xdr:rowOff>
              </from>
              <to>
                <xdr:col>42</xdr:col>
                <xdr:colOff>676275</xdr:colOff>
                <xdr:row>212</xdr:row>
                <xdr:rowOff>161925</xdr:rowOff>
              </to>
            </anchor>
          </objectPr>
        </oleObject>
      </mc:Choice>
      <mc:Fallback>
        <oleObject progId="Equation.DSMT4" shapeId="8297" r:id="rId119"/>
      </mc:Fallback>
    </mc:AlternateContent>
    <mc:AlternateContent xmlns:mc="http://schemas.openxmlformats.org/markup-compatibility/2006">
      <mc:Choice Requires="x14">
        <oleObject progId="Equation.DSMT4" shapeId="8298" r:id="rId120">
          <objectPr defaultSize="0" r:id="rId23">
            <anchor moveWithCells="1">
              <from>
                <xdr:col>43</xdr:col>
                <xdr:colOff>314325</xdr:colOff>
                <xdr:row>211</xdr:row>
                <xdr:rowOff>85725</xdr:rowOff>
              </from>
              <to>
                <xdr:col>43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8298" r:id="rId120"/>
      </mc:Fallback>
    </mc:AlternateContent>
    <mc:AlternateContent xmlns:mc="http://schemas.openxmlformats.org/markup-compatibility/2006">
      <mc:Choice Requires="x14">
        <oleObject progId="Equation.DSMT4" shapeId="8299" r:id="rId121">
          <objectPr defaultSize="0" r:id="rId17">
            <anchor moveWithCells="1">
              <from>
                <xdr:col>45</xdr:col>
                <xdr:colOff>257175</xdr:colOff>
                <xdr:row>211</xdr:row>
                <xdr:rowOff>85725</xdr:rowOff>
              </from>
              <to>
                <xdr:col>45</xdr:col>
                <xdr:colOff>676275</xdr:colOff>
                <xdr:row>212</xdr:row>
                <xdr:rowOff>161925</xdr:rowOff>
              </to>
            </anchor>
          </objectPr>
        </oleObject>
      </mc:Choice>
      <mc:Fallback>
        <oleObject progId="Equation.DSMT4" shapeId="8299" r:id="rId121"/>
      </mc:Fallback>
    </mc:AlternateContent>
    <mc:AlternateContent xmlns:mc="http://schemas.openxmlformats.org/markup-compatibility/2006">
      <mc:Choice Requires="x14">
        <oleObject progId="Equation.DSMT4" shapeId="8300" r:id="rId122">
          <objectPr defaultSize="0" r:id="rId23">
            <anchor moveWithCells="1">
              <from>
                <xdr:col>46</xdr:col>
                <xdr:colOff>314325</xdr:colOff>
                <xdr:row>211</xdr:row>
                <xdr:rowOff>85725</xdr:rowOff>
              </from>
              <to>
                <xdr:col>46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8300" r:id="rId122"/>
      </mc:Fallback>
    </mc:AlternateContent>
    <mc:AlternateContent xmlns:mc="http://schemas.openxmlformats.org/markup-compatibility/2006">
      <mc:Choice Requires="x14">
        <oleObject progId="Equation.DSMT4" shapeId="8301" r:id="rId123">
          <objectPr defaultSize="0" r:id="rId17">
            <anchor moveWithCells="1">
              <from>
                <xdr:col>48</xdr:col>
                <xdr:colOff>257175</xdr:colOff>
                <xdr:row>211</xdr:row>
                <xdr:rowOff>85725</xdr:rowOff>
              </from>
              <to>
                <xdr:col>48</xdr:col>
                <xdr:colOff>676275</xdr:colOff>
                <xdr:row>212</xdr:row>
                <xdr:rowOff>161925</xdr:rowOff>
              </to>
            </anchor>
          </objectPr>
        </oleObject>
      </mc:Choice>
      <mc:Fallback>
        <oleObject progId="Equation.DSMT4" shapeId="8301" r:id="rId123"/>
      </mc:Fallback>
    </mc:AlternateContent>
    <mc:AlternateContent xmlns:mc="http://schemas.openxmlformats.org/markup-compatibility/2006">
      <mc:Choice Requires="x14">
        <oleObject progId="Equation.DSMT4" shapeId="8302" r:id="rId124">
          <objectPr defaultSize="0" r:id="rId23">
            <anchor moveWithCells="1">
              <from>
                <xdr:col>49</xdr:col>
                <xdr:colOff>314325</xdr:colOff>
                <xdr:row>211</xdr:row>
                <xdr:rowOff>85725</xdr:rowOff>
              </from>
              <to>
                <xdr:col>49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8302" r:id="rId124"/>
      </mc:Fallback>
    </mc:AlternateContent>
    <mc:AlternateContent xmlns:mc="http://schemas.openxmlformats.org/markup-compatibility/2006">
      <mc:Choice Requires="x14">
        <oleObject progId="Equation.DSMT4" shapeId="8303" r:id="rId125">
          <objectPr defaultSize="0" r:id="rId17">
            <anchor moveWithCells="1">
              <from>
                <xdr:col>51</xdr:col>
                <xdr:colOff>257175</xdr:colOff>
                <xdr:row>211</xdr:row>
                <xdr:rowOff>85725</xdr:rowOff>
              </from>
              <to>
                <xdr:col>51</xdr:col>
                <xdr:colOff>676275</xdr:colOff>
                <xdr:row>212</xdr:row>
                <xdr:rowOff>161925</xdr:rowOff>
              </to>
            </anchor>
          </objectPr>
        </oleObject>
      </mc:Choice>
      <mc:Fallback>
        <oleObject progId="Equation.DSMT4" shapeId="8303" r:id="rId125"/>
      </mc:Fallback>
    </mc:AlternateContent>
    <mc:AlternateContent xmlns:mc="http://schemas.openxmlformats.org/markup-compatibility/2006">
      <mc:Choice Requires="x14">
        <oleObject progId="Equation.DSMT4" shapeId="8304" r:id="rId126">
          <objectPr defaultSize="0" r:id="rId23">
            <anchor moveWithCells="1">
              <from>
                <xdr:col>52</xdr:col>
                <xdr:colOff>314325</xdr:colOff>
                <xdr:row>211</xdr:row>
                <xdr:rowOff>85725</xdr:rowOff>
              </from>
              <to>
                <xdr:col>52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8304" r:id="rId126"/>
      </mc:Fallback>
    </mc:AlternateContent>
    <mc:AlternateContent xmlns:mc="http://schemas.openxmlformats.org/markup-compatibility/2006">
      <mc:Choice Requires="x14">
        <oleObject progId="Equation.DSMT4" shapeId="8305" r:id="rId127">
          <objectPr defaultSize="0" r:id="rId17">
            <anchor moveWithCells="1">
              <from>
                <xdr:col>54</xdr:col>
                <xdr:colOff>257175</xdr:colOff>
                <xdr:row>211</xdr:row>
                <xdr:rowOff>85725</xdr:rowOff>
              </from>
              <to>
                <xdr:col>54</xdr:col>
                <xdr:colOff>676275</xdr:colOff>
                <xdr:row>212</xdr:row>
                <xdr:rowOff>161925</xdr:rowOff>
              </to>
            </anchor>
          </objectPr>
        </oleObject>
      </mc:Choice>
      <mc:Fallback>
        <oleObject progId="Equation.DSMT4" shapeId="8305" r:id="rId127"/>
      </mc:Fallback>
    </mc:AlternateContent>
    <mc:AlternateContent xmlns:mc="http://schemas.openxmlformats.org/markup-compatibility/2006">
      <mc:Choice Requires="x14">
        <oleObject progId="Equation.DSMT4" shapeId="8306" r:id="rId128">
          <objectPr defaultSize="0" r:id="rId23">
            <anchor moveWithCells="1">
              <from>
                <xdr:col>55</xdr:col>
                <xdr:colOff>314325</xdr:colOff>
                <xdr:row>211</xdr:row>
                <xdr:rowOff>85725</xdr:rowOff>
              </from>
              <to>
                <xdr:col>55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8306" r:id="rId128"/>
      </mc:Fallback>
    </mc:AlternateContent>
    <mc:AlternateContent xmlns:mc="http://schemas.openxmlformats.org/markup-compatibility/2006">
      <mc:Choice Requires="x14">
        <oleObject progId="Equation.DSMT4" shapeId="8307" r:id="rId129">
          <objectPr defaultSize="0" r:id="rId17">
            <anchor moveWithCells="1">
              <from>
                <xdr:col>57</xdr:col>
                <xdr:colOff>257175</xdr:colOff>
                <xdr:row>211</xdr:row>
                <xdr:rowOff>85725</xdr:rowOff>
              </from>
              <to>
                <xdr:col>57</xdr:col>
                <xdr:colOff>676275</xdr:colOff>
                <xdr:row>212</xdr:row>
                <xdr:rowOff>161925</xdr:rowOff>
              </to>
            </anchor>
          </objectPr>
        </oleObject>
      </mc:Choice>
      <mc:Fallback>
        <oleObject progId="Equation.DSMT4" shapeId="8307" r:id="rId129"/>
      </mc:Fallback>
    </mc:AlternateContent>
    <mc:AlternateContent xmlns:mc="http://schemas.openxmlformats.org/markup-compatibility/2006">
      <mc:Choice Requires="x14">
        <oleObject progId="Equation.DSMT4" shapeId="8308" r:id="rId130">
          <objectPr defaultSize="0" r:id="rId23">
            <anchor moveWithCells="1">
              <from>
                <xdr:col>58</xdr:col>
                <xdr:colOff>314325</xdr:colOff>
                <xdr:row>211</xdr:row>
                <xdr:rowOff>85725</xdr:rowOff>
              </from>
              <to>
                <xdr:col>58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8308" r:id="rId130"/>
      </mc:Fallback>
    </mc:AlternateContent>
    <mc:AlternateContent xmlns:mc="http://schemas.openxmlformats.org/markup-compatibility/2006">
      <mc:Choice Requires="x14">
        <oleObject progId="Equation.DSMT4" shapeId="8309" r:id="rId131">
          <objectPr defaultSize="0" r:id="rId17">
            <anchor moveWithCells="1">
              <from>
                <xdr:col>60</xdr:col>
                <xdr:colOff>257175</xdr:colOff>
                <xdr:row>211</xdr:row>
                <xdr:rowOff>85725</xdr:rowOff>
              </from>
              <to>
                <xdr:col>60</xdr:col>
                <xdr:colOff>676275</xdr:colOff>
                <xdr:row>212</xdr:row>
                <xdr:rowOff>161925</xdr:rowOff>
              </to>
            </anchor>
          </objectPr>
        </oleObject>
      </mc:Choice>
      <mc:Fallback>
        <oleObject progId="Equation.DSMT4" shapeId="8309" r:id="rId131"/>
      </mc:Fallback>
    </mc:AlternateContent>
    <mc:AlternateContent xmlns:mc="http://schemas.openxmlformats.org/markup-compatibility/2006">
      <mc:Choice Requires="x14">
        <oleObject progId="Equation.DSMT4" shapeId="8310" r:id="rId132">
          <objectPr defaultSize="0" r:id="rId23">
            <anchor moveWithCells="1">
              <from>
                <xdr:col>61</xdr:col>
                <xdr:colOff>314325</xdr:colOff>
                <xdr:row>211</xdr:row>
                <xdr:rowOff>85725</xdr:rowOff>
              </from>
              <to>
                <xdr:col>61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8310" r:id="rId132"/>
      </mc:Fallback>
    </mc:AlternateContent>
    <mc:AlternateContent xmlns:mc="http://schemas.openxmlformats.org/markup-compatibility/2006">
      <mc:Choice Requires="x14">
        <oleObject progId="Equation.DSMT4" shapeId="8311" r:id="rId133">
          <objectPr defaultSize="0" r:id="rId21">
            <anchor moveWithCells="1">
              <from>
                <xdr:col>42</xdr:col>
                <xdr:colOff>295275</xdr:colOff>
                <xdr:row>211</xdr:row>
                <xdr:rowOff>104775</xdr:rowOff>
              </from>
              <to>
                <xdr:col>42</xdr:col>
                <xdr:colOff>733425</xdr:colOff>
                <xdr:row>212</xdr:row>
                <xdr:rowOff>190500</xdr:rowOff>
              </to>
            </anchor>
          </objectPr>
        </oleObject>
      </mc:Choice>
      <mc:Fallback>
        <oleObject progId="Equation.DSMT4" shapeId="8311" r:id="rId133"/>
      </mc:Fallback>
    </mc:AlternateContent>
    <mc:AlternateContent xmlns:mc="http://schemas.openxmlformats.org/markup-compatibility/2006">
      <mc:Choice Requires="x14">
        <oleObject progId="Equation.DSMT4" shapeId="8312" r:id="rId134">
          <objectPr defaultSize="0" r:id="rId25">
            <anchor moveWithCells="1">
              <from>
                <xdr:col>43</xdr:col>
                <xdr:colOff>304800</xdr:colOff>
                <xdr:row>211</xdr:row>
                <xdr:rowOff>85725</xdr:rowOff>
              </from>
              <to>
                <xdr:col>43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8312" r:id="rId134"/>
      </mc:Fallback>
    </mc:AlternateContent>
    <mc:AlternateContent xmlns:mc="http://schemas.openxmlformats.org/markup-compatibility/2006">
      <mc:Choice Requires="x14">
        <oleObject progId="Equation.DSMT4" shapeId="8313" r:id="rId135">
          <objectPr defaultSize="0" r:id="rId21">
            <anchor moveWithCells="1">
              <from>
                <xdr:col>45</xdr:col>
                <xdr:colOff>295275</xdr:colOff>
                <xdr:row>211</xdr:row>
                <xdr:rowOff>104775</xdr:rowOff>
              </from>
              <to>
                <xdr:col>45</xdr:col>
                <xdr:colOff>733425</xdr:colOff>
                <xdr:row>212</xdr:row>
                <xdr:rowOff>190500</xdr:rowOff>
              </to>
            </anchor>
          </objectPr>
        </oleObject>
      </mc:Choice>
      <mc:Fallback>
        <oleObject progId="Equation.DSMT4" shapeId="8313" r:id="rId135"/>
      </mc:Fallback>
    </mc:AlternateContent>
    <mc:AlternateContent xmlns:mc="http://schemas.openxmlformats.org/markup-compatibility/2006">
      <mc:Choice Requires="x14">
        <oleObject progId="Equation.DSMT4" shapeId="8314" r:id="rId136">
          <objectPr defaultSize="0" r:id="rId25">
            <anchor moveWithCells="1">
              <from>
                <xdr:col>46</xdr:col>
                <xdr:colOff>304800</xdr:colOff>
                <xdr:row>211</xdr:row>
                <xdr:rowOff>85725</xdr:rowOff>
              </from>
              <to>
                <xdr:col>46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8314" r:id="rId136"/>
      </mc:Fallback>
    </mc:AlternateContent>
    <mc:AlternateContent xmlns:mc="http://schemas.openxmlformats.org/markup-compatibility/2006">
      <mc:Choice Requires="x14">
        <oleObject progId="Equation.DSMT4" shapeId="8315" r:id="rId137">
          <objectPr defaultSize="0" r:id="rId21">
            <anchor moveWithCells="1">
              <from>
                <xdr:col>48</xdr:col>
                <xdr:colOff>295275</xdr:colOff>
                <xdr:row>211</xdr:row>
                <xdr:rowOff>104775</xdr:rowOff>
              </from>
              <to>
                <xdr:col>48</xdr:col>
                <xdr:colOff>733425</xdr:colOff>
                <xdr:row>212</xdr:row>
                <xdr:rowOff>190500</xdr:rowOff>
              </to>
            </anchor>
          </objectPr>
        </oleObject>
      </mc:Choice>
      <mc:Fallback>
        <oleObject progId="Equation.DSMT4" shapeId="8315" r:id="rId137"/>
      </mc:Fallback>
    </mc:AlternateContent>
    <mc:AlternateContent xmlns:mc="http://schemas.openxmlformats.org/markup-compatibility/2006">
      <mc:Choice Requires="x14">
        <oleObject progId="Equation.DSMT4" shapeId="8316" r:id="rId138">
          <objectPr defaultSize="0" r:id="rId25">
            <anchor moveWithCells="1">
              <from>
                <xdr:col>49</xdr:col>
                <xdr:colOff>304800</xdr:colOff>
                <xdr:row>211</xdr:row>
                <xdr:rowOff>85725</xdr:rowOff>
              </from>
              <to>
                <xdr:col>49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8316" r:id="rId138"/>
      </mc:Fallback>
    </mc:AlternateContent>
    <mc:AlternateContent xmlns:mc="http://schemas.openxmlformats.org/markup-compatibility/2006">
      <mc:Choice Requires="x14">
        <oleObject progId="Equation.DSMT4" shapeId="8317" r:id="rId139">
          <objectPr defaultSize="0" r:id="rId21">
            <anchor moveWithCells="1">
              <from>
                <xdr:col>51</xdr:col>
                <xdr:colOff>295275</xdr:colOff>
                <xdr:row>211</xdr:row>
                <xdr:rowOff>104775</xdr:rowOff>
              </from>
              <to>
                <xdr:col>51</xdr:col>
                <xdr:colOff>733425</xdr:colOff>
                <xdr:row>212</xdr:row>
                <xdr:rowOff>190500</xdr:rowOff>
              </to>
            </anchor>
          </objectPr>
        </oleObject>
      </mc:Choice>
      <mc:Fallback>
        <oleObject progId="Equation.DSMT4" shapeId="8317" r:id="rId139"/>
      </mc:Fallback>
    </mc:AlternateContent>
    <mc:AlternateContent xmlns:mc="http://schemas.openxmlformats.org/markup-compatibility/2006">
      <mc:Choice Requires="x14">
        <oleObject progId="Equation.DSMT4" shapeId="8318" r:id="rId140">
          <objectPr defaultSize="0" r:id="rId25">
            <anchor moveWithCells="1">
              <from>
                <xdr:col>52</xdr:col>
                <xdr:colOff>304800</xdr:colOff>
                <xdr:row>211</xdr:row>
                <xdr:rowOff>85725</xdr:rowOff>
              </from>
              <to>
                <xdr:col>52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8318" r:id="rId140"/>
      </mc:Fallback>
    </mc:AlternateContent>
    <mc:AlternateContent xmlns:mc="http://schemas.openxmlformats.org/markup-compatibility/2006">
      <mc:Choice Requires="x14">
        <oleObject progId="Equation.DSMT4" shapeId="8319" r:id="rId141">
          <objectPr defaultSize="0" r:id="rId21">
            <anchor moveWithCells="1">
              <from>
                <xdr:col>54</xdr:col>
                <xdr:colOff>295275</xdr:colOff>
                <xdr:row>211</xdr:row>
                <xdr:rowOff>104775</xdr:rowOff>
              </from>
              <to>
                <xdr:col>54</xdr:col>
                <xdr:colOff>733425</xdr:colOff>
                <xdr:row>212</xdr:row>
                <xdr:rowOff>190500</xdr:rowOff>
              </to>
            </anchor>
          </objectPr>
        </oleObject>
      </mc:Choice>
      <mc:Fallback>
        <oleObject progId="Equation.DSMT4" shapeId="8319" r:id="rId141"/>
      </mc:Fallback>
    </mc:AlternateContent>
    <mc:AlternateContent xmlns:mc="http://schemas.openxmlformats.org/markup-compatibility/2006">
      <mc:Choice Requires="x14">
        <oleObject progId="Equation.DSMT4" shapeId="8320" r:id="rId142">
          <objectPr defaultSize="0" r:id="rId25">
            <anchor moveWithCells="1">
              <from>
                <xdr:col>55</xdr:col>
                <xdr:colOff>304800</xdr:colOff>
                <xdr:row>211</xdr:row>
                <xdr:rowOff>85725</xdr:rowOff>
              </from>
              <to>
                <xdr:col>55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8320" r:id="rId142"/>
      </mc:Fallback>
    </mc:AlternateContent>
    <mc:AlternateContent xmlns:mc="http://schemas.openxmlformats.org/markup-compatibility/2006">
      <mc:Choice Requires="x14">
        <oleObject progId="Equation.DSMT4" shapeId="8321" r:id="rId143">
          <objectPr defaultSize="0" r:id="rId21">
            <anchor moveWithCells="1">
              <from>
                <xdr:col>57</xdr:col>
                <xdr:colOff>295275</xdr:colOff>
                <xdr:row>211</xdr:row>
                <xdr:rowOff>104775</xdr:rowOff>
              </from>
              <to>
                <xdr:col>57</xdr:col>
                <xdr:colOff>733425</xdr:colOff>
                <xdr:row>212</xdr:row>
                <xdr:rowOff>190500</xdr:rowOff>
              </to>
            </anchor>
          </objectPr>
        </oleObject>
      </mc:Choice>
      <mc:Fallback>
        <oleObject progId="Equation.DSMT4" shapeId="8321" r:id="rId143"/>
      </mc:Fallback>
    </mc:AlternateContent>
    <mc:AlternateContent xmlns:mc="http://schemas.openxmlformats.org/markup-compatibility/2006">
      <mc:Choice Requires="x14">
        <oleObject progId="Equation.DSMT4" shapeId="8322" r:id="rId144">
          <objectPr defaultSize="0" r:id="rId25">
            <anchor moveWithCells="1">
              <from>
                <xdr:col>58</xdr:col>
                <xdr:colOff>304800</xdr:colOff>
                <xdr:row>211</xdr:row>
                <xdr:rowOff>85725</xdr:rowOff>
              </from>
              <to>
                <xdr:col>58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8322" r:id="rId144"/>
      </mc:Fallback>
    </mc:AlternateContent>
    <mc:AlternateContent xmlns:mc="http://schemas.openxmlformats.org/markup-compatibility/2006">
      <mc:Choice Requires="x14">
        <oleObject progId="Equation.DSMT4" shapeId="8323" r:id="rId145">
          <objectPr defaultSize="0" r:id="rId21">
            <anchor moveWithCells="1">
              <from>
                <xdr:col>60</xdr:col>
                <xdr:colOff>295275</xdr:colOff>
                <xdr:row>211</xdr:row>
                <xdr:rowOff>104775</xdr:rowOff>
              </from>
              <to>
                <xdr:col>60</xdr:col>
                <xdr:colOff>733425</xdr:colOff>
                <xdr:row>212</xdr:row>
                <xdr:rowOff>190500</xdr:rowOff>
              </to>
            </anchor>
          </objectPr>
        </oleObject>
      </mc:Choice>
      <mc:Fallback>
        <oleObject progId="Equation.DSMT4" shapeId="8323" r:id="rId145"/>
      </mc:Fallback>
    </mc:AlternateContent>
    <mc:AlternateContent xmlns:mc="http://schemas.openxmlformats.org/markup-compatibility/2006">
      <mc:Choice Requires="x14">
        <oleObject progId="Equation.DSMT4" shapeId="8324" r:id="rId146">
          <objectPr defaultSize="0" r:id="rId25">
            <anchor moveWithCells="1">
              <from>
                <xdr:col>61</xdr:col>
                <xdr:colOff>304800</xdr:colOff>
                <xdr:row>211</xdr:row>
                <xdr:rowOff>85725</xdr:rowOff>
              </from>
              <to>
                <xdr:col>61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8324" r:id="rId146"/>
      </mc:Fallback>
    </mc:AlternateContent>
    <mc:AlternateContent xmlns:mc="http://schemas.openxmlformats.org/markup-compatibility/2006">
      <mc:Choice Requires="x14">
        <oleObject progId="Equation.DSMT4" shapeId="8325" r:id="rId147">
          <objectPr defaultSize="0" r:id="rId17">
            <anchor moveWithCells="1">
              <from>
                <xdr:col>42</xdr:col>
                <xdr:colOff>257175</xdr:colOff>
                <xdr:row>239</xdr:row>
                <xdr:rowOff>85725</xdr:rowOff>
              </from>
              <to>
                <xdr:col>42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25" r:id="rId147"/>
      </mc:Fallback>
    </mc:AlternateContent>
    <mc:AlternateContent xmlns:mc="http://schemas.openxmlformats.org/markup-compatibility/2006">
      <mc:Choice Requires="x14">
        <oleObject progId="Equation.DSMT4" shapeId="8326" r:id="rId148">
          <objectPr defaultSize="0" r:id="rId23">
            <anchor moveWithCells="1">
              <from>
                <xdr:col>43</xdr:col>
                <xdr:colOff>314325</xdr:colOff>
                <xdr:row>239</xdr:row>
                <xdr:rowOff>85725</xdr:rowOff>
              </from>
              <to>
                <xdr:col>43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26" r:id="rId148"/>
      </mc:Fallback>
    </mc:AlternateContent>
    <mc:AlternateContent xmlns:mc="http://schemas.openxmlformats.org/markup-compatibility/2006">
      <mc:Choice Requires="x14">
        <oleObject progId="Equation.DSMT4" shapeId="8327" r:id="rId149">
          <objectPr defaultSize="0" r:id="rId21">
            <anchor moveWithCells="1">
              <from>
                <xdr:col>42</xdr:col>
                <xdr:colOff>295275</xdr:colOff>
                <xdr:row>239</xdr:row>
                <xdr:rowOff>104775</xdr:rowOff>
              </from>
              <to>
                <xdr:col>42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8327" r:id="rId149"/>
      </mc:Fallback>
    </mc:AlternateContent>
    <mc:AlternateContent xmlns:mc="http://schemas.openxmlformats.org/markup-compatibility/2006">
      <mc:Choice Requires="x14">
        <oleObject progId="Equation.DSMT4" shapeId="8328" r:id="rId150">
          <objectPr defaultSize="0" r:id="rId25">
            <anchor moveWithCells="1">
              <from>
                <xdr:col>43</xdr:col>
                <xdr:colOff>304800</xdr:colOff>
                <xdr:row>239</xdr:row>
                <xdr:rowOff>85725</xdr:rowOff>
              </from>
              <to>
                <xdr:col>43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28" r:id="rId150"/>
      </mc:Fallback>
    </mc:AlternateContent>
    <mc:AlternateContent xmlns:mc="http://schemas.openxmlformats.org/markup-compatibility/2006">
      <mc:Choice Requires="x14">
        <oleObject progId="Equation.DSMT4" shapeId="8329" r:id="rId151">
          <objectPr defaultSize="0" r:id="rId17">
            <anchor moveWithCells="1">
              <from>
                <xdr:col>44</xdr:col>
                <xdr:colOff>257175</xdr:colOff>
                <xdr:row>239</xdr:row>
                <xdr:rowOff>85725</xdr:rowOff>
              </from>
              <to>
                <xdr:col>44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29" r:id="rId151"/>
      </mc:Fallback>
    </mc:AlternateContent>
    <mc:AlternateContent xmlns:mc="http://schemas.openxmlformats.org/markup-compatibility/2006">
      <mc:Choice Requires="x14">
        <oleObject progId="Equation.DSMT4" shapeId="8330" r:id="rId152">
          <objectPr defaultSize="0" r:id="rId23">
            <anchor moveWithCells="1">
              <from>
                <xdr:col>45</xdr:col>
                <xdr:colOff>314325</xdr:colOff>
                <xdr:row>239</xdr:row>
                <xdr:rowOff>85725</xdr:rowOff>
              </from>
              <to>
                <xdr:col>45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30" r:id="rId152"/>
      </mc:Fallback>
    </mc:AlternateContent>
    <mc:AlternateContent xmlns:mc="http://schemas.openxmlformats.org/markup-compatibility/2006">
      <mc:Choice Requires="x14">
        <oleObject progId="Equation.DSMT4" shapeId="8331" r:id="rId153">
          <objectPr defaultSize="0" r:id="rId21">
            <anchor moveWithCells="1">
              <from>
                <xdr:col>44</xdr:col>
                <xdr:colOff>295275</xdr:colOff>
                <xdr:row>239</xdr:row>
                <xdr:rowOff>104775</xdr:rowOff>
              </from>
              <to>
                <xdr:col>44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8331" r:id="rId153"/>
      </mc:Fallback>
    </mc:AlternateContent>
    <mc:AlternateContent xmlns:mc="http://schemas.openxmlformats.org/markup-compatibility/2006">
      <mc:Choice Requires="x14">
        <oleObject progId="Equation.DSMT4" shapeId="8332" r:id="rId154">
          <objectPr defaultSize="0" r:id="rId25">
            <anchor moveWithCells="1">
              <from>
                <xdr:col>45</xdr:col>
                <xdr:colOff>304800</xdr:colOff>
                <xdr:row>239</xdr:row>
                <xdr:rowOff>85725</xdr:rowOff>
              </from>
              <to>
                <xdr:col>45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32" r:id="rId154"/>
      </mc:Fallback>
    </mc:AlternateContent>
    <mc:AlternateContent xmlns:mc="http://schemas.openxmlformats.org/markup-compatibility/2006">
      <mc:Choice Requires="x14">
        <oleObject progId="Equation.DSMT4" shapeId="8333" r:id="rId155">
          <objectPr defaultSize="0" r:id="rId17">
            <anchor moveWithCells="1">
              <from>
                <xdr:col>46</xdr:col>
                <xdr:colOff>257175</xdr:colOff>
                <xdr:row>239</xdr:row>
                <xdr:rowOff>85725</xdr:rowOff>
              </from>
              <to>
                <xdr:col>46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33" r:id="rId155"/>
      </mc:Fallback>
    </mc:AlternateContent>
    <mc:AlternateContent xmlns:mc="http://schemas.openxmlformats.org/markup-compatibility/2006">
      <mc:Choice Requires="x14">
        <oleObject progId="Equation.DSMT4" shapeId="8334" r:id="rId156">
          <objectPr defaultSize="0" r:id="rId23">
            <anchor moveWithCells="1">
              <from>
                <xdr:col>47</xdr:col>
                <xdr:colOff>314325</xdr:colOff>
                <xdr:row>239</xdr:row>
                <xdr:rowOff>85725</xdr:rowOff>
              </from>
              <to>
                <xdr:col>47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34" r:id="rId156"/>
      </mc:Fallback>
    </mc:AlternateContent>
    <mc:AlternateContent xmlns:mc="http://schemas.openxmlformats.org/markup-compatibility/2006">
      <mc:Choice Requires="x14">
        <oleObject progId="Equation.DSMT4" shapeId="8335" r:id="rId157">
          <objectPr defaultSize="0" r:id="rId21">
            <anchor moveWithCells="1">
              <from>
                <xdr:col>46</xdr:col>
                <xdr:colOff>295275</xdr:colOff>
                <xdr:row>239</xdr:row>
                <xdr:rowOff>104775</xdr:rowOff>
              </from>
              <to>
                <xdr:col>46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8335" r:id="rId157"/>
      </mc:Fallback>
    </mc:AlternateContent>
    <mc:AlternateContent xmlns:mc="http://schemas.openxmlformats.org/markup-compatibility/2006">
      <mc:Choice Requires="x14">
        <oleObject progId="Equation.DSMT4" shapeId="8336" r:id="rId158">
          <objectPr defaultSize="0" r:id="rId25">
            <anchor moveWithCells="1">
              <from>
                <xdr:col>47</xdr:col>
                <xdr:colOff>304800</xdr:colOff>
                <xdr:row>239</xdr:row>
                <xdr:rowOff>85725</xdr:rowOff>
              </from>
              <to>
                <xdr:col>47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36" r:id="rId158"/>
      </mc:Fallback>
    </mc:AlternateContent>
    <mc:AlternateContent xmlns:mc="http://schemas.openxmlformats.org/markup-compatibility/2006">
      <mc:Choice Requires="x14">
        <oleObject progId="Equation.DSMT4" shapeId="8337" r:id="rId159">
          <objectPr defaultSize="0" r:id="rId17">
            <anchor moveWithCells="1">
              <from>
                <xdr:col>48</xdr:col>
                <xdr:colOff>257175</xdr:colOff>
                <xdr:row>239</xdr:row>
                <xdr:rowOff>85725</xdr:rowOff>
              </from>
              <to>
                <xdr:col>48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37" r:id="rId159"/>
      </mc:Fallback>
    </mc:AlternateContent>
    <mc:AlternateContent xmlns:mc="http://schemas.openxmlformats.org/markup-compatibility/2006">
      <mc:Choice Requires="x14">
        <oleObject progId="Equation.DSMT4" shapeId="8338" r:id="rId160">
          <objectPr defaultSize="0" r:id="rId23">
            <anchor moveWithCells="1">
              <from>
                <xdr:col>49</xdr:col>
                <xdr:colOff>314325</xdr:colOff>
                <xdr:row>239</xdr:row>
                <xdr:rowOff>85725</xdr:rowOff>
              </from>
              <to>
                <xdr:col>49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38" r:id="rId160"/>
      </mc:Fallback>
    </mc:AlternateContent>
    <mc:AlternateContent xmlns:mc="http://schemas.openxmlformats.org/markup-compatibility/2006">
      <mc:Choice Requires="x14">
        <oleObject progId="Equation.DSMT4" shapeId="8339" r:id="rId161">
          <objectPr defaultSize="0" r:id="rId21">
            <anchor moveWithCells="1">
              <from>
                <xdr:col>48</xdr:col>
                <xdr:colOff>295275</xdr:colOff>
                <xdr:row>239</xdr:row>
                <xdr:rowOff>104775</xdr:rowOff>
              </from>
              <to>
                <xdr:col>48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8339" r:id="rId161"/>
      </mc:Fallback>
    </mc:AlternateContent>
    <mc:AlternateContent xmlns:mc="http://schemas.openxmlformats.org/markup-compatibility/2006">
      <mc:Choice Requires="x14">
        <oleObject progId="Equation.DSMT4" shapeId="8340" r:id="rId162">
          <objectPr defaultSize="0" r:id="rId25">
            <anchor moveWithCells="1">
              <from>
                <xdr:col>49</xdr:col>
                <xdr:colOff>304800</xdr:colOff>
                <xdr:row>239</xdr:row>
                <xdr:rowOff>85725</xdr:rowOff>
              </from>
              <to>
                <xdr:col>49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40" r:id="rId162"/>
      </mc:Fallback>
    </mc:AlternateContent>
    <mc:AlternateContent xmlns:mc="http://schemas.openxmlformats.org/markup-compatibility/2006">
      <mc:Choice Requires="x14">
        <oleObject progId="Equation.DSMT4" shapeId="8341" r:id="rId163">
          <objectPr defaultSize="0" r:id="rId17">
            <anchor moveWithCells="1">
              <from>
                <xdr:col>50</xdr:col>
                <xdr:colOff>257175</xdr:colOff>
                <xdr:row>239</xdr:row>
                <xdr:rowOff>85725</xdr:rowOff>
              </from>
              <to>
                <xdr:col>50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41" r:id="rId163"/>
      </mc:Fallback>
    </mc:AlternateContent>
    <mc:AlternateContent xmlns:mc="http://schemas.openxmlformats.org/markup-compatibility/2006">
      <mc:Choice Requires="x14">
        <oleObject progId="Equation.DSMT4" shapeId="8342" r:id="rId164">
          <objectPr defaultSize="0" r:id="rId23">
            <anchor moveWithCells="1">
              <from>
                <xdr:col>51</xdr:col>
                <xdr:colOff>314325</xdr:colOff>
                <xdr:row>239</xdr:row>
                <xdr:rowOff>85725</xdr:rowOff>
              </from>
              <to>
                <xdr:col>51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42" r:id="rId164"/>
      </mc:Fallback>
    </mc:AlternateContent>
    <mc:AlternateContent xmlns:mc="http://schemas.openxmlformats.org/markup-compatibility/2006">
      <mc:Choice Requires="x14">
        <oleObject progId="Equation.DSMT4" shapeId="8343" r:id="rId165">
          <objectPr defaultSize="0" r:id="rId21">
            <anchor moveWithCells="1">
              <from>
                <xdr:col>50</xdr:col>
                <xdr:colOff>295275</xdr:colOff>
                <xdr:row>239</xdr:row>
                <xdr:rowOff>104775</xdr:rowOff>
              </from>
              <to>
                <xdr:col>50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8343" r:id="rId165"/>
      </mc:Fallback>
    </mc:AlternateContent>
    <mc:AlternateContent xmlns:mc="http://schemas.openxmlformats.org/markup-compatibility/2006">
      <mc:Choice Requires="x14">
        <oleObject progId="Equation.DSMT4" shapeId="8344" r:id="rId166">
          <objectPr defaultSize="0" r:id="rId25">
            <anchor moveWithCells="1">
              <from>
                <xdr:col>51</xdr:col>
                <xdr:colOff>304800</xdr:colOff>
                <xdr:row>239</xdr:row>
                <xdr:rowOff>85725</xdr:rowOff>
              </from>
              <to>
                <xdr:col>51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44" r:id="rId166"/>
      </mc:Fallback>
    </mc:AlternateContent>
    <mc:AlternateContent xmlns:mc="http://schemas.openxmlformats.org/markup-compatibility/2006">
      <mc:Choice Requires="x14">
        <oleObject progId="Equation.DSMT4" shapeId="8345" r:id="rId167">
          <objectPr defaultSize="0" r:id="rId17">
            <anchor moveWithCells="1">
              <from>
                <xdr:col>52</xdr:col>
                <xdr:colOff>257175</xdr:colOff>
                <xdr:row>239</xdr:row>
                <xdr:rowOff>85725</xdr:rowOff>
              </from>
              <to>
                <xdr:col>52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45" r:id="rId167"/>
      </mc:Fallback>
    </mc:AlternateContent>
    <mc:AlternateContent xmlns:mc="http://schemas.openxmlformats.org/markup-compatibility/2006">
      <mc:Choice Requires="x14">
        <oleObject progId="Equation.DSMT4" shapeId="8346" r:id="rId168">
          <objectPr defaultSize="0" r:id="rId23">
            <anchor moveWithCells="1">
              <from>
                <xdr:col>53</xdr:col>
                <xdr:colOff>314325</xdr:colOff>
                <xdr:row>239</xdr:row>
                <xdr:rowOff>85725</xdr:rowOff>
              </from>
              <to>
                <xdr:col>53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46" r:id="rId168"/>
      </mc:Fallback>
    </mc:AlternateContent>
    <mc:AlternateContent xmlns:mc="http://schemas.openxmlformats.org/markup-compatibility/2006">
      <mc:Choice Requires="x14">
        <oleObject progId="Equation.DSMT4" shapeId="8347" r:id="rId169">
          <objectPr defaultSize="0" r:id="rId21">
            <anchor moveWithCells="1">
              <from>
                <xdr:col>52</xdr:col>
                <xdr:colOff>295275</xdr:colOff>
                <xdr:row>239</xdr:row>
                <xdr:rowOff>104775</xdr:rowOff>
              </from>
              <to>
                <xdr:col>52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8347" r:id="rId169"/>
      </mc:Fallback>
    </mc:AlternateContent>
    <mc:AlternateContent xmlns:mc="http://schemas.openxmlformats.org/markup-compatibility/2006">
      <mc:Choice Requires="x14">
        <oleObject progId="Equation.DSMT4" shapeId="8348" r:id="rId170">
          <objectPr defaultSize="0" r:id="rId25">
            <anchor moveWithCells="1">
              <from>
                <xdr:col>53</xdr:col>
                <xdr:colOff>304800</xdr:colOff>
                <xdr:row>239</xdr:row>
                <xdr:rowOff>85725</xdr:rowOff>
              </from>
              <to>
                <xdr:col>53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48" r:id="rId170"/>
      </mc:Fallback>
    </mc:AlternateContent>
    <mc:AlternateContent xmlns:mc="http://schemas.openxmlformats.org/markup-compatibility/2006">
      <mc:Choice Requires="x14">
        <oleObject progId="Equation.DSMT4" shapeId="8349" r:id="rId171">
          <objectPr defaultSize="0" r:id="rId17">
            <anchor moveWithCells="1">
              <from>
                <xdr:col>54</xdr:col>
                <xdr:colOff>257175</xdr:colOff>
                <xdr:row>239</xdr:row>
                <xdr:rowOff>85725</xdr:rowOff>
              </from>
              <to>
                <xdr:col>54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49" r:id="rId171"/>
      </mc:Fallback>
    </mc:AlternateContent>
    <mc:AlternateContent xmlns:mc="http://schemas.openxmlformats.org/markup-compatibility/2006">
      <mc:Choice Requires="x14">
        <oleObject progId="Equation.DSMT4" shapeId="8350" r:id="rId172">
          <objectPr defaultSize="0" r:id="rId23">
            <anchor moveWithCells="1">
              <from>
                <xdr:col>55</xdr:col>
                <xdr:colOff>314325</xdr:colOff>
                <xdr:row>239</xdr:row>
                <xdr:rowOff>85725</xdr:rowOff>
              </from>
              <to>
                <xdr:col>55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50" r:id="rId172"/>
      </mc:Fallback>
    </mc:AlternateContent>
    <mc:AlternateContent xmlns:mc="http://schemas.openxmlformats.org/markup-compatibility/2006">
      <mc:Choice Requires="x14">
        <oleObject progId="Equation.DSMT4" shapeId="8351" r:id="rId173">
          <objectPr defaultSize="0" r:id="rId21">
            <anchor moveWithCells="1">
              <from>
                <xdr:col>54</xdr:col>
                <xdr:colOff>295275</xdr:colOff>
                <xdr:row>239</xdr:row>
                <xdr:rowOff>104775</xdr:rowOff>
              </from>
              <to>
                <xdr:col>54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8351" r:id="rId173"/>
      </mc:Fallback>
    </mc:AlternateContent>
    <mc:AlternateContent xmlns:mc="http://schemas.openxmlformats.org/markup-compatibility/2006">
      <mc:Choice Requires="x14">
        <oleObject progId="Equation.DSMT4" shapeId="8352" r:id="rId174">
          <objectPr defaultSize="0" r:id="rId25">
            <anchor moveWithCells="1">
              <from>
                <xdr:col>55</xdr:col>
                <xdr:colOff>304800</xdr:colOff>
                <xdr:row>239</xdr:row>
                <xdr:rowOff>85725</xdr:rowOff>
              </from>
              <to>
                <xdr:col>55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52" r:id="rId174"/>
      </mc:Fallback>
    </mc:AlternateContent>
    <mc:AlternateContent xmlns:mc="http://schemas.openxmlformats.org/markup-compatibility/2006">
      <mc:Choice Requires="x14">
        <oleObject progId="Equation.DSMT4" shapeId="8353" r:id="rId175">
          <objectPr defaultSize="0" r:id="rId17">
            <anchor moveWithCells="1">
              <from>
                <xdr:col>56</xdr:col>
                <xdr:colOff>257175</xdr:colOff>
                <xdr:row>239</xdr:row>
                <xdr:rowOff>85725</xdr:rowOff>
              </from>
              <to>
                <xdr:col>56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53" r:id="rId175"/>
      </mc:Fallback>
    </mc:AlternateContent>
    <mc:AlternateContent xmlns:mc="http://schemas.openxmlformats.org/markup-compatibility/2006">
      <mc:Choice Requires="x14">
        <oleObject progId="Equation.DSMT4" shapeId="8354" r:id="rId176">
          <objectPr defaultSize="0" r:id="rId23">
            <anchor moveWithCells="1">
              <from>
                <xdr:col>57</xdr:col>
                <xdr:colOff>314325</xdr:colOff>
                <xdr:row>239</xdr:row>
                <xdr:rowOff>85725</xdr:rowOff>
              </from>
              <to>
                <xdr:col>57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54" r:id="rId176"/>
      </mc:Fallback>
    </mc:AlternateContent>
    <mc:AlternateContent xmlns:mc="http://schemas.openxmlformats.org/markup-compatibility/2006">
      <mc:Choice Requires="x14">
        <oleObject progId="Equation.DSMT4" shapeId="8355" r:id="rId177">
          <objectPr defaultSize="0" r:id="rId21">
            <anchor moveWithCells="1">
              <from>
                <xdr:col>56</xdr:col>
                <xdr:colOff>295275</xdr:colOff>
                <xdr:row>239</xdr:row>
                <xdr:rowOff>104775</xdr:rowOff>
              </from>
              <to>
                <xdr:col>56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8355" r:id="rId177"/>
      </mc:Fallback>
    </mc:AlternateContent>
    <mc:AlternateContent xmlns:mc="http://schemas.openxmlformats.org/markup-compatibility/2006">
      <mc:Choice Requires="x14">
        <oleObject progId="Equation.DSMT4" shapeId="8356" r:id="rId178">
          <objectPr defaultSize="0" r:id="rId25">
            <anchor moveWithCells="1">
              <from>
                <xdr:col>57</xdr:col>
                <xdr:colOff>304800</xdr:colOff>
                <xdr:row>239</xdr:row>
                <xdr:rowOff>85725</xdr:rowOff>
              </from>
              <to>
                <xdr:col>57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56" r:id="rId178"/>
      </mc:Fallback>
    </mc:AlternateContent>
    <mc:AlternateContent xmlns:mc="http://schemas.openxmlformats.org/markup-compatibility/2006">
      <mc:Choice Requires="x14">
        <oleObject progId="Equation.DSMT4" shapeId="8357" r:id="rId179">
          <objectPr defaultSize="0" r:id="rId17">
            <anchor moveWithCells="1">
              <from>
                <xdr:col>58</xdr:col>
                <xdr:colOff>257175</xdr:colOff>
                <xdr:row>239</xdr:row>
                <xdr:rowOff>85725</xdr:rowOff>
              </from>
              <to>
                <xdr:col>58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57" r:id="rId179"/>
      </mc:Fallback>
    </mc:AlternateContent>
    <mc:AlternateContent xmlns:mc="http://schemas.openxmlformats.org/markup-compatibility/2006">
      <mc:Choice Requires="x14">
        <oleObject progId="Equation.DSMT4" shapeId="8358" r:id="rId180">
          <objectPr defaultSize="0" r:id="rId23">
            <anchor moveWithCells="1">
              <from>
                <xdr:col>59</xdr:col>
                <xdr:colOff>314325</xdr:colOff>
                <xdr:row>239</xdr:row>
                <xdr:rowOff>85725</xdr:rowOff>
              </from>
              <to>
                <xdr:col>59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58" r:id="rId180"/>
      </mc:Fallback>
    </mc:AlternateContent>
    <mc:AlternateContent xmlns:mc="http://schemas.openxmlformats.org/markup-compatibility/2006">
      <mc:Choice Requires="x14">
        <oleObject progId="Equation.DSMT4" shapeId="8359" r:id="rId181">
          <objectPr defaultSize="0" r:id="rId21">
            <anchor moveWithCells="1">
              <from>
                <xdr:col>58</xdr:col>
                <xdr:colOff>295275</xdr:colOff>
                <xdr:row>239</xdr:row>
                <xdr:rowOff>104775</xdr:rowOff>
              </from>
              <to>
                <xdr:col>58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8359" r:id="rId181"/>
      </mc:Fallback>
    </mc:AlternateContent>
    <mc:AlternateContent xmlns:mc="http://schemas.openxmlformats.org/markup-compatibility/2006">
      <mc:Choice Requires="x14">
        <oleObject progId="Equation.DSMT4" shapeId="8360" r:id="rId182">
          <objectPr defaultSize="0" r:id="rId25">
            <anchor moveWithCells="1">
              <from>
                <xdr:col>59</xdr:col>
                <xdr:colOff>304800</xdr:colOff>
                <xdr:row>239</xdr:row>
                <xdr:rowOff>85725</xdr:rowOff>
              </from>
              <to>
                <xdr:col>59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60" r:id="rId182"/>
      </mc:Fallback>
    </mc:AlternateContent>
    <mc:AlternateContent xmlns:mc="http://schemas.openxmlformats.org/markup-compatibility/2006">
      <mc:Choice Requires="x14">
        <oleObject progId="Equation.DSMT4" shapeId="8361" r:id="rId183">
          <objectPr defaultSize="0" r:id="rId17">
            <anchor moveWithCells="1">
              <from>
                <xdr:col>60</xdr:col>
                <xdr:colOff>257175</xdr:colOff>
                <xdr:row>239</xdr:row>
                <xdr:rowOff>85725</xdr:rowOff>
              </from>
              <to>
                <xdr:col>60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61" r:id="rId183"/>
      </mc:Fallback>
    </mc:AlternateContent>
    <mc:AlternateContent xmlns:mc="http://schemas.openxmlformats.org/markup-compatibility/2006">
      <mc:Choice Requires="x14">
        <oleObject progId="Equation.DSMT4" shapeId="8362" r:id="rId184">
          <objectPr defaultSize="0" r:id="rId23">
            <anchor moveWithCells="1">
              <from>
                <xdr:col>61</xdr:col>
                <xdr:colOff>314325</xdr:colOff>
                <xdr:row>239</xdr:row>
                <xdr:rowOff>85725</xdr:rowOff>
              </from>
              <to>
                <xdr:col>61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62" r:id="rId184"/>
      </mc:Fallback>
    </mc:AlternateContent>
    <mc:AlternateContent xmlns:mc="http://schemas.openxmlformats.org/markup-compatibility/2006">
      <mc:Choice Requires="x14">
        <oleObject progId="Equation.DSMT4" shapeId="8363" r:id="rId185">
          <objectPr defaultSize="0" r:id="rId21">
            <anchor moveWithCells="1">
              <from>
                <xdr:col>60</xdr:col>
                <xdr:colOff>295275</xdr:colOff>
                <xdr:row>239</xdr:row>
                <xdr:rowOff>104775</xdr:rowOff>
              </from>
              <to>
                <xdr:col>60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8363" r:id="rId185"/>
      </mc:Fallback>
    </mc:AlternateContent>
    <mc:AlternateContent xmlns:mc="http://schemas.openxmlformats.org/markup-compatibility/2006">
      <mc:Choice Requires="x14">
        <oleObject progId="Equation.DSMT4" shapeId="8364" r:id="rId186">
          <objectPr defaultSize="0" r:id="rId25">
            <anchor moveWithCells="1">
              <from>
                <xdr:col>61</xdr:col>
                <xdr:colOff>304800</xdr:colOff>
                <xdr:row>239</xdr:row>
                <xdr:rowOff>85725</xdr:rowOff>
              </from>
              <to>
                <xdr:col>61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64" r:id="rId186"/>
      </mc:Fallback>
    </mc:AlternateContent>
    <mc:AlternateContent xmlns:mc="http://schemas.openxmlformats.org/markup-compatibility/2006">
      <mc:Choice Requires="x14">
        <oleObject progId="Equation.DSMT4" shapeId="8365" r:id="rId187">
          <objectPr defaultSize="0" r:id="rId17">
            <anchor moveWithCells="1">
              <from>
                <xdr:col>62</xdr:col>
                <xdr:colOff>257175</xdr:colOff>
                <xdr:row>239</xdr:row>
                <xdr:rowOff>85725</xdr:rowOff>
              </from>
              <to>
                <xdr:col>62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65" r:id="rId187"/>
      </mc:Fallback>
    </mc:AlternateContent>
    <mc:AlternateContent xmlns:mc="http://schemas.openxmlformats.org/markup-compatibility/2006">
      <mc:Choice Requires="x14">
        <oleObject progId="Equation.DSMT4" shapeId="8366" r:id="rId188">
          <objectPr defaultSize="0" r:id="rId23">
            <anchor moveWithCells="1">
              <from>
                <xdr:col>63</xdr:col>
                <xdr:colOff>314325</xdr:colOff>
                <xdr:row>239</xdr:row>
                <xdr:rowOff>85725</xdr:rowOff>
              </from>
              <to>
                <xdr:col>63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66" r:id="rId188"/>
      </mc:Fallback>
    </mc:AlternateContent>
    <mc:AlternateContent xmlns:mc="http://schemas.openxmlformats.org/markup-compatibility/2006">
      <mc:Choice Requires="x14">
        <oleObject progId="Equation.DSMT4" shapeId="8367" r:id="rId189">
          <objectPr defaultSize="0" r:id="rId21">
            <anchor moveWithCells="1">
              <from>
                <xdr:col>62</xdr:col>
                <xdr:colOff>295275</xdr:colOff>
                <xdr:row>239</xdr:row>
                <xdr:rowOff>104775</xdr:rowOff>
              </from>
              <to>
                <xdr:col>62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8367" r:id="rId189"/>
      </mc:Fallback>
    </mc:AlternateContent>
    <mc:AlternateContent xmlns:mc="http://schemas.openxmlformats.org/markup-compatibility/2006">
      <mc:Choice Requires="x14">
        <oleObject progId="Equation.DSMT4" shapeId="8368" r:id="rId190">
          <objectPr defaultSize="0" r:id="rId25">
            <anchor moveWithCells="1">
              <from>
                <xdr:col>63</xdr:col>
                <xdr:colOff>304800</xdr:colOff>
                <xdr:row>239</xdr:row>
                <xdr:rowOff>85725</xdr:rowOff>
              </from>
              <to>
                <xdr:col>63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68" r:id="rId190"/>
      </mc:Fallback>
    </mc:AlternateContent>
    <mc:AlternateContent xmlns:mc="http://schemas.openxmlformats.org/markup-compatibility/2006">
      <mc:Choice Requires="x14">
        <oleObject progId="Equation.DSMT4" shapeId="8369" r:id="rId191">
          <objectPr defaultSize="0" r:id="rId17">
            <anchor moveWithCells="1">
              <from>
                <xdr:col>64</xdr:col>
                <xdr:colOff>257175</xdr:colOff>
                <xdr:row>239</xdr:row>
                <xdr:rowOff>85725</xdr:rowOff>
              </from>
              <to>
                <xdr:col>64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69" r:id="rId191"/>
      </mc:Fallback>
    </mc:AlternateContent>
    <mc:AlternateContent xmlns:mc="http://schemas.openxmlformats.org/markup-compatibility/2006">
      <mc:Choice Requires="x14">
        <oleObject progId="Equation.DSMT4" shapeId="8370" r:id="rId192">
          <objectPr defaultSize="0" r:id="rId23">
            <anchor moveWithCells="1">
              <from>
                <xdr:col>65</xdr:col>
                <xdr:colOff>314325</xdr:colOff>
                <xdr:row>239</xdr:row>
                <xdr:rowOff>85725</xdr:rowOff>
              </from>
              <to>
                <xdr:col>65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70" r:id="rId192"/>
      </mc:Fallback>
    </mc:AlternateContent>
    <mc:AlternateContent xmlns:mc="http://schemas.openxmlformats.org/markup-compatibility/2006">
      <mc:Choice Requires="x14">
        <oleObject progId="Equation.DSMT4" shapeId="8371" r:id="rId193">
          <objectPr defaultSize="0" r:id="rId21">
            <anchor moveWithCells="1">
              <from>
                <xdr:col>64</xdr:col>
                <xdr:colOff>295275</xdr:colOff>
                <xdr:row>239</xdr:row>
                <xdr:rowOff>104775</xdr:rowOff>
              </from>
              <to>
                <xdr:col>64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8371" r:id="rId193"/>
      </mc:Fallback>
    </mc:AlternateContent>
    <mc:AlternateContent xmlns:mc="http://schemas.openxmlformats.org/markup-compatibility/2006">
      <mc:Choice Requires="x14">
        <oleObject progId="Equation.DSMT4" shapeId="8372" r:id="rId194">
          <objectPr defaultSize="0" r:id="rId25">
            <anchor moveWithCells="1">
              <from>
                <xdr:col>65</xdr:col>
                <xdr:colOff>304800</xdr:colOff>
                <xdr:row>239</xdr:row>
                <xdr:rowOff>85725</xdr:rowOff>
              </from>
              <to>
                <xdr:col>65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72" r:id="rId194"/>
      </mc:Fallback>
    </mc:AlternateContent>
    <mc:AlternateContent xmlns:mc="http://schemas.openxmlformats.org/markup-compatibility/2006">
      <mc:Choice Requires="x14">
        <oleObject progId="Equation.DSMT4" shapeId="8373" r:id="rId195">
          <objectPr defaultSize="0" r:id="rId17">
            <anchor moveWithCells="1">
              <from>
                <xdr:col>66</xdr:col>
                <xdr:colOff>257175</xdr:colOff>
                <xdr:row>239</xdr:row>
                <xdr:rowOff>85725</xdr:rowOff>
              </from>
              <to>
                <xdr:col>66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73" r:id="rId195"/>
      </mc:Fallback>
    </mc:AlternateContent>
    <mc:AlternateContent xmlns:mc="http://schemas.openxmlformats.org/markup-compatibility/2006">
      <mc:Choice Requires="x14">
        <oleObject progId="Equation.DSMT4" shapeId="8374" r:id="rId196">
          <objectPr defaultSize="0" r:id="rId23">
            <anchor moveWithCells="1">
              <from>
                <xdr:col>67</xdr:col>
                <xdr:colOff>314325</xdr:colOff>
                <xdr:row>239</xdr:row>
                <xdr:rowOff>85725</xdr:rowOff>
              </from>
              <to>
                <xdr:col>67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74" r:id="rId196"/>
      </mc:Fallback>
    </mc:AlternateContent>
    <mc:AlternateContent xmlns:mc="http://schemas.openxmlformats.org/markup-compatibility/2006">
      <mc:Choice Requires="x14">
        <oleObject progId="Equation.DSMT4" shapeId="8375" r:id="rId197">
          <objectPr defaultSize="0" r:id="rId21">
            <anchor moveWithCells="1">
              <from>
                <xdr:col>66</xdr:col>
                <xdr:colOff>295275</xdr:colOff>
                <xdr:row>239</xdr:row>
                <xdr:rowOff>104775</xdr:rowOff>
              </from>
              <to>
                <xdr:col>66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8375" r:id="rId197"/>
      </mc:Fallback>
    </mc:AlternateContent>
    <mc:AlternateContent xmlns:mc="http://schemas.openxmlformats.org/markup-compatibility/2006">
      <mc:Choice Requires="x14">
        <oleObject progId="Equation.DSMT4" shapeId="8376" r:id="rId198">
          <objectPr defaultSize="0" r:id="rId25">
            <anchor moveWithCells="1">
              <from>
                <xdr:col>67</xdr:col>
                <xdr:colOff>304800</xdr:colOff>
                <xdr:row>239</xdr:row>
                <xdr:rowOff>85725</xdr:rowOff>
              </from>
              <to>
                <xdr:col>67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76" r:id="rId198"/>
      </mc:Fallback>
    </mc:AlternateContent>
    <mc:AlternateContent xmlns:mc="http://schemas.openxmlformats.org/markup-compatibility/2006">
      <mc:Choice Requires="x14">
        <oleObject progId="Equation.DSMT4" shapeId="8377" r:id="rId199">
          <objectPr defaultSize="0" r:id="rId17">
            <anchor moveWithCells="1">
              <from>
                <xdr:col>68</xdr:col>
                <xdr:colOff>257175</xdr:colOff>
                <xdr:row>239</xdr:row>
                <xdr:rowOff>85725</xdr:rowOff>
              </from>
              <to>
                <xdr:col>68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77" r:id="rId199"/>
      </mc:Fallback>
    </mc:AlternateContent>
    <mc:AlternateContent xmlns:mc="http://schemas.openxmlformats.org/markup-compatibility/2006">
      <mc:Choice Requires="x14">
        <oleObject progId="Equation.DSMT4" shapeId="8378" r:id="rId200">
          <objectPr defaultSize="0" r:id="rId23">
            <anchor moveWithCells="1">
              <from>
                <xdr:col>69</xdr:col>
                <xdr:colOff>314325</xdr:colOff>
                <xdr:row>239</xdr:row>
                <xdr:rowOff>85725</xdr:rowOff>
              </from>
              <to>
                <xdr:col>69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78" r:id="rId200"/>
      </mc:Fallback>
    </mc:AlternateContent>
    <mc:AlternateContent xmlns:mc="http://schemas.openxmlformats.org/markup-compatibility/2006">
      <mc:Choice Requires="x14">
        <oleObject progId="Equation.DSMT4" shapeId="8379" r:id="rId201">
          <objectPr defaultSize="0" r:id="rId21">
            <anchor moveWithCells="1">
              <from>
                <xdr:col>68</xdr:col>
                <xdr:colOff>295275</xdr:colOff>
                <xdr:row>239</xdr:row>
                <xdr:rowOff>104775</xdr:rowOff>
              </from>
              <to>
                <xdr:col>68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8379" r:id="rId201"/>
      </mc:Fallback>
    </mc:AlternateContent>
    <mc:AlternateContent xmlns:mc="http://schemas.openxmlformats.org/markup-compatibility/2006">
      <mc:Choice Requires="x14">
        <oleObject progId="Equation.DSMT4" shapeId="8380" r:id="rId202">
          <objectPr defaultSize="0" r:id="rId25">
            <anchor moveWithCells="1">
              <from>
                <xdr:col>69</xdr:col>
                <xdr:colOff>304800</xdr:colOff>
                <xdr:row>239</xdr:row>
                <xdr:rowOff>85725</xdr:rowOff>
              </from>
              <to>
                <xdr:col>69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80" r:id="rId202"/>
      </mc:Fallback>
    </mc:AlternateContent>
    <mc:AlternateContent xmlns:mc="http://schemas.openxmlformats.org/markup-compatibility/2006">
      <mc:Choice Requires="x14">
        <oleObject progId="Equation.DSMT4" shapeId="8381" r:id="rId203">
          <objectPr defaultSize="0" r:id="rId17">
            <anchor moveWithCells="1">
              <from>
                <xdr:col>70</xdr:col>
                <xdr:colOff>257175</xdr:colOff>
                <xdr:row>239</xdr:row>
                <xdr:rowOff>85725</xdr:rowOff>
              </from>
              <to>
                <xdr:col>70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81" r:id="rId203"/>
      </mc:Fallback>
    </mc:AlternateContent>
    <mc:AlternateContent xmlns:mc="http://schemas.openxmlformats.org/markup-compatibility/2006">
      <mc:Choice Requires="x14">
        <oleObject progId="Equation.DSMT4" shapeId="8382" r:id="rId204">
          <objectPr defaultSize="0" r:id="rId23">
            <anchor moveWithCells="1">
              <from>
                <xdr:col>71</xdr:col>
                <xdr:colOff>314325</xdr:colOff>
                <xdr:row>239</xdr:row>
                <xdr:rowOff>85725</xdr:rowOff>
              </from>
              <to>
                <xdr:col>71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82" r:id="rId204"/>
      </mc:Fallback>
    </mc:AlternateContent>
    <mc:AlternateContent xmlns:mc="http://schemas.openxmlformats.org/markup-compatibility/2006">
      <mc:Choice Requires="x14">
        <oleObject progId="Equation.DSMT4" shapeId="8383" r:id="rId205">
          <objectPr defaultSize="0" r:id="rId21">
            <anchor moveWithCells="1">
              <from>
                <xdr:col>70</xdr:col>
                <xdr:colOff>295275</xdr:colOff>
                <xdr:row>239</xdr:row>
                <xdr:rowOff>104775</xdr:rowOff>
              </from>
              <to>
                <xdr:col>70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8383" r:id="rId205"/>
      </mc:Fallback>
    </mc:AlternateContent>
    <mc:AlternateContent xmlns:mc="http://schemas.openxmlformats.org/markup-compatibility/2006">
      <mc:Choice Requires="x14">
        <oleObject progId="Equation.DSMT4" shapeId="8384" r:id="rId206">
          <objectPr defaultSize="0" r:id="rId25">
            <anchor moveWithCells="1">
              <from>
                <xdr:col>71</xdr:col>
                <xdr:colOff>304800</xdr:colOff>
                <xdr:row>239</xdr:row>
                <xdr:rowOff>85725</xdr:rowOff>
              </from>
              <to>
                <xdr:col>71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84" r:id="rId206"/>
      </mc:Fallback>
    </mc:AlternateContent>
    <mc:AlternateContent xmlns:mc="http://schemas.openxmlformats.org/markup-compatibility/2006">
      <mc:Choice Requires="x14">
        <oleObject progId="Equation.DSMT4" shapeId="8385" r:id="rId207">
          <objectPr defaultSize="0" r:id="rId17">
            <anchor moveWithCells="1">
              <from>
                <xdr:col>72</xdr:col>
                <xdr:colOff>257175</xdr:colOff>
                <xdr:row>239</xdr:row>
                <xdr:rowOff>85725</xdr:rowOff>
              </from>
              <to>
                <xdr:col>72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85" r:id="rId207"/>
      </mc:Fallback>
    </mc:AlternateContent>
    <mc:AlternateContent xmlns:mc="http://schemas.openxmlformats.org/markup-compatibility/2006">
      <mc:Choice Requires="x14">
        <oleObject progId="Equation.DSMT4" shapeId="8386" r:id="rId208">
          <objectPr defaultSize="0" r:id="rId23">
            <anchor moveWithCells="1">
              <from>
                <xdr:col>73</xdr:col>
                <xdr:colOff>314325</xdr:colOff>
                <xdr:row>239</xdr:row>
                <xdr:rowOff>85725</xdr:rowOff>
              </from>
              <to>
                <xdr:col>73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86" r:id="rId208"/>
      </mc:Fallback>
    </mc:AlternateContent>
    <mc:AlternateContent xmlns:mc="http://schemas.openxmlformats.org/markup-compatibility/2006">
      <mc:Choice Requires="x14">
        <oleObject progId="Equation.DSMT4" shapeId="8387" r:id="rId209">
          <objectPr defaultSize="0" r:id="rId21">
            <anchor moveWithCells="1">
              <from>
                <xdr:col>72</xdr:col>
                <xdr:colOff>295275</xdr:colOff>
                <xdr:row>239</xdr:row>
                <xdr:rowOff>104775</xdr:rowOff>
              </from>
              <to>
                <xdr:col>72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8387" r:id="rId209"/>
      </mc:Fallback>
    </mc:AlternateContent>
    <mc:AlternateContent xmlns:mc="http://schemas.openxmlformats.org/markup-compatibility/2006">
      <mc:Choice Requires="x14">
        <oleObject progId="Equation.DSMT4" shapeId="8388" r:id="rId210">
          <objectPr defaultSize="0" r:id="rId25">
            <anchor moveWithCells="1">
              <from>
                <xdr:col>73</xdr:col>
                <xdr:colOff>304800</xdr:colOff>
                <xdr:row>239</xdr:row>
                <xdr:rowOff>85725</xdr:rowOff>
              </from>
              <to>
                <xdr:col>73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88" r:id="rId210"/>
      </mc:Fallback>
    </mc:AlternateContent>
    <mc:AlternateContent xmlns:mc="http://schemas.openxmlformats.org/markup-compatibility/2006">
      <mc:Choice Requires="x14">
        <oleObject progId="Equation.DSMT4" shapeId="8389" r:id="rId211">
          <objectPr defaultSize="0" r:id="rId17">
            <anchor moveWithCells="1">
              <from>
                <xdr:col>74</xdr:col>
                <xdr:colOff>257175</xdr:colOff>
                <xdr:row>239</xdr:row>
                <xdr:rowOff>85725</xdr:rowOff>
              </from>
              <to>
                <xdr:col>74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89" r:id="rId211"/>
      </mc:Fallback>
    </mc:AlternateContent>
    <mc:AlternateContent xmlns:mc="http://schemas.openxmlformats.org/markup-compatibility/2006">
      <mc:Choice Requires="x14">
        <oleObject progId="Equation.DSMT4" shapeId="8390" r:id="rId212">
          <objectPr defaultSize="0" r:id="rId23">
            <anchor moveWithCells="1">
              <from>
                <xdr:col>75</xdr:col>
                <xdr:colOff>314325</xdr:colOff>
                <xdr:row>239</xdr:row>
                <xdr:rowOff>85725</xdr:rowOff>
              </from>
              <to>
                <xdr:col>75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90" r:id="rId212"/>
      </mc:Fallback>
    </mc:AlternateContent>
    <mc:AlternateContent xmlns:mc="http://schemas.openxmlformats.org/markup-compatibility/2006">
      <mc:Choice Requires="x14">
        <oleObject progId="Equation.DSMT4" shapeId="8391" r:id="rId213">
          <objectPr defaultSize="0" r:id="rId21">
            <anchor moveWithCells="1">
              <from>
                <xdr:col>74</xdr:col>
                <xdr:colOff>295275</xdr:colOff>
                <xdr:row>239</xdr:row>
                <xdr:rowOff>104775</xdr:rowOff>
              </from>
              <to>
                <xdr:col>74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8391" r:id="rId213"/>
      </mc:Fallback>
    </mc:AlternateContent>
    <mc:AlternateContent xmlns:mc="http://schemas.openxmlformats.org/markup-compatibility/2006">
      <mc:Choice Requires="x14">
        <oleObject progId="Equation.DSMT4" shapeId="8392" r:id="rId214">
          <objectPr defaultSize="0" r:id="rId25">
            <anchor moveWithCells="1">
              <from>
                <xdr:col>75</xdr:col>
                <xdr:colOff>304800</xdr:colOff>
                <xdr:row>239</xdr:row>
                <xdr:rowOff>85725</xdr:rowOff>
              </from>
              <to>
                <xdr:col>75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92" r:id="rId214"/>
      </mc:Fallback>
    </mc:AlternateContent>
    <mc:AlternateContent xmlns:mc="http://schemas.openxmlformats.org/markup-compatibility/2006">
      <mc:Choice Requires="x14">
        <oleObject progId="Equation.DSMT4" shapeId="8393" r:id="rId215">
          <objectPr defaultSize="0" r:id="rId17">
            <anchor moveWithCells="1">
              <from>
                <xdr:col>76</xdr:col>
                <xdr:colOff>257175</xdr:colOff>
                <xdr:row>239</xdr:row>
                <xdr:rowOff>85725</xdr:rowOff>
              </from>
              <to>
                <xdr:col>76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93" r:id="rId215"/>
      </mc:Fallback>
    </mc:AlternateContent>
    <mc:AlternateContent xmlns:mc="http://schemas.openxmlformats.org/markup-compatibility/2006">
      <mc:Choice Requires="x14">
        <oleObject progId="Equation.DSMT4" shapeId="8394" r:id="rId216">
          <objectPr defaultSize="0" r:id="rId23">
            <anchor moveWithCells="1">
              <from>
                <xdr:col>77</xdr:col>
                <xdr:colOff>314325</xdr:colOff>
                <xdr:row>239</xdr:row>
                <xdr:rowOff>85725</xdr:rowOff>
              </from>
              <to>
                <xdr:col>77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94" r:id="rId216"/>
      </mc:Fallback>
    </mc:AlternateContent>
    <mc:AlternateContent xmlns:mc="http://schemas.openxmlformats.org/markup-compatibility/2006">
      <mc:Choice Requires="x14">
        <oleObject progId="Equation.DSMT4" shapeId="8395" r:id="rId217">
          <objectPr defaultSize="0" r:id="rId21">
            <anchor moveWithCells="1">
              <from>
                <xdr:col>76</xdr:col>
                <xdr:colOff>295275</xdr:colOff>
                <xdr:row>239</xdr:row>
                <xdr:rowOff>104775</xdr:rowOff>
              </from>
              <to>
                <xdr:col>76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8395" r:id="rId217"/>
      </mc:Fallback>
    </mc:AlternateContent>
    <mc:AlternateContent xmlns:mc="http://schemas.openxmlformats.org/markup-compatibility/2006">
      <mc:Choice Requires="x14">
        <oleObject progId="Equation.DSMT4" shapeId="8396" r:id="rId218">
          <objectPr defaultSize="0" r:id="rId25">
            <anchor moveWithCells="1">
              <from>
                <xdr:col>77</xdr:col>
                <xdr:colOff>304800</xdr:colOff>
                <xdr:row>239</xdr:row>
                <xdr:rowOff>85725</xdr:rowOff>
              </from>
              <to>
                <xdr:col>77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96" r:id="rId218"/>
      </mc:Fallback>
    </mc:AlternateContent>
    <mc:AlternateContent xmlns:mc="http://schemas.openxmlformats.org/markup-compatibility/2006">
      <mc:Choice Requires="x14">
        <oleObject progId="Equation.DSMT4" shapeId="8397" r:id="rId219">
          <objectPr defaultSize="0" r:id="rId17">
            <anchor moveWithCells="1">
              <from>
                <xdr:col>78</xdr:col>
                <xdr:colOff>257175</xdr:colOff>
                <xdr:row>239</xdr:row>
                <xdr:rowOff>85725</xdr:rowOff>
              </from>
              <to>
                <xdr:col>78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97" r:id="rId219"/>
      </mc:Fallback>
    </mc:AlternateContent>
    <mc:AlternateContent xmlns:mc="http://schemas.openxmlformats.org/markup-compatibility/2006">
      <mc:Choice Requires="x14">
        <oleObject progId="Equation.DSMT4" shapeId="8398" r:id="rId220">
          <objectPr defaultSize="0" r:id="rId23">
            <anchor moveWithCells="1">
              <from>
                <xdr:col>79</xdr:col>
                <xdr:colOff>314325</xdr:colOff>
                <xdr:row>239</xdr:row>
                <xdr:rowOff>85725</xdr:rowOff>
              </from>
              <to>
                <xdr:col>79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398" r:id="rId220"/>
      </mc:Fallback>
    </mc:AlternateContent>
    <mc:AlternateContent xmlns:mc="http://schemas.openxmlformats.org/markup-compatibility/2006">
      <mc:Choice Requires="x14">
        <oleObject progId="Equation.DSMT4" shapeId="8399" r:id="rId221">
          <objectPr defaultSize="0" r:id="rId21">
            <anchor moveWithCells="1">
              <from>
                <xdr:col>78</xdr:col>
                <xdr:colOff>295275</xdr:colOff>
                <xdr:row>239</xdr:row>
                <xdr:rowOff>104775</xdr:rowOff>
              </from>
              <to>
                <xdr:col>78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8399" r:id="rId221"/>
      </mc:Fallback>
    </mc:AlternateContent>
    <mc:AlternateContent xmlns:mc="http://schemas.openxmlformats.org/markup-compatibility/2006">
      <mc:Choice Requires="x14">
        <oleObject progId="Equation.DSMT4" shapeId="8400" r:id="rId222">
          <objectPr defaultSize="0" r:id="rId25">
            <anchor moveWithCells="1">
              <from>
                <xdr:col>79</xdr:col>
                <xdr:colOff>304800</xdr:colOff>
                <xdr:row>239</xdr:row>
                <xdr:rowOff>85725</xdr:rowOff>
              </from>
              <to>
                <xdr:col>79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400" r:id="rId222"/>
      </mc:Fallback>
    </mc:AlternateContent>
    <mc:AlternateContent xmlns:mc="http://schemas.openxmlformats.org/markup-compatibility/2006">
      <mc:Choice Requires="x14">
        <oleObject progId="Equation.DSMT4" shapeId="8401" r:id="rId223">
          <objectPr defaultSize="0" r:id="rId17">
            <anchor moveWithCells="1">
              <from>
                <xdr:col>80</xdr:col>
                <xdr:colOff>257175</xdr:colOff>
                <xdr:row>239</xdr:row>
                <xdr:rowOff>85725</xdr:rowOff>
              </from>
              <to>
                <xdr:col>80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401" r:id="rId223"/>
      </mc:Fallback>
    </mc:AlternateContent>
    <mc:AlternateContent xmlns:mc="http://schemas.openxmlformats.org/markup-compatibility/2006">
      <mc:Choice Requires="x14">
        <oleObject progId="Equation.DSMT4" shapeId="8402" r:id="rId224">
          <objectPr defaultSize="0" r:id="rId23">
            <anchor moveWithCells="1">
              <from>
                <xdr:col>81</xdr:col>
                <xdr:colOff>314325</xdr:colOff>
                <xdr:row>239</xdr:row>
                <xdr:rowOff>85725</xdr:rowOff>
              </from>
              <to>
                <xdr:col>81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402" r:id="rId224"/>
      </mc:Fallback>
    </mc:AlternateContent>
    <mc:AlternateContent xmlns:mc="http://schemas.openxmlformats.org/markup-compatibility/2006">
      <mc:Choice Requires="x14">
        <oleObject progId="Equation.DSMT4" shapeId="8403" r:id="rId225">
          <objectPr defaultSize="0" r:id="rId21">
            <anchor moveWithCells="1">
              <from>
                <xdr:col>80</xdr:col>
                <xdr:colOff>295275</xdr:colOff>
                <xdr:row>239</xdr:row>
                <xdr:rowOff>104775</xdr:rowOff>
              </from>
              <to>
                <xdr:col>80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8403" r:id="rId225"/>
      </mc:Fallback>
    </mc:AlternateContent>
    <mc:AlternateContent xmlns:mc="http://schemas.openxmlformats.org/markup-compatibility/2006">
      <mc:Choice Requires="x14">
        <oleObject progId="Equation.DSMT4" shapeId="8404" r:id="rId226">
          <objectPr defaultSize="0" r:id="rId25">
            <anchor moveWithCells="1">
              <from>
                <xdr:col>81</xdr:col>
                <xdr:colOff>304800</xdr:colOff>
                <xdr:row>239</xdr:row>
                <xdr:rowOff>85725</xdr:rowOff>
              </from>
              <to>
                <xdr:col>81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404" r:id="rId226"/>
      </mc:Fallback>
    </mc:AlternateContent>
    <mc:AlternateContent xmlns:mc="http://schemas.openxmlformats.org/markup-compatibility/2006">
      <mc:Choice Requires="x14">
        <oleObject progId="Equation.DSMT4" shapeId="8405" r:id="rId227">
          <objectPr defaultSize="0" r:id="rId17">
            <anchor moveWithCells="1">
              <from>
                <xdr:col>82</xdr:col>
                <xdr:colOff>257175</xdr:colOff>
                <xdr:row>239</xdr:row>
                <xdr:rowOff>85725</xdr:rowOff>
              </from>
              <to>
                <xdr:col>82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405" r:id="rId227"/>
      </mc:Fallback>
    </mc:AlternateContent>
    <mc:AlternateContent xmlns:mc="http://schemas.openxmlformats.org/markup-compatibility/2006">
      <mc:Choice Requires="x14">
        <oleObject progId="Equation.DSMT4" shapeId="8406" r:id="rId228">
          <objectPr defaultSize="0" r:id="rId23">
            <anchor moveWithCells="1">
              <from>
                <xdr:col>83</xdr:col>
                <xdr:colOff>314325</xdr:colOff>
                <xdr:row>239</xdr:row>
                <xdr:rowOff>85725</xdr:rowOff>
              </from>
              <to>
                <xdr:col>83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406" r:id="rId228"/>
      </mc:Fallback>
    </mc:AlternateContent>
    <mc:AlternateContent xmlns:mc="http://schemas.openxmlformats.org/markup-compatibility/2006">
      <mc:Choice Requires="x14">
        <oleObject progId="Equation.DSMT4" shapeId="8407" r:id="rId229">
          <objectPr defaultSize="0" r:id="rId21">
            <anchor moveWithCells="1">
              <from>
                <xdr:col>82</xdr:col>
                <xdr:colOff>295275</xdr:colOff>
                <xdr:row>239</xdr:row>
                <xdr:rowOff>104775</xdr:rowOff>
              </from>
              <to>
                <xdr:col>82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8407" r:id="rId229"/>
      </mc:Fallback>
    </mc:AlternateContent>
    <mc:AlternateContent xmlns:mc="http://schemas.openxmlformats.org/markup-compatibility/2006">
      <mc:Choice Requires="x14">
        <oleObject progId="Equation.DSMT4" shapeId="8408" r:id="rId230">
          <objectPr defaultSize="0" r:id="rId25">
            <anchor moveWithCells="1">
              <from>
                <xdr:col>83</xdr:col>
                <xdr:colOff>304800</xdr:colOff>
                <xdr:row>239</xdr:row>
                <xdr:rowOff>85725</xdr:rowOff>
              </from>
              <to>
                <xdr:col>83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408" r:id="rId230"/>
      </mc:Fallback>
    </mc:AlternateContent>
    <mc:AlternateContent xmlns:mc="http://schemas.openxmlformats.org/markup-compatibility/2006">
      <mc:Choice Requires="x14">
        <oleObject progId="Equation.DSMT4" shapeId="8409" r:id="rId231">
          <objectPr defaultSize="0" r:id="rId17">
            <anchor moveWithCells="1">
              <from>
                <xdr:col>84</xdr:col>
                <xdr:colOff>257175</xdr:colOff>
                <xdr:row>239</xdr:row>
                <xdr:rowOff>85725</xdr:rowOff>
              </from>
              <to>
                <xdr:col>84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409" r:id="rId231"/>
      </mc:Fallback>
    </mc:AlternateContent>
    <mc:AlternateContent xmlns:mc="http://schemas.openxmlformats.org/markup-compatibility/2006">
      <mc:Choice Requires="x14">
        <oleObject progId="Equation.DSMT4" shapeId="8410" r:id="rId232">
          <objectPr defaultSize="0" r:id="rId23">
            <anchor moveWithCells="1">
              <from>
                <xdr:col>85</xdr:col>
                <xdr:colOff>314325</xdr:colOff>
                <xdr:row>239</xdr:row>
                <xdr:rowOff>85725</xdr:rowOff>
              </from>
              <to>
                <xdr:col>85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410" r:id="rId232"/>
      </mc:Fallback>
    </mc:AlternateContent>
    <mc:AlternateContent xmlns:mc="http://schemas.openxmlformats.org/markup-compatibility/2006">
      <mc:Choice Requires="x14">
        <oleObject progId="Equation.DSMT4" shapeId="8411" r:id="rId233">
          <objectPr defaultSize="0" r:id="rId21">
            <anchor moveWithCells="1">
              <from>
                <xdr:col>84</xdr:col>
                <xdr:colOff>295275</xdr:colOff>
                <xdr:row>239</xdr:row>
                <xdr:rowOff>104775</xdr:rowOff>
              </from>
              <to>
                <xdr:col>84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8411" r:id="rId233"/>
      </mc:Fallback>
    </mc:AlternateContent>
    <mc:AlternateContent xmlns:mc="http://schemas.openxmlformats.org/markup-compatibility/2006">
      <mc:Choice Requires="x14">
        <oleObject progId="Equation.DSMT4" shapeId="8412" r:id="rId234">
          <objectPr defaultSize="0" r:id="rId25">
            <anchor moveWithCells="1">
              <from>
                <xdr:col>85</xdr:col>
                <xdr:colOff>304800</xdr:colOff>
                <xdr:row>239</xdr:row>
                <xdr:rowOff>85725</xdr:rowOff>
              </from>
              <to>
                <xdr:col>85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412" r:id="rId234"/>
      </mc:Fallback>
    </mc:AlternateContent>
    <mc:AlternateContent xmlns:mc="http://schemas.openxmlformats.org/markup-compatibility/2006">
      <mc:Choice Requires="x14">
        <oleObject progId="Equation.DSMT4" shapeId="8413" r:id="rId235">
          <objectPr defaultSize="0" r:id="rId17">
            <anchor moveWithCells="1">
              <from>
                <xdr:col>86</xdr:col>
                <xdr:colOff>257175</xdr:colOff>
                <xdr:row>239</xdr:row>
                <xdr:rowOff>85725</xdr:rowOff>
              </from>
              <to>
                <xdr:col>86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413" r:id="rId235"/>
      </mc:Fallback>
    </mc:AlternateContent>
    <mc:AlternateContent xmlns:mc="http://schemas.openxmlformats.org/markup-compatibility/2006">
      <mc:Choice Requires="x14">
        <oleObject progId="Equation.DSMT4" shapeId="8414" r:id="rId236">
          <objectPr defaultSize="0" r:id="rId23">
            <anchor moveWithCells="1">
              <from>
                <xdr:col>87</xdr:col>
                <xdr:colOff>314325</xdr:colOff>
                <xdr:row>239</xdr:row>
                <xdr:rowOff>85725</xdr:rowOff>
              </from>
              <to>
                <xdr:col>87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414" r:id="rId236"/>
      </mc:Fallback>
    </mc:AlternateContent>
    <mc:AlternateContent xmlns:mc="http://schemas.openxmlformats.org/markup-compatibility/2006">
      <mc:Choice Requires="x14">
        <oleObject progId="Equation.DSMT4" shapeId="8415" r:id="rId237">
          <objectPr defaultSize="0" r:id="rId21">
            <anchor moveWithCells="1">
              <from>
                <xdr:col>86</xdr:col>
                <xdr:colOff>295275</xdr:colOff>
                <xdr:row>239</xdr:row>
                <xdr:rowOff>104775</xdr:rowOff>
              </from>
              <to>
                <xdr:col>86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8415" r:id="rId237"/>
      </mc:Fallback>
    </mc:AlternateContent>
    <mc:AlternateContent xmlns:mc="http://schemas.openxmlformats.org/markup-compatibility/2006">
      <mc:Choice Requires="x14">
        <oleObject progId="Equation.DSMT4" shapeId="8416" r:id="rId238">
          <objectPr defaultSize="0" r:id="rId25">
            <anchor moveWithCells="1">
              <from>
                <xdr:col>87</xdr:col>
                <xdr:colOff>304800</xdr:colOff>
                <xdr:row>239</xdr:row>
                <xdr:rowOff>85725</xdr:rowOff>
              </from>
              <to>
                <xdr:col>87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416" r:id="rId238"/>
      </mc:Fallback>
    </mc:AlternateContent>
    <mc:AlternateContent xmlns:mc="http://schemas.openxmlformats.org/markup-compatibility/2006">
      <mc:Choice Requires="x14">
        <oleObject progId="Equation.DSMT4" shapeId="8417" r:id="rId239">
          <objectPr defaultSize="0" r:id="rId17">
            <anchor moveWithCells="1">
              <from>
                <xdr:col>88</xdr:col>
                <xdr:colOff>257175</xdr:colOff>
                <xdr:row>239</xdr:row>
                <xdr:rowOff>85725</xdr:rowOff>
              </from>
              <to>
                <xdr:col>88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417" r:id="rId239"/>
      </mc:Fallback>
    </mc:AlternateContent>
    <mc:AlternateContent xmlns:mc="http://schemas.openxmlformats.org/markup-compatibility/2006">
      <mc:Choice Requires="x14">
        <oleObject progId="Equation.DSMT4" shapeId="8418" r:id="rId240">
          <objectPr defaultSize="0" r:id="rId23">
            <anchor moveWithCells="1">
              <from>
                <xdr:col>89</xdr:col>
                <xdr:colOff>314325</xdr:colOff>
                <xdr:row>239</xdr:row>
                <xdr:rowOff>85725</xdr:rowOff>
              </from>
              <to>
                <xdr:col>89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418" r:id="rId240"/>
      </mc:Fallback>
    </mc:AlternateContent>
    <mc:AlternateContent xmlns:mc="http://schemas.openxmlformats.org/markup-compatibility/2006">
      <mc:Choice Requires="x14">
        <oleObject progId="Equation.DSMT4" shapeId="8419" r:id="rId241">
          <objectPr defaultSize="0" r:id="rId21">
            <anchor moveWithCells="1">
              <from>
                <xdr:col>88</xdr:col>
                <xdr:colOff>295275</xdr:colOff>
                <xdr:row>239</xdr:row>
                <xdr:rowOff>104775</xdr:rowOff>
              </from>
              <to>
                <xdr:col>88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8419" r:id="rId241"/>
      </mc:Fallback>
    </mc:AlternateContent>
    <mc:AlternateContent xmlns:mc="http://schemas.openxmlformats.org/markup-compatibility/2006">
      <mc:Choice Requires="x14">
        <oleObject progId="Equation.DSMT4" shapeId="8420" r:id="rId242">
          <objectPr defaultSize="0" r:id="rId25">
            <anchor moveWithCells="1">
              <from>
                <xdr:col>89</xdr:col>
                <xdr:colOff>304800</xdr:colOff>
                <xdr:row>239</xdr:row>
                <xdr:rowOff>85725</xdr:rowOff>
              </from>
              <to>
                <xdr:col>89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8420" r:id="rId242"/>
      </mc:Fallback>
    </mc:AlternateContent>
    <mc:AlternateContent xmlns:mc="http://schemas.openxmlformats.org/markup-compatibility/2006">
      <mc:Choice Requires="x14">
        <oleObject progId="Equation.DSMT4" shapeId="8421" r:id="rId243">
          <objectPr defaultSize="0" r:id="rId17">
            <anchor moveWithCells="1">
              <from>
                <xdr:col>42</xdr:col>
                <xdr:colOff>257175</xdr:colOff>
                <xdr:row>250</xdr:row>
                <xdr:rowOff>85725</xdr:rowOff>
              </from>
              <to>
                <xdr:col>42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21" r:id="rId243"/>
      </mc:Fallback>
    </mc:AlternateContent>
    <mc:AlternateContent xmlns:mc="http://schemas.openxmlformats.org/markup-compatibility/2006">
      <mc:Choice Requires="x14">
        <oleObject progId="Equation.DSMT4" shapeId="8422" r:id="rId244">
          <objectPr defaultSize="0" r:id="rId23">
            <anchor moveWithCells="1">
              <from>
                <xdr:col>43</xdr:col>
                <xdr:colOff>314325</xdr:colOff>
                <xdr:row>250</xdr:row>
                <xdr:rowOff>85725</xdr:rowOff>
              </from>
              <to>
                <xdr:col>43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22" r:id="rId244"/>
      </mc:Fallback>
    </mc:AlternateContent>
    <mc:AlternateContent xmlns:mc="http://schemas.openxmlformats.org/markup-compatibility/2006">
      <mc:Choice Requires="x14">
        <oleObject progId="Equation.DSMT4" shapeId="8423" r:id="rId245">
          <objectPr defaultSize="0" r:id="rId21">
            <anchor moveWithCells="1">
              <from>
                <xdr:col>42</xdr:col>
                <xdr:colOff>295275</xdr:colOff>
                <xdr:row>250</xdr:row>
                <xdr:rowOff>104775</xdr:rowOff>
              </from>
              <to>
                <xdr:col>42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8423" r:id="rId245"/>
      </mc:Fallback>
    </mc:AlternateContent>
    <mc:AlternateContent xmlns:mc="http://schemas.openxmlformats.org/markup-compatibility/2006">
      <mc:Choice Requires="x14">
        <oleObject progId="Equation.DSMT4" shapeId="8424" r:id="rId246">
          <objectPr defaultSize="0" r:id="rId25">
            <anchor moveWithCells="1">
              <from>
                <xdr:col>43</xdr:col>
                <xdr:colOff>304800</xdr:colOff>
                <xdr:row>250</xdr:row>
                <xdr:rowOff>85725</xdr:rowOff>
              </from>
              <to>
                <xdr:col>43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24" r:id="rId246"/>
      </mc:Fallback>
    </mc:AlternateContent>
    <mc:AlternateContent xmlns:mc="http://schemas.openxmlformats.org/markup-compatibility/2006">
      <mc:Choice Requires="x14">
        <oleObject progId="Equation.DSMT4" shapeId="8425" r:id="rId247">
          <objectPr defaultSize="0" r:id="rId17">
            <anchor moveWithCells="1">
              <from>
                <xdr:col>44</xdr:col>
                <xdr:colOff>257175</xdr:colOff>
                <xdr:row>250</xdr:row>
                <xdr:rowOff>85725</xdr:rowOff>
              </from>
              <to>
                <xdr:col>44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25" r:id="rId247"/>
      </mc:Fallback>
    </mc:AlternateContent>
    <mc:AlternateContent xmlns:mc="http://schemas.openxmlformats.org/markup-compatibility/2006">
      <mc:Choice Requires="x14">
        <oleObject progId="Equation.DSMT4" shapeId="8426" r:id="rId248">
          <objectPr defaultSize="0" r:id="rId23">
            <anchor moveWithCells="1">
              <from>
                <xdr:col>45</xdr:col>
                <xdr:colOff>314325</xdr:colOff>
                <xdr:row>250</xdr:row>
                <xdr:rowOff>85725</xdr:rowOff>
              </from>
              <to>
                <xdr:col>45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26" r:id="rId248"/>
      </mc:Fallback>
    </mc:AlternateContent>
    <mc:AlternateContent xmlns:mc="http://schemas.openxmlformats.org/markup-compatibility/2006">
      <mc:Choice Requires="x14">
        <oleObject progId="Equation.DSMT4" shapeId="8427" r:id="rId249">
          <objectPr defaultSize="0" r:id="rId21">
            <anchor moveWithCells="1">
              <from>
                <xdr:col>44</xdr:col>
                <xdr:colOff>295275</xdr:colOff>
                <xdr:row>250</xdr:row>
                <xdr:rowOff>104775</xdr:rowOff>
              </from>
              <to>
                <xdr:col>44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8427" r:id="rId249"/>
      </mc:Fallback>
    </mc:AlternateContent>
    <mc:AlternateContent xmlns:mc="http://schemas.openxmlformats.org/markup-compatibility/2006">
      <mc:Choice Requires="x14">
        <oleObject progId="Equation.DSMT4" shapeId="8428" r:id="rId250">
          <objectPr defaultSize="0" r:id="rId25">
            <anchor moveWithCells="1">
              <from>
                <xdr:col>45</xdr:col>
                <xdr:colOff>304800</xdr:colOff>
                <xdr:row>250</xdr:row>
                <xdr:rowOff>85725</xdr:rowOff>
              </from>
              <to>
                <xdr:col>45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28" r:id="rId250"/>
      </mc:Fallback>
    </mc:AlternateContent>
    <mc:AlternateContent xmlns:mc="http://schemas.openxmlformats.org/markup-compatibility/2006">
      <mc:Choice Requires="x14">
        <oleObject progId="Equation.DSMT4" shapeId="8429" r:id="rId251">
          <objectPr defaultSize="0" r:id="rId17">
            <anchor moveWithCells="1">
              <from>
                <xdr:col>46</xdr:col>
                <xdr:colOff>257175</xdr:colOff>
                <xdr:row>250</xdr:row>
                <xdr:rowOff>85725</xdr:rowOff>
              </from>
              <to>
                <xdr:col>46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29" r:id="rId251"/>
      </mc:Fallback>
    </mc:AlternateContent>
    <mc:AlternateContent xmlns:mc="http://schemas.openxmlformats.org/markup-compatibility/2006">
      <mc:Choice Requires="x14">
        <oleObject progId="Equation.DSMT4" shapeId="8430" r:id="rId252">
          <objectPr defaultSize="0" r:id="rId23">
            <anchor moveWithCells="1">
              <from>
                <xdr:col>47</xdr:col>
                <xdr:colOff>314325</xdr:colOff>
                <xdr:row>250</xdr:row>
                <xdr:rowOff>85725</xdr:rowOff>
              </from>
              <to>
                <xdr:col>47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30" r:id="rId252"/>
      </mc:Fallback>
    </mc:AlternateContent>
    <mc:AlternateContent xmlns:mc="http://schemas.openxmlformats.org/markup-compatibility/2006">
      <mc:Choice Requires="x14">
        <oleObject progId="Equation.DSMT4" shapeId="8431" r:id="rId253">
          <objectPr defaultSize="0" r:id="rId21">
            <anchor moveWithCells="1">
              <from>
                <xdr:col>46</xdr:col>
                <xdr:colOff>295275</xdr:colOff>
                <xdr:row>250</xdr:row>
                <xdr:rowOff>104775</xdr:rowOff>
              </from>
              <to>
                <xdr:col>46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8431" r:id="rId253"/>
      </mc:Fallback>
    </mc:AlternateContent>
    <mc:AlternateContent xmlns:mc="http://schemas.openxmlformats.org/markup-compatibility/2006">
      <mc:Choice Requires="x14">
        <oleObject progId="Equation.DSMT4" shapeId="8432" r:id="rId254">
          <objectPr defaultSize="0" r:id="rId25">
            <anchor moveWithCells="1">
              <from>
                <xdr:col>47</xdr:col>
                <xdr:colOff>304800</xdr:colOff>
                <xdr:row>250</xdr:row>
                <xdr:rowOff>85725</xdr:rowOff>
              </from>
              <to>
                <xdr:col>47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32" r:id="rId254"/>
      </mc:Fallback>
    </mc:AlternateContent>
    <mc:AlternateContent xmlns:mc="http://schemas.openxmlformats.org/markup-compatibility/2006">
      <mc:Choice Requires="x14">
        <oleObject progId="Equation.DSMT4" shapeId="8433" r:id="rId255">
          <objectPr defaultSize="0" r:id="rId17">
            <anchor moveWithCells="1">
              <from>
                <xdr:col>48</xdr:col>
                <xdr:colOff>257175</xdr:colOff>
                <xdr:row>250</xdr:row>
                <xdr:rowOff>85725</xdr:rowOff>
              </from>
              <to>
                <xdr:col>48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33" r:id="rId255"/>
      </mc:Fallback>
    </mc:AlternateContent>
    <mc:AlternateContent xmlns:mc="http://schemas.openxmlformats.org/markup-compatibility/2006">
      <mc:Choice Requires="x14">
        <oleObject progId="Equation.DSMT4" shapeId="8434" r:id="rId256">
          <objectPr defaultSize="0" r:id="rId23">
            <anchor moveWithCells="1">
              <from>
                <xdr:col>49</xdr:col>
                <xdr:colOff>314325</xdr:colOff>
                <xdr:row>250</xdr:row>
                <xdr:rowOff>85725</xdr:rowOff>
              </from>
              <to>
                <xdr:col>49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34" r:id="rId256"/>
      </mc:Fallback>
    </mc:AlternateContent>
    <mc:AlternateContent xmlns:mc="http://schemas.openxmlformats.org/markup-compatibility/2006">
      <mc:Choice Requires="x14">
        <oleObject progId="Equation.DSMT4" shapeId="8435" r:id="rId257">
          <objectPr defaultSize="0" r:id="rId21">
            <anchor moveWithCells="1">
              <from>
                <xdr:col>48</xdr:col>
                <xdr:colOff>295275</xdr:colOff>
                <xdr:row>250</xdr:row>
                <xdr:rowOff>104775</xdr:rowOff>
              </from>
              <to>
                <xdr:col>48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8435" r:id="rId257"/>
      </mc:Fallback>
    </mc:AlternateContent>
    <mc:AlternateContent xmlns:mc="http://schemas.openxmlformats.org/markup-compatibility/2006">
      <mc:Choice Requires="x14">
        <oleObject progId="Equation.DSMT4" shapeId="8436" r:id="rId258">
          <objectPr defaultSize="0" r:id="rId25">
            <anchor moveWithCells="1">
              <from>
                <xdr:col>49</xdr:col>
                <xdr:colOff>304800</xdr:colOff>
                <xdr:row>250</xdr:row>
                <xdr:rowOff>85725</xdr:rowOff>
              </from>
              <to>
                <xdr:col>49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36" r:id="rId258"/>
      </mc:Fallback>
    </mc:AlternateContent>
    <mc:AlternateContent xmlns:mc="http://schemas.openxmlformats.org/markup-compatibility/2006">
      <mc:Choice Requires="x14">
        <oleObject progId="Equation.DSMT4" shapeId="8437" r:id="rId259">
          <objectPr defaultSize="0" r:id="rId17">
            <anchor moveWithCells="1">
              <from>
                <xdr:col>50</xdr:col>
                <xdr:colOff>257175</xdr:colOff>
                <xdr:row>250</xdr:row>
                <xdr:rowOff>85725</xdr:rowOff>
              </from>
              <to>
                <xdr:col>50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37" r:id="rId259"/>
      </mc:Fallback>
    </mc:AlternateContent>
    <mc:AlternateContent xmlns:mc="http://schemas.openxmlformats.org/markup-compatibility/2006">
      <mc:Choice Requires="x14">
        <oleObject progId="Equation.DSMT4" shapeId="8438" r:id="rId260">
          <objectPr defaultSize="0" r:id="rId23">
            <anchor moveWithCells="1">
              <from>
                <xdr:col>51</xdr:col>
                <xdr:colOff>314325</xdr:colOff>
                <xdr:row>250</xdr:row>
                <xdr:rowOff>85725</xdr:rowOff>
              </from>
              <to>
                <xdr:col>51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38" r:id="rId260"/>
      </mc:Fallback>
    </mc:AlternateContent>
    <mc:AlternateContent xmlns:mc="http://schemas.openxmlformats.org/markup-compatibility/2006">
      <mc:Choice Requires="x14">
        <oleObject progId="Equation.DSMT4" shapeId="8439" r:id="rId261">
          <objectPr defaultSize="0" r:id="rId21">
            <anchor moveWithCells="1">
              <from>
                <xdr:col>50</xdr:col>
                <xdr:colOff>295275</xdr:colOff>
                <xdr:row>250</xdr:row>
                <xdr:rowOff>104775</xdr:rowOff>
              </from>
              <to>
                <xdr:col>50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8439" r:id="rId261"/>
      </mc:Fallback>
    </mc:AlternateContent>
    <mc:AlternateContent xmlns:mc="http://schemas.openxmlformats.org/markup-compatibility/2006">
      <mc:Choice Requires="x14">
        <oleObject progId="Equation.DSMT4" shapeId="8440" r:id="rId262">
          <objectPr defaultSize="0" r:id="rId25">
            <anchor moveWithCells="1">
              <from>
                <xdr:col>51</xdr:col>
                <xdr:colOff>304800</xdr:colOff>
                <xdr:row>250</xdr:row>
                <xdr:rowOff>85725</xdr:rowOff>
              </from>
              <to>
                <xdr:col>51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40" r:id="rId262"/>
      </mc:Fallback>
    </mc:AlternateContent>
    <mc:AlternateContent xmlns:mc="http://schemas.openxmlformats.org/markup-compatibility/2006">
      <mc:Choice Requires="x14">
        <oleObject progId="Equation.DSMT4" shapeId="8441" r:id="rId263">
          <objectPr defaultSize="0" r:id="rId17">
            <anchor moveWithCells="1">
              <from>
                <xdr:col>52</xdr:col>
                <xdr:colOff>257175</xdr:colOff>
                <xdr:row>250</xdr:row>
                <xdr:rowOff>85725</xdr:rowOff>
              </from>
              <to>
                <xdr:col>52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41" r:id="rId263"/>
      </mc:Fallback>
    </mc:AlternateContent>
    <mc:AlternateContent xmlns:mc="http://schemas.openxmlformats.org/markup-compatibility/2006">
      <mc:Choice Requires="x14">
        <oleObject progId="Equation.DSMT4" shapeId="8442" r:id="rId264">
          <objectPr defaultSize="0" r:id="rId23">
            <anchor moveWithCells="1">
              <from>
                <xdr:col>53</xdr:col>
                <xdr:colOff>314325</xdr:colOff>
                <xdr:row>250</xdr:row>
                <xdr:rowOff>85725</xdr:rowOff>
              </from>
              <to>
                <xdr:col>53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42" r:id="rId264"/>
      </mc:Fallback>
    </mc:AlternateContent>
    <mc:AlternateContent xmlns:mc="http://schemas.openxmlformats.org/markup-compatibility/2006">
      <mc:Choice Requires="x14">
        <oleObject progId="Equation.DSMT4" shapeId="8443" r:id="rId265">
          <objectPr defaultSize="0" r:id="rId21">
            <anchor moveWithCells="1">
              <from>
                <xdr:col>52</xdr:col>
                <xdr:colOff>295275</xdr:colOff>
                <xdr:row>250</xdr:row>
                <xdr:rowOff>104775</xdr:rowOff>
              </from>
              <to>
                <xdr:col>52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8443" r:id="rId265"/>
      </mc:Fallback>
    </mc:AlternateContent>
    <mc:AlternateContent xmlns:mc="http://schemas.openxmlformats.org/markup-compatibility/2006">
      <mc:Choice Requires="x14">
        <oleObject progId="Equation.DSMT4" shapeId="8444" r:id="rId266">
          <objectPr defaultSize="0" r:id="rId25">
            <anchor moveWithCells="1">
              <from>
                <xdr:col>53</xdr:col>
                <xdr:colOff>304800</xdr:colOff>
                <xdr:row>250</xdr:row>
                <xdr:rowOff>85725</xdr:rowOff>
              </from>
              <to>
                <xdr:col>53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44" r:id="rId266"/>
      </mc:Fallback>
    </mc:AlternateContent>
    <mc:AlternateContent xmlns:mc="http://schemas.openxmlformats.org/markup-compatibility/2006">
      <mc:Choice Requires="x14">
        <oleObject progId="Equation.DSMT4" shapeId="8445" r:id="rId267">
          <objectPr defaultSize="0" r:id="rId17">
            <anchor moveWithCells="1">
              <from>
                <xdr:col>54</xdr:col>
                <xdr:colOff>257175</xdr:colOff>
                <xdr:row>250</xdr:row>
                <xdr:rowOff>85725</xdr:rowOff>
              </from>
              <to>
                <xdr:col>54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45" r:id="rId267"/>
      </mc:Fallback>
    </mc:AlternateContent>
    <mc:AlternateContent xmlns:mc="http://schemas.openxmlformats.org/markup-compatibility/2006">
      <mc:Choice Requires="x14">
        <oleObject progId="Equation.DSMT4" shapeId="8446" r:id="rId268">
          <objectPr defaultSize="0" r:id="rId23">
            <anchor moveWithCells="1">
              <from>
                <xdr:col>55</xdr:col>
                <xdr:colOff>314325</xdr:colOff>
                <xdr:row>250</xdr:row>
                <xdr:rowOff>85725</xdr:rowOff>
              </from>
              <to>
                <xdr:col>55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46" r:id="rId268"/>
      </mc:Fallback>
    </mc:AlternateContent>
    <mc:AlternateContent xmlns:mc="http://schemas.openxmlformats.org/markup-compatibility/2006">
      <mc:Choice Requires="x14">
        <oleObject progId="Equation.DSMT4" shapeId="8447" r:id="rId269">
          <objectPr defaultSize="0" r:id="rId21">
            <anchor moveWithCells="1">
              <from>
                <xdr:col>54</xdr:col>
                <xdr:colOff>295275</xdr:colOff>
                <xdr:row>250</xdr:row>
                <xdr:rowOff>104775</xdr:rowOff>
              </from>
              <to>
                <xdr:col>54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8447" r:id="rId269"/>
      </mc:Fallback>
    </mc:AlternateContent>
    <mc:AlternateContent xmlns:mc="http://schemas.openxmlformats.org/markup-compatibility/2006">
      <mc:Choice Requires="x14">
        <oleObject progId="Equation.DSMT4" shapeId="8448" r:id="rId270">
          <objectPr defaultSize="0" r:id="rId25">
            <anchor moveWithCells="1">
              <from>
                <xdr:col>55</xdr:col>
                <xdr:colOff>304800</xdr:colOff>
                <xdr:row>250</xdr:row>
                <xdr:rowOff>85725</xdr:rowOff>
              </from>
              <to>
                <xdr:col>55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48" r:id="rId270"/>
      </mc:Fallback>
    </mc:AlternateContent>
    <mc:AlternateContent xmlns:mc="http://schemas.openxmlformats.org/markup-compatibility/2006">
      <mc:Choice Requires="x14">
        <oleObject progId="Equation.DSMT4" shapeId="8449" r:id="rId271">
          <objectPr defaultSize="0" r:id="rId17">
            <anchor moveWithCells="1">
              <from>
                <xdr:col>56</xdr:col>
                <xdr:colOff>257175</xdr:colOff>
                <xdr:row>250</xdr:row>
                <xdr:rowOff>85725</xdr:rowOff>
              </from>
              <to>
                <xdr:col>56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49" r:id="rId271"/>
      </mc:Fallback>
    </mc:AlternateContent>
    <mc:AlternateContent xmlns:mc="http://schemas.openxmlformats.org/markup-compatibility/2006">
      <mc:Choice Requires="x14">
        <oleObject progId="Equation.DSMT4" shapeId="8450" r:id="rId272">
          <objectPr defaultSize="0" r:id="rId23">
            <anchor moveWithCells="1">
              <from>
                <xdr:col>57</xdr:col>
                <xdr:colOff>314325</xdr:colOff>
                <xdr:row>250</xdr:row>
                <xdr:rowOff>85725</xdr:rowOff>
              </from>
              <to>
                <xdr:col>57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50" r:id="rId272"/>
      </mc:Fallback>
    </mc:AlternateContent>
    <mc:AlternateContent xmlns:mc="http://schemas.openxmlformats.org/markup-compatibility/2006">
      <mc:Choice Requires="x14">
        <oleObject progId="Equation.DSMT4" shapeId="8451" r:id="rId273">
          <objectPr defaultSize="0" r:id="rId21">
            <anchor moveWithCells="1">
              <from>
                <xdr:col>56</xdr:col>
                <xdr:colOff>295275</xdr:colOff>
                <xdr:row>250</xdr:row>
                <xdr:rowOff>104775</xdr:rowOff>
              </from>
              <to>
                <xdr:col>56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8451" r:id="rId273"/>
      </mc:Fallback>
    </mc:AlternateContent>
    <mc:AlternateContent xmlns:mc="http://schemas.openxmlformats.org/markup-compatibility/2006">
      <mc:Choice Requires="x14">
        <oleObject progId="Equation.DSMT4" shapeId="8452" r:id="rId274">
          <objectPr defaultSize="0" r:id="rId25">
            <anchor moveWithCells="1">
              <from>
                <xdr:col>57</xdr:col>
                <xdr:colOff>304800</xdr:colOff>
                <xdr:row>250</xdr:row>
                <xdr:rowOff>85725</xdr:rowOff>
              </from>
              <to>
                <xdr:col>57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52" r:id="rId274"/>
      </mc:Fallback>
    </mc:AlternateContent>
    <mc:AlternateContent xmlns:mc="http://schemas.openxmlformats.org/markup-compatibility/2006">
      <mc:Choice Requires="x14">
        <oleObject progId="Equation.DSMT4" shapeId="8453" r:id="rId275">
          <objectPr defaultSize="0" r:id="rId17">
            <anchor moveWithCells="1">
              <from>
                <xdr:col>58</xdr:col>
                <xdr:colOff>257175</xdr:colOff>
                <xdr:row>250</xdr:row>
                <xdr:rowOff>85725</xdr:rowOff>
              </from>
              <to>
                <xdr:col>58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53" r:id="rId275"/>
      </mc:Fallback>
    </mc:AlternateContent>
    <mc:AlternateContent xmlns:mc="http://schemas.openxmlformats.org/markup-compatibility/2006">
      <mc:Choice Requires="x14">
        <oleObject progId="Equation.DSMT4" shapeId="8454" r:id="rId276">
          <objectPr defaultSize="0" r:id="rId23">
            <anchor moveWithCells="1">
              <from>
                <xdr:col>59</xdr:col>
                <xdr:colOff>314325</xdr:colOff>
                <xdr:row>250</xdr:row>
                <xdr:rowOff>85725</xdr:rowOff>
              </from>
              <to>
                <xdr:col>59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54" r:id="rId276"/>
      </mc:Fallback>
    </mc:AlternateContent>
    <mc:AlternateContent xmlns:mc="http://schemas.openxmlformats.org/markup-compatibility/2006">
      <mc:Choice Requires="x14">
        <oleObject progId="Equation.DSMT4" shapeId="8455" r:id="rId277">
          <objectPr defaultSize="0" r:id="rId21">
            <anchor moveWithCells="1">
              <from>
                <xdr:col>58</xdr:col>
                <xdr:colOff>295275</xdr:colOff>
                <xdr:row>250</xdr:row>
                <xdr:rowOff>104775</xdr:rowOff>
              </from>
              <to>
                <xdr:col>58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8455" r:id="rId277"/>
      </mc:Fallback>
    </mc:AlternateContent>
    <mc:AlternateContent xmlns:mc="http://schemas.openxmlformats.org/markup-compatibility/2006">
      <mc:Choice Requires="x14">
        <oleObject progId="Equation.DSMT4" shapeId="8456" r:id="rId278">
          <objectPr defaultSize="0" r:id="rId25">
            <anchor moveWithCells="1">
              <from>
                <xdr:col>59</xdr:col>
                <xdr:colOff>304800</xdr:colOff>
                <xdr:row>250</xdr:row>
                <xdr:rowOff>85725</xdr:rowOff>
              </from>
              <to>
                <xdr:col>59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56" r:id="rId278"/>
      </mc:Fallback>
    </mc:AlternateContent>
    <mc:AlternateContent xmlns:mc="http://schemas.openxmlformats.org/markup-compatibility/2006">
      <mc:Choice Requires="x14">
        <oleObject progId="Equation.DSMT4" shapeId="8457" r:id="rId279">
          <objectPr defaultSize="0" r:id="rId17">
            <anchor moveWithCells="1">
              <from>
                <xdr:col>60</xdr:col>
                <xdr:colOff>257175</xdr:colOff>
                <xdr:row>250</xdr:row>
                <xdr:rowOff>85725</xdr:rowOff>
              </from>
              <to>
                <xdr:col>60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57" r:id="rId279"/>
      </mc:Fallback>
    </mc:AlternateContent>
    <mc:AlternateContent xmlns:mc="http://schemas.openxmlformats.org/markup-compatibility/2006">
      <mc:Choice Requires="x14">
        <oleObject progId="Equation.DSMT4" shapeId="8458" r:id="rId280">
          <objectPr defaultSize="0" r:id="rId23">
            <anchor moveWithCells="1">
              <from>
                <xdr:col>61</xdr:col>
                <xdr:colOff>314325</xdr:colOff>
                <xdr:row>250</xdr:row>
                <xdr:rowOff>85725</xdr:rowOff>
              </from>
              <to>
                <xdr:col>61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58" r:id="rId280"/>
      </mc:Fallback>
    </mc:AlternateContent>
    <mc:AlternateContent xmlns:mc="http://schemas.openxmlformats.org/markup-compatibility/2006">
      <mc:Choice Requires="x14">
        <oleObject progId="Equation.DSMT4" shapeId="8459" r:id="rId281">
          <objectPr defaultSize="0" r:id="rId21">
            <anchor moveWithCells="1">
              <from>
                <xdr:col>60</xdr:col>
                <xdr:colOff>295275</xdr:colOff>
                <xdr:row>250</xdr:row>
                <xdr:rowOff>104775</xdr:rowOff>
              </from>
              <to>
                <xdr:col>60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8459" r:id="rId281"/>
      </mc:Fallback>
    </mc:AlternateContent>
    <mc:AlternateContent xmlns:mc="http://schemas.openxmlformats.org/markup-compatibility/2006">
      <mc:Choice Requires="x14">
        <oleObject progId="Equation.DSMT4" shapeId="8460" r:id="rId282">
          <objectPr defaultSize="0" r:id="rId25">
            <anchor moveWithCells="1">
              <from>
                <xdr:col>61</xdr:col>
                <xdr:colOff>304800</xdr:colOff>
                <xdr:row>250</xdr:row>
                <xdr:rowOff>85725</xdr:rowOff>
              </from>
              <to>
                <xdr:col>61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60" r:id="rId282"/>
      </mc:Fallback>
    </mc:AlternateContent>
    <mc:AlternateContent xmlns:mc="http://schemas.openxmlformats.org/markup-compatibility/2006">
      <mc:Choice Requires="x14">
        <oleObject progId="Equation.DSMT4" shapeId="8461" r:id="rId283">
          <objectPr defaultSize="0" r:id="rId17">
            <anchor moveWithCells="1">
              <from>
                <xdr:col>62</xdr:col>
                <xdr:colOff>257175</xdr:colOff>
                <xdr:row>250</xdr:row>
                <xdr:rowOff>85725</xdr:rowOff>
              </from>
              <to>
                <xdr:col>62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61" r:id="rId283"/>
      </mc:Fallback>
    </mc:AlternateContent>
    <mc:AlternateContent xmlns:mc="http://schemas.openxmlformats.org/markup-compatibility/2006">
      <mc:Choice Requires="x14">
        <oleObject progId="Equation.DSMT4" shapeId="8462" r:id="rId284">
          <objectPr defaultSize="0" r:id="rId23">
            <anchor moveWithCells="1">
              <from>
                <xdr:col>63</xdr:col>
                <xdr:colOff>314325</xdr:colOff>
                <xdr:row>250</xdr:row>
                <xdr:rowOff>85725</xdr:rowOff>
              </from>
              <to>
                <xdr:col>63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62" r:id="rId284"/>
      </mc:Fallback>
    </mc:AlternateContent>
    <mc:AlternateContent xmlns:mc="http://schemas.openxmlformats.org/markup-compatibility/2006">
      <mc:Choice Requires="x14">
        <oleObject progId="Equation.DSMT4" shapeId="8463" r:id="rId285">
          <objectPr defaultSize="0" r:id="rId21">
            <anchor moveWithCells="1">
              <from>
                <xdr:col>62</xdr:col>
                <xdr:colOff>295275</xdr:colOff>
                <xdr:row>250</xdr:row>
                <xdr:rowOff>104775</xdr:rowOff>
              </from>
              <to>
                <xdr:col>62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8463" r:id="rId285"/>
      </mc:Fallback>
    </mc:AlternateContent>
    <mc:AlternateContent xmlns:mc="http://schemas.openxmlformats.org/markup-compatibility/2006">
      <mc:Choice Requires="x14">
        <oleObject progId="Equation.DSMT4" shapeId="8464" r:id="rId286">
          <objectPr defaultSize="0" r:id="rId25">
            <anchor moveWithCells="1">
              <from>
                <xdr:col>63</xdr:col>
                <xdr:colOff>304800</xdr:colOff>
                <xdr:row>250</xdr:row>
                <xdr:rowOff>85725</xdr:rowOff>
              </from>
              <to>
                <xdr:col>63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64" r:id="rId286"/>
      </mc:Fallback>
    </mc:AlternateContent>
    <mc:AlternateContent xmlns:mc="http://schemas.openxmlformats.org/markup-compatibility/2006">
      <mc:Choice Requires="x14">
        <oleObject progId="Equation.DSMT4" shapeId="8465" r:id="rId287">
          <objectPr defaultSize="0" r:id="rId17">
            <anchor moveWithCells="1">
              <from>
                <xdr:col>64</xdr:col>
                <xdr:colOff>257175</xdr:colOff>
                <xdr:row>250</xdr:row>
                <xdr:rowOff>85725</xdr:rowOff>
              </from>
              <to>
                <xdr:col>64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65" r:id="rId287"/>
      </mc:Fallback>
    </mc:AlternateContent>
    <mc:AlternateContent xmlns:mc="http://schemas.openxmlformats.org/markup-compatibility/2006">
      <mc:Choice Requires="x14">
        <oleObject progId="Equation.DSMT4" shapeId="8466" r:id="rId288">
          <objectPr defaultSize="0" r:id="rId23">
            <anchor moveWithCells="1">
              <from>
                <xdr:col>65</xdr:col>
                <xdr:colOff>314325</xdr:colOff>
                <xdr:row>250</xdr:row>
                <xdr:rowOff>85725</xdr:rowOff>
              </from>
              <to>
                <xdr:col>65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66" r:id="rId288"/>
      </mc:Fallback>
    </mc:AlternateContent>
    <mc:AlternateContent xmlns:mc="http://schemas.openxmlformats.org/markup-compatibility/2006">
      <mc:Choice Requires="x14">
        <oleObject progId="Equation.DSMT4" shapeId="8467" r:id="rId289">
          <objectPr defaultSize="0" r:id="rId21">
            <anchor moveWithCells="1">
              <from>
                <xdr:col>64</xdr:col>
                <xdr:colOff>295275</xdr:colOff>
                <xdr:row>250</xdr:row>
                <xdr:rowOff>104775</xdr:rowOff>
              </from>
              <to>
                <xdr:col>64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8467" r:id="rId289"/>
      </mc:Fallback>
    </mc:AlternateContent>
    <mc:AlternateContent xmlns:mc="http://schemas.openxmlformats.org/markup-compatibility/2006">
      <mc:Choice Requires="x14">
        <oleObject progId="Equation.DSMT4" shapeId="8468" r:id="rId290">
          <objectPr defaultSize="0" r:id="rId25">
            <anchor moveWithCells="1">
              <from>
                <xdr:col>65</xdr:col>
                <xdr:colOff>304800</xdr:colOff>
                <xdr:row>250</xdr:row>
                <xdr:rowOff>85725</xdr:rowOff>
              </from>
              <to>
                <xdr:col>65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68" r:id="rId290"/>
      </mc:Fallback>
    </mc:AlternateContent>
    <mc:AlternateContent xmlns:mc="http://schemas.openxmlformats.org/markup-compatibility/2006">
      <mc:Choice Requires="x14">
        <oleObject progId="Equation.DSMT4" shapeId="8469" r:id="rId291">
          <objectPr defaultSize="0" r:id="rId17">
            <anchor moveWithCells="1">
              <from>
                <xdr:col>66</xdr:col>
                <xdr:colOff>257175</xdr:colOff>
                <xdr:row>250</xdr:row>
                <xdr:rowOff>85725</xdr:rowOff>
              </from>
              <to>
                <xdr:col>66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69" r:id="rId291"/>
      </mc:Fallback>
    </mc:AlternateContent>
    <mc:AlternateContent xmlns:mc="http://schemas.openxmlformats.org/markup-compatibility/2006">
      <mc:Choice Requires="x14">
        <oleObject progId="Equation.DSMT4" shapeId="8470" r:id="rId292">
          <objectPr defaultSize="0" r:id="rId23">
            <anchor moveWithCells="1">
              <from>
                <xdr:col>67</xdr:col>
                <xdr:colOff>314325</xdr:colOff>
                <xdr:row>250</xdr:row>
                <xdr:rowOff>85725</xdr:rowOff>
              </from>
              <to>
                <xdr:col>67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70" r:id="rId292"/>
      </mc:Fallback>
    </mc:AlternateContent>
    <mc:AlternateContent xmlns:mc="http://schemas.openxmlformats.org/markup-compatibility/2006">
      <mc:Choice Requires="x14">
        <oleObject progId="Equation.DSMT4" shapeId="8471" r:id="rId293">
          <objectPr defaultSize="0" r:id="rId21">
            <anchor moveWithCells="1">
              <from>
                <xdr:col>66</xdr:col>
                <xdr:colOff>295275</xdr:colOff>
                <xdr:row>250</xdr:row>
                <xdr:rowOff>104775</xdr:rowOff>
              </from>
              <to>
                <xdr:col>66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8471" r:id="rId293"/>
      </mc:Fallback>
    </mc:AlternateContent>
    <mc:AlternateContent xmlns:mc="http://schemas.openxmlformats.org/markup-compatibility/2006">
      <mc:Choice Requires="x14">
        <oleObject progId="Equation.DSMT4" shapeId="8472" r:id="rId294">
          <objectPr defaultSize="0" r:id="rId25">
            <anchor moveWithCells="1">
              <from>
                <xdr:col>67</xdr:col>
                <xdr:colOff>304800</xdr:colOff>
                <xdr:row>250</xdr:row>
                <xdr:rowOff>85725</xdr:rowOff>
              </from>
              <to>
                <xdr:col>67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72" r:id="rId294"/>
      </mc:Fallback>
    </mc:AlternateContent>
    <mc:AlternateContent xmlns:mc="http://schemas.openxmlformats.org/markup-compatibility/2006">
      <mc:Choice Requires="x14">
        <oleObject progId="Equation.DSMT4" shapeId="8473" r:id="rId295">
          <objectPr defaultSize="0" r:id="rId17">
            <anchor moveWithCells="1">
              <from>
                <xdr:col>68</xdr:col>
                <xdr:colOff>257175</xdr:colOff>
                <xdr:row>250</xdr:row>
                <xdr:rowOff>85725</xdr:rowOff>
              </from>
              <to>
                <xdr:col>68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73" r:id="rId295"/>
      </mc:Fallback>
    </mc:AlternateContent>
    <mc:AlternateContent xmlns:mc="http://schemas.openxmlformats.org/markup-compatibility/2006">
      <mc:Choice Requires="x14">
        <oleObject progId="Equation.DSMT4" shapeId="8474" r:id="rId296">
          <objectPr defaultSize="0" r:id="rId23">
            <anchor moveWithCells="1">
              <from>
                <xdr:col>69</xdr:col>
                <xdr:colOff>314325</xdr:colOff>
                <xdr:row>250</xdr:row>
                <xdr:rowOff>85725</xdr:rowOff>
              </from>
              <to>
                <xdr:col>69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74" r:id="rId296"/>
      </mc:Fallback>
    </mc:AlternateContent>
    <mc:AlternateContent xmlns:mc="http://schemas.openxmlformats.org/markup-compatibility/2006">
      <mc:Choice Requires="x14">
        <oleObject progId="Equation.DSMT4" shapeId="8475" r:id="rId297">
          <objectPr defaultSize="0" r:id="rId21">
            <anchor moveWithCells="1">
              <from>
                <xdr:col>68</xdr:col>
                <xdr:colOff>295275</xdr:colOff>
                <xdr:row>250</xdr:row>
                <xdr:rowOff>104775</xdr:rowOff>
              </from>
              <to>
                <xdr:col>68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8475" r:id="rId297"/>
      </mc:Fallback>
    </mc:AlternateContent>
    <mc:AlternateContent xmlns:mc="http://schemas.openxmlformats.org/markup-compatibility/2006">
      <mc:Choice Requires="x14">
        <oleObject progId="Equation.DSMT4" shapeId="8476" r:id="rId298">
          <objectPr defaultSize="0" r:id="rId25">
            <anchor moveWithCells="1">
              <from>
                <xdr:col>69</xdr:col>
                <xdr:colOff>304800</xdr:colOff>
                <xdr:row>250</xdr:row>
                <xdr:rowOff>85725</xdr:rowOff>
              </from>
              <to>
                <xdr:col>69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76" r:id="rId298"/>
      </mc:Fallback>
    </mc:AlternateContent>
    <mc:AlternateContent xmlns:mc="http://schemas.openxmlformats.org/markup-compatibility/2006">
      <mc:Choice Requires="x14">
        <oleObject progId="Equation.DSMT4" shapeId="8477" r:id="rId299">
          <objectPr defaultSize="0" r:id="rId17">
            <anchor moveWithCells="1">
              <from>
                <xdr:col>70</xdr:col>
                <xdr:colOff>257175</xdr:colOff>
                <xdr:row>250</xdr:row>
                <xdr:rowOff>85725</xdr:rowOff>
              </from>
              <to>
                <xdr:col>70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77" r:id="rId299"/>
      </mc:Fallback>
    </mc:AlternateContent>
    <mc:AlternateContent xmlns:mc="http://schemas.openxmlformats.org/markup-compatibility/2006">
      <mc:Choice Requires="x14">
        <oleObject progId="Equation.DSMT4" shapeId="8478" r:id="rId300">
          <objectPr defaultSize="0" r:id="rId23">
            <anchor moveWithCells="1">
              <from>
                <xdr:col>71</xdr:col>
                <xdr:colOff>314325</xdr:colOff>
                <xdr:row>250</xdr:row>
                <xdr:rowOff>85725</xdr:rowOff>
              </from>
              <to>
                <xdr:col>71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78" r:id="rId300"/>
      </mc:Fallback>
    </mc:AlternateContent>
    <mc:AlternateContent xmlns:mc="http://schemas.openxmlformats.org/markup-compatibility/2006">
      <mc:Choice Requires="x14">
        <oleObject progId="Equation.DSMT4" shapeId="8479" r:id="rId301">
          <objectPr defaultSize="0" r:id="rId21">
            <anchor moveWithCells="1">
              <from>
                <xdr:col>70</xdr:col>
                <xdr:colOff>295275</xdr:colOff>
                <xdr:row>250</xdr:row>
                <xdr:rowOff>104775</xdr:rowOff>
              </from>
              <to>
                <xdr:col>70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8479" r:id="rId301"/>
      </mc:Fallback>
    </mc:AlternateContent>
    <mc:AlternateContent xmlns:mc="http://schemas.openxmlformats.org/markup-compatibility/2006">
      <mc:Choice Requires="x14">
        <oleObject progId="Equation.DSMT4" shapeId="8480" r:id="rId302">
          <objectPr defaultSize="0" r:id="rId25">
            <anchor moveWithCells="1">
              <from>
                <xdr:col>71</xdr:col>
                <xdr:colOff>304800</xdr:colOff>
                <xdr:row>250</xdr:row>
                <xdr:rowOff>85725</xdr:rowOff>
              </from>
              <to>
                <xdr:col>71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80" r:id="rId302"/>
      </mc:Fallback>
    </mc:AlternateContent>
    <mc:AlternateContent xmlns:mc="http://schemas.openxmlformats.org/markup-compatibility/2006">
      <mc:Choice Requires="x14">
        <oleObject progId="Equation.DSMT4" shapeId="8481" r:id="rId303">
          <objectPr defaultSize="0" r:id="rId17">
            <anchor moveWithCells="1">
              <from>
                <xdr:col>72</xdr:col>
                <xdr:colOff>257175</xdr:colOff>
                <xdr:row>250</xdr:row>
                <xdr:rowOff>85725</xdr:rowOff>
              </from>
              <to>
                <xdr:col>72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81" r:id="rId303"/>
      </mc:Fallback>
    </mc:AlternateContent>
    <mc:AlternateContent xmlns:mc="http://schemas.openxmlformats.org/markup-compatibility/2006">
      <mc:Choice Requires="x14">
        <oleObject progId="Equation.DSMT4" shapeId="8482" r:id="rId304">
          <objectPr defaultSize="0" r:id="rId23">
            <anchor moveWithCells="1">
              <from>
                <xdr:col>73</xdr:col>
                <xdr:colOff>314325</xdr:colOff>
                <xdr:row>250</xdr:row>
                <xdr:rowOff>85725</xdr:rowOff>
              </from>
              <to>
                <xdr:col>73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82" r:id="rId304"/>
      </mc:Fallback>
    </mc:AlternateContent>
    <mc:AlternateContent xmlns:mc="http://schemas.openxmlformats.org/markup-compatibility/2006">
      <mc:Choice Requires="x14">
        <oleObject progId="Equation.DSMT4" shapeId="8483" r:id="rId305">
          <objectPr defaultSize="0" r:id="rId21">
            <anchor moveWithCells="1">
              <from>
                <xdr:col>72</xdr:col>
                <xdr:colOff>295275</xdr:colOff>
                <xdr:row>250</xdr:row>
                <xdr:rowOff>104775</xdr:rowOff>
              </from>
              <to>
                <xdr:col>72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8483" r:id="rId305"/>
      </mc:Fallback>
    </mc:AlternateContent>
    <mc:AlternateContent xmlns:mc="http://schemas.openxmlformats.org/markup-compatibility/2006">
      <mc:Choice Requires="x14">
        <oleObject progId="Equation.DSMT4" shapeId="8484" r:id="rId306">
          <objectPr defaultSize="0" r:id="rId25">
            <anchor moveWithCells="1">
              <from>
                <xdr:col>73</xdr:col>
                <xdr:colOff>304800</xdr:colOff>
                <xdr:row>250</xdr:row>
                <xdr:rowOff>85725</xdr:rowOff>
              </from>
              <to>
                <xdr:col>73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84" r:id="rId306"/>
      </mc:Fallback>
    </mc:AlternateContent>
    <mc:AlternateContent xmlns:mc="http://schemas.openxmlformats.org/markup-compatibility/2006">
      <mc:Choice Requires="x14">
        <oleObject progId="Equation.DSMT4" shapeId="8485" r:id="rId307">
          <objectPr defaultSize="0" r:id="rId17">
            <anchor moveWithCells="1">
              <from>
                <xdr:col>74</xdr:col>
                <xdr:colOff>257175</xdr:colOff>
                <xdr:row>250</xdr:row>
                <xdr:rowOff>85725</xdr:rowOff>
              </from>
              <to>
                <xdr:col>74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85" r:id="rId307"/>
      </mc:Fallback>
    </mc:AlternateContent>
    <mc:AlternateContent xmlns:mc="http://schemas.openxmlformats.org/markup-compatibility/2006">
      <mc:Choice Requires="x14">
        <oleObject progId="Equation.DSMT4" shapeId="8486" r:id="rId308">
          <objectPr defaultSize="0" r:id="rId23">
            <anchor moveWithCells="1">
              <from>
                <xdr:col>75</xdr:col>
                <xdr:colOff>314325</xdr:colOff>
                <xdr:row>250</xdr:row>
                <xdr:rowOff>85725</xdr:rowOff>
              </from>
              <to>
                <xdr:col>75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86" r:id="rId308"/>
      </mc:Fallback>
    </mc:AlternateContent>
    <mc:AlternateContent xmlns:mc="http://schemas.openxmlformats.org/markup-compatibility/2006">
      <mc:Choice Requires="x14">
        <oleObject progId="Equation.DSMT4" shapeId="8487" r:id="rId309">
          <objectPr defaultSize="0" r:id="rId21">
            <anchor moveWithCells="1">
              <from>
                <xdr:col>74</xdr:col>
                <xdr:colOff>295275</xdr:colOff>
                <xdr:row>250</xdr:row>
                <xdr:rowOff>104775</xdr:rowOff>
              </from>
              <to>
                <xdr:col>74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8487" r:id="rId309"/>
      </mc:Fallback>
    </mc:AlternateContent>
    <mc:AlternateContent xmlns:mc="http://schemas.openxmlformats.org/markup-compatibility/2006">
      <mc:Choice Requires="x14">
        <oleObject progId="Equation.DSMT4" shapeId="8488" r:id="rId310">
          <objectPr defaultSize="0" r:id="rId25">
            <anchor moveWithCells="1">
              <from>
                <xdr:col>75</xdr:col>
                <xdr:colOff>304800</xdr:colOff>
                <xdr:row>250</xdr:row>
                <xdr:rowOff>85725</xdr:rowOff>
              </from>
              <to>
                <xdr:col>75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88" r:id="rId310"/>
      </mc:Fallback>
    </mc:AlternateContent>
    <mc:AlternateContent xmlns:mc="http://schemas.openxmlformats.org/markup-compatibility/2006">
      <mc:Choice Requires="x14">
        <oleObject progId="Equation.DSMT4" shapeId="8489" r:id="rId311">
          <objectPr defaultSize="0" r:id="rId17">
            <anchor moveWithCells="1">
              <from>
                <xdr:col>76</xdr:col>
                <xdr:colOff>257175</xdr:colOff>
                <xdr:row>250</xdr:row>
                <xdr:rowOff>85725</xdr:rowOff>
              </from>
              <to>
                <xdr:col>76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89" r:id="rId311"/>
      </mc:Fallback>
    </mc:AlternateContent>
    <mc:AlternateContent xmlns:mc="http://schemas.openxmlformats.org/markup-compatibility/2006">
      <mc:Choice Requires="x14">
        <oleObject progId="Equation.DSMT4" shapeId="8490" r:id="rId312">
          <objectPr defaultSize="0" r:id="rId23">
            <anchor moveWithCells="1">
              <from>
                <xdr:col>77</xdr:col>
                <xdr:colOff>314325</xdr:colOff>
                <xdr:row>250</xdr:row>
                <xdr:rowOff>85725</xdr:rowOff>
              </from>
              <to>
                <xdr:col>77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90" r:id="rId312"/>
      </mc:Fallback>
    </mc:AlternateContent>
    <mc:AlternateContent xmlns:mc="http://schemas.openxmlformats.org/markup-compatibility/2006">
      <mc:Choice Requires="x14">
        <oleObject progId="Equation.DSMT4" shapeId="8491" r:id="rId313">
          <objectPr defaultSize="0" r:id="rId21">
            <anchor moveWithCells="1">
              <from>
                <xdr:col>76</xdr:col>
                <xdr:colOff>295275</xdr:colOff>
                <xdr:row>250</xdr:row>
                <xdr:rowOff>104775</xdr:rowOff>
              </from>
              <to>
                <xdr:col>76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8491" r:id="rId313"/>
      </mc:Fallback>
    </mc:AlternateContent>
    <mc:AlternateContent xmlns:mc="http://schemas.openxmlformats.org/markup-compatibility/2006">
      <mc:Choice Requires="x14">
        <oleObject progId="Equation.DSMT4" shapeId="8492" r:id="rId314">
          <objectPr defaultSize="0" r:id="rId25">
            <anchor moveWithCells="1">
              <from>
                <xdr:col>77</xdr:col>
                <xdr:colOff>304800</xdr:colOff>
                <xdr:row>250</xdr:row>
                <xdr:rowOff>85725</xdr:rowOff>
              </from>
              <to>
                <xdr:col>77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92" r:id="rId314"/>
      </mc:Fallback>
    </mc:AlternateContent>
    <mc:AlternateContent xmlns:mc="http://schemas.openxmlformats.org/markup-compatibility/2006">
      <mc:Choice Requires="x14">
        <oleObject progId="Equation.DSMT4" shapeId="8493" r:id="rId315">
          <objectPr defaultSize="0" r:id="rId17">
            <anchor moveWithCells="1">
              <from>
                <xdr:col>78</xdr:col>
                <xdr:colOff>257175</xdr:colOff>
                <xdr:row>250</xdr:row>
                <xdr:rowOff>85725</xdr:rowOff>
              </from>
              <to>
                <xdr:col>78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93" r:id="rId315"/>
      </mc:Fallback>
    </mc:AlternateContent>
    <mc:AlternateContent xmlns:mc="http://schemas.openxmlformats.org/markup-compatibility/2006">
      <mc:Choice Requires="x14">
        <oleObject progId="Equation.DSMT4" shapeId="8494" r:id="rId316">
          <objectPr defaultSize="0" r:id="rId23">
            <anchor moveWithCells="1">
              <from>
                <xdr:col>79</xdr:col>
                <xdr:colOff>314325</xdr:colOff>
                <xdr:row>250</xdr:row>
                <xdr:rowOff>85725</xdr:rowOff>
              </from>
              <to>
                <xdr:col>79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94" r:id="rId316"/>
      </mc:Fallback>
    </mc:AlternateContent>
    <mc:AlternateContent xmlns:mc="http://schemas.openxmlformats.org/markup-compatibility/2006">
      <mc:Choice Requires="x14">
        <oleObject progId="Equation.DSMT4" shapeId="8495" r:id="rId317">
          <objectPr defaultSize="0" r:id="rId21">
            <anchor moveWithCells="1">
              <from>
                <xdr:col>78</xdr:col>
                <xdr:colOff>295275</xdr:colOff>
                <xdr:row>250</xdr:row>
                <xdr:rowOff>104775</xdr:rowOff>
              </from>
              <to>
                <xdr:col>78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8495" r:id="rId317"/>
      </mc:Fallback>
    </mc:AlternateContent>
    <mc:AlternateContent xmlns:mc="http://schemas.openxmlformats.org/markup-compatibility/2006">
      <mc:Choice Requires="x14">
        <oleObject progId="Equation.DSMT4" shapeId="8496" r:id="rId318">
          <objectPr defaultSize="0" r:id="rId25">
            <anchor moveWithCells="1">
              <from>
                <xdr:col>79</xdr:col>
                <xdr:colOff>304800</xdr:colOff>
                <xdr:row>250</xdr:row>
                <xdr:rowOff>85725</xdr:rowOff>
              </from>
              <to>
                <xdr:col>79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96" r:id="rId318"/>
      </mc:Fallback>
    </mc:AlternateContent>
    <mc:AlternateContent xmlns:mc="http://schemas.openxmlformats.org/markup-compatibility/2006">
      <mc:Choice Requires="x14">
        <oleObject progId="Equation.DSMT4" shapeId="8497" r:id="rId319">
          <objectPr defaultSize="0" r:id="rId17">
            <anchor moveWithCells="1">
              <from>
                <xdr:col>80</xdr:col>
                <xdr:colOff>257175</xdr:colOff>
                <xdr:row>250</xdr:row>
                <xdr:rowOff>85725</xdr:rowOff>
              </from>
              <to>
                <xdr:col>80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97" r:id="rId319"/>
      </mc:Fallback>
    </mc:AlternateContent>
    <mc:AlternateContent xmlns:mc="http://schemas.openxmlformats.org/markup-compatibility/2006">
      <mc:Choice Requires="x14">
        <oleObject progId="Equation.DSMT4" shapeId="8498" r:id="rId320">
          <objectPr defaultSize="0" r:id="rId23">
            <anchor moveWithCells="1">
              <from>
                <xdr:col>81</xdr:col>
                <xdr:colOff>314325</xdr:colOff>
                <xdr:row>250</xdr:row>
                <xdr:rowOff>85725</xdr:rowOff>
              </from>
              <to>
                <xdr:col>81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498" r:id="rId320"/>
      </mc:Fallback>
    </mc:AlternateContent>
    <mc:AlternateContent xmlns:mc="http://schemas.openxmlformats.org/markup-compatibility/2006">
      <mc:Choice Requires="x14">
        <oleObject progId="Equation.DSMT4" shapeId="8499" r:id="rId321">
          <objectPr defaultSize="0" r:id="rId21">
            <anchor moveWithCells="1">
              <from>
                <xdr:col>80</xdr:col>
                <xdr:colOff>295275</xdr:colOff>
                <xdr:row>250</xdr:row>
                <xdr:rowOff>104775</xdr:rowOff>
              </from>
              <to>
                <xdr:col>80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8499" r:id="rId321"/>
      </mc:Fallback>
    </mc:AlternateContent>
    <mc:AlternateContent xmlns:mc="http://schemas.openxmlformats.org/markup-compatibility/2006">
      <mc:Choice Requires="x14">
        <oleObject progId="Equation.DSMT4" shapeId="8500" r:id="rId322">
          <objectPr defaultSize="0" r:id="rId25">
            <anchor moveWithCells="1">
              <from>
                <xdr:col>81</xdr:col>
                <xdr:colOff>304800</xdr:colOff>
                <xdr:row>250</xdr:row>
                <xdr:rowOff>85725</xdr:rowOff>
              </from>
              <to>
                <xdr:col>81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500" r:id="rId322"/>
      </mc:Fallback>
    </mc:AlternateContent>
    <mc:AlternateContent xmlns:mc="http://schemas.openxmlformats.org/markup-compatibility/2006">
      <mc:Choice Requires="x14">
        <oleObject progId="Equation.DSMT4" shapeId="8501" r:id="rId323">
          <objectPr defaultSize="0" r:id="rId17">
            <anchor moveWithCells="1">
              <from>
                <xdr:col>82</xdr:col>
                <xdr:colOff>257175</xdr:colOff>
                <xdr:row>250</xdr:row>
                <xdr:rowOff>85725</xdr:rowOff>
              </from>
              <to>
                <xdr:col>82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8501" r:id="rId323"/>
      </mc:Fallback>
    </mc:AlternateContent>
    <mc:AlternateContent xmlns:mc="http://schemas.openxmlformats.org/markup-compatibility/2006">
      <mc:Choice Requires="x14">
        <oleObject progId="Equation.DSMT4" shapeId="8502" r:id="rId324">
          <objectPr defaultSize="0" r:id="rId23">
            <anchor moveWithCells="1">
              <from>
                <xdr:col>83</xdr:col>
                <xdr:colOff>314325</xdr:colOff>
                <xdr:row>250</xdr:row>
                <xdr:rowOff>85725</xdr:rowOff>
              </from>
              <to>
                <xdr:col>83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502" r:id="rId324"/>
      </mc:Fallback>
    </mc:AlternateContent>
    <mc:AlternateContent xmlns:mc="http://schemas.openxmlformats.org/markup-compatibility/2006">
      <mc:Choice Requires="x14">
        <oleObject progId="Equation.DSMT4" shapeId="8503" r:id="rId325">
          <objectPr defaultSize="0" r:id="rId21">
            <anchor moveWithCells="1">
              <from>
                <xdr:col>82</xdr:col>
                <xdr:colOff>295275</xdr:colOff>
                <xdr:row>250</xdr:row>
                <xdr:rowOff>104775</xdr:rowOff>
              </from>
              <to>
                <xdr:col>82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8503" r:id="rId325"/>
      </mc:Fallback>
    </mc:AlternateContent>
    <mc:AlternateContent xmlns:mc="http://schemas.openxmlformats.org/markup-compatibility/2006">
      <mc:Choice Requires="x14">
        <oleObject progId="Equation.DSMT4" shapeId="8504" r:id="rId326">
          <objectPr defaultSize="0" r:id="rId25">
            <anchor moveWithCells="1">
              <from>
                <xdr:col>83</xdr:col>
                <xdr:colOff>304800</xdr:colOff>
                <xdr:row>250</xdr:row>
                <xdr:rowOff>85725</xdr:rowOff>
              </from>
              <to>
                <xdr:col>83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504" r:id="rId326"/>
      </mc:Fallback>
    </mc:AlternateContent>
    <mc:AlternateContent xmlns:mc="http://schemas.openxmlformats.org/markup-compatibility/2006">
      <mc:Choice Requires="x14">
        <oleObject progId="Equation.DSMT4" shapeId="8505" r:id="rId327">
          <objectPr defaultSize="0" r:id="rId17">
            <anchor moveWithCells="1">
              <from>
                <xdr:col>84</xdr:col>
                <xdr:colOff>257175</xdr:colOff>
                <xdr:row>250</xdr:row>
                <xdr:rowOff>85725</xdr:rowOff>
              </from>
              <to>
                <xdr:col>84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8505" r:id="rId327"/>
      </mc:Fallback>
    </mc:AlternateContent>
    <mc:AlternateContent xmlns:mc="http://schemas.openxmlformats.org/markup-compatibility/2006">
      <mc:Choice Requires="x14">
        <oleObject progId="Equation.DSMT4" shapeId="8506" r:id="rId328">
          <objectPr defaultSize="0" r:id="rId23">
            <anchor moveWithCells="1">
              <from>
                <xdr:col>85</xdr:col>
                <xdr:colOff>314325</xdr:colOff>
                <xdr:row>250</xdr:row>
                <xdr:rowOff>85725</xdr:rowOff>
              </from>
              <to>
                <xdr:col>85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506" r:id="rId328"/>
      </mc:Fallback>
    </mc:AlternateContent>
    <mc:AlternateContent xmlns:mc="http://schemas.openxmlformats.org/markup-compatibility/2006">
      <mc:Choice Requires="x14">
        <oleObject progId="Equation.DSMT4" shapeId="8507" r:id="rId329">
          <objectPr defaultSize="0" r:id="rId21">
            <anchor moveWithCells="1">
              <from>
                <xdr:col>84</xdr:col>
                <xdr:colOff>295275</xdr:colOff>
                <xdr:row>250</xdr:row>
                <xdr:rowOff>104775</xdr:rowOff>
              </from>
              <to>
                <xdr:col>84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8507" r:id="rId329"/>
      </mc:Fallback>
    </mc:AlternateContent>
    <mc:AlternateContent xmlns:mc="http://schemas.openxmlformats.org/markup-compatibility/2006">
      <mc:Choice Requires="x14">
        <oleObject progId="Equation.DSMT4" shapeId="8508" r:id="rId330">
          <objectPr defaultSize="0" r:id="rId25">
            <anchor moveWithCells="1">
              <from>
                <xdr:col>85</xdr:col>
                <xdr:colOff>304800</xdr:colOff>
                <xdr:row>250</xdr:row>
                <xdr:rowOff>85725</xdr:rowOff>
              </from>
              <to>
                <xdr:col>85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508" r:id="rId330"/>
      </mc:Fallback>
    </mc:AlternateContent>
    <mc:AlternateContent xmlns:mc="http://schemas.openxmlformats.org/markup-compatibility/2006">
      <mc:Choice Requires="x14">
        <oleObject progId="Equation.DSMT4" shapeId="8509" r:id="rId331">
          <objectPr defaultSize="0" r:id="rId17">
            <anchor moveWithCells="1">
              <from>
                <xdr:col>86</xdr:col>
                <xdr:colOff>257175</xdr:colOff>
                <xdr:row>250</xdr:row>
                <xdr:rowOff>85725</xdr:rowOff>
              </from>
              <to>
                <xdr:col>86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8509" r:id="rId331"/>
      </mc:Fallback>
    </mc:AlternateContent>
    <mc:AlternateContent xmlns:mc="http://schemas.openxmlformats.org/markup-compatibility/2006">
      <mc:Choice Requires="x14">
        <oleObject progId="Equation.DSMT4" shapeId="8510" r:id="rId332">
          <objectPr defaultSize="0" r:id="rId23">
            <anchor moveWithCells="1">
              <from>
                <xdr:col>87</xdr:col>
                <xdr:colOff>314325</xdr:colOff>
                <xdr:row>250</xdr:row>
                <xdr:rowOff>85725</xdr:rowOff>
              </from>
              <to>
                <xdr:col>87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510" r:id="rId332"/>
      </mc:Fallback>
    </mc:AlternateContent>
    <mc:AlternateContent xmlns:mc="http://schemas.openxmlformats.org/markup-compatibility/2006">
      <mc:Choice Requires="x14">
        <oleObject progId="Equation.DSMT4" shapeId="8511" r:id="rId333">
          <objectPr defaultSize="0" r:id="rId21">
            <anchor moveWithCells="1">
              <from>
                <xdr:col>86</xdr:col>
                <xdr:colOff>295275</xdr:colOff>
                <xdr:row>250</xdr:row>
                <xdr:rowOff>104775</xdr:rowOff>
              </from>
              <to>
                <xdr:col>86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8511" r:id="rId333"/>
      </mc:Fallback>
    </mc:AlternateContent>
    <mc:AlternateContent xmlns:mc="http://schemas.openxmlformats.org/markup-compatibility/2006">
      <mc:Choice Requires="x14">
        <oleObject progId="Equation.DSMT4" shapeId="8512" r:id="rId334">
          <objectPr defaultSize="0" r:id="rId25">
            <anchor moveWithCells="1">
              <from>
                <xdr:col>87</xdr:col>
                <xdr:colOff>304800</xdr:colOff>
                <xdr:row>250</xdr:row>
                <xdr:rowOff>85725</xdr:rowOff>
              </from>
              <to>
                <xdr:col>87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512" r:id="rId334"/>
      </mc:Fallback>
    </mc:AlternateContent>
    <mc:AlternateContent xmlns:mc="http://schemas.openxmlformats.org/markup-compatibility/2006">
      <mc:Choice Requires="x14">
        <oleObject progId="Equation.DSMT4" shapeId="8513" r:id="rId335">
          <objectPr defaultSize="0" r:id="rId17">
            <anchor moveWithCells="1">
              <from>
                <xdr:col>88</xdr:col>
                <xdr:colOff>257175</xdr:colOff>
                <xdr:row>250</xdr:row>
                <xdr:rowOff>85725</xdr:rowOff>
              </from>
              <to>
                <xdr:col>88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8513" r:id="rId335"/>
      </mc:Fallback>
    </mc:AlternateContent>
    <mc:AlternateContent xmlns:mc="http://schemas.openxmlformats.org/markup-compatibility/2006">
      <mc:Choice Requires="x14">
        <oleObject progId="Equation.DSMT4" shapeId="8514" r:id="rId336">
          <objectPr defaultSize="0" r:id="rId23">
            <anchor moveWithCells="1">
              <from>
                <xdr:col>89</xdr:col>
                <xdr:colOff>314325</xdr:colOff>
                <xdr:row>250</xdr:row>
                <xdr:rowOff>85725</xdr:rowOff>
              </from>
              <to>
                <xdr:col>89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514" r:id="rId336"/>
      </mc:Fallback>
    </mc:AlternateContent>
    <mc:AlternateContent xmlns:mc="http://schemas.openxmlformats.org/markup-compatibility/2006">
      <mc:Choice Requires="x14">
        <oleObject progId="Equation.DSMT4" shapeId="8515" r:id="rId337">
          <objectPr defaultSize="0" r:id="rId21">
            <anchor moveWithCells="1">
              <from>
                <xdr:col>88</xdr:col>
                <xdr:colOff>295275</xdr:colOff>
                <xdr:row>250</xdr:row>
                <xdr:rowOff>104775</xdr:rowOff>
              </from>
              <to>
                <xdr:col>88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8515" r:id="rId337"/>
      </mc:Fallback>
    </mc:AlternateContent>
    <mc:AlternateContent xmlns:mc="http://schemas.openxmlformats.org/markup-compatibility/2006">
      <mc:Choice Requires="x14">
        <oleObject progId="Equation.DSMT4" shapeId="8516" r:id="rId338">
          <objectPr defaultSize="0" r:id="rId25">
            <anchor moveWithCells="1">
              <from>
                <xdr:col>89</xdr:col>
                <xdr:colOff>304800</xdr:colOff>
                <xdr:row>250</xdr:row>
                <xdr:rowOff>85725</xdr:rowOff>
              </from>
              <to>
                <xdr:col>89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8516" r:id="rId338"/>
      </mc:Fallback>
    </mc:AlternateContent>
    <mc:AlternateContent xmlns:mc="http://schemas.openxmlformats.org/markup-compatibility/2006">
      <mc:Choice Requires="x14">
        <oleObject progId="Equation.DSMT4" shapeId="8517" r:id="rId339">
          <objectPr defaultSize="0" r:id="rId15">
            <anchor moveWithCells="1">
              <from>
                <xdr:col>28</xdr:col>
                <xdr:colOff>428625</xdr:colOff>
                <xdr:row>171</xdr:row>
                <xdr:rowOff>152400</xdr:rowOff>
              </from>
              <to>
                <xdr:col>28</xdr:col>
                <xdr:colOff>609600</xdr:colOff>
                <xdr:row>172</xdr:row>
                <xdr:rowOff>114300</xdr:rowOff>
              </to>
            </anchor>
          </objectPr>
        </oleObject>
      </mc:Choice>
      <mc:Fallback>
        <oleObject progId="Equation.DSMT4" shapeId="8517" r:id="rId339"/>
      </mc:Fallback>
    </mc:AlternateContent>
    <mc:AlternateContent xmlns:mc="http://schemas.openxmlformats.org/markup-compatibility/2006">
      <mc:Choice Requires="x14">
        <oleObject progId="Equation.DSMT4" shapeId="8518" r:id="rId340">
          <objectPr defaultSize="0" r:id="rId17">
            <anchor moveWithCells="1">
              <from>
                <xdr:col>29</xdr:col>
                <xdr:colOff>257175</xdr:colOff>
                <xdr:row>171</xdr:row>
                <xdr:rowOff>85725</xdr:rowOff>
              </from>
              <to>
                <xdr:col>29</xdr:col>
                <xdr:colOff>647700</xdr:colOff>
                <xdr:row>172</xdr:row>
                <xdr:rowOff>180975</xdr:rowOff>
              </to>
            </anchor>
          </objectPr>
        </oleObject>
      </mc:Choice>
      <mc:Fallback>
        <oleObject progId="Equation.DSMT4" shapeId="8518" r:id="rId340"/>
      </mc:Fallback>
    </mc:AlternateContent>
    <mc:AlternateContent xmlns:mc="http://schemas.openxmlformats.org/markup-compatibility/2006">
      <mc:Choice Requires="x14">
        <oleObject progId="Equation.DSMT4" shapeId="8519" r:id="rId341">
          <objectPr defaultSize="0" r:id="rId19">
            <anchor moveWithCells="1">
              <from>
                <xdr:col>28</xdr:col>
                <xdr:colOff>295275</xdr:colOff>
                <xdr:row>174</xdr:row>
                <xdr:rowOff>104775</xdr:rowOff>
              </from>
              <to>
                <xdr:col>28</xdr:col>
                <xdr:colOff>714375</xdr:colOff>
                <xdr:row>175</xdr:row>
                <xdr:rowOff>200025</xdr:rowOff>
              </to>
            </anchor>
          </objectPr>
        </oleObject>
      </mc:Choice>
      <mc:Fallback>
        <oleObject progId="Equation.DSMT4" shapeId="8519" r:id="rId341"/>
      </mc:Fallback>
    </mc:AlternateContent>
    <mc:AlternateContent xmlns:mc="http://schemas.openxmlformats.org/markup-compatibility/2006">
      <mc:Choice Requires="x14">
        <oleObject progId="Equation.DSMT4" shapeId="8520" r:id="rId342">
          <objectPr defaultSize="0" r:id="rId21">
            <anchor moveWithCells="1">
              <from>
                <xdr:col>29</xdr:col>
                <xdr:colOff>295275</xdr:colOff>
                <xdr:row>174</xdr:row>
                <xdr:rowOff>104775</xdr:rowOff>
              </from>
              <to>
                <xdr:col>29</xdr:col>
                <xdr:colOff>714375</xdr:colOff>
                <xdr:row>175</xdr:row>
                <xdr:rowOff>200025</xdr:rowOff>
              </to>
            </anchor>
          </objectPr>
        </oleObject>
      </mc:Choice>
      <mc:Fallback>
        <oleObject progId="Equation.DSMT4" shapeId="8520" r:id="rId342"/>
      </mc:Fallback>
    </mc:AlternateContent>
    <mc:AlternateContent xmlns:mc="http://schemas.openxmlformats.org/markup-compatibility/2006">
      <mc:Choice Requires="x14">
        <oleObject progId="Equation.DSMT4" shapeId="8521" r:id="rId343">
          <objectPr defaultSize="0" r:id="rId23">
            <anchor moveWithCells="1">
              <from>
                <xdr:col>30</xdr:col>
                <xdr:colOff>314325</xdr:colOff>
                <xdr:row>171</xdr:row>
                <xdr:rowOff>85725</xdr:rowOff>
              </from>
              <to>
                <xdr:col>30</xdr:col>
                <xdr:colOff>733425</xdr:colOff>
                <xdr:row>172</xdr:row>
                <xdr:rowOff>180975</xdr:rowOff>
              </to>
            </anchor>
          </objectPr>
        </oleObject>
      </mc:Choice>
      <mc:Fallback>
        <oleObject progId="Equation.DSMT4" shapeId="8521" r:id="rId343"/>
      </mc:Fallback>
    </mc:AlternateContent>
    <mc:AlternateContent xmlns:mc="http://schemas.openxmlformats.org/markup-compatibility/2006">
      <mc:Choice Requires="x14">
        <oleObject progId="Equation.DSMT4" shapeId="8522" r:id="rId344">
          <objectPr defaultSize="0" r:id="rId25">
            <anchor moveWithCells="1">
              <from>
                <xdr:col>30</xdr:col>
                <xdr:colOff>304800</xdr:colOff>
                <xdr:row>174</xdr:row>
                <xdr:rowOff>85725</xdr:rowOff>
              </from>
              <to>
                <xdr:col>30</xdr:col>
                <xdr:colOff>714375</xdr:colOff>
                <xdr:row>175</xdr:row>
                <xdr:rowOff>180975</xdr:rowOff>
              </to>
            </anchor>
          </objectPr>
        </oleObject>
      </mc:Choice>
      <mc:Fallback>
        <oleObject progId="Equation.DSMT4" shapeId="8522" r:id="rId344"/>
      </mc:Fallback>
    </mc:AlternateContent>
    <mc:AlternateContent xmlns:mc="http://schemas.openxmlformats.org/markup-compatibility/2006">
      <mc:Choice Requires="x14">
        <oleObject progId="Equation.DSMT4" shapeId="8523" r:id="rId345">
          <objectPr defaultSize="0" r:id="rId27">
            <anchor moveWithCells="1">
              <from>
                <xdr:col>33</xdr:col>
                <xdr:colOff>304800</xdr:colOff>
                <xdr:row>174</xdr:row>
                <xdr:rowOff>76200</xdr:rowOff>
              </from>
              <to>
                <xdr:col>33</xdr:col>
                <xdr:colOff>714375</xdr:colOff>
                <xdr:row>175</xdr:row>
                <xdr:rowOff>161925</xdr:rowOff>
              </to>
            </anchor>
          </objectPr>
        </oleObject>
      </mc:Choice>
      <mc:Fallback>
        <oleObject progId="Equation.DSMT4" shapeId="8523" r:id="rId345"/>
      </mc:Fallback>
    </mc:AlternateContent>
    <mc:AlternateContent xmlns:mc="http://schemas.openxmlformats.org/markup-compatibility/2006">
      <mc:Choice Requires="x14">
        <oleObject progId="Equation.DSMT4" shapeId="8524" r:id="rId346">
          <objectPr defaultSize="0" r:id="rId27">
            <anchor moveWithCells="1">
              <from>
                <xdr:col>29</xdr:col>
                <xdr:colOff>304800</xdr:colOff>
                <xdr:row>238</xdr:row>
                <xdr:rowOff>76200</xdr:rowOff>
              </from>
              <to>
                <xdr:col>29</xdr:col>
                <xdr:colOff>714375</xdr:colOff>
                <xdr:row>239</xdr:row>
                <xdr:rowOff>161925</xdr:rowOff>
              </to>
            </anchor>
          </objectPr>
        </oleObject>
      </mc:Choice>
      <mc:Fallback>
        <oleObject progId="Equation.DSMT4" shapeId="8524" r:id="rId346"/>
      </mc:Fallback>
    </mc:AlternateContent>
    <mc:AlternateContent xmlns:mc="http://schemas.openxmlformats.org/markup-compatibility/2006">
      <mc:Choice Requires="x14">
        <oleObject progId="Equation.DSMT4" shapeId="8525" r:id="rId347">
          <objectPr defaultSize="0" r:id="rId15">
            <anchor moveWithCells="1">
              <from>
                <xdr:col>2</xdr:col>
                <xdr:colOff>428625</xdr:colOff>
                <xdr:row>183</xdr:row>
                <xdr:rowOff>152400</xdr:rowOff>
              </from>
              <to>
                <xdr:col>2</xdr:col>
                <xdr:colOff>609600</xdr:colOff>
                <xdr:row>184</xdr:row>
                <xdr:rowOff>104775</xdr:rowOff>
              </to>
            </anchor>
          </objectPr>
        </oleObject>
      </mc:Choice>
      <mc:Fallback>
        <oleObject progId="Equation.DSMT4" shapeId="8525" r:id="rId347"/>
      </mc:Fallback>
    </mc:AlternateContent>
    <mc:AlternateContent xmlns:mc="http://schemas.openxmlformats.org/markup-compatibility/2006">
      <mc:Choice Requires="x14">
        <oleObject progId="Equation.DSMT4" shapeId="8526" r:id="rId348">
          <objectPr defaultSize="0" r:id="rId17">
            <anchor moveWithCells="1">
              <from>
                <xdr:col>3</xdr:col>
                <xdr:colOff>257175</xdr:colOff>
                <xdr:row>183</xdr:row>
                <xdr:rowOff>85725</xdr:rowOff>
              </from>
              <to>
                <xdr:col>3</xdr:col>
                <xdr:colOff>676275</xdr:colOff>
                <xdr:row>184</xdr:row>
                <xdr:rowOff>161925</xdr:rowOff>
              </to>
            </anchor>
          </objectPr>
        </oleObject>
      </mc:Choice>
      <mc:Fallback>
        <oleObject progId="Equation.DSMT4" shapeId="8526" r:id="rId348"/>
      </mc:Fallback>
    </mc:AlternateContent>
    <mc:AlternateContent xmlns:mc="http://schemas.openxmlformats.org/markup-compatibility/2006">
      <mc:Choice Requires="x14">
        <oleObject progId="Equation.DSMT4" shapeId="8527" r:id="rId349">
          <objectPr defaultSize="0" r:id="rId19">
            <anchor moveWithCells="1">
              <from>
                <xdr:col>2</xdr:col>
                <xdr:colOff>295275</xdr:colOff>
                <xdr:row>186</xdr:row>
                <xdr:rowOff>104775</xdr:rowOff>
              </from>
              <to>
                <xdr:col>2</xdr:col>
                <xdr:colOff>733425</xdr:colOff>
                <xdr:row>187</xdr:row>
                <xdr:rowOff>228600</xdr:rowOff>
              </to>
            </anchor>
          </objectPr>
        </oleObject>
      </mc:Choice>
      <mc:Fallback>
        <oleObject progId="Equation.DSMT4" shapeId="8527" r:id="rId349"/>
      </mc:Fallback>
    </mc:AlternateContent>
    <mc:AlternateContent xmlns:mc="http://schemas.openxmlformats.org/markup-compatibility/2006">
      <mc:Choice Requires="x14">
        <oleObject progId="Equation.DSMT4" shapeId="8528" r:id="rId350">
          <objectPr defaultSize="0" r:id="rId21">
            <anchor moveWithCells="1">
              <from>
                <xdr:col>3</xdr:col>
                <xdr:colOff>295275</xdr:colOff>
                <xdr:row>186</xdr:row>
                <xdr:rowOff>104775</xdr:rowOff>
              </from>
              <to>
                <xdr:col>3</xdr:col>
                <xdr:colOff>733425</xdr:colOff>
                <xdr:row>187</xdr:row>
                <xdr:rowOff>228600</xdr:rowOff>
              </to>
            </anchor>
          </objectPr>
        </oleObject>
      </mc:Choice>
      <mc:Fallback>
        <oleObject progId="Equation.DSMT4" shapeId="8528" r:id="rId350"/>
      </mc:Fallback>
    </mc:AlternateContent>
    <mc:AlternateContent xmlns:mc="http://schemas.openxmlformats.org/markup-compatibility/2006">
      <mc:Choice Requires="x14">
        <oleObject progId="Equation.DSMT4" shapeId="8529" r:id="rId351">
          <objectPr defaultSize="0" r:id="rId23">
            <anchor moveWithCells="1">
              <from>
                <xdr:col>4</xdr:col>
                <xdr:colOff>314325</xdr:colOff>
                <xdr:row>183</xdr:row>
                <xdr:rowOff>85725</xdr:rowOff>
              </from>
              <to>
                <xdr:col>4</xdr:col>
                <xdr:colOff>733425</xdr:colOff>
                <xdr:row>184</xdr:row>
                <xdr:rowOff>161925</xdr:rowOff>
              </to>
            </anchor>
          </objectPr>
        </oleObject>
      </mc:Choice>
      <mc:Fallback>
        <oleObject progId="Equation.DSMT4" shapeId="8529" r:id="rId351"/>
      </mc:Fallback>
    </mc:AlternateContent>
    <mc:AlternateContent xmlns:mc="http://schemas.openxmlformats.org/markup-compatibility/2006">
      <mc:Choice Requires="x14">
        <oleObject progId="Equation.DSMT4" shapeId="8530" r:id="rId352">
          <objectPr defaultSize="0" r:id="rId25">
            <anchor moveWithCells="1">
              <from>
                <xdr:col>4</xdr:col>
                <xdr:colOff>304800</xdr:colOff>
                <xdr:row>186</xdr:row>
                <xdr:rowOff>85725</xdr:rowOff>
              </from>
              <to>
                <xdr:col>4</xdr:col>
                <xdr:colOff>733425</xdr:colOff>
                <xdr:row>187</xdr:row>
                <xdr:rowOff>161925</xdr:rowOff>
              </to>
            </anchor>
          </objectPr>
        </oleObject>
      </mc:Choice>
      <mc:Fallback>
        <oleObject progId="Equation.DSMT4" shapeId="8530" r:id="rId352"/>
      </mc:Fallback>
    </mc:AlternateContent>
    <mc:AlternateContent xmlns:mc="http://schemas.openxmlformats.org/markup-compatibility/2006">
      <mc:Choice Requires="x14">
        <oleObject progId="Equation.DSMT4" shapeId="8531" r:id="rId353">
          <objectPr defaultSize="0" r:id="rId27">
            <anchor moveWithCells="1">
              <from>
                <xdr:col>7</xdr:col>
                <xdr:colOff>304800</xdr:colOff>
                <xdr:row>186</xdr:row>
                <xdr:rowOff>76200</xdr:rowOff>
              </from>
              <to>
                <xdr:col>7</xdr:col>
                <xdr:colOff>733425</xdr:colOff>
                <xdr:row>187</xdr:row>
                <xdr:rowOff>161925</xdr:rowOff>
              </to>
            </anchor>
          </objectPr>
        </oleObject>
      </mc:Choice>
      <mc:Fallback>
        <oleObject progId="Equation.DSMT4" shapeId="8531" r:id="rId353"/>
      </mc:Fallback>
    </mc:AlternateContent>
    <mc:AlternateContent xmlns:mc="http://schemas.openxmlformats.org/markup-compatibility/2006">
      <mc:Choice Requires="x14">
        <oleObject progId="Equation.DSMT4" shapeId="8532" r:id="rId354">
          <objectPr defaultSize="0" r:id="rId15">
            <anchor moveWithCells="1">
              <from>
                <xdr:col>13</xdr:col>
                <xdr:colOff>428625</xdr:colOff>
                <xdr:row>183</xdr:row>
                <xdr:rowOff>152400</xdr:rowOff>
              </from>
              <to>
                <xdr:col>13</xdr:col>
                <xdr:colOff>609600</xdr:colOff>
                <xdr:row>184</xdr:row>
                <xdr:rowOff>104775</xdr:rowOff>
              </to>
            </anchor>
          </objectPr>
        </oleObject>
      </mc:Choice>
      <mc:Fallback>
        <oleObject progId="Equation.DSMT4" shapeId="8532" r:id="rId354"/>
      </mc:Fallback>
    </mc:AlternateContent>
    <mc:AlternateContent xmlns:mc="http://schemas.openxmlformats.org/markup-compatibility/2006">
      <mc:Choice Requires="x14">
        <oleObject progId="Equation.DSMT4" shapeId="8533" r:id="rId355">
          <objectPr defaultSize="0" r:id="rId17">
            <anchor moveWithCells="1">
              <from>
                <xdr:col>14</xdr:col>
                <xdr:colOff>257175</xdr:colOff>
                <xdr:row>183</xdr:row>
                <xdr:rowOff>85725</xdr:rowOff>
              </from>
              <to>
                <xdr:col>14</xdr:col>
                <xdr:colOff>676275</xdr:colOff>
                <xdr:row>184</xdr:row>
                <xdr:rowOff>161925</xdr:rowOff>
              </to>
            </anchor>
          </objectPr>
        </oleObject>
      </mc:Choice>
      <mc:Fallback>
        <oleObject progId="Equation.DSMT4" shapeId="8533" r:id="rId355"/>
      </mc:Fallback>
    </mc:AlternateContent>
    <mc:AlternateContent xmlns:mc="http://schemas.openxmlformats.org/markup-compatibility/2006">
      <mc:Choice Requires="x14">
        <oleObject progId="Equation.DSMT4" shapeId="8534" r:id="rId356">
          <objectPr defaultSize="0" r:id="rId19">
            <anchor moveWithCells="1">
              <from>
                <xdr:col>13</xdr:col>
                <xdr:colOff>295275</xdr:colOff>
                <xdr:row>186</xdr:row>
                <xdr:rowOff>104775</xdr:rowOff>
              </from>
              <to>
                <xdr:col>13</xdr:col>
                <xdr:colOff>733425</xdr:colOff>
                <xdr:row>187</xdr:row>
                <xdr:rowOff>228600</xdr:rowOff>
              </to>
            </anchor>
          </objectPr>
        </oleObject>
      </mc:Choice>
      <mc:Fallback>
        <oleObject progId="Equation.DSMT4" shapeId="8534" r:id="rId356"/>
      </mc:Fallback>
    </mc:AlternateContent>
    <mc:AlternateContent xmlns:mc="http://schemas.openxmlformats.org/markup-compatibility/2006">
      <mc:Choice Requires="x14">
        <oleObject progId="Equation.DSMT4" shapeId="8535" r:id="rId357">
          <objectPr defaultSize="0" r:id="rId21">
            <anchor moveWithCells="1">
              <from>
                <xdr:col>14</xdr:col>
                <xdr:colOff>295275</xdr:colOff>
                <xdr:row>186</xdr:row>
                <xdr:rowOff>104775</xdr:rowOff>
              </from>
              <to>
                <xdr:col>14</xdr:col>
                <xdr:colOff>733425</xdr:colOff>
                <xdr:row>187</xdr:row>
                <xdr:rowOff>228600</xdr:rowOff>
              </to>
            </anchor>
          </objectPr>
        </oleObject>
      </mc:Choice>
      <mc:Fallback>
        <oleObject progId="Equation.DSMT4" shapeId="8535" r:id="rId357"/>
      </mc:Fallback>
    </mc:AlternateContent>
    <mc:AlternateContent xmlns:mc="http://schemas.openxmlformats.org/markup-compatibility/2006">
      <mc:Choice Requires="x14">
        <oleObject progId="Equation.DSMT4" shapeId="8536" r:id="rId358">
          <objectPr defaultSize="0" r:id="rId23">
            <anchor moveWithCells="1">
              <from>
                <xdr:col>15</xdr:col>
                <xdr:colOff>314325</xdr:colOff>
                <xdr:row>183</xdr:row>
                <xdr:rowOff>85725</xdr:rowOff>
              </from>
              <to>
                <xdr:col>15</xdr:col>
                <xdr:colOff>733425</xdr:colOff>
                <xdr:row>184</xdr:row>
                <xdr:rowOff>161925</xdr:rowOff>
              </to>
            </anchor>
          </objectPr>
        </oleObject>
      </mc:Choice>
      <mc:Fallback>
        <oleObject progId="Equation.DSMT4" shapeId="8536" r:id="rId358"/>
      </mc:Fallback>
    </mc:AlternateContent>
    <mc:AlternateContent xmlns:mc="http://schemas.openxmlformats.org/markup-compatibility/2006">
      <mc:Choice Requires="x14">
        <oleObject progId="Equation.DSMT4" shapeId="8537" r:id="rId359">
          <objectPr defaultSize="0" r:id="rId25">
            <anchor moveWithCells="1">
              <from>
                <xdr:col>15</xdr:col>
                <xdr:colOff>304800</xdr:colOff>
                <xdr:row>186</xdr:row>
                <xdr:rowOff>85725</xdr:rowOff>
              </from>
              <to>
                <xdr:col>15</xdr:col>
                <xdr:colOff>733425</xdr:colOff>
                <xdr:row>187</xdr:row>
                <xdr:rowOff>161925</xdr:rowOff>
              </to>
            </anchor>
          </objectPr>
        </oleObject>
      </mc:Choice>
      <mc:Fallback>
        <oleObject progId="Equation.DSMT4" shapeId="8537" r:id="rId359"/>
      </mc:Fallback>
    </mc:AlternateContent>
    <mc:AlternateContent xmlns:mc="http://schemas.openxmlformats.org/markup-compatibility/2006">
      <mc:Choice Requires="x14">
        <oleObject progId="Equation.DSMT4" shapeId="8538" r:id="rId360">
          <objectPr defaultSize="0" r:id="rId27">
            <anchor moveWithCells="1">
              <from>
                <xdr:col>18</xdr:col>
                <xdr:colOff>304800</xdr:colOff>
                <xdr:row>186</xdr:row>
                <xdr:rowOff>76200</xdr:rowOff>
              </from>
              <to>
                <xdr:col>18</xdr:col>
                <xdr:colOff>733425</xdr:colOff>
                <xdr:row>187</xdr:row>
                <xdr:rowOff>161925</xdr:rowOff>
              </to>
            </anchor>
          </objectPr>
        </oleObject>
      </mc:Choice>
      <mc:Fallback>
        <oleObject progId="Equation.DSMT4" shapeId="8538" r:id="rId360"/>
      </mc:Fallback>
    </mc:AlternateContent>
    <mc:AlternateContent xmlns:mc="http://schemas.openxmlformats.org/markup-compatibility/2006">
      <mc:Choice Requires="x14">
        <oleObject progId="Equation.DSMT4" shapeId="8539" r:id="rId361">
          <objectPr defaultSize="0" r:id="rId15">
            <anchor moveWithCells="1">
              <from>
                <xdr:col>2</xdr:col>
                <xdr:colOff>428625</xdr:colOff>
                <xdr:row>203</xdr:row>
                <xdr:rowOff>152400</xdr:rowOff>
              </from>
              <to>
                <xdr:col>2</xdr:col>
                <xdr:colOff>609600</xdr:colOff>
                <xdr:row>204</xdr:row>
                <xdr:rowOff>104775</xdr:rowOff>
              </to>
            </anchor>
          </objectPr>
        </oleObject>
      </mc:Choice>
      <mc:Fallback>
        <oleObject progId="Equation.DSMT4" shapeId="8539" r:id="rId361"/>
      </mc:Fallback>
    </mc:AlternateContent>
    <mc:AlternateContent xmlns:mc="http://schemas.openxmlformats.org/markup-compatibility/2006">
      <mc:Choice Requires="x14">
        <oleObject progId="Equation.DSMT4" shapeId="8540" r:id="rId362">
          <objectPr defaultSize="0" r:id="rId17">
            <anchor moveWithCells="1">
              <from>
                <xdr:col>3</xdr:col>
                <xdr:colOff>257175</xdr:colOff>
                <xdr:row>203</xdr:row>
                <xdr:rowOff>85725</xdr:rowOff>
              </from>
              <to>
                <xdr:col>3</xdr:col>
                <xdr:colOff>676275</xdr:colOff>
                <xdr:row>204</xdr:row>
                <xdr:rowOff>161925</xdr:rowOff>
              </to>
            </anchor>
          </objectPr>
        </oleObject>
      </mc:Choice>
      <mc:Fallback>
        <oleObject progId="Equation.DSMT4" shapeId="8540" r:id="rId362"/>
      </mc:Fallback>
    </mc:AlternateContent>
    <mc:AlternateContent xmlns:mc="http://schemas.openxmlformats.org/markup-compatibility/2006">
      <mc:Choice Requires="x14">
        <oleObject progId="Equation.DSMT4" shapeId="8541" r:id="rId363">
          <objectPr defaultSize="0" r:id="rId19">
            <anchor moveWithCells="1">
              <from>
                <xdr:col>2</xdr:col>
                <xdr:colOff>295275</xdr:colOff>
                <xdr:row>206</xdr:row>
                <xdr:rowOff>104775</xdr:rowOff>
              </from>
              <to>
                <xdr:col>2</xdr:col>
                <xdr:colOff>733425</xdr:colOff>
                <xdr:row>207</xdr:row>
                <xdr:rowOff>228600</xdr:rowOff>
              </to>
            </anchor>
          </objectPr>
        </oleObject>
      </mc:Choice>
      <mc:Fallback>
        <oleObject progId="Equation.DSMT4" shapeId="8541" r:id="rId363"/>
      </mc:Fallback>
    </mc:AlternateContent>
    <mc:AlternateContent xmlns:mc="http://schemas.openxmlformats.org/markup-compatibility/2006">
      <mc:Choice Requires="x14">
        <oleObject progId="Equation.DSMT4" shapeId="8542" r:id="rId364">
          <objectPr defaultSize="0" r:id="rId21">
            <anchor moveWithCells="1">
              <from>
                <xdr:col>3</xdr:col>
                <xdr:colOff>295275</xdr:colOff>
                <xdr:row>206</xdr:row>
                <xdr:rowOff>104775</xdr:rowOff>
              </from>
              <to>
                <xdr:col>3</xdr:col>
                <xdr:colOff>733425</xdr:colOff>
                <xdr:row>207</xdr:row>
                <xdr:rowOff>228600</xdr:rowOff>
              </to>
            </anchor>
          </objectPr>
        </oleObject>
      </mc:Choice>
      <mc:Fallback>
        <oleObject progId="Equation.DSMT4" shapeId="8542" r:id="rId364"/>
      </mc:Fallback>
    </mc:AlternateContent>
    <mc:AlternateContent xmlns:mc="http://schemas.openxmlformats.org/markup-compatibility/2006">
      <mc:Choice Requires="x14">
        <oleObject progId="Equation.DSMT4" shapeId="8543" r:id="rId365">
          <objectPr defaultSize="0" r:id="rId23">
            <anchor moveWithCells="1">
              <from>
                <xdr:col>4</xdr:col>
                <xdr:colOff>314325</xdr:colOff>
                <xdr:row>203</xdr:row>
                <xdr:rowOff>85725</xdr:rowOff>
              </from>
              <to>
                <xdr:col>4</xdr:col>
                <xdr:colOff>733425</xdr:colOff>
                <xdr:row>204</xdr:row>
                <xdr:rowOff>161925</xdr:rowOff>
              </to>
            </anchor>
          </objectPr>
        </oleObject>
      </mc:Choice>
      <mc:Fallback>
        <oleObject progId="Equation.DSMT4" shapeId="8543" r:id="rId365"/>
      </mc:Fallback>
    </mc:AlternateContent>
    <mc:AlternateContent xmlns:mc="http://schemas.openxmlformats.org/markup-compatibility/2006">
      <mc:Choice Requires="x14">
        <oleObject progId="Equation.DSMT4" shapeId="8544" r:id="rId366">
          <objectPr defaultSize="0" r:id="rId25">
            <anchor moveWithCells="1">
              <from>
                <xdr:col>4</xdr:col>
                <xdr:colOff>304800</xdr:colOff>
                <xdr:row>206</xdr:row>
                <xdr:rowOff>85725</xdr:rowOff>
              </from>
              <to>
                <xdr:col>4</xdr:col>
                <xdr:colOff>733425</xdr:colOff>
                <xdr:row>207</xdr:row>
                <xdr:rowOff>161925</xdr:rowOff>
              </to>
            </anchor>
          </objectPr>
        </oleObject>
      </mc:Choice>
      <mc:Fallback>
        <oleObject progId="Equation.DSMT4" shapeId="8544" r:id="rId366"/>
      </mc:Fallback>
    </mc:AlternateContent>
    <mc:AlternateContent xmlns:mc="http://schemas.openxmlformats.org/markup-compatibility/2006">
      <mc:Choice Requires="x14">
        <oleObject progId="Equation.DSMT4" shapeId="8545" r:id="rId367">
          <objectPr defaultSize="0" r:id="rId27">
            <anchor moveWithCells="1">
              <from>
                <xdr:col>7</xdr:col>
                <xdr:colOff>304800</xdr:colOff>
                <xdr:row>206</xdr:row>
                <xdr:rowOff>76200</xdr:rowOff>
              </from>
              <to>
                <xdr:col>7</xdr:col>
                <xdr:colOff>733425</xdr:colOff>
                <xdr:row>207</xdr:row>
                <xdr:rowOff>161925</xdr:rowOff>
              </to>
            </anchor>
          </objectPr>
        </oleObject>
      </mc:Choice>
      <mc:Fallback>
        <oleObject progId="Equation.DSMT4" shapeId="8545" r:id="rId367"/>
      </mc:Fallback>
    </mc:AlternateContent>
    <mc:AlternateContent xmlns:mc="http://schemas.openxmlformats.org/markup-compatibility/2006">
      <mc:Choice Requires="x14">
        <oleObject progId="Equation.DSMT4" shapeId="8546" r:id="rId368">
          <objectPr defaultSize="0" r:id="rId15">
            <anchor moveWithCells="1">
              <from>
                <xdr:col>13</xdr:col>
                <xdr:colOff>428625</xdr:colOff>
                <xdr:row>203</xdr:row>
                <xdr:rowOff>152400</xdr:rowOff>
              </from>
              <to>
                <xdr:col>13</xdr:col>
                <xdr:colOff>609600</xdr:colOff>
                <xdr:row>204</xdr:row>
                <xdr:rowOff>104775</xdr:rowOff>
              </to>
            </anchor>
          </objectPr>
        </oleObject>
      </mc:Choice>
      <mc:Fallback>
        <oleObject progId="Equation.DSMT4" shapeId="8546" r:id="rId368"/>
      </mc:Fallback>
    </mc:AlternateContent>
    <mc:AlternateContent xmlns:mc="http://schemas.openxmlformats.org/markup-compatibility/2006">
      <mc:Choice Requires="x14">
        <oleObject progId="Equation.DSMT4" shapeId="8547" r:id="rId369">
          <objectPr defaultSize="0" r:id="rId17">
            <anchor moveWithCells="1">
              <from>
                <xdr:col>14</xdr:col>
                <xdr:colOff>257175</xdr:colOff>
                <xdr:row>203</xdr:row>
                <xdr:rowOff>85725</xdr:rowOff>
              </from>
              <to>
                <xdr:col>14</xdr:col>
                <xdr:colOff>676275</xdr:colOff>
                <xdr:row>204</xdr:row>
                <xdr:rowOff>161925</xdr:rowOff>
              </to>
            </anchor>
          </objectPr>
        </oleObject>
      </mc:Choice>
      <mc:Fallback>
        <oleObject progId="Equation.DSMT4" shapeId="8547" r:id="rId369"/>
      </mc:Fallback>
    </mc:AlternateContent>
    <mc:AlternateContent xmlns:mc="http://schemas.openxmlformats.org/markup-compatibility/2006">
      <mc:Choice Requires="x14">
        <oleObject progId="Equation.DSMT4" shapeId="8548" r:id="rId370">
          <objectPr defaultSize="0" r:id="rId19">
            <anchor moveWithCells="1">
              <from>
                <xdr:col>13</xdr:col>
                <xdr:colOff>295275</xdr:colOff>
                <xdr:row>206</xdr:row>
                <xdr:rowOff>104775</xdr:rowOff>
              </from>
              <to>
                <xdr:col>13</xdr:col>
                <xdr:colOff>733425</xdr:colOff>
                <xdr:row>207</xdr:row>
                <xdr:rowOff>228600</xdr:rowOff>
              </to>
            </anchor>
          </objectPr>
        </oleObject>
      </mc:Choice>
      <mc:Fallback>
        <oleObject progId="Equation.DSMT4" shapeId="8548" r:id="rId370"/>
      </mc:Fallback>
    </mc:AlternateContent>
    <mc:AlternateContent xmlns:mc="http://schemas.openxmlformats.org/markup-compatibility/2006">
      <mc:Choice Requires="x14">
        <oleObject progId="Equation.DSMT4" shapeId="8549" r:id="rId371">
          <objectPr defaultSize="0" r:id="rId21">
            <anchor moveWithCells="1">
              <from>
                <xdr:col>14</xdr:col>
                <xdr:colOff>295275</xdr:colOff>
                <xdr:row>206</xdr:row>
                <xdr:rowOff>104775</xdr:rowOff>
              </from>
              <to>
                <xdr:col>14</xdr:col>
                <xdr:colOff>733425</xdr:colOff>
                <xdr:row>207</xdr:row>
                <xdr:rowOff>228600</xdr:rowOff>
              </to>
            </anchor>
          </objectPr>
        </oleObject>
      </mc:Choice>
      <mc:Fallback>
        <oleObject progId="Equation.DSMT4" shapeId="8549" r:id="rId371"/>
      </mc:Fallback>
    </mc:AlternateContent>
    <mc:AlternateContent xmlns:mc="http://schemas.openxmlformats.org/markup-compatibility/2006">
      <mc:Choice Requires="x14">
        <oleObject progId="Equation.DSMT4" shapeId="8550" r:id="rId372">
          <objectPr defaultSize="0" r:id="rId23">
            <anchor moveWithCells="1">
              <from>
                <xdr:col>15</xdr:col>
                <xdr:colOff>314325</xdr:colOff>
                <xdr:row>203</xdr:row>
                <xdr:rowOff>85725</xdr:rowOff>
              </from>
              <to>
                <xdr:col>15</xdr:col>
                <xdr:colOff>733425</xdr:colOff>
                <xdr:row>204</xdr:row>
                <xdr:rowOff>161925</xdr:rowOff>
              </to>
            </anchor>
          </objectPr>
        </oleObject>
      </mc:Choice>
      <mc:Fallback>
        <oleObject progId="Equation.DSMT4" shapeId="8550" r:id="rId372"/>
      </mc:Fallback>
    </mc:AlternateContent>
    <mc:AlternateContent xmlns:mc="http://schemas.openxmlformats.org/markup-compatibility/2006">
      <mc:Choice Requires="x14">
        <oleObject progId="Equation.DSMT4" shapeId="8551" r:id="rId373">
          <objectPr defaultSize="0" r:id="rId25">
            <anchor moveWithCells="1">
              <from>
                <xdr:col>15</xdr:col>
                <xdr:colOff>304800</xdr:colOff>
                <xdr:row>206</xdr:row>
                <xdr:rowOff>85725</xdr:rowOff>
              </from>
              <to>
                <xdr:col>15</xdr:col>
                <xdr:colOff>733425</xdr:colOff>
                <xdr:row>207</xdr:row>
                <xdr:rowOff>161925</xdr:rowOff>
              </to>
            </anchor>
          </objectPr>
        </oleObject>
      </mc:Choice>
      <mc:Fallback>
        <oleObject progId="Equation.DSMT4" shapeId="8551" r:id="rId373"/>
      </mc:Fallback>
    </mc:AlternateContent>
    <mc:AlternateContent xmlns:mc="http://schemas.openxmlformats.org/markup-compatibility/2006">
      <mc:Choice Requires="x14">
        <oleObject progId="Equation.DSMT4" shapeId="8552" r:id="rId374">
          <objectPr defaultSize="0" r:id="rId27">
            <anchor moveWithCells="1">
              <from>
                <xdr:col>18</xdr:col>
                <xdr:colOff>304800</xdr:colOff>
                <xdr:row>206</xdr:row>
                <xdr:rowOff>76200</xdr:rowOff>
              </from>
              <to>
                <xdr:col>18</xdr:col>
                <xdr:colOff>733425</xdr:colOff>
                <xdr:row>207</xdr:row>
                <xdr:rowOff>161925</xdr:rowOff>
              </to>
            </anchor>
          </objectPr>
        </oleObject>
      </mc:Choice>
      <mc:Fallback>
        <oleObject progId="Equation.DSMT4" shapeId="8552" r:id="rId374"/>
      </mc:Fallback>
    </mc:AlternateContent>
    <mc:AlternateContent xmlns:mc="http://schemas.openxmlformats.org/markup-compatibility/2006">
      <mc:Choice Requires="x14">
        <oleObject progId="Equation.DSMT4" shapeId="8553" r:id="rId375">
          <objectPr defaultSize="0" r:id="rId15">
            <anchor moveWithCells="1">
              <from>
                <xdr:col>2</xdr:col>
                <xdr:colOff>428625</xdr:colOff>
                <xdr:row>223</xdr:row>
                <xdr:rowOff>152400</xdr:rowOff>
              </from>
              <to>
                <xdr:col>2</xdr:col>
                <xdr:colOff>609600</xdr:colOff>
                <xdr:row>224</xdr:row>
                <xdr:rowOff>104775</xdr:rowOff>
              </to>
            </anchor>
          </objectPr>
        </oleObject>
      </mc:Choice>
      <mc:Fallback>
        <oleObject progId="Equation.DSMT4" shapeId="8553" r:id="rId375"/>
      </mc:Fallback>
    </mc:AlternateContent>
    <mc:AlternateContent xmlns:mc="http://schemas.openxmlformats.org/markup-compatibility/2006">
      <mc:Choice Requires="x14">
        <oleObject progId="Equation.DSMT4" shapeId="8554" r:id="rId376">
          <objectPr defaultSize="0" r:id="rId17">
            <anchor moveWithCells="1">
              <from>
                <xdr:col>3</xdr:col>
                <xdr:colOff>257175</xdr:colOff>
                <xdr:row>223</xdr:row>
                <xdr:rowOff>85725</xdr:rowOff>
              </from>
              <to>
                <xdr:col>3</xdr:col>
                <xdr:colOff>676275</xdr:colOff>
                <xdr:row>224</xdr:row>
                <xdr:rowOff>161925</xdr:rowOff>
              </to>
            </anchor>
          </objectPr>
        </oleObject>
      </mc:Choice>
      <mc:Fallback>
        <oleObject progId="Equation.DSMT4" shapeId="8554" r:id="rId376"/>
      </mc:Fallback>
    </mc:AlternateContent>
    <mc:AlternateContent xmlns:mc="http://schemas.openxmlformats.org/markup-compatibility/2006">
      <mc:Choice Requires="x14">
        <oleObject progId="Equation.DSMT4" shapeId="8555" r:id="rId377">
          <objectPr defaultSize="0" r:id="rId19">
            <anchor moveWithCells="1">
              <from>
                <xdr:col>2</xdr:col>
                <xdr:colOff>295275</xdr:colOff>
                <xdr:row>226</xdr:row>
                <xdr:rowOff>104775</xdr:rowOff>
              </from>
              <to>
                <xdr:col>2</xdr:col>
                <xdr:colOff>733425</xdr:colOff>
                <xdr:row>227</xdr:row>
                <xdr:rowOff>228600</xdr:rowOff>
              </to>
            </anchor>
          </objectPr>
        </oleObject>
      </mc:Choice>
      <mc:Fallback>
        <oleObject progId="Equation.DSMT4" shapeId="8555" r:id="rId377"/>
      </mc:Fallback>
    </mc:AlternateContent>
    <mc:AlternateContent xmlns:mc="http://schemas.openxmlformats.org/markup-compatibility/2006">
      <mc:Choice Requires="x14">
        <oleObject progId="Equation.DSMT4" shapeId="8556" r:id="rId378">
          <objectPr defaultSize="0" r:id="rId21">
            <anchor moveWithCells="1">
              <from>
                <xdr:col>3</xdr:col>
                <xdr:colOff>295275</xdr:colOff>
                <xdr:row>226</xdr:row>
                <xdr:rowOff>104775</xdr:rowOff>
              </from>
              <to>
                <xdr:col>3</xdr:col>
                <xdr:colOff>733425</xdr:colOff>
                <xdr:row>227</xdr:row>
                <xdr:rowOff>228600</xdr:rowOff>
              </to>
            </anchor>
          </objectPr>
        </oleObject>
      </mc:Choice>
      <mc:Fallback>
        <oleObject progId="Equation.DSMT4" shapeId="8556" r:id="rId378"/>
      </mc:Fallback>
    </mc:AlternateContent>
    <mc:AlternateContent xmlns:mc="http://schemas.openxmlformats.org/markup-compatibility/2006">
      <mc:Choice Requires="x14">
        <oleObject progId="Equation.DSMT4" shapeId="8557" r:id="rId379">
          <objectPr defaultSize="0" r:id="rId23">
            <anchor moveWithCells="1">
              <from>
                <xdr:col>4</xdr:col>
                <xdr:colOff>314325</xdr:colOff>
                <xdr:row>223</xdr:row>
                <xdr:rowOff>85725</xdr:rowOff>
              </from>
              <to>
                <xdr:col>4</xdr:col>
                <xdr:colOff>733425</xdr:colOff>
                <xdr:row>224</xdr:row>
                <xdr:rowOff>161925</xdr:rowOff>
              </to>
            </anchor>
          </objectPr>
        </oleObject>
      </mc:Choice>
      <mc:Fallback>
        <oleObject progId="Equation.DSMT4" shapeId="8557" r:id="rId379"/>
      </mc:Fallback>
    </mc:AlternateContent>
    <mc:AlternateContent xmlns:mc="http://schemas.openxmlformats.org/markup-compatibility/2006">
      <mc:Choice Requires="x14">
        <oleObject progId="Equation.DSMT4" shapeId="8558" r:id="rId380">
          <objectPr defaultSize="0" r:id="rId25">
            <anchor moveWithCells="1">
              <from>
                <xdr:col>4</xdr:col>
                <xdr:colOff>304800</xdr:colOff>
                <xdr:row>226</xdr:row>
                <xdr:rowOff>85725</xdr:rowOff>
              </from>
              <to>
                <xdr:col>4</xdr:col>
                <xdr:colOff>733425</xdr:colOff>
                <xdr:row>227</xdr:row>
                <xdr:rowOff>161925</xdr:rowOff>
              </to>
            </anchor>
          </objectPr>
        </oleObject>
      </mc:Choice>
      <mc:Fallback>
        <oleObject progId="Equation.DSMT4" shapeId="8558" r:id="rId380"/>
      </mc:Fallback>
    </mc:AlternateContent>
    <mc:AlternateContent xmlns:mc="http://schemas.openxmlformats.org/markup-compatibility/2006">
      <mc:Choice Requires="x14">
        <oleObject progId="Equation.DSMT4" shapeId="8559" r:id="rId381">
          <objectPr defaultSize="0" r:id="rId27">
            <anchor moveWithCells="1">
              <from>
                <xdr:col>7</xdr:col>
                <xdr:colOff>304800</xdr:colOff>
                <xdr:row>226</xdr:row>
                <xdr:rowOff>76200</xdr:rowOff>
              </from>
              <to>
                <xdr:col>7</xdr:col>
                <xdr:colOff>733425</xdr:colOff>
                <xdr:row>227</xdr:row>
                <xdr:rowOff>161925</xdr:rowOff>
              </to>
            </anchor>
          </objectPr>
        </oleObject>
      </mc:Choice>
      <mc:Fallback>
        <oleObject progId="Equation.DSMT4" shapeId="8559" r:id="rId381"/>
      </mc:Fallback>
    </mc:AlternateContent>
    <mc:AlternateContent xmlns:mc="http://schemas.openxmlformats.org/markup-compatibility/2006">
      <mc:Choice Requires="x14">
        <oleObject progId="Equation.DSMT4" shapeId="8560" r:id="rId382">
          <objectPr defaultSize="0" r:id="rId15">
            <anchor moveWithCells="1">
              <from>
                <xdr:col>13</xdr:col>
                <xdr:colOff>428625</xdr:colOff>
                <xdr:row>223</xdr:row>
                <xdr:rowOff>152400</xdr:rowOff>
              </from>
              <to>
                <xdr:col>13</xdr:col>
                <xdr:colOff>609600</xdr:colOff>
                <xdr:row>224</xdr:row>
                <xdr:rowOff>104775</xdr:rowOff>
              </to>
            </anchor>
          </objectPr>
        </oleObject>
      </mc:Choice>
      <mc:Fallback>
        <oleObject progId="Equation.DSMT4" shapeId="8560" r:id="rId382"/>
      </mc:Fallback>
    </mc:AlternateContent>
    <mc:AlternateContent xmlns:mc="http://schemas.openxmlformats.org/markup-compatibility/2006">
      <mc:Choice Requires="x14">
        <oleObject progId="Equation.DSMT4" shapeId="8561" r:id="rId383">
          <objectPr defaultSize="0" r:id="rId17">
            <anchor moveWithCells="1">
              <from>
                <xdr:col>14</xdr:col>
                <xdr:colOff>257175</xdr:colOff>
                <xdr:row>223</xdr:row>
                <xdr:rowOff>85725</xdr:rowOff>
              </from>
              <to>
                <xdr:col>14</xdr:col>
                <xdr:colOff>676275</xdr:colOff>
                <xdr:row>224</xdr:row>
                <xdr:rowOff>161925</xdr:rowOff>
              </to>
            </anchor>
          </objectPr>
        </oleObject>
      </mc:Choice>
      <mc:Fallback>
        <oleObject progId="Equation.DSMT4" shapeId="8561" r:id="rId383"/>
      </mc:Fallback>
    </mc:AlternateContent>
    <mc:AlternateContent xmlns:mc="http://schemas.openxmlformats.org/markup-compatibility/2006">
      <mc:Choice Requires="x14">
        <oleObject progId="Equation.DSMT4" shapeId="8562" r:id="rId384">
          <objectPr defaultSize="0" r:id="rId19">
            <anchor moveWithCells="1">
              <from>
                <xdr:col>13</xdr:col>
                <xdr:colOff>295275</xdr:colOff>
                <xdr:row>226</xdr:row>
                <xdr:rowOff>104775</xdr:rowOff>
              </from>
              <to>
                <xdr:col>13</xdr:col>
                <xdr:colOff>733425</xdr:colOff>
                <xdr:row>227</xdr:row>
                <xdr:rowOff>228600</xdr:rowOff>
              </to>
            </anchor>
          </objectPr>
        </oleObject>
      </mc:Choice>
      <mc:Fallback>
        <oleObject progId="Equation.DSMT4" shapeId="8562" r:id="rId384"/>
      </mc:Fallback>
    </mc:AlternateContent>
    <mc:AlternateContent xmlns:mc="http://schemas.openxmlformats.org/markup-compatibility/2006">
      <mc:Choice Requires="x14">
        <oleObject progId="Equation.DSMT4" shapeId="8563" r:id="rId385">
          <objectPr defaultSize="0" r:id="rId21">
            <anchor moveWithCells="1">
              <from>
                <xdr:col>14</xdr:col>
                <xdr:colOff>295275</xdr:colOff>
                <xdr:row>226</xdr:row>
                <xdr:rowOff>104775</xdr:rowOff>
              </from>
              <to>
                <xdr:col>14</xdr:col>
                <xdr:colOff>733425</xdr:colOff>
                <xdr:row>227</xdr:row>
                <xdr:rowOff>228600</xdr:rowOff>
              </to>
            </anchor>
          </objectPr>
        </oleObject>
      </mc:Choice>
      <mc:Fallback>
        <oleObject progId="Equation.DSMT4" shapeId="8563" r:id="rId385"/>
      </mc:Fallback>
    </mc:AlternateContent>
    <mc:AlternateContent xmlns:mc="http://schemas.openxmlformats.org/markup-compatibility/2006">
      <mc:Choice Requires="x14">
        <oleObject progId="Equation.DSMT4" shapeId="8564" r:id="rId386">
          <objectPr defaultSize="0" r:id="rId23">
            <anchor moveWithCells="1">
              <from>
                <xdr:col>15</xdr:col>
                <xdr:colOff>314325</xdr:colOff>
                <xdr:row>223</xdr:row>
                <xdr:rowOff>85725</xdr:rowOff>
              </from>
              <to>
                <xdr:col>15</xdr:col>
                <xdr:colOff>733425</xdr:colOff>
                <xdr:row>224</xdr:row>
                <xdr:rowOff>161925</xdr:rowOff>
              </to>
            </anchor>
          </objectPr>
        </oleObject>
      </mc:Choice>
      <mc:Fallback>
        <oleObject progId="Equation.DSMT4" shapeId="8564" r:id="rId386"/>
      </mc:Fallback>
    </mc:AlternateContent>
    <mc:AlternateContent xmlns:mc="http://schemas.openxmlformats.org/markup-compatibility/2006">
      <mc:Choice Requires="x14">
        <oleObject progId="Equation.DSMT4" shapeId="8565" r:id="rId387">
          <objectPr defaultSize="0" r:id="rId25">
            <anchor moveWithCells="1">
              <from>
                <xdr:col>15</xdr:col>
                <xdr:colOff>304800</xdr:colOff>
                <xdr:row>226</xdr:row>
                <xdr:rowOff>85725</xdr:rowOff>
              </from>
              <to>
                <xdr:col>15</xdr:col>
                <xdr:colOff>733425</xdr:colOff>
                <xdr:row>227</xdr:row>
                <xdr:rowOff>161925</xdr:rowOff>
              </to>
            </anchor>
          </objectPr>
        </oleObject>
      </mc:Choice>
      <mc:Fallback>
        <oleObject progId="Equation.DSMT4" shapeId="8565" r:id="rId387"/>
      </mc:Fallback>
    </mc:AlternateContent>
    <mc:AlternateContent xmlns:mc="http://schemas.openxmlformats.org/markup-compatibility/2006">
      <mc:Choice Requires="x14">
        <oleObject progId="Equation.DSMT4" shapeId="8566" r:id="rId388">
          <objectPr defaultSize="0" r:id="rId27">
            <anchor moveWithCells="1">
              <from>
                <xdr:col>18</xdr:col>
                <xdr:colOff>304800</xdr:colOff>
                <xdr:row>226</xdr:row>
                <xdr:rowOff>76200</xdr:rowOff>
              </from>
              <to>
                <xdr:col>18</xdr:col>
                <xdr:colOff>733425</xdr:colOff>
                <xdr:row>227</xdr:row>
                <xdr:rowOff>161925</xdr:rowOff>
              </to>
            </anchor>
          </objectPr>
        </oleObject>
      </mc:Choice>
      <mc:Fallback>
        <oleObject progId="Equation.DSMT4" shapeId="8566" r:id="rId388"/>
      </mc:Fallback>
    </mc:AlternateContent>
    <mc:AlternateContent xmlns:mc="http://schemas.openxmlformats.org/markup-compatibility/2006">
      <mc:Choice Requires="x14">
        <oleObject progId="Equation.DSMT4" shapeId="8567" r:id="rId389">
          <objectPr defaultSize="0" r:id="rId15">
            <anchor moveWithCells="1">
              <from>
                <xdr:col>2</xdr:col>
                <xdr:colOff>428625</xdr:colOff>
                <xdr:row>243</xdr:row>
                <xdr:rowOff>152400</xdr:rowOff>
              </from>
              <to>
                <xdr:col>2</xdr:col>
                <xdr:colOff>609600</xdr:colOff>
                <xdr:row>244</xdr:row>
                <xdr:rowOff>104775</xdr:rowOff>
              </to>
            </anchor>
          </objectPr>
        </oleObject>
      </mc:Choice>
      <mc:Fallback>
        <oleObject progId="Equation.DSMT4" shapeId="8567" r:id="rId389"/>
      </mc:Fallback>
    </mc:AlternateContent>
    <mc:AlternateContent xmlns:mc="http://schemas.openxmlformats.org/markup-compatibility/2006">
      <mc:Choice Requires="x14">
        <oleObject progId="Equation.DSMT4" shapeId="8568" r:id="rId390">
          <objectPr defaultSize="0" r:id="rId17">
            <anchor moveWithCells="1">
              <from>
                <xdr:col>3</xdr:col>
                <xdr:colOff>257175</xdr:colOff>
                <xdr:row>243</xdr:row>
                <xdr:rowOff>85725</xdr:rowOff>
              </from>
              <to>
                <xdr:col>3</xdr:col>
                <xdr:colOff>676275</xdr:colOff>
                <xdr:row>244</xdr:row>
                <xdr:rowOff>161925</xdr:rowOff>
              </to>
            </anchor>
          </objectPr>
        </oleObject>
      </mc:Choice>
      <mc:Fallback>
        <oleObject progId="Equation.DSMT4" shapeId="8568" r:id="rId390"/>
      </mc:Fallback>
    </mc:AlternateContent>
    <mc:AlternateContent xmlns:mc="http://schemas.openxmlformats.org/markup-compatibility/2006">
      <mc:Choice Requires="x14">
        <oleObject progId="Equation.DSMT4" shapeId="8569" r:id="rId391">
          <objectPr defaultSize="0" r:id="rId19">
            <anchor moveWithCells="1">
              <from>
                <xdr:col>2</xdr:col>
                <xdr:colOff>295275</xdr:colOff>
                <xdr:row>246</xdr:row>
                <xdr:rowOff>104775</xdr:rowOff>
              </from>
              <to>
                <xdr:col>2</xdr:col>
                <xdr:colOff>733425</xdr:colOff>
                <xdr:row>247</xdr:row>
                <xdr:rowOff>228600</xdr:rowOff>
              </to>
            </anchor>
          </objectPr>
        </oleObject>
      </mc:Choice>
      <mc:Fallback>
        <oleObject progId="Equation.DSMT4" shapeId="8569" r:id="rId391"/>
      </mc:Fallback>
    </mc:AlternateContent>
    <mc:AlternateContent xmlns:mc="http://schemas.openxmlformats.org/markup-compatibility/2006">
      <mc:Choice Requires="x14">
        <oleObject progId="Equation.DSMT4" shapeId="8570" r:id="rId392">
          <objectPr defaultSize="0" r:id="rId21">
            <anchor moveWithCells="1">
              <from>
                <xdr:col>3</xdr:col>
                <xdr:colOff>295275</xdr:colOff>
                <xdr:row>246</xdr:row>
                <xdr:rowOff>104775</xdr:rowOff>
              </from>
              <to>
                <xdr:col>3</xdr:col>
                <xdr:colOff>733425</xdr:colOff>
                <xdr:row>247</xdr:row>
                <xdr:rowOff>228600</xdr:rowOff>
              </to>
            </anchor>
          </objectPr>
        </oleObject>
      </mc:Choice>
      <mc:Fallback>
        <oleObject progId="Equation.DSMT4" shapeId="8570" r:id="rId392"/>
      </mc:Fallback>
    </mc:AlternateContent>
    <mc:AlternateContent xmlns:mc="http://schemas.openxmlformats.org/markup-compatibility/2006">
      <mc:Choice Requires="x14">
        <oleObject progId="Equation.DSMT4" shapeId="8571" r:id="rId393">
          <objectPr defaultSize="0" r:id="rId23">
            <anchor moveWithCells="1">
              <from>
                <xdr:col>4</xdr:col>
                <xdr:colOff>314325</xdr:colOff>
                <xdr:row>243</xdr:row>
                <xdr:rowOff>85725</xdr:rowOff>
              </from>
              <to>
                <xdr:col>4</xdr:col>
                <xdr:colOff>733425</xdr:colOff>
                <xdr:row>244</xdr:row>
                <xdr:rowOff>161925</xdr:rowOff>
              </to>
            </anchor>
          </objectPr>
        </oleObject>
      </mc:Choice>
      <mc:Fallback>
        <oleObject progId="Equation.DSMT4" shapeId="8571" r:id="rId393"/>
      </mc:Fallback>
    </mc:AlternateContent>
    <mc:AlternateContent xmlns:mc="http://schemas.openxmlformats.org/markup-compatibility/2006">
      <mc:Choice Requires="x14">
        <oleObject progId="Equation.DSMT4" shapeId="8572" r:id="rId394">
          <objectPr defaultSize="0" r:id="rId25">
            <anchor moveWithCells="1">
              <from>
                <xdr:col>4</xdr:col>
                <xdr:colOff>304800</xdr:colOff>
                <xdr:row>246</xdr:row>
                <xdr:rowOff>85725</xdr:rowOff>
              </from>
              <to>
                <xdr:col>4</xdr:col>
                <xdr:colOff>733425</xdr:colOff>
                <xdr:row>247</xdr:row>
                <xdr:rowOff>161925</xdr:rowOff>
              </to>
            </anchor>
          </objectPr>
        </oleObject>
      </mc:Choice>
      <mc:Fallback>
        <oleObject progId="Equation.DSMT4" shapeId="8572" r:id="rId394"/>
      </mc:Fallback>
    </mc:AlternateContent>
    <mc:AlternateContent xmlns:mc="http://schemas.openxmlformats.org/markup-compatibility/2006">
      <mc:Choice Requires="x14">
        <oleObject progId="Equation.DSMT4" shapeId="8573" r:id="rId395">
          <objectPr defaultSize="0" r:id="rId27">
            <anchor moveWithCells="1">
              <from>
                <xdr:col>7</xdr:col>
                <xdr:colOff>304800</xdr:colOff>
                <xdr:row>246</xdr:row>
                <xdr:rowOff>76200</xdr:rowOff>
              </from>
              <to>
                <xdr:col>7</xdr:col>
                <xdr:colOff>733425</xdr:colOff>
                <xdr:row>247</xdr:row>
                <xdr:rowOff>161925</xdr:rowOff>
              </to>
            </anchor>
          </objectPr>
        </oleObject>
      </mc:Choice>
      <mc:Fallback>
        <oleObject progId="Equation.DSMT4" shapeId="8573" r:id="rId395"/>
      </mc:Fallback>
    </mc:AlternateContent>
    <mc:AlternateContent xmlns:mc="http://schemas.openxmlformats.org/markup-compatibility/2006">
      <mc:Choice Requires="x14">
        <oleObject progId="Equation.DSMT4" shapeId="8574" r:id="rId396">
          <objectPr defaultSize="0" r:id="rId15">
            <anchor moveWithCells="1">
              <from>
                <xdr:col>13</xdr:col>
                <xdr:colOff>428625</xdr:colOff>
                <xdr:row>243</xdr:row>
                <xdr:rowOff>152400</xdr:rowOff>
              </from>
              <to>
                <xdr:col>13</xdr:col>
                <xdr:colOff>609600</xdr:colOff>
                <xdr:row>244</xdr:row>
                <xdr:rowOff>104775</xdr:rowOff>
              </to>
            </anchor>
          </objectPr>
        </oleObject>
      </mc:Choice>
      <mc:Fallback>
        <oleObject progId="Equation.DSMT4" shapeId="8574" r:id="rId396"/>
      </mc:Fallback>
    </mc:AlternateContent>
    <mc:AlternateContent xmlns:mc="http://schemas.openxmlformats.org/markup-compatibility/2006">
      <mc:Choice Requires="x14">
        <oleObject progId="Equation.DSMT4" shapeId="8575" r:id="rId397">
          <objectPr defaultSize="0" r:id="rId17">
            <anchor moveWithCells="1">
              <from>
                <xdr:col>14</xdr:col>
                <xdr:colOff>257175</xdr:colOff>
                <xdr:row>243</xdr:row>
                <xdr:rowOff>85725</xdr:rowOff>
              </from>
              <to>
                <xdr:col>14</xdr:col>
                <xdr:colOff>676275</xdr:colOff>
                <xdr:row>244</xdr:row>
                <xdr:rowOff>161925</xdr:rowOff>
              </to>
            </anchor>
          </objectPr>
        </oleObject>
      </mc:Choice>
      <mc:Fallback>
        <oleObject progId="Equation.DSMT4" shapeId="8575" r:id="rId397"/>
      </mc:Fallback>
    </mc:AlternateContent>
    <mc:AlternateContent xmlns:mc="http://schemas.openxmlformats.org/markup-compatibility/2006">
      <mc:Choice Requires="x14">
        <oleObject progId="Equation.DSMT4" shapeId="8576" r:id="rId398">
          <objectPr defaultSize="0" r:id="rId19">
            <anchor moveWithCells="1">
              <from>
                <xdr:col>13</xdr:col>
                <xdr:colOff>295275</xdr:colOff>
                <xdr:row>246</xdr:row>
                <xdr:rowOff>104775</xdr:rowOff>
              </from>
              <to>
                <xdr:col>13</xdr:col>
                <xdr:colOff>733425</xdr:colOff>
                <xdr:row>247</xdr:row>
                <xdr:rowOff>228600</xdr:rowOff>
              </to>
            </anchor>
          </objectPr>
        </oleObject>
      </mc:Choice>
      <mc:Fallback>
        <oleObject progId="Equation.DSMT4" shapeId="8576" r:id="rId398"/>
      </mc:Fallback>
    </mc:AlternateContent>
    <mc:AlternateContent xmlns:mc="http://schemas.openxmlformats.org/markup-compatibility/2006">
      <mc:Choice Requires="x14">
        <oleObject progId="Equation.DSMT4" shapeId="8577" r:id="rId399">
          <objectPr defaultSize="0" r:id="rId21">
            <anchor moveWithCells="1">
              <from>
                <xdr:col>14</xdr:col>
                <xdr:colOff>295275</xdr:colOff>
                <xdr:row>246</xdr:row>
                <xdr:rowOff>104775</xdr:rowOff>
              </from>
              <to>
                <xdr:col>14</xdr:col>
                <xdr:colOff>733425</xdr:colOff>
                <xdr:row>247</xdr:row>
                <xdr:rowOff>228600</xdr:rowOff>
              </to>
            </anchor>
          </objectPr>
        </oleObject>
      </mc:Choice>
      <mc:Fallback>
        <oleObject progId="Equation.DSMT4" shapeId="8577" r:id="rId399"/>
      </mc:Fallback>
    </mc:AlternateContent>
    <mc:AlternateContent xmlns:mc="http://schemas.openxmlformats.org/markup-compatibility/2006">
      <mc:Choice Requires="x14">
        <oleObject progId="Equation.DSMT4" shapeId="8578" r:id="rId400">
          <objectPr defaultSize="0" r:id="rId23">
            <anchor moveWithCells="1">
              <from>
                <xdr:col>15</xdr:col>
                <xdr:colOff>314325</xdr:colOff>
                <xdr:row>243</xdr:row>
                <xdr:rowOff>85725</xdr:rowOff>
              </from>
              <to>
                <xdr:col>15</xdr:col>
                <xdr:colOff>733425</xdr:colOff>
                <xdr:row>244</xdr:row>
                <xdr:rowOff>161925</xdr:rowOff>
              </to>
            </anchor>
          </objectPr>
        </oleObject>
      </mc:Choice>
      <mc:Fallback>
        <oleObject progId="Equation.DSMT4" shapeId="8578" r:id="rId400"/>
      </mc:Fallback>
    </mc:AlternateContent>
    <mc:AlternateContent xmlns:mc="http://schemas.openxmlformats.org/markup-compatibility/2006">
      <mc:Choice Requires="x14">
        <oleObject progId="Equation.DSMT4" shapeId="8579" r:id="rId401">
          <objectPr defaultSize="0" r:id="rId25">
            <anchor moveWithCells="1">
              <from>
                <xdr:col>15</xdr:col>
                <xdr:colOff>304800</xdr:colOff>
                <xdr:row>246</xdr:row>
                <xdr:rowOff>85725</xdr:rowOff>
              </from>
              <to>
                <xdr:col>15</xdr:col>
                <xdr:colOff>733425</xdr:colOff>
                <xdr:row>247</xdr:row>
                <xdr:rowOff>161925</xdr:rowOff>
              </to>
            </anchor>
          </objectPr>
        </oleObject>
      </mc:Choice>
      <mc:Fallback>
        <oleObject progId="Equation.DSMT4" shapeId="8579" r:id="rId401"/>
      </mc:Fallback>
    </mc:AlternateContent>
    <mc:AlternateContent xmlns:mc="http://schemas.openxmlformats.org/markup-compatibility/2006">
      <mc:Choice Requires="x14">
        <oleObject progId="Equation.DSMT4" shapeId="8580" r:id="rId402">
          <objectPr defaultSize="0" r:id="rId27">
            <anchor moveWithCells="1">
              <from>
                <xdr:col>18</xdr:col>
                <xdr:colOff>304800</xdr:colOff>
                <xdr:row>246</xdr:row>
                <xdr:rowOff>76200</xdr:rowOff>
              </from>
              <to>
                <xdr:col>18</xdr:col>
                <xdr:colOff>733425</xdr:colOff>
                <xdr:row>247</xdr:row>
                <xdr:rowOff>161925</xdr:rowOff>
              </to>
            </anchor>
          </objectPr>
        </oleObject>
      </mc:Choice>
      <mc:Fallback>
        <oleObject progId="Equation.DSMT4" shapeId="8580" r:id="rId402"/>
      </mc:Fallback>
    </mc:AlternateContent>
    <mc:AlternateContent xmlns:mc="http://schemas.openxmlformats.org/markup-compatibility/2006">
      <mc:Choice Requires="x14">
        <oleObject progId="Equation.DSMT4" shapeId="8581" r:id="rId403">
          <objectPr defaultSize="0" r:id="rId15">
            <anchor moveWithCells="1">
              <from>
                <xdr:col>2</xdr:col>
                <xdr:colOff>428625</xdr:colOff>
                <xdr:row>263</xdr:row>
                <xdr:rowOff>152400</xdr:rowOff>
              </from>
              <to>
                <xdr:col>2</xdr:col>
                <xdr:colOff>609600</xdr:colOff>
                <xdr:row>264</xdr:row>
                <xdr:rowOff>104775</xdr:rowOff>
              </to>
            </anchor>
          </objectPr>
        </oleObject>
      </mc:Choice>
      <mc:Fallback>
        <oleObject progId="Equation.DSMT4" shapeId="8581" r:id="rId403"/>
      </mc:Fallback>
    </mc:AlternateContent>
    <mc:AlternateContent xmlns:mc="http://schemas.openxmlformats.org/markup-compatibility/2006">
      <mc:Choice Requires="x14">
        <oleObject progId="Equation.DSMT4" shapeId="8582" r:id="rId404">
          <objectPr defaultSize="0" r:id="rId17">
            <anchor moveWithCells="1">
              <from>
                <xdr:col>3</xdr:col>
                <xdr:colOff>257175</xdr:colOff>
                <xdr:row>263</xdr:row>
                <xdr:rowOff>85725</xdr:rowOff>
              </from>
              <to>
                <xdr:col>3</xdr:col>
                <xdr:colOff>676275</xdr:colOff>
                <xdr:row>264</xdr:row>
                <xdr:rowOff>161925</xdr:rowOff>
              </to>
            </anchor>
          </objectPr>
        </oleObject>
      </mc:Choice>
      <mc:Fallback>
        <oleObject progId="Equation.DSMT4" shapeId="8582" r:id="rId404"/>
      </mc:Fallback>
    </mc:AlternateContent>
    <mc:AlternateContent xmlns:mc="http://schemas.openxmlformats.org/markup-compatibility/2006">
      <mc:Choice Requires="x14">
        <oleObject progId="Equation.DSMT4" shapeId="8583" r:id="rId405">
          <objectPr defaultSize="0" r:id="rId19">
            <anchor moveWithCells="1">
              <from>
                <xdr:col>2</xdr:col>
                <xdr:colOff>295275</xdr:colOff>
                <xdr:row>266</xdr:row>
                <xdr:rowOff>104775</xdr:rowOff>
              </from>
              <to>
                <xdr:col>2</xdr:col>
                <xdr:colOff>733425</xdr:colOff>
                <xdr:row>267</xdr:row>
                <xdr:rowOff>228600</xdr:rowOff>
              </to>
            </anchor>
          </objectPr>
        </oleObject>
      </mc:Choice>
      <mc:Fallback>
        <oleObject progId="Equation.DSMT4" shapeId="8583" r:id="rId405"/>
      </mc:Fallback>
    </mc:AlternateContent>
    <mc:AlternateContent xmlns:mc="http://schemas.openxmlformats.org/markup-compatibility/2006">
      <mc:Choice Requires="x14">
        <oleObject progId="Equation.DSMT4" shapeId="8584" r:id="rId406">
          <objectPr defaultSize="0" r:id="rId21">
            <anchor moveWithCells="1">
              <from>
                <xdr:col>3</xdr:col>
                <xdr:colOff>295275</xdr:colOff>
                <xdr:row>266</xdr:row>
                <xdr:rowOff>104775</xdr:rowOff>
              </from>
              <to>
                <xdr:col>3</xdr:col>
                <xdr:colOff>733425</xdr:colOff>
                <xdr:row>267</xdr:row>
                <xdr:rowOff>228600</xdr:rowOff>
              </to>
            </anchor>
          </objectPr>
        </oleObject>
      </mc:Choice>
      <mc:Fallback>
        <oleObject progId="Equation.DSMT4" shapeId="8584" r:id="rId406"/>
      </mc:Fallback>
    </mc:AlternateContent>
    <mc:AlternateContent xmlns:mc="http://schemas.openxmlformats.org/markup-compatibility/2006">
      <mc:Choice Requires="x14">
        <oleObject progId="Equation.DSMT4" shapeId="8585" r:id="rId407">
          <objectPr defaultSize="0" r:id="rId23">
            <anchor moveWithCells="1">
              <from>
                <xdr:col>4</xdr:col>
                <xdr:colOff>314325</xdr:colOff>
                <xdr:row>263</xdr:row>
                <xdr:rowOff>85725</xdr:rowOff>
              </from>
              <to>
                <xdr:col>4</xdr:col>
                <xdr:colOff>733425</xdr:colOff>
                <xdr:row>264</xdr:row>
                <xdr:rowOff>161925</xdr:rowOff>
              </to>
            </anchor>
          </objectPr>
        </oleObject>
      </mc:Choice>
      <mc:Fallback>
        <oleObject progId="Equation.DSMT4" shapeId="8585" r:id="rId407"/>
      </mc:Fallback>
    </mc:AlternateContent>
    <mc:AlternateContent xmlns:mc="http://schemas.openxmlformats.org/markup-compatibility/2006">
      <mc:Choice Requires="x14">
        <oleObject progId="Equation.DSMT4" shapeId="8586" r:id="rId408">
          <objectPr defaultSize="0" r:id="rId25">
            <anchor moveWithCells="1">
              <from>
                <xdr:col>4</xdr:col>
                <xdr:colOff>304800</xdr:colOff>
                <xdr:row>266</xdr:row>
                <xdr:rowOff>85725</xdr:rowOff>
              </from>
              <to>
                <xdr:col>4</xdr:col>
                <xdr:colOff>733425</xdr:colOff>
                <xdr:row>267</xdr:row>
                <xdr:rowOff>161925</xdr:rowOff>
              </to>
            </anchor>
          </objectPr>
        </oleObject>
      </mc:Choice>
      <mc:Fallback>
        <oleObject progId="Equation.DSMT4" shapeId="8586" r:id="rId408"/>
      </mc:Fallback>
    </mc:AlternateContent>
    <mc:AlternateContent xmlns:mc="http://schemas.openxmlformats.org/markup-compatibility/2006">
      <mc:Choice Requires="x14">
        <oleObject progId="Equation.DSMT4" shapeId="8587" r:id="rId409">
          <objectPr defaultSize="0" r:id="rId27">
            <anchor moveWithCells="1">
              <from>
                <xdr:col>7</xdr:col>
                <xdr:colOff>304800</xdr:colOff>
                <xdr:row>266</xdr:row>
                <xdr:rowOff>76200</xdr:rowOff>
              </from>
              <to>
                <xdr:col>7</xdr:col>
                <xdr:colOff>733425</xdr:colOff>
                <xdr:row>267</xdr:row>
                <xdr:rowOff>161925</xdr:rowOff>
              </to>
            </anchor>
          </objectPr>
        </oleObject>
      </mc:Choice>
      <mc:Fallback>
        <oleObject progId="Equation.DSMT4" shapeId="8587" r:id="rId409"/>
      </mc:Fallback>
    </mc:AlternateContent>
    <mc:AlternateContent xmlns:mc="http://schemas.openxmlformats.org/markup-compatibility/2006">
      <mc:Choice Requires="x14">
        <oleObject progId="Equation.DSMT4" shapeId="8588" r:id="rId410">
          <objectPr defaultSize="0" r:id="rId15">
            <anchor moveWithCells="1">
              <from>
                <xdr:col>13</xdr:col>
                <xdr:colOff>428625</xdr:colOff>
                <xdr:row>263</xdr:row>
                <xdr:rowOff>152400</xdr:rowOff>
              </from>
              <to>
                <xdr:col>13</xdr:col>
                <xdr:colOff>609600</xdr:colOff>
                <xdr:row>264</xdr:row>
                <xdr:rowOff>104775</xdr:rowOff>
              </to>
            </anchor>
          </objectPr>
        </oleObject>
      </mc:Choice>
      <mc:Fallback>
        <oleObject progId="Equation.DSMT4" shapeId="8588" r:id="rId410"/>
      </mc:Fallback>
    </mc:AlternateContent>
    <mc:AlternateContent xmlns:mc="http://schemas.openxmlformats.org/markup-compatibility/2006">
      <mc:Choice Requires="x14">
        <oleObject progId="Equation.DSMT4" shapeId="8589" r:id="rId411">
          <objectPr defaultSize="0" r:id="rId17">
            <anchor moveWithCells="1">
              <from>
                <xdr:col>14</xdr:col>
                <xdr:colOff>257175</xdr:colOff>
                <xdr:row>263</xdr:row>
                <xdr:rowOff>85725</xdr:rowOff>
              </from>
              <to>
                <xdr:col>14</xdr:col>
                <xdr:colOff>676275</xdr:colOff>
                <xdr:row>264</xdr:row>
                <xdr:rowOff>161925</xdr:rowOff>
              </to>
            </anchor>
          </objectPr>
        </oleObject>
      </mc:Choice>
      <mc:Fallback>
        <oleObject progId="Equation.DSMT4" shapeId="8589" r:id="rId411"/>
      </mc:Fallback>
    </mc:AlternateContent>
    <mc:AlternateContent xmlns:mc="http://schemas.openxmlformats.org/markup-compatibility/2006">
      <mc:Choice Requires="x14">
        <oleObject progId="Equation.DSMT4" shapeId="8590" r:id="rId412">
          <objectPr defaultSize="0" r:id="rId19">
            <anchor moveWithCells="1">
              <from>
                <xdr:col>13</xdr:col>
                <xdr:colOff>295275</xdr:colOff>
                <xdr:row>266</xdr:row>
                <xdr:rowOff>104775</xdr:rowOff>
              </from>
              <to>
                <xdr:col>13</xdr:col>
                <xdr:colOff>733425</xdr:colOff>
                <xdr:row>267</xdr:row>
                <xdr:rowOff>228600</xdr:rowOff>
              </to>
            </anchor>
          </objectPr>
        </oleObject>
      </mc:Choice>
      <mc:Fallback>
        <oleObject progId="Equation.DSMT4" shapeId="8590" r:id="rId412"/>
      </mc:Fallback>
    </mc:AlternateContent>
    <mc:AlternateContent xmlns:mc="http://schemas.openxmlformats.org/markup-compatibility/2006">
      <mc:Choice Requires="x14">
        <oleObject progId="Equation.DSMT4" shapeId="8591" r:id="rId413">
          <objectPr defaultSize="0" r:id="rId21">
            <anchor moveWithCells="1">
              <from>
                <xdr:col>14</xdr:col>
                <xdr:colOff>295275</xdr:colOff>
                <xdr:row>266</xdr:row>
                <xdr:rowOff>104775</xdr:rowOff>
              </from>
              <to>
                <xdr:col>14</xdr:col>
                <xdr:colOff>733425</xdr:colOff>
                <xdr:row>267</xdr:row>
                <xdr:rowOff>228600</xdr:rowOff>
              </to>
            </anchor>
          </objectPr>
        </oleObject>
      </mc:Choice>
      <mc:Fallback>
        <oleObject progId="Equation.DSMT4" shapeId="8591" r:id="rId413"/>
      </mc:Fallback>
    </mc:AlternateContent>
    <mc:AlternateContent xmlns:mc="http://schemas.openxmlformats.org/markup-compatibility/2006">
      <mc:Choice Requires="x14">
        <oleObject progId="Equation.DSMT4" shapeId="8592" r:id="rId414">
          <objectPr defaultSize="0" r:id="rId23">
            <anchor moveWithCells="1">
              <from>
                <xdr:col>15</xdr:col>
                <xdr:colOff>314325</xdr:colOff>
                <xdr:row>263</xdr:row>
                <xdr:rowOff>85725</xdr:rowOff>
              </from>
              <to>
                <xdr:col>15</xdr:col>
                <xdr:colOff>733425</xdr:colOff>
                <xdr:row>264</xdr:row>
                <xdr:rowOff>161925</xdr:rowOff>
              </to>
            </anchor>
          </objectPr>
        </oleObject>
      </mc:Choice>
      <mc:Fallback>
        <oleObject progId="Equation.DSMT4" shapeId="8592" r:id="rId414"/>
      </mc:Fallback>
    </mc:AlternateContent>
    <mc:AlternateContent xmlns:mc="http://schemas.openxmlformats.org/markup-compatibility/2006">
      <mc:Choice Requires="x14">
        <oleObject progId="Equation.DSMT4" shapeId="8593" r:id="rId415">
          <objectPr defaultSize="0" r:id="rId25">
            <anchor moveWithCells="1">
              <from>
                <xdr:col>15</xdr:col>
                <xdr:colOff>304800</xdr:colOff>
                <xdr:row>266</xdr:row>
                <xdr:rowOff>85725</xdr:rowOff>
              </from>
              <to>
                <xdr:col>15</xdr:col>
                <xdr:colOff>733425</xdr:colOff>
                <xdr:row>267</xdr:row>
                <xdr:rowOff>161925</xdr:rowOff>
              </to>
            </anchor>
          </objectPr>
        </oleObject>
      </mc:Choice>
      <mc:Fallback>
        <oleObject progId="Equation.DSMT4" shapeId="8593" r:id="rId415"/>
      </mc:Fallback>
    </mc:AlternateContent>
    <mc:AlternateContent xmlns:mc="http://schemas.openxmlformats.org/markup-compatibility/2006">
      <mc:Choice Requires="x14">
        <oleObject progId="Equation.DSMT4" shapeId="8594" r:id="rId416">
          <objectPr defaultSize="0" r:id="rId27">
            <anchor moveWithCells="1">
              <from>
                <xdr:col>18</xdr:col>
                <xdr:colOff>304800</xdr:colOff>
                <xdr:row>266</xdr:row>
                <xdr:rowOff>76200</xdr:rowOff>
              </from>
              <to>
                <xdr:col>18</xdr:col>
                <xdr:colOff>733425</xdr:colOff>
                <xdr:row>267</xdr:row>
                <xdr:rowOff>161925</xdr:rowOff>
              </to>
            </anchor>
          </objectPr>
        </oleObject>
      </mc:Choice>
      <mc:Fallback>
        <oleObject progId="Equation.DSMT4" shapeId="8594" r:id="rId416"/>
      </mc:Fallback>
    </mc:AlternateContent>
    <mc:AlternateContent xmlns:mc="http://schemas.openxmlformats.org/markup-compatibility/2006">
      <mc:Choice Requires="x14">
        <oleObject progId="Equation.DSMT4" shapeId="8595" r:id="rId417">
          <objectPr defaultSize="0" r:id="rId15">
            <anchor moveWithCells="1">
              <from>
                <xdr:col>2</xdr:col>
                <xdr:colOff>428625</xdr:colOff>
                <xdr:row>283</xdr:row>
                <xdr:rowOff>152400</xdr:rowOff>
              </from>
              <to>
                <xdr:col>2</xdr:col>
                <xdr:colOff>609600</xdr:colOff>
                <xdr:row>284</xdr:row>
                <xdr:rowOff>104775</xdr:rowOff>
              </to>
            </anchor>
          </objectPr>
        </oleObject>
      </mc:Choice>
      <mc:Fallback>
        <oleObject progId="Equation.DSMT4" shapeId="8595" r:id="rId417"/>
      </mc:Fallback>
    </mc:AlternateContent>
    <mc:AlternateContent xmlns:mc="http://schemas.openxmlformats.org/markup-compatibility/2006">
      <mc:Choice Requires="x14">
        <oleObject progId="Equation.DSMT4" shapeId="8596" r:id="rId418">
          <objectPr defaultSize="0" r:id="rId17">
            <anchor moveWithCells="1">
              <from>
                <xdr:col>3</xdr:col>
                <xdr:colOff>257175</xdr:colOff>
                <xdr:row>283</xdr:row>
                <xdr:rowOff>85725</xdr:rowOff>
              </from>
              <to>
                <xdr:col>3</xdr:col>
                <xdr:colOff>676275</xdr:colOff>
                <xdr:row>284</xdr:row>
                <xdr:rowOff>161925</xdr:rowOff>
              </to>
            </anchor>
          </objectPr>
        </oleObject>
      </mc:Choice>
      <mc:Fallback>
        <oleObject progId="Equation.DSMT4" shapeId="8596" r:id="rId418"/>
      </mc:Fallback>
    </mc:AlternateContent>
    <mc:AlternateContent xmlns:mc="http://schemas.openxmlformats.org/markup-compatibility/2006">
      <mc:Choice Requires="x14">
        <oleObject progId="Equation.DSMT4" shapeId="8597" r:id="rId419">
          <objectPr defaultSize="0" r:id="rId19">
            <anchor moveWithCells="1">
              <from>
                <xdr:col>2</xdr:col>
                <xdr:colOff>295275</xdr:colOff>
                <xdr:row>286</xdr:row>
                <xdr:rowOff>104775</xdr:rowOff>
              </from>
              <to>
                <xdr:col>2</xdr:col>
                <xdr:colOff>733425</xdr:colOff>
                <xdr:row>287</xdr:row>
                <xdr:rowOff>228600</xdr:rowOff>
              </to>
            </anchor>
          </objectPr>
        </oleObject>
      </mc:Choice>
      <mc:Fallback>
        <oleObject progId="Equation.DSMT4" shapeId="8597" r:id="rId419"/>
      </mc:Fallback>
    </mc:AlternateContent>
    <mc:AlternateContent xmlns:mc="http://schemas.openxmlformats.org/markup-compatibility/2006">
      <mc:Choice Requires="x14">
        <oleObject progId="Equation.DSMT4" shapeId="8598" r:id="rId420">
          <objectPr defaultSize="0" r:id="rId21">
            <anchor moveWithCells="1">
              <from>
                <xdr:col>3</xdr:col>
                <xdr:colOff>295275</xdr:colOff>
                <xdr:row>286</xdr:row>
                <xdr:rowOff>104775</xdr:rowOff>
              </from>
              <to>
                <xdr:col>3</xdr:col>
                <xdr:colOff>733425</xdr:colOff>
                <xdr:row>287</xdr:row>
                <xdr:rowOff>228600</xdr:rowOff>
              </to>
            </anchor>
          </objectPr>
        </oleObject>
      </mc:Choice>
      <mc:Fallback>
        <oleObject progId="Equation.DSMT4" shapeId="8598" r:id="rId420"/>
      </mc:Fallback>
    </mc:AlternateContent>
    <mc:AlternateContent xmlns:mc="http://schemas.openxmlformats.org/markup-compatibility/2006">
      <mc:Choice Requires="x14">
        <oleObject progId="Equation.DSMT4" shapeId="8599" r:id="rId421">
          <objectPr defaultSize="0" r:id="rId23">
            <anchor moveWithCells="1">
              <from>
                <xdr:col>4</xdr:col>
                <xdr:colOff>314325</xdr:colOff>
                <xdr:row>283</xdr:row>
                <xdr:rowOff>85725</xdr:rowOff>
              </from>
              <to>
                <xdr:col>4</xdr:col>
                <xdr:colOff>733425</xdr:colOff>
                <xdr:row>284</xdr:row>
                <xdr:rowOff>161925</xdr:rowOff>
              </to>
            </anchor>
          </objectPr>
        </oleObject>
      </mc:Choice>
      <mc:Fallback>
        <oleObject progId="Equation.DSMT4" shapeId="8599" r:id="rId421"/>
      </mc:Fallback>
    </mc:AlternateContent>
    <mc:AlternateContent xmlns:mc="http://schemas.openxmlformats.org/markup-compatibility/2006">
      <mc:Choice Requires="x14">
        <oleObject progId="Equation.DSMT4" shapeId="8600" r:id="rId422">
          <objectPr defaultSize="0" r:id="rId25">
            <anchor moveWithCells="1">
              <from>
                <xdr:col>4</xdr:col>
                <xdr:colOff>304800</xdr:colOff>
                <xdr:row>286</xdr:row>
                <xdr:rowOff>85725</xdr:rowOff>
              </from>
              <to>
                <xdr:col>4</xdr:col>
                <xdr:colOff>733425</xdr:colOff>
                <xdr:row>287</xdr:row>
                <xdr:rowOff>161925</xdr:rowOff>
              </to>
            </anchor>
          </objectPr>
        </oleObject>
      </mc:Choice>
      <mc:Fallback>
        <oleObject progId="Equation.DSMT4" shapeId="8600" r:id="rId422"/>
      </mc:Fallback>
    </mc:AlternateContent>
    <mc:AlternateContent xmlns:mc="http://schemas.openxmlformats.org/markup-compatibility/2006">
      <mc:Choice Requires="x14">
        <oleObject progId="Equation.DSMT4" shapeId="8601" r:id="rId423">
          <objectPr defaultSize="0" r:id="rId27">
            <anchor moveWithCells="1">
              <from>
                <xdr:col>7</xdr:col>
                <xdr:colOff>304800</xdr:colOff>
                <xdr:row>286</xdr:row>
                <xdr:rowOff>76200</xdr:rowOff>
              </from>
              <to>
                <xdr:col>7</xdr:col>
                <xdr:colOff>733425</xdr:colOff>
                <xdr:row>287</xdr:row>
                <xdr:rowOff>161925</xdr:rowOff>
              </to>
            </anchor>
          </objectPr>
        </oleObject>
      </mc:Choice>
      <mc:Fallback>
        <oleObject progId="Equation.DSMT4" shapeId="8601" r:id="rId423"/>
      </mc:Fallback>
    </mc:AlternateContent>
    <mc:AlternateContent xmlns:mc="http://schemas.openxmlformats.org/markup-compatibility/2006">
      <mc:Choice Requires="x14">
        <oleObject progId="Equation.DSMT4" shapeId="8602" r:id="rId424">
          <objectPr defaultSize="0" r:id="rId15">
            <anchor moveWithCells="1">
              <from>
                <xdr:col>13</xdr:col>
                <xdr:colOff>428625</xdr:colOff>
                <xdr:row>283</xdr:row>
                <xdr:rowOff>152400</xdr:rowOff>
              </from>
              <to>
                <xdr:col>13</xdr:col>
                <xdr:colOff>609600</xdr:colOff>
                <xdr:row>284</xdr:row>
                <xdr:rowOff>104775</xdr:rowOff>
              </to>
            </anchor>
          </objectPr>
        </oleObject>
      </mc:Choice>
      <mc:Fallback>
        <oleObject progId="Equation.DSMT4" shapeId="8602" r:id="rId424"/>
      </mc:Fallback>
    </mc:AlternateContent>
    <mc:AlternateContent xmlns:mc="http://schemas.openxmlformats.org/markup-compatibility/2006">
      <mc:Choice Requires="x14">
        <oleObject progId="Equation.DSMT4" shapeId="8603" r:id="rId425">
          <objectPr defaultSize="0" r:id="rId17">
            <anchor moveWithCells="1">
              <from>
                <xdr:col>14</xdr:col>
                <xdr:colOff>257175</xdr:colOff>
                <xdr:row>283</xdr:row>
                <xdr:rowOff>85725</xdr:rowOff>
              </from>
              <to>
                <xdr:col>14</xdr:col>
                <xdr:colOff>676275</xdr:colOff>
                <xdr:row>284</xdr:row>
                <xdr:rowOff>161925</xdr:rowOff>
              </to>
            </anchor>
          </objectPr>
        </oleObject>
      </mc:Choice>
      <mc:Fallback>
        <oleObject progId="Equation.DSMT4" shapeId="8603" r:id="rId425"/>
      </mc:Fallback>
    </mc:AlternateContent>
    <mc:AlternateContent xmlns:mc="http://schemas.openxmlformats.org/markup-compatibility/2006">
      <mc:Choice Requires="x14">
        <oleObject progId="Equation.DSMT4" shapeId="8604" r:id="rId426">
          <objectPr defaultSize="0" r:id="rId19">
            <anchor moveWithCells="1">
              <from>
                <xdr:col>13</xdr:col>
                <xdr:colOff>295275</xdr:colOff>
                <xdr:row>286</xdr:row>
                <xdr:rowOff>104775</xdr:rowOff>
              </from>
              <to>
                <xdr:col>13</xdr:col>
                <xdr:colOff>733425</xdr:colOff>
                <xdr:row>287</xdr:row>
                <xdr:rowOff>228600</xdr:rowOff>
              </to>
            </anchor>
          </objectPr>
        </oleObject>
      </mc:Choice>
      <mc:Fallback>
        <oleObject progId="Equation.DSMT4" shapeId="8604" r:id="rId426"/>
      </mc:Fallback>
    </mc:AlternateContent>
    <mc:AlternateContent xmlns:mc="http://schemas.openxmlformats.org/markup-compatibility/2006">
      <mc:Choice Requires="x14">
        <oleObject progId="Equation.DSMT4" shapeId="8605" r:id="rId427">
          <objectPr defaultSize="0" r:id="rId21">
            <anchor moveWithCells="1">
              <from>
                <xdr:col>14</xdr:col>
                <xdr:colOff>295275</xdr:colOff>
                <xdr:row>286</xdr:row>
                <xdr:rowOff>104775</xdr:rowOff>
              </from>
              <to>
                <xdr:col>14</xdr:col>
                <xdr:colOff>733425</xdr:colOff>
                <xdr:row>287</xdr:row>
                <xdr:rowOff>228600</xdr:rowOff>
              </to>
            </anchor>
          </objectPr>
        </oleObject>
      </mc:Choice>
      <mc:Fallback>
        <oleObject progId="Equation.DSMT4" shapeId="8605" r:id="rId427"/>
      </mc:Fallback>
    </mc:AlternateContent>
    <mc:AlternateContent xmlns:mc="http://schemas.openxmlformats.org/markup-compatibility/2006">
      <mc:Choice Requires="x14">
        <oleObject progId="Equation.DSMT4" shapeId="8606" r:id="rId428">
          <objectPr defaultSize="0" r:id="rId23">
            <anchor moveWithCells="1">
              <from>
                <xdr:col>15</xdr:col>
                <xdr:colOff>314325</xdr:colOff>
                <xdr:row>283</xdr:row>
                <xdr:rowOff>85725</xdr:rowOff>
              </from>
              <to>
                <xdr:col>15</xdr:col>
                <xdr:colOff>733425</xdr:colOff>
                <xdr:row>284</xdr:row>
                <xdr:rowOff>161925</xdr:rowOff>
              </to>
            </anchor>
          </objectPr>
        </oleObject>
      </mc:Choice>
      <mc:Fallback>
        <oleObject progId="Equation.DSMT4" shapeId="8606" r:id="rId428"/>
      </mc:Fallback>
    </mc:AlternateContent>
    <mc:AlternateContent xmlns:mc="http://schemas.openxmlformats.org/markup-compatibility/2006">
      <mc:Choice Requires="x14">
        <oleObject progId="Equation.DSMT4" shapeId="8607" r:id="rId429">
          <objectPr defaultSize="0" r:id="rId25">
            <anchor moveWithCells="1">
              <from>
                <xdr:col>15</xdr:col>
                <xdr:colOff>304800</xdr:colOff>
                <xdr:row>286</xdr:row>
                <xdr:rowOff>85725</xdr:rowOff>
              </from>
              <to>
                <xdr:col>15</xdr:col>
                <xdr:colOff>733425</xdr:colOff>
                <xdr:row>287</xdr:row>
                <xdr:rowOff>161925</xdr:rowOff>
              </to>
            </anchor>
          </objectPr>
        </oleObject>
      </mc:Choice>
      <mc:Fallback>
        <oleObject progId="Equation.DSMT4" shapeId="8607" r:id="rId429"/>
      </mc:Fallback>
    </mc:AlternateContent>
    <mc:AlternateContent xmlns:mc="http://schemas.openxmlformats.org/markup-compatibility/2006">
      <mc:Choice Requires="x14">
        <oleObject progId="Equation.DSMT4" shapeId="8608" r:id="rId430">
          <objectPr defaultSize="0" r:id="rId27">
            <anchor moveWithCells="1">
              <from>
                <xdr:col>18</xdr:col>
                <xdr:colOff>304800</xdr:colOff>
                <xdr:row>286</xdr:row>
                <xdr:rowOff>76200</xdr:rowOff>
              </from>
              <to>
                <xdr:col>18</xdr:col>
                <xdr:colOff>733425</xdr:colOff>
                <xdr:row>287</xdr:row>
                <xdr:rowOff>161925</xdr:rowOff>
              </to>
            </anchor>
          </objectPr>
        </oleObject>
      </mc:Choice>
      <mc:Fallback>
        <oleObject progId="Equation.DSMT4" shapeId="8608" r:id="rId430"/>
      </mc:Fallback>
    </mc:AlternateContent>
    <mc:AlternateContent xmlns:mc="http://schemas.openxmlformats.org/markup-compatibility/2006">
      <mc:Choice Requires="x14">
        <oleObject progId="Equation.DSMT4" shapeId="8609" r:id="rId431">
          <objectPr defaultSize="0" r:id="rId15">
            <anchor moveWithCells="1">
              <from>
                <xdr:col>2</xdr:col>
                <xdr:colOff>428625</xdr:colOff>
                <xdr:row>303</xdr:row>
                <xdr:rowOff>152400</xdr:rowOff>
              </from>
              <to>
                <xdr:col>2</xdr:col>
                <xdr:colOff>609600</xdr:colOff>
                <xdr:row>304</xdr:row>
                <xdr:rowOff>104775</xdr:rowOff>
              </to>
            </anchor>
          </objectPr>
        </oleObject>
      </mc:Choice>
      <mc:Fallback>
        <oleObject progId="Equation.DSMT4" shapeId="8609" r:id="rId431"/>
      </mc:Fallback>
    </mc:AlternateContent>
    <mc:AlternateContent xmlns:mc="http://schemas.openxmlformats.org/markup-compatibility/2006">
      <mc:Choice Requires="x14">
        <oleObject progId="Equation.DSMT4" shapeId="8610" r:id="rId432">
          <objectPr defaultSize="0" r:id="rId17">
            <anchor moveWithCells="1">
              <from>
                <xdr:col>3</xdr:col>
                <xdr:colOff>257175</xdr:colOff>
                <xdr:row>303</xdr:row>
                <xdr:rowOff>85725</xdr:rowOff>
              </from>
              <to>
                <xdr:col>3</xdr:col>
                <xdr:colOff>676275</xdr:colOff>
                <xdr:row>304</xdr:row>
                <xdr:rowOff>161925</xdr:rowOff>
              </to>
            </anchor>
          </objectPr>
        </oleObject>
      </mc:Choice>
      <mc:Fallback>
        <oleObject progId="Equation.DSMT4" shapeId="8610" r:id="rId432"/>
      </mc:Fallback>
    </mc:AlternateContent>
    <mc:AlternateContent xmlns:mc="http://schemas.openxmlformats.org/markup-compatibility/2006">
      <mc:Choice Requires="x14">
        <oleObject progId="Equation.DSMT4" shapeId="8611" r:id="rId433">
          <objectPr defaultSize="0" r:id="rId19">
            <anchor moveWithCells="1">
              <from>
                <xdr:col>2</xdr:col>
                <xdr:colOff>295275</xdr:colOff>
                <xdr:row>306</xdr:row>
                <xdr:rowOff>104775</xdr:rowOff>
              </from>
              <to>
                <xdr:col>2</xdr:col>
                <xdr:colOff>733425</xdr:colOff>
                <xdr:row>307</xdr:row>
                <xdr:rowOff>228600</xdr:rowOff>
              </to>
            </anchor>
          </objectPr>
        </oleObject>
      </mc:Choice>
      <mc:Fallback>
        <oleObject progId="Equation.DSMT4" shapeId="8611" r:id="rId433"/>
      </mc:Fallback>
    </mc:AlternateContent>
    <mc:AlternateContent xmlns:mc="http://schemas.openxmlformats.org/markup-compatibility/2006">
      <mc:Choice Requires="x14">
        <oleObject progId="Equation.DSMT4" shapeId="8612" r:id="rId434">
          <objectPr defaultSize="0" r:id="rId21">
            <anchor moveWithCells="1">
              <from>
                <xdr:col>3</xdr:col>
                <xdr:colOff>295275</xdr:colOff>
                <xdr:row>306</xdr:row>
                <xdr:rowOff>104775</xdr:rowOff>
              </from>
              <to>
                <xdr:col>3</xdr:col>
                <xdr:colOff>733425</xdr:colOff>
                <xdr:row>307</xdr:row>
                <xdr:rowOff>228600</xdr:rowOff>
              </to>
            </anchor>
          </objectPr>
        </oleObject>
      </mc:Choice>
      <mc:Fallback>
        <oleObject progId="Equation.DSMT4" shapeId="8612" r:id="rId434"/>
      </mc:Fallback>
    </mc:AlternateContent>
    <mc:AlternateContent xmlns:mc="http://schemas.openxmlformats.org/markup-compatibility/2006">
      <mc:Choice Requires="x14">
        <oleObject progId="Equation.DSMT4" shapeId="8613" r:id="rId435">
          <objectPr defaultSize="0" r:id="rId23">
            <anchor moveWithCells="1">
              <from>
                <xdr:col>4</xdr:col>
                <xdr:colOff>314325</xdr:colOff>
                <xdr:row>303</xdr:row>
                <xdr:rowOff>85725</xdr:rowOff>
              </from>
              <to>
                <xdr:col>4</xdr:col>
                <xdr:colOff>733425</xdr:colOff>
                <xdr:row>304</xdr:row>
                <xdr:rowOff>161925</xdr:rowOff>
              </to>
            </anchor>
          </objectPr>
        </oleObject>
      </mc:Choice>
      <mc:Fallback>
        <oleObject progId="Equation.DSMT4" shapeId="8613" r:id="rId435"/>
      </mc:Fallback>
    </mc:AlternateContent>
    <mc:AlternateContent xmlns:mc="http://schemas.openxmlformats.org/markup-compatibility/2006">
      <mc:Choice Requires="x14">
        <oleObject progId="Equation.DSMT4" shapeId="8614" r:id="rId436">
          <objectPr defaultSize="0" r:id="rId25">
            <anchor moveWithCells="1">
              <from>
                <xdr:col>4</xdr:col>
                <xdr:colOff>304800</xdr:colOff>
                <xdr:row>306</xdr:row>
                <xdr:rowOff>85725</xdr:rowOff>
              </from>
              <to>
                <xdr:col>4</xdr:col>
                <xdr:colOff>733425</xdr:colOff>
                <xdr:row>307</xdr:row>
                <xdr:rowOff>161925</xdr:rowOff>
              </to>
            </anchor>
          </objectPr>
        </oleObject>
      </mc:Choice>
      <mc:Fallback>
        <oleObject progId="Equation.DSMT4" shapeId="8614" r:id="rId436"/>
      </mc:Fallback>
    </mc:AlternateContent>
    <mc:AlternateContent xmlns:mc="http://schemas.openxmlformats.org/markup-compatibility/2006">
      <mc:Choice Requires="x14">
        <oleObject progId="Equation.DSMT4" shapeId="8615" r:id="rId437">
          <objectPr defaultSize="0" r:id="rId27">
            <anchor moveWithCells="1">
              <from>
                <xdr:col>7</xdr:col>
                <xdr:colOff>304800</xdr:colOff>
                <xdr:row>306</xdr:row>
                <xdr:rowOff>76200</xdr:rowOff>
              </from>
              <to>
                <xdr:col>7</xdr:col>
                <xdr:colOff>733425</xdr:colOff>
                <xdr:row>307</xdr:row>
                <xdr:rowOff>161925</xdr:rowOff>
              </to>
            </anchor>
          </objectPr>
        </oleObject>
      </mc:Choice>
      <mc:Fallback>
        <oleObject progId="Equation.DSMT4" shapeId="8615" r:id="rId437"/>
      </mc:Fallback>
    </mc:AlternateContent>
    <mc:AlternateContent xmlns:mc="http://schemas.openxmlformats.org/markup-compatibility/2006">
      <mc:Choice Requires="x14">
        <oleObject progId="Equation.DSMT4" shapeId="8616" r:id="rId438">
          <objectPr defaultSize="0" r:id="rId15">
            <anchor moveWithCells="1">
              <from>
                <xdr:col>13</xdr:col>
                <xdr:colOff>428625</xdr:colOff>
                <xdr:row>303</xdr:row>
                <xdr:rowOff>152400</xdr:rowOff>
              </from>
              <to>
                <xdr:col>13</xdr:col>
                <xdr:colOff>609600</xdr:colOff>
                <xdr:row>304</xdr:row>
                <xdr:rowOff>104775</xdr:rowOff>
              </to>
            </anchor>
          </objectPr>
        </oleObject>
      </mc:Choice>
      <mc:Fallback>
        <oleObject progId="Equation.DSMT4" shapeId="8616" r:id="rId438"/>
      </mc:Fallback>
    </mc:AlternateContent>
    <mc:AlternateContent xmlns:mc="http://schemas.openxmlformats.org/markup-compatibility/2006">
      <mc:Choice Requires="x14">
        <oleObject progId="Equation.DSMT4" shapeId="8617" r:id="rId439">
          <objectPr defaultSize="0" r:id="rId17">
            <anchor moveWithCells="1">
              <from>
                <xdr:col>14</xdr:col>
                <xdr:colOff>257175</xdr:colOff>
                <xdr:row>303</xdr:row>
                <xdr:rowOff>85725</xdr:rowOff>
              </from>
              <to>
                <xdr:col>14</xdr:col>
                <xdr:colOff>676275</xdr:colOff>
                <xdr:row>304</xdr:row>
                <xdr:rowOff>161925</xdr:rowOff>
              </to>
            </anchor>
          </objectPr>
        </oleObject>
      </mc:Choice>
      <mc:Fallback>
        <oleObject progId="Equation.DSMT4" shapeId="8617" r:id="rId439"/>
      </mc:Fallback>
    </mc:AlternateContent>
    <mc:AlternateContent xmlns:mc="http://schemas.openxmlformats.org/markup-compatibility/2006">
      <mc:Choice Requires="x14">
        <oleObject progId="Equation.DSMT4" shapeId="8618" r:id="rId440">
          <objectPr defaultSize="0" r:id="rId19">
            <anchor moveWithCells="1">
              <from>
                <xdr:col>13</xdr:col>
                <xdr:colOff>295275</xdr:colOff>
                <xdr:row>306</xdr:row>
                <xdr:rowOff>104775</xdr:rowOff>
              </from>
              <to>
                <xdr:col>13</xdr:col>
                <xdr:colOff>733425</xdr:colOff>
                <xdr:row>307</xdr:row>
                <xdr:rowOff>228600</xdr:rowOff>
              </to>
            </anchor>
          </objectPr>
        </oleObject>
      </mc:Choice>
      <mc:Fallback>
        <oleObject progId="Equation.DSMT4" shapeId="8618" r:id="rId440"/>
      </mc:Fallback>
    </mc:AlternateContent>
    <mc:AlternateContent xmlns:mc="http://schemas.openxmlformats.org/markup-compatibility/2006">
      <mc:Choice Requires="x14">
        <oleObject progId="Equation.DSMT4" shapeId="8619" r:id="rId441">
          <objectPr defaultSize="0" r:id="rId21">
            <anchor moveWithCells="1">
              <from>
                <xdr:col>14</xdr:col>
                <xdr:colOff>295275</xdr:colOff>
                <xdr:row>306</xdr:row>
                <xdr:rowOff>104775</xdr:rowOff>
              </from>
              <to>
                <xdr:col>14</xdr:col>
                <xdr:colOff>733425</xdr:colOff>
                <xdr:row>307</xdr:row>
                <xdr:rowOff>228600</xdr:rowOff>
              </to>
            </anchor>
          </objectPr>
        </oleObject>
      </mc:Choice>
      <mc:Fallback>
        <oleObject progId="Equation.DSMT4" shapeId="8619" r:id="rId441"/>
      </mc:Fallback>
    </mc:AlternateContent>
    <mc:AlternateContent xmlns:mc="http://schemas.openxmlformats.org/markup-compatibility/2006">
      <mc:Choice Requires="x14">
        <oleObject progId="Equation.DSMT4" shapeId="8620" r:id="rId442">
          <objectPr defaultSize="0" r:id="rId23">
            <anchor moveWithCells="1">
              <from>
                <xdr:col>15</xdr:col>
                <xdr:colOff>314325</xdr:colOff>
                <xdr:row>303</xdr:row>
                <xdr:rowOff>85725</xdr:rowOff>
              </from>
              <to>
                <xdr:col>15</xdr:col>
                <xdr:colOff>733425</xdr:colOff>
                <xdr:row>304</xdr:row>
                <xdr:rowOff>161925</xdr:rowOff>
              </to>
            </anchor>
          </objectPr>
        </oleObject>
      </mc:Choice>
      <mc:Fallback>
        <oleObject progId="Equation.DSMT4" shapeId="8620" r:id="rId442"/>
      </mc:Fallback>
    </mc:AlternateContent>
    <mc:AlternateContent xmlns:mc="http://schemas.openxmlformats.org/markup-compatibility/2006">
      <mc:Choice Requires="x14">
        <oleObject progId="Equation.DSMT4" shapeId="8621" r:id="rId443">
          <objectPr defaultSize="0" r:id="rId25">
            <anchor moveWithCells="1">
              <from>
                <xdr:col>15</xdr:col>
                <xdr:colOff>304800</xdr:colOff>
                <xdr:row>306</xdr:row>
                <xdr:rowOff>85725</xdr:rowOff>
              </from>
              <to>
                <xdr:col>15</xdr:col>
                <xdr:colOff>733425</xdr:colOff>
                <xdr:row>307</xdr:row>
                <xdr:rowOff>161925</xdr:rowOff>
              </to>
            </anchor>
          </objectPr>
        </oleObject>
      </mc:Choice>
      <mc:Fallback>
        <oleObject progId="Equation.DSMT4" shapeId="8621" r:id="rId443"/>
      </mc:Fallback>
    </mc:AlternateContent>
    <mc:AlternateContent xmlns:mc="http://schemas.openxmlformats.org/markup-compatibility/2006">
      <mc:Choice Requires="x14">
        <oleObject progId="Equation.DSMT4" shapeId="8622" r:id="rId444">
          <objectPr defaultSize="0" r:id="rId27">
            <anchor moveWithCells="1">
              <from>
                <xdr:col>18</xdr:col>
                <xdr:colOff>304800</xdr:colOff>
                <xdr:row>306</xdr:row>
                <xdr:rowOff>76200</xdr:rowOff>
              </from>
              <to>
                <xdr:col>18</xdr:col>
                <xdr:colOff>733425</xdr:colOff>
                <xdr:row>307</xdr:row>
                <xdr:rowOff>161925</xdr:rowOff>
              </to>
            </anchor>
          </objectPr>
        </oleObject>
      </mc:Choice>
      <mc:Fallback>
        <oleObject progId="Equation.DSMT4" shapeId="8622" r:id="rId444"/>
      </mc:Fallback>
    </mc:AlternateContent>
    <mc:AlternateContent xmlns:mc="http://schemas.openxmlformats.org/markup-compatibility/2006">
      <mc:Choice Requires="x14">
        <oleObject progId="Equation.DSMT4" shapeId="8623" r:id="rId445">
          <objectPr defaultSize="0" r:id="rId15">
            <anchor moveWithCells="1">
              <from>
                <xdr:col>2</xdr:col>
                <xdr:colOff>428625</xdr:colOff>
                <xdr:row>323</xdr:row>
                <xdr:rowOff>152400</xdr:rowOff>
              </from>
              <to>
                <xdr:col>2</xdr:col>
                <xdr:colOff>609600</xdr:colOff>
                <xdr:row>324</xdr:row>
                <xdr:rowOff>104775</xdr:rowOff>
              </to>
            </anchor>
          </objectPr>
        </oleObject>
      </mc:Choice>
      <mc:Fallback>
        <oleObject progId="Equation.DSMT4" shapeId="8623" r:id="rId445"/>
      </mc:Fallback>
    </mc:AlternateContent>
    <mc:AlternateContent xmlns:mc="http://schemas.openxmlformats.org/markup-compatibility/2006">
      <mc:Choice Requires="x14">
        <oleObject progId="Equation.DSMT4" shapeId="8624" r:id="rId446">
          <objectPr defaultSize="0" r:id="rId17">
            <anchor moveWithCells="1">
              <from>
                <xdr:col>3</xdr:col>
                <xdr:colOff>257175</xdr:colOff>
                <xdr:row>323</xdr:row>
                <xdr:rowOff>85725</xdr:rowOff>
              </from>
              <to>
                <xdr:col>3</xdr:col>
                <xdr:colOff>676275</xdr:colOff>
                <xdr:row>324</xdr:row>
                <xdr:rowOff>161925</xdr:rowOff>
              </to>
            </anchor>
          </objectPr>
        </oleObject>
      </mc:Choice>
      <mc:Fallback>
        <oleObject progId="Equation.DSMT4" shapeId="8624" r:id="rId446"/>
      </mc:Fallback>
    </mc:AlternateContent>
    <mc:AlternateContent xmlns:mc="http://schemas.openxmlformats.org/markup-compatibility/2006">
      <mc:Choice Requires="x14">
        <oleObject progId="Equation.DSMT4" shapeId="8625" r:id="rId447">
          <objectPr defaultSize="0" r:id="rId19">
            <anchor moveWithCells="1">
              <from>
                <xdr:col>2</xdr:col>
                <xdr:colOff>295275</xdr:colOff>
                <xdr:row>326</xdr:row>
                <xdr:rowOff>104775</xdr:rowOff>
              </from>
              <to>
                <xdr:col>2</xdr:col>
                <xdr:colOff>733425</xdr:colOff>
                <xdr:row>327</xdr:row>
                <xdr:rowOff>228600</xdr:rowOff>
              </to>
            </anchor>
          </objectPr>
        </oleObject>
      </mc:Choice>
      <mc:Fallback>
        <oleObject progId="Equation.DSMT4" shapeId="8625" r:id="rId447"/>
      </mc:Fallback>
    </mc:AlternateContent>
    <mc:AlternateContent xmlns:mc="http://schemas.openxmlformats.org/markup-compatibility/2006">
      <mc:Choice Requires="x14">
        <oleObject progId="Equation.DSMT4" shapeId="8626" r:id="rId448">
          <objectPr defaultSize="0" r:id="rId21">
            <anchor moveWithCells="1">
              <from>
                <xdr:col>3</xdr:col>
                <xdr:colOff>295275</xdr:colOff>
                <xdr:row>326</xdr:row>
                <xdr:rowOff>104775</xdr:rowOff>
              </from>
              <to>
                <xdr:col>3</xdr:col>
                <xdr:colOff>733425</xdr:colOff>
                <xdr:row>327</xdr:row>
                <xdr:rowOff>228600</xdr:rowOff>
              </to>
            </anchor>
          </objectPr>
        </oleObject>
      </mc:Choice>
      <mc:Fallback>
        <oleObject progId="Equation.DSMT4" shapeId="8626" r:id="rId448"/>
      </mc:Fallback>
    </mc:AlternateContent>
    <mc:AlternateContent xmlns:mc="http://schemas.openxmlformats.org/markup-compatibility/2006">
      <mc:Choice Requires="x14">
        <oleObject progId="Equation.DSMT4" shapeId="8627" r:id="rId449">
          <objectPr defaultSize="0" r:id="rId23">
            <anchor moveWithCells="1">
              <from>
                <xdr:col>4</xdr:col>
                <xdr:colOff>314325</xdr:colOff>
                <xdr:row>323</xdr:row>
                <xdr:rowOff>85725</xdr:rowOff>
              </from>
              <to>
                <xdr:col>4</xdr:col>
                <xdr:colOff>733425</xdr:colOff>
                <xdr:row>324</xdr:row>
                <xdr:rowOff>161925</xdr:rowOff>
              </to>
            </anchor>
          </objectPr>
        </oleObject>
      </mc:Choice>
      <mc:Fallback>
        <oleObject progId="Equation.DSMT4" shapeId="8627" r:id="rId449"/>
      </mc:Fallback>
    </mc:AlternateContent>
    <mc:AlternateContent xmlns:mc="http://schemas.openxmlformats.org/markup-compatibility/2006">
      <mc:Choice Requires="x14">
        <oleObject progId="Equation.DSMT4" shapeId="8628" r:id="rId450">
          <objectPr defaultSize="0" r:id="rId25">
            <anchor moveWithCells="1">
              <from>
                <xdr:col>4</xdr:col>
                <xdr:colOff>304800</xdr:colOff>
                <xdr:row>326</xdr:row>
                <xdr:rowOff>85725</xdr:rowOff>
              </from>
              <to>
                <xdr:col>4</xdr:col>
                <xdr:colOff>733425</xdr:colOff>
                <xdr:row>327</xdr:row>
                <xdr:rowOff>161925</xdr:rowOff>
              </to>
            </anchor>
          </objectPr>
        </oleObject>
      </mc:Choice>
      <mc:Fallback>
        <oleObject progId="Equation.DSMT4" shapeId="8628" r:id="rId450"/>
      </mc:Fallback>
    </mc:AlternateContent>
    <mc:AlternateContent xmlns:mc="http://schemas.openxmlformats.org/markup-compatibility/2006">
      <mc:Choice Requires="x14">
        <oleObject progId="Equation.DSMT4" shapeId="8629" r:id="rId451">
          <objectPr defaultSize="0" r:id="rId27">
            <anchor moveWithCells="1">
              <from>
                <xdr:col>7</xdr:col>
                <xdr:colOff>304800</xdr:colOff>
                <xdr:row>326</xdr:row>
                <xdr:rowOff>76200</xdr:rowOff>
              </from>
              <to>
                <xdr:col>7</xdr:col>
                <xdr:colOff>733425</xdr:colOff>
                <xdr:row>327</xdr:row>
                <xdr:rowOff>161925</xdr:rowOff>
              </to>
            </anchor>
          </objectPr>
        </oleObject>
      </mc:Choice>
      <mc:Fallback>
        <oleObject progId="Equation.DSMT4" shapeId="8629" r:id="rId451"/>
      </mc:Fallback>
    </mc:AlternateContent>
    <mc:AlternateContent xmlns:mc="http://schemas.openxmlformats.org/markup-compatibility/2006">
      <mc:Choice Requires="x14">
        <oleObject progId="Equation.DSMT4" shapeId="8630" r:id="rId452">
          <objectPr defaultSize="0" r:id="rId15">
            <anchor moveWithCells="1">
              <from>
                <xdr:col>13</xdr:col>
                <xdr:colOff>428625</xdr:colOff>
                <xdr:row>323</xdr:row>
                <xdr:rowOff>152400</xdr:rowOff>
              </from>
              <to>
                <xdr:col>13</xdr:col>
                <xdr:colOff>609600</xdr:colOff>
                <xdr:row>324</xdr:row>
                <xdr:rowOff>104775</xdr:rowOff>
              </to>
            </anchor>
          </objectPr>
        </oleObject>
      </mc:Choice>
      <mc:Fallback>
        <oleObject progId="Equation.DSMT4" shapeId="8630" r:id="rId452"/>
      </mc:Fallback>
    </mc:AlternateContent>
    <mc:AlternateContent xmlns:mc="http://schemas.openxmlformats.org/markup-compatibility/2006">
      <mc:Choice Requires="x14">
        <oleObject progId="Equation.DSMT4" shapeId="8631" r:id="rId453">
          <objectPr defaultSize="0" r:id="rId17">
            <anchor moveWithCells="1">
              <from>
                <xdr:col>14</xdr:col>
                <xdr:colOff>257175</xdr:colOff>
                <xdr:row>323</xdr:row>
                <xdr:rowOff>85725</xdr:rowOff>
              </from>
              <to>
                <xdr:col>14</xdr:col>
                <xdr:colOff>676275</xdr:colOff>
                <xdr:row>324</xdr:row>
                <xdr:rowOff>161925</xdr:rowOff>
              </to>
            </anchor>
          </objectPr>
        </oleObject>
      </mc:Choice>
      <mc:Fallback>
        <oleObject progId="Equation.DSMT4" shapeId="8631" r:id="rId453"/>
      </mc:Fallback>
    </mc:AlternateContent>
    <mc:AlternateContent xmlns:mc="http://schemas.openxmlformats.org/markup-compatibility/2006">
      <mc:Choice Requires="x14">
        <oleObject progId="Equation.DSMT4" shapeId="8632" r:id="rId454">
          <objectPr defaultSize="0" r:id="rId19">
            <anchor moveWithCells="1">
              <from>
                <xdr:col>13</xdr:col>
                <xdr:colOff>295275</xdr:colOff>
                <xdr:row>326</xdr:row>
                <xdr:rowOff>104775</xdr:rowOff>
              </from>
              <to>
                <xdr:col>13</xdr:col>
                <xdr:colOff>733425</xdr:colOff>
                <xdr:row>327</xdr:row>
                <xdr:rowOff>228600</xdr:rowOff>
              </to>
            </anchor>
          </objectPr>
        </oleObject>
      </mc:Choice>
      <mc:Fallback>
        <oleObject progId="Equation.DSMT4" shapeId="8632" r:id="rId454"/>
      </mc:Fallback>
    </mc:AlternateContent>
    <mc:AlternateContent xmlns:mc="http://schemas.openxmlformats.org/markup-compatibility/2006">
      <mc:Choice Requires="x14">
        <oleObject progId="Equation.DSMT4" shapeId="8633" r:id="rId455">
          <objectPr defaultSize="0" r:id="rId21">
            <anchor moveWithCells="1">
              <from>
                <xdr:col>14</xdr:col>
                <xdr:colOff>295275</xdr:colOff>
                <xdr:row>326</xdr:row>
                <xdr:rowOff>104775</xdr:rowOff>
              </from>
              <to>
                <xdr:col>14</xdr:col>
                <xdr:colOff>733425</xdr:colOff>
                <xdr:row>327</xdr:row>
                <xdr:rowOff>228600</xdr:rowOff>
              </to>
            </anchor>
          </objectPr>
        </oleObject>
      </mc:Choice>
      <mc:Fallback>
        <oleObject progId="Equation.DSMT4" shapeId="8633" r:id="rId455"/>
      </mc:Fallback>
    </mc:AlternateContent>
    <mc:AlternateContent xmlns:mc="http://schemas.openxmlformats.org/markup-compatibility/2006">
      <mc:Choice Requires="x14">
        <oleObject progId="Equation.DSMT4" shapeId="8634" r:id="rId456">
          <objectPr defaultSize="0" r:id="rId23">
            <anchor moveWithCells="1">
              <from>
                <xdr:col>15</xdr:col>
                <xdr:colOff>314325</xdr:colOff>
                <xdr:row>323</xdr:row>
                <xdr:rowOff>85725</xdr:rowOff>
              </from>
              <to>
                <xdr:col>15</xdr:col>
                <xdr:colOff>733425</xdr:colOff>
                <xdr:row>324</xdr:row>
                <xdr:rowOff>161925</xdr:rowOff>
              </to>
            </anchor>
          </objectPr>
        </oleObject>
      </mc:Choice>
      <mc:Fallback>
        <oleObject progId="Equation.DSMT4" shapeId="8634" r:id="rId456"/>
      </mc:Fallback>
    </mc:AlternateContent>
    <mc:AlternateContent xmlns:mc="http://schemas.openxmlformats.org/markup-compatibility/2006">
      <mc:Choice Requires="x14">
        <oleObject progId="Equation.DSMT4" shapeId="8635" r:id="rId457">
          <objectPr defaultSize="0" r:id="rId25">
            <anchor moveWithCells="1">
              <from>
                <xdr:col>15</xdr:col>
                <xdr:colOff>304800</xdr:colOff>
                <xdr:row>326</xdr:row>
                <xdr:rowOff>85725</xdr:rowOff>
              </from>
              <to>
                <xdr:col>15</xdr:col>
                <xdr:colOff>733425</xdr:colOff>
                <xdr:row>327</xdr:row>
                <xdr:rowOff>161925</xdr:rowOff>
              </to>
            </anchor>
          </objectPr>
        </oleObject>
      </mc:Choice>
      <mc:Fallback>
        <oleObject progId="Equation.DSMT4" shapeId="8635" r:id="rId457"/>
      </mc:Fallback>
    </mc:AlternateContent>
    <mc:AlternateContent xmlns:mc="http://schemas.openxmlformats.org/markup-compatibility/2006">
      <mc:Choice Requires="x14">
        <oleObject progId="Equation.DSMT4" shapeId="8636" r:id="rId458">
          <objectPr defaultSize="0" r:id="rId27">
            <anchor moveWithCells="1">
              <from>
                <xdr:col>18</xdr:col>
                <xdr:colOff>304800</xdr:colOff>
                <xdr:row>326</xdr:row>
                <xdr:rowOff>76200</xdr:rowOff>
              </from>
              <to>
                <xdr:col>18</xdr:col>
                <xdr:colOff>733425</xdr:colOff>
                <xdr:row>327</xdr:row>
                <xdr:rowOff>161925</xdr:rowOff>
              </to>
            </anchor>
          </objectPr>
        </oleObject>
      </mc:Choice>
      <mc:Fallback>
        <oleObject progId="Equation.DSMT4" shapeId="8636" r:id="rId458"/>
      </mc:Fallback>
    </mc:AlternateContent>
    <mc:AlternateContent xmlns:mc="http://schemas.openxmlformats.org/markup-compatibility/2006">
      <mc:Choice Requires="x14">
        <oleObject progId="Equation.DSMT4" shapeId="8637" r:id="rId459">
          <objectPr defaultSize="0" r:id="rId15">
            <anchor moveWithCells="1">
              <from>
                <xdr:col>2</xdr:col>
                <xdr:colOff>428625</xdr:colOff>
                <xdr:row>343</xdr:row>
                <xdr:rowOff>152400</xdr:rowOff>
              </from>
              <to>
                <xdr:col>2</xdr:col>
                <xdr:colOff>609600</xdr:colOff>
                <xdr:row>344</xdr:row>
                <xdr:rowOff>104775</xdr:rowOff>
              </to>
            </anchor>
          </objectPr>
        </oleObject>
      </mc:Choice>
      <mc:Fallback>
        <oleObject progId="Equation.DSMT4" shapeId="8637" r:id="rId459"/>
      </mc:Fallback>
    </mc:AlternateContent>
    <mc:AlternateContent xmlns:mc="http://schemas.openxmlformats.org/markup-compatibility/2006">
      <mc:Choice Requires="x14">
        <oleObject progId="Equation.DSMT4" shapeId="8638" r:id="rId460">
          <objectPr defaultSize="0" r:id="rId17">
            <anchor moveWithCells="1">
              <from>
                <xdr:col>3</xdr:col>
                <xdr:colOff>257175</xdr:colOff>
                <xdr:row>343</xdr:row>
                <xdr:rowOff>85725</xdr:rowOff>
              </from>
              <to>
                <xdr:col>3</xdr:col>
                <xdr:colOff>676275</xdr:colOff>
                <xdr:row>344</xdr:row>
                <xdr:rowOff>161925</xdr:rowOff>
              </to>
            </anchor>
          </objectPr>
        </oleObject>
      </mc:Choice>
      <mc:Fallback>
        <oleObject progId="Equation.DSMT4" shapeId="8638" r:id="rId460"/>
      </mc:Fallback>
    </mc:AlternateContent>
    <mc:AlternateContent xmlns:mc="http://schemas.openxmlformats.org/markup-compatibility/2006">
      <mc:Choice Requires="x14">
        <oleObject progId="Equation.DSMT4" shapeId="8639" r:id="rId461">
          <objectPr defaultSize="0" r:id="rId19">
            <anchor moveWithCells="1">
              <from>
                <xdr:col>2</xdr:col>
                <xdr:colOff>295275</xdr:colOff>
                <xdr:row>346</xdr:row>
                <xdr:rowOff>104775</xdr:rowOff>
              </from>
              <to>
                <xdr:col>2</xdr:col>
                <xdr:colOff>733425</xdr:colOff>
                <xdr:row>347</xdr:row>
                <xdr:rowOff>228600</xdr:rowOff>
              </to>
            </anchor>
          </objectPr>
        </oleObject>
      </mc:Choice>
      <mc:Fallback>
        <oleObject progId="Equation.DSMT4" shapeId="8639" r:id="rId461"/>
      </mc:Fallback>
    </mc:AlternateContent>
    <mc:AlternateContent xmlns:mc="http://schemas.openxmlformats.org/markup-compatibility/2006">
      <mc:Choice Requires="x14">
        <oleObject progId="Equation.DSMT4" shapeId="8640" r:id="rId462">
          <objectPr defaultSize="0" r:id="rId21">
            <anchor moveWithCells="1">
              <from>
                <xdr:col>3</xdr:col>
                <xdr:colOff>295275</xdr:colOff>
                <xdr:row>346</xdr:row>
                <xdr:rowOff>104775</xdr:rowOff>
              </from>
              <to>
                <xdr:col>3</xdr:col>
                <xdr:colOff>733425</xdr:colOff>
                <xdr:row>347</xdr:row>
                <xdr:rowOff>228600</xdr:rowOff>
              </to>
            </anchor>
          </objectPr>
        </oleObject>
      </mc:Choice>
      <mc:Fallback>
        <oleObject progId="Equation.DSMT4" shapeId="8640" r:id="rId462"/>
      </mc:Fallback>
    </mc:AlternateContent>
    <mc:AlternateContent xmlns:mc="http://schemas.openxmlformats.org/markup-compatibility/2006">
      <mc:Choice Requires="x14">
        <oleObject progId="Equation.DSMT4" shapeId="8641" r:id="rId463">
          <objectPr defaultSize="0" r:id="rId23">
            <anchor moveWithCells="1">
              <from>
                <xdr:col>4</xdr:col>
                <xdr:colOff>314325</xdr:colOff>
                <xdr:row>343</xdr:row>
                <xdr:rowOff>85725</xdr:rowOff>
              </from>
              <to>
                <xdr:col>4</xdr:col>
                <xdr:colOff>733425</xdr:colOff>
                <xdr:row>344</xdr:row>
                <xdr:rowOff>161925</xdr:rowOff>
              </to>
            </anchor>
          </objectPr>
        </oleObject>
      </mc:Choice>
      <mc:Fallback>
        <oleObject progId="Equation.DSMT4" shapeId="8641" r:id="rId463"/>
      </mc:Fallback>
    </mc:AlternateContent>
    <mc:AlternateContent xmlns:mc="http://schemas.openxmlformats.org/markup-compatibility/2006">
      <mc:Choice Requires="x14">
        <oleObject progId="Equation.DSMT4" shapeId="8642" r:id="rId464">
          <objectPr defaultSize="0" r:id="rId25">
            <anchor moveWithCells="1">
              <from>
                <xdr:col>4</xdr:col>
                <xdr:colOff>304800</xdr:colOff>
                <xdr:row>346</xdr:row>
                <xdr:rowOff>85725</xdr:rowOff>
              </from>
              <to>
                <xdr:col>4</xdr:col>
                <xdr:colOff>733425</xdr:colOff>
                <xdr:row>347</xdr:row>
                <xdr:rowOff>161925</xdr:rowOff>
              </to>
            </anchor>
          </objectPr>
        </oleObject>
      </mc:Choice>
      <mc:Fallback>
        <oleObject progId="Equation.DSMT4" shapeId="8642" r:id="rId464"/>
      </mc:Fallback>
    </mc:AlternateContent>
    <mc:AlternateContent xmlns:mc="http://schemas.openxmlformats.org/markup-compatibility/2006">
      <mc:Choice Requires="x14">
        <oleObject progId="Equation.DSMT4" shapeId="8643" r:id="rId465">
          <objectPr defaultSize="0" r:id="rId27">
            <anchor moveWithCells="1">
              <from>
                <xdr:col>7</xdr:col>
                <xdr:colOff>304800</xdr:colOff>
                <xdr:row>346</xdr:row>
                <xdr:rowOff>76200</xdr:rowOff>
              </from>
              <to>
                <xdr:col>7</xdr:col>
                <xdr:colOff>733425</xdr:colOff>
                <xdr:row>347</xdr:row>
                <xdr:rowOff>161925</xdr:rowOff>
              </to>
            </anchor>
          </objectPr>
        </oleObject>
      </mc:Choice>
      <mc:Fallback>
        <oleObject progId="Equation.DSMT4" shapeId="8643" r:id="rId465"/>
      </mc:Fallback>
    </mc:AlternateContent>
    <mc:AlternateContent xmlns:mc="http://schemas.openxmlformats.org/markup-compatibility/2006">
      <mc:Choice Requires="x14">
        <oleObject progId="Equation.DSMT4" shapeId="8644" r:id="rId466">
          <objectPr defaultSize="0" r:id="rId15">
            <anchor moveWithCells="1">
              <from>
                <xdr:col>13</xdr:col>
                <xdr:colOff>428625</xdr:colOff>
                <xdr:row>343</xdr:row>
                <xdr:rowOff>152400</xdr:rowOff>
              </from>
              <to>
                <xdr:col>13</xdr:col>
                <xdr:colOff>609600</xdr:colOff>
                <xdr:row>344</xdr:row>
                <xdr:rowOff>104775</xdr:rowOff>
              </to>
            </anchor>
          </objectPr>
        </oleObject>
      </mc:Choice>
      <mc:Fallback>
        <oleObject progId="Equation.DSMT4" shapeId="8644" r:id="rId466"/>
      </mc:Fallback>
    </mc:AlternateContent>
    <mc:AlternateContent xmlns:mc="http://schemas.openxmlformats.org/markup-compatibility/2006">
      <mc:Choice Requires="x14">
        <oleObject progId="Equation.DSMT4" shapeId="8645" r:id="rId467">
          <objectPr defaultSize="0" r:id="rId17">
            <anchor moveWithCells="1">
              <from>
                <xdr:col>14</xdr:col>
                <xdr:colOff>257175</xdr:colOff>
                <xdr:row>343</xdr:row>
                <xdr:rowOff>85725</xdr:rowOff>
              </from>
              <to>
                <xdr:col>14</xdr:col>
                <xdr:colOff>676275</xdr:colOff>
                <xdr:row>344</xdr:row>
                <xdr:rowOff>161925</xdr:rowOff>
              </to>
            </anchor>
          </objectPr>
        </oleObject>
      </mc:Choice>
      <mc:Fallback>
        <oleObject progId="Equation.DSMT4" shapeId="8645" r:id="rId467"/>
      </mc:Fallback>
    </mc:AlternateContent>
    <mc:AlternateContent xmlns:mc="http://schemas.openxmlformats.org/markup-compatibility/2006">
      <mc:Choice Requires="x14">
        <oleObject progId="Equation.DSMT4" shapeId="8646" r:id="rId468">
          <objectPr defaultSize="0" r:id="rId19">
            <anchor moveWithCells="1">
              <from>
                <xdr:col>13</xdr:col>
                <xdr:colOff>295275</xdr:colOff>
                <xdr:row>346</xdr:row>
                <xdr:rowOff>104775</xdr:rowOff>
              </from>
              <to>
                <xdr:col>13</xdr:col>
                <xdr:colOff>733425</xdr:colOff>
                <xdr:row>347</xdr:row>
                <xdr:rowOff>228600</xdr:rowOff>
              </to>
            </anchor>
          </objectPr>
        </oleObject>
      </mc:Choice>
      <mc:Fallback>
        <oleObject progId="Equation.DSMT4" shapeId="8646" r:id="rId468"/>
      </mc:Fallback>
    </mc:AlternateContent>
    <mc:AlternateContent xmlns:mc="http://schemas.openxmlformats.org/markup-compatibility/2006">
      <mc:Choice Requires="x14">
        <oleObject progId="Equation.DSMT4" shapeId="8647" r:id="rId469">
          <objectPr defaultSize="0" r:id="rId21">
            <anchor moveWithCells="1">
              <from>
                <xdr:col>14</xdr:col>
                <xdr:colOff>295275</xdr:colOff>
                <xdr:row>346</xdr:row>
                <xdr:rowOff>104775</xdr:rowOff>
              </from>
              <to>
                <xdr:col>14</xdr:col>
                <xdr:colOff>733425</xdr:colOff>
                <xdr:row>347</xdr:row>
                <xdr:rowOff>228600</xdr:rowOff>
              </to>
            </anchor>
          </objectPr>
        </oleObject>
      </mc:Choice>
      <mc:Fallback>
        <oleObject progId="Equation.DSMT4" shapeId="8647" r:id="rId469"/>
      </mc:Fallback>
    </mc:AlternateContent>
    <mc:AlternateContent xmlns:mc="http://schemas.openxmlformats.org/markup-compatibility/2006">
      <mc:Choice Requires="x14">
        <oleObject progId="Equation.DSMT4" shapeId="8648" r:id="rId470">
          <objectPr defaultSize="0" r:id="rId23">
            <anchor moveWithCells="1">
              <from>
                <xdr:col>15</xdr:col>
                <xdr:colOff>314325</xdr:colOff>
                <xdr:row>343</xdr:row>
                <xdr:rowOff>85725</xdr:rowOff>
              </from>
              <to>
                <xdr:col>15</xdr:col>
                <xdr:colOff>733425</xdr:colOff>
                <xdr:row>344</xdr:row>
                <xdr:rowOff>161925</xdr:rowOff>
              </to>
            </anchor>
          </objectPr>
        </oleObject>
      </mc:Choice>
      <mc:Fallback>
        <oleObject progId="Equation.DSMT4" shapeId="8648" r:id="rId470"/>
      </mc:Fallback>
    </mc:AlternateContent>
    <mc:AlternateContent xmlns:mc="http://schemas.openxmlformats.org/markup-compatibility/2006">
      <mc:Choice Requires="x14">
        <oleObject progId="Equation.DSMT4" shapeId="8649" r:id="rId471">
          <objectPr defaultSize="0" r:id="rId25">
            <anchor moveWithCells="1">
              <from>
                <xdr:col>15</xdr:col>
                <xdr:colOff>304800</xdr:colOff>
                <xdr:row>346</xdr:row>
                <xdr:rowOff>85725</xdr:rowOff>
              </from>
              <to>
                <xdr:col>15</xdr:col>
                <xdr:colOff>733425</xdr:colOff>
                <xdr:row>347</xdr:row>
                <xdr:rowOff>161925</xdr:rowOff>
              </to>
            </anchor>
          </objectPr>
        </oleObject>
      </mc:Choice>
      <mc:Fallback>
        <oleObject progId="Equation.DSMT4" shapeId="8649" r:id="rId471"/>
      </mc:Fallback>
    </mc:AlternateContent>
    <mc:AlternateContent xmlns:mc="http://schemas.openxmlformats.org/markup-compatibility/2006">
      <mc:Choice Requires="x14">
        <oleObject progId="Equation.DSMT4" shapeId="8650" r:id="rId472">
          <objectPr defaultSize="0" r:id="rId27">
            <anchor moveWithCells="1">
              <from>
                <xdr:col>18</xdr:col>
                <xdr:colOff>304800</xdr:colOff>
                <xdr:row>346</xdr:row>
                <xdr:rowOff>76200</xdr:rowOff>
              </from>
              <to>
                <xdr:col>18</xdr:col>
                <xdr:colOff>733425</xdr:colOff>
                <xdr:row>347</xdr:row>
                <xdr:rowOff>161925</xdr:rowOff>
              </to>
            </anchor>
          </objectPr>
        </oleObject>
      </mc:Choice>
      <mc:Fallback>
        <oleObject progId="Equation.DSMT4" shapeId="8650" r:id="rId472"/>
      </mc:Fallback>
    </mc:AlternateContent>
    <mc:AlternateContent xmlns:mc="http://schemas.openxmlformats.org/markup-compatibility/2006">
      <mc:Choice Requires="x14">
        <oleObject progId="Equation.DSMT4" shapeId="8651" r:id="rId473">
          <objectPr defaultSize="0" r:id="rId4">
            <anchor moveWithCells="1">
              <from>
                <xdr:col>32</xdr:col>
                <xdr:colOff>304800</xdr:colOff>
                <xdr:row>45</xdr:row>
                <xdr:rowOff>76200</xdr:rowOff>
              </from>
              <to>
                <xdr:col>32</xdr:col>
                <xdr:colOff>714375</xdr:colOff>
                <xdr:row>46</xdr:row>
                <xdr:rowOff>142875</xdr:rowOff>
              </to>
            </anchor>
          </objectPr>
        </oleObject>
      </mc:Choice>
      <mc:Fallback>
        <oleObject progId="Equation.DSMT4" shapeId="8651" r:id="rId473"/>
      </mc:Fallback>
    </mc:AlternateContent>
    <mc:AlternateContent xmlns:mc="http://schemas.openxmlformats.org/markup-compatibility/2006">
      <mc:Choice Requires="x14">
        <oleObject progId="Equation.DSMT4" shapeId="8652" r:id="rId474">
          <objectPr defaultSize="0" r:id="rId4">
            <anchor moveWithCells="1">
              <from>
                <xdr:col>36</xdr:col>
                <xdr:colOff>304800</xdr:colOff>
                <xdr:row>45</xdr:row>
                <xdr:rowOff>76200</xdr:rowOff>
              </from>
              <to>
                <xdr:col>36</xdr:col>
                <xdr:colOff>714375</xdr:colOff>
                <xdr:row>46</xdr:row>
                <xdr:rowOff>142875</xdr:rowOff>
              </to>
            </anchor>
          </objectPr>
        </oleObject>
      </mc:Choice>
      <mc:Fallback>
        <oleObject progId="Equation.DSMT4" shapeId="8652" r:id="rId474"/>
      </mc:Fallback>
    </mc:AlternateContent>
    <mc:AlternateContent xmlns:mc="http://schemas.openxmlformats.org/markup-compatibility/2006">
      <mc:Choice Requires="x14">
        <oleObject progId="Equation.DSMT4" shapeId="8653" r:id="rId475">
          <objectPr defaultSize="0" r:id="rId17">
            <anchor moveWithCells="1">
              <from>
                <xdr:col>3</xdr:col>
                <xdr:colOff>257175</xdr:colOff>
                <xdr:row>477</xdr:row>
                <xdr:rowOff>85725</xdr:rowOff>
              </from>
              <to>
                <xdr:col>3</xdr:col>
                <xdr:colOff>676275</xdr:colOff>
                <xdr:row>478</xdr:row>
                <xdr:rowOff>161925</xdr:rowOff>
              </to>
            </anchor>
          </objectPr>
        </oleObject>
      </mc:Choice>
      <mc:Fallback>
        <oleObject progId="Equation.DSMT4" shapeId="8653" r:id="rId475"/>
      </mc:Fallback>
    </mc:AlternateContent>
    <mc:AlternateContent xmlns:mc="http://schemas.openxmlformats.org/markup-compatibility/2006">
      <mc:Choice Requires="x14">
        <oleObject progId="Equation.DSMT4" shapeId="8654" r:id="rId476">
          <objectPr defaultSize="0" r:id="rId23">
            <anchor moveWithCells="1">
              <from>
                <xdr:col>4</xdr:col>
                <xdr:colOff>314325</xdr:colOff>
                <xdr:row>477</xdr:row>
                <xdr:rowOff>85725</xdr:rowOff>
              </from>
              <to>
                <xdr:col>4</xdr:col>
                <xdr:colOff>752475</xdr:colOff>
                <xdr:row>478</xdr:row>
                <xdr:rowOff>161925</xdr:rowOff>
              </to>
            </anchor>
          </objectPr>
        </oleObject>
      </mc:Choice>
      <mc:Fallback>
        <oleObject progId="Equation.DSMT4" shapeId="8654" r:id="rId476"/>
      </mc:Fallback>
    </mc:AlternateContent>
    <mc:AlternateContent xmlns:mc="http://schemas.openxmlformats.org/markup-compatibility/2006">
      <mc:Choice Requires="x14">
        <oleObject progId="Equation.DSMT4" shapeId="8655" r:id="rId477">
          <objectPr defaultSize="0" r:id="rId21">
            <anchor moveWithCells="1">
              <from>
                <xdr:col>3</xdr:col>
                <xdr:colOff>295275</xdr:colOff>
                <xdr:row>477</xdr:row>
                <xdr:rowOff>104775</xdr:rowOff>
              </from>
              <to>
                <xdr:col>3</xdr:col>
                <xdr:colOff>752475</xdr:colOff>
                <xdr:row>478</xdr:row>
                <xdr:rowOff>200025</xdr:rowOff>
              </to>
            </anchor>
          </objectPr>
        </oleObject>
      </mc:Choice>
      <mc:Fallback>
        <oleObject progId="Equation.DSMT4" shapeId="8655" r:id="rId477"/>
      </mc:Fallback>
    </mc:AlternateContent>
    <mc:AlternateContent xmlns:mc="http://schemas.openxmlformats.org/markup-compatibility/2006">
      <mc:Choice Requires="x14">
        <oleObject progId="Equation.DSMT4" shapeId="8656" r:id="rId478">
          <objectPr defaultSize="0" r:id="rId25">
            <anchor moveWithCells="1">
              <from>
                <xdr:col>4</xdr:col>
                <xdr:colOff>304800</xdr:colOff>
                <xdr:row>477</xdr:row>
                <xdr:rowOff>85725</xdr:rowOff>
              </from>
              <to>
                <xdr:col>4</xdr:col>
                <xdr:colOff>752475</xdr:colOff>
                <xdr:row>478</xdr:row>
                <xdr:rowOff>161925</xdr:rowOff>
              </to>
            </anchor>
          </objectPr>
        </oleObject>
      </mc:Choice>
      <mc:Fallback>
        <oleObject progId="Equation.DSMT4" shapeId="8656" r:id="rId478"/>
      </mc:Fallback>
    </mc:AlternateContent>
    <mc:AlternateContent xmlns:mc="http://schemas.openxmlformats.org/markup-compatibility/2006">
      <mc:Choice Requires="x14">
        <oleObject progId="Equation.DSMT4" shapeId="8657" r:id="rId479">
          <objectPr defaultSize="0" r:id="rId15">
            <anchor moveWithCells="1">
              <from>
                <xdr:col>2</xdr:col>
                <xdr:colOff>428625</xdr:colOff>
                <xdr:row>474</xdr:row>
                <xdr:rowOff>152400</xdr:rowOff>
              </from>
              <to>
                <xdr:col>2</xdr:col>
                <xdr:colOff>619125</xdr:colOff>
                <xdr:row>475</xdr:row>
                <xdr:rowOff>114300</xdr:rowOff>
              </to>
            </anchor>
          </objectPr>
        </oleObject>
      </mc:Choice>
      <mc:Fallback>
        <oleObject progId="Equation.DSMT4" shapeId="8657" r:id="rId479"/>
      </mc:Fallback>
    </mc:AlternateContent>
    <mc:AlternateContent xmlns:mc="http://schemas.openxmlformats.org/markup-compatibility/2006">
      <mc:Choice Requires="x14">
        <oleObject progId="Equation.DSMT4" shapeId="8658" r:id="rId480">
          <objectPr defaultSize="0" r:id="rId17">
            <anchor moveWithCells="1">
              <from>
                <xdr:col>3</xdr:col>
                <xdr:colOff>257175</xdr:colOff>
                <xdr:row>474</xdr:row>
                <xdr:rowOff>85725</xdr:rowOff>
              </from>
              <to>
                <xdr:col>3</xdr:col>
                <xdr:colOff>676275</xdr:colOff>
                <xdr:row>475</xdr:row>
                <xdr:rowOff>180975</xdr:rowOff>
              </to>
            </anchor>
          </objectPr>
        </oleObject>
      </mc:Choice>
      <mc:Fallback>
        <oleObject progId="Equation.DSMT4" shapeId="8658" r:id="rId480"/>
      </mc:Fallback>
    </mc:AlternateContent>
    <mc:AlternateContent xmlns:mc="http://schemas.openxmlformats.org/markup-compatibility/2006">
      <mc:Choice Requires="x14">
        <oleObject progId="Equation.DSMT4" shapeId="8659" r:id="rId481">
          <objectPr defaultSize="0" r:id="rId19">
            <anchor moveWithCells="1">
              <from>
                <xdr:col>2</xdr:col>
                <xdr:colOff>295275</xdr:colOff>
                <xdr:row>477</xdr:row>
                <xdr:rowOff>104775</xdr:rowOff>
              </from>
              <to>
                <xdr:col>2</xdr:col>
                <xdr:colOff>714375</xdr:colOff>
                <xdr:row>478</xdr:row>
                <xdr:rowOff>200025</xdr:rowOff>
              </to>
            </anchor>
          </objectPr>
        </oleObject>
      </mc:Choice>
      <mc:Fallback>
        <oleObject progId="Equation.DSMT4" shapeId="8659" r:id="rId481"/>
      </mc:Fallback>
    </mc:AlternateContent>
    <mc:AlternateContent xmlns:mc="http://schemas.openxmlformats.org/markup-compatibility/2006">
      <mc:Choice Requires="x14">
        <oleObject progId="Equation.DSMT4" shapeId="8660" r:id="rId482">
          <objectPr defaultSize="0" r:id="rId23">
            <anchor moveWithCells="1">
              <from>
                <xdr:col>4</xdr:col>
                <xdr:colOff>314325</xdr:colOff>
                <xdr:row>474</xdr:row>
                <xdr:rowOff>85725</xdr:rowOff>
              </from>
              <to>
                <xdr:col>4</xdr:col>
                <xdr:colOff>752475</xdr:colOff>
                <xdr:row>475</xdr:row>
                <xdr:rowOff>180975</xdr:rowOff>
              </to>
            </anchor>
          </objectPr>
        </oleObject>
      </mc:Choice>
      <mc:Fallback>
        <oleObject progId="Equation.DSMT4" shapeId="8660" r:id="rId482"/>
      </mc:Fallback>
    </mc:AlternateContent>
    <mc:AlternateContent xmlns:mc="http://schemas.openxmlformats.org/markup-compatibility/2006">
      <mc:Choice Requires="x14">
        <oleObject progId="Equation.DSMT4" shapeId="8661" r:id="rId483">
          <objectPr defaultSize="0" r:id="rId15">
            <anchor moveWithCells="1">
              <from>
                <xdr:col>8</xdr:col>
                <xdr:colOff>428625</xdr:colOff>
                <xdr:row>474</xdr:row>
                <xdr:rowOff>152400</xdr:rowOff>
              </from>
              <to>
                <xdr:col>8</xdr:col>
                <xdr:colOff>619125</xdr:colOff>
                <xdr:row>475</xdr:row>
                <xdr:rowOff>114300</xdr:rowOff>
              </to>
            </anchor>
          </objectPr>
        </oleObject>
      </mc:Choice>
      <mc:Fallback>
        <oleObject progId="Equation.DSMT4" shapeId="8661" r:id="rId483"/>
      </mc:Fallback>
    </mc:AlternateContent>
    <mc:AlternateContent xmlns:mc="http://schemas.openxmlformats.org/markup-compatibility/2006">
      <mc:Choice Requires="x14">
        <oleObject progId="Equation.DSMT4" shapeId="8662" r:id="rId484">
          <objectPr defaultSize="0" r:id="rId17">
            <anchor moveWithCells="1">
              <from>
                <xdr:col>9</xdr:col>
                <xdr:colOff>257175</xdr:colOff>
                <xdr:row>474</xdr:row>
                <xdr:rowOff>85725</xdr:rowOff>
              </from>
              <to>
                <xdr:col>9</xdr:col>
                <xdr:colOff>676275</xdr:colOff>
                <xdr:row>475</xdr:row>
                <xdr:rowOff>180975</xdr:rowOff>
              </to>
            </anchor>
          </objectPr>
        </oleObject>
      </mc:Choice>
      <mc:Fallback>
        <oleObject progId="Equation.DSMT4" shapeId="8662" r:id="rId484"/>
      </mc:Fallback>
    </mc:AlternateContent>
    <mc:AlternateContent xmlns:mc="http://schemas.openxmlformats.org/markup-compatibility/2006">
      <mc:Choice Requires="x14">
        <oleObject progId="Equation.DSMT4" shapeId="8663" r:id="rId485">
          <objectPr defaultSize="0" r:id="rId19">
            <anchor moveWithCells="1">
              <from>
                <xdr:col>8</xdr:col>
                <xdr:colOff>295275</xdr:colOff>
                <xdr:row>477</xdr:row>
                <xdr:rowOff>104775</xdr:rowOff>
              </from>
              <to>
                <xdr:col>8</xdr:col>
                <xdr:colOff>714375</xdr:colOff>
                <xdr:row>478</xdr:row>
                <xdr:rowOff>200025</xdr:rowOff>
              </to>
            </anchor>
          </objectPr>
        </oleObject>
      </mc:Choice>
      <mc:Fallback>
        <oleObject progId="Equation.DSMT4" shapeId="8663" r:id="rId485"/>
      </mc:Fallback>
    </mc:AlternateContent>
    <mc:AlternateContent xmlns:mc="http://schemas.openxmlformats.org/markup-compatibility/2006">
      <mc:Choice Requires="x14">
        <oleObject progId="Equation.DSMT4" shapeId="8664" r:id="rId486">
          <objectPr defaultSize="0" r:id="rId21">
            <anchor moveWithCells="1">
              <from>
                <xdr:col>9</xdr:col>
                <xdr:colOff>295275</xdr:colOff>
                <xdr:row>477</xdr:row>
                <xdr:rowOff>104775</xdr:rowOff>
              </from>
              <to>
                <xdr:col>9</xdr:col>
                <xdr:colOff>714375</xdr:colOff>
                <xdr:row>478</xdr:row>
                <xdr:rowOff>200025</xdr:rowOff>
              </to>
            </anchor>
          </objectPr>
        </oleObject>
      </mc:Choice>
      <mc:Fallback>
        <oleObject progId="Equation.DSMT4" shapeId="8664" r:id="rId486"/>
      </mc:Fallback>
    </mc:AlternateContent>
    <mc:AlternateContent xmlns:mc="http://schemas.openxmlformats.org/markup-compatibility/2006">
      <mc:Choice Requires="x14">
        <oleObject progId="Equation.DSMT4" shapeId="8665" r:id="rId487">
          <objectPr defaultSize="0" r:id="rId23">
            <anchor moveWithCells="1">
              <from>
                <xdr:col>10</xdr:col>
                <xdr:colOff>333375</xdr:colOff>
                <xdr:row>474</xdr:row>
                <xdr:rowOff>85725</xdr:rowOff>
              </from>
              <to>
                <xdr:col>10</xdr:col>
                <xdr:colOff>752475</xdr:colOff>
                <xdr:row>475</xdr:row>
                <xdr:rowOff>180975</xdr:rowOff>
              </to>
            </anchor>
          </objectPr>
        </oleObject>
      </mc:Choice>
      <mc:Fallback>
        <oleObject progId="Equation.DSMT4" shapeId="8665" r:id="rId487"/>
      </mc:Fallback>
    </mc:AlternateContent>
    <mc:AlternateContent xmlns:mc="http://schemas.openxmlformats.org/markup-compatibility/2006">
      <mc:Choice Requires="x14">
        <oleObject progId="Equation.DSMT4" shapeId="8666" r:id="rId488">
          <objectPr defaultSize="0" r:id="rId25">
            <anchor moveWithCells="1">
              <from>
                <xdr:col>10</xdr:col>
                <xdr:colOff>304800</xdr:colOff>
                <xdr:row>477</xdr:row>
                <xdr:rowOff>85725</xdr:rowOff>
              </from>
              <to>
                <xdr:col>10</xdr:col>
                <xdr:colOff>714375</xdr:colOff>
                <xdr:row>478</xdr:row>
                <xdr:rowOff>180975</xdr:rowOff>
              </to>
            </anchor>
          </objectPr>
        </oleObject>
      </mc:Choice>
      <mc:Fallback>
        <oleObject progId="Equation.DSMT4" shapeId="8666" r:id="rId488"/>
      </mc:Fallback>
    </mc:AlternateContent>
    <mc:AlternateContent xmlns:mc="http://schemas.openxmlformats.org/markup-compatibility/2006">
      <mc:Choice Requires="x14">
        <oleObject progId="Equation.DSMT4" shapeId="8667" r:id="rId489">
          <objectPr defaultSize="0" r:id="rId15">
            <anchor moveWithCells="1">
              <from>
                <xdr:col>14</xdr:col>
                <xdr:colOff>428625</xdr:colOff>
                <xdr:row>474</xdr:row>
                <xdr:rowOff>152400</xdr:rowOff>
              </from>
              <to>
                <xdr:col>14</xdr:col>
                <xdr:colOff>619125</xdr:colOff>
                <xdr:row>475</xdr:row>
                <xdr:rowOff>114300</xdr:rowOff>
              </to>
            </anchor>
          </objectPr>
        </oleObject>
      </mc:Choice>
      <mc:Fallback>
        <oleObject progId="Equation.DSMT4" shapeId="8667" r:id="rId489"/>
      </mc:Fallback>
    </mc:AlternateContent>
    <mc:AlternateContent xmlns:mc="http://schemas.openxmlformats.org/markup-compatibility/2006">
      <mc:Choice Requires="x14">
        <oleObject progId="Equation.DSMT4" shapeId="8668" r:id="rId490">
          <objectPr defaultSize="0" r:id="rId17">
            <anchor moveWithCells="1">
              <from>
                <xdr:col>15</xdr:col>
                <xdr:colOff>257175</xdr:colOff>
                <xdr:row>474</xdr:row>
                <xdr:rowOff>85725</xdr:rowOff>
              </from>
              <to>
                <xdr:col>15</xdr:col>
                <xdr:colOff>676275</xdr:colOff>
                <xdr:row>475</xdr:row>
                <xdr:rowOff>180975</xdr:rowOff>
              </to>
            </anchor>
          </objectPr>
        </oleObject>
      </mc:Choice>
      <mc:Fallback>
        <oleObject progId="Equation.DSMT4" shapeId="8668" r:id="rId490"/>
      </mc:Fallback>
    </mc:AlternateContent>
    <mc:AlternateContent xmlns:mc="http://schemas.openxmlformats.org/markup-compatibility/2006">
      <mc:Choice Requires="x14">
        <oleObject progId="Equation.DSMT4" shapeId="8669" r:id="rId491">
          <objectPr defaultSize="0" r:id="rId19">
            <anchor moveWithCells="1">
              <from>
                <xdr:col>14</xdr:col>
                <xdr:colOff>295275</xdr:colOff>
                <xdr:row>477</xdr:row>
                <xdr:rowOff>104775</xdr:rowOff>
              </from>
              <to>
                <xdr:col>14</xdr:col>
                <xdr:colOff>714375</xdr:colOff>
                <xdr:row>478</xdr:row>
                <xdr:rowOff>200025</xdr:rowOff>
              </to>
            </anchor>
          </objectPr>
        </oleObject>
      </mc:Choice>
      <mc:Fallback>
        <oleObject progId="Equation.DSMT4" shapeId="8669" r:id="rId491"/>
      </mc:Fallback>
    </mc:AlternateContent>
    <mc:AlternateContent xmlns:mc="http://schemas.openxmlformats.org/markup-compatibility/2006">
      <mc:Choice Requires="x14">
        <oleObject progId="Equation.DSMT4" shapeId="8670" r:id="rId492">
          <objectPr defaultSize="0" r:id="rId21">
            <anchor moveWithCells="1">
              <from>
                <xdr:col>15</xdr:col>
                <xdr:colOff>295275</xdr:colOff>
                <xdr:row>477</xdr:row>
                <xdr:rowOff>104775</xdr:rowOff>
              </from>
              <to>
                <xdr:col>15</xdr:col>
                <xdr:colOff>714375</xdr:colOff>
                <xdr:row>478</xdr:row>
                <xdr:rowOff>200025</xdr:rowOff>
              </to>
            </anchor>
          </objectPr>
        </oleObject>
      </mc:Choice>
      <mc:Fallback>
        <oleObject progId="Equation.DSMT4" shapeId="8670" r:id="rId492"/>
      </mc:Fallback>
    </mc:AlternateContent>
    <mc:AlternateContent xmlns:mc="http://schemas.openxmlformats.org/markup-compatibility/2006">
      <mc:Choice Requires="x14">
        <oleObject progId="Equation.DSMT4" shapeId="8671" r:id="rId493">
          <objectPr defaultSize="0" r:id="rId23">
            <anchor moveWithCells="1">
              <from>
                <xdr:col>16</xdr:col>
                <xdr:colOff>314325</xdr:colOff>
                <xdr:row>474</xdr:row>
                <xdr:rowOff>85725</xdr:rowOff>
              </from>
              <to>
                <xdr:col>16</xdr:col>
                <xdr:colOff>752475</xdr:colOff>
                <xdr:row>475</xdr:row>
                <xdr:rowOff>180975</xdr:rowOff>
              </to>
            </anchor>
          </objectPr>
        </oleObject>
      </mc:Choice>
      <mc:Fallback>
        <oleObject progId="Equation.DSMT4" shapeId="8671" r:id="rId493"/>
      </mc:Fallback>
    </mc:AlternateContent>
    <mc:AlternateContent xmlns:mc="http://schemas.openxmlformats.org/markup-compatibility/2006">
      <mc:Choice Requires="x14">
        <oleObject progId="Equation.DSMT4" shapeId="8672" r:id="rId494">
          <objectPr defaultSize="0" r:id="rId25">
            <anchor moveWithCells="1">
              <from>
                <xdr:col>16</xdr:col>
                <xdr:colOff>304800</xdr:colOff>
                <xdr:row>477</xdr:row>
                <xdr:rowOff>85725</xdr:rowOff>
              </from>
              <to>
                <xdr:col>16</xdr:col>
                <xdr:colOff>714375</xdr:colOff>
                <xdr:row>478</xdr:row>
                <xdr:rowOff>180975</xdr:rowOff>
              </to>
            </anchor>
          </objectPr>
        </oleObject>
      </mc:Choice>
      <mc:Fallback>
        <oleObject progId="Equation.DSMT4" shapeId="8672" r:id="rId494"/>
      </mc:Fallback>
    </mc:AlternateContent>
    <mc:AlternateContent xmlns:mc="http://schemas.openxmlformats.org/markup-compatibility/2006">
      <mc:Choice Requires="x14">
        <oleObject progId="Equation.DSMT4" shapeId="8673" r:id="rId495">
          <objectPr defaultSize="0" r:id="rId15">
            <anchor moveWithCells="1">
              <from>
                <xdr:col>20</xdr:col>
                <xdr:colOff>428625</xdr:colOff>
                <xdr:row>474</xdr:row>
                <xdr:rowOff>152400</xdr:rowOff>
              </from>
              <to>
                <xdr:col>20</xdr:col>
                <xdr:colOff>619125</xdr:colOff>
                <xdr:row>475</xdr:row>
                <xdr:rowOff>114300</xdr:rowOff>
              </to>
            </anchor>
          </objectPr>
        </oleObject>
      </mc:Choice>
      <mc:Fallback>
        <oleObject progId="Equation.DSMT4" shapeId="8673" r:id="rId495"/>
      </mc:Fallback>
    </mc:AlternateContent>
    <mc:AlternateContent xmlns:mc="http://schemas.openxmlformats.org/markup-compatibility/2006">
      <mc:Choice Requires="x14">
        <oleObject progId="Equation.DSMT4" shapeId="8674" r:id="rId496">
          <objectPr defaultSize="0" r:id="rId17">
            <anchor moveWithCells="1">
              <from>
                <xdr:col>21</xdr:col>
                <xdr:colOff>257175</xdr:colOff>
                <xdr:row>474</xdr:row>
                <xdr:rowOff>85725</xdr:rowOff>
              </from>
              <to>
                <xdr:col>21</xdr:col>
                <xdr:colOff>676275</xdr:colOff>
                <xdr:row>475</xdr:row>
                <xdr:rowOff>180975</xdr:rowOff>
              </to>
            </anchor>
          </objectPr>
        </oleObject>
      </mc:Choice>
      <mc:Fallback>
        <oleObject progId="Equation.DSMT4" shapeId="8674" r:id="rId496"/>
      </mc:Fallback>
    </mc:AlternateContent>
    <mc:AlternateContent xmlns:mc="http://schemas.openxmlformats.org/markup-compatibility/2006">
      <mc:Choice Requires="x14">
        <oleObject progId="Equation.DSMT4" shapeId="8675" r:id="rId497">
          <objectPr defaultSize="0" r:id="rId19">
            <anchor moveWithCells="1">
              <from>
                <xdr:col>20</xdr:col>
                <xdr:colOff>295275</xdr:colOff>
                <xdr:row>477</xdr:row>
                <xdr:rowOff>104775</xdr:rowOff>
              </from>
              <to>
                <xdr:col>20</xdr:col>
                <xdr:colOff>714375</xdr:colOff>
                <xdr:row>478</xdr:row>
                <xdr:rowOff>200025</xdr:rowOff>
              </to>
            </anchor>
          </objectPr>
        </oleObject>
      </mc:Choice>
      <mc:Fallback>
        <oleObject progId="Equation.DSMT4" shapeId="8675" r:id="rId497"/>
      </mc:Fallback>
    </mc:AlternateContent>
    <mc:AlternateContent xmlns:mc="http://schemas.openxmlformats.org/markup-compatibility/2006">
      <mc:Choice Requires="x14">
        <oleObject progId="Equation.DSMT4" shapeId="8676" r:id="rId498">
          <objectPr defaultSize="0" r:id="rId21">
            <anchor moveWithCells="1">
              <from>
                <xdr:col>21</xdr:col>
                <xdr:colOff>295275</xdr:colOff>
                <xdr:row>477</xdr:row>
                <xdr:rowOff>104775</xdr:rowOff>
              </from>
              <to>
                <xdr:col>21</xdr:col>
                <xdr:colOff>714375</xdr:colOff>
                <xdr:row>478</xdr:row>
                <xdr:rowOff>200025</xdr:rowOff>
              </to>
            </anchor>
          </objectPr>
        </oleObject>
      </mc:Choice>
      <mc:Fallback>
        <oleObject progId="Equation.DSMT4" shapeId="8676" r:id="rId498"/>
      </mc:Fallback>
    </mc:AlternateContent>
    <mc:AlternateContent xmlns:mc="http://schemas.openxmlformats.org/markup-compatibility/2006">
      <mc:Choice Requires="x14">
        <oleObject progId="Equation.DSMT4" shapeId="8677" r:id="rId499">
          <objectPr defaultSize="0" r:id="rId23">
            <anchor moveWithCells="1">
              <from>
                <xdr:col>22</xdr:col>
                <xdr:colOff>314325</xdr:colOff>
                <xdr:row>474</xdr:row>
                <xdr:rowOff>85725</xdr:rowOff>
              </from>
              <to>
                <xdr:col>22</xdr:col>
                <xdr:colOff>752475</xdr:colOff>
                <xdr:row>475</xdr:row>
                <xdr:rowOff>180975</xdr:rowOff>
              </to>
            </anchor>
          </objectPr>
        </oleObject>
      </mc:Choice>
      <mc:Fallback>
        <oleObject progId="Equation.DSMT4" shapeId="8677" r:id="rId499"/>
      </mc:Fallback>
    </mc:AlternateContent>
    <mc:AlternateContent xmlns:mc="http://schemas.openxmlformats.org/markup-compatibility/2006">
      <mc:Choice Requires="x14">
        <oleObject progId="Equation.DSMT4" shapeId="8678" r:id="rId500">
          <objectPr defaultSize="0" r:id="rId25">
            <anchor moveWithCells="1">
              <from>
                <xdr:col>22</xdr:col>
                <xdr:colOff>304800</xdr:colOff>
                <xdr:row>477</xdr:row>
                <xdr:rowOff>85725</xdr:rowOff>
              </from>
              <to>
                <xdr:col>22</xdr:col>
                <xdr:colOff>714375</xdr:colOff>
                <xdr:row>478</xdr:row>
                <xdr:rowOff>180975</xdr:rowOff>
              </to>
            </anchor>
          </objectPr>
        </oleObject>
      </mc:Choice>
      <mc:Fallback>
        <oleObject progId="Equation.DSMT4" shapeId="8678" r:id="rId500"/>
      </mc:Fallback>
    </mc:AlternateContent>
    <mc:AlternateContent xmlns:mc="http://schemas.openxmlformats.org/markup-compatibility/2006">
      <mc:Choice Requires="x14">
        <oleObject progId="Equation.DSMT4" shapeId="8679" r:id="rId501">
          <objectPr defaultSize="0" r:id="rId15">
            <anchor moveWithCells="1">
              <from>
                <xdr:col>26</xdr:col>
                <xdr:colOff>428625</xdr:colOff>
                <xdr:row>474</xdr:row>
                <xdr:rowOff>152400</xdr:rowOff>
              </from>
              <to>
                <xdr:col>26</xdr:col>
                <xdr:colOff>619125</xdr:colOff>
                <xdr:row>475</xdr:row>
                <xdr:rowOff>114300</xdr:rowOff>
              </to>
            </anchor>
          </objectPr>
        </oleObject>
      </mc:Choice>
      <mc:Fallback>
        <oleObject progId="Equation.DSMT4" shapeId="8679" r:id="rId501"/>
      </mc:Fallback>
    </mc:AlternateContent>
    <mc:AlternateContent xmlns:mc="http://schemas.openxmlformats.org/markup-compatibility/2006">
      <mc:Choice Requires="x14">
        <oleObject progId="Equation.DSMT4" shapeId="8680" r:id="rId502">
          <objectPr defaultSize="0" r:id="rId17">
            <anchor moveWithCells="1">
              <from>
                <xdr:col>27</xdr:col>
                <xdr:colOff>257175</xdr:colOff>
                <xdr:row>474</xdr:row>
                <xdr:rowOff>85725</xdr:rowOff>
              </from>
              <to>
                <xdr:col>27</xdr:col>
                <xdr:colOff>676275</xdr:colOff>
                <xdr:row>475</xdr:row>
                <xdr:rowOff>180975</xdr:rowOff>
              </to>
            </anchor>
          </objectPr>
        </oleObject>
      </mc:Choice>
      <mc:Fallback>
        <oleObject progId="Equation.DSMT4" shapeId="8680" r:id="rId502"/>
      </mc:Fallback>
    </mc:AlternateContent>
    <mc:AlternateContent xmlns:mc="http://schemas.openxmlformats.org/markup-compatibility/2006">
      <mc:Choice Requires="x14">
        <oleObject progId="Equation.DSMT4" shapeId="8681" r:id="rId503">
          <objectPr defaultSize="0" r:id="rId19">
            <anchor moveWithCells="1">
              <from>
                <xdr:col>26</xdr:col>
                <xdr:colOff>295275</xdr:colOff>
                <xdr:row>477</xdr:row>
                <xdr:rowOff>104775</xdr:rowOff>
              </from>
              <to>
                <xdr:col>26</xdr:col>
                <xdr:colOff>714375</xdr:colOff>
                <xdr:row>478</xdr:row>
                <xdr:rowOff>200025</xdr:rowOff>
              </to>
            </anchor>
          </objectPr>
        </oleObject>
      </mc:Choice>
      <mc:Fallback>
        <oleObject progId="Equation.DSMT4" shapeId="8681" r:id="rId503"/>
      </mc:Fallback>
    </mc:AlternateContent>
    <mc:AlternateContent xmlns:mc="http://schemas.openxmlformats.org/markup-compatibility/2006">
      <mc:Choice Requires="x14">
        <oleObject progId="Equation.DSMT4" shapeId="8682" r:id="rId504">
          <objectPr defaultSize="0" r:id="rId21">
            <anchor moveWithCells="1">
              <from>
                <xdr:col>27</xdr:col>
                <xdr:colOff>295275</xdr:colOff>
                <xdr:row>477</xdr:row>
                <xdr:rowOff>104775</xdr:rowOff>
              </from>
              <to>
                <xdr:col>27</xdr:col>
                <xdr:colOff>714375</xdr:colOff>
                <xdr:row>478</xdr:row>
                <xdr:rowOff>200025</xdr:rowOff>
              </to>
            </anchor>
          </objectPr>
        </oleObject>
      </mc:Choice>
      <mc:Fallback>
        <oleObject progId="Equation.DSMT4" shapeId="8682" r:id="rId504"/>
      </mc:Fallback>
    </mc:AlternateContent>
    <mc:AlternateContent xmlns:mc="http://schemas.openxmlformats.org/markup-compatibility/2006">
      <mc:Choice Requires="x14">
        <oleObject progId="Equation.DSMT4" shapeId="8683" r:id="rId505">
          <objectPr defaultSize="0" r:id="rId23">
            <anchor moveWithCells="1">
              <from>
                <xdr:col>28</xdr:col>
                <xdr:colOff>314325</xdr:colOff>
                <xdr:row>474</xdr:row>
                <xdr:rowOff>85725</xdr:rowOff>
              </from>
              <to>
                <xdr:col>28</xdr:col>
                <xdr:colOff>752475</xdr:colOff>
                <xdr:row>475</xdr:row>
                <xdr:rowOff>180975</xdr:rowOff>
              </to>
            </anchor>
          </objectPr>
        </oleObject>
      </mc:Choice>
      <mc:Fallback>
        <oleObject progId="Equation.DSMT4" shapeId="8683" r:id="rId505"/>
      </mc:Fallback>
    </mc:AlternateContent>
    <mc:AlternateContent xmlns:mc="http://schemas.openxmlformats.org/markup-compatibility/2006">
      <mc:Choice Requires="x14">
        <oleObject progId="Equation.DSMT4" shapeId="8684" r:id="rId506">
          <objectPr defaultSize="0" r:id="rId25">
            <anchor moveWithCells="1">
              <from>
                <xdr:col>28</xdr:col>
                <xdr:colOff>304800</xdr:colOff>
                <xdr:row>477</xdr:row>
                <xdr:rowOff>85725</xdr:rowOff>
              </from>
              <to>
                <xdr:col>28</xdr:col>
                <xdr:colOff>714375</xdr:colOff>
                <xdr:row>478</xdr:row>
                <xdr:rowOff>180975</xdr:rowOff>
              </to>
            </anchor>
          </objectPr>
        </oleObject>
      </mc:Choice>
      <mc:Fallback>
        <oleObject progId="Equation.DSMT4" shapeId="8684" r:id="rId506"/>
      </mc:Fallback>
    </mc:AlternateContent>
    <mc:AlternateContent xmlns:mc="http://schemas.openxmlformats.org/markup-compatibility/2006">
      <mc:Choice Requires="x14">
        <oleObject progId="Equation.DSMT4" shapeId="8685" r:id="rId507">
          <objectPr defaultSize="0" r:id="rId15">
            <anchor moveWithCells="1">
              <from>
                <xdr:col>32</xdr:col>
                <xdr:colOff>428625</xdr:colOff>
                <xdr:row>474</xdr:row>
                <xdr:rowOff>152400</xdr:rowOff>
              </from>
              <to>
                <xdr:col>32</xdr:col>
                <xdr:colOff>619125</xdr:colOff>
                <xdr:row>475</xdr:row>
                <xdr:rowOff>114300</xdr:rowOff>
              </to>
            </anchor>
          </objectPr>
        </oleObject>
      </mc:Choice>
      <mc:Fallback>
        <oleObject progId="Equation.DSMT4" shapeId="8685" r:id="rId507"/>
      </mc:Fallback>
    </mc:AlternateContent>
    <mc:AlternateContent xmlns:mc="http://schemas.openxmlformats.org/markup-compatibility/2006">
      <mc:Choice Requires="x14">
        <oleObject progId="Equation.DSMT4" shapeId="8686" r:id="rId508">
          <objectPr defaultSize="0" r:id="rId17">
            <anchor moveWithCells="1">
              <from>
                <xdr:col>33</xdr:col>
                <xdr:colOff>257175</xdr:colOff>
                <xdr:row>474</xdr:row>
                <xdr:rowOff>85725</xdr:rowOff>
              </from>
              <to>
                <xdr:col>33</xdr:col>
                <xdr:colOff>676275</xdr:colOff>
                <xdr:row>475</xdr:row>
                <xdr:rowOff>180975</xdr:rowOff>
              </to>
            </anchor>
          </objectPr>
        </oleObject>
      </mc:Choice>
      <mc:Fallback>
        <oleObject progId="Equation.DSMT4" shapeId="8686" r:id="rId508"/>
      </mc:Fallback>
    </mc:AlternateContent>
    <mc:AlternateContent xmlns:mc="http://schemas.openxmlformats.org/markup-compatibility/2006">
      <mc:Choice Requires="x14">
        <oleObject progId="Equation.DSMT4" shapeId="8687" r:id="rId509">
          <objectPr defaultSize="0" r:id="rId19">
            <anchor moveWithCells="1">
              <from>
                <xdr:col>32</xdr:col>
                <xdr:colOff>295275</xdr:colOff>
                <xdr:row>477</xdr:row>
                <xdr:rowOff>104775</xdr:rowOff>
              </from>
              <to>
                <xdr:col>32</xdr:col>
                <xdr:colOff>714375</xdr:colOff>
                <xdr:row>478</xdr:row>
                <xdr:rowOff>200025</xdr:rowOff>
              </to>
            </anchor>
          </objectPr>
        </oleObject>
      </mc:Choice>
      <mc:Fallback>
        <oleObject progId="Equation.DSMT4" shapeId="8687" r:id="rId509"/>
      </mc:Fallback>
    </mc:AlternateContent>
    <mc:AlternateContent xmlns:mc="http://schemas.openxmlformats.org/markup-compatibility/2006">
      <mc:Choice Requires="x14">
        <oleObject progId="Equation.DSMT4" shapeId="8688" r:id="rId510">
          <objectPr defaultSize="0" r:id="rId21">
            <anchor moveWithCells="1">
              <from>
                <xdr:col>33</xdr:col>
                <xdr:colOff>295275</xdr:colOff>
                <xdr:row>477</xdr:row>
                <xdr:rowOff>104775</xdr:rowOff>
              </from>
              <to>
                <xdr:col>33</xdr:col>
                <xdr:colOff>714375</xdr:colOff>
                <xdr:row>478</xdr:row>
                <xdr:rowOff>200025</xdr:rowOff>
              </to>
            </anchor>
          </objectPr>
        </oleObject>
      </mc:Choice>
      <mc:Fallback>
        <oleObject progId="Equation.DSMT4" shapeId="8688" r:id="rId510"/>
      </mc:Fallback>
    </mc:AlternateContent>
    <mc:AlternateContent xmlns:mc="http://schemas.openxmlformats.org/markup-compatibility/2006">
      <mc:Choice Requires="x14">
        <oleObject progId="Equation.DSMT4" shapeId="8689" r:id="rId511">
          <objectPr defaultSize="0" r:id="rId23">
            <anchor moveWithCells="1">
              <from>
                <xdr:col>34</xdr:col>
                <xdr:colOff>314325</xdr:colOff>
                <xdr:row>474</xdr:row>
                <xdr:rowOff>85725</xdr:rowOff>
              </from>
              <to>
                <xdr:col>34</xdr:col>
                <xdr:colOff>752475</xdr:colOff>
                <xdr:row>475</xdr:row>
                <xdr:rowOff>180975</xdr:rowOff>
              </to>
            </anchor>
          </objectPr>
        </oleObject>
      </mc:Choice>
      <mc:Fallback>
        <oleObject progId="Equation.DSMT4" shapeId="8689" r:id="rId511"/>
      </mc:Fallback>
    </mc:AlternateContent>
    <mc:AlternateContent xmlns:mc="http://schemas.openxmlformats.org/markup-compatibility/2006">
      <mc:Choice Requires="x14">
        <oleObject progId="Equation.DSMT4" shapeId="8690" r:id="rId512">
          <objectPr defaultSize="0" r:id="rId25">
            <anchor moveWithCells="1">
              <from>
                <xdr:col>34</xdr:col>
                <xdr:colOff>304800</xdr:colOff>
                <xdr:row>477</xdr:row>
                <xdr:rowOff>85725</xdr:rowOff>
              </from>
              <to>
                <xdr:col>34</xdr:col>
                <xdr:colOff>714375</xdr:colOff>
                <xdr:row>478</xdr:row>
                <xdr:rowOff>180975</xdr:rowOff>
              </to>
            </anchor>
          </objectPr>
        </oleObject>
      </mc:Choice>
      <mc:Fallback>
        <oleObject progId="Equation.DSMT4" shapeId="8690" r:id="rId512"/>
      </mc:Fallback>
    </mc:AlternateContent>
    <mc:AlternateContent xmlns:mc="http://schemas.openxmlformats.org/markup-compatibility/2006">
      <mc:Choice Requires="x14">
        <oleObject progId="Equation.DSMT4" shapeId="8691" r:id="rId513">
          <objectPr defaultSize="0" r:id="rId15">
            <anchor moveWithCells="1">
              <from>
                <xdr:col>38</xdr:col>
                <xdr:colOff>428625</xdr:colOff>
                <xdr:row>474</xdr:row>
                <xdr:rowOff>152400</xdr:rowOff>
              </from>
              <to>
                <xdr:col>38</xdr:col>
                <xdr:colOff>619125</xdr:colOff>
                <xdr:row>475</xdr:row>
                <xdr:rowOff>114300</xdr:rowOff>
              </to>
            </anchor>
          </objectPr>
        </oleObject>
      </mc:Choice>
      <mc:Fallback>
        <oleObject progId="Equation.DSMT4" shapeId="8691" r:id="rId513"/>
      </mc:Fallback>
    </mc:AlternateContent>
    <mc:AlternateContent xmlns:mc="http://schemas.openxmlformats.org/markup-compatibility/2006">
      <mc:Choice Requires="x14">
        <oleObject progId="Equation.DSMT4" shapeId="8692" r:id="rId514">
          <objectPr defaultSize="0" r:id="rId17">
            <anchor moveWithCells="1">
              <from>
                <xdr:col>39</xdr:col>
                <xdr:colOff>257175</xdr:colOff>
                <xdr:row>474</xdr:row>
                <xdr:rowOff>85725</xdr:rowOff>
              </from>
              <to>
                <xdr:col>39</xdr:col>
                <xdr:colOff>647700</xdr:colOff>
                <xdr:row>475</xdr:row>
                <xdr:rowOff>180975</xdr:rowOff>
              </to>
            </anchor>
          </objectPr>
        </oleObject>
      </mc:Choice>
      <mc:Fallback>
        <oleObject progId="Equation.DSMT4" shapeId="8692" r:id="rId514"/>
      </mc:Fallback>
    </mc:AlternateContent>
    <mc:AlternateContent xmlns:mc="http://schemas.openxmlformats.org/markup-compatibility/2006">
      <mc:Choice Requires="x14">
        <oleObject progId="Equation.DSMT4" shapeId="8693" r:id="rId515">
          <objectPr defaultSize="0" r:id="rId19">
            <anchor moveWithCells="1">
              <from>
                <xdr:col>38</xdr:col>
                <xdr:colOff>295275</xdr:colOff>
                <xdr:row>477</xdr:row>
                <xdr:rowOff>104775</xdr:rowOff>
              </from>
              <to>
                <xdr:col>38</xdr:col>
                <xdr:colOff>714375</xdr:colOff>
                <xdr:row>478</xdr:row>
                <xdr:rowOff>200025</xdr:rowOff>
              </to>
            </anchor>
          </objectPr>
        </oleObject>
      </mc:Choice>
      <mc:Fallback>
        <oleObject progId="Equation.DSMT4" shapeId="8693" r:id="rId515"/>
      </mc:Fallback>
    </mc:AlternateContent>
    <mc:AlternateContent xmlns:mc="http://schemas.openxmlformats.org/markup-compatibility/2006">
      <mc:Choice Requires="x14">
        <oleObject progId="Equation.DSMT4" shapeId="8694" r:id="rId516">
          <objectPr defaultSize="0" r:id="rId21">
            <anchor moveWithCells="1">
              <from>
                <xdr:col>39</xdr:col>
                <xdr:colOff>295275</xdr:colOff>
                <xdr:row>477</xdr:row>
                <xdr:rowOff>104775</xdr:rowOff>
              </from>
              <to>
                <xdr:col>39</xdr:col>
                <xdr:colOff>714375</xdr:colOff>
                <xdr:row>478</xdr:row>
                <xdr:rowOff>200025</xdr:rowOff>
              </to>
            </anchor>
          </objectPr>
        </oleObject>
      </mc:Choice>
      <mc:Fallback>
        <oleObject progId="Equation.DSMT4" shapeId="8694" r:id="rId516"/>
      </mc:Fallback>
    </mc:AlternateContent>
    <mc:AlternateContent xmlns:mc="http://schemas.openxmlformats.org/markup-compatibility/2006">
      <mc:Choice Requires="x14">
        <oleObject progId="Equation.DSMT4" shapeId="8695" r:id="rId517">
          <objectPr defaultSize="0" r:id="rId23">
            <anchor moveWithCells="1">
              <from>
                <xdr:col>40</xdr:col>
                <xdr:colOff>314325</xdr:colOff>
                <xdr:row>474</xdr:row>
                <xdr:rowOff>85725</xdr:rowOff>
              </from>
              <to>
                <xdr:col>40</xdr:col>
                <xdr:colOff>752475</xdr:colOff>
                <xdr:row>475</xdr:row>
                <xdr:rowOff>180975</xdr:rowOff>
              </to>
            </anchor>
          </objectPr>
        </oleObject>
      </mc:Choice>
      <mc:Fallback>
        <oleObject progId="Equation.DSMT4" shapeId="8695" r:id="rId517"/>
      </mc:Fallback>
    </mc:AlternateContent>
    <mc:AlternateContent xmlns:mc="http://schemas.openxmlformats.org/markup-compatibility/2006">
      <mc:Choice Requires="x14">
        <oleObject progId="Equation.DSMT4" shapeId="8696" r:id="rId518">
          <objectPr defaultSize="0" r:id="rId25">
            <anchor moveWithCells="1">
              <from>
                <xdr:col>40</xdr:col>
                <xdr:colOff>304800</xdr:colOff>
                <xdr:row>477</xdr:row>
                <xdr:rowOff>85725</xdr:rowOff>
              </from>
              <to>
                <xdr:col>40</xdr:col>
                <xdr:colOff>714375</xdr:colOff>
                <xdr:row>478</xdr:row>
                <xdr:rowOff>180975</xdr:rowOff>
              </to>
            </anchor>
          </objectPr>
        </oleObject>
      </mc:Choice>
      <mc:Fallback>
        <oleObject progId="Equation.DSMT4" shapeId="8696" r:id="rId518"/>
      </mc:Fallback>
    </mc:AlternateContent>
  </oleObject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C71"/>
  <sheetViews>
    <sheetView showGridLines="0" showRowColHeaders="0" zoomScale="70" zoomScaleNormal="70" zoomScalePageLayoutView="70" workbookViewId="0">
      <selection activeCell="V32" sqref="V32"/>
    </sheetView>
  </sheetViews>
  <sheetFormatPr baseColWidth="10" defaultRowHeight="15" x14ac:dyDescent="0.25"/>
  <cols>
    <col min="1" max="1" width="3" customWidth="1"/>
  </cols>
  <sheetData>
    <row r="2" spans="2:29" ht="15" customHeight="1" x14ac:dyDescent="0.25">
      <c r="B2" s="297" t="s">
        <v>110</v>
      </c>
      <c r="C2" s="297"/>
      <c r="D2" s="297"/>
      <c r="E2" s="297"/>
      <c r="F2" s="297"/>
      <c r="G2" s="297"/>
      <c r="H2" s="297"/>
      <c r="I2" s="297"/>
      <c r="J2" s="297"/>
      <c r="K2" s="297"/>
      <c r="L2" s="297"/>
      <c r="M2" s="297"/>
      <c r="N2" s="297"/>
      <c r="U2" s="304" t="s">
        <v>242</v>
      </c>
      <c r="V2" s="304"/>
      <c r="W2" s="304"/>
      <c r="X2" s="304"/>
      <c r="Y2" s="304"/>
      <c r="Z2" s="304"/>
      <c r="AA2" s="304"/>
      <c r="AB2" s="304"/>
    </row>
    <row r="3" spans="2:29" x14ac:dyDescent="0.25">
      <c r="B3" s="306" t="s">
        <v>165</v>
      </c>
      <c r="C3" s="307"/>
      <c r="D3" s="307"/>
      <c r="E3" s="307"/>
      <c r="F3" s="307"/>
      <c r="G3" s="307"/>
      <c r="H3" s="307"/>
      <c r="I3" s="307"/>
      <c r="J3" s="307"/>
      <c r="K3" s="307"/>
      <c r="L3" s="307"/>
      <c r="M3" s="307"/>
      <c r="N3" s="308"/>
      <c r="U3" s="304"/>
      <c r="V3" s="304"/>
      <c r="W3" s="304"/>
      <c r="X3" s="304"/>
      <c r="Y3" s="304"/>
      <c r="Z3" s="304"/>
      <c r="AA3" s="304"/>
      <c r="AB3" s="304"/>
    </row>
    <row r="4" spans="2:29" x14ac:dyDescent="0.25">
      <c r="B4" s="298" t="s">
        <v>1</v>
      </c>
      <c r="C4" s="299"/>
      <c r="D4" s="213" t="str">
        <f>'Datos Entrada'!D8</f>
        <v>Hermosillo, Son.</v>
      </c>
      <c r="E4" s="214"/>
      <c r="F4" s="298" t="s">
        <v>170</v>
      </c>
      <c r="G4" s="299"/>
      <c r="H4" s="216">
        <f>'Datos Entrada'!H8</f>
        <v>29.08</v>
      </c>
      <c r="I4" s="298" t="s">
        <v>202</v>
      </c>
      <c r="J4" s="299"/>
      <c r="K4" s="215">
        <f>'Datos Entrada'!K8</f>
        <v>-110.93</v>
      </c>
      <c r="L4" s="298" t="s">
        <v>201</v>
      </c>
      <c r="M4" s="299"/>
      <c r="N4" s="215">
        <f>'Datos Entrada'!N8</f>
        <v>211</v>
      </c>
      <c r="U4" s="249" t="s">
        <v>91</v>
      </c>
      <c r="V4" s="249" t="s">
        <v>11</v>
      </c>
      <c r="W4" s="249" t="s">
        <v>12</v>
      </c>
      <c r="X4" s="249" t="s">
        <v>13</v>
      </c>
      <c r="Y4" s="249" t="s">
        <v>14</v>
      </c>
      <c r="Z4" s="249" t="s">
        <v>15</v>
      </c>
      <c r="AA4" s="249" t="s">
        <v>16</v>
      </c>
      <c r="AB4" s="249" t="s">
        <v>224</v>
      </c>
    </row>
    <row r="5" spans="2:29" x14ac:dyDescent="0.25">
      <c r="U5" s="252" t="s">
        <v>225</v>
      </c>
      <c r="V5" s="252">
        <f>'CS 1er sem datos'!X165*'CS 2do sem datos'!AA160</f>
        <v>0</v>
      </c>
      <c r="W5" s="252">
        <f>'CS 1er sem datos'!Y165*'CS 2do sem datos'!AB160</f>
        <v>0</v>
      </c>
      <c r="X5" s="252">
        <f>'CS 1er sem datos'!Z165*'CS 2do sem datos'!AC160</f>
        <v>0</v>
      </c>
      <c r="Y5" s="252">
        <f>'CS 1er sem datos'!AA165*'CS 2do sem datos'!AD160</f>
        <v>124</v>
      </c>
      <c r="Z5" s="252">
        <f>'CS 1er sem datos'!AB165*'CS 2do sem datos'!AE160</f>
        <v>150</v>
      </c>
      <c r="AA5" s="252">
        <f>'CS 1er sem datos'!AC165*'CS 2do sem datos'!AF160</f>
        <v>186</v>
      </c>
      <c r="AB5" s="252">
        <f>SUM(V5:AA5)</f>
        <v>460</v>
      </c>
    </row>
    <row r="6" spans="2:29" x14ac:dyDescent="0.25">
      <c r="L6" s="57"/>
      <c r="U6" s="252" t="s">
        <v>226</v>
      </c>
      <c r="V6" s="252">
        <f>'CS 1er sem datos'!X165*'CS 2do sem datos'!AA159</f>
        <v>403</v>
      </c>
      <c r="W6" s="252">
        <f>'CS 1er sem datos'!Y165*'CS 2do sem datos'!AB159</f>
        <v>403</v>
      </c>
      <c r="X6" s="252">
        <f>'CS 1er sem datos'!Z165*'CS 2do sem datos'!AC159</f>
        <v>390</v>
      </c>
      <c r="Y6" s="252">
        <f>'CS 1er sem datos'!AA165*'CS 2do sem datos'!AD159</f>
        <v>279</v>
      </c>
      <c r="Z6" s="252">
        <f>'CS 1er sem datos'!AB165*'CS 2do sem datos'!AE159</f>
        <v>240</v>
      </c>
      <c r="AA6" s="252">
        <f>'CS 1er sem datos'!AC165*'CS 2do sem datos'!AF159</f>
        <v>217</v>
      </c>
      <c r="AB6" s="252">
        <f>SUM(V6:AA6)</f>
        <v>1932</v>
      </c>
    </row>
    <row r="7" spans="2:29" x14ac:dyDescent="0.25">
      <c r="L7" s="57"/>
    </row>
    <row r="8" spans="2:29" ht="15" customHeight="1" x14ac:dyDescent="0.25">
      <c r="J8" s="314" t="s">
        <v>113</v>
      </c>
      <c r="K8" s="314"/>
      <c r="L8" s="314"/>
      <c r="M8" s="314"/>
      <c r="N8" s="192" t="s">
        <v>183</v>
      </c>
      <c r="U8" s="300" t="s">
        <v>239</v>
      </c>
      <c r="V8" s="300"/>
      <c r="W8" s="300"/>
      <c r="X8" s="300"/>
      <c r="Y8" s="300"/>
      <c r="Z8" s="300"/>
      <c r="AA8" s="300"/>
      <c r="AB8" s="300"/>
      <c r="AC8" s="244"/>
    </row>
    <row r="9" spans="2:29" x14ac:dyDescent="0.25">
      <c r="J9" s="218"/>
      <c r="K9" s="219"/>
      <c r="L9" s="219"/>
      <c r="M9" s="219"/>
      <c r="U9" s="301" t="s">
        <v>240</v>
      </c>
      <c r="V9" s="302"/>
      <c r="W9" s="302"/>
      <c r="X9" s="302"/>
      <c r="Y9" s="302"/>
      <c r="Z9" s="302"/>
      <c r="AA9" s="302"/>
      <c r="AB9" s="303"/>
    </row>
    <row r="10" spans="2:29" x14ac:dyDescent="0.25">
      <c r="U10" s="251" t="s">
        <v>112</v>
      </c>
      <c r="V10" s="249" t="s">
        <v>11</v>
      </c>
      <c r="W10" s="249" t="s">
        <v>12</v>
      </c>
      <c r="X10" s="249" t="s">
        <v>13</v>
      </c>
      <c r="Y10" s="249" t="s">
        <v>14</v>
      </c>
      <c r="Z10" s="249" t="s">
        <v>15</v>
      </c>
      <c r="AA10" s="249" t="s">
        <v>16</v>
      </c>
      <c r="AB10" s="249" t="s">
        <v>224</v>
      </c>
    </row>
    <row r="11" spans="2:29" x14ac:dyDescent="0.25">
      <c r="U11" s="249">
        <v>40</v>
      </c>
      <c r="V11" s="270">
        <v>0</v>
      </c>
      <c r="W11" s="270">
        <v>0</v>
      </c>
      <c r="X11" s="270">
        <v>0</v>
      </c>
      <c r="Y11" s="270">
        <v>1</v>
      </c>
      <c r="Z11" s="269">
        <v>3</v>
      </c>
      <c r="AA11" s="269">
        <v>5</v>
      </c>
      <c r="AB11" s="253">
        <f>V11*'CS 1er sem datos'!$X$165+W11*'CS 1er sem datos'!$Y$165+X11*'CS 1er sem datos'!$Z$165+Y11*'CS 1er sem datos'!$AA$165+Z11*'CS 1er sem datos'!$AB$165+AA11*'CS 1er sem datos'!$AC$165</f>
        <v>276</v>
      </c>
    </row>
    <row r="12" spans="2:29" x14ac:dyDescent="0.25">
      <c r="J12" s="314" t="s">
        <v>114</v>
      </c>
      <c r="K12" s="314"/>
      <c r="L12" s="314"/>
      <c r="M12" s="314"/>
      <c r="N12" s="192" t="s">
        <v>252</v>
      </c>
      <c r="U12" s="249">
        <v>50</v>
      </c>
      <c r="V12" s="270">
        <v>0</v>
      </c>
      <c r="W12" s="270">
        <v>0</v>
      </c>
      <c r="X12" s="270">
        <v>0</v>
      </c>
      <c r="Y12" s="270">
        <v>5</v>
      </c>
      <c r="Z12" s="269">
        <v>6</v>
      </c>
      <c r="AA12" s="269">
        <v>5</v>
      </c>
      <c r="AB12" s="253">
        <f>V12*'CS 1er sem datos'!$X$165+W12*'CS 1er sem datos'!$Y$165+X12*'CS 1er sem datos'!$Z$165+Y12*'CS 1er sem datos'!$AA$165+Z12*'CS 1er sem datos'!$AB$165+AA12*'CS 1er sem datos'!$AC$165</f>
        <v>490</v>
      </c>
    </row>
    <row r="13" spans="2:29" x14ac:dyDescent="0.25">
      <c r="J13" s="218"/>
      <c r="K13" s="219"/>
      <c r="L13" s="219"/>
      <c r="M13" s="219"/>
      <c r="U13" s="251">
        <v>60</v>
      </c>
      <c r="V13" s="270">
        <v>0</v>
      </c>
      <c r="W13" s="270">
        <v>0</v>
      </c>
      <c r="X13" s="270">
        <v>3</v>
      </c>
      <c r="Y13" s="269">
        <v>8</v>
      </c>
      <c r="Z13" s="269">
        <v>6</v>
      </c>
      <c r="AA13" s="269">
        <v>5</v>
      </c>
      <c r="AB13" s="253">
        <f>V13*'CS 1er sem datos'!$X$165+W13*'CS 1er sem datos'!$Y$165+X13*'CS 1er sem datos'!$Z$165+Y13*'CS 1er sem datos'!$AA$165+Z13*'CS 1er sem datos'!$AB$165+AA13*'CS 1er sem datos'!$AC$165</f>
        <v>673</v>
      </c>
    </row>
    <row r="14" spans="2:29" x14ac:dyDescent="0.25">
      <c r="J14" s="305" t="s">
        <v>169</v>
      </c>
      <c r="K14" s="305"/>
      <c r="L14" s="305"/>
      <c r="M14" s="305"/>
      <c r="N14" s="329">
        <v>0</v>
      </c>
      <c r="U14" s="249">
        <v>70</v>
      </c>
      <c r="V14" s="270">
        <v>0</v>
      </c>
      <c r="W14" s="270">
        <v>0</v>
      </c>
      <c r="X14" s="270">
        <v>8</v>
      </c>
      <c r="Y14" s="269">
        <v>8</v>
      </c>
      <c r="Z14" s="269">
        <v>6</v>
      </c>
      <c r="AA14" s="269">
        <v>5</v>
      </c>
      <c r="AB14" s="253">
        <f>V14*'CS 1er sem datos'!$X$165+W14*'CS 1er sem datos'!$Y$165+X14*'CS 1er sem datos'!$Z$165+Y14*'CS 1er sem datos'!$AA$165+Z14*'CS 1er sem datos'!$AB$165+AA14*'CS 1er sem datos'!$AC$165</f>
        <v>823</v>
      </c>
    </row>
    <row r="15" spans="2:29" x14ac:dyDescent="0.25">
      <c r="J15" s="305"/>
      <c r="K15" s="305"/>
      <c r="L15" s="305"/>
      <c r="M15" s="305"/>
      <c r="N15" s="329"/>
      <c r="U15" s="249">
        <v>80</v>
      </c>
      <c r="V15" s="270">
        <v>0</v>
      </c>
      <c r="W15" s="270">
        <v>6</v>
      </c>
      <c r="X15" s="269">
        <v>11</v>
      </c>
      <c r="Y15" s="269">
        <v>8</v>
      </c>
      <c r="Z15" s="269">
        <v>6</v>
      </c>
      <c r="AA15" s="269">
        <v>5</v>
      </c>
      <c r="AB15" s="253">
        <f>V15*'CS 1er sem datos'!$X$165+W15*'CS 1er sem datos'!$Y$165+X15*'CS 1er sem datos'!$Z$165+Y15*'CS 1er sem datos'!$AA$165+Z15*'CS 1er sem datos'!$AB$165+AA15*'CS 1er sem datos'!$AC$165</f>
        <v>1099</v>
      </c>
    </row>
    <row r="16" spans="2:29" x14ac:dyDescent="0.25">
      <c r="J16" s="305"/>
      <c r="K16" s="305"/>
      <c r="L16" s="305"/>
      <c r="M16" s="305"/>
      <c r="N16" s="329"/>
      <c r="U16" s="251">
        <v>90</v>
      </c>
      <c r="V16" s="270">
        <v>6</v>
      </c>
      <c r="W16" s="269">
        <v>9</v>
      </c>
      <c r="X16" s="269">
        <v>11</v>
      </c>
      <c r="Y16" s="269">
        <v>8</v>
      </c>
      <c r="Z16" s="269">
        <v>6</v>
      </c>
      <c r="AA16" s="269">
        <v>5</v>
      </c>
      <c r="AB16" s="253">
        <f>V16*'CS 1er sem datos'!$X$165+W16*'CS 1er sem datos'!$Y$165+X16*'CS 1er sem datos'!$Z$165+Y16*'CS 1er sem datos'!$AA$165+Z16*'CS 1er sem datos'!$AB$165+AA16*'CS 1er sem datos'!$AC$165</f>
        <v>1378</v>
      </c>
    </row>
    <row r="17" spans="10:29" x14ac:dyDescent="0.25">
      <c r="J17" s="219"/>
      <c r="K17" s="219"/>
      <c r="L17" s="219"/>
      <c r="M17" s="219"/>
      <c r="U17" s="304" t="s">
        <v>241</v>
      </c>
      <c r="V17" s="304"/>
      <c r="W17" s="304"/>
      <c r="X17" s="304"/>
      <c r="Y17" s="304"/>
      <c r="Z17" s="304"/>
      <c r="AA17" s="304"/>
      <c r="AB17" s="304"/>
      <c r="AC17" s="244"/>
    </row>
    <row r="18" spans="10:29" x14ac:dyDescent="0.25">
      <c r="J18" s="311" t="s">
        <v>115</v>
      </c>
      <c r="K18" s="312"/>
      <c r="L18" s="312"/>
      <c r="M18" s="312"/>
      <c r="N18" s="192">
        <v>70</v>
      </c>
      <c r="U18" s="251" t="s">
        <v>112</v>
      </c>
      <c r="V18" s="249" t="s">
        <v>11</v>
      </c>
      <c r="W18" s="249" t="s">
        <v>12</v>
      </c>
      <c r="X18" s="249" t="s">
        <v>13</v>
      </c>
      <c r="Y18" s="249" t="s">
        <v>14</v>
      </c>
      <c r="Z18" s="249" t="s">
        <v>15</v>
      </c>
      <c r="AA18" s="249" t="s">
        <v>16</v>
      </c>
      <c r="AB18" s="249" t="s">
        <v>224</v>
      </c>
    </row>
    <row r="19" spans="10:29" x14ac:dyDescent="0.25">
      <c r="U19" s="249">
        <v>40</v>
      </c>
      <c r="V19" s="270">
        <v>0</v>
      </c>
      <c r="W19" s="270">
        <v>0</v>
      </c>
      <c r="X19" s="270">
        <v>0</v>
      </c>
      <c r="Y19" s="270">
        <v>1</v>
      </c>
      <c r="Z19" s="270">
        <v>3</v>
      </c>
      <c r="AA19" s="270">
        <v>5</v>
      </c>
      <c r="AB19" s="253">
        <f>V19*'CS 1er sem datos'!$X$165+W19*'CS 1er sem datos'!$Y$165+X19*'CS 1er sem datos'!$Z$165+Y19*'CS 1er sem datos'!$AA$165+Z19*'CS 1er sem datos'!$AB$165+AA19*'CS 1er sem datos'!$AC$165</f>
        <v>276</v>
      </c>
    </row>
    <row r="20" spans="10:29" x14ac:dyDescent="0.25">
      <c r="J20" s="309" t="s">
        <v>198</v>
      </c>
      <c r="K20" s="309"/>
      <c r="L20" s="309"/>
      <c r="M20" s="309"/>
      <c r="N20" s="192">
        <v>1.5</v>
      </c>
      <c r="U20" s="249">
        <v>50</v>
      </c>
      <c r="V20" s="270">
        <v>0</v>
      </c>
      <c r="W20" s="270">
        <v>0</v>
      </c>
      <c r="X20" s="270">
        <v>0</v>
      </c>
      <c r="Y20" s="270">
        <v>3</v>
      </c>
      <c r="Z20" s="270">
        <v>4</v>
      </c>
      <c r="AA20" s="270">
        <v>5</v>
      </c>
      <c r="AB20" s="253">
        <f>V20*'CS 1er sem datos'!$X$165+W20*'CS 1er sem datos'!$Y$165+X20*'CS 1er sem datos'!$Z$165+Y20*'CS 1er sem datos'!$AA$165+Z20*'CS 1er sem datos'!$AB$165+AA20*'CS 1er sem datos'!$AC$165</f>
        <v>368</v>
      </c>
    </row>
    <row r="21" spans="10:29" x14ac:dyDescent="0.25">
      <c r="N21" s="196"/>
      <c r="U21" s="251">
        <v>60</v>
      </c>
      <c r="V21" s="270">
        <v>0</v>
      </c>
      <c r="W21" s="270">
        <v>0</v>
      </c>
      <c r="X21" s="270">
        <v>0</v>
      </c>
      <c r="Y21" s="270">
        <v>4</v>
      </c>
      <c r="Z21" s="270">
        <v>4</v>
      </c>
      <c r="AA21" s="270">
        <v>5</v>
      </c>
      <c r="AB21" s="253">
        <f>V21*'CS 1er sem datos'!$X$165+W21*'CS 1er sem datos'!$Y$165+X21*'CS 1er sem datos'!$Z$165+Y21*'CS 1er sem datos'!$AA$165+Z21*'CS 1er sem datos'!$AB$165+AA21*'CS 1er sem datos'!$AC$165</f>
        <v>399</v>
      </c>
    </row>
    <row r="22" spans="10:29" x14ac:dyDescent="0.25">
      <c r="J22" s="309" t="s">
        <v>199</v>
      </c>
      <c r="K22" s="309"/>
      <c r="L22" s="309"/>
      <c r="M22" s="309"/>
      <c r="N22" s="160">
        <f>IF(N18=0,"Infinito",N20/TAN(RADIANS(N18)))</f>
        <v>0.54595535139930362</v>
      </c>
      <c r="U22" s="249">
        <v>70</v>
      </c>
      <c r="V22" s="270">
        <v>0</v>
      </c>
      <c r="W22" s="270">
        <v>0</v>
      </c>
      <c r="X22" s="270">
        <v>0</v>
      </c>
      <c r="Y22" s="270">
        <v>8</v>
      </c>
      <c r="Z22" s="270">
        <v>6</v>
      </c>
      <c r="AA22" s="270">
        <v>5</v>
      </c>
      <c r="AB22" s="253">
        <f>V22*'CS 1er sem datos'!$X$165+W22*'CS 1er sem datos'!$Y$165+X22*'CS 1er sem datos'!$Z$165+Y22*'CS 1er sem datos'!$AA$165+Z22*'CS 1er sem datos'!$AB$165+AA22*'CS 1er sem datos'!$AC$165</f>
        <v>583</v>
      </c>
    </row>
    <row r="23" spans="10:29" x14ac:dyDescent="0.25">
      <c r="U23" s="249">
        <v>80</v>
      </c>
      <c r="V23" s="270">
        <v>0</v>
      </c>
      <c r="W23" s="270">
        <v>0</v>
      </c>
      <c r="X23" s="270">
        <v>0</v>
      </c>
      <c r="Y23" s="270">
        <v>8</v>
      </c>
      <c r="Z23" s="270">
        <v>6</v>
      </c>
      <c r="AA23" s="270">
        <v>5</v>
      </c>
      <c r="AB23" s="253">
        <f>V23*'CS 1er sem datos'!$X$165+W23*'CS 1er sem datos'!$Y$165+X23*'CS 1er sem datos'!$Z$165+Y23*'CS 1er sem datos'!$AA$165+Z23*'CS 1er sem datos'!$AB$165+AA23*'CS 1er sem datos'!$AC$165</f>
        <v>583</v>
      </c>
    </row>
    <row r="24" spans="10:29" x14ac:dyDescent="0.25">
      <c r="U24" s="251">
        <v>90</v>
      </c>
      <c r="V24" s="270">
        <v>0</v>
      </c>
      <c r="W24" s="270">
        <v>0</v>
      </c>
      <c r="X24" s="270">
        <v>0</v>
      </c>
      <c r="Y24" s="270">
        <v>8</v>
      </c>
      <c r="Z24" s="270">
        <v>6</v>
      </c>
      <c r="AA24" s="270">
        <v>5</v>
      </c>
      <c r="AB24" s="253">
        <f>V24*'CS 1er sem datos'!$X$165+W24*'CS 1er sem datos'!$Y$165+X24*'CS 1er sem datos'!$Z$165+Y24*'CS 1er sem datos'!$AA$165+Z24*'CS 1er sem datos'!$AB$165+AA24*'CS 1er sem datos'!$AC$165</f>
        <v>583</v>
      </c>
    </row>
    <row r="25" spans="10:29" x14ac:dyDescent="0.25">
      <c r="N25" s="127"/>
      <c r="O25" s="127"/>
    </row>
    <row r="26" spans="10:29" x14ac:dyDescent="0.25">
      <c r="J26" s="310" t="s">
        <v>116</v>
      </c>
      <c r="K26" s="310"/>
      <c r="L26" s="310"/>
      <c r="M26" s="310"/>
      <c r="N26" s="192" t="s">
        <v>253</v>
      </c>
      <c r="O26" s="127"/>
      <c r="U26" s="300" t="s">
        <v>249</v>
      </c>
      <c r="V26" s="300"/>
      <c r="W26" s="300"/>
      <c r="X26" s="300"/>
      <c r="Y26" s="300"/>
      <c r="Z26" s="300"/>
      <c r="AA26" s="300"/>
      <c r="AB26" s="300"/>
    </row>
    <row r="27" spans="10:29" x14ac:dyDescent="0.25">
      <c r="P27" s="94"/>
      <c r="U27" s="301" t="s">
        <v>240</v>
      </c>
      <c r="V27" s="302"/>
      <c r="W27" s="302"/>
      <c r="X27" s="302"/>
      <c r="Y27" s="302"/>
      <c r="Z27" s="302"/>
      <c r="AA27" s="302"/>
      <c r="AB27" s="303"/>
    </row>
    <row r="28" spans="10:29" x14ac:dyDescent="0.25">
      <c r="J28" s="305" t="s">
        <v>169</v>
      </c>
      <c r="K28" s="305"/>
      <c r="L28" s="305"/>
      <c r="M28" s="305"/>
      <c r="N28" s="329">
        <v>0</v>
      </c>
      <c r="U28" s="272" t="s">
        <v>112</v>
      </c>
      <c r="V28" s="249" t="s">
        <v>11</v>
      </c>
      <c r="W28" s="249" t="s">
        <v>12</v>
      </c>
      <c r="X28" s="249" t="s">
        <v>13</v>
      </c>
      <c r="Y28" s="249" t="s">
        <v>14</v>
      </c>
      <c r="Z28" s="249" t="s">
        <v>15</v>
      </c>
      <c r="AA28" s="249" t="s">
        <v>16</v>
      </c>
      <c r="AB28" s="249" t="s">
        <v>224</v>
      </c>
    </row>
    <row r="29" spans="10:29" x14ac:dyDescent="0.25">
      <c r="J29" s="305"/>
      <c r="K29" s="305"/>
      <c r="L29" s="305"/>
      <c r="M29" s="305"/>
      <c r="N29" s="329"/>
      <c r="U29" s="249">
        <v>0</v>
      </c>
      <c r="V29" s="270">
        <v>6</v>
      </c>
      <c r="W29" s="270">
        <v>9</v>
      </c>
      <c r="X29" s="270">
        <v>11</v>
      </c>
      <c r="Y29" s="270">
        <v>8</v>
      </c>
      <c r="Z29" s="269">
        <v>6</v>
      </c>
      <c r="AA29" s="269">
        <v>5</v>
      </c>
      <c r="AB29" s="253">
        <f>V29*'CS 1er sem datos'!$X$165+W29*'CS 1er sem datos'!$Y$165+X29*'CS 1er sem datos'!$Z$165+Y29*'CS 1er sem datos'!$AA$165+Z29*'CS 1er sem datos'!$AB$165+AA29*'CS 1er sem datos'!$AC$165</f>
        <v>1378</v>
      </c>
    </row>
    <row r="30" spans="10:29" x14ac:dyDescent="0.25">
      <c r="J30" s="305"/>
      <c r="K30" s="305"/>
      <c r="L30" s="305"/>
      <c r="M30" s="305"/>
      <c r="N30" s="329"/>
      <c r="U30" s="249">
        <v>10</v>
      </c>
      <c r="V30" s="270">
        <v>4</v>
      </c>
      <c r="W30" s="270">
        <v>6</v>
      </c>
      <c r="X30" s="270">
        <v>9</v>
      </c>
      <c r="Y30" s="270">
        <v>7.5</v>
      </c>
      <c r="Z30" s="269">
        <v>6</v>
      </c>
      <c r="AA30" s="269">
        <v>5</v>
      </c>
      <c r="AB30" s="253">
        <f>V30*'CS 1er sem datos'!$X$165+W30*'CS 1er sem datos'!$Y$165+X30*'CS 1er sem datos'!$Z$165+Y30*'CS 1er sem datos'!$AA$165+Z30*'CS 1er sem datos'!$AB$165+AA30*'CS 1er sem datos'!$AC$165</f>
        <v>1147.5</v>
      </c>
    </row>
    <row r="31" spans="10:29" x14ac:dyDescent="0.25">
      <c r="P31" s="94"/>
      <c r="U31" s="272">
        <v>20</v>
      </c>
      <c r="V31" s="270">
        <v>3</v>
      </c>
      <c r="W31" s="270">
        <v>4</v>
      </c>
      <c r="X31" s="270">
        <v>7</v>
      </c>
      <c r="Y31" s="269">
        <v>6.5</v>
      </c>
      <c r="Z31" s="269">
        <v>6</v>
      </c>
      <c r="AA31" s="269">
        <v>5</v>
      </c>
      <c r="AB31" s="253">
        <f>V31*'CS 1er sem datos'!$X$165+W31*'CS 1er sem datos'!$Y$165+X31*'CS 1er sem datos'!$Z$165+Y31*'CS 1er sem datos'!$AA$165+Z31*'CS 1er sem datos'!$AB$165+AA31*'CS 1er sem datos'!$AC$165</f>
        <v>963.5</v>
      </c>
    </row>
    <row r="32" spans="10:29" x14ac:dyDescent="0.25">
      <c r="J32" s="310" t="s">
        <v>117</v>
      </c>
      <c r="K32" s="310"/>
      <c r="L32" s="310"/>
      <c r="M32" s="310"/>
      <c r="N32" s="192">
        <v>50</v>
      </c>
      <c r="O32" s="127"/>
      <c r="U32" s="249">
        <v>30</v>
      </c>
      <c r="V32" s="270">
        <v>2</v>
      </c>
      <c r="W32" s="270">
        <v>3</v>
      </c>
      <c r="X32" s="270">
        <v>5</v>
      </c>
      <c r="Y32" s="269">
        <v>5.5</v>
      </c>
      <c r="Z32" s="269">
        <v>5</v>
      </c>
      <c r="AA32" s="269">
        <v>4.5</v>
      </c>
      <c r="AB32" s="253">
        <f>V32*'CS 1er sem datos'!$X$165+W32*'CS 1er sem datos'!$Y$165+X32*'CS 1er sem datos'!$Z$165+Y32*'CS 1er sem datos'!$AA$165+Z32*'CS 1er sem datos'!$AB$165+AA32*'CS 1er sem datos'!$AC$165</f>
        <v>765</v>
      </c>
    </row>
    <row r="33" spans="1:28" x14ac:dyDescent="0.25">
      <c r="N33" s="127"/>
      <c r="O33" s="127"/>
      <c r="U33" s="249">
        <v>40</v>
      </c>
      <c r="V33" s="270">
        <v>1.5</v>
      </c>
      <c r="W33" s="270">
        <v>2.5</v>
      </c>
      <c r="X33" s="269">
        <v>3.5</v>
      </c>
      <c r="Y33" s="269">
        <v>4.5</v>
      </c>
      <c r="Z33" s="269">
        <v>4</v>
      </c>
      <c r="AA33" s="269">
        <v>3</v>
      </c>
      <c r="AB33" s="253">
        <f>V33*'CS 1er sem datos'!$X$165+W33*'CS 1er sem datos'!$Y$165+X33*'CS 1er sem datos'!$Z$165+Y33*'CS 1er sem datos'!$AA$165+Z33*'CS 1er sem datos'!$AB$165+AA33*'CS 1er sem datos'!$AC$165</f>
        <v>581.5</v>
      </c>
    </row>
    <row r="34" spans="1:28" x14ac:dyDescent="0.25">
      <c r="J34" s="309" t="s">
        <v>197</v>
      </c>
      <c r="K34" s="309"/>
      <c r="L34" s="309"/>
      <c r="M34" s="309"/>
      <c r="N34" s="192">
        <v>2</v>
      </c>
      <c r="P34" s="94"/>
      <c r="U34" s="272">
        <v>50</v>
      </c>
      <c r="V34" s="270">
        <v>1</v>
      </c>
      <c r="W34" s="269">
        <v>1.5</v>
      </c>
      <c r="X34" s="269">
        <v>3</v>
      </c>
      <c r="Y34" s="269">
        <v>3.5</v>
      </c>
      <c r="Z34" s="269">
        <v>3</v>
      </c>
      <c r="AA34" s="269">
        <v>2.5</v>
      </c>
      <c r="AB34" s="253">
        <f>V34*'CS 1er sem datos'!$X$165+W34*'CS 1er sem datos'!$Y$165+X34*'CS 1er sem datos'!$Z$165+Y34*'CS 1er sem datos'!$AA$165+Z34*'CS 1er sem datos'!$AB$165+AA34*'CS 1er sem datos'!$AC$165</f>
        <v>443.5</v>
      </c>
    </row>
    <row r="35" spans="1:28" x14ac:dyDescent="0.25">
      <c r="U35" s="304" t="s">
        <v>241</v>
      </c>
      <c r="V35" s="304"/>
      <c r="W35" s="304"/>
      <c r="X35" s="304"/>
      <c r="Y35" s="304"/>
      <c r="Z35" s="304"/>
      <c r="AA35" s="304"/>
      <c r="AB35" s="304"/>
    </row>
    <row r="36" spans="1:28" x14ac:dyDescent="0.25">
      <c r="J36" s="309" t="s">
        <v>200</v>
      </c>
      <c r="K36" s="310"/>
      <c r="L36" s="310"/>
      <c r="M36" s="310"/>
      <c r="N36" s="222">
        <f>IF(N32=90,"Infinito",N34*TAN(RADIANS(N32)))</f>
        <v>2.38350718518842</v>
      </c>
      <c r="U36" s="272" t="s">
        <v>112</v>
      </c>
      <c r="V36" s="249" t="s">
        <v>11</v>
      </c>
      <c r="W36" s="249" t="s">
        <v>12</v>
      </c>
      <c r="X36" s="249" t="s">
        <v>13</v>
      </c>
      <c r="Y36" s="249" t="s">
        <v>14</v>
      </c>
      <c r="Z36" s="249" t="s">
        <v>15</v>
      </c>
      <c r="AA36" s="249" t="s">
        <v>16</v>
      </c>
      <c r="AB36" s="249" t="s">
        <v>224</v>
      </c>
    </row>
    <row r="37" spans="1:28" x14ac:dyDescent="0.25">
      <c r="U37" s="249">
        <v>0</v>
      </c>
      <c r="V37" s="270">
        <v>0</v>
      </c>
      <c r="W37" s="270">
        <v>0</v>
      </c>
      <c r="X37" s="270">
        <v>0</v>
      </c>
      <c r="Y37" s="270">
        <v>4</v>
      </c>
      <c r="Z37" s="270">
        <v>4</v>
      </c>
      <c r="AA37" s="270">
        <v>5</v>
      </c>
      <c r="AB37" s="253">
        <f>V37*'CS 1er sem datos'!$X$165+W37*'CS 1er sem datos'!$Y$165+X37*'CS 1er sem datos'!$Z$165+Y37*'CS 1er sem datos'!$AA$165+Z37*'CS 1er sem datos'!$AB$165+AA37*'CS 1er sem datos'!$AC$165</f>
        <v>399</v>
      </c>
    </row>
    <row r="38" spans="1:28" x14ac:dyDescent="0.25">
      <c r="U38" s="249">
        <v>10</v>
      </c>
      <c r="V38" s="270">
        <v>0</v>
      </c>
      <c r="W38" s="270">
        <v>0</v>
      </c>
      <c r="X38" s="270">
        <v>0</v>
      </c>
      <c r="Y38" s="270">
        <v>3.5</v>
      </c>
      <c r="Z38" s="270">
        <v>4</v>
      </c>
      <c r="AA38" s="270">
        <v>5</v>
      </c>
      <c r="AB38" s="253">
        <f>V38*'CS 1er sem datos'!$X$165+W38*'CS 1er sem datos'!$Y$165+X38*'CS 1er sem datos'!$Z$165+Y38*'CS 1er sem datos'!$AA$165+Z38*'CS 1er sem datos'!$AB$165+AA38*'CS 1er sem datos'!$AC$165</f>
        <v>383.5</v>
      </c>
    </row>
    <row r="39" spans="1:28" x14ac:dyDescent="0.25">
      <c r="B39" s="297" t="s">
        <v>196</v>
      </c>
      <c r="C39" s="297"/>
      <c r="D39" s="297"/>
      <c r="E39" s="297"/>
      <c r="F39" s="297"/>
      <c r="G39" s="297"/>
      <c r="H39" s="297"/>
      <c r="I39" s="297"/>
      <c r="J39" s="297"/>
      <c r="K39" s="297"/>
      <c r="L39" s="297"/>
      <c r="M39" s="297"/>
      <c r="N39" s="297"/>
      <c r="U39" s="272">
        <v>20</v>
      </c>
      <c r="V39" s="270">
        <v>0</v>
      </c>
      <c r="W39" s="270">
        <v>0</v>
      </c>
      <c r="X39" s="270">
        <v>0</v>
      </c>
      <c r="Y39" s="270">
        <v>2.5</v>
      </c>
      <c r="Z39" s="270">
        <v>4</v>
      </c>
      <c r="AA39" s="270">
        <v>5</v>
      </c>
      <c r="AB39" s="253">
        <f>V39*'CS 1er sem datos'!$X$165+W39*'CS 1er sem datos'!$Y$165+X39*'CS 1er sem datos'!$Z$165+Y39*'CS 1er sem datos'!$AA$165+Z39*'CS 1er sem datos'!$AB$165+AA39*'CS 1er sem datos'!$AC$165</f>
        <v>352.5</v>
      </c>
    </row>
    <row r="40" spans="1:28" x14ac:dyDescent="0.25">
      <c r="B40" s="306" t="s">
        <v>165</v>
      </c>
      <c r="C40" s="307"/>
      <c r="D40" s="307"/>
      <c r="E40" s="307"/>
      <c r="F40" s="307"/>
      <c r="G40" s="307"/>
      <c r="H40" s="307"/>
      <c r="I40" s="307"/>
      <c r="J40" s="307"/>
      <c r="K40" s="307"/>
      <c r="L40" s="307"/>
      <c r="M40" s="307"/>
      <c r="N40" s="308"/>
      <c r="U40" s="249">
        <v>30</v>
      </c>
      <c r="V40" s="270">
        <v>0</v>
      </c>
      <c r="W40" s="270">
        <v>0</v>
      </c>
      <c r="X40" s="270">
        <v>0</v>
      </c>
      <c r="Y40" s="270">
        <v>1.5</v>
      </c>
      <c r="Z40" s="270">
        <v>3</v>
      </c>
      <c r="AA40" s="270">
        <v>4.5</v>
      </c>
      <c r="AB40" s="253">
        <f>V40*'CS 1er sem datos'!$X$165+W40*'CS 1er sem datos'!$Y$165+X40*'CS 1er sem datos'!$Z$165+Y40*'CS 1er sem datos'!$AA$165+Z40*'CS 1er sem datos'!$AB$165+AA40*'CS 1er sem datos'!$AC$165</f>
        <v>276</v>
      </c>
    </row>
    <row r="41" spans="1:28" x14ac:dyDescent="0.25">
      <c r="B41" s="298" t="s">
        <v>1</v>
      </c>
      <c r="C41" s="299"/>
      <c r="D41" s="213" t="str">
        <f>D4</f>
        <v>Hermosillo, Son.</v>
      </c>
      <c r="E41" s="214"/>
      <c r="F41" s="298" t="s">
        <v>170</v>
      </c>
      <c r="G41" s="299"/>
      <c r="H41" s="216">
        <f>H4</f>
        <v>29.08</v>
      </c>
      <c r="I41" s="298" t="s">
        <v>202</v>
      </c>
      <c r="J41" s="299"/>
      <c r="K41" s="215">
        <f>K4</f>
        <v>-110.93</v>
      </c>
      <c r="L41" s="298" t="s">
        <v>201</v>
      </c>
      <c r="M41" s="299"/>
      <c r="N41" s="215">
        <f>N4</f>
        <v>211</v>
      </c>
      <c r="U41" s="249">
        <v>40</v>
      </c>
      <c r="V41" s="270">
        <v>0</v>
      </c>
      <c r="W41" s="270">
        <v>0</v>
      </c>
      <c r="X41" s="270">
        <v>0</v>
      </c>
      <c r="Y41" s="270">
        <v>0.5</v>
      </c>
      <c r="Z41" s="270">
        <v>2</v>
      </c>
      <c r="AA41" s="270">
        <v>3.5</v>
      </c>
      <c r="AB41" s="253">
        <f>V41*'CS 1er sem datos'!$X$165+W41*'CS 1er sem datos'!$Y$165+X41*'CS 1er sem datos'!$Z$165+Y41*'CS 1er sem datos'!$AA$165+Z41*'CS 1er sem datos'!$AB$165+AA41*'CS 1er sem datos'!$AC$165</f>
        <v>184</v>
      </c>
    </row>
    <row r="42" spans="1:28" x14ac:dyDescent="0.25">
      <c r="F42" s="227"/>
      <c r="G42" s="227"/>
      <c r="H42" s="227"/>
      <c r="I42" s="227"/>
      <c r="J42" s="227"/>
      <c r="U42" s="272">
        <v>50</v>
      </c>
      <c r="V42" s="270">
        <v>0</v>
      </c>
      <c r="W42" s="270">
        <v>0</v>
      </c>
      <c r="X42" s="270">
        <v>0</v>
      </c>
      <c r="Y42" s="270">
        <v>0</v>
      </c>
      <c r="Z42" s="270">
        <v>1.5</v>
      </c>
      <c r="AA42" s="270">
        <v>2.5</v>
      </c>
      <c r="AB42" s="253">
        <f>V42*'CS 1er sem datos'!$X$165+W42*'CS 1er sem datos'!$Y$165+X42*'CS 1er sem datos'!$Z$165+Y42*'CS 1er sem datos'!$AA$165+Z42*'CS 1er sem datos'!$AB$165+AA42*'CS 1er sem datos'!$AC$165</f>
        <v>122.5</v>
      </c>
    </row>
    <row r="44" spans="1:28" x14ac:dyDescent="0.25">
      <c r="A44" s="193"/>
      <c r="B44" s="193"/>
      <c r="C44" s="193"/>
      <c r="D44" s="193"/>
      <c r="E44" s="193"/>
      <c r="F44" s="193"/>
      <c r="G44" s="193"/>
      <c r="H44" s="193"/>
      <c r="I44" s="193"/>
      <c r="J44" s="193"/>
      <c r="K44" s="193"/>
      <c r="L44" s="193"/>
      <c r="M44" s="193"/>
      <c r="N44" s="193"/>
    </row>
    <row r="45" spans="1:28" x14ac:dyDescent="0.25">
      <c r="A45" s="193"/>
      <c r="B45" s="193"/>
      <c r="C45" s="193"/>
      <c r="D45" s="193"/>
      <c r="E45" s="193"/>
      <c r="F45" s="193"/>
      <c r="G45" s="193"/>
      <c r="H45" s="193"/>
      <c r="I45" s="193"/>
      <c r="J45" s="193"/>
      <c r="K45" s="193"/>
      <c r="L45" s="193"/>
      <c r="M45" s="193"/>
      <c r="N45" s="193"/>
      <c r="P45" s="223"/>
      <c r="Q45" s="223"/>
      <c r="R45" s="223"/>
      <c r="S45" s="223"/>
    </row>
    <row r="46" spans="1:28" x14ac:dyDescent="0.25">
      <c r="A46" s="193"/>
      <c r="B46" s="193"/>
      <c r="C46" s="193"/>
      <c r="D46" s="193"/>
      <c r="E46" s="193"/>
      <c r="F46" s="193"/>
      <c r="G46" s="193"/>
      <c r="H46" s="193"/>
      <c r="I46" s="193"/>
      <c r="J46" s="193"/>
      <c r="K46" s="193"/>
      <c r="L46" s="193"/>
      <c r="M46" s="193"/>
      <c r="N46" s="193"/>
      <c r="P46" s="223"/>
      <c r="Q46" s="224"/>
      <c r="R46" s="224"/>
      <c r="S46" s="224"/>
      <c r="T46" s="94"/>
    </row>
    <row r="47" spans="1:28" x14ac:dyDescent="0.25">
      <c r="A47" s="193"/>
      <c r="B47" s="193"/>
      <c r="C47" s="193"/>
      <c r="D47" s="193"/>
      <c r="E47" s="193"/>
      <c r="F47" s="193"/>
      <c r="G47" s="193"/>
      <c r="H47" s="193"/>
      <c r="I47" s="193"/>
      <c r="J47" s="193"/>
      <c r="K47" s="193"/>
      <c r="L47" s="193"/>
      <c r="M47" s="193"/>
      <c r="N47" s="193"/>
      <c r="P47" s="223"/>
      <c r="Q47" s="223"/>
      <c r="R47" s="223"/>
      <c r="S47" s="223"/>
    </row>
    <row r="48" spans="1:28" x14ac:dyDescent="0.25">
      <c r="A48" s="193"/>
      <c r="B48" s="193"/>
      <c r="C48" s="193"/>
      <c r="D48" s="193"/>
      <c r="E48" s="193"/>
      <c r="F48" s="193"/>
      <c r="G48" s="193"/>
      <c r="H48" s="193"/>
      <c r="I48" s="193"/>
      <c r="J48" s="193"/>
      <c r="K48" s="193"/>
      <c r="L48" s="193"/>
      <c r="M48" s="193"/>
      <c r="N48" s="193"/>
      <c r="P48" s="223"/>
      <c r="Q48" s="224"/>
      <c r="R48" s="224"/>
      <c r="S48" s="224"/>
      <c r="T48" s="94"/>
    </row>
    <row r="49" spans="1:20" x14ac:dyDescent="0.25">
      <c r="A49" s="193"/>
      <c r="B49" s="193"/>
      <c r="C49" s="193"/>
      <c r="D49" s="193"/>
      <c r="E49" s="193"/>
      <c r="F49" s="193"/>
      <c r="G49" s="193"/>
      <c r="H49" s="193"/>
      <c r="I49" s="193"/>
      <c r="J49" s="193"/>
      <c r="K49" s="193"/>
      <c r="L49" s="193"/>
      <c r="M49" s="193"/>
      <c r="N49" s="193"/>
      <c r="P49" s="127"/>
      <c r="Q49" s="127"/>
      <c r="R49" s="127"/>
      <c r="S49" s="127"/>
    </row>
    <row r="50" spans="1:20" x14ac:dyDescent="0.25">
      <c r="A50" s="193"/>
      <c r="B50" s="193"/>
      <c r="C50" s="193"/>
      <c r="D50" s="193"/>
      <c r="E50" s="193"/>
      <c r="F50" s="193"/>
      <c r="G50" s="193"/>
      <c r="H50" s="193"/>
      <c r="I50" s="193"/>
      <c r="J50" s="193"/>
      <c r="K50" s="193"/>
      <c r="L50" s="193"/>
      <c r="M50" s="193"/>
      <c r="N50" s="193"/>
      <c r="P50" s="127"/>
      <c r="Q50" s="127"/>
      <c r="R50" s="127"/>
      <c r="S50" s="127"/>
    </row>
    <row r="51" spans="1:20" x14ac:dyDescent="0.25">
      <c r="A51" s="193"/>
      <c r="B51" s="193"/>
      <c r="C51" s="193"/>
      <c r="D51" s="193"/>
      <c r="E51" s="193"/>
      <c r="F51" s="193"/>
      <c r="G51" s="193"/>
      <c r="H51" s="193"/>
      <c r="I51" s="193"/>
      <c r="J51" s="193"/>
      <c r="K51" s="193"/>
      <c r="L51" s="193"/>
      <c r="M51" s="193"/>
      <c r="N51" s="193"/>
      <c r="P51" s="127"/>
      <c r="Q51" s="127"/>
      <c r="R51" s="127"/>
      <c r="S51" s="127"/>
    </row>
    <row r="52" spans="1:20" x14ac:dyDescent="0.25">
      <c r="A52" s="193"/>
      <c r="B52" s="193"/>
      <c r="C52" s="193"/>
      <c r="D52" s="193"/>
      <c r="E52" s="193"/>
      <c r="F52" s="193"/>
      <c r="G52" s="193"/>
      <c r="H52" s="193"/>
      <c r="I52" s="193"/>
      <c r="J52" s="193"/>
      <c r="K52" s="193"/>
      <c r="L52" s="193"/>
      <c r="M52" s="193"/>
      <c r="N52" s="193"/>
      <c r="P52" s="224"/>
      <c r="Q52" s="224"/>
      <c r="R52" s="224"/>
      <c r="S52" s="224"/>
    </row>
    <row r="53" spans="1:20" x14ac:dyDescent="0.25">
      <c r="A53" s="193"/>
      <c r="B53" s="193"/>
      <c r="C53" s="193"/>
      <c r="D53" s="193"/>
      <c r="E53" s="193"/>
      <c r="F53" s="193"/>
      <c r="G53" s="193"/>
      <c r="H53" s="193"/>
      <c r="I53" s="193"/>
      <c r="J53" s="193"/>
      <c r="K53" s="193"/>
      <c r="L53" s="193"/>
      <c r="M53" s="193"/>
      <c r="N53" s="193"/>
      <c r="P53" s="225"/>
      <c r="Q53" s="225"/>
      <c r="R53" s="225"/>
      <c r="S53" s="225"/>
    </row>
    <row r="54" spans="1:20" x14ac:dyDescent="0.25">
      <c r="A54" s="193"/>
      <c r="B54" s="193"/>
      <c r="C54" s="193"/>
      <c r="D54" s="193"/>
      <c r="E54" s="193"/>
      <c r="F54" s="193"/>
      <c r="G54" s="193"/>
      <c r="H54" s="193"/>
      <c r="I54" s="193"/>
      <c r="J54" s="193"/>
      <c r="K54" s="193"/>
      <c r="L54" s="193"/>
      <c r="M54" s="193"/>
      <c r="N54" s="193"/>
      <c r="P54" s="224"/>
      <c r="Q54" s="224"/>
      <c r="R54" s="224"/>
      <c r="S54" s="224"/>
      <c r="T54" s="94"/>
    </row>
    <row r="55" spans="1:20" x14ac:dyDescent="0.25">
      <c r="A55" s="193"/>
      <c r="B55" s="193"/>
      <c r="C55" s="193"/>
      <c r="D55" s="193"/>
      <c r="E55" s="193"/>
      <c r="F55" s="193"/>
      <c r="G55" s="193"/>
      <c r="H55" s="193"/>
      <c r="I55" s="193"/>
      <c r="J55" s="193"/>
      <c r="K55" s="193"/>
      <c r="L55" s="193"/>
      <c r="M55" s="193"/>
      <c r="N55" s="193"/>
      <c r="P55" s="226"/>
      <c r="Q55" s="226"/>
      <c r="R55" s="226"/>
      <c r="S55" s="226"/>
    </row>
    <row r="56" spans="1:20" x14ac:dyDescent="0.25">
      <c r="A56" s="193"/>
      <c r="B56" s="193"/>
      <c r="C56" s="193"/>
      <c r="D56" s="193"/>
      <c r="E56" s="193"/>
      <c r="F56" s="193"/>
      <c r="G56" s="193"/>
      <c r="H56" s="193"/>
      <c r="I56" s="193"/>
      <c r="J56" s="193"/>
      <c r="K56" s="193"/>
      <c r="L56" s="193"/>
      <c r="M56" s="193"/>
      <c r="N56" s="193"/>
      <c r="P56" s="224"/>
      <c r="Q56" s="224"/>
      <c r="R56" s="224"/>
      <c r="S56" s="224"/>
    </row>
    <row r="57" spans="1:20" x14ac:dyDescent="0.25">
      <c r="A57" s="193"/>
      <c r="B57" s="193"/>
      <c r="C57" s="193"/>
      <c r="D57" s="193"/>
      <c r="E57" s="193"/>
      <c r="F57" s="193"/>
      <c r="G57" s="193"/>
      <c r="H57" s="193"/>
      <c r="I57" s="193"/>
      <c r="J57" s="193"/>
      <c r="K57" s="193"/>
      <c r="L57" s="193"/>
      <c r="M57" s="193"/>
      <c r="N57" s="193"/>
      <c r="P57" s="127"/>
      <c r="Q57" s="127"/>
      <c r="R57" s="127"/>
      <c r="S57" s="127"/>
    </row>
    <row r="58" spans="1:20" x14ac:dyDescent="0.25">
      <c r="A58" s="193"/>
      <c r="B58" s="193"/>
      <c r="C58" s="193"/>
      <c r="D58" s="193"/>
      <c r="E58" s="193"/>
      <c r="F58" s="193"/>
      <c r="G58" s="193"/>
      <c r="H58" s="193"/>
      <c r="I58" s="193"/>
      <c r="J58" s="193"/>
      <c r="K58" s="193"/>
      <c r="L58" s="193"/>
      <c r="M58" s="193"/>
      <c r="N58" s="193"/>
      <c r="P58" s="127"/>
      <c r="Q58" s="127"/>
      <c r="R58" s="127"/>
      <c r="S58" s="127"/>
    </row>
    <row r="59" spans="1:20" x14ac:dyDescent="0.25">
      <c r="A59" s="193"/>
      <c r="B59" s="193"/>
      <c r="C59" s="193"/>
      <c r="D59" s="193"/>
      <c r="E59" s="193"/>
      <c r="F59" s="193"/>
      <c r="G59" s="193"/>
      <c r="H59" s="193"/>
      <c r="I59" s="193"/>
      <c r="J59" s="193"/>
      <c r="K59" s="193"/>
      <c r="L59" s="193"/>
      <c r="M59" s="193"/>
      <c r="N59" s="193"/>
      <c r="P59" s="127"/>
      <c r="Q59" s="127"/>
      <c r="R59" s="127"/>
      <c r="S59" s="127"/>
    </row>
    <row r="60" spans="1:20" x14ac:dyDescent="0.25">
      <c r="A60" s="193"/>
      <c r="B60" s="193"/>
      <c r="C60" s="193"/>
      <c r="D60" s="193"/>
      <c r="E60" s="193"/>
      <c r="F60" s="193"/>
      <c r="G60" s="193"/>
      <c r="H60" s="193"/>
      <c r="I60" s="193"/>
      <c r="J60" s="193"/>
      <c r="K60" s="193"/>
      <c r="L60" s="193"/>
      <c r="M60" s="193"/>
      <c r="N60" s="193"/>
      <c r="P60" s="224"/>
      <c r="Q60" s="224"/>
      <c r="R60" s="224"/>
      <c r="S60" s="224"/>
    </row>
    <row r="61" spans="1:20" x14ac:dyDescent="0.25">
      <c r="A61" s="193"/>
      <c r="B61" s="193"/>
      <c r="C61" s="193"/>
      <c r="D61" s="193"/>
      <c r="E61" s="193"/>
      <c r="F61" s="193"/>
      <c r="G61" s="193"/>
      <c r="H61" s="193"/>
      <c r="I61" s="193"/>
      <c r="J61" s="193"/>
      <c r="K61" s="193"/>
      <c r="L61" s="193"/>
      <c r="M61" s="193"/>
      <c r="N61" s="193"/>
      <c r="P61" s="226"/>
      <c r="Q61" s="226"/>
      <c r="R61" s="226"/>
      <c r="S61" s="226"/>
    </row>
    <row r="62" spans="1:20" x14ac:dyDescent="0.25">
      <c r="A62" s="193"/>
      <c r="B62" s="193"/>
      <c r="C62" s="193"/>
      <c r="D62" s="193"/>
      <c r="E62" s="193"/>
      <c r="F62" s="193"/>
      <c r="G62" s="193"/>
      <c r="H62" s="193"/>
      <c r="I62" s="193"/>
      <c r="J62" s="193"/>
      <c r="K62" s="193"/>
      <c r="L62" s="193"/>
      <c r="M62" s="193"/>
      <c r="N62" s="193"/>
    </row>
    <row r="63" spans="1:20" x14ac:dyDescent="0.25">
      <c r="A63" s="193"/>
      <c r="B63" s="193"/>
      <c r="C63" s="193"/>
      <c r="D63" s="193"/>
      <c r="E63" s="193"/>
      <c r="F63" s="193"/>
      <c r="G63" s="193"/>
      <c r="H63" s="193"/>
      <c r="I63" s="193"/>
      <c r="J63" s="193"/>
      <c r="K63" s="193"/>
      <c r="L63" s="193"/>
      <c r="M63" s="193"/>
      <c r="N63" s="193"/>
    </row>
    <row r="64" spans="1:20" x14ac:dyDescent="0.25">
      <c r="A64" s="193"/>
      <c r="B64" s="193"/>
      <c r="C64" s="193"/>
      <c r="D64" s="193"/>
      <c r="E64" s="193"/>
      <c r="F64" s="193"/>
      <c r="G64" s="193"/>
      <c r="H64" s="193"/>
      <c r="I64" s="193"/>
      <c r="J64" s="193"/>
      <c r="K64" s="193"/>
      <c r="L64" s="193"/>
      <c r="M64" s="193"/>
      <c r="N64" s="193"/>
    </row>
    <row r="65" spans="1:14" x14ac:dyDescent="0.25">
      <c r="A65" s="193"/>
      <c r="B65" s="193"/>
      <c r="C65" s="193"/>
      <c r="D65" s="193"/>
      <c r="E65" s="193"/>
      <c r="F65" s="193"/>
      <c r="G65" s="193"/>
      <c r="H65" s="193"/>
      <c r="I65" s="193"/>
      <c r="J65" s="193"/>
      <c r="K65" s="193"/>
      <c r="L65" s="193"/>
      <c r="M65" s="193"/>
      <c r="N65" s="193"/>
    </row>
    <row r="66" spans="1:14" x14ac:dyDescent="0.25">
      <c r="A66" s="193"/>
      <c r="B66" s="193"/>
      <c r="C66" s="193"/>
      <c r="D66" s="193"/>
      <c r="E66" s="193"/>
      <c r="F66" s="193"/>
      <c r="G66" s="193"/>
      <c r="H66" s="193"/>
      <c r="I66" s="193"/>
      <c r="J66" s="193"/>
      <c r="K66" s="193"/>
      <c r="L66" s="193"/>
      <c r="M66" s="193"/>
      <c r="N66" s="193"/>
    </row>
    <row r="67" spans="1:14" x14ac:dyDescent="0.25">
      <c r="A67" s="193"/>
      <c r="B67" s="193"/>
      <c r="C67" s="193"/>
      <c r="D67" s="193"/>
      <c r="E67" s="193"/>
      <c r="F67" s="193"/>
      <c r="G67" s="193"/>
      <c r="H67" s="193"/>
      <c r="I67" s="193"/>
      <c r="J67" s="193"/>
      <c r="K67" s="193"/>
      <c r="L67" s="193"/>
      <c r="M67" s="193"/>
      <c r="N67" s="193"/>
    </row>
    <row r="68" spans="1:14" x14ac:dyDescent="0.25">
      <c r="A68" s="193"/>
      <c r="B68" s="193"/>
      <c r="C68" s="193"/>
      <c r="D68" s="193"/>
      <c r="E68" s="193"/>
      <c r="F68" s="193"/>
      <c r="G68" s="193"/>
      <c r="H68" s="193"/>
      <c r="I68" s="193"/>
      <c r="J68" s="193"/>
      <c r="K68" s="193"/>
      <c r="L68" s="193"/>
      <c r="M68" s="193"/>
      <c r="N68" s="193"/>
    </row>
    <row r="69" spans="1:14" x14ac:dyDescent="0.25">
      <c r="A69" s="193"/>
      <c r="B69" s="193"/>
      <c r="C69" s="193"/>
      <c r="D69" s="193"/>
      <c r="E69" s="193"/>
      <c r="F69" s="193"/>
      <c r="G69" s="193"/>
      <c r="H69" s="193"/>
      <c r="I69" s="193"/>
      <c r="J69" s="193"/>
      <c r="K69" s="193"/>
      <c r="L69" s="193"/>
      <c r="M69" s="193"/>
      <c r="N69" s="193"/>
    </row>
    <row r="70" spans="1:14" x14ac:dyDescent="0.25">
      <c r="A70" s="193"/>
      <c r="B70" s="193"/>
      <c r="C70" s="193"/>
      <c r="D70" s="193"/>
      <c r="E70" s="193"/>
      <c r="F70" s="193"/>
      <c r="G70" s="193"/>
      <c r="H70" s="193"/>
      <c r="I70" s="193"/>
      <c r="J70" s="193"/>
      <c r="K70" s="193"/>
      <c r="L70" s="193"/>
      <c r="M70" s="193"/>
      <c r="N70" s="193"/>
    </row>
    <row r="71" spans="1:14" x14ac:dyDescent="0.25">
      <c r="A71" s="193"/>
      <c r="B71" s="193"/>
      <c r="C71" s="193"/>
      <c r="D71" s="193"/>
      <c r="E71" s="193"/>
      <c r="F71" s="193"/>
      <c r="G71" s="193"/>
      <c r="H71" s="193"/>
      <c r="I71" s="193"/>
      <c r="J71" s="193"/>
      <c r="K71" s="193"/>
      <c r="L71" s="193"/>
      <c r="M71" s="193"/>
      <c r="N71" s="193"/>
    </row>
  </sheetData>
  <sheetProtection password="E6CB" sheet="1" objects="1" scenarios="1"/>
  <mergeCells count="32">
    <mergeCell ref="U2:AB3"/>
    <mergeCell ref="U8:AB8"/>
    <mergeCell ref="U9:AB9"/>
    <mergeCell ref="U17:AB17"/>
    <mergeCell ref="B41:C41"/>
    <mergeCell ref="F41:G41"/>
    <mergeCell ref="I41:J41"/>
    <mergeCell ref="L41:M41"/>
    <mergeCell ref="J36:M36"/>
    <mergeCell ref="N14:N16"/>
    <mergeCell ref="N28:N30"/>
    <mergeCell ref="B39:N39"/>
    <mergeCell ref="B40:N40"/>
    <mergeCell ref="J22:M22"/>
    <mergeCell ref="J26:M26"/>
    <mergeCell ref="J28:M30"/>
    <mergeCell ref="U26:AB26"/>
    <mergeCell ref="U27:AB27"/>
    <mergeCell ref="U35:AB35"/>
    <mergeCell ref="B2:N2"/>
    <mergeCell ref="B3:N3"/>
    <mergeCell ref="B4:C4"/>
    <mergeCell ref="F4:G4"/>
    <mergeCell ref="I4:J4"/>
    <mergeCell ref="L4:M4"/>
    <mergeCell ref="J32:M32"/>
    <mergeCell ref="J34:M34"/>
    <mergeCell ref="J8:M8"/>
    <mergeCell ref="J12:M12"/>
    <mergeCell ref="J14:M16"/>
    <mergeCell ref="J18:M18"/>
    <mergeCell ref="J20:M20"/>
  </mergeCells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2:DL472"/>
  <sheetViews>
    <sheetView topLeftCell="T128" zoomScale="50" zoomScaleNormal="50" zoomScalePageLayoutView="50" workbookViewId="0">
      <selection activeCell="AF163" sqref="AF163"/>
    </sheetView>
  </sheetViews>
  <sheetFormatPr baseColWidth="10" defaultRowHeight="15" x14ac:dyDescent="0.25"/>
  <cols>
    <col min="61" max="61" width="13" bestFit="1" customWidth="1"/>
    <col min="63" max="63" width="11.42578125" customWidth="1"/>
    <col min="87" max="87" width="11.42578125" customWidth="1"/>
  </cols>
  <sheetData>
    <row r="2" spans="1:58" x14ac:dyDescent="0.25">
      <c r="A2">
        <v>9</v>
      </c>
      <c r="B2">
        <f t="shared" ref="B2:B65" si="0">+SQRT(81-A2^2)</f>
        <v>0</v>
      </c>
      <c r="C2">
        <f t="shared" ref="C2:C65" si="1">-B2</f>
        <v>0</v>
      </c>
      <c r="BC2">
        <v>0</v>
      </c>
      <c r="BD2">
        <v>0</v>
      </c>
      <c r="BE2">
        <f t="shared" ref="BE2:BE12" si="2">+SQRT(1-BD2^2)</f>
        <v>1</v>
      </c>
      <c r="BF2">
        <f t="shared" ref="BF2:BF12" si="3">-BE2</f>
        <v>-1</v>
      </c>
    </row>
    <row r="3" spans="1:58" x14ac:dyDescent="0.25">
      <c r="A3">
        <v>8.9</v>
      </c>
      <c r="B3">
        <f t="shared" si="0"/>
        <v>1.3379088160259622</v>
      </c>
      <c r="C3">
        <f t="shared" si="1"/>
        <v>-1.3379088160259622</v>
      </c>
      <c r="BC3">
        <v>-0.1</v>
      </c>
      <c r="BD3">
        <v>0.1</v>
      </c>
      <c r="BE3">
        <f t="shared" si="2"/>
        <v>0.99498743710661997</v>
      </c>
      <c r="BF3">
        <f t="shared" si="3"/>
        <v>-0.99498743710661997</v>
      </c>
    </row>
    <row r="4" spans="1:58" x14ac:dyDescent="0.25">
      <c r="A4">
        <v>8.8000000000000007</v>
      </c>
      <c r="B4">
        <f t="shared" si="0"/>
        <v>1.8867962264113176</v>
      </c>
      <c r="C4">
        <f t="shared" si="1"/>
        <v>-1.8867962264113176</v>
      </c>
      <c r="BC4">
        <v>-0.2</v>
      </c>
      <c r="BD4">
        <v>0.2</v>
      </c>
      <c r="BE4">
        <f t="shared" si="2"/>
        <v>0.9797958971132712</v>
      </c>
      <c r="BF4">
        <f t="shared" si="3"/>
        <v>-0.9797958971132712</v>
      </c>
    </row>
    <row r="5" spans="1:58" x14ac:dyDescent="0.25">
      <c r="A5">
        <v>8.6999999999999993</v>
      </c>
      <c r="B5">
        <f t="shared" si="0"/>
        <v>2.304343724360586</v>
      </c>
      <c r="C5">
        <f t="shared" si="1"/>
        <v>-2.304343724360586</v>
      </c>
      <c r="BC5">
        <v>-0.3</v>
      </c>
      <c r="BD5">
        <v>0.3</v>
      </c>
      <c r="BE5">
        <f t="shared" si="2"/>
        <v>0.95393920141694566</v>
      </c>
      <c r="BF5">
        <f t="shared" si="3"/>
        <v>-0.95393920141694566</v>
      </c>
    </row>
    <row r="6" spans="1:58" x14ac:dyDescent="0.25">
      <c r="A6">
        <v>8.6</v>
      </c>
      <c r="B6">
        <f t="shared" si="0"/>
        <v>2.6532998322843211</v>
      </c>
      <c r="C6">
        <f t="shared" si="1"/>
        <v>-2.6532998322843211</v>
      </c>
      <c r="BC6">
        <v>-0.4</v>
      </c>
      <c r="BD6">
        <v>0.4</v>
      </c>
      <c r="BE6">
        <f t="shared" si="2"/>
        <v>0.91651513899116799</v>
      </c>
      <c r="BF6">
        <f t="shared" si="3"/>
        <v>-0.91651513899116799</v>
      </c>
    </row>
    <row r="7" spans="1:58" x14ac:dyDescent="0.25">
      <c r="A7">
        <v>8.5</v>
      </c>
      <c r="B7">
        <f t="shared" si="0"/>
        <v>2.9580398915498081</v>
      </c>
      <c r="C7">
        <f t="shared" si="1"/>
        <v>-2.9580398915498081</v>
      </c>
      <c r="BC7">
        <v>-0.5</v>
      </c>
      <c r="BD7">
        <v>0.5</v>
      </c>
      <c r="BE7">
        <f t="shared" si="2"/>
        <v>0.8660254037844386</v>
      </c>
      <c r="BF7">
        <f t="shared" si="3"/>
        <v>-0.8660254037844386</v>
      </c>
    </row>
    <row r="8" spans="1:58" x14ac:dyDescent="0.25">
      <c r="A8">
        <v>8.4</v>
      </c>
      <c r="B8">
        <f t="shared" si="0"/>
        <v>3.2310988842807022</v>
      </c>
      <c r="C8">
        <f t="shared" si="1"/>
        <v>-3.2310988842807022</v>
      </c>
      <c r="BC8">
        <v>-0.6</v>
      </c>
      <c r="BD8">
        <v>0.6</v>
      </c>
      <c r="BE8">
        <f t="shared" si="2"/>
        <v>0.8</v>
      </c>
      <c r="BF8">
        <f t="shared" si="3"/>
        <v>-0.8</v>
      </c>
    </row>
    <row r="9" spans="1:58" x14ac:dyDescent="0.25">
      <c r="A9">
        <v>8.3000000000000007</v>
      </c>
      <c r="B9">
        <f t="shared" si="0"/>
        <v>3.479942528261061</v>
      </c>
      <c r="C9">
        <f t="shared" si="1"/>
        <v>-3.479942528261061</v>
      </c>
      <c r="BC9">
        <v>-0.7</v>
      </c>
      <c r="BD9">
        <v>0.7</v>
      </c>
      <c r="BE9">
        <f t="shared" si="2"/>
        <v>0.71414284285428498</v>
      </c>
      <c r="BF9">
        <f t="shared" si="3"/>
        <v>-0.71414284285428498</v>
      </c>
    </row>
    <row r="10" spans="1:58" x14ac:dyDescent="0.25">
      <c r="A10">
        <v>8.1999999999999993</v>
      </c>
      <c r="B10">
        <f t="shared" si="0"/>
        <v>3.7094473981982823</v>
      </c>
      <c r="C10">
        <f t="shared" si="1"/>
        <v>-3.7094473981982823</v>
      </c>
      <c r="BC10">
        <v>-0.8</v>
      </c>
      <c r="BD10">
        <v>0.8</v>
      </c>
      <c r="BE10">
        <f t="shared" si="2"/>
        <v>0.59999999999999987</v>
      </c>
      <c r="BF10">
        <f t="shared" si="3"/>
        <v>-0.59999999999999987</v>
      </c>
    </row>
    <row r="11" spans="1:58" x14ac:dyDescent="0.25">
      <c r="A11">
        <v>8.1</v>
      </c>
      <c r="B11">
        <f t="shared" si="0"/>
        <v>3.9230090491866063</v>
      </c>
      <c r="C11">
        <f t="shared" si="1"/>
        <v>-3.9230090491866063</v>
      </c>
      <c r="BC11">
        <v>-0.9</v>
      </c>
      <c r="BD11">
        <v>0.9</v>
      </c>
      <c r="BE11">
        <f t="shared" si="2"/>
        <v>0.43588989435406728</v>
      </c>
      <c r="BF11">
        <f t="shared" si="3"/>
        <v>-0.43588989435406728</v>
      </c>
    </row>
    <row r="12" spans="1:58" x14ac:dyDescent="0.25">
      <c r="A12">
        <v>8</v>
      </c>
      <c r="B12">
        <f t="shared" si="0"/>
        <v>4.1231056256176606</v>
      </c>
      <c r="C12">
        <f t="shared" si="1"/>
        <v>-4.1231056256176606</v>
      </c>
      <c r="D12">
        <f t="shared" ref="D12:D75" si="4">+SQRT(64-A12^2)</f>
        <v>0</v>
      </c>
      <c r="E12">
        <f t="shared" ref="E12:E75" si="5">-D12</f>
        <v>0</v>
      </c>
      <c r="BC12">
        <v>-1</v>
      </c>
      <c r="BD12">
        <v>1</v>
      </c>
      <c r="BE12">
        <f t="shared" si="2"/>
        <v>0</v>
      </c>
      <c r="BF12">
        <f t="shared" si="3"/>
        <v>0</v>
      </c>
    </row>
    <row r="13" spans="1:58" x14ac:dyDescent="0.25">
      <c r="A13">
        <v>7.9</v>
      </c>
      <c r="B13">
        <f t="shared" si="0"/>
        <v>4.3116122274620192</v>
      </c>
      <c r="C13">
        <f t="shared" si="1"/>
        <v>-4.3116122274620192</v>
      </c>
      <c r="D13">
        <f t="shared" si="4"/>
        <v>1.2609520212918477</v>
      </c>
      <c r="E13">
        <f t="shared" si="5"/>
        <v>-1.2609520212918477</v>
      </c>
    </row>
    <row r="14" spans="1:58" x14ac:dyDescent="0.25">
      <c r="A14">
        <v>7.8</v>
      </c>
      <c r="B14">
        <f t="shared" si="0"/>
        <v>4.4899888641287298</v>
      </c>
      <c r="C14">
        <f t="shared" si="1"/>
        <v>-4.4899888641287298</v>
      </c>
      <c r="D14">
        <f t="shared" si="4"/>
        <v>1.7776388834631187</v>
      </c>
      <c r="E14">
        <f t="shared" si="5"/>
        <v>-1.7776388834631187</v>
      </c>
    </row>
    <row r="15" spans="1:58" x14ac:dyDescent="0.25">
      <c r="A15">
        <v>7.7</v>
      </c>
      <c r="B15">
        <f t="shared" si="0"/>
        <v>4.6593991028886972</v>
      </c>
      <c r="C15">
        <f t="shared" si="1"/>
        <v>-4.6593991028886972</v>
      </c>
      <c r="D15">
        <f t="shared" si="4"/>
        <v>2.1702534414210692</v>
      </c>
      <c r="E15">
        <f t="shared" si="5"/>
        <v>-2.1702534414210692</v>
      </c>
    </row>
    <row r="16" spans="1:58" x14ac:dyDescent="0.25">
      <c r="A16">
        <v>7.6</v>
      </c>
      <c r="B16">
        <f t="shared" si="0"/>
        <v>4.8207883172775805</v>
      </c>
      <c r="C16">
        <f t="shared" si="1"/>
        <v>-4.8207883172775805</v>
      </c>
      <c r="D16">
        <f t="shared" si="4"/>
        <v>2.4979991993593598</v>
      </c>
      <c r="E16">
        <f t="shared" si="5"/>
        <v>-2.4979991993593598</v>
      </c>
    </row>
    <row r="17" spans="1:9" x14ac:dyDescent="0.25">
      <c r="A17">
        <v>7.5</v>
      </c>
      <c r="B17">
        <f t="shared" si="0"/>
        <v>4.9749371855330997</v>
      </c>
      <c r="C17">
        <f t="shared" si="1"/>
        <v>-4.9749371855330997</v>
      </c>
      <c r="D17">
        <f t="shared" si="4"/>
        <v>2.7838821814150108</v>
      </c>
      <c r="E17">
        <f t="shared" si="5"/>
        <v>-2.7838821814150108</v>
      </c>
    </row>
    <row r="18" spans="1:9" x14ac:dyDescent="0.25">
      <c r="A18">
        <v>7.4</v>
      </c>
      <c r="B18">
        <f t="shared" si="0"/>
        <v>5.1224993899462783</v>
      </c>
      <c r="C18">
        <f t="shared" si="1"/>
        <v>-5.1224993899462783</v>
      </c>
      <c r="D18">
        <f t="shared" si="4"/>
        <v>3.0397368307141317</v>
      </c>
      <c r="E18">
        <f t="shared" si="5"/>
        <v>-3.0397368307141317</v>
      </c>
    </row>
    <row r="19" spans="1:9" x14ac:dyDescent="0.25">
      <c r="A19">
        <v>7.3</v>
      </c>
      <c r="B19">
        <f t="shared" si="0"/>
        <v>5.2640288753007427</v>
      </c>
      <c r="C19">
        <f t="shared" si="1"/>
        <v>-5.2640288753007427</v>
      </c>
      <c r="D19">
        <f t="shared" si="4"/>
        <v>3.2726136343907144</v>
      </c>
      <c r="E19">
        <f t="shared" si="5"/>
        <v>-3.2726136343907144</v>
      </c>
    </row>
    <row r="20" spans="1:9" x14ac:dyDescent="0.25">
      <c r="A20">
        <v>7.2</v>
      </c>
      <c r="B20">
        <f t="shared" si="0"/>
        <v>5.3999999999999995</v>
      </c>
      <c r="C20">
        <f t="shared" si="1"/>
        <v>-5.3999999999999995</v>
      </c>
      <c r="D20">
        <f t="shared" si="4"/>
        <v>3.4871191548325382</v>
      </c>
      <c r="E20">
        <f t="shared" si="5"/>
        <v>-3.4871191548325382</v>
      </c>
    </row>
    <row r="21" spans="1:9" x14ac:dyDescent="0.25">
      <c r="A21">
        <v>7.1</v>
      </c>
      <c r="B21">
        <f t="shared" si="0"/>
        <v>5.5308227236099334</v>
      </c>
      <c r="C21">
        <f t="shared" si="1"/>
        <v>-5.5308227236099334</v>
      </c>
      <c r="D21">
        <f t="shared" si="4"/>
        <v>3.6864617182333528</v>
      </c>
      <c r="E21">
        <f t="shared" si="5"/>
        <v>-3.6864617182333528</v>
      </c>
    </row>
    <row r="22" spans="1:9" x14ac:dyDescent="0.25">
      <c r="A22">
        <v>7</v>
      </c>
      <c r="B22">
        <f t="shared" si="0"/>
        <v>5.6568542494923806</v>
      </c>
      <c r="C22">
        <f t="shared" si="1"/>
        <v>-5.6568542494923806</v>
      </c>
      <c r="D22">
        <f t="shared" si="4"/>
        <v>3.872983346207417</v>
      </c>
      <c r="E22">
        <f t="shared" si="5"/>
        <v>-3.872983346207417</v>
      </c>
      <c r="F22">
        <f t="shared" ref="F22:F85" si="6">+SQRT(49-A22^2)</f>
        <v>0</v>
      </c>
      <c r="G22">
        <f t="shared" ref="G22:G85" si="7">-F22</f>
        <v>0</v>
      </c>
    </row>
    <row r="23" spans="1:9" x14ac:dyDescent="0.25">
      <c r="A23">
        <v>6.9</v>
      </c>
      <c r="B23">
        <f t="shared" si="0"/>
        <v>5.7784080852774666</v>
      </c>
      <c r="C23">
        <f t="shared" si="1"/>
        <v>-5.7784080852774666</v>
      </c>
      <c r="D23">
        <f t="shared" si="4"/>
        <v>4.0484564959994316</v>
      </c>
      <c r="E23">
        <f t="shared" si="5"/>
        <v>-4.0484564959994316</v>
      </c>
      <c r="F23">
        <f t="shared" si="6"/>
        <v>1.1789826122551568</v>
      </c>
      <c r="G23">
        <f t="shared" si="7"/>
        <v>-1.1789826122551568</v>
      </c>
    </row>
    <row r="24" spans="1:9" x14ac:dyDescent="0.25">
      <c r="A24">
        <v>6.8</v>
      </c>
      <c r="B24">
        <f t="shared" si="0"/>
        <v>5.89576118919347</v>
      </c>
      <c r="C24">
        <f t="shared" si="1"/>
        <v>-5.89576118919347</v>
      </c>
      <c r="D24">
        <f t="shared" si="4"/>
        <v>4.2142615011410962</v>
      </c>
      <c r="E24">
        <f t="shared" si="5"/>
        <v>-4.2142615011410962</v>
      </c>
      <c r="F24">
        <f t="shared" si="6"/>
        <v>1.6613247725836164</v>
      </c>
      <c r="G24">
        <f t="shared" si="7"/>
        <v>-1.6613247725836164</v>
      </c>
    </row>
    <row r="25" spans="1:9" x14ac:dyDescent="0.25">
      <c r="A25">
        <v>6.7</v>
      </c>
      <c r="B25">
        <f t="shared" si="0"/>
        <v>6.009159675029446</v>
      </c>
      <c r="C25">
        <f t="shared" si="1"/>
        <v>-6.009159675029446</v>
      </c>
      <c r="D25">
        <f t="shared" si="4"/>
        <v>4.3714985988788788</v>
      </c>
      <c r="E25">
        <f t="shared" si="5"/>
        <v>-4.3714985988788788</v>
      </c>
      <c r="F25">
        <f t="shared" si="6"/>
        <v>2.027313493271329</v>
      </c>
      <c r="G25">
        <f t="shared" si="7"/>
        <v>-2.027313493271329</v>
      </c>
    </row>
    <row r="26" spans="1:9" x14ac:dyDescent="0.25">
      <c r="A26">
        <v>6.6</v>
      </c>
      <c r="B26">
        <f t="shared" si="0"/>
        <v>6.1188234163113426</v>
      </c>
      <c r="C26">
        <f t="shared" si="1"/>
        <v>-6.1188234163113426</v>
      </c>
      <c r="D26">
        <f t="shared" si="4"/>
        <v>4.5210618221829266</v>
      </c>
      <c r="E26">
        <f t="shared" si="5"/>
        <v>-4.5210618221829266</v>
      </c>
      <c r="F26">
        <f t="shared" si="6"/>
        <v>2.3323807579381213</v>
      </c>
      <c r="G26">
        <f t="shared" si="7"/>
        <v>-2.3323807579381213</v>
      </c>
    </row>
    <row r="27" spans="1:9" x14ac:dyDescent="0.25">
      <c r="A27">
        <v>6.5</v>
      </c>
      <c r="B27">
        <f t="shared" si="0"/>
        <v>6.2249497989943663</v>
      </c>
      <c r="C27">
        <f t="shared" si="1"/>
        <v>-6.2249497989943663</v>
      </c>
      <c r="D27">
        <f t="shared" si="4"/>
        <v>4.6636895265444078</v>
      </c>
      <c r="E27">
        <f t="shared" si="5"/>
        <v>-4.6636895265444078</v>
      </c>
      <c r="F27">
        <f t="shared" si="6"/>
        <v>2.598076211353316</v>
      </c>
      <c r="G27">
        <f t="shared" si="7"/>
        <v>-2.598076211353316</v>
      </c>
    </row>
    <row r="28" spans="1:9" x14ac:dyDescent="0.25">
      <c r="A28">
        <v>6.4</v>
      </c>
      <c r="B28">
        <f t="shared" si="0"/>
        <v>6.327716807822549</v>
      </c>
      <c r="C28">
        <f t="shared" si="1"/>
        <v>-6.327716807822549</v>
      </c>
      <c r="D28">
        <f t="shared" si="4"/>
        <v>4.7999999999999989</v>
      </c>
      <c r="E28">
        <f t="shared" si="5"/>
        <v>-4.7999999999999989</v>
      </c>
      <c r="F28">
        <f t="shared" si="6"/>
        <v>2.8354893757515636</v>
      </c>
      <c r="G28">
        <f t="shared" si="7"/>
        <v>-2.8354893757515636</v>
      </c>
    </row>
    <row r="29" spans="1:9" x14ac:dyDescent="0.25">
      <c r="A29">
        <v>6.3</v>
      </c>
      <c r="B29">
        <f t="shared" si="0"/>
        <v>6.4272855856885656</v>
      </c>
      <c r="C29">
        <f t="shared" si="1"/>
        <v>-6.4272855856885656</v>
      </c>
      <c r="D29">
        <f t="shared" si="4"/>
        <v>4.9305172142484199</v>
      </c>
      <c r="E29">
        <f t="shared" si="5"/>
        <v>-4.9305172142484199</v>
      </c>
      <c r="F29">
        <f t="shared" si="6"/>
        <v>3.0512292604784719</v>
      </c>
      <c r="G29">
        <f t="shared" si="7"/>
        <v>-3.0512292604784719</v>
      </c>
    </row>
    <row r="30" spans="1:9" x14ac:dyDescent="0.25">
      <c r="A30">
        <v>6.2</v>
      </c>
      <c r="B30">
        <f t="shared" si="0"/>
        <v>6.5238025721200357</v>
      </c>
      <c r="C30">
        <f t="shared" si="1"/>
        <v>-6.5238025721200357</v>
      </c>
      <c r="D30">
        <f t="shared" si="4"/>
        <v>5.0556898639058145</v>
      </c>
      <c r="E30">
        <f t="shared" si="5"/>
        <v>-5.0556898639058145</v>
      </c>
      <c r="F30">
        <f t="shared" si="6"/>
        <v>3.2496153618543833</v>
      </c>
      <c r="G30">
        <f t="shared" si="7"/>
        <v>-3.2496153618543833</v>
      </c>
    </row>
    <row r="31" spans="1:9" x14ac:dyDescent="0.25">
      <c r="A31">
        <v>6.1</v>
      </c>
      <c r="B31">
        <f t="shared" si="0"/>
        <v>6.6174013026262815</v>
      </c>
      <c r="C31">
        <f t="shared" si="1"/>
        <v>-6.6174013026262815</v>
      </c>
      <c r="D31">
        <f t="shared" si="4"/>
        <v>5.1759057178430137</v>
      </c>
      <c r="E31">
        <f t="shared" si="5"/>
        <v>-5.1759057178430137</v>
      </c>
      <c r="F31">
        <f t="shared" si="6"/>
        <v>3.4336569426778802</v>
      </c>
      <c r="G31">
        <f t="shared" si="7"/>
        <v>-3.4336569426778802</v>
      </c>
    </row>
    <row r="32" spans="1:9" x14ac:dyDescent="0.25">
      <c r="A32">
        <v>6</v>
      </c>
      <c r="B32">
        <f t="shared" si="0"/>
        <v>6.7082039324993694</v>
      </c>
      <c r="C32">
        <f t="shared" si="1"/>
        <v>-6.7082039324993694</v>
      </c>
      <c r="D32">
        <f t="shared" si="4"/>
        <v>5.2915026221291814</v>
      </c>
      <c r="E32">
        <f t="shared" si="5"/>
        <v>-5.2915026221291814</v>
      </c>
      <c r="F32">
        <f t="shared" si="6"/>
        <v>3.6055512754639891</v>
      </c>
      <c r="G32">
        <f t="shared" si="7"/>
        <v>-3.6055512754639891</v>
      </c>
      <c r="H32">
        <f t="shared" ref="H32:H95" si="8">+SQRT(36-A32^2)</f>
        <v>0</v>
      </c>
      <c r="I32">
        <f t="shared" ref="I32:I95" si="9">-H32</f>
        <v>0</v>
      </c>
    </row>
    <row r="33" spans="1:39" x14ac:dyDescent="0.25">
      <c r="A33">
        <v>5.9</v>
      </c>
      <c r="B33">
        <f t="shared" si="0"/>
        <v>6.7963225350184784</v>
      </c>
      <c r="C33">
        <f t="shared" si="1"/>
        <v>-6.7963225350184784</v>
      </c>
      <c r="D33">
        <f t="shared" si="4"/>
        <v>5.4027770636960391</v>
      </c>
      <c r="E33">
        <f t="shared" si="5"/>
        <v>-5.4027770636960391</v>
      </c>
      <c r="F33">
        <f t="shared" si="6"/>
        <v>3.7669616403674722</v>
      </c>
      <c r="G33">
        <f t="shared" si="7"/>
        <v>-3.7669616403674722</v>
      </c>
      <c r="H33">
        <f t="shared" si="8"/>
        <v>1.0908712114635704</v>
      </c>
      <c r="I33">
        <f t="shared" si="9"/>
        <v>-1.0908712114635704</v>
      </c>
    </row>
    <row r="34" spans="1:39" x14ac:dyDescent="0.25">
      <c r="A34">
        <v>5.8</v>
      </c>
      <c r="B34">
        <f t="shared" si="0"/>
        <v>6.8818602136341012</v>
      </c>
      <c r="C34">
        <f t="shared" si="1"/>
        <v>-6.8818602136341012</v>
      </c>
      <c r="D34">
        <f t="shared" si="4"/>
        <v>5.5099909255823647</v>
      </c>
      <c r="E34">
        <f t="shared" si="5"/>
        <v>-5.5099909255823647</v>
      </c>
      <c r="F34">
        <f t="shared" si="6"/>
        <v>3.9191835884530848</v>
      </c>
      <c r="G34">
        <f t="shared" si="7"/>
        <v>-3.9191835884530848</v>
      </c>
      <c r="H34">
        <f t="shared" si="8"/>
        <v>1.5362291495737215</v>
      </c>
      <c r="I34">
        <f t="shared" si="9"/>
        <v>-1.5362291495737215</v>
      </c>
    </row>
    <row r="35" spans="1:39" x14ac:dyDescent="0.25">
      <c r="A35">
        <v>5.7</v>
      </c>
      <c r="B35">
        <f t="shared" si="0"/>
        <v>6.9649120597463394</v>
      </c>
      <c r="C35">
        <f t="shared" si="1"/>
        <v>-6.9649120597463394</v>
      </c>
      <c r="D35">
        <f t="shared" si="4"/>
        <v>5.6133768802744752</v>
      </c>
      <c r="E35">
        <f t="shared" si="5"/>
        <v>-5.6133768802744752</v>
      </c>
      <c r="F35">
        <f t="shared" si="6"/>
        <v>4.0632499307820087</v>
      </c>
      <c r="G35">
        <f t="shared" si="7"/>
        <v>-4.0632499307820087</v>
      </c>
      <c r="H35">
        <f t="shared" si="8"/>
        <v>1.8734993995195188</v>
      </c>
      <c r="I35">
        <f t="shared" si="9"/>
        <v>-1.8734993995195188</v>
      </c>
    </row>
    <row r="36" spans="1:39" x14ac:dyDescent="0.25">
      <c r="A36">
        <v>5.6</v>
      </c>
      <c r="B36">
        <f t="shared" si="0"/>
        <v>7.0455659815234153</v>
      </c>
      <c r="C36">
        <f t="shared" si="1"/>
        <v>-7.0455659815234153</v>
      </c>
      <c r="D36">
        <f t="shared" si="4"/>
        <v>5.7131427428342798</v>
      </c>
      <c r="E36">
        <f t="shared" si="5"/>
        <v>-5.7131427428342798</v>
      </c>
      <c r="F36">
        <f t="shared" si="6"/>
        <v>4.2</v>
      </c>
      <c r="G36">
        <f t="shared" si="7"/>
        <v>-4.2</v>
      </c>
      <c r="H36">
        <f t="shared" si="8"/>
        <v>2.1540659228538024</v>
      </c>
      <c r="I36">
        <f t="shared" si="9"/>
        <v>-2.1540659228538024</v>
      </c>
    </row>
    <row r="37" spans="1:39" x14ac:dyDescent="0.25">
      <c r="A37">
        <v>5.5</v>
      </c>
      <c r="B37">
        <f t="shared" si="0"/>
        <v>7.1239034243875032</v>
      </c>
      <c r="C37">
        <f t="shared" si="1"/>
        <v>-7.1239034243875032</v>
      </c>
      <c r="D37">
        <f t="shared" si="4"/>
        <v>5.8094750193111251</v>
      </c>
      <c r="E37">
        <f t="shared" si="5"/>
        <v>-5.8094750193111251</v>
      </c>
      <c r="F37">
        <f t="shared" si="6"/>
        <v>4.3301270189221936</v>
      </c>
      <c r="G37">
        <f t="shared" si="7"/>
        <v>-4.3301270189221936</v>
      </c>
      <c r="H37">
        <f t="shared" si="8"/>
        <v>2.3979157616563596</v>
      </c>
      <c r="I37">
        <f t="shared" si="9"/>
        <v>-2.3979157616563596</v>
      </c>
    </row>
    <row r="38" spans="1:39" x14ac:dyDescent="0.25">
      <c r="A38">
        <v>5.4</v>
      </c>
      <c r="B38">
        <f t="shared" si="0"/>
        <v>7.2</v>
      </c>
      <c r="C38">
        <f t="shared" si="1"/>
        <v>-7.2</v>
      </c>
      <c r="D38">
        <f t="shared" si="4"/>
        <v>5.9025418253494824</v>
      </c>
      <c r="E38">
        <f t="shared" si="5"/>
        <v>-5.9025418253494824</v>
      </c>
      <c r="F38">
        <f t="shared" si="6"/>
        <v>4.4542114902640169</v>
      </c>
      <c r="G38">
        <f t="shared" si="7"/>
        <v>-4.4542114902640169</v>
      </c>
      <c r="H38">
        <f t="shared" si="8"/>
        <v>2.6153393661244033</v>
      </c>
      <c r="I38">
        <f t="shared" si="9"/>
        <v>-2.6153393661244033</v>
      </c>
    </row>
    <row r="39" spans="1:39" x14ac:dyDescent="0.25">
      <c r="A39">
        <v>5.3</v>
      </c>
      <c r="B39">
        <f t="shared" si="0"/>
        <v>7.2739260375673327</v>
      </c>
      <c r="C39">
        <f t="shared" si="1"/>
        <v>-7.2739260375673327</v>
      </c>
      <c r="D39">
        <f t="shared" si="4"/>
        <v>5.9924953066314535</v>
      </c>
      <c r="E39">
        <f t="shared" si="5"/>
        <v>-5.9924953066314535</v>
      </c>
      <c r="F39">
        <f t="shared" si="6"/>
        <v>4.5727453460694703</v>
      </c>
      <c r="G39">
        <f t="shared" si="7"/>
        <v>-4.5727453460694703</v>
      </c>
      <c r="H39">
        <f t="shared" si="8"/>
        <v>2.8124722220850469</v>
      </c>
      <c r="I39">
        <f t="shared" si="9"/>
        <v>-2.8124722220850469</v>
      </c>
    </row>
    <row r="40" spans="1:39" x14ac:dyDescent="0.25">
      <c r="A40">
        <v>5.2</v>
      </c>
      <c r="B40">
        <f t="shared" si="0"/>
        <v>7.3457470688827824</v>
      </c>
      <c r="C40">
        <f t="shared" si="1"/>
        <v>-7.3457470688827824</v>
      </c>
      <c r="D40">
        <f t="shared" si="4"/>
        <v>6.0794736614282652</v>
      </c>
      <c r="E40">
        <f t="shared" si="5"/>
        <v>-6.0794736614282652</v>
      </c>
      <c r="F40">
        <f t="shared" si="6"/>
        <v>4.6861498055439927</v>
      </c>
      <c r="G40">
        <f t="shared" si="7"/>
        <v>-4.6861498055439927</v>
      </c>
      <c r="H40">
        <f t="shared" si="8"/>
        <v>2.9933259094191524</v>
      </c>
      <c r="I40">
        <f t="shared" si="9"/>
        <v>-2.9933259094191524</v>
      </c>
    </row>
    <row r="41" spans="1:39" x14ac:dyDescent="0.25">
      <c r="A41">
        <v>5.0999999999999996</v>
      </c>
      <c r="B41">
        <f t="shared" si="0"/>
        <v>7.4155242565849653</v>
      </c>
      <c r="C41">
        <f t="shared" si="1"/>
        <v>-7.4155242565849653</v>
      </c>
      <c r="D41">
        <f t="shared" si="4"/>
        <v>6.163602842493991</v>
      </c>
      <c r="E41">
        <f t="shared" si="5"/>
        <v>-6.163602842493991</v>
      </c>
      <c r="F41">
        <f t="shared" si="6"/>
        <v>4.7947888378947408</v>
      </c>
      <c r="G41">
        <f t="shared" si="7"/>
        <v>-4.7947888378947408</v>
      </c>
      <c r="H41">
        <f t="shared" si="8"/>
        <v>3.1606961258558219</v>
      </c>
      <c r="I41">
        <f t="shared" si="9"/>
        <v>-3.1606961258558219</v>
      </c>
    </row>
    <row r="42" spans="1:39" x14ac:dyDescent="0.25">
      <c r="A42">
        <v>5</v>
      </c>
      <c r="B42">
        <f t="shared" si="0"/>
        <v>7.4833147735478827</v>
      </c>
      <c r="C42">
        <f t="shared" si="1"/>
        <v>-7.4833147735478827</v>
      </c>
      <c r="D42">
        <f t="shared" si="4"/>
        <v>6.2449979983983983</v>
      </c>
      <c r="E42">
        <f t="shared" si="5"/>
        <v>-6.2449979983983983</v>
      </c>
      <c r="F42">
        <f t="shared" si="6"/>
        <v>4.8989794855663558</v>
      </c>
      <c r="G42">
        <f t="shared" si="7"/>
        <v>-4.8989794855663558</v>
      </c>
      <c r="H42">
        <f t="shared" si="8"/>
        <v>3.3166247903553998</v>
      </c>
      <c r="I42">
        <f t="shared" si="9"/>
        <v>-3.3166247903553998</v>
      </c>
      <c r="J42">
        <f t="shared" ref="J42:J105" si="10">+SQRT(25-A42^2)</f>
        <v>0</v>
      </c>
      <c r="K42">
        <f t="shared" ref="K42:K105" si="11">-J42</f>
        <v>0</v>
      </c>
    </row>
    <row r="43" spans="1:39" x14ac:dyDescent="0.25">
      <c r="A43">
        <v>4.9000000000000004</v>
      </c>
      <c r="B43">
        <f t="shared" si="0"/>
        <v>7.5491721400429066</v>
      </c>
      <c r="C43">
        <f t="shared" si="1"/>
        <v>-7.5491721400429066</v>
      </c>
      <c r="D43">
        <f t="shared" si="4"/>
        <v>6.3237647015049507</v>
      </c>
      <c r="E43">
        <f t="shared" si="5"/>
        <v>-6.3237647015049507</v>
      </c>
      <c r="F43">
        <f t="shared" si="6"/>
        <v>4.9989998999799941</v>
      </c>
      <c r="G43">
        <f t="shared" si="7"/>
        <v>-4.9989998999799941</v>
      </c>
      <c r="H43">
        <f t="shared" si="8"/>
        <v>3.4626579386361565</v>
      </c>
      <c r="I43">
        <f t="shared" si="9"/>
        <v>-3.4626579386361565</v>
      </c>
      <c r="J43">
        <f t="shared" si="10"/>
        <v>0.99498743710661741</v>
      </c>
      <c r="K43">
        <f t="shared" si="11"/>
        <v>-0.99498743710661741</v>
      </c>
    </row>
    <row r="44" spans="1:39" x14ac:dyDescent="0.25">
      <c r="A44">
        <v>4.8</v>
      </c>
      <c r="B44">
        <f t="shared" si="0"/>
        <v>7.6131465242697125</v>
      </c>
      <c r="C44">
        <f t="shared" si="1"/>
        <v>-7.6131465242697125</v>
      </c>
      <c r="D44">
        <f t="shared" si="4"/>
        <v>6.4</v>
      </c>
      <c r="E44">
        <f t="shared" si="5"/>
        <v>-6.4</v>
      </c>
      <c r="F44">
        <f t="shared" si="6"/>
        <v>5.0950956811427988</v>
      </c>
      <c r="G44">
        <f t="shared" si="7"/>
        <v>-5.0950956811427988</v>
      </c>
      <c r="H44">
        <f t="shared" si="8"/>
        <v>3.6</v>
      </c>
      <c r="I44">
        <f t="shared" si="9"/>
        <v>-3.6</v>
      </c>
      <c r="J44">
        <f t="shared" si="10"/>
        <v>1.4000000000000004</v>
      </c>
      <c r="K44">
        <f t="shared" si="11"/>
        <v>-1.4000000000000004</v>
      </c>
    </row>
    <row r="45" spans="1:39" x14ac:dyDescent="0.25">
      <c r="A45">
        <v>4.7</v>
      </c>
      <c r="B45">
        <f t="shared" si="0"/>
        <v>7.6752850109947053</v>
      </c>
      <c r="C45">
        <f t="shared" si="1"/>
        <v>-7.6752850109947053</v>
      </c>
      <c r="D45">
        <f t="shared" si="4"/>
        <v>6.473793323855805</v>
      </c>
      <c r="E45">
        <f t="shared" si="5"/>
        <v>-6.473793323855805</v>
      </c>
      <c r="F45">
        <f t="shared" si="6"/>
        <v>5.1874849397371747</v>
      </c>
      <c r="G45">
        <f t="shared" si="7"/>
        <v>-5.1874849397371747</v>
      </c>
      <c r="H45">
        <f t="shared" si="8"/>
        <v>3.7296112397943029</v>
      </c>
      <c r="I45">
        <f t="shared" si="9"/>
        <v>-3.7296112397943029</v>
      </c>
      <c r="J45">
        <f t="shared" si="10"/>
        <v>1.7058722109231972</v>
      </c>
      <c r="K45">
        <f t="shared" si="11"/>
        <v>-1.7058722109231972</v>
      </c>
    </row>
    <row r="46" spans="1:39" x14ac:dyDescent="0.25">
      <c r="A46">
        <v>4.5999999999999996</v>
      </c>
      <c r="B46">
        <f t="shared" si="0"/>
        <v>7.7356318423254864</v>
      </c>
      <c r="C46">
        <f t="shared" si="1"/>
        <v>-7.7356318423254864</v>
      </c>
      <c r="D46">
        <f t="shared" si="4"/>
        <v>6.5452272687814288</v>
      </c>
      <c r="E46">
        <f t="shared" si="5"/>
        <v>-6.5452272687814288</v>
      </c>
      <c r="F46">
        <f t="shared" si="6"/>
        <v>5.2763623833091682</v>
      </c>
      <c r="G46">
        <f t="shared" si="7"/>
        <v>-5.2763623833091682</v>
      </c>
      <c r="H46">
        <f t="shared" si="8"/>
        <v>3.8522720568516449</v>
      </c>
      <c r="I46">
        <f t="shared" si="9"/>
        <v>-3.8522720568516449</v>
      </c>
      <c r="J46">
        <f t="shared" si="10"/>
        <v>1.9595917942265433</v>
      </c>
      <c r="K46">
        <f t="shared" si="11"/>
        <v>-1.9595917942265433</v>
      </c>
      <c r="AG46" s="319"/>
      <c r="AK46" s="319"/>
    </row>
    <row r="47" spans="1:39" x14ac:dyDescent="0.25">
      <c r="A47">
        <v>4.5</v>
      </c>
      <c r="B47">
        <f t="shared" si="0"/>
        <v>7.794228634059948</v>
      </c>
      <c r="C47">
        <f t="shared" si="1"/>
        <v>-7.794228634059948</v>
      </c>
      <c r="D47">
        <f t="shared" si="4"/>
        <v>6.6143782776614763</v>
      </c>
      <c r="E47">
        <f t="shared" si="5"/>
        <v>-6.6143782776614763</v>
      </c>
      <c r="F47">
        <f t="shared" si="6"/>
        <v>5.3619026473818039</v>
      </c>
      <c r="G47">
        <f t="shared" si="7"/>
        <v>-5.3619026473818039</v>
      </c>
      <c r="H47">
        <f t="shared" si="8"/>
        <v>3.9686269665968861</v>
      </c>
      <c r="I47">
        <f t="shared" si="9"/>
        <v>-3.9686269665968861</v>
      </c>
      <c r="J47">
        <f t="shared" si="10"/>
        <v>2.179449471770337</v>
      </c>
      <c r="K47">
        <f t="shared" si="11"/>
        <v>-2.179449471770337</v>
      </c>
      <c r="AE47" s="94" t="s">
        <v>112</v>
      </c>
      <c r="AF47" s="94" t="s">
        <v>89</v>
      </c>
      <c r="AG47" s="319"/>
      <c r="AH47" s="94" t="s">
        <v>42</v>
      </c>
      <c r="AI47" s="94" t="s">
        <v>43</v>
      </c>
      <c r="AJ47" s="94" t="s">
        <v>89</v>
      </c>
      <c r="AK47" s="319"/>
      <c r="AL47" s="94" t="s">
        <v>42</v>
      </c>
      <c r="AM47" s="94" t="s">
        <v>43</v>
      </c>
    </row>
    <row r="48" spans="1:39" x14ac:dyDescent="0.25">
      <c r="A48">
        <v>4.4000000000000004</v>
      </c>
      <c r="B48">
        <f t="shared" si="0"/>
        <v>7.8511145705562084</v>
      </c>
      <c r="C48">
        <f t="shared" si="1"/>
        <v>-7.8511145705562084</v>
      </c>
      <c r="D48">
        <f t="shared" si="4"/>
        <v>6.6813172353960262</v>
      </c>
      <c r="E48">
        <f t="shared" si="5"/>
        <v>-6.6813172353960262</v>
      </c>
      <c r="F48">
        <f t="shared" si="6"/>
        <v>5.4442630355264798</v>
      </c>
      <c r="G48">
        <f t="shared" si="7"/>
        <v>-5.4442630355264798</v>
      </c>
      <c r="H48">
        <f t="shared" si="8"/>
        <v>4.0792156108742272</v>
      </c>
      <c r="I48">
        <f t="shared" si="9"/>
        <v>-4.0792156108742272</v>
      </c>
      <c r="J48">
        <f t="shared" si="10"/>
        <v>2.3748684174075829</v>
      </c>
      <c r="K48">
        <f t="shared" si="11"/>
        <v>-2.3748684174075829</v>
      </c>
      <c r="AE48" s="94">
        <f>+'Control Solar 2do Sem'!N28</f>
        <v>0</v>
      </c>
      <c r="AF48" s="94">
        <f>+IF($AF$111="si",9,0)</f>
        <v>0</v>
      </c>
      <c r="AG48" s="94">
        <f>+AE48</f>
        <v>0</v>
      </c>
      <c r="AH48" s="94">
        <f>+AF48*COS(RADIANS(AG48))</f>
        <v>0</v>
      </c>
      <c r="AI48" s="94">
        <f>+AF48*SIN(RADIANS(AG48))</f>
        <v>0</v>
      </c>
      <c r="AJ48" s="94">
        <v>0</v>
      </c>
      <c r="AK48" s="94">
        <f>+AG48</f>
        <v>0</v>
      </c>
      <c r="AL48" s="94">
        <f>+AJ48*COS(RADIANS(AK48))</f>
        <v>0</v>
      </c>
      <c r="AM48" s="94">
        <f>+AJ48*SIN(RADIANS(AK48))</f>
        <v>0</v>
      </c>
    </row>
    <row r="49" spans="1:47" x14ac:dyDescent="0.25">
      <c r="A49">
        <v>4.3</v>
      </c>
      <c r="B49">
        <f t="shared" si="0"/>
        <v>7.9063265806567848</v>
      </c>
      <c r="C49">
        <f t="shared" si="1"/>
        <v>-7.9063265806567848</v>
      </c>
      <c r="D49">
        <f t="shared" si="4"/>
        <v>6.746109990209173</v>
      </c>
      <c r="E49">
        <f t="shared" si="5"/>
        <v>-6.746109990209173</v>
      </c>
      <c r="F49">
        <f t="shared" si="6"/>
        <v>5.5235857918565907</v>
      </c>
      <c r="G49">
        <f t="shared" si="7"/>
        <v>-5.5235857918565907</v>
      </c>
      <c r="H49">
        <f t="shared" si="8"/>
        <v>4.1844951905815355</v>
      </c>
      <c r="I49">
        <f t="shared" si="9"/>
        <v>-4.1844951905815355</v>
      </c>
      <c r="J49">
        <f t="shared" si="10"/>
        <v>2.5514701644346149</v>
      </c>
      <c r="K49">
        <f t="shared" si="11"/>
        <v>-2.5514701644346149</v>
      </c>
      <c r="AF49" s="94">
        <f>+IF($AF$111="si",9,0)</f>
        <v>0</v>
      </c>
      <c r="AG49" s="94">
        <f>+AE48+180</f>
        <v>180</v>
      </c>
      <c r="AH49" s="94">
        <f>+AF49*COS(RADIANS(AG49))</f>
        <v>0</v>
      </c>
      <c r="AI49" s="94">
        <f>+AF49*SIN(RADIANS(AG49))</f>
        <v>0</v>
      </c>
      <c r="AJ49" s="94">
        <v>0</v>
      </c>
      <c r="AK49" s="94">
        <f>AG49</f>
        <v>180</v>
      </c>
      <c r="AL49" s="94">
        <f>+AJ49*COS(RADIANS(AK49))</f>
        <v>0</v>
      </c>
      <c r="AM49" s="94">
        <f>+AJ49*SIN(RADIANS(AK49))</f>
        <v>0</v>
      </c>
    </row>
    <row r="50" spans="1:47" x14ac:dyDescent="0.25">
      <c r="A50">
        <v>4.2</v>
      </c>
      <c r="B50">
        <f t="shared" si="0"/>
        <v>7.9598994968529597</v>
      </c>
      <c r="C50">
        <f t="shared" si="1"/>
        <v>-7.9598994968529597</v>
      </c>
      <c r="D50">
        <f t="shared" si="4"/>
        <v>6.8088178122196803</v>
      </c>
      <c r="E50">
        <f t="shared" si="5"/>
        <v>-6.8088178122196803</v>
      </c>
      <c r="F50">
        <f t="shared" si="6"/>
        <v>5.6</v>
      </c>
      <c r="G50">
        <f t="shared" si="7"/>
        <v>-5.6</v>
      </c>
      <c r="H50">
        <f t="shared" si="8"/>
        <v>4.2848570571257101</v>
      </c>
      <c r="I50">
        <f t="shared" si="9"/>
        <v>-4.2848570571257101</v>
      </c>
      <c r="J50">
        <f t="shared" si="10"/>
        <v>2.7129319932501073</v>
      </c>
      <c r="K50">
        <f t="shared" si="11"/>
        <v>-2.7129319932501073</v>
      </c>
    </row>
    <row r="51" spans="1:47" x14ac:dyDescent="0.25">
      <c r="A51">
        <v>4.0999999999999996</v>
      </c>
      <c r="B51">
        <f t="shared" si="0"/>
        <v>8.0118661995817178</v>
      </c>
      <c r="C51">
        <f t="shared" si="1"/>
        <v>-8.0118661995817178</v>
      </c>
      <c r="D51">
        <f t="shared" si="4"/>
        <v>6.8694977982382381</v>
      </c>
      <c r="E51">
        <f t="shared" si="5"/>
        <v>-6.8694977982382381</v>
      </c>
      <c r="F51">
        <f t="shared" si="6"/>
        <v>5.6736231810017133</v>
      </c>
      <c r="G51">
        <f t="shared" si="7"/>
        <v>-5.6736231810017133</v>
      </c>
      <c r="H51">
        <f t="shared" si="8"/>
        <v>4.3806392227619018</v>
      </c>
      <c r="I51">
        <f t="shared" si="9"/>
        <v>-4.3806392227619018</v>
      </c>
      <c r="J51">
        <f t="shared" si="10"/>
        <v>2.8618176042508372</v>
      </c>
      <c r="K51">
        <f t="shared" si="11"/>
        <v>-2.8618176042508372</v>
      </c>
      <c r="AE51" s="94">
        <f>+'Control Solar 2do Sem'!N32</f>
        <v>50</v>
      </c>
      <c r="AF51" s="94"/>
      <c r="AG51" s="94"/>
      <c r="AH51" s="94">
        <v>0</v>
      </c>
      <c r="AI51" s="94">
        <v>0</v>
      </c>
    </row>
    <row r="52" spans="1:47" x14ac:dyDescent="0.25">
      <c r="A52">
        <v>4</v>
      </c>
      <c r="B52">
        <f t="shared" si="0"/>
        <v>8.0622577482985491</v>
      </c>
      <c r="C52">
        <f t="shared" si="1"/>
        <v>-8.0622577482985491</v>
      </c>
      <c r="D52">
        <f t="shared" si="4"/>
        <v>6.9282032302755088</v>
      </c>
      <c r="E52">
        <f t="shared" si="5"/>
        <v>-6.9282032302755088</v>
      </c>
      <c r="F52">
        <f t="shared" si="6"/>
        <v>5.7445626465380286</v>
      </c>
      <c r="G52">
        <f t="shared" si="7"/>
        <v>-5.7445626465380286</v>
      </c>
      <c r="H52">
        <f t="shared" si="8"/>
        <v>4.4721359549995796</v>
      </c>
      <c r="I52">
        <f t="shared" si="9"/>
        <v>-4.4721359549995796</v>
      </c>
      <c r="J52">
        <f t="shared" si="10"/>
        <v>3</v>
      </c>
      <c r="K52">
        <f t="shared" si="11"/>
        <v>-3</v>
      </c>
      <c r="L52">
        <f t="shared" ref="L52:L115" si="12">+SQRT(16-A52^2)</f>
        <v>0</v>
      </c>
      <c r="M52">
        <f t="shared" ref="M52:M115" si="13">-L52</f>
        <v>0</v>
      </c>
      <c r="AE52" s="94">
        <f>180+AE51</f>
        <v>230</v>
      </c>
      <c r="AF52" s="94">
        <f>+IF($AF$111="si",9,0)</f>
        <v>0</v>
      </c>
      <c r="AG52" s="94">
        <f>-AE51+AE48</f>
        <v>-50</v>
      </c>
      <c r="AH52" s="94">
        <f>+AF52*COS(RADIANS(AG52))</f>
        <v>0</v>
      </c>
      <c r="AI52" s="94">
        <f>+AF52*SIN(RADIANS(AG52))</f>
        <v>0</v>
      </c>
    </row>
    <row r="53" spans="1:47" x14ac:dyDescent="0.25">
      <c r="A53">
        <v>3.9</v>
      </c>
      <c r="B53">
        <f t="shared" si="0"/>
        <v>8.1111035007574657</v>
      </c>
      <c r="C53">
        <f t="shared" si="1"/>
        <v>-8.1111035007574657</v>
      </c>
      <c r="D53">
        <f t="shared" si="4"/>
        <v>6.9849838940401288</v>
      </c>
      <c r="E53">
        <f t="shared" si="5"/>
        <v>-6.9849838940401288</v>
      </c>
      <c r="F53">
        <f t="shared" si="6"/>
        <v>5.8129166517334481</v>
      </c>
      <c r="G53">
        <f t="shared" si="7"/>
        <v>-5.8129166517334481</v>
      </c>
      <c r="H53">
        <f t="shared" si="8"/>
        <v>4.5596052460711993</v>
      </c>
      <c r="I53">
        <f t="shared" si="9"/>
        <v>-4.5596052460711993</v>
      </c>
      <c r="J53">
        <f t="shared" si="10"/>
        <v>3.1288975694324033</v>
      </c>
      <c r="K53">
        <f t="shared" si="11"/>
        <v>-3.1288975694324033</v>
      </c>
      <c r="L53">
        <f t="shared" si="12"/>
        <v>0.88881944173155936</v>
      </c>
      <c r="M53">
        <f t="shared" si="13"/>
        <v>-0.88881944173155936</v>
      </c>
      <c r="AF53" s="94">
        <f>+IF($AF$111="si",9,0)</f>
        <v>0</v>
      </c>
      <c r="AG53" s="94">
        <f>+AE51+180+AE48</f>
        <v>230</v>
      </c>
      <c r="AH53" s="94">
        <f>+AF53*COS(RADIANS(AG53))</f>
        <v>0</v>
      </c>
      <c r="AI53" s="94">
        <f>+AF53*SIN(RADIANS(AG53))</f>
        <v>0</v>
      </c>
    </row>
    <row r="54" spans="1:47" x14ac:dyDescent="0.25">
      <c r="A54">
        <v>3.8</v>
      </c>
      <c r="B54">
        <f t="shared" si="0"/>
        <v>8.1584312217484563</v>
      </c>
      <c r="C54">
        <f t="shared" si="1"/>
        <v>-8.1584312217484563</v>
      </c>
      <c r="D54">
        <f t="shared" si="4"/>
        <v>7.0398863627192165</v>
      </c>
      <c r="E54">
        <f t="shared" si="5"/>
        <v>-7.0398863627192165</v>
      </c>
      <c r="F54">
        <f t="shared" si="6"/>
        <v>5.8787753826796276</v>
      </c>
      <c r="G54">
        <f t="shared" si="7"/>
        <v>-5.8787753826796276</v>
      </c>
      <c r="H54">
        <f t="shared" si="8"/>
        <v>4.6432747064975599</v>
      </c>
      <c r="I54">
        <f t="shared" si="9"/>
        <v>-4.6432747064975599</v>
      </c>
      <c r="J54">
        <f t="shared" si="10"/>
        <v>3.2496153618543842</v>
      </c>
      <c r="K54">
        <f t="shared" si="11"/>
        <v>-3.2496153618543842</v>
      </c>
      <c r="L54">
        <f t="shared" si="12"/>
        <v>1.2489995996796799</v>
      </c>
      <c r="M54">
        <f t="shared" si="13"/>
        <v>-1.2489995996796799</v>
      </c>
    </row>
    <row r="55" spans="1:47" x14ac:dyDescent="0.25">
      <c r="A55">
        <v>3.7</v>
      </c>
      <c r="B55">
        <f t="shared" si="0"/>
        <v>8.2042671823874684</v>
      </c>
      <c r="C55">
        <f t="shared" si="1"/>
        <v>-8.2042671823874684</v>
      </c>
      <c r="D55">
        <f t="shared" si="4"/>
        <v>7.0929542505221335</v>
      </c>
      <c r="E55">
        <f t="shared" si="5"/>
        <v>-7.0929542505221335</v>
      </c>
      <c r="F55">
        <f t="shared" si="6"/>
        <v>5.9422218066982317</v>
      </c>
      <c r="G55">
        <f t="shared" si="7"/>
        <v>-5.9422218066982317</v>
      </c>
      <c r="H55">
        <f t="shared" si="8"/>
        <v>4.7233462714478174</v>
      </c>
      <c r="I55">
        <f t="shared" si="9"/>
        <v>-4.7233462714478174</v>
      </c>
      <c r="J55">
        <f t="shared" si="10"/>
        <v>3.363034344160047</v>
      </c>
      <c r="K55">
        <f t="shared" si="11"/>
        <v>-3.363034344160047</v>
      </c>
      <c r="L55">
        <f t="shared" si="12"/>
        <v>1.5198684153570658</v>
      </c>
      <c r="M55">
        <f t="shared" si="13"/>
        <v>-1.5198684153570658</v>
      </c>
    </row>
    <row r="56" spans="1:47" x14ac:dyDescent="0.25">
      <c r="A56">
        <v>3.6</v>
      </c>
      <c r="B56">
        <f t="shared" si="0"/>
        <v>8.2486362509205122</v>
      </c>
      <c r="C56">
        <f t="shared" si="1"/>
        <v>-8.2486362509205122</v>
      </c>
      <c r="D56">
        <f t="shared" si="4"/>
        <v>7.1442284397967004</v>
      </c>
      <c r="E56">
        <f t="shared" si="5"/>
        <v>-7.1442284397967004</v>
      </c>
      <c r="F56">
        <f t="shared" si="6"/>
        <v>6.0033324079214534</v>
      </c>
      <c r="G56">
        <f t="shared" si="7"/>
        <v>-6.0033324079214534</v>
      </c>
      <c r="H56">
        <f t="shared" si="8"/>
        <v>4.8</v>
      </c>
      <c r="I56">
        <f t="shared" si="9"/>
        <v>-4.8</v>
      </c>
      <c r="J56">
        <f t="shared" si="10"/>
        <v>3.4698703145794942</v>
      </c>
      <c r="K56">
        <f t="shared" si="11"/>
        <v>-3.4698703145794942</v>
      </c>
      <c r="L56">
        <f t="shared" si="12"/>
        <v>1.7435595774162691</v>
      </c>
      <c r="M56">
        <f t="shared" si="13"/>
        <v>-1.7435595774162691</v>
      </c>
    </row>
    <row r="57" spans="1:47" x14ac:dyDescent="0.25">
      <c r="A57">
        <v>3.5</v>
      </c>
      <c r="B57">
        <f t="shared" si="0"/>
        <v>8.2915619758885004</v>
      </c>
      <c r="C57">
        <f t="shared" si="1"/>
        <v>-8.2915619758885004</v>
      </c>
      <c r="D57">
        <f t="shared" si="4"/>
        <v>7.1937472849690796</v>
      </c>
      <c r="E57">
        <f t="shared" si="5"/>
        <v>-7.1937472849690796</v>
      </c>
      <c r="F57">
        <f t="shared" si="6"/>
        <v>6.0621778264910704</v>
      </c>
      <c r="G57">
        <f t="shared" si="7"/>
        <v>-6.0621778264910704</v>
      </c>
      <c r="H57">
        <f t="shared" si="8"/>
        <v>4.8733971724044816</v>
      </c>
      <c r="I57">
        <f t="shared" si="9"/>
        <v>-4.8733971724044816</v>
      </c>
      <c r="J57">
        <f t="shared" si="10"/>
        <v>3.5707142142714252</v>
      </c>
      <c r="K57">
        <f t="shared" si="11"/>
        <v>-3.5707142142714252</v>
      </c>
      <c r="L57">
        <f t="shared" si="12"/>
        <v>1.9364916731037085</v>
      </c>
      <c r="M57">
        <f t="shared" si="13"/>
        <v>-1.9364916731037085</v>
      </c>
    </row>
    <row r="58" spans="1:47" x14ac:dyDescent="0.25">
      <c r="A58">
        <v>3.4</v>
      </c>
      <c r="B58">
        <f t="shared" si="0"/>
        <v>8.3330666623998635</v>
      </c>
      <c r="C58">
        <f t="shared" si="1"/>
        <v>-8.3330666623998635</v>
      </c>
      <c r="D58">
        <f t="shared" si="4"/>
        <v>7.2415467960926687</v>
      </c>
      <c r="E58">
        <f t="shared" si="5"/>
        <v>-7.2415467960926687</v>
      </c>
      <c r="F58">
        <f t="shared" si="6"/>
        <v>6.1188234163113417</v>
      </c>
      <c r="G58">
        <f t="shared" si="7"/>
        <v>-6.1188234163113417</v>
      </c>
      <c r="H58">
        <f t="shared" si="8"/>
        <v>4.9436828377233102</v>
      </c>
      <c r="I58">
        <f t="shared" si="9"/>
        <v>-4.9436828377233102</v>
      </c>
      <c r="J58">
        <f t="shared" si="10"/>
        <v>3.6660605559646724</v>
      </c>
      <c r="K58">
        <f t="shared" si="11"/>
        <v>-3.6660605559646724</v>
      </c>
      <c r="L58">
        <f t="shared" si="12"/>
        <v>2.1071307505705481</v>
      </c>
      <c r="M58">
        <f t="shared" si="13"/>
        <v>-2.1071307505705481</v>
      </c>
    </row>
    <row r="59" spans="1:47" x14ac:dyDescent="0.25">
      <c r="A59">
        <v>3.3</v>
      </c>
      <c r="B59">
        <f t="shared" si="0"/>
        <v>8.3731714421717172</v>
      </c>
      <c r="C59">
        <f t="shared" si="1"/>
        <v>-8.3731714421717172</v>
      </c>
      <c r="D59">
        <f t="shared" si="4"/>
        <v>7.2876608044008195</v>
      </c>
      <c r="E59">
        <f t="shared" si="5"/>
        <v>-7.2876608044008195</v>
      </c>
      <c r="F59">
        <f t="shared" si="6"/>
        <v>6.1733297336202604</v>
      </c>
      <c r="G59">
        <f t="shared" si="7"/>
        <v>-6.1733297336202604</v>
      </c>
      <c r="H59">
        <f t="shared" si="8"/>
        <v>5.0109879265470196</v>
      </c>
      <c r="I59">
        <f t="shared" si="9"/>
        <v>-5.0109879265470196</v>
      </c>
      <c r="J59">
        <f t="shared" si="10"/>
        <v>3.7563279941985899</v>
      </c>
      <c r="K59">
        <f t="shared" si="11"/>
        <v>-3.7563279941985899</v>
      </c>
      <c r="L59">
        <f t="shared" si="12"/>
        <v>2.2605309110914633</v>
      </c>
      <c r="M59">
        <f t="shared" si="13"/>
        <v>-2.2605309110914633</v>
      </c>
    </row>
    <row r="60" spans="1:47" x14ac:dyDescent="0.25">
      <c r="A60">
        <v>3.2</v>
      </c>
      <c r="B60">
        <f t="shared" si="0"/>
        <v>8.4118963379252349</v>
      </c>
      <c r="C60">
        <f t="shared" si="1"/>
        <v>-8.4118963379252349</v>
      </c>
      <c r="D60">
        <f t="shared" si="4"/>
        <v>7.3321211119293439</v>
      </c>
      <c r="E60">
        <f t="shared" si="5"/>
        <v>-7.3321211119293439</v>
      </c>
      <c r="F60">
        <f t="shared" si="6"/>
        <v>6.2257529665093525</v>
      </c>
      <c r="G60">
        <f t="shared" si="7"/>
        <v>-6.2257529665093525</v>
      </c>
      <c r="H60">
        <f t="shared" si="8"/>
        <v>5.0754310161798077</v>
      </c>
      <c r="I60">
        <f t="shared" si="9"/>
        <v>-5.0754310161798077</v>
      </c>
      <c r="J60">
        <f t="shared" si="10"/>
        <v>3.8418745424597089</v>
      </c>
      <c r="K60">
        <f t="shared" si="11"/>
        <v>-3.8418745424597089</v>
      </c>
      <c r="L60">
        <f t="shared" si="12"/>
        <v>2.3999999999999995</v>
      </c>
      <c r="M60">
        <f t="shared" si="13"/>
        <v>-2.3999999999999995</v>
      </c>
    </row>
    <row r="61" spans="1:47" x14ac:dyDescent="0.25">
      <c r="A61">
        <v>3.1</v>
      </c>
      <c r="B61">
        <f t="shared" si="0"/>
        <v>8.4492603226554692</v>
      </c>
      <c r="C61">
        <f t="shared" si="1"/>
        <v>-8.4492603226554692</v>
      </c>
      <c r="D61">
        <f t="shared" si="4"/>
        <v>7.3749576269969168</v>
      </c>
      <c r="E61">
        <f t="shared" si="5"/>
        <v>-7.3749576269969168</v>
      </c>
      <c r="F61">
        <f t="shared" si="6"/>
        <v>6.2761453138052818</v>
      </c>
      <c r="G61">
        <f t="shared" si="7"/>
        <v>-6.2761453138052818</v>
      </c>
      <c r="H61">
        <f t="shared" si="8"/>
        <v>5.1371198156165292</v>
      </c>
      <c r="I61">
        <f t="shared" si="9"/>
        <v>-5.1371198156165292</v>
      </c>
      <c r="J61">
        <f t="shared" si="10"/>
        <v>3.9230090491866059</v>
      </c>
      <c r="K61">
        <f t="shared" si="11"/>
        <v>-3.9230090491866059</v>
      </c>
      <c r="L61">
        <f t="shared" si="12"/>
        <v>2.5278449319529073</v>
      </c>
      <c r="M61">
        <f t="shared" si="13"/>
        <v>-2.5278449319529073</v>
      </c>
    </row>
    <row r="62" spans="1:47" x14ac:dyDescent="0.25">
      <c r="A62">
        <v>3</v>
      </c>
      <c r="B62">
        <f t="shared" si="0"/>
        <v>8.4852813742385695</v>
      </c>
      <c r="C62">
        <f t="shared" si="1"/>
        <v>-8.4852813742385695</v>
      </c>
      <c r="D62">
        <f t="shared" si="4"/>
        <v>7.416198487095663</v>
      </c>
      <c r="E62">
        <f t="shared" si="5"/>
        <v>-7.416198487095663</v>
      </c>
      <c r="F62">
        <f t="shared" si="6"/>
        <v>6.324555320336759</v>
      </c>
      <c r="G62">
        <f t="shared" si="7"/>
        <v>-6.324555320336759</v>
      </c>
      <c r="H62">
        <f t="shared" si="8"/>
        <v>5.196152422706632</v>
      </c>
      <c r="I62">
        <f t="shared" si="9"/>
        <v>-5.196152422706632</v>
      </c>
      <c r="J62">
        <f t="shared" si="10"/>
        <v>4</v>
      </c>
      <c r="K62">
        <f t="shared" si="11"/>
        <v>-4</v>
      </c>
      <c r="L62">
        <f t="shared" si="12"/>
        <v>2.6457513110645907</v>
      </c>
      <c r="M62">
        <f t="shared" si="13"/>
        <v>-2.6457513110645907</v>
      </c>
      <c r="N62">
        <f t="shared" ref="N62:N122" si="14">+SQRT(9-A62^2)</f>
        <v>0</v>
      </c>
      <c r="O62">
        <f t="shared" ref="O62:O122" si="15">-N62</f>
        <v>0</v>
      </c>
      <c r="AI62" t="s">
        <v>53</v>
      </c>
      <c r="AJ62" t="s">
        <v>57</v>
      </c>
      <c r="AK62" t="s">
        <v>58</v>
      </c>
      <c r="AL62" t="s">
        <v>59</v>
      </c>
      <c r="AM62" t="s">
        <v>60</v>
      </c>
      <c r="AN62" t="s">
        <v>61</v>
      </c>
      <c r="AO62" t="s">
        <v>62</v>
      </c>
      <c r="AP62" t="s">
        <v>63</v>
      </c>
      <c r="AQ62" t="s">
        <v>64</v>
      </c>
      <c r="AR62" t="s">
        <v>65</v>
      </c>
      <c r="AS62" t="s">
        <v>66</v>
      </c>
      <c r="AT62" t="s">
        <v>67</v>
      </c>
    </row>
    <row r="63" spans="1:47" x14ac:dyDescent="0.25">
      <c r="A63">
        <v>2.9</v>
      </c>
      <c r="B63">
        <f t="shared" si="0"/>
        <v>8.519976525789259</v>
      </c>
      <c r="C63">
        <f t="shared" si="1"/>
        <v>-8.519976525789259</v>
      </c>
      <c r="D63">
        <f t="shared" si="4"/>
        <v>7.4558701705434762</v>
      </c>
      <c r="E63">
        <f t="shared" si="5"/>
        <v>-7.4558701705434762</v>
      </c>
      <c r="F63">
        <f t="shared" si="6"/>
        <v>6.3710281744785906</v>
      </c>
      <c r="G63">
        <f t="shared" si="7"/>
        <v>-6.3710281744785906</v>
      </c>
      <c r="H63">
        <f t="shared" si="8"/>
        <v>5.2526183946675582</v>
      </c>
      <c r="I63">
        <f t="shared" si="9"/>
        <v>-5.2526183946675582</v>
      </c>
      <c r="J63">
        <f t="shared" si="10"/>
        <v>4.0730823708832604</v>
      </c>
      <c r="K63">
        <f t="shared" si="11"/>
        <v>-4.0730823708832604</v>
      </c>
      <c r="L63">
        <f t="shared" si="12"/>
        <v>2.7549954627911823</v>
      </c>
      <c r="M63">
        <f t="shared" si="13"/>
        <v>-2.7549954627911823</v>
      </c>
      <c r="N63">
        <f t="shared" si="14"/>
        <v>0.76811457478686074</v>
      </c>
      <c r="O63">
        <f t="shared" si="15"/>
        <v>-0.76811457478686074</v>
      </c>
      <c r="AI63">
        <v>1</v>
      </c>
      <c r="AJ63">
        <v>2</v>
      </c>
      <c r="AK63">
        <v>3</v>
      </c>
      <c r="AL63">
        <v>4</v>
      </c>
      <c r="AM63">
        <v>5</v>
      </c>
      <c r="AN63">
        <v>6</v>
      </c>
      <c r="AO63">
        <v>7</v>
      </c>
      <c r="AP63">
        <v>8</v>
      </c>
      <c r="AQ63">
        <v>9</v>
      </c>
      <c r="AR63">
        <v>10</v>
      </c>
      <c r="AS63">
        <v>11</v>
      </c>
      <c r="AT63">
        <v>12</v>
      </c>
    </row>
    <row r="64" spans="1:47" x14ac:dyDescent="0.25">
      <c r="A64">
        <v>2.8</v>
      </c>
      <c r="B64">
        <f t="shared" si="0"/>
        <v>8.5533619121372393</v>
      </c>
      <c r="C64">
        <f t="shared" si="1"/>
        <v>-8.5533619121372393</v>
      </c>
      <c r="D64">
        <f t="shared" si="4"/>
        <v>7.493997598078078</v>
      </c>
      <c r="E64">
        <f t="shared" si="5"/>
        <v>-7.493997598078078</v>
      </c>
      <c r="F64">
        <f t="shared" si="6"/>
        <v>6.4156059729381765</v>
      </c>
      <c r="G64">
        <f t="shared" si="7"/>
        <v>-6.4156059729381765</v>
      </c>
      <c r="H64">
        <f t="shared" si="8"/>
        <v>5.3065996645686395</v>
      </c>
      <c r="I64">
        <f t="shared" si="9"/>
        <v>-5.3065996645686395</v>
      </c>
      <c r="J64">
        <f t="shared" si="10"/>
        <v>4.1424630354415957</v>
      </c>
      <c r="K64">
        <f t="shared" si="11"/>
        <v>-4.1424630354415957</v>
      </c>
      <c r="L64">
        <f t="shared" si="12"/>
        <v>2.8565713714171399</v>
      </c>
      <c r="M64">
        <f t="shared" si="13"/>
        <v>-2.8565713714171399</v>
      </c>
      <c r="N64">
        <f t="shared" si="14"/>
        <v>1.0770329614269012</v>
      </c>
      <c r="O64">
        <f t="shared" si="15"/>
        <v>-1.0770329614269012</v>
      </c>
      <c r="AI64">
        <v>31</v>
      </c>
      <c r="AJ64">
        <v>28</v>
      </c>
      <c r="AK64">
        <v>31</v>
      </c>
      <c r="AL64">
        <v>30</v>
      </c>
      <c r="AM64">
        <v>31</v>
      </c>
      <c r="AN64">
        <v>30</v>
      </c>
      <c r="AO64">
        <v>31</v>
      </c>
      <c r="AP64">
        <v>31</v>
      </c>
      <c r="AQ64">
        <v>30</v>
      </c>
      <c r="AR64">
        <v>31</v>
      </c>
      <c r="AS64">
        <v>30</v>
      </c>
      <c r="AT64">
        <v>31</v>
      </c>
      <c r="AU64">
        <f>SUM(AI64:AT64)</f>
        <v>365</v>
      </c>
    </row>
    <row r="65" spans="1:40" x14ac:dyDescent="0.25">
      <c r="A65">
        <v>2.7</v>
      </c>
      <c r="B65">
        <f t="shared" si="0"/>
        <v>8.5854528127525107</v>
      </c>
      <c r="C65">
        <f t="shared" si="1"/>
        <v>-8.5854528127525107</v>
      </c>
      <c r="D65">
        <f t="shared" si="4"/>
        <v>7.5306042254257397</v>
      </c>
      <c r="E65">
        <f t="shared" si="5"/>
        <v>-7.5306042254257397</v>
      </c>
      <c r="F65">
        <f t="shared" si="6"/>
        <v>6.4583279569870093</v>
      </c>
      <c r="G65">
        <f t="shared" si="7"/>
        <v>-6.4583279569870093</v>
      </c>
      <c r="H65">
        <f t="shared" si="8"/>
        <v>5.3581713298475258</v>
      </c>
      <c r="I65">
        <f t="shared" si="9"/>
        <v>-5.3581713298475258</v>
      </c>
      <c r="J65">
        <f t="shared" si="10"/>
        <v>4.2083250825001626</v>
      </c>
      <c r="K65">
        <f t="shared" si="11"/>
        <v>-4.2083250825001626</v>
      </c>
      <c r="L65">
        <f t="shared" si="12"/>
        <v>2.9512709126747412</v>
      </c>
      <c r="M65">
        <f t="shared" si="13"/>
        <v>-2.9512709126747412</v>
      </c>
      <c r="N65">
        <f t="shared" si="14"/>
        <v>1.3076696830622017</v>
      </c>
      <c r="O65">
        <f t="shared" si="15"/>
        <v>-1.3076696830622017</v>
      </c>
    </row>
    <row r="66" spans="1:40" x14ac:dyDescent="0.25">
      <c r="A66">
        <v>2.6</v>
      </c>
      <c r="B66">
        <f t="shared" ref="B66:B129" si="16">+SQRT(81-A66^2)</f>
        <v>8.616263691415206</v>
      </c>
      <c r="C66">
        <f t="shared" ref="C66:C129" si="17">-B66</f>
        <v>-8.616263691415206</v>
      </c>
      <c r="D66">
        <f t="shared" si="4"/>
        <v>7.5657121277510955</v>
      </c>
      <c r="E66">
        <f t="shared" si="5"/>
        <v>-7.5657121277510955</v>
      </c>
      <c r="F66">
        <f t="shared" si="6"/>
        <v>6.4992307237087683</v>
      </c>
      <c r="G66">
        <f t="shared" si="7"/>
        <v>-6.4992307237087683</v>
      </c>
      <c r="H66">
        <f t="shared" si="8"/>
        <v>5.4074023338383093</v>
      </c>
      <c r="I66">
        <f t="shared" si="9"/>
        <v>-5.4074023338383093</v>
      </c>
      <c r="J66">
        <f t="shared" si="10"/>
        <v>4.2708313008125245</v>
      </c>
      <c r="K66">
        <f t="shared" si="11"/>
        <v>-4.2708313008125245</v>
      </c>
      <c r="L66">
        <f t="shared" si="12"/>
        <v>3.0397368307141326</v>
      </c>
      <c r="M66">
        <f t="shared" si="13"/>
        <v>-3.0397368307141326</v>
      </c>
      <c r="N66">
        <f t="shared" si="14"/>
        <v>1.4966629547095762</v>
      </c>
      <c r="O66">
        <f t="shared" si="15"/>
        <v>-1.4966629547095762</v>
      </c>
    </row>
    <row r="67" spans="1:40" x14ac:dyDescent="0.25">
      <c r="A67">
        <v>2.5</v>
      </c>
      <c r="B67">
        <f t="shared" si="16"/>
        <v>8.6458082328952912</v>
      </c>
      <c r="C67">
        <f t="shared" si="17"/>
        <v>-8.6458082328952912</v>
      </c>
      <c r="D67">
        <f t="shared" si="4"/>
        <v>7.5993420767853319</v>
      </c>
      <c r="E67">
        <f t="shared" si="5"/>
        <v>-7.5993420767853319</v>
      </c>
      <c r="F67">
        <f t="shared" si="6"/>
        <v>6.5383484153110105</v>
      </c>
      <c r="G67">
        <f t="shared" si="7"/>
        <v>-6.5383484153110105</v>
      </c>
      <c r="H67">
        <f t="shared" si="8"/>
        <v>5.4543560573178569</v>
      </c>
      <c r="I67">
        <f t="shared" si="9"/>
        <v>-5.4543560573178569</v>
      </c>
      <c r="J67">
        <f t="shared" si="10"/>
        <v>4.3301270189221936</v>
      </c>
      <c r="K67">
        <f t="shared" si="11"/>
        <v>-4.3301270189221936</v>
      </c>
      <c r="L67">
        <f t="shared" si="12"/>
        <v>3.1224989991991992</v>
      </c>
      <c r="M67">
        <f t="shared" si="13"/>
        <v>-3.1224989991991992</v>
      </c>
      <c r="N67">
        <f t="shared" si="14"/>
        <v>1.6583123951776999</v>
      </c>
      <c r="O67">
        <f t="shared" si="15"/>
        <v>-1.6583123951776999</v>
      </c>
    </row>
    <row r="68" spans="1:40" x14ac:dyDescent="0.25">
      <c r="A68">
        <v>2.4</v>
      </c>
      <c r="B68">
        <f t="shared" si="16"/>
        <v>8.6740993768805765</v>
      </c>
      <c r="C68">
        <f t="shared" si="17"/>
        <v>-8.6740993768805765</v>
      </c>
      <c r="D68">
        <f t="shared" si="4"/>
        <v>7.6315136113355653</v>
      </c>
      <c r="E68">
        <f t="shared" si="5"/>
        <v>-7.6315136113355653</v>
      </c>
      <c r="F68">
        <f t="shared" si="6"/>
        <v>6.5757128891094387</v>
      </c>
      <c r="G68">
        <f t="shared" si="7"/>
        <v>-6.5757128891094387</v>
      </c>
      <c r="H68">
        <f t="shared" si="8"/>
        <v>5.4990908339470082</v>
      </c>
      <c r="I68">
        <f t="shared" si="9"/>
        <v>-5.4990908339470082</v>
      </c>
      <c r="J68">
        <f t="shared" si="10"/>
        <v>4.3863424398922621</v>
      </c>
      <c r="K68">
        <f t="shared" si="11"/>
        <v>-4.3863424398922621</v>
      </c>
      <c r="L68">
        <f t="shared" si="12"/>
        <v>3.2</v>
      </c>
      <c r="M68">
        <f t="shared" si="13"/>
        <v>-3.2</v>
      </c>
      <c r="N68">
        <f t="shared" si="14"/>
        <v>1.8</v>
      </c>
      <c r="O68">
        <f t="shared" si="15"/>
        <v>-1.8</v>
      </c>
    </row>
    <row r="69" spans="1:40" x14ac:dyDescent="0.25">
      <c r="A69">
        <v>2.2999999999999998</v>
      </c>
      <c r="B69">
        <f t="shared" si="16"/>
        <v>8.7011493493675882</v>
      </c>
      <c r="C69">
        <f t="shared" si="17"/>
        <v>-8.7011493493675882</v>
      </c>
      <c r="D69">
        <f t="shared" si="4"/>
        <v>7.6622451017962092</v>
      </c>
      <c r="E69">
        <f t="shared" si="5"/>
        <v>-7.6622451017962092</v>
      </c>
      <c r="F69">
        <f t="shared" si="6"/>
        <v>6.611353870426238</v>
      </c>
      <c r="G69">
        <f t="shared" si="7"/>
        <v>-6.611353870426238</v>
      </c>
      <c r="H69">
        <f t="shared" si="8"/>
        <v>5.5416604009989641</v>
      </c>
      <c r="I69">
        <f t="shared" si="9"/>
        <v>-5.5416604009989641</v>
      </c>
      <c r="J69">
        <f t="shared" si="10"/>
        <v>4.4395945760846232</v>
      </c>
      <c r="K69">
        <f t="shared" si="11"/>
        <v>-4.4395945760846232</v>
      </c>
      <c r="L69">
        <f t="shared" si="12"/>
        <v>3.2726136343907144</v>
      </c>
      <c r="M69">
        <f t="shared" si="13"/>
        <v>-3.2726136343907144</v>
      </c>
      <c r="N69">
        <f t="shared" si="14"/>
        <v>1.9261360284258224</v>
      </c>
      <c r="O69">
        <f t="shared" si="15"/>
        <v>-1.9261360284258224</v>
      </c>
    </row>
    <row r="70" spans="1:40" x14ac:dyDescent="0.25">
      <c r="A70">
        <v>2.2000000000000002</v>
      </c>
      <c r="B70">
        <f t="shared" si="16"/>
        <v>8.7269696917085717</v>
      </c>
      <c r="C70">
        <f t="shared" si="17"/>
        <v>-8.7269696917085717</v>
      </c>
      <c r="D70">
        <f t="shared" si="4"/>
        <v>7.6915538092117641</v>
      </c>
      <c r="E70">
        <f t="shared" si="5"/>
        <v>-7.6915538092117641</v>
      </c>
      <c r="F70">
        <f t="shared" si="6"/>
        <v>6.6452990903344595</v>
      </c>
      <c r="G70">
        <f t="shared" si="7"/>
        <v>-6.6452990903344595</v>
      </c>
      <c r="H70">
        <f t="shared" si="8"/>
        <v>5.5821142947811451</v>
      </c>
      <c r="I70">
        <f t="shared" si="9"/>
        <v>-5.5821142947811451</v>
      </c>
      <c r="J70">
        <f t="shared" si="10"/>
        <v>4.4899888641287298</v>
      </c>
      <c r="K70">
        <f t="shared" si="11"/>
        <v>-4.4899888641287298</v>
      </c>
      <c r="L70">
        <f t="shared" si="12"/>
        <v>3.3406586176980131</v>
      </c>
      <c r="M70">
        <f t="shared" si="13"/>
        <v>-3.3406586176980131</v>
      </c>
      <c r="N70">
        <f t="shared" si="14"/>
        <v>2.0396078054371136</v>
      </c>
      <c r="O70">
        <f t="shared" si="15"/>
        <v>-2.0396078054371136</v>
      </c>
    </row>
    <row r="71" spans="1:40" x14ac:dyDescent="0.25">
      <c r="A71">
        <v>2.1</v>
      </c>
      <c r="B71">
        <f t="shared" si="16"/>
        <v>8.7515712874888933</v>
      </c>
      <c r="C71">
        <f t="shared" si="17"/>
        <v>-8.7515712874888933</v>
      </c>
      <c r="D71">
        <f t="shared" si="4"/>
        <v>7.7194559393781113</v>
      </c>
      <c r="E71">
        <f t="shared" si="5"/>
        <v>-7.7194559393781113</v>
      </c>
      <c r="F71">
        <f t="shared" si="6"/>
        <v>6.6775744099186198</v>
      </c>
      <c r="G71">
        <f t="shared" si="7"/>
        <v>-6.6775744099186198</v>
      </c>
      <c r="H71">
        <f t="shared" si="8"/>
        <v>5.6204981985585585</v>
      </c>
      <c r="I71">
        <f t="shared" si="9"/>
        <v>-5.6204981985585585</v>
      </c>
      <c r="J71">
        <f t="shared" si="10"/>
        <v>4.5376205218153709</v>
      </c>
      <c r="K71">
        <f t="shared" si="11"/>
        <v>-4.5376205218153709</v>
      </c>
      <c r="L71">
        <f t="shared" si="12"/>
        <v>3.4044089061098401</v>
      </c>
      <c r="M71">
        <f t="shared" si="13"/>
        <v>-3.4044089061098401</v>
      </c>
      <c r="N71">
        <f t="shared" si="14"/>
        <v>2.142428528562855</v>
      </c>
      <c r="O71">
        <f t="shared" si="15"/>
        <v>-2.142428528562855</v>
      </c>
    </row>
    <row r="72" spans="1:40" x14ac:dyDescent="0.25">
      <c r="A72">
        <v>2</v>
      </c>
      <c r="B72">
        <f t="shared" si="16"/>
        <v>8.7749643873921226</v>
      </c>
      <c r="C72">
        <f t="shared" si="17"/>
        <v>-8.7749643873921226</v>
      </c>
      <c r="D72">
        <f t="shared" si="4"/>
        <v>7.745966692414834</v>
      </c>
      <c r="E72">
        <f t="shared" si="5"/>
        <v>-7.745966692414834</v>
      </c>
      <c r="F72">
        <f t="shared" si="6"/>
        <v>6.7082039324993694</v>
      </c>
      <c r="G72">
        <f t="shared" si="7"/>
        <v>-6.7082039324993694</v>
      </c>
      <c r="H72">
        <f t="shared" si="8"/>
        <v>5.6568542494923806</v>
      </c>
      <c r="I72">
        <f t="shared" si="9"/>
        <v>-5.6568542494923806</v>
      </c>
      <c r="J72">
        <f t="shared" si="10"/>
        <v>4.5825756949558398</v>
      </c>
      <c r="K72">
        <f t="shared" si="11"/>
        <v>-4.5825756949558398</v>
      </c>
      <c r="L72">
        <f t="shared" si="12"/>
        <v>3.4641016151377544</v>
      </c>
      <c r="M72">
        <f t="shared" si="13"/>
        <v>-3.4641016151377544</v>
      </c>
      <c r="N72">
        <f t="shared" si="14"/>
        <v>2.2360679774997898</v>
      </c>
      <c r="O72">
        <f t="shared" si="15"/>
        <v>-2.2360679774997898</v>
      </c>
      <c r="P72">
        <f t="shared" ref="P72:P112" si="18">+SQRT(4-A72^2)</f>
        <v>0</v>
      </c>
      <c r="Q72">
        <f t="shared" ref="Q72:Q112" si="19">-P72</f>
        <v>0</v>
      </c>
    </row>
    <row r="73" spans="1:40" x14ac:dyDescent="0.25">
      <c r="A73">
        <v>1.9</v>
      </c>
      <c r="B73">
        <f t="shared" si="16"/>
        <v>8.7971586321948294</v>
      </c>
      <c r="C73">
        <f t="shared" si="17"/>
        <v>-8.7971586321948294</v>
      </c>
      <c r="D73">
        <f t="shared" si="4"/>
        <v>7.7711003081931711</v>
      </c>
      <c r="E73">
        <f t="shared" si="5"/>
        <v>-7.7711003081931711</v>
      </c>
      <c r="F73">
        <f t="shared" si="6"/>
        <v>6.7372101050805888</v>
      </c>
      <c r="G73">
        <f t="shared" si="7"/>
        <v>-6.7372101050805888</v>
      </c>
      <c r="H73">
        <f t="shared" si="8"/>
        <v>5.6912213100528781</v>
      </c>
      <c r="I73">
        <f t="shared" si="9"/>
        <v>-5.6912213100528781</v>
      </c>
      <c r="J73">
        <f t="shared" si="10"/>
        <v>4.6249324319388707</v>
      </c>
      <c r="K73">
        <f t="shared" si="11"/>
        <v>-4.6249324319388707</v>
      </c>
      <c r="L73">
        <f t="shared" si="12"/>
        <v>3.5199431813596083</v>
      </c>
      <c r="M73">
        <f t="shared" si="13"/>
        <v>-3.5199431813596083</v>
      </c>
      <c r="N73">
        <f t="shared" si="14"/>
        <v>2.32163735324878</v>
      </c>
      <c r="O73">
        <f t="shared" si="15"/>
        <v>-2.32163735324878</v>
      </c>
      <c r="P73">
        <f t="shared" si="18"/>
        <v>0.62449979983983994</v>
      </c>
      <c r="Q73">
        <f t="shared" si="19"/>
        <v>-0.62449979983983994</v>
      </c>
    </row>
    <row r="74" spans="1:40" ht="15" customHeight="1" x14ac:dyDescent="0.25">
      <c r="A74">
        <v>1.8</v>
      </c>
      <c r="B74">
        <f t="shared" si="16"/>
        <v>8.8181630740194414</v>
      </c>
      <c r="C74">
        <f t="shared" si="17"/>
        <v>-8.8181630740194414</v>
      </c>
      <c r="D74">
        <f t="shared" si="4"/>
        <v>7.7948701079620308</v>
      </c>
      <c r="E74">
        <f t="shared" si="5"/>
        <v>-7.7948701079620308</v>
      </c>
      <c r="F74">
        <f t="shared" si="6"/>
        <v>6.7646138101151054</v>
      </c>
      <c r="G74">
        <f t="shared" si="7"/>
        <v>-6.7646138101151054</v>
      </c>
      <c r="H74">
        <f t="shared" si="8"/>
        <v>5.7236352085016735</v>
      </c>
      <c r="I74">
        <f t="shared" si="9"/>
        <v>-5.7236352085016735</v>
      </c>
      <c r="J74">
        <f t="shared" si="10"/>
        <v>4.6647615158762399</v>
      </c>
      <c r="K74">
        <f t="shared" si="11"/>
        <v>-4.6647615158762399</v>
      </c>
      <c r="L74">
        <f t="shared" si="12"/>
        <v>3.5721142198983502</v>
      </c>
      <c r="M74">
        <f t="shared" si="13"/>
        <v>-3.5721142198983502</v>
      </c>
      <c r="N74">
        <f t="shared" si="14"/>
        <v>2.4</v>
      </c>
      <c r="O74">
        <f t="shared" si="15"/>
        <v>-2.4</v>
      </c>
      <c r="P74">
        <f t="shared" si="18"/>
        <v>0.87177978870813455</v>
      </c>
      <c r="Q74">
        <f t="shared" si="19"/>
        <v>-0.87177978870813455</v>
      </c>
      <c r="AN74" s="57"/>
    </row>
    <row r="75" spans="1:40" x14ac:dyDescent="0.25">
      <c r="A75">
        <v>1.7</v>
      </c>
      <c r="B75">
        <f t="shared" si="16"/>
        <v>8.8379861959611592</v>
      </c>
      <c r="C75">
        <f t="shared" si="17"/>
        <v>-8.8379861959611592</v>
      </c>
      <c r="D75">
        <f t="shared" si="4"/>
        <v>7.8172885324772299</v>
      </c>
      <c r="E75">
        <f t="shared" si="5"/>
        <v>-7.8172885324772299</v>
      </c>
      <c r="F75">
        <f t="shared" si="6"/>
        <v>6.7904344485459838</v>
      </c>
      <c r="G75">
        <f t="shared" si="7"/>
        <v>-6.7904344485459838</v>
      </c>
      <c r="H75">
        <f t="shared" si="8"/>
        <v>5.7541289523263206</v>
      </c>
      <c r="I75">
        <f t="shared" si="9"/>
        <v>-5.7541289523263206</v>
      </c>
      <c r="J75">
        <f t="shared" si="10"/>
        <v>4.702127178203499</v>
      </c>
      <c r="K75">
        <f t="shared" si="11"/>
        <v>-4.702127178203499</v>
      </c>
      <c r="L75">
        <f t="shared" si="12"/>
        <v>3.6207733980463344</v>
      </c>
      <c r="M75">
        <f t="shared" si="13"/>
        <v>-3.6207733980463344</v>
      </c>
      <c r="N75">
        <f t="shared" si="14"/>
        <v>2.4718414188616551</v>
      </c>
      <c r="O75">
        <f t="shared" si="15"/>
        <v>-2.4718414188616551</v>
      </c>
      <c r="P75">
        <f t="shared" si="18"/>
        <v>1.0535653752852741</v>
      </c>
      <c r="Q75">
        <f t="shared" si="19"/>
        <v>-1.0535653752852741</v>
      </c>
      <c r="AN75" s="57"/>
    </row>
    <row r="76" spans="1:40" x14ac:dyDescent="0.25">
      <c r="A76">
        <v>1.6</v>
      </c>
      <c r="B76">
        <f t="shared" si="16"/>
        <v>8.8566359301938107</v>
      </c>
      <c r="C76">
        <f t="shared" si="17"/>
        <v>-8.8566359301938107</v>
      </c>
      <c r="D76">
        <f t="shared" ref="D76:D139" si="20">+SQRT(64-A76^2)</f>
        <v>7.8383671769061696</v>
      </c>
      <c r="E76">
        <f t="shared" ref="E76:E139" si="21">-D76</f>
        <v>-7.8383671769061696</v>
      </c>
      <c r="F76">
        <f t="shared" si="6"/>
        <v>6.8146900149603278</v>
      </c>
      <c r="G76">
        <f t="shared" si="7"/>
        <v>-6.8146900149603278</v>
      </c>
      <c r="H76">
        <f t="shared" si="8"/>
        <v>5.7827329179203844</v>
      </c>
      <c r="I76">
        <f t="shared" si="9"/>
        <v>-5.7827329179203844</v>
      </c>
      <c r="J76">
        <f t="shared" si="10"/>
        <v>4.737087712930804</v>
      </c>
      <c r="K76">
        <f t="shared" si="11"/>
        <v>-4.737087712930804</v>
      </c>
      <c r="L76">
        <f t="shared" si="12"/>
        <v>3.666060555964672</v>
      </c>
      <c r="M76">
        <f t="shared" si="13"/>
        <v>-3.666060555964672</v>
      </c>
      <c r="N76">
        <f t="shared" si="14"/>
        <v>2.5377155080899039</v>
      </c>
      <c r="O76">
        <f t="shared" si="15"/>
        <v>-2.5377155080899039</v>
      </c>
      <c r="P76">
        <f t="shared" si="18"/>
        <v>1.1999999999999997</v>
      </c>
      <c r="Q76">
        <f t="shared" si="19"/>
        <v>-1.1999999999999997</v>
      </c>
      <c r="AN76" s="57"/>
    </row>
    <row r="77" spans="1:40" x14ac:dyDescent="0.25">
      <c r="A77">
        <v>1.5</v>
      </c>
      <c r="B77">
        <f t="shared" si="16"/>
        <v>8.8741196746494246</v>
      </c>
      <c r="C77">
        <f t="shared" si="17"/>
        <v>-8.8741196746494246</v>
      </c>
      <c r="D77">
        <f t="shared" si="20"/>
        <v>7.8581168227508558</v>
      </c>
      <c r="E77">
        <f t="shared" si="21"/>
        <v>-7.8581168227508558</v>
      </c>
      <c r="F77">
        <f t="shared" si="6"/>
        <v>6.8373971655886718</v>
      </c>
      <c r="G77">
        <f t="shared" si="7"/>
        <v>-6.8373971655886718</v>
      </c>
      <c r="H77">
        <f t="shared" si="8"/>
        <v>5.8094750193111251</v>
      </c>
      <c r="I77">
        <f t="shared" si="9"/>
        <v>-5.8094750193111251</v>
      </c>
      <c r="J77">
        <f t="shared" si="10"/>
        <v>4.7696960070847281</v>
      </c>
      <c r="K77">
        <f t="shared" si="11"/>
        <v>-4.7696960070847281</v>
      </c>
      <c r="L77">
        <f t="shared" si="12"/>
        <v>3.7080992435478315</v>
      </c>
      <c r="M77">
        <f t="shared" si="13"/>
        <v>-3.7080992435478315</v>
      </c>
      <c r="N77">
        <f t="shared" si="14"/>
        <v>2.598076211353316</v>
      </c>
      <c r="O77">
        <f t="shared" si="15"/>
        <v>-2.598076211353316</v>
      </c>
      <c r="P77">
        <f t="shared" si="18"/>
        <v>1.3228756555322954</v>
      </c>
      <c r="Q77">
        <f t="shared" si="19"/>
        <v>-1.3228756555322954</v>
      </c>
      <c r="AN77" s="57"/>
    </row>
    <row r="78" spans="1:40" x14ac:dyDescent="0.25">
      <c r="A78">
        <v>1.4</v>
      </c>
      <c r="B78">
        <f t="shared" si="16"/>
        <v>8.8904443083571483</v>
      </c>
      <c r="C78">
        <f t="shared" si="17"/>
        <v>-8.8904443083571483</v>
      </c>
      <c r="D78">
        <f t="shared" si="20"/>
        <v>7.8765474670060867</v>
      </c>
      <c r="E78">
        <f t="shared" si="21"/>
        <v>-7.8765474670060867</v>
      </c>
      <c r="F78">
        <f t="shared" si="6"/>
        <v>6.8585712797928986</v>
      </c>
      <c r="G78">
        <f t="shared" si="7"/>
        <v>-6.8585712797928986</v>
      </c>
      <c r="H78">
        <f t="shared" si="8"/>
        <v>5.8343808583259289</v>
      </c>
      <c r="I78">
        <f t="shared" si="9"/>
        <v>-5.8343808583259289</v>
      </c>
      <c r="J78">
        <f t="shared" si="10"/>
        <v>4.8</v>
      </c>
      <c r="K78">
        <f t="shared" si="11"/>
        <v>-4.8</v>
      </c>
      <c r="L78">
        <f t="shared" si="12"/>
        <v>3.746998799039039</v>
      </c>
      <c r="M78">
        <f t="shared" si="13"/>
        <v>-3.746998799039039</v>
      </c>
      <c r="N78">
        <f t="shared" si="14"/>
        <v>2.6532998322843198</v>
      </c>
      <c r="O78">
        <f t="shared" si="15"/>
        <v>-2.6532998322843198</v>
      </c>
      <c r="P78">
        <f t="shared" si="18"/>
        <v>1.42828568570857</v>
      </c>
      <c r="Q78">
        <f t="shared" si="19"/>
        <v>-1.42828568570857</v>
      </c>
    </row>
    <row r="79" spans="1:40" x14ac:dyDescent="0.25">
      <c r="A79">
        <v>1.3</v>
      </c>
      <c r="B79">
        <f t="shared" si="16"/>
        <v>8.9056162055188519</v>
      </c>
      <c r="C79">
        <f t="shared" si="17"/>
        <v>-8.9056162055188519</v>
      </c>
      <c r="D79">
        <f t="shared" si="20"/>
        <v>7.8936683487463544</v>
      </c>
      <c r="E79">
        <f t="shared" si="21"/>
        <v>-7.8936683487463544</v>
      </c>
      <c r="F79">
        <f t="shared" si="6"/>
        <v>6.8782265156070572</v>
      </c>
      <c r="G79">
        <f t="shared" si="7"/>
        <v>-6.8782265156070572</v>
      </c>
      <c r="H79">
        <f t="shared" si="8"/>
        <v>5.8574738582429884</v>
      </c>
      <c r="I79">
        <f t="shared" si="9"/>
        <v>-5.8574738582429884</v>
      </c>
      <c r="J79">
        <f t="shared" si="10"/>
        <v>4.8280430818293238</v>
      </c>
      <c r="K79">
        <f t="shared" si="11"/>
        <v>-4.8280430818293238</v>
      </c>
      <c r="L79">
        <f t="shared" si="12"/>
        <v>3.7828560638755477</v>
      </c>
      <c r="M79">
        <f t="shared" si="13"/>
        <v>-3.7828560638755477</v>
      </c>
      <c r="N79">
        <f t="shared" si="14"/>
        <v>2.7037011669191546</v>
      </c>
      <c r="O79">
        <f t="shared" si="15"/>
        <v>-2.7037011669191546</v>
      </c>
      <c r="P79">
        <f t="shared" si="18"/>
        <v>1.5198684153570663</v>
      </c>
      <c r="Q79">
        <f t="shared" si="19"/>
        <v>-1.5198684153570663</v>
      </c>
    </row>
    <row r="80" spans="1:40" x14ac:dyDescent="0.25">
      <c r="A80">
        <v>1.2</v>
      </c>
      <c r="B80">
        <f t="shared" si="16"/>
        <v>8.9196412483911036</v>
      </c>
      <c r="C80">
        <f t="shared" si="17"/>
        <v>-8.9196412483911036</v>
      </c>
      <c r="D80">
        <f t="shared" si="20"/>
        <v>7.9094879733140759</v>
      </c>
      <c r="E80">
        <f t="shared" si="21"/>
        <v>-7.9094879733140759</v>
      </c>
      <c r="F80">
        <f t="shared" si="6"/>
        <v>6.8963758598266676</v>
      </c>
      <c r="G80">
        <f t="shared" si="7"/>
        <v>-6.8963758598266676</v>
      </c>
      <c r="H80">
        <f t="shared" si="8"/>
        <v>5.8787753826796276</v>
      </c>
      <c r="I80">
        <f t="shared" si="9"/>
        <v>-5.8787753826796276</v>
      </c>
      <c r="J80">
        <f t="shared" si="10"/>
        <v>4.8538644398046387</v>
      </c>
      <c r="K80">
        <f t="shared" si="11"/>
        <v>-4.8538644398046387</v>
      </c>
      <c r="L80">
        <f t="shared" si="12"/>
        <v>3.8157568056677826</v>
      </c>
      <c r="M80">
        <f t="shared" si="13"/>
        <v>-3.8157568056677826</v>
      </c>
      <c r="N80">
        <f t="shared" si="14"/>
        <v>2.7495454169735041</v>
      </c>
      <c r="O80">
        <f t="shared" si="15"/>
        <v>-2.7495454169735041</v>
      </c>
      <c r="P80">
        <f t="shared" si="18"/>
        <v>1.6</v>
      </c>
      <c r="Q80">
        <f t="shared" si="19"/>
        <v>-1.6</v>
      </c>
      <c r="AN80" s="58"/>
    </row>
    <row r="81" spans="1:116" x14ac:dyDescent="0.25">
      <c r="A81">
        <v>1.1000000000000001</v>
      </c>
      <c r="B81">
        <f t="shared" si="16"/>
        <v>8.9325248390362741</v>
      </c>
      <c r="C81">
        <f t="shared" si="17"/>
        <v>-8.9325248390362741</v>
      </c>
      <c r="D81">
        <f t="shared" si="20"/>
        <v>7.9240141342630128</v>
      </c>
      <c r="E81">
        <f t="shared" si="21"/>
        <v>-7.9240141342630128</v>
      </c>
      <c r="F81">
        <f t="shared" si="6"/>
        <v>6.9130311730817473</v>
      </c>
      <c r="G81">
        <f t="shared" si="7"/>
        <v>-6.9130311730817473</v>
      </c>
      <c r="H81">
        <f t="shared" si="8"/>
        <v>5.8983048412234513</v>
      </c>
      <c r="I81">
        <f t="shared" si="9"/>
        <v>-5.8983048412234513</v>
      </c>
      <c r="J81">
        <f t="shared" si="10"/>
        <v>4.8774993593028793</v>
      </c>
      <c r="K81">
        <f t="shared" si="11"/>
        <v>-4.8774993593028793</v>
      </c>
      <c r="L81">
        <f t="shared" si="12"/>
        <v>3.8457769046058821</v>
      </c>
      <c r="M81">
        <f t="shared" si="13"/>
        <v>-3.8457769046058821</v>
      </c>
      <c r="N81">
        <f t="shared" si="14"/>
        <v>2.7910571473905725</v>
      </c>
      <c r="O81">
        <f t="shared" si="15"/>
        <v>-2.7910571473905725</v>
      </c>
      <c r="P81">
        <f t="shared" si="18"/>
        <v>1.6703293088490065</v>
      </c>
      <c r="Q81">
        <f t="shared" si="19"/>
        <v>-1.6703293088490065</v>
      </c>
    </row>
    <row r="82" spans="1:116" x14ac:dyDescent="0.25">
      <c r="A82">
        <v>1</v>
      </c>
      <c r="B82">
        <f t="shared" si="16"/>
        <v>8.9442719099991592</v>
      </c>
      <c r="C82">
        <f t="shared" si="17"/>
        <v>-8.9442719099991592</v>
      </c>
      <c r="D82">
        <f t="shared" si="20"/>
        <v>7.9372539331937721</v>
      </c>
      <c r="E82">
        <f t="shared" si="21"/>
        <v>-7.9372539331937721</v>
      </c>
      <c r="F82">
        <f t="shared" si="6"/>
        <v>6.9282032302755088</v>
      </c>
      <c r="G82">
        <f t="shared" si="7"/>
        <v>-6.9282032302755088</v>
      </c>
      <c r="H82">
        <f t="shared" si="8"/>
        <v>5.9160797830996161</v>
      </c>
      <c r="I82">
        <f t="shared" si="9"/>
        <v>-5.9160797830996161</v>
      </c>
      <c r="J82">
        <f t="shared" si="10"/>
        <v>4.8989794855663558</v>
      </c>
      <c r="K82">
        <f t="shared" si="11"/>
        <v>-4.8989794855663558</v>
      </c>
      <c r="L82">
        <f t="shared" si="12"/>
        <v>3.872983346207417</v>
      </c>
      <c r="M82">
        <f t="shared" si="13"/>
        <v>-3.872983346207417</v>
      </c>
      <c r="N82">
        <f t="shared" si="14"/>
        <v>2.8284271247461903</v>
      </c>
      <c r="O82">
        <f t="shared" si="15"/>
        <v>-2.8284271247461903</v>
      </c>
      <c r="P82">
        <f t="shared" si="18"/>
        <v>1.7320508075688772</v>
      </c>
      <c r="Q82">
        <f t="shared" si="19"/>
        <v>-1.7320508075688772</v>
      </c>
      <c r="R82">
        <f t="shared" ref="R82:R102" si="22">+SQRT(1-A82^2)</f>
        <v>0</v>
      </c>
      <c r="S82">
        <f t="shared" ref="S82:S102" si="23">-R82</f>
        <v>0</v>
      </c>
    </row>
    <row r="83" spans="1:116" x14ac:dyDescent="0.25">
      <c r="A83">
        <v>0.9</v>
      </c>
      <c r="B83">
        <f t="shared" si="16"/>
        <v>8.95488693395958</v>
      </c>
      <c r="C83">
        <f t="shared" si="17"/>
        <v>-8.95488693395958</v>
      </c>
      <c r="D83">
        <f t="shared" si="20"/>
        <v>7.94921379760288</v>
      </c>
      <c r="E83">
        <f t="shared" si="21"/>
        <v>-7.94921379760288</v>
      </c>
      <c r="F83">
        <f t="shared" si="6"/>
        <v>6.9419017567234409</v>
      </c>
      <c r="G83">
        <f t="shared" si="7"/>
        <v>-6.9419017567234409</v>
      </c>
      <c r="H83">
        <f t="shared" si="8"/>
        <v>5.9321159799855563</v>
      </c>
      <c r="I83">
        <f t="shared" si="9"/>
        <v>-5.9321159799855563</v>
      </c>
      <c r="J83">
        <f t="shared" si="10"/>
        <v>4.9183330509431755</v>
      </c>
      <c r="K83">
        <f t="shared" si="11"/>
        <v>-4.9183330509431755</v>
      </c>
      <c r="L83">
        <f t="shared" si="12"/>
        <v>3.8974350539810154</v>
      </c>
      <c r="M83">
        <f t="shared" si="13"/>
        <v>-3.8974350539810154</v>
      </c>
      <c r="N83">
        <f t="shared" si="14"/>
        <v>2.8618176042508368</v>
      </c>
      <c r="O83">
        <f t="shared" si="15"/>
        <v>-2.8618176042508368</v>
      </c>
      <c r="P83">
        <f t="shared" si="18"/>
        <v>1.7860571099491751</v>
      </c>
      <c r="Q83">
        <f t="shared" si="19"/>
        <v>-1.7860571099491751</v>
      </c>
      <c r="R83">
        <f t="shared" si="22"/>
        <v>0.43588989435406728</v>
      </c>
      <c r="S83">
        <f t="shared" si="23"/>
        <v>-0.43588989435406728</v>
      </c>
      <c r="AN83" s="95" t="s">
        <v>92</v>
      </c>
      <c r="AO83" s="95">
        <v>1</v>
      </c>
      <c r="AP83" s="315"/>
      <c r="AQ83" s="315"/>
      <c r="AR83" s="328"/>
      <c r="AY83" s="95" t="s">
        <v>92</v>
      </c>
      <c r="AZ83" s="95">
        <v>1</v>
      </c>
      <c r="BA83" s="315"/>
      <c r="BB83" s="315"/>
      <c r="BC83" s="316"/>
      <c r="BJ83" s="95" t="s">
        <v>92</v>
      </c>
      <c r="BK83" s="95">
        <v>1</v>
      </c>
      <c r="BL83" s="315"/>
      <c r="BM83" s="315"/>
      <c r="BN83" s="316"/>
      <c r="BU83" s="95" t="s">
        <v>92</v>
      </c>
      <c r="BV83" s="95">
        <v>1</v>
      </c>
      <c r="BW83" s="315"/>
      <c r="BX83" s="315"/>
      <c r="BY83" s="316"/>
      <c r="CF83" s="95" t="s">
        <v>92</v>
      </c>
      <c r="CG83" s="95">
        <v>1</v>
      </c>
      <c r="CH83" s="315"/>
      <c r="CI83" s="315"/>
      <c r="CJ83" s="316"/>
      <c r="CQ83" s="95" t="s">
        <v>92</v>
      </c>
      <c r="CR83" s="95">
        <v>1</v>
      </c>
      <c r="CS83" s="315"/>
      <c r="CT83" s="315"/>
      <c r="CU83" s="316"/>
      <c r="DB83" s="95" t="s">
        <v>92</v>
      </c>
      <c r="DC83" s="95">
        <v>21</v>
      </c>
      <c r="DD83" s="315"/>
      <c r="DE83" s="315"/>
      <c r="DF83" s="316"/>
    </row>
    <row r="84" spans="1:116" x14ac:dyDescent="0.25">
      <c r="A84">
        <v>0.8</v>
      </c>
      <c r="B84">
        <f t="shared" si="16"/>
        <v>8.964373932405989</v>
      </c>
      <c r="C84">
        <f t="shared" si="17"/>
        <v>-8.964373932405989</v>
      </c>
      <c r="D84">
        <f t="shared" si="20"/>
        <v>7.9598994968529597</v>
      </c>
      <c r="E84">
        <f t="shared" si="21"/>
        <v>-7.9598994968529597</v>
      </c>
      <c r="F84">
        <f t="shared" si="6"/>
        <v>6.9541354602854843</v>
      </c>
      <c r="G84">
        <f t="shared" si="7"/>
        <v>-6.9541354602854843</v>
      </c>
      <c r="H84">
        <f t="shared" si="8"/>
        <v>5.9464274989274024</v>
      </c>
      <c r="I84">
        <f t="shared" si="9"/>
        <v>-5.9464274989274024</v>
      </c>
      <c r="J84">
        <f t="shared" si="10"/>
        <v>4.935585071701226</v>
      </c>
      <c r="K84">
        <f t="shared" si="11"/>
        <v>-4.935585071701226</v>
      </c>
      <c r="L84">
        <f t="shared" si="12"/>
        <v>3.9191835884530848</v>
      </c>
      <c r="M84">
        <f t="shared" si="13"/>
        <v>-3.9191835884530848</v>
      </c>
      <c r="N84">
        <f t="shared" si="14"/>
        <v>2.8913664589601922</v>
      </c>
      <c r="O84">
        <f t="shared" si="15"/>
        <v>-2.8913664589601922</v>
      </c>
      <c r="P84">
        <f t="shared" si="18"/>
        <v>1.833030277982336</v>
      </c>
      <c r="Q84">
        <f t="shared" si="19"/>
        <v>-1.833030277982336</v>
      </c>
      <c r="R84">
        <f t="shared" si="22"/>
        <v>0.59999999999999987</v>
      </c>
      <c r="S84">
        <f t="shared" si="23"/>
        <v>-0.59999999999999987</v>
      </c>
      <c r="V84" s="319"/>
      <c r="Z84" s="319"/>
      <c r="AN84" s="95" t="s">
        <v>91</v>
      </c>
      <c r="AO84" s="95">
        <v>12</v>
      </c>
      <c r="AP84" s="315"/>
      <c r="AQ84" s="315"/>
      <c r="AR84" s="328"/>
      <c r="AY84" s="95" t="s">
        <v>91</v>
      </c>
      <c r="AZ84" s="95">
        <v>11</v>
      </c>
      <c r="BA84" s="315"/>
      <c r="BB84" s="315"/>
      <c r="BC84" s="316"/>
      <c r="BJ84" s="95" t="s">
        <v>91</v>
      </c>
      <c r="BK84" s="95">
        <v>10</v>
      </c>
      <c r="BL84" s="315"/>
      <c r="BM84" s="315"/>
      <c r="BN84" s="316"/>
      <c r="BU84" s="95" t="s">
        <v>91</v>
      </c>
      <c r="BV84" s="95">
        <v>9</v>
      </c>
      <c r="BW84" s="315"/>
      <c r="BX84" s="315"/>
      <c r="BY84" s="316"/>
      <c r="CF84" s="95" t="s">
        <v>91</v>
      </c>
      <c r="CG84" s="95">
        <v>8</v>
      </c>
      <c r="CH84" s="315"/>
      <c r="CI84" s="315"/>
      <c r="CJ84" s="316"/>
      <c r="CQ84" s="95" t="s">
        <v>91</v>
      </c>
      <c r="CR84" s="95">
        <v>7</v>
      </c>
      <c r="CS84" s="315"/>
      <c r="CT84" s="315"/>
      <c r="CU84" s="316"/>
      <c r="DB84" s="95" t="s">
        <v>91</v>
      </c>
      <c r="DC84" s="95">
        <v>12</v>
      </c>
      <c r="DD84" s="315"/>
      <c r="DE84" s="315"/>
      <c r="DF84" s="316"/>
    </row>
    <row r="85" spans="1:116" x14ac:dyDescent="0.25">
      <c r="A85">
        <v>0.7</v>
      </c>
      <c r="B85">
        <f t="shared" si="16"/>
        <v>8.9727364833700545</v>
      </c>
      <c r="C85">
        <f t="shared" si="17"/>
        <v>-8.9727364833700545</v>
      </c>
      <c r="D85">
        <f t="shared" si="20"/>
        <v>7.9693161563587118</v>
      </c>
      <c r="E85">
        <f t="shared" si="21"/>
        <v>-7.9693161563587118</v>
      </c>
      <c r="F85">
        <f t="shared" si="6"/>
        <v>6.9649120597463394</v>
      </c>
      <c r="G85">
        <f t="shared" si="7"/>
        <v>-6.9649120597463394</v>
      </c>
      <c r="H85">
        <f t="shared" si="8"/>
        <v>5.9590267661758327</v>
      </c>
      <c r="I85">
        <f t="shared" si="9"/>
        <v>-5.9590267661758327</v>
      </c>
      <c r="J85">
        <f t="shared" si="10"/>
        <v>4.9507575177946253</v>
      </c>
      <c r="K85">
        <f t="shared" si="11"/>
        <v>-4.9507575177946253</v>
      </c>
      <c r="L85">
        <f t="shared" si="12"/>
        <v>3.9382737335030433</v>
      </c>
      <c r="M85">
        <f t="shared" si="13"/>
        <v>-3.9382737335030433</v>
      </c>
      <c r="N85">
        <f t="shared" si="14"/>
        <v>2.9171904291629644</v>
      </c>
      <c r="O85">
        <f t="shared" si="15"/>
        <v>-2.9171904291629644</v>
      </c>
      <c r="P85">
        <f t="shared" si="18"/>
        <v>1.8734993995195195</v>
      </c>
      <c r="Q85">
        <f t="shared" si="19"/>
        <v>-1.8734993995195195</v>
      </c>
      <c r="R85">
        <f t="shared" si="22"/>
        <v>0.71414284285428498</v>
      </c>
      <c r="S85">
        <f t="shared" si="23"/>
        <v>-0.71414284285428498</v>
      </c>
      <c r="U85" s="94" t="s">
        <v>89</v>
      </c>
      <c r="V85" s="319"/>
      <c r="W85" s="94" t="s">
        <v>42</v>
      </c>
      <c r="X85" s="94" t="s">
        <v>43</v>
      </c>
      <c r="Y85" s="94" t="s">
        <v>89</v>
      </c>
      <c r="Z85" s="319"/>
      <c r="AA85" s="94" t="s">
        <v>42</v>
      </c>
      <c r="AB85" s="94" t="s">
        <v>43</v>
      </c>
      <c r="AP85" s="93">
        <f>+IF(AO84=$AI$63,AO83,IF(AO84=$AJ$63,$AI$64+AO83,IF(AO84=$AK$63,$AI$64+$AJ$64+AO83,IF(AO84=$AL$63,$AI$64+$AJ$64+$AK$64+AO83,IF(AO84=$AM$63,$AI$64+$AJ$64+$AK$64+$AL$64+AO83,IF(AO84=$AN$63,$AI$64+$AJ$64+$AK$64+$AL$64+$AM$64+AO83,IF(AO84=$AO$63,$AI$64+$AJ$64+$AK$64+$AL$64+$AM$64+$AN$64+AO83,IF(AO84=$AP$63,$AI$64+$AJ$64+$AK$64+$AL$64+$AM$64+$AN$64+$AO$64+AO83,IF(AO84=$AQ$63,$AI$64+$AJ$64+$AK$64+$AL$64+$AM$64+$AN$64+$AO$64+$AP$64+AO83,IF(AO84=$AR$63,$AI$64+$AJ$64+$AK$64+$AL$64+$AM$64+$AN$64+$AO$64+$AP$64+$AQ$64+AO83,IF(AO84=$AS$63,$AI$64+$AJ$64+$AK$64+$AL$64+$AM$64+$AN$64+$AO$64+$AP$64+$AQ$64+$AR$64+AO83,IF(AO84=$AT$63,$AI$64+$AJ$64+$AK$64+$AL$64+$AM$64+$AN$64+$AO$64+$AP$64+$AQ$64+$AR$64+$AS$64+AO83,"error"))))))))))))</f>
        <v>335</v>
      </c>
      <c r="AQ85" s="38">
        <f>23.45*SIN(RADIANS(360*((284+AP85)/365)))</f>
        <v>-22.107748812505367</v>
      </c>
      <c r="AR85" s="95">
        <f>+IF('Control Solar 2do Sem'!$H$4&gt;89.9,89.9,IF('Control Solar 2do Sem'!$H$4&lt;-89.9,-89.9,'Control Solar 2do Sem'!$H$4))</f>
        <v>29.08</v>
      </c>
      <c r="BA85" s="93">
        <f>+IF(AZ84=$AI$63,AZ83,IF(AZ84=$AJ$63,$AI$64+AZ83,IF(AZ84=$AK$63,$AI$64+$AJ$64+AZ83,IF(AZ84=$AL$63,$AI$64+$AJ$64+$AK$64+AZ83,IF(AZ84=$AM$63,$AI$64+$AJ$64+$AK$64+$AL$64+AZ83,IF(AZ84=$AN$63,$AI$64+$AJ$64+$AK$64+$AL$64+$AM$64+AZ83,IF(AZ84=$AO$63,$AI$64+$AJ$64+$AK$64+$AL$64+$AM$64+$AN$64+AZ83,IF(AZ84=$AP$63,$AI$64+$AJ$64+$AK$64+$AL$64+$AM$64+$AN$64+$AO$64+AZ83,IF(AZ84=$AQ$63,$AI$64+$AJ$64+$AK$64+$AL$64+$AM$64+$AN$64+$AO$64+$AP$64+AZ83,IF(AZ84=$AR$63,$AI$64+$AJ$64+$AK$64+$AL$64+$AM$64+$AN$64+$AO$64+$AP$64+$AQ$64+AZ83,IF(AZ84=$AS$63,$AI$64+$AJ$64+$AK$64+$AL$64+$AM$64+$AN$64+$AO$64+$AP$64+$AQ$64+$AR$64+AZ83,IF(AZ84=$AT$63,$AI$64+$AJ$64+$AK$64+$AL$64+$AM$64+$AN$64+$AO$64+$AP$64+$AQ$64+$AR$64+$AS$64+AZ83,"error"))))))))))))</f>
        <v>305</v>
      </c>
      <c r="BB85" s="38">
        <f>23.45*SIN(RADIANS(360*((284+BA85)/365)))</f>
        <v>-15.363416576553023</v>
      </c>
      <c r="BC85" s="95">
        <f>+IF('Control Solar 2do Sem'!$H$4&gt;89.9,89.9,IF('Control Solar 2do Sem'!$H$4&lt;-89.9,-89.9,'Control Solar 2do Sem'!$H$4))</f>
        <v>29.08</v>
      </c>
      <c r="BL85" s="93">
        <f>+IF(BK84=$AI$63,BK83,IF(BK84=$AJ$63,$AI$64+BK83,IF(BK84=$AK$63,$AI$64+$AJ$64+BK83,IF(BK84=$AL$63,$AI$64+$AJ$64+$AK$64+BK83,IF(BK84=$AM$63,$AI$64+$AJ$64+$AK$64+$AL$64+BK83,IF(BK84=$AN$63,$AI$64+$AJ$64+$AK$64+$AL$64+$AM$64+BK83,IF(BK84=$AO$63,$AI$64+$AJ$64+$AK$64+$AL$64+$AM$64+$AN$64+BK83,IF(BK84=$AP$63,$AI$64+$AJ$64+$AK$64+$AL$64+$AM$64+$AN$64+$AO$64+BK83,IF(BK84=$AQ$63,$AI$64+$AJ$64+$AK$64+$AL$64+$AM$64+$AN$64+$AO$64+$AP$64+BK83,IF(BK84=$AR$63,$AI$64+$AJ$64+$AK$64+$AL$64+$AM$64+$AN$64+$AO$64+$AP$64+$AQ$64+BK83,IF(BK84=$AS$63,$AI$64+$AJ$64+$AK$64+$AL$64+$AM$64+$AN$64+$AO$64+$AP$64+$AQ$64+$AR$64+BK83,IF(BK84=$AT$63,$AI$64+$AJ$64+$AK$64+$AL$64+$AM$64+$AN$64+$AO$64+$AP$64+$AQ$64+$AR$64+$AS$64+BK83,"error"))))))))))))</f>
        <v>274</v>
      </c>
      <c r="BM85" s="38">
        <f>23.45*SIN(RADIANS(360*((284+BL85)/365)))</f>
        <v>-4.2155264352644162</v>
      </c>
      <c r="BN85" s="95">
        <f>+IF('Control Solar 2do Sem'!$H$4&gt;89.9,89.9,IF('Control Solar 2do Sem'!$H$4&lt;-89.9,-89.9,'Control Solar 2do Sem'!$H$4))</f>
        <v>29.08</v>
      </c>
      <c r="BW85" s="93">
        <f>+IF(BV84=$AI$63,BV83,IF(BV84=$AJ$63,$AI$64+BV83,IF(BV84=$AK$63,$AI$64+$AJ$64+BV83,IF(BV84=$AL$63,$AI$64+$AJ$64+$AK$64+BV83,IF(BV84=$AM$63,$AI$64+$AJ$64+$AK$64+$AL$64+BV83,IF(BV84=$AN$63,$AI$64+$AJ$64+$AK$64+$AL$64+$AM$64+BV83,IF(BV84=$AO$63,$AI$64+$AJ$64+$AK$64+$AL$64+$AM$64+$AN$64+BV83,IF(BV84=$AP$63,$AI$64+$AJ$64+$AK$64+$AL$64+$AM$64+$AN$64+$AO$64+BV83,IF(BV84=$AQ$63,$AI$64+$AJ$64+$AK$64+$AL$64+$AM$64+$AN$64+$AO$64+$AP$64+BV83,IF(BV84=$AR$63,$AI$64+$AJ$64+$AK$64+$AL$64+$AM$64+$AN$64+$AO$64+$AP$64+$AQ$64+BV83,IF(BV84=$AS$63,$AI$64+$AJ$64+$AK$64+$AL$64+$AM$64+$AN$64+$AO$64+$AP$64+$AQ$64+$AR$64+BV83,IF(BV84=$AT$63,$AI$64+$AJ$64+$AK$64+$AL$64+$AM$64+$AN$64+$AO$64+$AP$64+$AQ$64+$AR$64+$AS$64+BV83,"error"))))))))))))</f>
        <v>244</v>
      </c>
      <c r="BX85" s="38">
        <f>23.45*SIN(RADIANS(360*((284+BW85)/365)))</f>
        <v>7.7246289081652444</v>
      </c>
      <c r="BY85" s="95">
        <f>+IF('Control Solar 2do Sem'!$H$4&gt;89.9,89.9,IF('Control Solar 2do Sem'!$H$4&lt;-89.9,-89.9,'Control Solar 2do Sem'!$H$4))</f>
        <v>29.08</v>
      </c>
      <c r="CH85" s="93">
        <f>+IF(CG84=$AI$63,CG83,IF(CG84=$AJ$63,$AI$64+CG83,IF(CG84=$AK$63,$AI$64+$AJ$64+CG83,IF(CG84=$AL$63,$AI$64+$AJ$64+$AK$64+CG83,IF(CG84=$AM$63,$AI$64+$AJ$64+$AK$64+$AL$64+CG83,IF(CG84=$AN$63,$AI$64+$AJ$64+$AK$64+$AL$64+$AM$64+CG83,IF(CG84=$AO$63,$AI$64+$AJ$64+$AK$64+$AL$64+$AM$64+$AN$64+CG83,IF(CG84=$AP$63,$AI$64+$AJ$64+$AK$64+$AL$64+$AM$64+$AN$64+$AO$64+CG83,IF(CG84=$AQ$63,$AI$64+$AJ$64+$AK$64+$AL$64+$AM$64+$AN$64+$AO$64+$AP$64+CG83,IF(CG84=$AR$63,$AI$64+$AJ$64+$AK$64+$AL$64+$AM$64+$AN$64+$AO$64+$AP$64+$AQ$64+CG83,IF(CG84=$AS$63,$AI$64+$AJ$64+$AK$64+$AL$64+$AM$64+$AN$64+$AO$64+$AP$64+$AQ$64+$AR$64+CG83,IF(CG84=$AT$63,$AI$64+$AJ$64+$AK$64+$AL$64+$AM$64+$AN$64+$AO$64+$AP$64+$AQ$64+$AR$64+$AS$64+CG83,"error"))))))))))))</f>
        <v>213</v>
      </c>
      <c r="CI85" s="38">
        <f>23.45*SIN(RADIANS(360*((284+CH85)/365)))</f>
        <v>17.913187969938225</v>
      </c>
      <c r="CJ85" s="95">
        <f>+IF('Control Solar 2do Sem'!$H$4&gt;89.9,89.9,IF('Control Solar 2do Sem'!$H$4&lt;-89.9,-89.9,'Control Solar 2do Sem'!$H$4))</f>
        <v>29.08</v>
      </c>
      <c r="CS85" s="93">
        <f>+IF(CR84=$AI$63,CR83,IF(CR84=$AJ$63,$AI$64+CR83,IF(CR84=$AK$63,$AI$64+$AJ$64+CR83,IF(CR84=$AL$63,$AI$64+$AJ$64+$AK$64+CR83,IF(CR84=$AM$63,$AI$64+$AJ$64+$AK$64+$AL$64+CR83,IF(CR84=$AN$63,$AI$64+$AJ$64+$AK$64+$AL$64+$AM$64+CR83,IF(CR84=$AO$63,$AI$64+$AJ$64+$AK$64+$AL$64+$AM$64+$AN$64+CR83,IF(CR84=$AP$63,$AI$64+$AJ$64+$AK$64+$AL$64+$AM$64+$AN$64+$AO$64+CR83,IF(CR84=$AQ$63,$AI$64+$AJ$64+$AK$64+$AL$64+$AM$64+$AN$64+$AO$64+$AP$64+CR83,IF(CR84=$AR$63,$AI$64+$AJ$64+$AK$64+$AL$64+$AM$64+$AN$64+$AO$64+$AP$64+$AQ$64+CR83,IF(CR84=$AS$63,$AI$64+$AJ$64+$AK$64+$AL$64+$AM$64+$AN$64+$AO$64+$AP$64+$AQ$64+$AR$64+CR83,IF(CR84=$AT$63,$AI$64+$AJ$64+$AK$64+$AL$64+$AM$64+$AN$64+$AO$64+$AP$64+$AQ$64+$AR$64+$AS$64+CR83,"error"))))))))))))</f>
        <v>182</v>
      </c>
      <c r="CT85" s="38">
        <f>23.45*SIN(RADIANS(360*((284+CS85)/365)))</f>
        <v>23.12048411665182</v>
      </c>
      <c r="CU85" s="95">
        <f>+IF('Control Solar 2do Sem'!$H$4&gt;89.9,89.9,IF('Control Solar 2do Sem'!$H$4&lt;-89.9,-89.9,'Control Solar 2do Sem'!$H$4))</f>
        <v>29.08</v>
      </c>
      <c r="DD85" s="93">
        <f>+IF(DC84=$AI$63,DC83,IF(DC84=$AJ$63,$AI$64+DC83,IF(DC84=$AK$63,$AI$64+$AJ$64+DC83,IF(DC84=$AL$63,$AI$64+$AJ$64+$AK$64+DC83,IF(DC84=$AM$63,$AI$64+$AJ$64+$AK$64+$AL$64+DC83,IF(DC84=$AN$63,$AI$64+$AJ$64+$AK$64+$AL$64+$AM$64+DC83,IF(DC84=$AO$63,$AI$64+$AJ$64+$AK$64+$AL$64+$AM$64+$AN$64+DC83,IF(DC84=$AP$63,$AI$64+$AJ$64+$AK$64+$AL$64+$AM$64+$AN$64+$AO$64+DC83,IF(DC84=$AQ$63,$AI$64+$AJ$64+$AK$64+$AL$64+$AM$64+$AN$64+$AO$64+$AP$64+DC83,IF(DC84=$AR$63,$AI$64+$AJ$64+$AK$64+$AL$64+$AM$64+$AN$64+$AO$64+$AP$64+$AQ$64+DC83,IF(DC84=$AS$63,$AI$64+$AJ$64+$AK$64+$AL$64+$AM$64+$AN$64+$AO$64+$AP$64+$AQ$64+$AR$64+DC83,IF(DC84=$AT$63,$AI$64+$AJ$64+$AK$64+$AL$64+$AM$64+$AN$64+$AO$64+$AP$64+$AQ$64+$AR$64+$AS$64+DC83,"error"))))))))))))</f>
        <v>355</v>
      </c>
      <c r="DE85" s="38">
        <f>23.45*SIN(RADIANS(360*((284+DD85)/365)))</f>
        <v>-23.449782846813658</v>
      </c>
      <c r="DF85" s="95">
        <f>+IF('Control Solar 2do Sem'!$H$4&gt;89.9,89.9,IF('Control Solar 2do Sem'!$H$4&lt;-89.9,-89.9,'Control Solar 2do Sem'!$H$4))</f>
        <v>29.08</v>
      </c>
    </row>
    <row r="86" spans="1:116" x14ac:dyDescent="0.25">
      <c r="A86">
        <v>0.6</v>
      </c>
      <c r="B86">
        <f t="shared" si="16"/>
        <v>8.9799777282574595</v>
      </c>
      <c r="C86">
        <f t="shared" si="17"/>
        <v>-8.9799777282574595</v>
      </c>
      <c r="D86">
        <f t="shared" si="20"/>
        <v>7.9774682700716522</v>
      </c>
      <c r="E86">
        <f t="shared" si="21"/>
        <v>-7.9774682700716522</v>
      </c>
      <c r="F86">
        <f t="shared" ref="F86:F149" si="24">+SQRT(49-A86^2)</f>
        <v>6.9742383096650773</v>
      </c>
      <c r="G86">
        <f t="shared" ref="G86:G149" si="25">-F86</f>
        <v>-6.9742383096650773</v>
      </c>
      <c r="H86">
        <f t="shared" si="8"/>
        <v>5.96992462263972</v>
      </c>
      <c r="I86">
        <f t="shared" si="9"/>
        <v>-5.96992462263972</v>
      </c>
      <c r="J86">
        <f t="shared" si="10"/>
        <v>4.963869458396343</v>
      </c>
      <c r="K86">
        <f t="shared" si="11"/>
        <v>-4.963869458396343</v>
      </c>
      <c r="L86">
        <f t="shared" si="12"/>
        <v>3.954743986657038</v>
      </c>
      <c r="M86">
        <f t="shared" si="13"/>
        <v>-3.954743986657038</v>
      </c>
      <c r="N86">
        <f t="shared" si="14"/>
        <v>2.9393876913398138</v>
      </c>
      <c r="O86">
        <f t="shared" si="15"/>
        <v>-2.9393876913398138</v>
      </c>
      <c r="P86">
        <f t="shared" si="18"/>
        <v>1.9078784028338913</v>
      </c>
      <c r="Q86">
        <f t="shared" si="19"/>
        <v>-1.9078784028338913</v>
      </c>
      <c r="R86">
        <f t="shared" si="22"/>
        <v>0.8</v>
      </c>
      <c r="S86">
        <f t="shared" si="23"/>
        <v>-0.8</v>
      </c>
      <c r="U86" s="94">
        <v>9</v>
      </c>
      <c r="V86" s="94">
        <v>0</v>
      </c>
      <c r="W86" s="94">
        <f t="shared" ref="W86:W104" si="26">+U86*COS(RADIANS(V86))</f>
        <v>9</v>
      </c>
      <c r="X86" s="94">
        <f t="shared" ref="X86:X104" si="27">+U86*SIN(RADIANS(V86))</f>
        <v>0</v>
      </c>
      <c r="Y86" s="94">
        <v>9</v>
      </c>
      <c r="Z86" s="94">
        <v>180</v>
      </c>
      <c r="AA86" s="94">
        <f t="shared" ref="AA86:AA104" si="28">+Y86*COS(RADIANS(Z86))</f>
        <v>-9</v>
      </c>
      <c r="AB86" s="94">
        <f t="shared" ref="AB86:AB104" si="29">+Y86*SIN(RADIANS(Z86))</f>
        <v>1.102633609417758E-15</v>
      </c>
      <c r="AO86" s="317" t="s">
        <v>90</v>
      </c>
      <c r="AP86" s="315"/>
      <c r="AQ86" s="315"/>
      <c r="AR86" s="315"/>
      <c r="AT86" s="319" t="s">
        <v>89</v>
      </c>
      <c r="AU86" s="319"/>
      <c r="AV86" s="319" t="s">
        <v>42</v>
      </c>
      <c r="AW86" s="319" t="s">
        <v>43</v>
      </c>
      <c r="AZ86" s="317" t="s">
        <v>90</v>
      </c>
      <c r="BA86" s="315"/>
      <c r="BB86" s="315"/>
      <c r="BC86" s="315"/>
      <c r="BE86" s="319" t="s">
        <v>89</v>
      </c>
      <c r="BF86" s="319"/>
      <c r="BG86" s="319" t="s">
        <v>42</v>
      </c>
      <c r="BH86" s="319" t="s">
        <v>43</v>
      </c>
      <c r="BK86" s="317" t="s">
        <v>90</v>
      </c>
      <c r="BL86" s="315"/>
      <c r="BM86" s="315"/>
      <c r="BN86" s="315"/>
      <c r="BP86" s="319" t="s">
        <v>89</v>
      </c>
      <c r="BQ86" s="319"/>
      <c r="BR86" s="319" t="s">
        <v>42</v>
      </c>
      <c r="BS86" s="319" t="s">
        <v>43</v>
      </c>
      <c r="BV86" s="317" t="s">
        <v>90</v>
      </c>
      <c r="BW86" s="315"/>
      <c r="BX86" s="315"/>
      <c r="BY86" s="315"/>
      <c r="CA86" s="319" t="s">
        <v>89</v>
      </c>
      <c r="CB86" s="319"/>
      <c r="CC86" s="319" t="s">
        <v>42</v>
      </c>
      <c r="CD86" s="319" t="s">
        <v>43</v>
      </c>
      <c r="CG86" s="317" t="s">
        <v>90</v>
      </c>
      <c r="CH86" s="315"/>
      <c r="CI86" s="315"/>
      <c r="CJ86" s="315"/>
      <c r="CL86" s="319" t="s">
        <v>89</v>
      </c>
      <c r="CM86" s="319"/>
      <c r="CN86" s="319" t="s">
        <v>42</v>
      </c>
      <c r="CO86" s="319" t="s">
        <v>43</v>
      </c>
      <c r="CR86" s="317" t="s">
        <v>90</v>
      </c>
      <c r="CS86" s="315"/>
      <c r="CT86" s="315"/>
      <c r="CU86" s="315"/>
      <c r="CW86" s="319" t="s">
        <v>89</v>
      </c>
      <c r="CX86" s="319"/>
      <c r="CY86" s="319" t="s">
        <v>42</v>
      </c>
      <c r="CZ86" s="319" t="s">
        <v>43</v>
      </c>
      <c r="DC86" s="317" t="s">
        <v>90</v>
      </c>
      <c r="DD86" s="315"/>
      <c r="DE86" s="315"/>
      <c r="DF86" s="315"/>
      <c r="DH86" s="319" t="s">
        <v>89</v>
      </c>
      <c r="DI86" s="319"/>
      <c r="DJ86" s="319" t="s">
        <v>42</v>
      </c>
      <c r="DK86" s="319" t="s">
        <v>43</v>
      </c>
    </row>
    <row r="87" spans="1:116" x14ac:dyDescent="0.25">
      <c r="A87">
        <v>0.5</v>
      </c>
      <c r="B87">
        <f t="shared" si="16"/>
        <v>8.9861003778057142</v>
      </c>
      <c r="C87">
        <f t="shared" si="17"/>
        <v>-8.9861003778057142</v>
      </c>
      <c r="D87">
        <f t="shared" si="20"/>
        <v>7.9843597113356557</v>
      </c>
      <c r="E87">
        <f t="shared" si="21"/>
        <v>-7.9843597113356557</v>
      </c>
      <c r="F87">
        <f t="shared" si="24"/>
        <v>6.9821200218844703</v>
      </c>
      <c r="G87">
        <f t="shared" si="25"/>
        <v>-6.9821200218844703</v>
      </c>
      <c r="H87">
        <f t="shared" si="8"/>
        <v>5.9791303715506992</v>
      </c>
      <c r="I87">
        <f t="shared" si="9"/>
        <v>-5.9791303715506992</v>
      </c>
      <c r="J87">
        <f t="shared" si="10"/>
        <v>4.9749371855330997</v>
      </c>
      <c r="K87">
        <f t="shared" si="11"/>
        <v>-4.9749371855330997</v>
      </c>
      <c r="L87">
        <f t="shared" si="12"/>
        <v>3.9686269665968861</v>
      </c>
      <c r="M87">
        <f t="shared" si="13"/>
        <v>-3.9686269665968861</v>
      </c>
      <c r="N87">
        <f t="shared" si="14"/>
        <v>2.9580398915498081</v>
      </c>
      <c r="O87">
        <f t="shared" si="15"/>
        <v>-2.9580398915498081</v>
      </c>
      <c r="P87">
        <f t="shared" si="18"/>
        <v>1.9364916731037085</v>
      </c>
      <c r="Q87">
        <f t="shared" si="19"/>
        <v>-1.9364916731037085</v>
      </c>
      <c r="R87">
        <f t="shared" si="22"/>
        <v>0.8660254037844386</v>
      </c>
      <c r="S87">
        <f t="shared" si="23"/>
        <v>-0.8660254037844386</v>
      </c>
      <c r="U87" s="94">
        <v>9</v>
      </c>
      <c r="V87" s="94">
        <v>10</v>
      </c>
      <c r="W87" s="94">
        <f t="shared" si="26"/>
        <v>8.8632697771098723</v>
      </c>
      <c r="X87" s="94">
        <f t="shared" si="27"/>
        <v>1.562833599002373</v>
      </c>
      <c r="Y87" s="94">
        <v>9</v>
      </c>
      <c r="Z87" s="94">
        <v>190</v>
      </c>
      <c r="AA87" s="94">
        <f t="shared" si="28"/>
        <v>-8.8632697771098723</v>
      </c>
      <c r="AB87" s="94">
        <f t="shared" si="29"/>
        <v>-1.5628335990023743</v>
      </c>
      <c r="AO87" s="318"/>
      <c r="AP87" s="315"/>
      <c r="AQ87" s="315"/>
      <c r="AR87" s="315"/>
      <c r="AT87" s="319"/>
      <c r="AU87" s="319"/>
      <c r="AV87" s="319"/>
      <c r="AW87" s="319"/>
      <c r="AZ87" s="318"/>
      <c r="BA87" s="315"/>
      <c r="BB87" s="315"/>
      <c r="BC87" s="315"/>
      <c r="BE87" s="319"/>
      <c r="BF87" s="319"/>
      <c r="BG87" s="319"/>
      <c r="BH87" s="319"/>
      <c r="BK87" s="318"/>
      <c r="BL87" s="315"/>
      <c r="BM87" s="315"/>
      <c r="BN87" s="315"/>
      <c r="BP87" s="319"/>
      <c r="BQ87" s="319"/>
      <c r="BR87" s="319"/>
      <c r="BS87" s="319"/>
      <c r="BV87" s="318"/>
      <c r="BW87" s="315"/>
      <c r="BX87" s="315"/>
      <c r="BY87" s="315"/>
      <c r="CA87" s="319"/>
      <c r="CB87" s="319"/>
      <c r="CC87" s="319"/>
      <c r="CD87" s="319"/>
      <c r="CG87" s="318"/>
      <c r="CH87" s="315"/>
      <c r="CI87" s="315"/>
      <c r="CJ87" s="315"/>
      <c r="CL87" s="319"/>
      <c r="CM87" s="319"/>
      <c r="CN87" s="319"/>
      <c r="CO87" s="319"/>
      <c r="CR87" s="318"/>
      <c r="CS87" s="315"/>
      <c r="CT87" s="315"/>
      <c r="CU87" s="315"/>
      <c r="CW87" s="319"/>
      <c r="CX87" s="319"/>
      <c r="CY87" s="319"/>
      <c r="CZ87" s="319"/>
      <c r="DC87" s="318"/>
      <c r="DD87" s="315"/>
      <c r="DE87" s="315"/>
      <c r="DF87" s="315"/>
      <c r="DH87" s="319"/>
      <c r="DI87" s="319"/>
      <c r="DJ87" s="319"/>
      <c r="DK87" s="319"/>
    </row>
    <row r="88" spans="1:116" x14ac:dyDescent="0.25">
      <c r="A88">
        <v>0.4</v>
      </c>
      <c r="B88">
        <f t="shared" si="16"/>
        <v>8.9911067171956098</v>
      </c>
      <c r="C88">
        <f t="shared" si="17"/>
        <v>-8.9911067171956098</v>
      </c>
      <c r="D88">
        <f t="shared" si="20"/>
        <v>7.9899937421752716</v>
      </c>
      <c r="E88">
        <f t="shared" si="21"/>
        <v>-7.9899937421752716</v>
      </c>
      <c r="F88">
        <f t="shared" si="24"/>
        <v>6.9885620838624591</v>
      </c>
      <c r="G88">
        <f t="shared" si="25"/>
        <v>-6.9885620838624591</v>
      </c>
      <c r="H88">
        <f t="shared" si="8"/>
        <v>5.9866518188383067</v>
      </c>
      <c r="I88">
        <f t="shared" si="9"/>
        <v>-5.9866518188383067</v>
      </c>
      <c r="J88">
        <f t="shared" si="10"/>
        <v>4.9839743177508451</v>
      </c>
      <c r="K88">
        <f t="shared" si="11"/>
        <v>-4.9839743177508451</v>
      </c>
      <c r="L88">
        <f t="shared" si="12"/>
        <v>3.9799497484264799</v>
      </c>
      <c r="M88">
        <f t="shared" si="13"/>
        <v>-3.9799497484264799</v>
      </c>
      <c r="N88">
        <f t="shared" si="14"/>
        <v>2.9732137494637012</v>
      </c>
      <c r="O88">
        <f t="shared" si="15"/>
        <v>-2.9732137494637012</v>
      </c>
      <c r="P88">
        <f t="shared" si="18"/>
        <v>1.9595917942265424</v>
      </c>
      <c r="Q88">
        <f t="shared" si="19"/>
        <v>-1.9595917942265424</v>
      </c>
      <c r="R88">
        <f t="shared" si="22"/>
        <v>0.91651513899116799</v>
      </c>
      <c r="S88">
        <f t="shared" si="23"/>
        <v>-0.91651513899116799</v>
      </c>
      <c r="U88" s="94">
        <v>9</v>
      </c>
      <c r="V88" s="94">
        <v>20</v>
      </c>
      <c r="W88" s="94">
        <f t="shared" si="26"/>
        <v>8.4572335870731763</v>
      </c>
      <c r="X88" s="94">
        <f t="shared" si="27"/>
        <v>3.0781812899310186</v>
      </c>
      <c r="Y88" s="94">
        <v>9</v>
      </c>
      <c r="Z88" s="94">
        <v>200</v>
      </c>
      <c r="AA88" s="94">
        <f t="shared" si="28"/>
        <v>-8.4572335870731763</v>
      </c>
      <c r="AB88" s="94">
        <f t="shared" si="29"/>
        <v>-3.0781812899310177</v>
      </c>
      <c r="AO88" s="39">
        <v>4.1666666666666664E-2</v>
      </c>
      <c r="AP88" s="38">
        <v>165</v>
      </c>
      <c r="AQ88" s="38">
        <f t="shared" ref="AQ88:AQ112" si="30">+DEGREES(ASIN(COS(RADIANS($AR$85))*COS(RADIANS($AQ$85))*COS(RADIANS(AP88))+SIN(RADIANS($AR$85))*SIN(RADIANS($AQ$85))))</f>
        <v>-74.799808157740955</v>
      </c>
      <c r="AR88" s="38">
        <f t="shared" ref="AR88:AR98" si="31">180-DEGREES(ACOS((((SIN(RADIANS(AQ88)))*SIN(RADIANS($AR$85)))-SIN(RADIANS($AQ$85)))/((COS(RADIANS(AQ88)))*COS(RADIANS($AR$85)))))</f>
        <v>66.142990846489056</v>
      </c>
      <c r="AT88">
        <f t="shared" ref="AT88:AT112" si="32">IF((9-(AQ88/10))&gt;9,9,9-(AQ88/10))</f>
        <v>9</v>
      </c>
      <c r="AU88">
        <f t="shared" ref="AU88:AU99" si="33">IF((9-(AQ88/10))&gt;9,90-(180-DEGREES(ACOS((((SIN(RADIANS(0)))*SIN(RADIANS($AR$85)))-SIN(RADIANS($AQ$85)))/((COS(RADIANS(0)))*COS(RADIANS($AR$85)))))),90-AR88)</f>
        <v>-25.507835170931543</v>
      </c>
      <c r="AV88" s="94">
        <f t="shared" ref="AV88:AV112" si="34">+AT88*COS(RADIANS(AU88))</f>
        <v>8.1227376334839256</v>
      </c>
      <c r="AW88" s="94">
        <f t="shared" ref="AW88:AW112" si="35">+AT88*SIN(RADIANS(AU88))</f>
        <v>-3.875710688065344</v>
      </c>
      <c r="AX88" s="39">
        <v>4.1666666666666699E-2</v>
      </c>
      <c r="AZ88" s="39">
        <v>4.1666666666666699E-2</v>
      </c>
      <c r="BA88" s="38">
        <v>165</v>
      </c>
      <c r="BB88" s="38">
        <f t="shared" ref="BB88:BB112" si="36">+DEGREES(ASIN(COS(RADIANS($BC$85))*COS(RADIANS($BB$85))*COS(RADIANS(BA88))+SIN(RADIANS($BC$85))*SIN(RADIANS($BB$85))))</f>
        <v>-70.521354044474833</v>
      </c>
      <c r="BC88" s="38">
        <f t="shared" ref="BC88:BC98" si="37">180-DEGREES(ACOS((((SIN(RADIANS(BB88)))*SIN(RADIANS($BC$85)))-SIN(RADIANS($BB$85)))/((COS(RADIANS(BB88)))*COS(RADIANS($BC$85)))))</f>
        <v>48.455073660614858</v>
      </c>
      <c r="BE88">
        <f t="shared" ref="BE88:BE112" si="38">IF((9-(BB88/10))&gt;9,9,9-(BB88/10))</f>
        <v>9</v>
      </c>
      <c r="BF88">
        <f t="shared" ref="BF88:BF99" si="39">IF((9-(BB88/10))&gt;9,90-(180-DEGREES(ACOS((((SIN(RADIANS(0)))*SIN(RADIANS($BC$85)))-SIN(RADIANS($BB$85)))/((COS(RADIANS(0)))*COS(RADIANS($BC$85)))))),90-BC88)</f>
        <v>-17.647241368814264</v>
      </c>
      <c r="BG88" s="94">
        <f t="shared" ref="BG88:BG112" si="40">+BE88*COS(RADIANS(BF88))</f>
        <v>8.5764693111567532</v>
      </c>
      <c r="BH88" s="94">
        <f t="shared" ref="BH88:BH112" si="41">+BE88*SIN(RADIANS(BF88))</f>
        <v>-2.7284013918018717</v>
      </c>
      <c r="BI88" s="39">
        <v>4.1666666666666699E-2</v>
      </c>
      <c r="BK88" s="39">
        <v>4.1666666666666699E-2</v>
      </c>
      <c r="BL88" s="38">
        <v>165</v>
      </c>
      <c r="BM88" s="38">
        <f t="shared" ref="BM88:BM112" si="42">+DEGREES(ASIN(COS(RADIANS($BN$85))*COS(RADIANS($BM$85))*COS(RADIANS(BL88))+SIN(RADIANS($BN$85))*SIN(RADIANS($BM$85))))</f>
        <v>-61.35498544459201</v>
      </c>
      <c r="BN88" s="38">
        <f t="shared" ref="BN88:BN98" si="43">180-DEGREES(ACOS((((SIN(RADIANS(BM88)))*SIN(RADIANS($BN$85)))-SIN(RADIANS($BM$85)))/((COS(RADIANS(BM88)))*COS(RADIANS($BN$85)))))</f>
        <v>32.577599509616022</v>
      </c>
      <c r="BP88">
        <f t="shared" ref="BP88:BP112" si="44">IF((9-(BM88/10))&gt;9,9,9-(BM88/10))</f>
        <v>9</v>
      </c>
      <c r="BQ88">
        <f t="shared" ref="BQ88:BQ99" si="45">IF((9-(BM88/10))&gt;9,90-(180-DEGREES(ACOS((((SIN(RADIANS(0)))*SIN(RADIANS($BN$85)))-SIN(RADIANS($BM$85)))/((COS(RADIANS(0)))*COS(RADIANS($BN$85)))))),90-BN88)</f>
        <v>-4.8249271807271157</v>
      </c>
      <c r="BR88" s="94">
        <f t="shared" ref="BR88:BR93" si="46">IF(BP88&gt;9,BR89,BP88*COS(RADIANS(BQ88)))</f>
        <v>8.9681072395106511</v>
      </c>
      <c r="BS88" s="94">
        <f t="shared" ref="BS88:BS93" si="47">IF(BP88&gt;9,BS89,BP88*SIN(RADIANS(BQ88)))</f>
        <v>-0.75700233859390886</v>
      </c>
      <c r="BT88" s="39">
        <v>4.1666666666666699E-2</v>
      </c>
      <c r="BV88" s="39">
        <v>4.1666666666666699E-2</v>
      </c>
      <c r="BW88" s="38">
        <v>165</v>
      </c>
      <c r="BX88" s="38">
        <f t="shared" ref="BX88:BX112" si="48">+DEGREES(ASIN(COS(RADIANS($BY$85))*COS(RADIANS($BX$85))*COS(RADIANS(BW88))+SIN(RADIANS($BY$85))*SIN(RADIANS($BX$85))))</f>
        <v>-50.459462063736531</v>
      </c>
      <c r="BY88" s="38">
        <f t="shared" ref="BY88:BY98" si="49">180-DEGREES(ACOS((((SIN(RADIANS(BX88)))*SIN(RADIANS($BY$85)))-SIN(RADIANS($BX$85)))/((COS(RADIANS(BX88)))*COS(RADIANS($BY$85)))))</f>
        <v>23.757097991460768</v>
      </c>
      <c r="CA88">
        <f t="shared" ref="CA88:CA112" si="50">IF((9-(BX88/10))&gt;9,9,9-(BX88/10))</f>
        <v>9</v>
      </c>
      <c r="CB88">
        <f t="shared" ref="CB88:CB99" si="51">IF((9-(BX88/10))&gt;9,90-(180-DEGREES(ACOS((((SIN(RADIANS(0)))*SIN(RADIANS($BY$85)))-SIN(RADIANS($BX$85)))/((COS(RADIANS(0)))*COS(RADIANS($BY$85)))))),90-BY88)</f>
        <v>8.8471990874349302</v>
      </c>
      <c r="CC88" s="94">
        <f t="shared" ref="CC88:CC112" si="52">+CA88*COS(RADIANS(CB88))</f>
        <v>8.8929181760047449</v>
      </c>
      <c r="CD88" s="94">
        <f t="shared" ref="CD88:CD112" si="53">+CA88*SIN(RADIANS(CB88))</f>
        <v>1.3841987989029791</v>
      </c>
      <c r="CE88" s="39">
        <v>4.1666666666666699E-2</v>
      </c>
      <c r="CG88" s="39">
        <v>4.1666666666666699E-2</v>
      </c>
      <c r="CH88" s="38">
        <v>165</v>
      </c>
      <c r="CI88" s="38">
        <f t="shared" ref="CI88:CI112" si="54">+DEGREES(ASIN(COS(RADIANS($CJ$85))*COS(RADIANS($CI$85))*COS(RADIANS(CH88))+SIN(RADIANS($CJ$85))*SIN(RADIANS($CI$85))))</f>
        <v>-40.824938336382189</v>
      </c>
      <c r="CJ88" s="38">
        <f t="shared" ref="CJ88:CJ98" si="55">180-DEGREES(ACOS((((SIN(RADIANS(CI88)))*SIN(RADIANS($CJ$85)))-SIN(RADIANS($CI$85)))/((COS(RADIANS(CI88)))*COS(RADIANS($CJ$85)))))</f>
        <v>18.99291882687055</v>
      </c>
      <c r="CL88">
        <f t="shared" ref="CL88:CL112" si="56">IF((9-(CI88/10))&gt;9,9,9-(CI88/10))</f>
        <v>9</v>
      </c>
      <c r="CM88">
        <f t="shared" ref="CM88:CM99" si="57">IF((9-(CI88/10))&gt;9,90-(180-DEGREES(ACOS((((SIN(RADIANS(0)))*SIN(RADIANS($CJ$85)))-SIN(RADIANS($CI$85)))/((COS(RADIANS(0)))*COS(RADIANS($CJ$85)))))),90-CJ88)</f>
        <v>20.606056429660001</v>
      </c>
      <c r="CN88" s="94">
        <f t="shared" ref="CN88:CN112" si="58">+CL88*COS(RADIANS(CM88))</f>
        <v>8.4242010529375015</v>
      </c>
      <c r="CO88" s="94">
        <f t="shared" ref="CO88:CO112" si="59">+CL88*SIN(RADIANS(CM88))</f>
        <v>3.1674653304632527</v>
      </c>
      <c r="CP88" s="39">
        <v>4.1666666666666699E-2</v>
      </c>
      <c r="CR88" s="39">
        <v>4.1666666666666699E-2</v>
      </c>
      <c r="CS88" s="38">
        <v>165</v>
      </c>
      <c r="CT88" s="38">
        <f t="shared" ref="CT88:CT112" si="60">+DEGREES(ASIN(COS(RADIANS($CU$85))*COS(RADIANS($CT$85))*COS(RADIANS(CS88))+SIN(RADIANS($CU$85))*SIN(RADIANS($CT$85))))</f>
        <v>-35.839262725902358</v>
      </c>
      <c r="CU88" s="38">
        <f t="shared" ref="CU88:CU98" si="61">180-DEGREES(ACOS((((SIN(RADIANS(CT88)))*SIN(RADIANS($CU$85)))-SIN(RADIANS($CT$85)))/((COS(RADIANS(CT88)))*COS(RADIANS($CU$85)))))</f>
        <v>17.075115341073001</v>
      </c>
      <c r="CW88">
        <f t="shared" ref="CW88:CW112" si="62">IF((9-(CT88/10))&gt;9,9,9-(CT88/10))</f>
        <v>9</v>
      </c>
      <c r="CX88">
        <f t="shared" ref="CX88:CX99" si="63">IF((9-(CT88/10))&gt;9,90-(180-DEGREES(ACOS((((SIN(RADIANS(0)))*SIN(RADIANS($CU$85)))-SIN(RADIANS($CT$85)))/((COS(RADIANS(0)))*COS(RADIANS($CU$85)))))),90-CU88)</f>
        <v>26.699062702413926</v>
      </c>
      <c r="CY88" s="94">
        <f t="shared" ref="CY88:CY112" si="64">+CW88*COS(RADIANS(CX88))</f>
        <v>8.0404086472728373</v>
      </c>
      <c r="CZ88" s="94">
        <f t="shared" ref="CZ88:CZ112" si="65">+CW88*SIN(RADIANS(CX88))</f>
        <v>4.0437394556103836</v>
      </c>
      <c r="DA88" s="39">
        <v>4.1666666666666699E-2</v>
      </c>
      <c r="DC88" s="39">
        <v>4.1666666666666699E-2</v>
      </c>
      <c r="DD88" s="38">
        <v>165</v>
      </c>
      <c r="DE88" s="38">
        <f t="shared" ref="DE88:DE112" si="66">+DEGREES(ASIN(COS(RADIANS($DF$85))*COS(RADIANS($DE$85))*COS(RADIANS(DD88))+SIN(RADIANS($DF$85))*SIN(RADIANS($DE$85))))</f>
        <v>-75.43350470599799</v>
      </c>
      <c r="DF88" s="38">
        <f t="shared" ref="DF88:DF98" si="67">180-DEGREES(ACOS((((SIN(RADIANS(DE88)))*SIN(RADIANS($DF$85)))-SIN(RADIANS($DE$85)))/((COS(RADIANS(DE88)))*COS(RADIANS($DF$85)))))</f>
        <v>70.750931390631095</v>
      </c>
      <c r="DH88">
        <f t="shared" ref="DH88:DH112" si="68">IF((9-(DE88/10))&gt;9,9,9-(DE88/10))</f>
        <v>9</v>
      </c>
      <c r="DI88">
        <f t="shared" ref="DI88:DI99" si="69">IF((9-(DE88/10))&gt;9,90-(180-DEGREES(ACOS((((SIN(RADIANS(0)))*SIN(RADIANS($DF$85)))-SIN(RADIANS($DE$85)))/((COS(RADIANS(0)))*COS(RADIANS($DF$85)))))),90-DF88)</f>
        <v>-27.0871391084072</v>
      </c>
      <c r="DJ88" s="94">
        <f t="shared" ref="DJ88:DJ112" si="70">+DH88*COS(RADIANS(DI88))</f>
        <v>8.0128353242451471</v>
      </c>
      <c r="DK88" s="94">
        <f t="shared" ref="DK88:DK112" si="71">+DH88*SIN(RADIANS(DI88))</f>
        <v>-4.0981056680531269</v>
      </c>
      <c r="DL88" s="39">
        <v>4.1666666666666699E-2</v>
      </c>
    </row>
    <row r="89" spans="1:116" x14ac:dyDescent="0.25">
      <c r="A89">
        <v>0.3</v>
      </c>
      <c r="B89">
        <f t="shared" si="16"/>
        <v>8.9949986103389694</v>
      </c>
      <c r="C89">
        <f t="shared" si="17"/>
        <v>-8.9949986103389694</v>
      </c>
      <c r="D89">
        <f t="shared" si="20"/>
        <v>7.994373021069257</v>
      </c>
      <c r="E89">
        <f t="shared" si="21"/>
        <v>-7.994373021069257</v>
      </c>
      <c r="F89">
        <f t="shared" si="24"/>
        <v>6.9935684739623447</v>
      </c>
      <c r="G89">
        <f t="shared" si="25"/>
        <v>-6.9935684739623447</v>
      </c>
      <c r="H89">
        <f t="shared" si="8"/>
        <v>5.9924953066314535</v>
      </c>
      <c r="I89">
        <f t="shared" si="9"/>
        <v>-5.9924953066314535</v>
      </c>
      <c r="J89">
        <f t="shared" si="10"/>
        <v>4.9909918853871122</v>
      </c>
      <c r="K89">
        <f t="shared" si="11"/>
        <v>-4.9909918853871122</v>
      </c>
      <c r="L89">
        <f t="shared" si="12"/>
        <v>3.9887341350358261</v>
      </c>
      <c r="M89">
        <f t="shared" si="13"/>
        <v>-3.9887341350358261</v>
      </c>
      <c r="N89">
        <f t="shared" si="14"/>
        <v>2.98496231131986</v>
      </c>
      <c r="O89">
        <f t="shared" si="15"/>
        <v>-2.98496231131986</v>
      </c>
      <c r="P89">
        <f t="shared" si="18"/>
        <v>1.977371993328519</v>
      </c>
      <c r="Q89">
        <f t="shared" si="19"/>
        <v>-1.977371993328519</v>
      </c>
      <c r="R89">
        <f t="shared" si="22"/>
        <v>0.95393920141694566</v>
      </c>
      <c r="S89">
        <f t="shared" si="23"/>
        <v>-0.95393920141694566</v>
      </c>
      <c r="U89" s="94">
        <v>9</v>
      </c>
      <c r="V89" s="94">
        <v>30</v>
      </c>
      <c r="W89" s="94">
        <f t="shared" si="26"/>
        <v>7.794228634059948</v>
      </c>
      <c r="X89" s="94">
        <f t="shared" si="27"/>
        <v>4.4999999999999991</v>
      </c>
      <c r="Y89" s="94">
        <v>9</v>
      </c>
      <c r="Z89" s="94">
        <v>210</v>
      </c>
      <c r="AA89" s="94">
        <f t="shared" si="28"/>
        <v>-7.7942286340599471</v>
      </c>
      <c r="AB89" s="94">
        <f t="shared" si="29"/>
        <v>-4.5000000000000009</v>
      </c>
      <c r="AO89" s="39">
        <v>8.3333333333333301E-2</v>
      </c>
      <c r="AP89" s="38">
        <v>150</v>
      </c>
      <c r="AQ89" s="38">
        <f t="shared" si="30"/>
        <v>-62.144337795921587</v>
      </c>
      <c r="AR89" s="38">
        <f t="shared" si="31"/>
        <v>82.491026273418044</v>
      </c>
      <c r="AT89">
        <f t="shared" si="32"/>
        <v>9</v>
      </c>
      <c r="AU89">
        <f t="shared" si="33"/>
        <v>-25.507835170931543</v>
      </c>
      <c r="AV89" s="94">
        <f t="shared" si="34"/>
        <v>8.1227376334839256</v>
      </c>
      <c r="AW89" s="94">
        <f t="shared" si="35"/>
        <v>-3.875710688065344</v>
      </c>
      <c r="AX89" s="39">
        <v>8.3333333333333301E-2</v>
      </c>
      <c r="AZ89" s="39">
        <v>8.3333333333333301E-2</v>
      </c>
      <c r="BA89" s="38">
        <v>150</v>
      </c>
      <c r="BB89" s="38">
        <f t="shared" si="36"/>
        <v>-59.157361808562058</v>
      </c>
      <c r="BC89" s="38">
        <f t="shared" si="37"/>
        <v>70.120905705727807</v>
      </c>
      <c r="BE89">
        <f t="shared" si="38"/>
        <v>9</v>
      </c>
      <c r="BF89">
        <f t="shared" si="39"/>
        <v>-17.647241368814264</v>
      </c>
      <c r="BG89" s="94">
        <f t="shared" si="40"/>
        <v>8.5764693111567532</v>
      </c>
      <c r="BH89" s="94">
        <f t="shared" si="41"/>
        <v>-2.7284013918018717</v>
      </c>
      <c r="BI89" s="39">
        <v>8.3333333333333301E-2</v>
      </c>
      <c r="BK89" s="39">
        <v>8.3333333333333301E-2</v>
      </c>
      <c r="BL89" s="38">
        <v>150</v>
      </c>
      <c r="BM89" s="38">
        <f t="shared" si="42"/>
        <v>-52.235597230597229</v>
      </c>
      <c r="BN89" s="38">
        <f t="shared" si="43"/>
        <v>54.511264854904709</v>
      </c>
      <c r="BP89">
        <f t="shared" si="44"/>
        <v>9</v>
      </c>
      <c r="BQ89">
        <f t="shared" si="45"/>
        <v>-4.8249271807271157</v>
      </c>
      <c r="BR89" s="94">
        <f t="shared" si="46"/>
        <v>8.9681072395106511</v>
      </c>
      <c r="BS89" s="94">
        <f t="shared" si="47"/>
        <v>-0.75700233859390886</v>
      </c>
      <c r="BT89" s="39">
        <v>8.3333333333333301E-2</v>
      </c>
      <c r="BV89" s="39">
        <v>8.3333333333333301E-2</v>
      </c>
      <c r="BW89" s="38">
        <v>150</v>
      </c>
      <c r="BX89" s="38">
        <f t="shared" si="48"/>
        <v>-43.208830809241775</v>
      </c>
      <c r="BY89" s="38">
        <f t="shared" si="49"/>
        <v>42.826045557501772</v>
      </c>
      <c r="CA89">
        <f t="shared" si="50"/>
        <v>9</v>
      </c>
      <c r="CB89">
        <f t="shared" si="51"/>
        <v>8.8471990874349302</v>
      </c>
      <c r="CC89" s="94">
        <f t="shared" si="52"/>
        <v>8.8929181760047449</v>
      </c>
      <c r="CD89" s="94">
        <f t="shared" si="53"/>
        <v>1.3841987989029791</v>
      </c>
      <c r="CE89" s="39">
        <v>8.3333333333333301E-2</v>
      </c>
      <c r="CG89" s="39">
        <v>8.3333333333333301E-2</v>
      </c>
      <c r="CH89" s="38">
        <v>150</v>
      </c>
      <c r="CI89" s="38">
        <f t="shared" si="54"/>
        <v>-34.797322567809786</v>
      </c>
      <c r="CJ89" s="38">
        <f t="shared" si="55"/>
        <v>35.40599987896482</v>
      </c>
      <c r="CL89">
        <f t="shared" si="56"/>
        <v>9</v>
      </c>
      <c r="CM89">
        <f t="shared" si="57"/>
        <v>20.606056429660001</v>
      </c>
      <c r="CN89" s="94">
        <f t="shared" si="58"/>
        <v>8.4242010529375015</v>
      </c>
      <c r="CO89" s="94">
        <f t="shared" si="59"/>
        <v>3.1674653304632527</v>
      </c>
      <c r="CP89" s="39">
        <v>8.3333333333333301E-2</v>
      </c>
      <c r="CR89" s="39">
        <v>8.3333333333333301E-2</v>
      </c>
      <c r="CS89" s="38">
        <v>150</v>
      </c>
      <c r="CT89" s="38">
        <f t="shared" si="60"/>
        <v>-30.345862693789289</v>
      </c>
      <c r="CU89" s="38">
        <f t="shared" si="61"/>
        <v>32.197876165590202</v>
      </c>
      <c r="CW89">
        <f t="shared" si="62"/>
        <v>9</v>
      </c>
      <c r="CX89">
        <f t="shared" si="63"/>
        <v>26.699062702413926</v>
      </c>
      <c r="CY89" s="94">
        <f t="shared" si="64"/>
        <v>8.0404086472728373</v>
      </c>
      <c r="CZ89" s="94">
        <f t="shared" si="65"/>
        <v>4.0437394556103836</v>
      </c>
      <c r="DA89" s="39">
        <v>8.3333333333333301E-2</v>
      </c>
      <c r="DC89" s="39">
        <v>8.3333333333333301E-2</v>
      </c>
      <c r="DD89" s="38">
        <v>150</v>
      </c>
      <c r="DE89" s="38">
        <f t="shared" si="66"/>
        <v>-62.593106094089499</v>
      </c>
      <c r="DF89" s="38">
        <f t="shared" si="67"/>
        <v>85.218419971753733</v>
      </c>
      <c r="DH89">
        <f t="shared" si="68"/>
        <v>9</v>
      </c>
      <c r="DI89">
        <f t="shared" si="69"/>
        <v>-27.0871391084072</v>
      </c>
      <c r="DJ89" s="94">
        <f t="shared" si="70"/>
        <v>8.0128353242451471</v>
      </c>
      <c r="DK89" s="94">
        <f t="shared" si="71"/>
        <v>-4.0981056680531269</v>
      </c>
      <c r="DL89" s="39">
        <v>8.3333333333333301E-2</v>
      </c>
    </row>
    <row r="90" spans="1:116" x14ac:dyDescent="0.25">
      <c r="A90">
        <v>0.2</v>
      </c>
      <c r="B90">
        <f t="shared" si="16"/>
        <v>8.9977775033615934</v>
      </c>
      <c r="C90">
        <f t="shared" si="17"/>
        <v>-8.9977775033615934</v>
      </c>
      <c r="D90">
        <f t="shared" si="20"/>
        <v>7.9974996092528823</v>
      </c>
      <c r="E90">
        <f t="shared" si="21"/>
        <v>-7.9974996092528823</v>
      </c>
      <c r="F90">
        <f t="shared" si="24"/>
        <v>6.9971422738143607</v>
      </c>
      <c r="G90">
        <f t="shared" si="25"/>
        <v>-6.9971422738143607</v>
      </c>
      <c r="H90">
        <f t="shared" si="8"/>
        <v>5.9966657402259802</v>
      </c>
      <c r="I90">
        <f t="shared" si="9"/>
        <v>-5.9966657402259802</v>
      </c>
      <c r="J90">
        <f t="shared" si="10"/>
        <v>4.9959983987187186</v>
      </c>
      <c r="K90">
        <f t="shared" si="11"/>
        <v>-4.9959983987187186</v>
      </c>
      <c r="L90">
        <f t="shared" si="12"/>
        <v>3.9949968710876358</v>
      </c>
      <c r="M90">
        <f t="shared" si="13"/>
        <v>-3.9949968710876358</v>
      </c>
      <c r="N90">
        <f t="shared" si="14"/>
        <v>2.9933259094191533</v>
      </c>
      <c r="O90">
        <f t="shared" si="15"/>
        <v>-2.9933259094191533</v>
      </c>
      <c r="P90">
        <f t="shared" si="18"/>
        <v>1.9899748742132399</v>
      </c>
      <c r="Q90">
        <f t="shared" si="19"/>
        <v>-1.9899748742132399</v>
      </c>
      <c r="R90">
        <f t="shared" si="22"/>
        <v>0.9797958971132712</v>
      </c>
      <c r="S90">
        <f t="shared" si="23"/>
        <v>-0.9797958971132712</v>
      </c>
      <c r="U90" s="94">
        <v>9</v>
      </c>
      <c r="V90" s="94">
        <v>40</v>
      </c>
      <c r="W90" s="94">
        <f t="shared" si="26"/>
        <v>6.894399988070802</v>
      </c>
      <c r="X90" s="94">
        <f t="shared" si="27"/>
        <v>5.7850884871788537</v>
      </c>
      <c r="Y90" s="94">
        <v>9</v>
      </c>
      <c r="Z90" s="94">
        <v>220</v>
      </c>
      <c r="AA90" s="94">
        <f t="shared" si="28"/>
        <v>-6.894399988070802</v>
      </c>
      <c r="AB90" s="94">
        <f t="shared" si="29"/>
        <v>-5.7850884871788537</v>
      </c>
      <c r="AO90" s="39">
        <v>0.125</v>
      </c>
      <c r="AP90" s="38">
        <v>135</v>
      </c>
      <c r="AQ90" s="38">
        <f t="shared" si="30"/>
        <v>-49.064968267853097</v>
      </c>
      <c r="AR90" s="38">
        <f t="shared" si="31"/>
        <v>90.918245771275195</v>
      </c>
      <c r="AT90">
        <f t="shared" si="32"/>
        <v>9</v>
      </c>
      <c r="AU90">
        <f t="shared" si="33"/>
        <v>-25.507835170931543</v>
      </c>
      <c r="AV90" s="94">
        <f t="shared" si="34"/>
        <v>8.1227376334839256</v>
      </c>
      <c r="AW90" s="94">
        <f t="shared" si="35"/>
        <v>-3.875710688065344</v>
      </c>
      <c r="AX90" s="39">
        <v>0.125</v>
      </c>
      <c r="AZ90" s="39">
        <v>0.125</v>
      </c>
      <c r="BA90" s="38">
        <v>135</v>
      </c>
      <c r="BB90" s="38">
        <f t="shared" si="36"/>
        <v>-46.440244568188291</v>
      </c>
      <c r="BC90" s="38">
        <f t="shared" si="37"/>
        <v>81.668571166050128</v>
      </c>
      <c r="BE90">
        <f t="shared" si="38"/>
        <v>9</v>
      </c>
      <c r="BF90">
        <f t="shared" si="39"/>
        <v>-17.647241368814264</v>
      </c>
      <c r="BG90" s="94">
        <f t="shared" si="40"/>
        <v>8.5764693111567532</v>
      </c>
      <c r="BH90" s="94">
        <f t="shared" si="41"/>
        <v>-2.7284013918018717</v>
      </c>
      <c r="BI90" s="39">
        <v>0.125</v>
      </c>
      <c r="BK90" s="39">
        <v>0.125</v>
      </c>
      <c r="BL90" s="38">
        <v>135</v>
      </c>
      <c r="BM90" s="38">
        <f t="shared" si="42"/>
        <v>-40.69450913621494</v>
      </c>
      <c r="BN90" s="38">
        <f t="shared" si="43"/>
        <v>68.449359832966508</v>
      </c>
      <c r="BP90">
        <f t="shared" si="44"/>
        <v>9</v>
      </c>
      <c r="BQ90">
        <f t="shared" si="45"/>
        <v>-4.8249271807271157</v>
      </c>
      <c r="BR90" s="94">
        <f t="shared" si="46"/>
        <v>8.9681072395106511</v>
      </c>
      <c r="BS90" s="94">
        <f t="shared" si="47"/>
        <v>-0.75700233859390886</v>
      </c>
      <c r="BT90" s="39">
        <v>0.125</v>
      </c>
      <c r="BV90" s="39">
        <v>0.125</v>
      </c>
      <c r="BW90" s="38">
        <v>135</v>
      </c>
      <c r="BX90" s="38">
        <f t="shared" si="48"/>
        <v>-33.163778112116894</v>
      </c>
      <c r="BY90" s="38">
        <f t="shared" si="49"/>
        <v>56.828274835741524</v>
      </c>
      <c r="CA90">
        <f t="shared" si="50"/>
        <v>9</v>
      </c>
      <c r="CB90">
        <f t="shared" si="51"/>
        <v>8.8471990874349302</v>
      </c>
      <c r="CC90" s="94">
        <f t="shared" si="52"/>
        <v>8.8929181760047449</v>
      </c>
      <c r="CD90" s="94">
        <f t="shared" si="53"/>
        <v>1.3841987989029791</v>
      </c>
      <c r="CE90" s="39">
        <v>0.125</v>
      </c>
      <c r="CG90" s="39">
        <v>0.125</v>
      </c>
      <c r="CH90" s="38">
        <v>135</v>
      </c>
      <c r="CI90" s="38">
        <f t="shared" si="54"/>
        <v>-26.009630801153676</v>
      </c>
      <c r="CJ90" s="38">
        <f t="shared" si="55"/>
        <v>48.473747153771313</v>
      </c>
      <c r="CL90">
        <f t="shared" si="56"/>
        <v>9</v>
      </c>
      <c r="CM90">
        <f t="shared" si="57"/>
        <v>20.606056429660001</v>
      </c>
      <c r="CN90" s="94">
        <f t="shared" si="58"/>
        <v>8.4242010529375015</v>
      </c>
      <c r="CO90" s="94">
        <f t="shared" si="59"/>
        <v>3.1674653304632527</v>
      </c>
      <c r="CP90" s="39">
        <v>0.125</v>
      </c>
      <c r="CR90" s="39">
        <v>0.125</v>
      </c>
      <c r="CS90" s="38">
        <v>135</v>
      </c>
      <c r="CT90" s="38">
        <f t="shared" si="60"/>
        <v>-22.178173585837602</v>
      </c>
      <c r="CU90" s="38">
        <f t="shared" si="61"/>
        <v>44.609465486800445</v>
      </c>
      <c r="CW90">
        <f t="shared" si="62"/>
        <v>9</v>
      </c>
      <c r="CX90">
        <f t="shared" si="63"/>
        <v>26.699062702413926</v>
      </c>
      <c r="CY90" s="94">
        <f t="shared" si="64"/>
        <v>8.0404086472728373</v>
      </c>
      <c r="CZ90" s="94">
        <f t="shared" si="65"/>
        <v>4.0437394556103836</v>
      </c>
      <c r="DA90" s="39">
        <v>0.125</v>
      </c>
      <c r="DC90" s="39">
        <v>0.125</v>
      </c>
      <c r="DD90" s="38">
        <v>135</v>
      </c>
      <c r="DE90" s="38">
        <f t="shared" si="66"/>
        <v>-49.494624805188721</v>
      </c>
      <c r="DF90" s="38">
        <f t="shared" si="67"/>
        <v>92.867225270837807</v>
      </c>
      <c r="DH90">
        <f t="shared" si="68"/>
        <v>9</v>
      </c>
      <c r="DI90">
        <f t="shared" si="69"/>
        <v>-27.0871391084072</v>
      </c>
      <c r="DJ90" s="94">
        <f t="shared" si="70"/>
        <v>8.0128353242451471</v>
      </c>
      <c r="DK90" s="94">
        <f t="shared" si="71"/>
        <v>-4.0981056680531269</v>
      </c>
      <c r="DL90" s="39">
        <v>0.125</v>
      </c>
    </row>
    <row r="91" spans="1:116" x14ac:dyDescent="0.25">
      <c r="A91">
        <v>0.1</v>
      </c>
      <c r="B91">
        <f t="shared" si="16"/>
        <v>8.9994444272966092</v>
      </c>
      <c r="C91">
        <f t="shared" si="17"/>
        <v>-8.9994444272966092</v>
      </c>
      <c r="D91">
        <f t="shared" si="20"/>
        <v>7.99937497558403</v>
      </c>
      <c r="E91">
        <f t="shared" si="21"/>
        <v>-7.99937497558403</v>
      </c>
      <c r="F91">
        <f t="shared" si="24"/>
        <v>6.9992856778388468</v>
      </c>
      <c r="G91">
        <f t="shared" si="25"/>
        <v>-6.9992856778388468</v>
      </c>
      <c r="H91">
        <f t="shared" si="8"/>
        <v>5.9991666087882578</v>
      </c>
      <c r="I91">
        <f t="shared" si="9"/>
        <v>-5.9991666087882578</v>
      </c>
      <c r="J91">
        <f t="shared" si="10"/>
        <v>4.9989998999799949</v>
      </c>
      <c r="K91">
        <f t="shared" si="11"/>
        <v>-4.9989998999799949</v>
      </c>
      <c r="L91">
        <f t="shared" si="12"/>
        <v>3.9987498046264411</v>
      </c>
      <c r="M91">
        <f t="shared" si="13"/>
        <v>-3.9987498046264411</v>
      </c>
      <c r="N91">
        <f t="shared" si="14"/>
        <v>2.9983328701129901</v>
      </c>
      <c r="O91">
        <f t="shared" si="15"/>
        <v>-2.9983328701129901</v>
      </c>
      <c r="P91">
        <f t="shared" si="18"/>
        <v>1.9974984355438179</v>
      </c>
      <c r="Q91">
        <f t="shared" si="19"/>
        <v>-1.9974984355438179</v>
      </c>
      <c r="R91">
        <f t="shared" si="22"/>
        <v>0.99498743710661997</v>
      </c>
      <c r="S91">
        <f t="shared" si="23"/>
        <v>-0.99498743710661997</v>
      </c>
      <c r="U91" s="94">
        <v>9</v>
      </c>
      <c r="V91" s="94">
        <v>50</v>
      </c>
      <c r="W91" s="94">
        <f t="shared" si="26"/>
        <v>5.7850884871788546</v>
      </c>
      <c r="X91" s="94">
        <f t="shared" si="27"/>
        <v>6.894399988070802</v>
      </c>
      <c r="Y91" s="94">
        <v>9</v>
      </c>
      <c r="Z91" s="94">
        <v>230</v>
      </c>
      <c r="AA91" s="94">
        <f t="shared" si="28"/>
        <v>-5.7850884871788555</v>
      </c>
      <c r="AB91" s="94">
        <f t="shared" si="29"/>
        <v>-6.8943999880708011</v>
      </c>
      <c r="AO91" s="39">
        <v>0.16666666666666699</v>
      </c>
      <c r="AP91" s="38">
        <v>120</v>
      </c>
      <c r="AQ91" s="38">
        <f t="shared" si="30"/>
        <v>-35.998295445076977</v>
      </c>
      <c r="AR91" s="38">
        <f t="shared" si="31"/>
        <v>97.368538589092722</v>
      </c>
      <c r="AT91">
        <f t="shared" si="32"/>
        <v>9</v>
      </c>
      <c r="AU91">
        <f t="shared" si="33"/>
        <v>-25.507835170931543</v>
      </c>
      <c r="AV91" s="94">
        <f t="shared" si="34"/>
        <v>8.1227376334839256</v>
      </c>
      <c r="AW91" s="94">
        <f t="shared" si="35"/>
        <v>-3.875710688065344</v>
      </c>
      <c r="AX91" s="39">
        <v>0.16666666666666699</v>
      </c>
      <c r="AZ91" s="39">
        <v>0.16666666666666699</v>
      </c>
      <c r="BA91" s="38">
        <v>120</v>
      </c>
      <c r="BB91" s="38">
        <f t="shared" si="36"/>
        <v>-33.375576800263644</v>
      </c>
      <c r="BC91" s="38">
        <f t="shared" si="37"/>
        <v>89.808687161128702</v>
      </c>
      <c r="BE91">
        <f t="shared" si="38"/>
        <v>9</v>
      </c>
      <c r="BF91">
        <f t="shared" si="39"/>
        <v>-17.647241368814264</v>
      </c>
      <c r="BG91" s="94">
        <f t="shared" si="40"/>
        <v>8.5764693111567532</v>
      </c>
      <c r="BH91" s="94">
        <f t="shared" si="41"/>
        <v>-2.7284013918018717</v>
      </c>
      <c r="BI91" s="39">
        <v>0.16666666666666699</v>
      </c>
      <c r="BK91" s="39">
        <v>0.16666666666666699</v>
      </c>
      <c r="BL91" s="38">
        <v>120</v>
      </c>
      <c r="BM91" s="38">
        <f t="shared" si="42"/>
        <v>-28.132756376775866</v>
      </c>
      <c r="BN91" s="38">
        <f t="shared" si="43"/>
        <v>78.347362563772293</v>
      </c>
      <c r="BP91">
        <f t="shared" si="44"/>
        <v>9</v>
      </c>
      <c r="BQ91">
        <f t="shared" si="45"/>
        <v>-4.8249271807271157</v>
      </c>
      <c r="BR91" s="94">
        <f t="shared" si="46"/>
        <v>8.9681072395106511</v>
      </c>
      <c r="BS91" s="94">
        <f t="shared" si="47"/>
        <v>-0.75700233859390886</v>
      </c>
      <c r="BT91" s="39">
        <v>0.16666666666666699</v>
      </c>
      <c r="BV91" s="39">
        <v>0.16666666666666699</v>
      </c>
      <c r="BW91" s="38">
        <v>120</v>
      </c>
      <c r="BX91" s="38">
        <f t="shared" si="48"/>
        <v>-21.572441130326556</v>
      </c>
      <c r="BY91" s="38">
        <f t="shared" si="49"/>
        <v>67.339818015101898</v>
      </c>
      <c r="CA91">
        <f t="shared" si="50"/>
        <v>9</v>
      </c>
      <c r="CB91">
        <f t="shared" si="51"/>
        <v>8.8471990874349302</v>
      </c>
      <c r="CC91" s="94">
        <f t="shared" si="52"/>
        <v>8.8929181760047449</v>
      </c>
      <c r="CD91" s="94">
        <f t="shared" si="53"/>
        <v>1.3841987989029791</v>
      </c>
      <c r="CE91" s="39">
        <v>0.16666666666666699</v>
      </c>
      <c r="CG91" s="39">
        <v>0.16666666666666699</v>
      </c>
      <c r="CH91" s="38">
        <v>120</v>
      </c>
      <c r="CI91" s="38">
        <f t="shared" si="54"/>
        <v>-15.444041296492092</v>
      </c>
      <c r="CJ91" s="38">
        <f t="shared" si="55"/>
        <v>58.750204484754804</v>
      </c>
      <c r="CL91">
        <f t="shared" si="56"/>
        <v>9</v>
      </c>
      <c r="CM91">
        <f t="shared" si="57"/>
        <v>20.606056429660001</v>
      </c>
      <c r="CN91" s="94">
        <f t="shared" si="58"/>
        <v>8.4242010529375015</v>
      </c>
      <c r="CO91" s="94">
        <f t="shared" si="59"/>
        <v>3.1674653304632527</v>
      </c>
      <c r="CP91" s="39">
        <v>0.16666666666666699</v>
      </c>
      <c r="CR91" s="39">
        <v>0.16666666666666699</v>
      </c>
      <c r="CS91" s="38">
        <v>120</v>
      </c>
      <c r="CT91" s="38">
        <f t="shared" si="60"/>
        <v>-12.182509074452025</v>
      </c>
      <c r="CU91" s="38">
        <f t="shared" si="61"/>
        <v>54.569235210579663</v>
      </c>
      <c r="CW91">
        <f t="shared" si="62"/>
        <v>9</v>
      </c>
      <c r="CX91">
        <f t="shared" si="63"/>
        <v>26.699062702413926</v>
      </c>
      <c r="CY91" s="94">
        <f t="shared" si="64"/>
        <v>8.0404086472728373</v>
      </c>
      <c r="CZ91" s="94">
        <f t="shared" si="65"/>
        <v>4.0437394556103836</v>
      </c>
      <c r="DA91" s="39">
        <v>0.16666666666666699</v>
      </c>
      <c r="DC91" s="39">
        <v>0.16666666666666699</v>
      </c>
      <c r="DD91" s="38">
        <v>120</v>
      </c>
      <c r="DE91" s="38">
        <f t="shared" si="66"/>
        <v>-36.462362723804368</v>
      </c>
      <c r="DF91" s="38">
        <f t="shared" si="67"/>
        <v>98.929650560124273</v>
      </c>
      <c r="DH91">
        <f t="shared" si="68"/>
        <v>9</v>
      </c>
      <c r="DI91">
        <f t="shared" si="69"/>
        <v>-27.0871391084072</v>
      </c>
      <c r="DJ91" s="94">
        <f t="shared" si="70"/>
        <v>8.0128353242451471</v>
      </c>
      <c r="DK91" s="94">
        <f t="shared" si="71"/>
        <v>-4.0981056680531269</v>
      </c>
      <c r="DL91" s="39">
        <v>0.16666666666666699</v>
      </c>
    </row>
    <row r="92" spans="1:116" x14ac:dyDescent="0.25">
      <c r="A92">
        <v>0</v>
      </c>
      <c r="B92">
        <f t="shared" si="16"/>
        <v>9</v>
      </c>
      <c r="C92">
        <f t="shared" si="17"/>
        <v>-9</v>
      </c>
      <c r="D92">
        <f t="shared" si="20"/>
        <v>8</v>
      </c>
      <c r="E92">
        <f t="shared" si="21"/>
        <v>-8</v>
      </c>
      <c r="F92">
        <f t="shared" si="24"/>
        <v>7</v>
      </c>
      <c r="G92">
        <f t="shared" si="25"/>
        <v>-7</v>
      </c>
      <c r="H92">
        <f t="shared" si="8"/>
        <v>6</v>
      </c>
      <c r="I92">
        <f t="shared" si="9"/>
        <v>-6</v>
      </c>
      <c r="J92">
        <f t="shared" si="10"/>
        <v>5</v>
      </c>
      <c r="K92">
        <f t="shared" si="11"/>
        <v>-5</v>
      </c>
      <c r="L92">
        <f t="shared" si="12"/>
        <v>4</v>
      </c>
      <c r="M92">
        <f t="shared" si="13"/>
        <v>-4</v>
      </c>
      <c r="N92">
        <f t="shared" si="14"/>
        <v>3</v>
      </c>
      <c r="O92">
        <f t="shared" si="15"/>
        <v>-3</v>
      </c>
      <c r="P92">
        <f t="shared" si="18"/>
        <v>2</v>
      </c>
      <c r="Q92">
        <f t="shared" si="19"/>
        <v>-2</v>
      </c>
      <c r="R92">
        <f t="shared" si="22"/>
        <v>1</v>
      </c>
      <c r="S92">
        <f t="shared" si="23"/>
        <v>-1</v>
      </c>
      <c r="U92" s="94">
        <v>9</v>
      </c>
      <c r="V92" s="94">
        <v>60</v>
      </c>
      <c r="W92" s="94">
        <f t="shared" si="26"/>
        <v>4.5000000000000009</v>
      </c>
      <c r="X92" s="94">
        <f t="shared" si="27"/>
        <v>7.7942286340599471</v>
      </c>
      <c r="Y92" s="94">
        <v>9</v>
      </c>
      <c r="Z92" s="94">
        <v>240</v>
      </c>
      <c r="AA92" s="94">
        <f t="shared" si="28"/>
        <v>-4.5000000000000036</v>
      </c>
      <c r="AB92" s="94">
        <f t="shared" si="29"/>
        <v>-7.7942286340599454</v>
      </c>
      <c r="AO92" s="39">
        <v>0.20833333333333334</v>
      </c>
      <c r="AP92" s="38">
        <v>105</v>
      </c>
      <c r="AQ92" s="38">
        <f t="shared" si="30"/>
        <v>-23.1088955047322</v>
      </c>
      <c r="AR92" s="38">
        <f t="shared" si="31"/>
        <v>103.34940436098259</v>
      </c>
      <c r="AT92">
        <f t="shared" si="32"/>
        <v>9</v>
      </c>
      <c r="AU92">
        <f t="shared" si="33"/>
        <v>-25.507835170931543</v>
      </c>
      <c r="AV92" s="94">
        <f t="shared" si="34"/>
        <v>8.1227376334839256</v>
      </c>
      <c r="AW92" s="94">
        <f t="shared" si="35"/>
        <v>-3.875710688065344</v>
      </c>
      <c r="AX92" s="39">
        <v>0.20833333333333334</v>
      </c>
      <c r="AZ92" s="39">
        <v>0.20833333333333334</v>
      </c>
      <c r="BA92" s="38">
        <v>105</v>
      </c>
      <c r="BB92" s="38">
        <f t="shared" si="36"/>
        <v>-20.296531863835749</v>
      </c>
      <c r="BC92" s="38">
        <f t="shared" si="37"/>
        <v>96.750275197271563</v>
      </c>
      <c r="BE92">
        <f t="shared" si="38"/>
        <v>9</v>
      </c>
      <c r="BF92">
        <f t="shared" si="39"/>
        <v>-17.647241368814264</v>
      </c>
      <c r="BG92" s="94">
        <f t="shared" si="40"/>
        <v>8.5764693111567532</v>
      </c>
      <c r="BH92" s="94">
        <f t="shared" si="41"/>
        <v>-2.7284013918018717</v>
      </c>
      <c r="BI92" s="39">
        <v>0.20833333333333334</v>
      </c>
      <c r="BK92" s="39">
        <v>0.20833333333333334</v>
      </c>
      <c r="BL92" s="38">
        <v>105</v>
      </c>
      <c r="BM92" s="38">
        <f t="shared" si="42"/>
        <v>-15.147701011627433</v>
      </c>
      <c r="BN92" s="38">
        <f t="shared" si="43"/>
        <v>86.364160707609329</v>
      </c>
      <c r="BP92">
        <f t="shared" si="44"/>
        <v>9</v>
      </c>
      <c r="BQ92">
        <f t="shared" si="45"/>
        <v>-4.8249271807271157</v>
      </c>
      <c r="BR92" s="94">
        <f t="shared" si="46"/>
        <v>8.9681072395106511</v>
      </c>
      <c r="BS92" s="94">
        <f t="shared" si="47"/>
        <v>-0.75700233859390886</v>
      </c>
      <c r="BT92" s="39">
        <v>0.20833333333333334</v>
      </c>
      <c r="BV92" s="39">
        <v>0.20833333333333334</v>
      </c>
      <c r="BW92" s="38">
        <v>105</v>
      </c>
      <c r="BX92" s="38">
        <f t="shared" si="48"/>
        <v>-9.1379383497118152</v>
      </c>
      <c r="BY92" s="38">
        <f t="shared" si="49"/>
        <v>75.804390510576525</v>
      </c>
      <c r="CA92">
        <f t="shared" si="50"/>
        <v>9</v>
      </c>
      <c r="CB92">
        <f t="shared" si="51"/>
        <v>8.8471990874349302</v>
      </c>
      <c r="CC92" s="94">
        <f t="shared" si="52"/>
        <v>8.8929181760047449</v>
      </c>
      <c r="CD92" s="94">
        <f t="shared" si="53"/>
        <v>1.3841987989029791</v>
      </c>
      <c r="CE92" s="39">
        <v>0.20833333333333334</v>
      </c>
      <c r="CG92" s="39">
        <v>0.20833333333333334</v>
      </c>
      <c r="CH92" s="38">
        <v>105</v>
      </c>
      <c r="CI92" s="38">
        <f t="shared" si="54"/>
        <v>-3.7691542744190856</v>
      </c>
      <c r="CJ92" s="38">
        <f t="shared" si="55"/>
        <v>67.086482293695084</v>
      </c>
      <c r="CL92">
        <f t="shared" si="56"/>
        <v>9</v>
      </c>
      <c r="CM92">
        <f t="shared" si="57"/>
        <v>20.606056429660001</v>
      </c>
      <c r="CN92" s="94">
        <f t="shared" si="58"/>
        <v>8.4242010529375015</v>
      </c>
      <c r="CO92" s="94">
        <f t="shared" si="59"/>
        <v>3.1674653304632527</v>
      </c>
      <c r="CP92" s="39">
        <v>0.20833333333333334</v>
      </c>
      <c r="CR92" s="39">
        <v>0.20833333333333334</v>
      </c>
      <c r="CS92" s="38">
        <v>105</v>
      </c>
      <c r="CT92" s="38">
        <f t="shared" si="60"/>
        <v>-0.98425873859118373</v>
      </c>
      <c r="CU92" s="38">
        <f t="shared" si="61"/>
        <v>62.682223313308867</v>
      </c>
      <c r="CW92">
        <f t="shared" si="62"/>
        <v>9</v>
      </c>
      <c r="CX92">
        <f t="shared" si="63"/>
        <v>26.699062702413926</v>
      </c>
      <c r="CY92" s="94">
        <f t="shared" si="64"/>
        <v>8.0404086472728373</v>
      </c>
      <c r="CZ92" s="94">
        <f t="shared" si="65"/>
        <v>4.0437394556103836</v>
      </c>
      <c r="DA92" s="39">
        <v>0.20833333333333334</v>
      </c>
      <c r="DC92" s="39">
        <v>0.20833333333333334</v>
      </c>
      <c r="DD92" s="38">
        <v>105</v>
      </c>
      <c r="DE92" s="38">
        <f t="shared" si="66"/>
        <v>-23.636004549359633</v>
      </c>
      <c r="DF92" s="38">
        <f t="shared" si="67"/>
        <v>104.69392403052011</v>
      </c>
      <c r="DH92">
        <f t="shared" si="68"/>
        <v>9</v>
      </c>
      <c r="DI92">
        <f t="shared" si="69"/>
        <v>-27.0871391084072</v>
      </c>
      <c r="DJ92" s="94">
        <f t="shared" si="70"/>
        <v>8.0128353242451471</v>
      </c>
      <c r="DK92" s="94">
        <f t="shared" si="71"/>
        <v>-4.0981056680531269</v>
      </c>
      <c r="DL92" s="39">
        <v>0.20833333333333334</v>
      </c>
    </row>
    <row r="93" spans="1:116" x14ac:dyDescent="0.25">
      <c r="A93">
        <v>-0.1</v>
      </c>
      <c r="B93">
        <f t="shared" si="16"/>
        <v>8.9994444272966092</v>
      </c>
      <c r="C93">
        <f t="shared" si="17"/>
        <v>-8.9994444272966092</v>
      </c>
      <c r="D93">
        <f t="shared" si="20"/>
        <v>7.99937497558403</v>
      </c>
      <c r="E93">
        <f t="shared" si="21"/>
        <v>-7.99937497558403</v>
      </c>
      <c r="F93">
        <f t="shared" si="24"/>
        <v>6.9992856778388468</v>
      </c>
      <c r="G93">
        <f t="shared" si="25"/>
        <v>-6.9992856778388468</v>
      </c>
      <c r="H93">
        <f t="shared" si="8"/>
        <v>5.9991666087882578</v>
      </c>
      <c r="I93">
        <f t="shared" si="9"/>
        <v>-5.9991666087882578</v>
      </c>
      <c r="J93">
        <f t="shared" si="10"/>
        <v>4.9989998999799949</v>
      </c>
      <c r="K93">
        <f t="shared" si="11"/>
        <v>-4.9989998999799949</v>
      </c>
      <c r="L93">
        <f t="shared" si="12"/>
        <v>3.9987498046264411</v>
      </c>
      <c r="M93">
        <f t="shared" si="13"/>
        <v>-3.9987498046264411</v>
      </c>
      <c r="N93">
        <f t="shared" si="14"/>
        <v>2.9983328701129901</v>
      </c>
      <c r="O93">
        <f t="shared" si="15"/>
        <v>-2.9983328701129901</v>
      </c>
      <c r="P93">
        <f t="shared" si="18"/>
        <v>1.9974984355438179</v>
      </c>
      <c r="Q93">
        <f t="shared" si="19"/>
        <v>-1.9974984355438179</v>
      </c>
      <c r="R93">
        <f t="shared" si="22"/>
        <v>0.99498743710661997</v>
      </c>
      <c r="S93">
        <f t="shared" si="23"/>
        <v>-0.99498743710661997</v>
      </c>
      <c r="U93" s="94">
        <v>9</v>
      </c>
      <c r="V93" s="94">
        <v>70</v>
      </c>
      <c r="W93" s="94">
        <f t="shared" si="26"/>
        <v>3.0781812899310195</v>
      </c>
      <c r="X93" s="94">
        <f t="shared" si="27"/>
        <v>8.4572335870731745</v>
      </c>
      <c r="Y93" s="94">
        <v>9</v>
      </c>
      <c r="Z93" s="94">
        <v>250</v>
      </c>
      <c r="AA93" s="94">
        <f t="shared" si="28"/>
        <v>-3.0781812899310168</v>
      </c>
      <c r="AB93" s="94">
        <f t="shared" si="29"/>
        <v>-8.4572335870731763</v>
      </c>
      <c r="AO93" s="39">
        <v>0.25</v>
      </c>
      <c r="AP93" s="38">
        <v>90</v>
      </c>
      <c r="AQ93" s="38">
        <f t="shared" si="30"/>
        <v>-10.539731181947333</v>
      </c>
      <c r="AR93" s="38">
        <f t="shared" si="31"/>
        <v>109.54530546833175</v>
      </c>
      <c r="AT93">
        <f t="shared" si="32"/>
        <v>9</v>
      </c>
      <c r="AU93">
        <f t="shared" si="33"/>
        <v>-25.507835170931543</v>
      </c>
      <c r="AV93" s="94">
        <f t="shared" si="34"/>
        <v>8.1227376334839256</v>
      </c>
      <c r="AW93" s="94">
        <f t="shared" si="35"/>
        <v>-3.875710688065344</v>
      </c>
      <c r="AX93" s="39">
        <v>0.25</v>
      </c>
      <c r="AZ93" s="39">
        <v>0.25</v>
      </c>
      <c r="BA93" s="38">
        <v>90</v>
      </c>
      <c r="BB93" s="38">
        <f t="shared" si="36"/>
        <v>-7.3984700881092289</v>
      </c>
      <c r="BC93" s="38">
        <f t="shared" si="37"/>
        <v>103.50242212020031</v>
      </c>
      <c r="BE93">
        <f t="shared" si="38"/>
        <v>9</v>
      </c>
      <c r="BF93">
        <f t="shared" si="39"/>
        <v>-17.647241368814264</v>
      </c>
      <c r="BG93" s="94">
        <f t="shared" si="40"/>
        <v>8.5764693111567532</v>
      </c>
      <c r="BH93" s="94">
        <f t="shared" si="41"/>
        <v>-2.7284013918018717</v>
      </c>
      <c r="BI93" s="39">
        <v>0.25</v>
      </c>
      <c r="BK93" s="39">
        <v>0.25</v>
      </c>
      <c r="BL93" s="38">
        <v>90</v>
      </c>
      <c r="BM93" s="38">
        <f t="shared" si="42"/>
        <v>-2.0474614986880884</v>
      </c>
      <c r="BN93" s="38">
        <f t="shared" si="43"/>
        <v>93.685695181080817</v>
      </c>
      <c r="BP93">
        <f t="shared" si="44"/>
        <v>9</v>
      </c>
      <c r="BQ93">
        <f t="shared" si="45"/>
        <v>-4.8249271807271157</v>
      </c>
      <c r="BR93" s="94">
        <f t="shared" si="46"/>
        <v>8.9681072395106511</v>
      </c>
      <c r="BS93" s="94">
        <f t="shared" si="47"/>
        <v>-0.75700233859390886</v>
      </c>
      <c r="BT93" s="39">
        <v>0.25</v>
      </c>
      <c r="BV93" s="39">
        <v>0.25</v>
      </c>
      <c r="BW93" s="38">
        <v>90</v>
      </c>
      <c r="BX93" s="38">
        <f t="shared" si="48"/>
        <v>3.7457083017543744</v>
      </c>
      <c r="BY93" s="38">
        <f t="shared" si="49"/>
        <v>83.239470999313269</v>
      </c>
      <c r="CA93">
        <f t="shared" si="50"/>
        <v>8.625429169824562</v>
      </c>
      <c r="CB93">
        <f t="shared" si="51"/>
        <v>6.7605290006867307</v>
      </c>
      <c r="CC93" s="94">
        <f t="shared" si="52"/>
        <v>8.5654551879976513</v>
      </c>
      <c r="CD93" s="94">
        <f t="shared" si="53"/>
        <v>1.0153845508301496</v>
      </c>
      <c r="CE93" s="39">
        <v>0.25</v>
      </c>
      <c r="CG93" s="39">
        <v>0.25</v>
      </c>
      <c r="CH93" s="38">
        <v>90</v>
      </c>
      <c r="CI93" s="38">
        <f t="shared" si="54"/>
        <v>8.5974359692729667</v>
      </c>
      <c r="CJ93" s="38">
        <f t="shared" si="55"/>
        <v>74.225135377203927</v>
      </c>
      <c r="CL93">
        <f t="shared" si="56"/>
        <v>8.1402564030727032</v>
      </c>
      <c r="CM93">
        <f t="shared" si="57"/>
        <v>15.774864622796073</v>
      </c>
      <c r="CN93" s="94">
        <f t="shared" si="58"/>
        <v>7.8336727666422483</v>
      </c>
      <c r="CO93" s="94">
        <f t="shared" si="59"/>
        <v>2.2129946436748824</v>
      </c>
      <c r="CP93" s="39">
        <v>0.25</v>
      </c>
      <c r="CR93" s="39">
        <v>0.25</v>
      </c>
      <c r="CS93" s="38">
        <v>90</v>
      </c>
      <c r="CT93" s="38">
        <f t="shared" si="60"/>
        <v>11.002251178794777</v>
      </c>
      <c r="CU93" s="38">
        <f t="shared" si="61"/>
        <v>69.537585435747644</v>
      </c>
      <c r="CW93">
        <f t="shared" si="62"/>
        <v>7.8997748821205223</v>
      </c>
      <c r="CX93">
        <f t="shared" si="63"/>
        <v>20.462414564252356</v>
      </c>
      <c r="CY93" s="94">
        <f t="shared" si="64"/>
        <v>7.4013126754456309</v>
      </c>
      <c r="CZ93" s="94">
        <f t="shared" si="65"/>
        <v>2.7617048843911882</v>
      </c>
      <c r="DA93" s="39">
        <v>0.25</v>
      </c>
      <c r="DC93" s="39">
        <v>0.25</v>
      </c>
      <c r="DD93" s="38">
        <v>90</v>
      </c>
      <c r="DE93" s="38">
        <f t="shared" si="66"/>
        <v>-11.15205496731916</v>
      </c>
      <c r="DF93" s="38">
        <f t="shared" si="67"/>
        <v>110.76123341972382</v>
      </c>
      <c r="DH93">
        <f t="shared" si="68"/>
        <v>9</v>
      </c>
      <c r="DI93">
        <f t="shared" si="69"/>
        <v>-27.0871391084072</v>
      </c>
      <c r="DJ93" s="94">
        <f t="shared" si="70"/>
        <v>8.0128353242451471</v>
      </c>
      <c r="DK93" s="94">
        <f t="shared" si="71"/>
        <v>-4.0981056680531269</v>
      </c>
      <c r="DL93" s="39">
        <v>0.25</v>
      </c>
    </row>
    <row r="94" spans="1:116" x14ac:dyDescent="0.25">
      <c r="A94">
        <v>-0.2</v>
      </c>
      <c r="B94">
        <f t="shared" si="16"/>
        <v>8.9977775033615934</v>
      </c>
      <c r="C94">
        <f t="shared" si="17"/>
        <v>-8.9977775033615934</v>
      </c>
      <c r="D94">
        <f t="shared" si="20"/>
        <v>7.9974996092528823</v>
      </c>
      <c r="E94">
        <f t="shared" si="21"/>
        <v>-7.9974996092528823</v>
      </c>
      <c r="F94">
        <f t="shared" si="24"/>
        <v>6.9971422738143607</v>
      </c>
      <c r="G94">
        <f t="shared" si="25"/>
        <v>-6.9971422738143607</v>
      </c>
      <c r="H94">
        <f t="shared" si="8"/>
        <v>5.9966657402259802</v>
      </c>
      <c r="I94">
        <f t="shared" si="9"/>
        <v>-5.9966657402259802</v>
      </c>
      <c r="J94">
        <f t="shared" si="10"/>
        <v>4.9959983987187186</v>
      </c>
      <c r="K94">
        <f t="shared" si="11"/>
        <v>-4.9959983987187186</v>
      </c>
      <c r="L94">
        <f t="shared" si="12"/>
        <v>3.9949968710876358</v>
      </c>
      <c r="M94">
        <f t="shared" si="13"/>
        <v>-3.9949968710876358</v>
      </c>
      <c r="N94">
        <f t="shared" si="14"/>
        <v>2.9933259094191533</v>
      </c>
      <c r="O94">
        <f t="shared" si="15"/>
        <v>-2.9933259094191533</v>
      </c>
      <c r="P94">
        <f t="shared" si="18"/>
        <v>1.9899748742132399</v>
      </c>
      <c r="Q94">
        <f t="shared" si="19"/>
        <v>-1.9899748742132399</v>
      </c>
      <c r="R94">
        <f t="shared" si="22"/>
        <v>0.9797958971132712</v>
      </c>
      <c r="S94">
        <f t="shared" si="23"/>
        <v>-0.9797958971132712</v>
      </c>
      <c r="U94" s="94">
        <v>9</v>
      </c>
      <c r="V94" s="94">
        <v>80</v>
      </c>
      <c r="W94" s="94">
        <f t="shared" si="26"/>
        <v>1.5628335990023738</v>
      </c>
      <c r="X94" s="94">
        <f t="shared" si="27"/>
        <v>8.8632697771098723</v>
      </c>
      <c r="Y94" s="94">
        <v>9</v>
      </c>
      <c r="Z94" s="94">
        <v>260</v>
      </c>
      <c r="AA94" s="94">
        <f t="shared" si="28"/>
        <v>-1.562833599002373</v>
      </c>
      <c r="AB94" s="94">
        <f t="shared" si="29"/>
        <v>-8.8632697771098723</v>
      </c>
      <c r="AO94" s="39">
        <v>0.29166666666666702</v>
      </c>
      <c r="AP94" s="38">
        <v>75</v>
      </c>
      <c r="AQ94" s="38">
        <f t="shared" si="30"/>
        <v>1.5268439307083672</v>
      </c>
      <c r="AR94" s="38">
        <f t="shared" si="31"/>
        <v>116.4624458503213</v>
      </c>
      <c r="AT94">
        <f t="shared" si="32"/>
        <v>8.847315606929163</v>
      </c>
      <c r="AU94">
        <f t="shared" si="33"/>
        <v>-26.462445850321302</v>
      </c>
      <c r="AV94" s="94">
        <f t="shared" si="34"/>
        <v>7.9203525072857328</v>
      </c>
      <c r="AW94" s="94">
        <f t="shared" si="35"/>
        <v>-3.9424623788877113</v>
      </c>
      <c r="AX94" s="39">
        <v>0.29166666666666702</v>
      </c>
      <c r="AZ94" s="39">
        <v>0.29166666666666702</v>
      </c>
      <c r="BA94" s="38">
        <v>75</v>
      </c>
      <c r="BB94" s="38">
        <f t="shared" si="36"/>
        <v>5.1256761006130356</v>
      </c>
      <c r="BC94" s="38">
        <f t="shared" si="37"/>
        <v>110.74796771639679</v>
      </c>
      <c r="BE94">
        <f t="shared" si="38"/>
        <v>8.4874323899386965</v>
      </c>
      <c r="BF94">
        <f t="shared" si="39"/>
        <v>-20.747967716396786</v>
      </c>
      <c r="BG94" s="94">
        <f t="shared" si="40"/>
        <v>7.9370035218323389</v>
      </c>
      <c r="BH94" s="94">
        <f t="shared" si="41"/>
        <v>-3.0067397074242299</v>
      </c>
      <c r="BI94" s="39">
        <v>0.29166666666666702</v>
      </c>
      <c r="BK94" s="39">
        <v>0.29166666666666702</v>
      </c>
      <c r="BL94" s="38">
        <v>75</v>
      </c>
      <c r="BM94" s="38">
        <f t="shared" si="42"/>
        <v>10.944236718611343</v>
      </c>
      <c r="BN94" s="38">
        <f t="shared" si="43"/>
        <v>101.14015957211414</v>
      </c>
      <c r="BP94">
        <f t="shared" si="44"/>
        <v>7.9055763281388653</v>
      </c>
      <c r="BQ94">
        <f t="shared" si="45"/>
        <v>-11.140159572114143</v>
      </c>
      <c r="BR94" s="94">
        <f t="shared" ref="BR94:BR112" si="72">+BP94*COS(RADIANS(BQ94))</f>
        <v>7.7566153566303626</v>
      </c>
      <c r="BS94" s="94">
        <f t="shared" ref="BS94:BS112" si="73">+BP94*SIN(RADIANS(BQ94))</f>
        <v>-1.5274342176721136</v>
      </c>
      <c r="BT94" s="39">
        <v>0.29166666666666702</v>
      </c>
      <c r="BV94" s="39">
        <v>0.29166666666666702</v>
      </c>
      <c r="BW94" s="38">
        <v>75</v>
      </c>
      <c r="BX94" s="38">
        <f t="shared" si="48"/>
        <v>16.826145638621131</v>
      </c>
      <c r="BY94" s="38">
        <f t="shared" si="49"/>
        <v>90.430026005197348</v>
      </c>
      <c r="CA94">
        <f t="shared" si="50"/>
        <v>7.3173854361378865</v>
      </c>
      <c r="CB94">
        <f t="shared" si="51"/>
        <v>-0.43002600519734813</v>
      </c>
      <c r="CC94" s="94">
        <f t="shared" si="52"/>
        <v>7.3171793408454278</v>
      </c>
      <c r="CD94" s="94">
        <f t="shared" si="53"/>
        <v>-5.491916703403818E-2</v>
      </c>
      <c r="CE94" s="39">
        <v>0.29166666666666702</v>
      </c>
      <c r="CG94" s="39">
        <v>0.29166666666666702</v>
      </c>
      <c r="CH94" s="38">
        <v>75</v>
      </c>
      <c r="CI94" s="38">
        <f t="shared" si="54"/>
        <v>21.390284745138615</v>
      </c>
      <c r="CJ94" s="38">
        <f t="shared" si="55"/>
        <v>80.785090541413638</v>
      </c>
      <c r="CL94">
        <f t="shared" si="56"/>
        <v>6.8609715254861383</v>
      </c>
      <c r="CM94">
        <f t="shared" si="57"/>
        <v>9.2149094585863622</v>
      </c>
      <c r="CN94" s="94">
        <f t="shared" si="58"/>
        <v>6.7724281322824265</v>
      </c>
      <c r="CO94" s="94">
        <f t="shared" si="59"/>
        <v>1.0987026288314572</v>
      </c>
      <c r="CP94" s="39">
        <v>0.29166666666666702</v>
      </c>
      <c r="CR94" s="39">
        <v>0.29166666666666702</v>
      </c>
      <c r="CS94" s="38">
        <v>75</v>
      </c>
      <c r="CT94" s="38">
        <f t="shared" si="60"/>
        <v>23.507733059132701</v>
      </c>
      <c r="CU94" s="38">
        <f t="shared" si="61"/>
        <v>75.636975428271541</v>
      </c>
      <c r="CW94">
        <f t="shared" si="62"/>
        <v>6.6492266940867299</v>
      </c>
      <c r="CX94">
        <f t="shared" si="63"/>
        <v>14.363024571728459</v>
      </c>
      <c r="CY94" s="94">
        <f t="shared" si="64"/>
        <v>6.4413948054342534</v>
      </c>
      <c r="CZ94" s="94">
        <f t="shared" si="65"/>
        <v>1.6494388712165591</v>
      </c>
      <c r="DA94" s="39">
        <v>0.29166666666666702</v>
      </c>
      <c r="DC94" s="39">
        <v>0.29166666666666702</v>
      </c>
      <c r="DD94" s="38">
        <v>75</v>
      </c>
      <c r="DE94" s="38">
        <f t="shared" si="66"/>
        <v>0.80777986614324049</v>
      </c>
      <c r="DF94" s="38">
        <f t="shared" si="67"/>
        <v>117.59582673339338</v>
      </c>
      <c r="DH94">
        <f t="shared" si="68"/>
        <v>8.9192220133856761</v>
      </c>
      <c r="DI94">
        <f t="shared" si="69"/>
        <v>-27.59582673339338</v>
      </c>
      <c r="DJ94" s="94">
        <f t="shared" si="70"/>
        <v>7.9045474322355096</v>
      </c>
      <c r="DK94" s="94">
        <f t="shared" si="71"/>
        <v>-4.1316644606747346</v>
      </c>
      <c r="DL94" s="39">
        <v>0.29166666666666702</v>
      </c>
    </row>
    <row r="95" spans="1:116" x14ac:dyDescent="0.25">
      <c r="A95">
        <v>-0.3</v>
      </c>
      <c r="B95">
        <f t="shared" si="16"/>
        <v>8.9949986103389694</v>
      </c>
      <c r="C95">
        <f t="shared" si="17"/>
        <v>-8.9949986103389694</v>
      </c>
      <c r="D95">
        <f t="shared" si="20"/>
        <v>7.994373021069257</v>
      </c>
      <c r="E95">
        <f t="shared" si="21"/>
        <v>-7.994373021069257</v>
      </c>
      <c r="F95">
        <f t="shared" si="24"/>
        <v>6.9935684739623447</v>
      </c>
      <c r="G95">
        <f t="shared" si="25"/>
        <v>-6.9935684739623447</v>
      </c>
      <c r="H95">
        <f t="shared" si="8"/>
        <v>5.9924953066314535</v>
      </c>
      <c r="I95">
        <f t="shared" si="9"/>
        <v>-5.9924953066314535</v>
      </c>
      <c r="J95">
        <f t="shared" si="10"/>
        <v>4.9909918853871122</v>
      </c>
      <c r="K95">
        <f t="shared" si="11"/>
        <v>-4.9909918853871122</v>
      </c>
      <c r="L95">
        <f t="shared" si="12"/>
        <v>3.9887341350358261</v>
      </c>
      <c r="M95">
        <f t="shared" si="13"/>
        <v>-3.9887341350358261</v>
      </c>
      <c r="N95">
        <f t="shared" si="14"/>
        <v>2.98496231131986</v>
      </c>
      <c r="O95">
        <f t="shared" si="15"/>
        <v>-2.98496231131986</v>
      </c>
      <c r="P95">
        <f t="shared" si="18"/>
        <v>1.977371993328519</v>
      </c>
      <c r="Q95">
        <f t="shared" si="19"/>
        <v>-1.977371993328519</v>
      </c>
      <c r="R95">
        <f t="shared" si="22"/>
        <v>0.95393920141694566</v>
      </c>
      <c r="S95">
        <f t="shared" si="23"/>
        <v>-0.95393920141694566</v>
      </c>
      <c r="U95" s="94">
        <v>9</v>
      </c>
      <c r="V95" s="94">
        <v>90</v>
      </c>
      <c r="W95" s="94">
        <f t="shared" si="26"/>
        <v>5.51316804708879E-16</v>
      </c>
      <c r="X95" s="94">
        <f t="shared" si="27"/>
        <v>9</v>
      </c>
      <c r="Y95" s="94">
        <v>9</v>
      </c>
      <c r="Z95" s="94">
        <v>270</v>
      </c>
      <c r="AA95" s="94">
        <f t="shared" si="28"/>
        <v>-1.653950414126637E-15</v>
      </c>
      <c r="AB95" s="94">
        <f t="shared" si="29"/>
        <v>-9</v>
      </c>
      <c r="AO95" s="39">
        <v>0.33333333333333298</v>
      </c>
      <c r="AP95" s="38">
        <v>60</v>
      </c>
      <c r="AQ95" s="38">
        <f t="shared" si="30"/>
        <v>12.822214610282128</v>
      </c>
      <c r="AR95" s="38">
        <f t="shared" si="31"/>
        <v>124.62657247743616</v>
      </c>
      <c r="AT95">
        <f t="shared" si="32"/>
        <v>7.7177785389717872</v>
      </c>
      <c r="AU95">
        <f t="shared" si="33"/>
        <v>-34.626572477436156</v>
      </c>
      <c r="AV95" s="94">
        <f t="shared" si="34"/>
        <v>6.3507510164986245</v>
      </c>
      <c r="AW95" s="94">
        <f t="shared" si="35"/>
        <v>-4.3854380742469941</v>
      </c>
      <c r="AX95" s="39">
        <v>0.33333333333333298</v>
      </c>
      <c r="AZ95" s="39">
        <v>0.33333333333333298</v>
      </c>
      <c r="BA95" s="38">
        <v>60</v>
      </c>
      <c r="BB95" s="38">
        <f t="shared" si="36"/>
        <v>17.012874995336517</v>
      </c>
      <c r="BC95" s="38">
        <f t="shared" si="37"/>
        <v>119.15629368068804</v>
      </c>
      <c r="BE95">
        <f t="shared" si="38"/>
        <v>7.2987125004663485</v>
      </c>
      <c r="BF95">
        <f t="shared" si="39"/>
        <v>-29.156293680688037</v>
      </c>
      <c r="BG95" s="94">
        <f t="shared" si="40"/>
        <v>6.3739216297498276</v>
      </c>
      <c r="BH95" s="94">
        <f t="shared" si="41"/>
        <v>-3.5558862780284519</v>
      </c>
      <c r="BI95" s="39">
        <v>0.33333333333333298</v>
      </c>
      <c r="BK95" s="39">
        <v>0.33333333333333298</v>
      </c>
      <c r="BL95" s="38">
        <v>60</v>
      </c>
      <c r="BM95" s="38">
        <f t="shared" si="42"/>
        <v>23.5820196394737</v>
      </c>
      <c r="BN95" s="38">
        <f t="shared" si="43"/>
        <v>109.54442448396416</v>
      </c>
      <c r="BP95">
        <f t="shared" si="44"/>
        <v>6.6417980360526299</v>
      </c>
      <c r="BQ95">
        <f t="shared" si="45"/>
        <v>-19.544424483964164</v>
      </c>
      <c r="BR95" s="94">
        <f t="shared" si="72"/>
        <v>6.2591135034701519</v>
      </c>
      <c r="BS95" s="94">
        <f t="shared" si="73"/>
        <v>-2.2219314351235444</v>
      </c>
      <c r="BT95" s="39">
        <v>0.33333333333333298</v>
      </c>
      <c r="BV95" s="39">
        <v>0.33333333333333298</v>
      </c>
      <c r="BW95" s="38">
        <v>60</v>
      </c>
      <c r="BX95" s="38">
        <f t="shared" si="48"/>
        <v>29.88984365984685</v>
      </c>
      <c r="BY95" s="38">
        <f t="shared" si="49"/>
        <v>98.178925560955776</v>
      </c>
      <c r="CA95">
        <f t="shared" si="50"/>
        <v>6.0110156340153154</v>
      </c>
      <c r="CB95">
        <f t="shared" si="51"/>
        <v>-8.1789255609557756</v>
      </c>
      <c r="CC95" s="94">
        <f t="shared" si="52"/>
        <v>5.9498753428282356</v>
      </c>
      <c r="CD95" s="94">
        <f t="shared" si="53"/>
        <v>-0.85515633493597176</v>
      </c>
      <c r="CE95" s="39">
        <v>0.33333333333333298</v>
      </c>
      <c r="CG95" s="39">
        <v>0.33333333333333298</v>
      </c>
      <c r="CH95" s="38">
        <v>60</v>
      </c>
      <c r="CI95" s="38">
        <f t="shared" si="54"/>
        <v>34.421688460547578</v>
      </c>
      <c r="CJ95" s="38">
        <f t="shared" si="55"/>
        <v>87.389663704152156</v>
      </c>
      <c r="CL95">
        <f t="shared" si="56"/>
        <v>5.5578311539452425</v>
      </c>
      <c r="CM95">
        <f t="shared" si="57"/>
        <v>2.6103362958478442</v>
      </c>
      <c r="CN95" s="94">
        <f t="shared" si="58"/>
        <v>5.5520641812898193</v>
      </c>
      <c r="CO95" s="94">
        <f t="shared" si="59"/>
        <v>0.25312143844983037</v>
      </c>
      <c r="CP95" s="39">
        <v>0.33333333333333298</v>
      </c>
      <c r="CR95" s="39">
        <v>0.33333333333333298</v>
      </c>
      <c r="CS95" s="38">
        <v>60</v>
      </c>
      <c r="CT95" s="38">
        <f t="shared" si="60"/>
        <v>36.350375327550033</v>
      </c>
      <c r="CU95" s="38">
        <f t="shared" si="61"/>
        <v>81.455117320378122</v>
      </c>
      <c r="CW95">
        <f t="shared" si="62"/>
        <v>5.3649624672449967</v>
      </c>
      <c r="CX95">
        <f t="shared" si="63"/>
        <v>8.5448826796218782</v>
      </c>
      <c r="CY95" s="94">
        <f t="shared" si="64"/>
        <v>5.3054101678542844</v>
      </c>
      <c r="CZ95" s="94">
        <f t="shared" si="65"/>
        <v>0.79714818307256552</v>
      </c>
      <c r="DA95" s="39">
        <v>0.33333333333333298</v>
      </c>
      <c r="DC95" s="39">
        <v>0.33333333333333298</v>
      </c>
      <c r="DD95" s="38">
        <v>60</v>
      </c>
      <c r="DE95" s="38">
        <f t="shared" si="66"/>
        <v>11.973998043852726</v>
      </c>
      <c r="DF95" s="38">
        <f t="shared" si="67"/>
        <v>125.69140900534735</v>
      </c>
      <c r="DH95">
        <f t="shared" si="68"/>
        <v>7.802600195614728</v>
      </c>
      <c r="DI95">
        <f t="shared" si="69"/>
        <v>-35.691409005347353</v>
      </c>
      <c r="DJ95" s="94">
        <f t="shared" si="70"/>
        <v>6.3370457173808656</v>
      </c>
      <c r="DK95" s="94">
        <f t="shared" si="71"/>
        <v>-4.5521886371757292</v>
      </c>
      <c r="DL95" s="39">
        <v>0.33333333333333298</v>
      </c>
    </row>
    <row r="96" spans="1:116" x14ac:dyDescent="0.25">
      <c r="A96">
        <v>-0.4</v>
      </c>
      <c r="B96">
        <f t="shared" si="16"/>
        <v>8.9911067171956098</v>
      </c>
      <c r="C96">
        <f t="shared" si="17"/>
        <v>-8.9911067171956098</v>
      </c>
      <c r="D96">
        <f t="shared" si="20"/>
        <v>7.9899937421752716</v>
      </c>
      <c r="E96">
        <f t="shared" si="21"/>
        <v>-7.9899937421752716</v>
      </c>
      <c r="F96">
        <f t="shared" si="24"/>
        <v>6.9885620838624591</v>
      </c>
      <c r="G96">
        <f t="shared" si="25"/>
        <v>-6.9885620838624591</v>
      </c>
      <c r="H96">
        <f t="shared" ref="H96:H152" si="74">+SQRT(36-A96^2)</f>
        <v>5.9866518188383067</v>
      </c>
      <c r="I96">
        <f t="shared" ref="I96:I152" si="75">-H96</f>
        <v>-5.9866518188383067</v>
      </c>
      <c r="J96">
        <f t="shared" si="10"/>
        <v>4.9839743177508451</v>
      </c>
      <c r="K96">
        <f t="shared" si="11"/>
        <v>-4.9839743177508451</v>
      </c>
      <c r="L96">
        <f t="shared" si="12"/>
        <v>3.9799497484264799</v>
      </c>
      <c r="M96">
        <f t="shared" si="13"/>
        <v>-3.9799497484264799</v>
      </c>
      <c r="N96">
        <f t="shared" si="14"/>
        <v>2.9732137494637012</v>
      </c>
      <c r="O96">
        <f t="shared" si="15"/>
        <v>-2.9732137494637012</v>
      </c>
      <c r="P96">
        <f t="shared" si="18"/>
        <v>1.9595917942265424</v>
      </c>
      <c r="Q96">
        <f t="shared" si="19"/>
        <v>-1.9595917942265424</v>
      </c>
      <c r="R96">
        <f t="shared" si="22"/>
        <v>0.91651513899116799</v>
      </c>
      <c r="S96">
        <f t="shared" si="23"/>
        <v>-0.91651513899116799</v>
      </c>
      <c r="U96" s="94">
        <v>9</v>
      </c>
      <c r="V96" s="94">
        <v>100</v>
      </c>
      <c r="W96" s="94">
        <f t="shared" si="26"/>
        <v>-1.5628335990023727</v>
      </c>
      <c r="X96" s="94">
        <f t="shared" si="27"/>
        <v>8.8632697771098723</v>
      </c>
      <c r="Y96" s="94">
        <v>9</v>
      </c>
      <c r="Z96" s="94">
        <v>280</v>
      </c>
      <c r="AA96" s="94">
        <f t="shared" si="28"/>
        <v>1.5628335990023698</v>
      </c>
      <c r="AB96" s="94">
        <f t="shared" si="29"/>
        <v>-8.8632697771098741</v>
      </c>
      <c r="AO96" s="39">
        <v>0.375</v>
      </c>
      <c r="AP96" s="38">
        <v>45</v>
      </c>
      <c r="AQ96" s="38">
        <f t="shared" si="30"/>
        <v>22.930756425404709</v>
      </c>
      <c r="AR96" s="38">
        <f t="shared" si="31"/>
        <v>134.65671961264201</v>
      </c>
      <c r="AT96">
        <f t="shared" si="32"/>
        <v>6.7069243574595294</v>
      </c>
      <c r="AU96">
        <f t="shared" si="33"/>
        <v>-44.656719612642007</v>
      </c>
      <c r="AV96" s="94">
        <f t="shared" si="34"/>
        <v>4.770840561015433</v>
      </c>
      <c r="AW96" s="94">
        <f t="shared" si="35"/>
        <v>-4.7140125878124115</v>
      </c>
      <c r="AX96" s="39">
        <v>0.375</v>
      </c>
      <c r="AZ96" s="39">
        <v>0.375</v>
      </c>
      <c r="BA96" s="38">
        <v>45</v>
      </c>
      <c r="BB96" s="38">
        <f t="shared" si="36"/>
        <v>27.847371205928958</v>
      </c>
      <c r="BC96" s="38">
        <f t="shared" si="37"/>
        <v>129.54363287993408</v>
      </c>
      <c r="BE96">
        <f t="shared" si="38"/>
        <v>6.2152628794071045</v>
      </c>
      <c r="BF96">
        <f t="shared" si="39"/>
        <v>-39.54363287993408</v>
      </c>
      <c r="BG96" s="94">
        <f t="shared" si="40"/>
        <v>4.792837582647314</v>
      </c>
      <c r="BH96" s="94">
        <f t="shared" si="41"/>
        <v>-3.9570444231142194</v>
      </c>
      <c r="BI96" s="39">
        <v>0.375</v>
      </c>
      <c r="BK96" s="39">
        <v>0.375</v>
      </c>
      <c r="BL96" s="38">
        <v>45</v>
      </c>
      <c r="BM96" s="38">
        <f t="shared" si="42"/>
        <v>35.49071849161092</v>
      </c>
      <c r="BN96" s="38">
        <f t="shared" si="43"/>
        <v>119.99048573125475</v>
      </c>
      <c r="BP96">
        <f t="shared" si="44"/>
        <v>5.4509281508389078</v>
      </c>
      <c r="BQ96">
        <f t="shared" si="45"/>
        <v>-29.990485731254751</v>
      </c>
      <c r="BR96" s="94">
        <f t="shared" si="72"/>
        <v>4.7210947655407791</v>
      </c>
      <c r="BS96" s="94">
        <f t="shared" si="73"/>
        <v>-2.7246801501078113</v>
      </c>
      <c r="BT96" s="39">
        <v>0.375</v>
      </c>
      <c r="BV96" s="39">
        <v>0.375</v>
      </c>
      <c r="BW96" s="38">
        <v>45</v>
      </c>
      <c r="BX96" s="38">
        <f t="shared" si="48"/>
        <v>42.663463448393529</v>
      </c>
      <c r="BY96" s="38">
        <f t="shared" si="49"/>
        <v>107.66062257112267</v>
      </c>
      <c r="CA96">
        <f t="shared" si="50"/>
        <v>4.733653655160647</v>
      </c>
      <c r="CB96">
        <f t="shared" si="51"/>
        <v>-17.660622571122673</v>
      </c>
      <c r="CC96" s="94">
        <f t="shared" si="52"/>
        <v>4.5105575419044515</v>
      </c>
      <c r="CD96" s="94">
        <f t="shared" si="53"/>
        <v>-1.4360875976710545</v>
      </c>
      <c r="CE96" s="39">
        <v>0.375</v>
      </c>
      <c r="CG96" s="39">
        <v>0.375</v>
      </c>
      <c r="CH96" s="38">
        <v>45</v>
      </c>
      <c r="CI96" s="38">
        <f t="shared" si="54"/>
        <v>47.519261224452976</v>
      </c>
      <c r="CJ96" s="38">
        <f t="shared" si="55"/>
        <v>94.944817071916091</v>
      </c>
      <c r="CL96">
        <f t="shared" si="56"/>
        <v>4.2480738775547024</v>
      </c>
      <c r="CM96">
        <f t="shared" si="57"/>
        <v>-4.9448170719160913</v>
      </c>
      <c r="CN96" s="94">
        <f t="shared" si="58"/>
        <v>4.2322633019278983</v>
      </c>
      <c r="CO96" s="94">
        <f t="shared" si="59"/>
        <v>-0.36616801105094599</v>
      </c>
      <c r="CP96" s="39">
        <v>0.375</v>
      </c>
      <c r="CR96" s="39">
        <v>0.375</v>
      </c>
      <c r="CS96" s="38">
        <v>45</v>
      </c>
      <c r="CT96" s="38">
        <f t="shared" si="60"/>
        <v>49.392241958613631</v>
      </c>
      <c r="CU96" s="38">
        <f t="shared" si="61"/>
        <v>87.614133955275165</v>
      </c>
      <c r="CW96">
        <f t="shared" si="62"/>
        <v>4.060775804138637</v>
      </c>
      <c r="CX96">
        <f t="shared" si="63"/>
        <v>2.3858660447248354</v>
      </c>
      <c r="CY96" s="94">
        <f t="shared" si="64"/>
        <v>4.0572556384225589</v>
      </c>
      <c r="CZ96" s="94">
        <f t="shared" si="65"/>
        <v>0.16904678632304351</v>
      </c>
      <c r="DA96" s="39">
        <v>0.375</v>
      </c>
      <c r="DC96" s="39">
        <v>0.375</v>
      </c>
      <c r="DD96" s="38">
        <v>45</v>
      </c>
      <c r="DE96" s="38">
        <f t="shared" si="66"/>
        <v>21.932757611792816</v>
      </c>
      <c r="DF96" s="38">
        <f t="shared" si="67"/>
        <v>135.62743572218571</v>
      </c>
      <c r="DH96">
        <f t="shared" si="68"/>
        <v>6.8067242388207188</v>
      </c>
      <c r="DI96">
        <f t="shared" si="69"/>
        <v>-45.627435722185709</v>
      </c>
      <c r="DJ96" s="94">
        <f t="shared" si="70"/>
        <v>4.7600861515158286</v>
      </c>
      <c r="DK96" s="94">
        <f t="shared" si="71"/>
        <v>-4.8654984013456133</v>
      </c>
      <c r="DL96" s="39">
        <v>0.375</v>
      </c>
    </row>
    <row r="97" spans="1:116" x14ac:dyDescent="0.25">
      <c r="A97">
        <v>-0.5</v>
      </c>
      <c r="B97">
        <f t="shared" si="16"/>
        <v>8.9861003778057142</v>
      </c>
      <c r="C97">
        <f t="shared" si="17"/>
        <v>-8.9861003778057142</v>
      </c>
      <c r="D97">
        <f t="shared" si="20"/>
        <v>7.9843597113356557</v>
      </c>
      <c r="E97">
        <f t="shared" si="21"/>
        <v>-7.9843597113356557</v>
      </c>
      <c r="F97">
        <f t="shared" si="24"/>
        <v>6.9821200218844703</v>
      </c>
      <c r="G97">
        <f t="shared" si="25"/>
        <v>-6.9821200218844703</v>
      </c>
      <c r="H97">
        <f t="shared" si="74"/>
        <v>5.9791303715506992</v>
      </c>
      <c r="I97">
        <f t="shared" si="75"/>
        <v>-5.9791303715506992</v>
      </c>
      <c r="J97">
        <f t="shared" si="10"/>
        <v>4.9749371855330997</v>
      </c>
      <c r="K97">
        <f t="shared" si="11"/>
        <v>-4.9749371855330997</v>
      </c>
      <c r="L97">
        <f t="shared" si="12"/>
        <v>3.9686269665968861</v>
      </c>
      <c r="M97">
        <f t="shared" si="13"/>
        <v>-3.9686269665968861</v>
      </c>
      <c r="N97">
        <f t="shared" si="14"/>
        <v>2.9580398915498081</v>
      </c>
      <c r="O97">
        <f t="shared" si="15"/>
        <v>-2.9580398915498081</v>
      </c>
      <c r="P97">
        <f t="shared" si="18"/>
        <v>1.9364916731037085</v>
      </c>
      <c r="Q97">
        <f t="shared" si="19"/>
        <v>-1.9364916731037085</v>
      </c>
      <c r="R97">
        <f t="shared" si="22"/>
        <v>0.8660254037844386</v>
      </c>
      <c r="S97">
        <f t="shared" si="23"/>
        <v>-0.8660254037844386</v>
      </c>
      <c r="U97" s="94">
        <v>9</v>
      </c>
      <c r="V97" s="94">
        <v>110</v>
      </c>
      <c r="W97" s="94">
        <f t="shared" si="26"/>
        <v>-3.0781812899310186</v>
      </c>
      <c r="X97" s="94">
        <f t="shared" si="27"/>
        <v>8.4572335870731763</v>
      </c>
      <c r="Y97" s="94">
        <v>9</v>
      </c>
      <c r="Z97" s="94">
        <v>290</v>
      </c>
      <c r="AA97" s="94">
        <f t="shared" si="28"/>
        <v>3.0781812899310208</v>
      </c>
      <c r="AB97" s="94">
        <f t="shared" si="29"/>
        <v>-8.4572335870731745</v>
      </c>
      <c r="AO97" s="39">
        <v>0.41666666666666602</v>
      </c>
      <c r="AP97" s="38">
        <v>30</v>
      </c>
      <c r="AQ97" s="38">
        <f t="shared" si="30"/>
        <v>31.217808683018777</v>
      </c>
      <c r="AR97" s="38">
        <f t="shared" si="31"/>
        <v>147.20252877534776</v>
      </c>
      <c r="AT97">
        <f t="shared" si="32"/>
        <v>5.8782191316981223</v>
      </c>
      <c r="AU97">
        <f t="shared" si="33"/>
        <v>-57.202528775347758</v>
      </c>
      <c r="AV97" s="94">
        <f t="shared" si="34"/>
        <v>3.1840614875621545</v>
      </c>
      <c r="AW97" s="94">
        <f t="shared" si="35"/>
        <v>-4.9411752249525929</v>
      </c>
      <c r="AX97" s="39">
        <v>0.41666666666666602</v>
      </c>
      <c r="AZ97" s="39">
        <v>0.41666666666666602</v>
      </c>
      <c r="BA97" s="38">
        <v>30</v>
      </c>
      <c r="BB97" s="38">
        <f t="shared" si="36"/>
        <v>36.94444539822846</v>
      </c>
      <c r="BC97" s="38">
        <f t="shared" si="37"/>
        <v>142.89664703004638</v>
      </c>
      <c r="BE97">
        <f t="shared" si="38"/>
        <v>5.3055554601771542</v>
      </c>
      <c r="BF97">
        <f t="shared" si="39"/>
        <v>-52.896647030046381</v>
      </c>
      <c r="BG97" s="94">
        <f t="shared" si="40"/>
        <v>3.2006010638105553</v>
      </c>
      <c r="BH97" s="94">
        <f t="shared" si="41"/>
        <v>-4.2314384754301173</v>
      </c>
      <c r="BI97" s="39">
        <v>0.41666666666666602</v>
      </c>
      <c r="BK97" s="39">
        <v>0.41666666666666602</v>
      </c>
      <c r="BL97" s="38">
        <v>30</v>
      </c>
      <c r="BM97" s="38">
        <f t="shared" si="42"/>
        <v>45.978655929743674</v>
      </c>
      <c r="BN97" s="38">
        <f t="shared" si="43"/>
        <v>134.1470799889712</v>
      </c>
      <c r="BP97">
        <f t="shared" si="44"/>
        <v>4.402134407025633</v>
      </c>
      <c r="BQ97">
        <f t="shared" si="45"/>
        <v>-44.1470799889712</v>
      </c>
      <c r="BR97" s="94">
        <f t="shared" si="72"/>
        <v>3.1587701351887114</v>
      </c>
      <c r="BS97" s="94">
        <f t="shared" si="73"/>
        <v>-3.0660982649874109</v>
      </c>
      <c r="BT97" s="39">
        <v>0.41666666666666602</v>
      </c>
      <c r="BV97" s="39">
        <v>0.41666666666666602</v>
      </c>
      <c r="BW97" s="38">
        <v>30</v>
      </c>
      <c r="BX97" s="38">
        <f t="shared" si="48"/>
        <v>54.618641174592703</v>
      </c>
      <c r="BY97" s="38">
        <f t="shared" si="49"/>
        <v>121.16307222620452</v>
      </c>
      <c r="CA97">
        <f t="shared" si="50"/>
        <v>3.5381358825407299</v>
      </c>
      <c r="CB97">
        <f t="shared" si="51"/>
        <v>-31.16307222620452</v>
      </c>
      <c r="CC97" s="94">
        <f t="shared" si="52"/>
        <v>3.027575645251392</v>
      </c>
      <c r="CD97" s="94">
        <f t="shared" si="53"/>
        <v>-1.8308990238685714</v>
      </c>
      <c r="CE97" s="39">
        <v>0.41666666666666602</v>
      </c>
      <c r="CG97" s="39">
        <v>0.41666666666666602</v>
      </c>
      <c r="CH97" s="38">
        <v>30</v>
      </c>
      <c r="CI97" s="38">
        <f t="shared" si="54"/>
        <v>60.418849938512295</v>
      </c>
      <c r="CJ97" s="38">
        <f t="shared" si="55"/>
        <v>105.47388867741584</v>
      </c>
      <c r="CL97">
        <f t="shared" si="56"/>
        <v>2.9581150061487707</v>
      </c>
      <c r="CM97">
        <f t="shared" si="57"/>
        <v>-15.473888677415843</v>
      </c>
      <c r="CN97" s="94">
        <f t="shared" si="58"/>
        <v>2.8508896713723404</v>
      </c>
      <c r="CO97" s="94">
        <f t="shared" si="59"/>
        <v>-0.78922270067773015</v>
      </c>
      <c r="CP97" s="39">
        <v>0.41666666666666602</v>
      </c>
      <c r="CR97" s="39">
        <v>0.41666666666666602</v>
      </c>
      <c r="CS97" s="38">
        <v>30</v>
      </c>
      <c r="CT97" s="38">
        <f t="shared" si="60"/>
        <v>62.487949611154917</v>
      </c>
      <c r="CU97" s="38">
        <f t="shared" si="61"/>
        <v>95.458320455047897</v>
      </c>
      <c r="CW97">
        <f t="shared" si="62"/>
        <v>2.7512050388845086</v>
      </c>
      <c r="CX97">
        <f t="shared" si="63"/>
        <v>-5.4583204550478968</v>
      </c>
      <c r="CY97" s="94">
        <f t="shared" si="64"/>
        <v>2.7387301330387381</v>
      </c>
      <c r="CZ97" s="94">
        <f t="shared" si="65"/>
        <v>-0.2616991103712919</v>
      </c>
      <c r="DA97" s="39">
        <v>0.41666666666666602</v>
      </c>
      <c r="DC97" s="39">
        <v>0.41666666666666602</v>
      </c>
      <c r="DD97" s="38">
        <v>30</v>
      </c>
      <c r="DE97" s="38">
        <f t="shared" si="66"/>
        <v>30.061756873161897</v>
      </c>
      <c r="DF97" s="38">
        <f t="shared" si="67"/>
        <v>147.99477629228704</v>
      </c>
      <c r="DH97">
        <f t="shared" si="68"/>
        <v>5.9938243126838104</v>
      </c>
      <c r="DI97">
        <f t="shared" si="69"/>
        <v>-57.994776292287042</v>
      </c>
      <c r="DJ97" s="94">
        <f t="shared" si="70"/>
        <v>3.1767063828743427</v>
      </c>
      <c r="DK97" s="94">
        <f t="shared" si="71"/>
        <v>-5.0827616950162993</v>
      </c>
      <c r="DL97" s="39">
        <v>0.41666666666666602</v>
      </c>
    </row>
    <row r="98" spans="1:116" x14ac:dyDescent="0.25">
      <c r="A98">
        <v>-0.6</v>
      </c>
      <c r="B98">
        <f t="shared" si="16"/>
        <v>8.9799777282574595</v>
      </c>
      <c r="C98">
        <f t="shared" si="17"/>
        <v>-8.9799777282574595</v>
      </c>
      <c r="D98">
        <f t="shared" si="20"/>
        <v>7.9774682700716522</v>
      </c>
      <c r="E98">
        <f t="shared" si="21"/>
        <v>-7.9774682700716522</v>
      </c>
      <c r="F98">
        <f t="shared" si="24"/>
        <v>6.9742383096650773</v>
      </c>
      <c r="G98">
        <f t="shared" si="25"/>
        <v>-6.9742383096650773</v>
      </c>
      <c r="H98">
        <f t="shared" si="74"/>
        <v>5.96992462263972</v>
      </c>
      <c r="I98">
        <f t="shared" si="75"/>
        <v>-5.96992462263972</v>
      </c>
      <c r="J98">
        <f t="shared" si="10"/>
        <v>4.963869458396343</v>
      </c>
      <c r="K98">
        <f t="shared" si="11"/>
        <v>-4.963869458396343</v>
      </c>
      <c r="L98">
        <f t="shared" si="12"/>
        <v>3.954743986657038</v>
      </c>
      <c r="M98">
        <f t="shared" si="13"/>
        <v>-3.954743986657038</v>
      </c>
      <c r="N98">
        <f t="shared" si="14"/>
        <v>2.9393876913398138</v>
      </c>
      <c r="O98">
        <f t="shared" si="15"/>
        <v>-2.9393876913398138</v>
      </c>
      <c r="P98">
        <f t="shared" si="18"/>
        <v>1.9078784028338913</v>
      </c>
      <c r="Q98">
        <f t="shared" si="19"/>
        <v>-1.9078784028338913</v>
      </c>
      <c r="R98">
        <f t="shared" si="22"/>
        <v>0.8</v>
      </c>
      <c r="S98">
        <f t="shared" si="23"/>
        <v>-0.8</v>
      </c>
      <c r="U98" s="94">
        <v>9</v>
      </c>
      <c r="V98" s="94">
        <v>120</v>
      </c>
      <c r="W98" s="94">
        <f t="shared" si="26"/>
        <v>-4.4999999999999982</v>
      </c>
      <c r="X98" s="94">
        <f t="shared" si="27"/>
        <v>7.794228634059948</v>
      </c>
      <c r="Y98" s="94">
        <v>9</v>
      </c>
      <c r="Z98" s="94">
        <v>300</v>
      </c>
      <c r="AA98" s="94">
        <f t="shared" si="28"/>
        <v>4.5000000000000009</v>
      </c>
      <c r="AB98" s="94">
        <f t="shared" si="29"/>
        <v>-7.7942286340599471</v>
      </c>
      <c r="AO98" s="39">
        <v>0.45833333333333298</v>
      </c>
      <c r="AP98" s="38">
        <v>15</v>
      </c>
      <c r="AQ98" s="38">
        <f t="shared" si="30"/>
        <v>36.811263360071692</v>
      </c>
      <c r="AR98" s="38">
        <f t="shared" si="31"/>
        <v>162.5719521238546</v>
      </c>
      <c r="AT98">
        <f t="shared" si="32"/>
        <v>5.3188736639928305</v>
      </c>
      <c r="AU98">
        <f t="shared" si="33"/>
        <v>-72.571952123854601</v>
      </c>
      <c r="AV98" s="94">
        <f t="shared" si="34"/>
        <v>1.5930445940412605</v>
      </c>
      <c r="AW98" s="94">
        <f t="shared" si="35"/>
        <v>-5.0747045209462618</v>
      </c>
      <c r="AX98" s="39">
        <v>0.45833333333333298</v>
      </c>
      <c r="AZ98" s="39">
        <v>0.45833333333333298</v>
      </c>
      <c r="BA98" s="38">
        <v>15</v>
      </c>
      <c r="BB98" s="38">
        <f t="shared" si="36"/>
        <v>43.2535093097095</v>
      </c>
      <c r="BC98" s="38">
        <f t="shared" si="37"/>
        <v>159.96090838605289</v>
      </c>
      <c r="BE98">
        <f t="shared" si="38"/>
        <v>4.6746490690290496</v>
      </c>
      <c r="BF98">
        <f t="shared" si="39"/>
        <v>-69.960908386052893</v>
      </c>
      <c r="BG98" s="94">
        <f t="shared" si="40"/>
        <v>1.6018208347188778</v>
      </c>
      <c r="BH98" s="94">
        <f t="shared" si="41"/>
        <v>-4.3916413710632929</v>
      </c>
      <c r="BI98" s="39">
        <v>0.45833333333333298</v>
      </c>
      <c r="BK98" s="39">
        <v>0.45833333333333298</v>
      </c>
      <c r="BL98" s="38">
        <v>15</v>
      </c>
      <c r="BM98" s="38">
        <f t="shared" si="42"/>
        <v>53.721651477607679</v>
      </c>
      <c r="BN98" s="38">
        <f t="shared" si="43"/>
        <v>154.13665034646286</v>
      </c>
      <c r="BP98">
        <f t="shared" si="44"/>
        <v>3.6278348522392321</v>
      </c>
      <c r="BQ98">
        <f t="shared" si="45"/>
        <v>-64.136650346462858</v>
      </c>
      <c r="BR98" s="94">
        <f t="shared" si="72"/>
        <v>1.5825569006738294</v>
      </c>
      <c r="BS98" s="94">
        <f t="shared" si="73"/>
        <v>-3.2644600428327033</v>
      </c>
      <c r="BT98" s="39">
        <v>0.45833333333333298</v>
      </c>
      <c r="BV98" s="39">
        <v>0.45833333333333298</v>
      </c>
      <c r="BW98" s="38">
        <v>15</v>
      </c>
      <c r="BX98" s="38">
        <f t="shared" si="48"/>
        <v>64.399813806231478</v>
      </c>
      <c r="BY98" s="38">
        <f t="shared" si="49"/>
        <v>143.58998089453021</v>
      </c>
      <c r="CA98">
        <f t="shared" si="50"/>
        <v>2.5600186193768524</v>
      </c>
      <c r="CB98">
        <f t="shared" si="51"/>
        <v>-53.589980894530214</v>
      </c>
      <c r="CC98" s="94">
        <f t="shared" si="52"/>
        <v>1.519523695277962</v>
      </c>
      <c r="CD98" s="94">
        <f t="shared" si="53"/>
        <v>-2.0602774257475551</v>
      </c>
      <c r="CE98" s="39">
        <v>0.45833333333333298</v>
      </c>
      <c r="CG98" s="39">
        <v>0.45833333333333298</v>
      </c>
      <c r="CH98" s="38">
        <v>15</v>
      </c>
      <c r="CI98" s="38">
        <f t="shared" si="54"/>
        <v>72.313335780227064</v>
      </c>
      <c r="CJ98" s="38">
        <f t="shared" si="55"/>
        <v>125.84444444383482</v>
      </c>
      <c r="CL98">
        <f t="shared" si="56"/>
        <v>1.7686664219772936</v>
      </c>
      <c r="CM98">
        <f t="shared" si="57"/>
        <v>-35.844444443834817</v>
      </c>
      <c r="CN98" s="94">
        <f t="shared" si="58"/>
        <v>1.4336983739441382</v>
      </c>
      <c r="CO98" s="94">
        <f t="shared" si="59"/>
        <v>-1.0357074320385538</v>
      </c>
      <c r="CP98" s="39">
        <v>0.45833333333333298</v>
      </c>
      <c r="CR98" s="39">
        <v>0.45833333333333298</v>
      </c>
      <c r="CS98" s="38">
        <v>15</v>
      </c>
      <c r="CT98" s="38">
        <f t="shared" si="60"/>
        <v>75.286617836966144</v>
      </c>
      <c r="CU98" s="38">
        <f t="shared" si="61"/>
        <v>110.41519717198776</v>
      </c>
      <c r="CW98">
        <f t="shared" si="62"/>
        <v>1.4713382163033852</v>
      </c>
      <c r="CX98">
        <f t="shared" si="63"/>
        <v>-20.415197171987757</v>
      </c>
      <c r="CY98" s="94">
        <f t="shared" si="64"/>
        <v>1.3789227287883619</v>
      </c>
      <c r="CZ98" s="94">
        <f t="shared" si="65"/>
        <v>-0.51323313882258714</v>
      </c>
      <c r="DA98" s="39">
        <v>0.45833333333333298</v>
      </c>
      <c r="DC98" s="39">
        <v>0.45833333333333298</v>
      </c>
      <c r="DD98" s="38">
        <v>15</v>
      </c>
      <c r="DE98" s="38">
        <f t="shared" si="66"/>
        <v>35.522989333110019</v>
      </c>
      <c r="DF98" s="38">
        <f t="shared" si="67"/>
        <v>163.03777709301244</v>
      </c>
      <c r="DH98">
        <f t="shared" si="68"/>
        <v>5.4477010666889978</v>
      </c>
      <c r="DI98">
        <f t="shared" si="69"/>
        <v>-73.037777093012437</v>
      </c>
      <c r="DJ98" s="94">
        <f t="shared" si="70"/>
        <v>1.5893183907474926</v>
      </c>
      <c r="DK98" s="94">
        <f t="shared" si="71"/>
        <v>-5.2107114643622561</v>
      </c>
      <c r="DL98" s="39">
        <v>0.45833333333333298</v>
      </c>
    </row>
    <row r="99" spans="1:116" x14ac:dyDescent="0.25">
      <c r="A99">
        <v>-0.7</v>
      </c>
      <c r="B99">
        <f t="shared" si="16"/>
        <v>8.9727364833700545</v>
      </c>
      <c r="C99">
        <f t="shared" si="17"/>
        <v>-8.9727364833700545</v>
      </c>
      <c r="D99">
        <f t="shared" si="20"/>
        <v>7.9693161563587118</v>
      </c>
      <c r="E99">
        <f t="shared" si="21"/>
        <v>-7.9693161563587118</v>
      </c>
      <c r="F99">
        <f t="shared" si="24"/>
        <v>6.9649120597463394</v>
      </c>
      <c r="G99">
        <f t="shared" si="25"/>
        <v>-6.9649120597463394</v>
      </c>
      <c r="H99">
        <f t="shared" si="74"/>
        <v>5.9590267661758327</v>
      </c>
      <c r="I99">
        <f t="shared" si="75"/>
        <v>-5.9590267661758327</v>
      </c>
      <c r="J99">
        <f t="shared" si="10"/>
        <v>4.9507575177946253</v>
      </c>
      <c r="K99">
        <f t="shared" si="11"/>
        <v>-4.9507575177946253</v>
      </c>
      <c r="L99">
        <f t="shared" si="12"/>
        <v>3.9382737335030433</v>
      </c>
      <c r="M99">
        <f t="shared" si="13"/>
        <v>-3.9382737335030433</v>
      </c>
      <c r="N99">
        <f t="shared" si="14"/>
        <v>2.9171904291629644</v>
      </c>
      <c r="O99">
        <f t="shared" si="15"/>
        <v>-2.9171904291629644</v>
      </c>
      <c r="P99">
        <f t="shared" si="18"/>
        <v>1.8734993995195195</v>
      </c>
      <c r="Q99">
        <f t="shared" si="19"/>
        <v>-1.8734993995195195</v>
      </c>
      <c r="R99">
        <f t="shared" si="22"/>
        <v>0.71414284285428498</v>
      </c>
      <c r="S99">
        <f t="shared" si="23"/>
        <v>-0.71414284285428498</v>
      </c>
      <c r="U99" s="94">
        <v>9</v>
      </c>
      <c r="V99" s="94">
        <v>130</v>
      </c>
      <c r="W99" s="94">
        <f t="shared" si="26"/>
        <v>-5.7850884871788546</v>
      </c>
      <c r="X99" s="94">
        <f t="shared" si="27"/>
        <v>6.894399988070802</v>
      </c>
      <c r="Y99" s="94">
        <v>9</v>
      </c>
      <c r="Z99" s="94">
        <v>310</v>
      </c>
      <c r="AA99" s="94">
        <f t="shared" si="28"/>
        <v>5.7850884871788537</v>
      </c>
      <c r="AB99" s="94">
        <f t="shared" si="29"/>
        <v>-6.8943999880708029</v>
      </c>
      <c r="AO99" s="39">
        <v>0.5</v>
      </c>
      <c r="AP99" s="38">
        <v>0</v>
      </c>
      <c r="AQ99" s="38">
        <f t="shared" si="30"/>
        <v>38.812251187494631</v>
      </c>
      <c r="AR99" s="38">
        <f>+IF(AR85&gt;=-19,180,0)</f>
        <v>180</v>
      </c>
      <c r="AT99">
        <f t="shared" si="32"/>
        <v>5.1187748812505367</v>
      </c>
      <c r="AU99">
        <f t="shared" si="33"/>
        <v>-90</v>
      </c>
      <c r="AV99" s="94">
        <f t="shared" si="34"/>
        <v>3.135629568394575E-16</v>
      </c>
      <c r="AW99" s="94">
        <f t="shared" si="35"/>
        <v>-5.1187748812505367</v>
      </c>
      <c r="AX99" s="39">
        <v>0.5</v>
      </c>
      <c r="AZ99" s="39">
        <v>0.5</v>
      </c>
      <c r="BA99" s="38">
        <v>0</v>
      </c>
      <c r="BB99" s="38">
        <f t="shared" si="36"/>
        <v>45.556583423446973</v>
      </c>
      <c r="BC99" s="38">
        <f>+IF(BC85&gt;=-11,180,0)</f>
        <v>180</v>
      </c>
      <c r="BE99">
        <f t="shared" si="38"/>
        <v>4.4443416576553023</v>
      </c>
      <c r="BF99">
        <f t="shared" si="39"/>
        <v>-90</v>
      </c>
      <c r="BG99" s="94">
        <f t="shared" si="40"/>
        <v>2.7224891574812041E-16</v>
      </c>
      <c r="BH99" s="94">
        <f t="shared" si="41"/>
        <v>-4.4443416576553023</v>
      </c>
      <c r="BI99" s="39">
        <v>0.5</v>
      </c>
      <c r="BK99" s="39">
        <v>0.5</v>
      </c>
      <c r="BL99" s="38">
        <v>0</v>
      </c>
      <c r="BM99" s="38">
        <f t="shared" si="42"/>
        <v>56.704473564735594</v>
      </c>
      <c r="BN99" s="38">
        <f>+IF(BN85&gt;=0,180,0)</f>
        <v>180</v>
      </c>
      <c r="BP99">
        <f t="shared" si="44"/>
        <v>3.3295526435264406</v>
      </c>
      <c r="BQ99">
        <f t="shared" si="45"/>
        <v>-90</v>
      </c>
      <c r="BR99" s="94">
        <f t="shared" si="72"/>
        <v>2.0395981383766651E-16</v>
      </c>
      <c r="BS99" s="94">
        <f t="shared" si="73"/>
        <v>-3.3295526435264406</v>
      </c>
      <c r="BT99" s="39">
        <v>0.5</v>
      </c>
      <c r="BV99" s="39">
        <v>0.5</v>
      </c>
      <c r="BW99" s="38">
        <v>0</v>
      </c>
      <c r="BX99" s="38">
        <f t="shared" si="48"/>
        <v>68.644628908165231</v>
      </c>
      <c r="BY99" s="38">
        <f>IF(BY85&lt;12,0,180)</f>
        <v>180</v>
      </c>
      <c r="CA99">
        <f t="shared" si="50"/>
        <v>2.1355371091834767</v>
      </c>
      <c r="CB99">
        <f t="shared" si="51"/>
        <v>-90</v>
      </c>
      <c r="CC99" s="94">
        <f t="shared" si="52"/>
        <v>1.3081749948580787E-16</v>
      </c>
      <c r="CD99" s="94">
        <f t="shared" si="53"/>
        <v>-2.1355371091834767</v>
      </c>
      <c r="CE99" s="39">
        <v>0.5</v>
      </c>
      <c r="CG99" s="39">
        <v>0.5</v>
      </c>
      <c r="CH99" s="38">
        <v>0</v>
      </c>
      <c r="CI99" s="38">
        <f t="shared" si="54"/>
        <v>78.833187969938209</v>
      </c>
      <c r="CJ99" s="38">
        <f>IF(CJ85&lt;20,0,180)</f>
        <v>180</v>
      </c>
      <c r="CL99">
        <f t="shared" si="56"/>
        <v>1.1166812030061788</v>
      </c>
      <c r="CM99">
        <f t="shared" si="57"/>
        <v>-90</v>
      </c>
      <c r="CN99" s="94">
        <f t="shared" si="58"/>
        <v>6.8405012524425953E-17</v>
      </c>
      <c r="CO99" s="94">
        <f t="shared" si="59"/>
        <v>-1.1166812030061788</v>
      </c>
      <c r="CP99" s="39">
        <v>0.5</v>
      </c>
      <c r="CR99" s="39">
        <v>0.5</v>
      </c>
      <c r="CS99" s="38">
        <v>0</v>
      </c>
      <c r="CT99" s="38">
        <f t="shared" si="60"/>
        <v>84.040484116651811</v>
      </c>
      <c r="CU99" s="38">
        <f>IF(CU85&lt;23.45,0,180)</f>
        <v>180</v>
      </c>
      <c r="CW99">
        <f t="shared" si="62"/>
        <v>0.59595158833481854</v>
      </c>
      <c r="CX99">
        <f t="shared" si="63"/>
        <v>-90</v>
      </c>
      <c r="CY99" s="94">
        <f t="shared" si="64"/>
        <v>3.6506458382437044E-17</v>
      </c>
      <c r="CZ99" s="94">
        <f t="shared" si="65"/>
        <v>-0.59595158833481854</v>
      </c>
      <c r="DA99" s="39">
        <v>0.5</v>
      </c>
      <c r="DC99" s="39">
        <v>0.5</v>
      </c>
      <c r="DD99" s="38">
        <v>0</v>
      </c>
      <c r="DE99" s="38">
        <f t="shared" si="66"/>
        <v>37.47021715318634</v>
      </c>
      <c r="DF99" s="38">
        <f>+IF(DF85&gt;=-23,180,0)</f>
        <v>180</v>
      </c>
      <c r="DH99">
        <f t="shared" si="68"/>
        <v>5.2529782846813662</v>
      </c>
      <c r="DI99">
        <f t="shared" si="69"/>
        <v>-90</v>
      </c>
      <c r="DJ99" s="94">
        <f t="shared" si="70"/>
        <v>3.2178391145729545E-16</v>
      </c>
      <c r="DK99" s="94">
        <f t="shared" si="71"/>
        <v>-5.2529782846813662</v>
      </c>
      <c r="DL99" s="39">
        <v>0.5</v>
      </c>
    </row>
    <row r="100" spans="1:116" x14ac:dyDescent="0.25">
      <c r="A100">
        <v>-0.8</v>
      </c>
      <c r="B100">
        <f t="shared" si="16"/>
        <v>8.964373932405989</v>
      </c>
      <c r="C100">
        <f t="shared" si="17"/>
        <v>-8.964373932405989</v>
      </c>
      <c r="D100">
        <f t="shared" si="20"/>
        <v>7.9598994968529597</v>
      </c>
      <c r="E100">
        <f t="shared" si="21"/>
        <v>-7.9598994968529597</v>
      </c>
      <c r="F100">
        <f t="shared" si="24"/>
        <v>6.9541354602854843</v>
      </c>
      <c r="G100">
        <f t="shared" si="25"/>
        <v>-6.9541354602854843</v>
      </c>
      <c r="H100">
        <f t="shared" si="74"/>
        <v>5.9464274989274024</v>
      </c>
      <c r="I100">
        <f t="shared" si="75"/>
        <v>-5.9464274989274024</v>
      </c>
      <c r="J100">
        <f t="shared" si="10"/>
        <v>4.935585071701226</v>
      </c>
      <c r="K100">
        <f t="shared" si="11"/>
        <v>-4.935585071701226</v>
      </c>
      <c r="L100">
        <f t="shared" si="12"/>
        <v>3.9191835884530848</v>
      </c>
      <c r="M100">
        <f t="shared" si="13"/>
        <v>-3.9191835884530848</v>
      </c>
      <c r="N100">
        <f t="shared" si="14"/>
        <v>2.8913664589601922</v>
      </c>
      <c r="O100">
        <f t="shared" si="15"/>
        <v>-2.8913664589601922</v>
      </c>
      <c r="P100">
        <f t="shared" si="18"/>
        <v>1.833030277982336</v>
      </c>
      <c r="Q100">
        <f t="shared" si="19"/>
        <v>-1.833030277982336</v>
      </c>
      <c r="R100">
        <f t="shared" si="22"/>
        <v>0.59999999999999987</v>
      </c>
      <c r="S100">
        <f t="shared" si="23"/>
        <v>-0.59999999999999987</v>
      </c>
      <c r="U100" s="94">
        <v>9</v>
      </c>
      <c r="V100" s="94">
        <v>140</v>
      </c>
      <c r="W100" s="94">
        <f t="shared" si="26"/>
        <v>-6.8943999880708011</v>
      </c>
      <c r="X100" s="94">
        <f t="shared" si="27"/>
        <v>5.7850884871788555</v>
      </c>
      <c r="Y100" s="94">
        <v>9</v>
      </c>
      <c r="Z100" s="94">
        <v>320</v>
      </c>
      <c r="AA100" s="94">
        <f t="shared" si="28"/>
        <v>6.8943999880708002</v>
      </c>
      <c r="AB100" s="94">
        <f t="shared" si="29"/>
        <v>-5.7850884871788564</v>
      </c>
      <c r="AO100" s="39">
        <v>0.54166666666666596</v>
      </c>
      <c r="AP100" s="38">
        <v>-15</v>
      </c>
      <c r="AQ100" s="38">
        <f t="shared" si="30"/>
        <v>36.811263360071692</v>
      </c>
      <c r="AR100" s="38">
        <f t="shared" ref="AR100:AR110" si="76">-(180-DEGREES(ACOS((((SIN(RADIANS(AQ100)))*SIN(RADIANS($AR$85)))-SIN(RADIANS($AQ$85)))/((COS(RADIANS(AQ100)))*COS(RADIANS($AR$85))))))</f>
        <v>-162.5719521238546</v>
      </c>
      <c r="AT100">
        <f t="shared" si="32"/>
        <v>5.3188736639928305</v>
      </c>
      <c r="AU100">
        <f t="shared" ref="AU100:AU112" si="77">IF((9-(AQ100/10))&gt;9,90+(180-DEGREES(ACOS((((SIN(RADIANS(0)))*SIN(RADIANS($AR$85)))-SIN(RADIANS($AQ$85)))/((COS(RADIANS(0)))*COS(RADIANS($AR$85)))))),90-AR100)</f>
        <v>252.5719521238546</v>
      </c>
      <c r="AV100" s="94">
        <f t="shared" si="34"/>
        <v>-1.5930445940412599</v>
      </c>
      <c r="AW100" s="94">
        <f t="shared" si="35"/>
        <v>-5.0747045209462627</v>
      </c>
      <c r="AX100" s="39">
        <v>0.54166666666666596</v>
      </c>
      <c r="AZ100" s="39">
        <v>0.54166666666666596</v>
      </c>
      <c r="BA100" s="38">
        <v>-15</v>
      </c>
      <c r="BB100" s="38">
        <f t="shared" si="36"/>
        <v>43.2535093097095</v>
      </c>
      <c r="BC100" s="38">
        <f t="shared" ref="BC100:BC110" si="78">-(180-DEGREES(ACOS((((SIN(RADIANS(BB100)))*SIN(RADIANS($BC$85)))-SIN(RADIANS($BB$85)))/((COS(RADIANS(BB100)))*COS(RADIANS($BC$85))))))</f>
        <v>-159.96090838605289</v>
      </c>
      <c r="BE100">
        <f t="shared" si="38"/>
        <v>4.6746490690290496</v>
      </c>
      <c r="BF100">
        <f t="shared" ref="BF100:BF112" si="79">IF((9-(BB100/10))&gt;9,90+(180-DEGREES(ACOS((((SIN(RADIANS(0)))*SIN(RADIANS($BC$85)))-SIN(RADIANS($BB$85)))/((COS(RADIANS(0)))*COS(RADIANS($BC$85)))))),90-BC100)</f>
        <v>249.96090838605289</v>
      </c>
      <c r="BG100" s="94">
        <f t="shared" si="40"/>
        <v>-1.6018208347188794</v>
      </c>
      <c r="BH100" s="94">
        <f t="shared" si="41"/>
        <v>-4.391641371063292</v>
      </c>
      <c r="BI100" s="39">
        <v>0.54166666666666596</v>
      </c>
      <c r="BK100" s="39">
        <v>0.54166666666666596</v>
      </c>
      <c r="BL100" s="38">
        <v>-15</v>
      </c>
      <c r="BM100" s="38">
        <f t="shared" si="42"/>
        <v>53.721651477607679</v>
      </c>
      <c r="BN100" s="38">
        <f t="shared" ref="BN100:BN110" si="80">-(180-DEGREES(ACOS((((SIN(RADIANS(BM100)))*SIN(RADIANS($BN$85)))-SIN(RADIANS($BM$85)))/((COS(RADIANS(BM100)))*COS(RADIANS($BN$85))))))</f>
        <v>-154.13665034646286</v>
      </c>
      <c r="BP100">
        <f t="shared" si="44"/>
        <v>3.6278348522392321</v>
      </c>
      <c r="BQ100">
        <f t="shared" ref="BQ100:BQ112" si="81">IF((9-(BM100/10))&gt;9,90+(180-DEGREES(ACOS((((SIN(RADIANS(0)))*SIN(RADIANS($BN$85)))-SIN(RADIANS($BM$85)))/((COS(RADIANS(0)))*COS(RADIANS($BN$85)))))),90-BN100)</f>
        <v>244.13665034646286</v>
      </c>
      <c r="BR100" s="94">
        <f t="shared" si="72"/>
        <v>-1.5825569006738291</v>
      </c>
      <c r="BS100" s="94">
        <f t="shared" si="73"/>
        <v>-3.2644600428327033</v>
      </c>
      <c r="BT100" s="39">
        <v>0.54166666666666596</v>
      </c>
      <c r="BV100" s="39">
        <v>0.54166666666666596</v>
      </c>
      <c r="BW100" s="38">
        <v>-15</v>
      </c>
      <c r="BX100" s="38">
        <f t="shared" si="48"/>
        <v>64.399813806231478</v>
      </c>
      <c r="BY100" s="38">
        <f t="shared" ref="BY100:BY110" si="82">-(180-DEGREES(ACOS((((SIN(RADIANS(BX100)))*SIN(RADIANS($BY$85)))-SIN(RADIANS($BX$85)))/((COS(RADIANS(BX100)))*COS(RADIANS($BY$85))))))</f>
        <v>-143.58998089453021</v>
      </c>
      <c r="CA100">
        <f t="shared" si="50"/>
        <v>2.5600186193768524</v>
      </c>
      <c r="CB100">
        <f t="shared" ref="CB100:CB112" si="83">IF((9-(BX100/10))&gt;9,90+(180-DEGREES(ACOS((((SIN(RADIANS(0)))*SIN(RADIANS($BY$85)))-SIN(RADIANS($BX$85)))/((COS(RADIANS(0)))*COS(RADIANS($BY$85)))))),90-BY100)</f>
        <v>233.58998089453021</v>
      </c>
      <c r="CC100" s="94">
        <f t="shared" si="52"/>
        <v>-1.5195236952779616</v>
      </c>
      <c r="CD100" s="94">
        <f t="shared" si="53"/>
        <v>-2.0602774257475556</v>
      </c>
      <c r="CE100" s="39">
        <v>0.54166666666666596</v>
      </c>
      <c r="CG100" s="39">
        <v>0.54166666666666596</v>
      </c>
      <c r="CH100" s="38">
        <v>-15</v>
      </c>
      <c r="CI100" s="38">
        <f t="shared" si="54"/>
        <v>72.313335780227064</v>
      </c>
      <c r="CJ100" s="38">
        <f t="shared" ref="CJ100:CJ110" si="84">-(180-DEGREES(ACOS((((SIN(RADIANS(CI100)))*SIN(RADIANS($CJ$85)))-SIN(RADIANS($CI$85)))/((COS(RADIANS(CI100)))*COS(RADIANS($CJ$85))))))</f>
        <v>-125.84444444383482</v>
      </c>
      <c r="CL100">
        <f t="shared" si="56"/>
        <v>1.7686664219772936</v>
      </c>
      <c r="CM100">
        <f t="shared" ref="CM100:CM112" si="85">IF((9-(CI100/10))&gt;9,90+(180-DEGREES(ACOS((((SIN(RADIANS(0)))*SIN(RADIANS($CJ$85)))-SIN(RADIANS($CI$85)))/((COS(RADIANS(0)))*COS(RADIANS($CJ$85)))))),90-CJ100)</f>
        <v>215.84444444383482</v>
      </c>
      <c r="CN100" s="94">
        <f t="shared" si="58"/>
        <v>-1.4336983739441382</v>
      </c>
      <c r="CO100" s="94">
        <f t="shared" si="59"/>
        <v>-1.035707432038554</v>
      </c>
      <c r="CP100" s="39">
        <v>0.54166666666666596</v>
      </c>
      <c r="CR100" s="39">
        <v>0.54166666666666596</v>
      </c>
      <c r="CS100" s="38">
        <v>-15</v>
      </c>
      <c r="CT100" s="38">
        <f t="shared" si="60"/>
        <v>75.286617836966144</v>
      </c>
      <c r="CU100" s="38">
        <f t="shared" ref="CU100:CU110" si="86">-(180-DEGREES(ACOS((((SIN(RADIANS(CT100)))*SIN(RADIANS($CU$85)))-SIN(RADIANS($CT$85)))/((COS(RADIANS(CT100)))*COS(RADIANS($CU$85))))))</f>
        <v>-110.41519717198776</v>
      </c>
      <c r="CW100">
        <f t="shared" si="62"/>
        <v>1.4713382163033852</v>
      </c>
      <c r="CX100">
        <f t="shared" ref="CX100:CX111" si="87">IF((9-(CT100/10))&gt;9,90+(180-DEGREES(ACOS((((SIN(RADIANS(0)))*SIN(RADIANS($CU$85)))-SIN(RADIANS($CT$85)))/((COS(RADIANS(0)))*COS(RADIANS($CU$85)))))),90-CU100)</f>
        <v>200.41519717198776</v>
      </c>
      <c r="CY100" s="94">
        <f t="shared" si="64"/>
        <v>-1.3789227287883621</v>
      </c>
      <c r="CZ100" s="94">
        <f t="shared" si="65"/>
        <v>-0.51323313882258681</v>
      </c>
      <c r="DA100" s="39">
        <v>0.54166666666666596</v>
      </c>
      <c r="DC100" s="39">
        <v>0.54166666666666596</v>
      </c>
      <c r="DD100" s="38">
        <v>-15</v>
      </c>
      <c r="DE100" s="38">
        <f t="shared" si="66"/>
        <v>35.522989333110019</v>
      </c>
      <c r="DF100" s="38">
        <f t="shared" ref="DF100:DF110" si="88">-(180-DEGREES(ACOS((((SIN(RADIANS(DE100)))*SIN(RADIANS($DF$85)))-SIN(RADIANS($DE$85)))/((COS(RADIANS(DE100)))*COS(RADIANS($DF$85))))))</f>
        <v>-163.03777709301244</v>
      </c>
      <c r="DH100">
        <f t="shared" si="68"/>
        <v>5.4477010666889978</v>
      </c>
      <c r="DI100">
        <f t="shared" ref="DI100:DI112" si="89">IF((9-(DE100/10))&gt;9,90+(180-DEGREES(ACOS((((SIN(RADIANS(0)))*SIN(RADIANS($DF$85)))-SIN(RADIANS($DE$85)))/((COS(RADIANS(0)))*COS(RADIANS($DF$85)))))),90-DF100)</f>
        <v>253.03777709301244</v>
      </c>
      <c r="DJ100" s="94">
        <f t="shared" si="70"/>
        <v>-1.5893183907474944</v>
      </c>
      <c r="DK100" s="94">
        <f t="shared" si="71"/>
        <v>-5.2107114643622552</v>
      </c>
      <c r="DL100" s="39">
        <v>0.54166666666666596</v>
      </c>
    </row>
    <row r="101" spans="1:116" x14ac:dyDescent="0.25">
      <c r="A101">
        <v>-0.9</v>
      </c>
      <c r="B101">
        <f t="shared" si="16"/>
        <v>8.95488693395958</v>
      </c>
      <c r="C101">
        <f t="shared" si="17"/>
        <v>-8.95488693395958</v>
      </c>
      <c r="D101">
        <f t="shared" si="20"/>
        <v>7.94921379760288</v>
      </c>
      <c r="E101">
        <f t="shared" si="21"/>
        <v>-7.94921379760288</v>
      </c>
      <c r="F101">
        <f t="shared" si="24"/>
        <v>6.9419017567234409</v>
      </c>
      <c r="G101">
        <f t="shared" si="25"/>
        <v>-6.9419017567234409</v>
      </c>
      <c r="H101">
        <f t="shared" si="74"/>
        <v>5.9321159799855563</v>
      </c>
      <c r="I101">
        <f t="shared" si="75"/>
        <v>-5.9321159799855563</v>
      </c>
      <c r="J101">
        <f t="shared" si="10"/>
        <v>4.9183330509431755</v>
      </c>
      <c r="K101">
        <f t="shared" si="11"/>
        <v>-4.9183330509431755</v>
      </c>
      <c r="L101">
        <f t="shared" si="12"/>
        <v>3.8974350539810154</v>
      </c>
      <c r="M101">
        <f t="shared" si="13"/>
        <v>-3.8974350539810154</v>
      </c>
      <c r="N101">
        <f t="shared" si="14"/>
        <v>2.8618176042508368</v>
      </c>
      <c r="O101">
        <f t="shared" si="15"/>
        <v>-2.8618176042508368</v>
      </c>
      <c r="P101">
        <f t="shared" si="18"/>
        <v>1.7860571099491751</v>
      </c>
      <c r="Q101">
        <f t="shared" si="19"/>
        <v>-1.7860571099491751</v>
      </c>
      <c r="R101">
        <f t="shared" si="22"/>
        <v>0.43588989435406728</v>
      </c>
      <c r="S101">
        <f t="shared" si="23"/>
        <v>-0.43588989435406728</v>
      </c>
      <c r="U101" s="94">
        <v>9</v>
      </c>
      <c r="V101" s="94">
        <v>150</v>
      </c>
      <c r="W101" s="94">
        <f t="shared" si="26"/>
        <v>-7.794228634059948</v>
      </c>
      <c r="X101" s="94">
        <f t="shared" si="27"/>
        <v>4.4999999999999991</v>
      </c>
      <c r="Y101" s="94">
        <v>9</v>
      </c>
      <c r="Z101" s="94">
        <v>330</v>
      </c>
      <c r="AA101" s="94">
        <f t="shared" si="28"/>
        <v>7.7942286340599454</v>
      </c>
      <c r="AB101" s="94">
        <f t="shared" si="29"/>
        <v>-4.5000000000000036</v>
      </c>
      <c r="AO101" s="39">
        <v>0.58333333333333304</v>
      </c>
      <c r="AP101" s="38">
        <v>-30</v>
      </c>
      <c r="AQ101" s="38">
        <f t="shared" si="30"/>
        <v>31.217808683018777</v>
      </c>
      <c r="AR101" s="38">
        <f t="shared" si="76"/>
        <v>-147.20252877534776</v>
      </c>
      <c r="AT101">
        <f t="shared" si="32"/>
        <v>5.8782191316981223</v>
      </c>
      <c r="AU101">
        <f t="shared" si="77"/>
        <v>237.20252877534776</v>
      </c>
      <c r="AV101" s="94">
        <f t="shared" si="34"/>
        <v>-3.1840614875621553</v>
      </c>
      <c r="AW101" s="94">
        <f t="shared" si="35"/>
        <v>-4.941175224952592</v>
      </c>
      <c r="AX101" s="39">
        <v>0.58333333333333304</v>
      </c>
      <c r="AZ101" s="39">
        <v>0.58333333333333304</v>
      </c>
      <c r="BA101" s="38">
        <v>-30</v>
      </c>
      <c r="BB101" s="38">
        <f t="shared" si="36"/>
        <v>36.94444539822846</v>
      </c>
      <c r="BC101" s="38">
        <f t="shared" si="78"/>
        <v>-142.89664703004638</v>
      </c>
      <c r="BE101">
        <f t="shared" si="38"/>
        <v>5.3055554601771542</v>
      </c>
      <c r="BF101">
        <f t="shared" si="79"/>
        <v>232.89664703004638</v>
      </c>
      <c r="BG101" s="94">
        <f t="shared" si="40"/>
        <v>-3.2006010638105553</v>
      </c>
      <c r="BH101" s="94">
        <f t="shared" si="41"/>
        <v>-4.2314384754301173</v>
      </c>
      <c r="BI101" s="39">
        <v>0.58333333333333304</v>
      </c>
      <c r="BK101" s="39">
        <v>0.58333333333333304</v>
      </c>
      <c r="BL101" s="38">
        <v>-30</v>
      </c>
      <c r="BM101" s="38">
        <f t="shared" si="42"/>
        <v>45.978655929743674</v>
      </c>
      <c r="BN101" s="38">
        <f t="shared" si="80"/>
        <v>-134.1470799889712</v>
      </c>
      <c r="BP101">
        <f t="shared" si="44"/>
        <v>4.402134407025633</v>
      </c>
      <c r="BQ101">
        <f t="shared" si="81"/>
        <v>224.1470799889712</v>
      </c>
      <c r="BR101" s="94">
        <f t="shared" si="72"/>
        <v>-3.1587701351887123</v>
      </c>
      <c r="BS101" s="94">
        <f t="shared" si="73"/>
        <v>-3.0660982649874096</v>
      </c>
      <c r="BT101" s="39">
        <v>0.58333333333333304</v>
      </c>
      <c r="BV101" s="39">
        <v>0.58333333333333304</v>
      </c>
      <c r="BW101" s="38">
        <v>-30</v>
      </c>
      <c r="BX101" s="38">
        <f t="shared" si="48"/>
        <v>54.618641174592703</v>
      </c>
      <c r="BY101" s="38">
        <f t="shared" si="82"/>
        <v>-121.16307222620452</v>
      </c>
      <c r="CA101">
        <f t="shared" si="50"/>
        <v>3.5381358825407299</v>
      </c>
      <c r="CB101">
        <f t="shared" si="83"/>
        <v>211.16307222620452</v>
      </c>
      <c r="CC101" s="94">
        <f t="shared" si="52"/>
        <v>-3.0275756452513924</v>
      </c>
      <c r="CD101" s="94">
        <f t="shared" si="53"/>
        <v>-1.830899023868571</v>
      </c>
      <c r="CE101" s="39">
        <v>0.58333333333333304</v>
      </c>
      <c r="CG101" s="39">
        <v>0.58333333333333304</v>
      </c>
      <c r="CH101" s="38">
        <v>-30</v>
      </c>
      <c r="CI101" s="38">
        <f t="shared" si="54"/>
        <v>60.418849938512295</v>
      </c>
      <c r="CJ101" s="38">
        <f t="shared" si="84"/>
        <v>-105.47388867741584</v>
      </c>
      <c r="CL101">
        <f t="shared" si="56"/>
        <v>2.9581150061487707</v>
      </c>
      <c r="CM101">
        <f t="shared" si="85"/>
        <v>195.47388867741586</v>
      </c>
      <c r="CN101" s="94">
        <f t="shared" si="58"/>
        <v>-2.8508896713723404</v>
      </c>
      <c r="CO101" s="94">
        <f t="shared" si="59"/>
        <v>-0.78922270067773104</v>
      </c>
      <c r="CP101" s="39">
        <v>0.58333333333333304</v>
      </c>
      <c r="CR101" s="39">
        <v>0.58333333333333304</v>
      </c>
      <c r="CS101" s="38">
        <v>-30</v>
      </c>
      <c r="CT101" s="38">
        <f t="shared" si="60"/>
        <v>62.487949611154917</v>
      </c>
      <c r="CU101" s="38">
        <f t="shared" si="86"/>
        <v>-95.458320455047897</v>
      </c>
      <c r="CW101">
        <f t="shared" si="62"/>
        <v>2.7512050388845086</v>
      </c>
      <c r="CX101">
        <f t="shared" si="87"/>
        <v>185.4583204550479</v>
      </c>
      <c r="CY101" s="94">
        <f t="shared" si="64"/>
        <v>-2.7387301330387381</v>
      </c>
      <c r="CZ101" s="94">
        <f t="shared" si="65"/>
        <v>-0.26169911037129179</v>
      </c>
      <c r="DA101" s="39">
        <v>0.58333333333333304</v>
      </c>
      <c r="DC101" s="39">
        <v>0.58333333333333304</v>
      </c>
      <c r="DD101" s="38">
        <v>-30</v>
      </c>
      <c r="DE101" s="38">
        <f t="shared" si="66"/>
        <v>30.061756873161897</v>
      </c>
      <c r="DF101" s="38">
        <f t="shared" si="88"/>
        <v>-147.99477629228704</v>
      </c>
      <c r="DH101">
        <f t="shared" si="68"/>
        <v>5.9938243126838104</v>
      </c>
      <c r="DI101">
        <f t="shared" si="89"/>
        <v>237.99477629228704</v>
      </c>
      <c r="DJ101" s="94">
        <f t="shared" si="70"/>
        <v>-3.176706382874344</v>
      </c>
      <c r="DK101" s="94">
        <f t="shared" si="71"/>
        <v>-5.0827616950162984</v>
      </c>
      <c r="DL101" s="39">
        <v>0.58333333333333304</v>
      </c>
    </row>
    <row r="102" spans="1:116" x14ac:dyDescent="0.25">
      <c r="A102">
        <v>-1</v>
      </c>
      <c r="B102">
        <f t="shared" si="16"/>
        <v>8.9442719099991592</v>
      </c>
      <c r="C102">
        <f t="shared" si="17"/>
        <v>-8.9442719099991592</v>
      </c>
      <c r="D102">
        <f t="shared" si="20"/>
        <v>7.9372539331937721</v>
      </c>
      <c r="E102">
        <f t="shared" si="21"/>
        <v>-7.9372539331937721</v>
      </c>
      <c r="F102">
        <f t="shared" si="24"/>
        <v>6.9282032302755088</v>
      </c>
      <c r="G102">
        <f t="shared" si="25"/>
        <v>-6.9282032302755088</v>
      </c>
      <c r="H102">
        <f t="shared" si="74"/>
        <v>5.9160797830996161</v>
      </c>
      <c r="I102">
        <f t="shared" si="75"/>
        <v>-5.9160797830996161</v>
      </c>
      <c r="J102">
        <f t="shared" si="10"/>
        <v>4.8989794855663558</v>
      </c>
      <c r="K102">
        <f t="shared" si="11"/>
        <v>-4.8989794855663558</v>
      </c>
      <c r="L102">
        <f t="shared" si="12"/>
        <v>3.872983346207417</v>
      </c>
      <c r="M102">
        <f t="shared" si="13"/>
        <v>-3.872983346207417</v>
      </c>
      <c r="N102">
        <f t="shared" si="14"/>
        <v>2.8284271247461903</v>
      </c>
      <c r="O102">
        <f t="shared" si="15"/>
        <v>-2.8284271247461903</v>
      </c>
      <c r="P102">
        <f t="shared" si="18"/>
        <v>1.7320508075688772</v>
      </c>
      <c r="Q102">
        <f t="shared" si="19"/>
        <v>-1.7320508075688772</v>
      </c>
      <c r="R102">
        <f t="shared" si="22"/>
        <v>0</v>
      </c>
      <c r="S102">
        <f t="shared" si="23"/>
        <v>0</v>
      </c>
      <c r="U102" s="94">
        <v>9</v>
      </c>
      <c r="V102" s="94">
        <v>160</v>
      </c>
      <c r="W102" s="94">
        <f t="shared" si="26"/>
        <v>-8.4572335870731745</v>
      </c>
      <c r="X102" s="94">
        <f t="shared" si="27"/>
        <v>3.0781812899310199</v>
      </c>
      <c r="Y102" s="94">
        <v>9</v>
      </c>
      <c r="Z102" s="94">
        <v>340</v>
      </c>
      <c r="AA102" s="94">
        <f t="shared" si="28"/>
        <v>8.4572335870731763</v>
      </c>
      <c r="AB102" s="94">
        <f t="shared" si="29"/>
        <v>-3.0781812899310173</v>
      </c>
      <c r="AO102" s="39">
        <v>0.625</v>
      </c>
      <c r="AP102" s="38">
        <v>-45</v>
      </c>
      <c r="AQ102" s="38">
        <f t="shared" si="30"/>
        <v>22.930756425404709</v>
      </c>
      <c r="AR102" s="38">
        <f t="shared" si="76"/>
        <v>-134.65671961264201</v>
      </c>
      <c r="AT102">
        <f t="shared" si="32"/>
        <v>6.7069243574595294</v>
      </c>
      <c r="AU102">
        <f t="shared" si="77"/>
        <v>224.65671961264201</v>
      </c>
      <c r="AV102" s="94">
        <f t="shared" si="34"/>
        <v>-4.7708405610154339</v>
      </c>
      <c r="AW102" s="94">
        <f t="shared" si="35"/>
        <v>-4.7140125878124106</v>
      </c>
      <c r="AX102" s="39">
        <v>0.625</v>
      </c>
      <c r="AZ102" s="39">
        <v>0.625</v>
      </c>
      <c r="BA102" s="38">
        <v>-45</v>
      </c>
      <c r="BB102" s="38">
        <f t="shared" si="36"/>
        <v>27.847371205928958</v>
      </c>
      <c r="BC102" s="38">
        <f t="shared" si="78"/>
        <v>-129.54363287993408</v>
      </c>
      <c r="BE102">
        <f t="shared" si="38"/>
        <v>6.2152628794071045</v>
      </c>
      <c r="BF102">
        <f t="shared" si="79"/>
        <v>219.54363287993408</v>
      </c>
      <c r="BG102" s="94">
        <f t="shared" si="40"/>
        <v>-4.792837582647314</v>
      </c>
      <c r="BH102" s="94">
        <f t="shared" si="41"/>
        <v>-3.957044423114219</v>
      </c>
      <c r="BI102" s="39">
        <v>0.625</v>
      </c>
      <c r="BK102" s="39">
        <v>0.625</v>
      </c>
      <c r="BL102" s="38">
        <v>-45</v>
      </c>
      <c r="BM102" s="38">
        <f t="shared" si="42"/>
        <v>35.49071849161092</v>
      </c>
      <c r="BN102" s="38">
        <f t="shared" si="80"/>
        <v>-119.99048573125475</v>
      </c>
      <c r="BP102">
        <f t="shared" si="44"/>
        <v>5.4509281508389078</v>
      </c>
      <c r="BQ102">
        <f t="shared" si="81"/>
        <v>209.99048573125475</v>
      </c>
      <c r="BR102" s="94">
        <f t="shared" si="72"/>
        <v>-4.7210947655407791</v>
      </c>
      <c r="BS102" s="94">
        <f t="shared" si="73"/>
        <v>-2.7246801501078117</v>
      </c>
      <c r="BT102" s="39">
        <v>0.625</v>
      </c>
      <c r="BV102" s="39">
        <v>0.625</v>
      </c>
      <c r="BW102" s="38">
        <v>-45</v>
      </c>
      <c r="BX102" s="38">
        <f t="shared" si="48"/>
        <v>42.663463448393529</v>
      </c>
      <c r="BY102" s="38">
        <f t="shared" si="82"/>
        <v>-107.66062257112267</v>
      </c>
      <c r="CA102">
        <f t="shared" si="50"/>
        <v>4.733653655160647</v>
      </c>
      <c r="CB102">
        <f t="shared" si="83"/>
        <v>197.66062257112267</v>
      </c>
      <c r="CC102" s="94">
        <f t="shared" si="52"/>
        <v>-4.5105575419044515</v>
      </c>
      <c r="CD102" s="94">
        <f t="shared" si="53"/>
        <v>-1.4360875976710543</v>
      </c>
      <c r="CE102" s="39">
        <v>0.625</v>
      </c>
      <c r="CG102" s="39">
        <v>0.625</v>
      </c>
      <c r="CH102" s="38">
        <v>-45</v>
      </c>
      <c r="CI102" s="38">
        <f t="shared" si="54"/>
        <v>47.519261224452976</v>
      </c>
      <c r="CJ102" s="38">
        <f t="shared" si="84"/>
        <v>-94.944817071916091</v>
      </c>
      <c r="CL102">
        <f t="shared" si="56"/>
        <v>4.2480738775547024</v>
      </c>
      <c r="CM102">
        <f t="shared" si="85"/>
        <v>184.94481707191608</v>
      </c>
      <c r="CN102" s="94">
        <f t="shared" si="58"/>
        <v>-4.2322633019278983</v>
      </c>
      <c r="CO102" s="94">
        <f t="shared" si="59"/>
        <v>-0.3661680110509456</v>
      </c>
      <c r="CP102" s="39">
        <v>0.625</v>
      </c>
      <c r="CR102" s="39">
        <v>0.625</v>
      </c>
      <c r="CS102" s="38">
        <v>-45</v>
      </c>
      <c r="CT102" s="38">
        <f t="shared" si="60"/>
        <v>49.392241958613631</v>
      </c>
      <c r="CU102" s="38">
        <f t="shared" si="86"/>
        <v>-87.614133955275165</v>
      </c>
      <c r="CW102">
        <f t="shared" si="62"/>
        <v>4.060775804138637</v>
      </c>
      <c r="CX102">
        <f t="shared" si="87"/>
        <v>177.61413395527518</v>
      </c>
      <c r="CY102" s="94">
        <f t="shared" si="64"/>
        <v>-4.0572556384225589</v>
      </c>
      <c r="CZ102" s="94">
        <f t="shared" si="65"/>
        <v>0.16904678632304337</v>
      </c>
      <c r="DA102" s="39">
        <v>0.625</v>
      </c>
      <c r="DC102" s="39">
        <v>0.625</v>
      </c>
      <c r="DD102" s="38">
        <v>-45</v>
      </c>
      <c r="DE102" s="38">
        <f t="shared" si="66"/>
        <v>21.932757611792816</v>
      </c>
      <c r="DF102" s="38">
        <f t="shared" si="88"/>
        <v>-135.62743572218571</v>
      </c>
      <c r="DH102">
        <f t="shared" si="68"/>
        <v>6.8067242388207188</v>
      </c>
      <c r="DI102">
        <f t="shared" si="89"/>
        <v>225.62743572218571</v>
      </c>
      <c r="DJ102" s="94">
        <f t="shared" si="70"/>
        <v>-4.7600861515158286</v>
      </c>
      <c r="DK102" s="94">
        <f t="shared" si="71"/>
        <v>-4.8654984013456133</v>
      </c>
      <c r="DL102" s="39">
        <v>0.625</v>
      </c>
    </row>
    <row r="103" spans="1:116" x14ac:dyDescent="0.25">
      <c r="A103">
        <v>-1.1000000000000001</v>
      </c>
      <c r="B103">
        <f t="shared" si="16"/>
        <v>8.9325248390362741</v>
      </c>
      <c r="C103">
        <f t="shared" si="17"/>
        <v>-8.9325248390362741</v>
      </c>
      <c r="D103">
        <f t="shared" si="20"/>
        <v>7.9240141342630128</v>
      </c>
      <c r="E103">
        <f t="shared" si="21"/>
        <v>-7.9240141342630128</v>
      </c>
      <c r="F103">
        <f t="shared" si="24"/>
        <v>6.9130311730817473</v>
      </c>
      <c r="G103">
        <f t="shared" si="25"/>
        <v>-6.9130311730817473</v>
      </c>
      <c r="H103">
        <f t="shared" si="74"/>
        <v>5.8983048412234513</v>
      </c>
      <c r="I103">
        <f t="shared" si="75"/>
        <v>-5.8983048412234513</v>
      </c>
      <c r="J103">
        <f t="shared" si="10"/>
        <v>4.8774993593028793</v>
      </c>
      <c r="K103">
        <f t="shared" si="11"/>
        <v>-4.8774993593028793</v>
      </c>
      <c r="L103">
        <f t="shared" si="12"/>
        <v>3.8457769046058821</v>
      </c>
      <c r="M103">
        <f t="shared" si="13"/>
        <v>-3.8457769046058821</v>
      </c>
      <c r="N103">
        <f t="shared" si="14"/>
        <v>2.7910571473905725</v>
      </c>
      <c r="O103">
        <f t="shared" si="15"/>
        <v>-2.7910571473905725</v>
      </c>
      <c r="P103">
        <f t="shared" si="18"/>
        <v>1.6703293088490065</v>
      </c>
      <c r="Q103">
        <f t="shared" si="19"/>
        <v>-1.6703293088490065</v>
      </c>
      <c r="U103" s="94">
        <v>9</v>
      </c>
      <c r="V103" s="94">
        <v>170</v>
      </c>
      <c r="W103" s="94">
        <f t="shared" si="26"/>
        <v>-8.8632697771098723</v>
      </c>
      <c r="X103" s="94">
        <f t="shared" si="27"/>
        <v>1.5628335990023725</v>
      </c>
      <c r="Y103" s="94">
        <v>9</v>
      </c>
      <c r="Z103" s="94">
        <v>350</v>
      </c>
      <c r="AA103" s="94">
        <f t="shared" si="28"/>
        <v>8.8632697771098723</v>
      </c>
      <c r="AB103" s="94">
        <f t="shared" si="29"/>
        <v>-1.5628335990023734</v>
      </c>
      <c r="AO103" s="39">
        <v>0.66666666666666596</v>
      </c>
      <c r="AP103" s="38">
        <v>-60</v>
      </c>
      <c r="AQ103" s="38">
        <f t="shared" si="30"/>
        <v>12.822214610282128</v>
      </c>
      <c r="AR103" s="38">
        <f t="shared" si="76"/>
        <v>-124.62657247743616</v>
      </c>
      <c r="AT103">
        <f t="shared" si="32"/>
        <v>7.7177785389717872</v>
      </c>
      <c r="AU103">
        <f t="shared" si="77"/>
        <v>214.62657247743616</v>
      </c>
      <c r="AV103" s="94">
        <f t="shared" si="34"/>
        <v>-6.3507510164986254</v>
      </c>
      <c r="AW103" s="94">
        <f t="shared" si="35"/>
        <v>-4.3854380742469932</v>
      </c>
      <c r="AX103" s="39">
        <v>0.66666666666666596</v>
      </c>
      <c r="AZ103" s="39">
        <v>0.66666666666666596</v>
      </c>
      <c r="BA103" s="38">
        <v>-60</v>
      </c>
      <c r="BB103" s="38">
        <f t="shared" si="36"/>
        <v>17.012874995336517</v>
      </c>
      <c r="BC103" s="38">
        <f t="shared" si="78"/>
        <v>-119.15629368068804</v>
      </c>
      <c r="BE103">
        <f t="shared" si="38"/>
        <v>7.2987125004663485</v>
      </c>
      <c r="BF103">
        <f t="shared" si="79"/>
        <v>209.15629368068804</v>
      </c>
      <c r="BG103" s="94">
        <f t="shared" si="40"/>
        <v>-6.3739216297498285</v>
      </c>
      <c r="BH103" s="94">
        <f t="shared" si="41"/>
        <v>-3.5558862780284506</v>
      </c>
      <c r="BI103" s="39">
        <v>0.66666666666666596</v>
      </c>
      <c r="BK103" s="39">
        <v>0.66666666666666596</v>
      </c>
      <c r="BL103" s="38">
        <v>-60</v>
      </c>
      <c r="BM103" s="38">
        <f t="shared" si="42"/>
        <v>23.5820196394737</v>
      </c>
      <c r="BN103" s="38">
        <f t="shared" si="80"/>
        <v>-109.54442448396416</v>
      </c>
      <c r="BP103">
        <f t="shared" si="44"/>
        <v>6.6417980360526299</v>
      </c>
      <c r="BQ103">
        <f t="shared" si="81"/>
        <v>199.54442448396418</v>
      </c>
      <c r="BR103" s="94">
        <f t="shared" si="72"/>
        <v>-6.2591135034701519</v>
      </c>
      <c r="BS103" s="94">
        <f t="shared" si="73"/>
        <v>-2.2219314351235457</v>
      </c>
      <c r="BT103" s="39">
        <v>0.66666666666666596</v>
      </c>
      <c r="BV103" s="39">
        <v>0.66666666666666596</v>
      </c>
      <c r="BW103" s="38">
        <v>-60</v>
      </c>
      <c r="BX103" s="38">
        <f t="shared" si="48"/>
        <v>29.88984365984685</v>
      </c>
      <c r="BY103" s="38">
        <f t="shared" si="82"/>
        <v>-98.178925560955776</v>
      </c>
      <c r="CA103">
        <f t="shared" si="50"/>
        <v>6.0110156340153154</v>
      </c>
      <c r="CB103">
        <f t="shared" si="83"/>
        <v>188.17892556095578</v>
      </c>
      <c r="CC103" s="94">
        <f t="shared" si="52"/>
        <v>-5.9498753428282356</v>
      </c>
      <c r="CD103" s="94">
        <f t="shared" si="53"/>
        <v>-0.85515633493597099</v>
      </c>
      <c r="CE103" s="39">
        <v>0.66666666666666596</v>
      </c>
      <c r="CG103" s="39">
        <v>0.66666666666666596</v>
      </c>
      <c r="CH103" s="38">
        <v>-60</v>
      </c>
      <c r="CI103" s="38">
        <f t="shared" si="54"/>
        <v>34.421688460547578</v>
      </c>
      <c r="CJ103" s="38">
        <f t="shared" si="84"/>
        <v>-87.389663704152156</v>
      </c>
      <c r="CL103">
        <f t="shared" si="56"/>
        <v>5.5578311539452425</v>
      </c>
      <c r="CM103">
        <f t="shared" si="85"/>
        <v>177.38966370415216</v>
      </c>
      <c r="CN103" s="94">
        <f t="shared" si="58"/>
        <v>-5.5520641812898193</v>
      </c>
      <c r="CO103" s="94">
        <f t="shared" si="59"/>
        <v>0.25312143844983048</v>
      </c>
      <c r="CP103" s="39">
        <v>0.66666666666666596</v>
      </c>
      <c r="CR103" s="39">
        <v>0.66666666666666596</v>
      </c>
      <c r="CS103" s="38">
        <v>-60</v>
      </c>
      <c r="CT103" s="38">
        <f t="shared" si="60"/>
        <v>36.350375327550033</v>
      </c>
      <c r="CU103" s="38">
        <f t="shared" si="86"/>
        <v>-81.455117320378122</v>
      </c>
      <c r="CW103">
        <f t="shared" si="62"/>
        <v>5.3649624672449967</v>
      </c>
      <c r="CX103">
        <f t="shared" si="87"/>
        <v>171.45511732037812</v>
      </c>
      <c r="CY103" s="94">
        <f t="shared" si="64"/>
        <v>-5.3054101678542844</v>
      </c>
      <c r="CZ103" s="94">
        <f t="shared" si="65"/>
        <v>0.79714818307256685</v>
      </c>
      <c r="DA103" s="39">
        <v>0.66666666666666596</v>
      </c>
      <c r="DC103" s="39">
        <v>0.66666666666666596</v>
      </c>
      <c r="DD103" s="38">
        <v>-60</v>
      </c>
      <c r="DE103" s="38">
        <f t="shared" si="66"/>
        <v>11.973998043852726</v>
      </c>
      <c r="DF103" s="38">
        <f t="shared" si="88"/>
        <v>-125.69140900534735</v>
      </c>
      <c r="DH103">
        <f t="shared" si="68"/>
        <v>7.802600195614728</v>
      </c>
      <c r="DI103">
        <f t="shared" si="89"/>
        <v>215.69140900534734</v>
      </c>
      <c r="DJ103" s="94">
        <f t="shared" si="70"/>
        <v>-6.3370457173808665</v>
      </c>
      <c r="DK103" s="94">
        <f t="shared" si="71"/>
        <v>-4.5521886371757274</v>
      </c>
      <c r="DL103" s="39">
        <v>0.66666666666666596</v>
      </c>
    </row>
    <row r="104" spans="1:116" x14ac:dyDescent="0.25">
      <c r="A104">
        <v>-1.2</v>
      </c>
      <c r="B104">
        <f t="shared" si="16"/>
        <v>8.9196412483911036</v>
      </c>
      <c r="C104">
        <f t="shared" si="17"/>
        <v>-8.9196412483911036</v>
      </c>
      <c r="D104">
        <f t="shared" si="20"/>
        <v>7.9094879733140759</v>
      </c>
      <c r="E104">
        <f t="shared" si="21"/>
        <v>-7.9094879733140759</v>
      </c>
      <c r="F104">
        <f t="shared" si="24"/>
        <v>6.8963758598266676</v>
      </c>
      <c r="G104">
        <f t="shared" si="25"/>
        <v>-6.8963758598266676</v>
      </c>
      <c r="H104">
        <f t="shared" si="74"/>
        <v>5.8787753826796276</v>
      </c>
      <c r="I104">
        <f t="shared" si="75"/>
        <v>-5.8787753826796276</v>
      </c>
      <c r="J104">
        <f t="shared" si="10"/>
        <v>4.8538644398046387</v>
      </c>
      <c r="K104">
        <f t="shared" si="11"/>
        <v>-4.8538644398046387</v>
      </c>
      <c r="L104">
        <f t="shared" si="12"/>
        <v>3.8157568056677826</v>
      </c>
      <c r="M104">
        <f t="shared" si="13"/>
        <v>-3.8157568056677826</v>
      </c>
      <c r="N104">
        <f t="shared" si="14"/>
        <v>2.7495454169735041</v>
      </c>
      <c r="O104">
        <f t="shared" si="15"/>
        <v>-2.7495454169735041</v>
      </c>
      <c r="P104">
        <f t="shared" si="18"/>
        <v>1.6</v>
      </c>
      <c r="Q104">
        <f t="shared" si="19"/>
        <v>-1.6</v>
      </c>
      <c r="U104" s="94">
        <v>9</v>
      </c>
      <c r="V104" s="94">
        <v>180</v>
      </c>
      <c r="W104" s="94">
        <f t="shared" si="26"/>
        <v>-9</v>
      </c>
      <c r="X104" s="94">
        <f t="shared" si="27"/>
        <v>1.102633609417758E-15</v>
      </c>
      <c r="Y104" s="94">
        <v>9</v>
      </c>
      <c r="Z104" s="94">
        <v>360</v>
      </c>
      <c r="AA104" s="94">
        <f t="shared" si="28"/>
        <v>9</v>
      </c>
      <c r="AB104" s="94">
        <f t="shared" si="29"/>
        <v>-2.205267218835516E-15</v>
      </c>
      <c r="AO104" s="39">
        <v>0.70833333333333304</v>
      </c>
      <c r="AP104" s="38">
        <v>-75</v>
      </c>
      <c r="AQ104" s="38">
        <f t="shared" si="30"/>
        <v>1.5268439307083672</v>
      </c>
      <c r="AR104" s="38">
        <f t="shared" si="76"/>
        <v>-116.4624458503213</v>
      </c>
      <c r="AT104">
        <f t="shared" si="32"/>
        <v>8.847315606929163</v>
      </c>
      <c r="AU104">
        <f t="shared" si="77"/>
        <v>206.4624458503213</v>
      </c>
      <c r="AV104" s="94">
        <f t="shared" si="34"/>
        <v>-7.9203525072857337</v>
      </c>
      <c r="AW104" s="94">
        <f t="shared" si="35"/>
        <v>-3.94246237888771</v>
      </c>
      <c r="AX104" s="39">
        <v>0.70833333333333304</v>
      </c>
      <c r="AZ104" s="39">
        <v>0.70833333333333304</v>
      </c>
      <c r="BA104" s="38">
        <v>-75</v>
      </c>
      <c r="BB104" s="38">
        <f t="shared" si="36"/>
        <v>5.1256761006130356</v>
      </c>
      <c r="BC104" s="38">
        <f t="shared" si="78"/>
        <v>-110.74796771639679</v>
      </c>
      <c r="BE104">
        <f t="shared" si="38"/>
        <v>8.4874323899386965</v>
      </c>
      <c r="BF104">
        <f t="shared" si="79"/>
        <v>200.74796771639677</v>
      </c>
      <c r="BG104" s="94">
        <f t="shared" si="40"/>
        <v>-7.9370035218323398</v>
      </c>
      <c r="BH104" s="94">
        <f t="shared" si="41"/>
        <v>-3.0067397074242268</v>
      </c>
      <c r="BI104" s="39">
        <v>0.70833333333333304</v>
      </c>
      <c r="BK104" s="39">
        <v>0.70833333333333304</v>
      </c>
      <c r="BL104" s="38">
        <v>-75</v>
      </c>
      <c r="BM104" s="38">
        <f t="shared" si="42"/>
        <v>10.944236718611343</v>
      </c>
      <c r="BN104" s="38">
        <f t="shared" si="80"/>
        <v>-101.14015957211414</v>
      </c>
      <c r="BP104">
        <f t="shared" si="44"/>
        <v>7.9055763281388653</v>
      </c>
      <c r="BQ104">
        <f t="shared" si="81"/>
        <v>191.14015957211416</v>
      </c>
      <c r="BR104" s="94">
        <f t="shared" si="72"/>
        <v>-7.7566153566303617</v>
      </c>
      <c r="BS104" s="94">
        <f t="shared" si="73"/>
        <v>-1.5274342176721158</v>
      </c>
      <c r="BT104" s="39">
        <v>0.70833333333333304</v>
      </c>
      <c r="BV104" s="39">
        <v>0.70833333333333304</v>
      </c>
      <c r="BW104" s="38">
        <v>-75</v>
      </c>
      <c r="BX104" s="38">
        <f t="shared" si="48"/>
        <v>16.826145638621131</v>
      </c>
      <c r="BY104" s="38">
        <f t="shared" si="82"/>
        <v>-90.430026005197348</v>
      </c>
      <c r="CA104">
        <f t="shared" si="50"/>
        <v>7.3173854361378865</v>
      </c>
      <c r="CB104">
        <f t="shared" si="83"/>
        <v>180.43002600519736</v>
      </c>
      <c r="CC104" s="94">
        <f t="shared" si="52"/>
        <v>-7.3171793408454278</v>
      </c>
      <c r="CD104" s="94">
        <f t="shared" si="53"/>
        <v>-5.4919167034038395E-2</v>
      </c>
      <c r="CE104" s="39">
        <v>0.70833333333333304</v>
      </c>
      <c r="CG104" s="39">
        <v>0.70833333333333304</v>
      </c>
      <c r="CH104" s="38">
        <v>-75</v>
      </c>
      <c r="CI104" s="38">
        <f t="shared" si="54"/>
        <v>21.390284745138615</v>
      </c>
      <c r="CJ104" s="38">
        <f t="shared" si="84"/>
        <v>-80.785090541413638</v>
      </c>
      <c r="CL104">
        <f t="shared" si="56"/>
        <v>6.8609715254861383</v>
      </c>
      <c r="CM104">
        <f t="shared" si="85"/>
        <v>170.78509054141364</v>
      </c>
      <c r="CN104" s="94">
        <f t="shared" si="58"/>
        <v>-6.7724281322824265</v>
      </c>
      <c r="CO104" s="94">
        <f t="shared" si="59"/>
        <v>1.0987026288314568</v>
      </c>
      <c r="CP104" s="39">
        <v>0.70833333333333304</v>
      </c>
      <c r="CR104" s="39">
        <v>0.70833333333333304</v>
      </c>
      <c r="CS104" s="38">
        <v>-75</v>
      </c>
      <c r="CT104" s="38">
        <f t="shared" si="60"/>
        <v>23.507733059132701</v>
      </c>
      <c r="CU104" s="38">
        <f t="shared" si="86"/>
        <v>-75.636975428271541</v>
      </c>
      <c r="CW104">
        <f t="shared" si="62"/>
        <v>6.6492266940867299</v>
      </c>
      <c r="CX104">
        <f t="shared" si="87"/>
        <v>165.63697542827154</v>
      </c>
      <c r="CY104" s="94">
        <f t="shared" si="64"/>
        <v>-6.4413948054342534</v>
      </c>
      <c r="CZ104" s="94">
        <f t="shared" si="65"/>
        <v>1.6494388712165602</v>
      </c>
      <c r="DA104" s="39">
        <v>0.70833333333333304</v>
      </c>
      <c r="DC104" s="39">
        <v>0.70833333333333304</v>
      </c>
      <c r="DD104" s="38">
        <v>-75</v>
      </c>
      <c r="DE104" s="38">
        <f t="shared" si="66"/>
        <v>0.80777986614324049</v>
      </c>
      <c r="DF104" s="38">
        <f t="shared" si="88"/>
        <v>-117.59582673339338</v>
      </c>
      <c r="DH104">
        <f t="shared" si="68"/>
        <v>8.9192220133856761</v>
      </c>
      <c r="DI104">
        <f t="shared" si="89"/>
        <v>207.59582673339338</v>
      </c>
      <c r="DJ104" s="94">
        <f t="shared" si="70"/>
        <v>-7.9045474322355096</v>
      </c>
      <c r="DK104" s="94">
        <f t="shared" si="71"/>
        <v>-4.1316644606747346</v>
      </c>
      <c r="DL104" s="39">
        <v>0.70833333333333304</v>
      </c>
    </row>
    <row r="105" spans="1:116" x14ac:dyDescent="0.25">
      <c r="A105">
        <v>-1.3</v>
      </c>
      <c r="B105">
        <f t="shared" si="16"/>
        <v>8.9056162055188519</v>
      </c>
      <c r="C105">
        <f t="shared" si="17"/>
        <v>-8.9056162055188519</v>
      </c>
      <c r="D105">
        <f t="shared" si="20"/>
        <v>7.8936683487463544</v>
      </c>
      <c r="E105">
        <f t="shared" si="21"/>
        <v>-7.8936683487463544</v>
      </c>
      <c r="F105">
        <f t="shared" si="24"/>
        <v>6.8782265156070572</v>
      </c>
      <c r="G105">
        <f t="shared" si="25"/>
        <v>-6.8782265156070572</v>
      </c>
      <c r="H105">
        <f t="shared" si="74"/>
        <v>5.8574738582429884</v>
      </c>
      <c r="I105">
        <f t="shared" si="75"/>
        <v>-5.8574738582429884</v>
      </c>
      <c r="J105">
        <f t="shared" si="10"/>
        <v>4.8280430818293238</v>
      </c>
      <c r="K105">
        <f t="shared" si="11"/>
        <v>-4.8280430818293238</v>
      </c>
      <c r="L105">
        <f t="shared" si="12"/>
        <v>3.7828560638755477</v>
      </c>
      <c r="M105">
        <f t="shared" si="13"/>
        <v>-3.7828560638755477</v>
      </c>
      <c r="N105">
        <f t="shared" si="14"/>
        <v>2.7037011669191546</v>
      </c>
      <c r="O105">
        <f t="shared" si="15"/>
        <v>-2.7037011669191546</v>
      </c>
      <c r="P105">
        <f t="shared" si="18"/>
        <v>1.5198684153570663</v>
      </c>
      <c r="Q105">
        <f t="shared" si="19"/>
        <v>-1.5198684153570663</v>
      </c>
      <c r="U105" s="94"/>
      <c r="V105" s="94"/>
      <c r="W105" s="94"/>
      <c r="X105" s="94"/>
      <c r="Y105" s="94"/>
      <c r="Z105" s="94"/>
      <c r="AA105" s="94"/>
      <c r="AB105" s="94"/>
      <c r="AO105" s="39">
        <v>0.75</v>
      </c>
      <c r="AP105" s="38">
        <v>-90</v>
      </c>
      <c r="AQ105" s="38">
        <f t="shared" si="30"/>
        <v>-10.539731181947333</v>
      </c>
      <c r="AR105" s="38">
        <f t="shared" si="76"/>
        <v>-109.54530546833175</v>
      </c>
      <c r="AT105">
        <f t="shared" si="32"/>
        <v>9</v>
      </c>
      <c r="AU105">
        <f t="shared" si="77"/>
        <v>205.50783517093154</v>
      </c>
      <c r="AV105" s="94">
        <f t="shared" si="34"/>
        <v>-8.1227376334839274</v>
      </c>
      <c r="AW105" s="94">
        <f t="shared" si="35"/>
        <v>-3.8757106880653427</v>
      </c>
      <c r="AX105" s="39">
        <v>0.75</v>
      </c>
      <c r="AZ105" s="39">
        <v>0.75</v>
      </c>
      <c r="BA105" s="38">
        <v>-90</v>
      </c>
      <c r="BB105" s="38">
        <f t="shared" si="36"/>
        <v>-7.3984700881092289</v>
      </c>
      <c r="BC105" s="38">
        <f t="shared" si="78"/>
        <v>-103.50242212020031</v>
      </c>
      <c r="BE105">
        <f t="shared" si="38"/>
        <v>9</v>
      </c>
      <c r="BF105">
        <f t="shared" si="79"/>
        <v>197.64724136881426</v>
      </c>
      <c r="BG105" s="94">
        <f t="shared" si="40"/>
        <v>-8.5764693111567532</v>
      </c>
      <c r="BH105" s="94">
        <f t="shared" si="41"/>
        <v>-2.7284013918018726</v>
      </c>
      <c r="BI105" s="39">
        <v>0.75</v>
      </c>
      <c r="BK105" s="39">
        <v>0.75</v>
      </c>
      <c r="BL105" s="38">
        <v>-90</v>
      </c>
      <c r="BM105" s="38">
        <f t="shared" si="42"/>
        <v>-2.0474614986880884</v>
      </c>
      <c r="BN105" s="38">
        <f t="shared" si="80"/>
        <v>-93.685695181080817</v>
      </c>
      <c r="BP105">
        <f t="shared" si="44"/>
        <v>9</v>
      </c>
      <c r="BQ105">
        <f t="shared" si="81"/>
        <v>184.82492718072712</v>
      </c>
      <c r="BR105" s="94">
        <f t="shared" si="72"/>
        <v>-8.9681072395106511</v>
      </c>
      <c r="BS105" s="94">
        <f t="shared" si="73"/>
        <v>-0.75700233859390975</v>
      </c>
      <c r="BT105" s="39">
        <v>0.75</v>
      </c>
      <c r="BV105" s="39">
        <v>0.75</v>
      </c>
      <c r="BW105" s="38">
        <v>-90</v>
      </c>
      <c r="BX105" s="38">
        <f t="shared" si="48"/>
        <v>3.7457083017543744</v>
      </c>
      <c r="BY105" s="38">
        <f t="shared" si="82"/>
        <v>-83.239470999313269</v>
      </c>
      <c r="CA105">
        <f t="shared" si="50"/>
        <v>8.625429169824562</v>
      </c>
      <c r="CB105">
        <f t="shared" si="83"/>
        <v>173.23947099931326</v>
      </c>
      <c r="CC105" s="94">
        <f t="shared" si="52"/>
        <v>-8.5654551879976513</v>
      </c>
      <c r="CD105" s="94">
        <f t="shared" si="53"/>
        <v>1.0153845508301516</v>
      </c>
      <c r="CE105" s="39">
        <v>0.75</v>
      </c>
      <c r="CG105" s="39">
        <v>0.75</v>
      </c>
      <c r="CH105" s="38">
        <v>-90</v>
      </c>
      <c r="CI105" s="38">
        <f t="shared" si="54"/>
        <v>8.5974359692729667</v>
      </c>
      <c r="CJ105" s="38">
        <f t="shared" si="84"/>
        <v>-74.225135377203927</v>
      </c>
      <c r="CL105">
        <f t="shared" si="56"/>
        <v>8.1402564030727032</v>
      </c>
      <c r="CM105">
        <f t="shared" si="85"/>
        <v>164.22513537720391</v>
      </c>
      <c r="CN105" s="94">
        <f t="shared" si="58"/>
        <v>-7.8336727666422483</v>
      </c>
      <c r="CO105" s="94">
        <f t="shared" si="59"/>
        <v>2.2129946436748833</v>
      </c>
      <c r="CP105" s="39">
        <v>0.75</v>
      </c>
      <c r="CR105" s="39">
        <v>0.75</v>
      </c>
      <c r="CS105" s="38">
        <v>-90</v>
      </c>
      <c r="CT105" s="38">
        <f t="shared" si="60"/>
        <v>11.002251178794777</v>
      </c>
      <c r="CU105" s="38">
        <f t="shared" si="86"/>
        <v>-69.537585435747644</v>
      </c>
      <c r="CW105">
        <f t="shared" si="62"/>
        <v>7.8997748821205223</v>
      </c>
      <c r="CX105">
        <f t="shared" si="87"/>
        <v>159.53758543574764</v>
      </c>
      <c r="CY105" s="94">
        <f t="shared" si="64"/>
        <v>-7.40131267544563</v>
      </c>
      <c r="CZ105" s="94">
        <f t="shared" si="65"/>
        <v>2.76170488439119</v>
      </c>
      <c r="DA105" s="39">
        <v>0.75</v>
      </c>
      <c r="DC105" s="39">
        <v>0.75</v>
      </c>
      <c r="DD105" s="38">
        <v>-90</v>
      </c>
      <c r="DE105" s="38">
        <f t="shared" si="66"/>
        <v>-11.15205496731916</v>
      </c>
      <c r="DF105" s="38">
        <f t="shared" si="88"/>
        <v>-110.76123341972382</v>
      </c>
      <c r="DH105">
        <f t="shared" si="68"/>
        <v>9</v>
      </c>
      <c r="DI105">
        <f t="shared" si="89"/>
        <v>207.0871391084072</v>
      </c>
      <c r="DJ105" s="94">
        <f t="shared" si="70"/>
        <v>-8.0128353242451471</v>
      </c>
      <c r="DK105" s="94">
        <f t="shared" si="71"/>
        <v>-4.098105668053126</v>
      </c>
      <c r="DL105" s="39">
        <v>0.75</v>
      </c>
    </row>
    <row r="106" spans="1:116" x14ac:dyDescent="0.25">
      <c r="A106">
        <v>-1.4</v>
      </c>
      <c r="B106">
        <f t="shared" si="16"/>
        <v>8.8904443083571483</v>
      </c>
      <c r="C106">
        <f t="shared" si="17"/>
        <v>-8.8904443083571483</v>
      </c>
      <c r="D106">
        <f t="shared" si="20"/>
        <v>7.8765474670060867</v>
      </c>
      <c r="E106">
        <f t="shared" si="21"/>
        <v>-7.8765474670060867</v>
      </c>
      <c r="F106">
        <f t="shared" si="24"/>
        <v>6.8585712797928986</v>
      </c>
      <c r="G106">
        <f t="shared" si="25"/>
        <v>-6.8585712797928986</v>
      </c>
      <c r="H106">
        <f t="shared" si="74"/>
        <v>5.8343808583259289</v>
      </c>
      <c r="I106">
        <f t="shared" si="75"/>
        <v>-5.8343808583259289</v>
      </c>
      <c r="J106">
        <f t="shared" ref="J106:J142" si="90">+SQRT(25-A106^2)</f>
        <v>4.8</v>
      </c>
      <c r="K106">
        <f t="shared" ref="K106:K137" si="91">-J106</f>
        <v>-4.8</v>
      </c>
      <c r="L106">
        <f t="shared" si="12"/>
        <v>3.746998799039039</v>
      </c>
      <c r="M106">
        <f t="shared" si="13"/>
        <v>-3.746998799039039</v>
      </c>
      <c r="N106">
        <f t="shared" si="14"/>
        <v>2.6532998322843198</v>
      </c>
      <c r="O106">
        <f t="shared" si="15"/>
        <v>-2.6532998322843198</v>
      </c>
      <c r="P106">
        <f t="shared" si="18"/>
        <v>1.42828568570857</v>
      </c>
      <c r="Q106">
        <f t="shared" si="19"/>
        <v>-1.42828568570857</v>
      </c>
      <c r="U106" s="94"/>
      <c r="V106" s="94"/>
      <c r="W106" s="94"/>
      <c r="X106" s="94"/>
      <c r="Y106" s="94"/>
      <c r="Z106" s="94"/>
      <c r="AA106" s="94"/>
      <c r="AB106" s="94"/>
      <c r="AO106" s="39">
        <v>0.79166666666666663</v>
      </c>
      <c r="AP106" s="38">
        <v>-105</v>
      </c>
      <c r="AQ106" s="38">
        <f t="shared" si="30"/>
        <v>-23.1088955047322</v>
      </c>
      <c r="AR106" s="38">
        <f t="shared" si="76"/>
        <v>-103.34940436098259</v>
      </c>
      <c r="AT106">
        <f t="shared" si="32"/>
        <v>9</v>
      </c>
      <c r="AU106">
        <f t="shared" si="77"/>
        <v>205.50783517093154</v>
      </c>
      <c r="AV106" s="94">
        <f t="shared" si="34"/>
        <v>-8.1227376334839274</v>
      </c>
      <c r="AW106" s="94">
        <f t="shared" si="35"/>
        <v>-3.8757106880653427</v>
      </c>
      <c r="AX106" s="39">
        <v>0.79166666666666663</v>
      </c>
      <c r="AZ106" s="39">
        <v>0.79166666666666663</v>
      </c>
      <c r="BA106" s="38">
        <v>-105</v>
      </c>
      <c r="BB106" s="38">
        <f t="shared" si="36"/>
        <v>-20.296531863835749</v>
      </c>
      <c r="BC106" s="38">
        <f t="shared" si="78"/>
        <v>-96.750275197271563</v>
      </c>
      <c r="BE106">
        <f t="shared" si="38"/>
        <v>9</v>
      </c>
      <c r="BF106">
        <f t="shared" si="79"/>
        <v>197.64724136881426</v>
      </c>
      <c r="BG106" s="94">
        <f t="shared" si="40"/>
        <v>-8.5764693111567532</v>
      </c>
      <c r="BH106" s="94">
        <f t="shared" si="41"/>
        <v>-2.7284013918018726</v>
      </c>
      <c r="BI106" s="39">
        <v>0.79166666666666663</v>
      </c>
      <c r="BK106" s="39">
        <v>0.79166666666666663</v>
      </c>
      <c r="BL106" s="38">
        <v>-105</v>
      </c>
      <c r="BM106" s="38">
        <f t="shared" si="42"/>
        <v>-15.147701011627433</v>
      </c>
      <c r="BN106" s="38">
        <f t="shared" si="80"/>
        <v>-86.364160707609329</v>
      </c>
      <c r="BP106">
        <f t="shared" si="44"/>
        <v>9</v>
      </c>
      <c r="BQ106">
        <f t="shared" si="81"/>
        <v>184.82492718072712</v>
      </c>
      <c r="BR106" s="94">
        <f t="shared" si="72"/>
        <v>-8.9681072395106511</v>
      </c>
      <c r="BS106" s="94">
        <f t="shared" si="73"/>
        <v>-0.75700233859390975</v>
      </c>
      <c r="BT106" s="39">
        <v>0.79166666666666663</v>
      </c>
      <c r="BV106" s="39">
        <v>0.79166666666666663</v>
      </c>
      <c r="BW106" s="38">
        <v>-105</v>
      </c>
      <c r="BX106" s="38">
        <f t="shared" si="48"/>
        <v>-9.1379383497118152</v>
      </c>
      <c r="BY106" s="38">
        <f t="shared" si="82"/>
        <v>-75.804390510576525</v>
      </c>
      <c r="CA106">
        <f t="shared" si="50"/>
        <v>9</v>
      </c>
      <c r="CB106">
        <f t="shared" si="83"/>
        <v>171.15280091256506</v>
      </c>
      <c r="CC106" s="94">
        <f t="shared" si="52"/>
        <v>-8.8929181760047449</v>
      </c>
      <c r="CD106" s="94">
        <f t="shared" si="53"/>
        <v>1.3841987989029836</v>
      </c>
      <c r="CE106" s="39">
        <v>0.79166666666666663</v>
      </c>
      <c r="CG106" s="39">
        <v>0.79166666666666663</v>
      </c>
      <c r="CH106" s="38">
        <v>-105</v>
      </c>
      <c r="CI106" s="38">
        <f t="shared" si="54"/>
        <v>-3.7691542744190856</v>
      </c>
      <c r="CJ106" s="38">
        <f t="shared" si="84"/>
        <v>-67.086482293695084</v>
      </c>
      <c r="CL106">
        <f t="shared" si="56"/>
        <v>9</v>
      </c>
      <c r="CM106">
        <f t="shared" si="85"/>
        <v>159.39394357034001</v>
      </c>
      <c r="CN106" s="94">
        <f t="shared" si="58"/>
        <v>-8.4242010529375033</v>
      </c>
      <c r="CO106" s="94">
        <f t="shared" si="59"/>
        <v>3.1674653304632505</v>
      </c>
      <c r="CP106" s="39">
        <v>0.79166666666666663</v>
      </c>
      <c r="CR106" s="39">
        <v>0.79166666666666663</v>
      </c>
      <c r="CS106" s="38">
        <v>-105</v>
      </c>
      <c r="CT106" s="38">
        <f t="shared" si="60"/>
        <v>-0.98425873859118373</v>
      </c>
      <c r="CU106" s="38">
        <f t="shared" si="86"/>
        <v>-62.682223313308867</v>
      </c>
      <c r="CW106">
        <f t="shared" si="62"/>
        <v>9</v>
      </c>
      <c r="CX106">
        <f t="shared" si="87"/>
        <v>153.30093729758607</v>
      </c>
      <c r="CY106" s="94">
        <f t="shared" si="64"/>
        <v>-8.0404086472728373</v>
      </c>
      <c r="CZ106" s="94">
        <f t="shared" si="65"/>
        <v>4.0437394556103845</v>
      </c>
      <c r="DA106" s="39">
        <v>0.79166666666666663</v>
      </c>
      <c r="DC106" s="39">
        <v>0.79166666666666663</v>
      </c>
      <c r="DD106" s="38">
        <v>-105</v>
      </c>
      <c r="DE106" s="38">
        <f t="shared" si="66"/>
        <v>-23.636004549359633</v>
      </c>
      <c r="DF106" s="38">
        <f t="shared" si="88"/>
        <v>-104.69392403052011</v>
      </c>
      <c r="DH106">
        <f t="shared" si="68"/>
        <v>9</v>
      </c>
      <c r="DI106">
        <f t="shared" si="89"/>
        <v>207.0871391084072</v>
      </c>
      <c r="DJ106" s="94">
        <f t="shared" si="70"/>
        <v>-8.0128353242451471</v>
      </c>
      <c r="DK106" s="94">
        <f t="shared" si="71"/>
        <v>-4.098105668053126</v>
      </c>
      <c r="DL106" s="39">
        <v>0.79166666666666663</v>
      </c>
    </row>
    <row r="107" spans="1:116" x14ac:dyDescent="0.25">
      <c r="A107">
        <v>-1.5</v>
      </c>
      <c r="B107">
        <f t="shared" si="16"/>
        <v>8.8741196746494246</v>
      </c>
      <c r="C107">
        <f t="shared" si="17"/>
        <v>-8.8741196746494246</v>
      </c>
      <c r="D107">
        <f t="shared" si="20"/>
        <v>7.8581168227508558</v>
      </c>
      <c r="E107">
        <f t="shared" si="21"/>
        <v>-7.8581168227508558</v>
      </c>
      <c r="F107">
        <f t="shared" si="24"/>
        <v>6.8373971655886718</v>
      </c>
      <c r="G107">
        <f t="shared" si="25"/>
        <v>-6.8373971655886718</v>
      </c>
      <c r="H107">
        <f t="shared" si="74"/>
        <v>5.8094750193111251</v>
      </c>
      <c r="I107">
        <f t="shared" si="75"/>
        <v>-5.8094750193111251</v>
      </c>
      <c r="J107">
        <f t="shared" si="90"/>
        <v>4.7696960070847281</v>
      </c>
      <c r="K107">
        <f t="shared" si="91"/>
        <v>-4.7696960070847281</v>
      </c>
      <c r="L107">
        <f t="shared" si="12"/>
        <v>3.7080992435478315</v>
      </c>
      <c r="M107">
        <f t="shared" si="13"/>
        <v>-3.7080992435478315</v>
      </c>
      <c r="N107">
        <f t="shared" si="14"/>
        <v>2.598076211353316</v>
      </c>
      <c r="O107">
        <f t="shared" si="15"/>
        <v>-2.598076211353316</v>
      </c>
      <c r="P107">
        <f t="shared" si="18"/>
        <v>1.3228756555322954</v>
      </c>
      <c r="Q107">
        <f t="shared" si="19"/>
        <v>-1.3228756555322954</v>
      </c>
      <c r="U107" s="94"/>
      <c r="V107" s="94"/>
      <c r="W107" s="94"/>
      <c r="X107" s="94"/>
      <c r="Y107" s="94"/>
      <c r="Z107" s="94"/>
      <c r="AA107" s="94"/>
      <c r="AB107" s="94"/>
      <c r="AO107" s="39">
        <v>0.83333333333333304</v>
      </c>
      <c r="AP107" s="38">
        <v>-120</v>
      </c>
      <c r="AQ107" s="38">
        <f t="shared" si="30"/>
        <v>-35.998295445076977</v>
      </c>
      <c r="AR107" s="38">
        <f t="shared" si="76"/>
        <v>-97.368538589092722</v>
      </c>
      <c r="AT107">
        <f t="shared" si="32"/>
        <v>9</v>
      </c>
      <c r="AU107">
        <f t="shared" si="77"/>
        <v>205.50783517093154</v>
      </c>
      <c r="AV107" s="94">
        <f t="shared" si="34"/>
        <v>-8.1227376334839274</v>
      </c>
      <c r="AW107" s="94">
        <f t="shared" si="35"/>
        <v>-3.8757106880653427</v>
      </c>
      <c r="AX107" s="39">
        <v>0.83333333333333304</v>
      </c>
      <c r="AZ107" s="39">
        <v>0.83333333333333304</v>
      </c>
      <c r="BA107" s="38">
        <v>-120</v>
      </c>
      <c r="BB107" s="38">
        <f t="shared" si="36"/>
        <v>-33.375576800263644</v>
      </c>
      <c r="BC107" s="38">
        <f t="shared" si="78"/>
        <v>-89.808687161128702</v>
      </c>
      <c r="BE107">
        <f t="shared" si="38"/>
        <v>9</v>
      </c>
      <c r="BF107">
        <f t="shared" si="79"/>
        <v>197.64724136881426</v>
      </c>
      <c r="BG107" s="94">
        <f t="shared" si="40"/>
        <v>-8.5764693111567532</v>
      </c>
      <c r="BH107" s="94">
        <f t="shared" si="41"/>
        <v>-2.7284013918018726</v>
      </c>
      <c r="BI107" s="39">
        <v>0.83333333333333304</v>
      </c>
      <c r="BK107" s="39">
        <v>0.83333333333333304</v>
      </c>
      <c r="BL107" s="38">
        <v>-120</v>
      </c>
      <c r="BM107" s="38">
        <f t="shared" si="42"/>
        <v>-28.132756376775866</v>
      </c>
      <c r="BN107" s="38">
        <f t="shared" si="80"/>
        <v>-78.347362563772293</v>
      </c>
      <c r="BP107">
        <f t="shared" si="44"/>
        <v>9</v>
      </c>
      <c r="BQ107">
        <f t="shared" si="81"/>
        <v>184.82492718072712</v>
      </c>
      <c r="BR107" s="94">
        <f t="shared" si="72"/>
        <v>-8.9681072395106511</v>
      </c>
      <c r="BS107" s="94">
        <f t="shared" si="73"/>
        <v>-0.75700233859390975</v>
      </c>
      <c r="BT107" s="39">
        <v>0.83333333333333304</v>
      </c>
      <c r="BV107" s="39">
        <v>0.83333333333333304</v>
      </c>
      <c r="BW107" s="38">
        <v>-120</v>
      </c>
      <c r="BX107" s="38">
        <f t="shared" si="48"/>
        <v>-21.572441130326556</v>
      </c>
      <c r="BY107" s="38">
        <f t="shared" si="82"/>
        <v>-67.339818015101898</v>
      </c>
      <c r="CA107">
        <f t="shared" si="50"/>
        <v>9</v>
      </c>
      <c r="CB107">
        <f t="shared" si="83"/>
        <v>171.15280091256506</v>
      </c>
      <c r="CC107" s="94">
        <f t="shared" si="52"/>
        <v>-8.8929181760047449</v>
      </c>
      <c r="CD107" s="94">
        <f t="shared" si="53"/>
        <v>1.3841987989029836</v>
      </c>
      <c r="CE107" s="39">
        <v>0.83333333333333304</v>
      </c>
      <c r="CG107" s="39">
        <v>0.83333333333333304</v>
      </c>
      <c r="CH107" s="38">
        <v>-120</v>
      </c>
      <c r="CI107" s="38">
        <f t="shared" si="54"/>
        <v>-15.444041296492092</v>
      </c>
      <c r="CJ107" s="38">
        <f t="shared" si="84"/>
        <v>-58.750204484754804</v>
      </c>
      <c r="CL107">
        <f t="shared" si="56"/>
        <v>9</v>
      </c>
      <c r="CM107">
        <f t="shared" si="85"/>
        <v>159.39394357034001</v>
      </c>
      <c r="CN107" s="94">
        <f t="shared" si="58"/>
        <v>-8.4242010529375033</v>
      </c>
      <c r="CO107" s="94">
        <f t="shared" si="59"/>
        <v>3.1674653304632505</v>
      </c>
      <c r="CP107" s="39">
        <v>0.83333333333333304</v>
      </c>
      <c r="CR107" s="39">
        <v>0.83333333333333304</v>
      </c>
      <c r="CS107" s="38">
        <v>-120</v>
      </c>
      <c r="CT107" s="38">
        <f t="shared" si="60"/>
        <v>-12.182509074452025</v>
      </c>
      <c r="CU107" s="38">
        <f t="shared" si="86"/>
        <v>-54.569235210579663</v>
      </c>
      <c r="CW107">
        <f t="shared" si="62"/>
        <v>9</v>
      </c>
      <c r="CX107">
        <f t="shared" si="87"/>
        <v>153.30093729758607</v>
      </c>
      <c r="CY107" s="94">
        <f t="shared" si="64"/>
        <v>-8.0404086472728373</v>
      </c>
      <c r="CZ107" s="94">
        <f t="shared" si="65"/>
        <v>4.0437394556103845</v>
      </c>
      <c r="DA107" s="39">
        <v>0.83333333333333304</v>
      </c>
      <c r="DC107" s="39">
        <v>0.83333333333333304</v>
      </c>
      <c r="DD107" s="38">
        <v>-120</v>
      </c>
      <c r="DE107" s="38">
        <f t="shared" si="66"/>
        <v>-36.462362723804368</v>
      </c>
      <c r="DF107" s="38">
        <f t="shared" si="88"/>
        <v>-98.929650560124273</v>
      </c>
      <c r="DH107">
        <f t="shared" si="68"/>
        <v>9</v>
      </c>
      <c r="DI107">
        <f t="shared" si="89"/>
        <v>207.0871391084072</v>
      </c>
      <c r="DJ107" s="94">
        <f t="shared" si="70"/>
        <v>-8.0128353242451471</v>
      </c>
      <c r="DK107" s="94">
        <f t="shared" si="71"/>
        <v>-4.098105668053126</v>
      </c>
      <c r="DL107" s="39">
        <v>0.83333333333333304</v>
      </c>
    </row>
    <row r="108" spans="1:116" x14ac:dyDescent="0.25">
      <c r="A108">
        <v>-1.6</v>
      </c>
      <c r="B108">
        <f t="shared" si="16"/>
        <v>8.8566359301938107</v>
      </c>
      <c r="C108">
        <f t="shared" si="17"/>
        <v>-8.8566359301938107</v>
      </c>
      <c r="D108">
        <f t="shared" si="20"/>
        <v>7.8383671769061696</v>
      </c>
      <c r="E108">
        <f t="shared" si="21"/>
        <v>-7.8383671769061696</v>
      </c>
      <c r="F108">
        <f t="shared" si="24"/>
        <v>6.8146900149603278</v>
      </c>
      <c r="G108">
        <f t="shared" si="25"/>
        <v>-6.8146900149603278</v>
      </c>
      <c r="H108">
        <f t="shared" si="74"/>
        <v>5.7827329179203844</v>
      </c>
      <c r="I108">
        <f t="shared" si="75"/>
        <v>-5.7827329179203844</v>
      </c>
      <c r="J108">
        <f t="shared" si="90"/>
        <v>4.737087712930804</v>
      </c>
      <c r="K108">
        <f t="shared" si="91"/>
        <v>-4.737087712930804</v>
      </c>
      <c r="L108">
        <f t="shared" si="12"/>
        <v>3.666060555964672</v>
      </c>
      <c r="M108">
        <f t="shared" si="13"/>
        <v>-3.666060555964672</v>
      </c>
      <c r="N108">
        <f t="shared" si="14"/>
        <v>2.5377155080899039</v>
      </c>
      <c r="O108">
        <f t="shared" si="15"/>
        <v>-2.5377155080899039</v>
      </c>
      <c r="P108">
        <f t="shared" si="18"/>
        <v>1.1999999999999997</v>
      </c>
      <c r="Q108">
        <f t="shared" si="19"/>
        <v>-1.1999999999999997</v>
      </c>
      <c r="U108" s="94"/>
      <c r="V108" s="94"/>
      <c r="W108" s="94"/>
      <c r="X108" s="94"/>
      <c r="Y108" s="94"/>
      <c r="Z108" s="94"/>
      <c r="AA108" s="94"/>
      <c r="AB108" s="94"/>
      <c r="AO108" s="39">
        <v>0.875</v>
      </c>
      <c r="AP108" s="38">
        <v>-135</v>
      </c>
      <c r="AQ108" s="38">
        <f t="shared" si="30"/>
        <v>-49.064968267853097</v>
      </c>
      <c r="AR108" s="38">
        <f t="shared" si="76"/>
        <v>-90.918245771275195</v>
      </c>
      <c r="AT108">
        <f t="shared" si="32"/>
        <v>9</v>
      </c>
      <c r="AU108">
        <f t="shared" si="77"/>
        <v>205.50783517093154</v>
      </c>
      <c r="AV108" s="94">
        <f t="shared" si="34"/>
        <v>-8.1227376334839274</v>
      </c>
      <c r="AW108" s="94">
        <f t="shared" si="35"/>
        <v>-3.8757106880653427</v>
      </c>
      <c r="AX108" s="39">
        <v>0.875</v>
      </c>
      <c r="AZ108" s="39">
        <v>0.875</v>
      </c>
      <c r="BA108" s="38">
        <v>-135</v>
      </c>
      <c r="BB108" s="38">
        <f t="shared" si="36"/>
        <v>-46.440244568188291</v>
      </c>
      <c r="BC108" s="38">
        <f t="shared" si="78"/>
        <v>-81.668571166050128</v>
      </c>
      <c r="BE108">
        <f t="shared" si="38"/>
        <v>9</v>
      </c>
      <c r="BF108">
        <f t="shared" si="79"/>
        <v>197.64724136881426</v>
      </c>
      <c r="BG108" s="94">
        <f t="shared" si="40"/>
        <v>-8.5764693111567532</v>
      </c>
      <c r="BH108" s="94">
        <f t="shared" si="41"/>
        <v>-2.7284013918018726</v>
      </c>
      <c r="BI108" s="39">
        <v>0.875</v>
      </c>
      <c r="BK108" s="39">
        <v>0.875</v>
      </c>
      <c r="BL108" s="38">
        <v>-135</v>
      </c>
      <c r="BM108" s="38">
        <f t="shared" si="42"/>
        <v>-40.69450913621494</v>
      </c>
      <c r="BN108" s="38">
        <f t="shared" si="80"/>
        <v>-68.449359832966508</v>
      </c>
      <c r="BP108">
        <f t="shared" si="44"/>
        <v>9</v>
      </c>
      <c r="BQ108">
        <f t="shared" si="81"/>
        <v>184.82492718072712</v>
      </c>
      <c r="BR108" s="94">
        <f t="shared" si="72"/>
        <v>-8.9681072395106511</v>
      </c>
      <c r="BS108" s="94">
        <f t="shared" si="73"/>
        <v>-0.75700233859390975</v>
      </c>
      <c r="BT108" s="39">
        <v>0.875</v>
      </c>
      <c r="BV108" s="39">
        <v>0.875</v>
      </c>
      <c r="BW108" s="38">
        <v>-135</v>
      </c>
      <c r="BX108" s="38">
        <f t="shared" si="48"/>
        <v>-33.163778112116894</v>
      </c>
      <c r="BY108" s="38">
        <f t="shared" si="82"/>
        <v>-56.828274835741524</v>
      </c>
      <c r="CA108">
        <f t="shared" si="50"/>
        <v>9</v>
      </c>
      <c r="CB108">
        <f t="shared" si="83"/>
        <v>171.15280091256506</v>
      </c>
      <c r="CC108" s="94">
        <f t="shared" si="52"/>
        <v>-8.8929181760047449</v>
      </c>
      <c r="CD108" s="94">
        <f t="shared" si="53"/>
        <v>1.3841987989029836</v>
      </c>
      <c r="CE108" s="39">
        <v>0.875</v>
      </c>
      <c r="CG108" s="39">
        <v>0.875</v>
      </c>
      <c r="CH108" s="38">
        <v>-135</v>
      </c>
      <c r="CI108" s="38">
        <f t="shared" si="54"/>
        <v>-26.009630801153676</v>
      </c>
      <c r="CJ108" s="38">
        <f t="shared" si="84"/>
        <v>-48.473747153771313</v>
      </c>
      <c r="CL108">
        <f t="shared" si="56"/>
        <v>9</v>
      </c>
      <c r="CM108">
        <f t="shared" si="85"/>
        <v>159.39394357034001</v>
      </c>
      <c r="CN108" s="94">
        <f t="shared" si="58"/>
        <v>-8.4242010529375033</v>
      </c>
      <c r="CO108" s="94">
        <f t="shared" si="59"/>
        <v>3.1674653304632505</v>
      </c>
      <c r="CP108" s="39">
        <v>0.875</v>
      </c>
      <c r="CR108" s="39">
        <v>0.875</v>
      </c>
      <c r="CS108" s="38">
        <v>-135</v>
      </c>
      <c r="CT108" s="38">
        <f t="shared" si="60"/>
        <v>-22.178173585837602</v>
      </c>
      <c r="CU108" s="38">
        <f t="shared" si="86"/>
        <v>-44.609465486800445</v>
      </c>
      <c r="CW108">
        <f t="shared" si="62"/>
        <v>9</v>
      </c>
      <c r="CX108">
        <f t="shared" si="87"/>
        <v>153.30093729758607</v>
      </c>
      <c r="CY108" s="94">
        <f t="shared" si="64"/>
        <v>-8.0404086472728373</v>
      </c>
      <c r="CZ108" s="94">
        <f t="shared" si="65"/>
        <v>4.0437394556103845</v>
      </c>
      <c r="DA108" s="39">
        <v>0.875</v>
      </c>
      <c r="DC108" s="39">
        <v>0.875</v>
      </c>
      <c r="DD108" s="38">
        <v>-135</v>
      </c>
      <c r="DE108" s="38">
        <f t="shared" si="66"/>
        <v>-49.494624805188721</v>
      </c>
      <c r="DF108" s="38">
        <f t="shared" si="88"/>
        <v>-92.867225270837807</v>
      </c>
      <c r="DH108">
        <f t="shared" si="68"/>
        <v>9</v>
      </c>
      <c r="DI108">
        <f t="shared" si="89"/>
        <v>207.0871391084072</v>
      </c>
      <c r="DJ108" s="94">
        <f t="shared" si="70"/>
        <v>-8.0128353242451471</v>
      </c>
      <c r="DK108" s="94">
        <f t="shared" si="71"/>
        <v>-4.098105668053126</v>
      </c>
      <c r="DL108" s="39">
        <v>0.875</v>
      </c>
    </row>
    <row r="109" spans="1:116" x14ac:dyDescent="0.25">
      <c r="A109">
        <v>-1.7</v>
      </c>
      <c r="B109">
        <f t="shared" si="16"/>
        <v>8.8379861959611592</v>
      </c>
      <c r="C109">
        <f t="shared" si="17"/>
        <v>-8.8379861959611592</v>
      </c>
      <c r="D109">
        <f t="shared" si="20"/>
        <v>7.8172885324772299</v>
      </c>
      <c r="E109">
        <f t="shared" si="21"/>
        <v>-7.8172885324772299</v>
      </c>
      <c r="F109">
        <f t="shared" si="24"/>
        <v>6.7904344485459838</v>
      </c>
      <c r="G109">
        <f t="shared" si="25"/>
        <v>-6.7904344485459838</v>
      </c>
      <c r="H109">
        <f t="shared" si="74"/>
        <v>5.7541289523263206</v>
      </c>
      <c r="I109">
        <f t="shared" si="75"/>
        <v>-5.7541289523263206</v>
      </c>
      <c r="J109">
        <f t="shared" si="90"/>
        <v>4.702127178203499</v>
      </c>
      <c r="K109">
        <f t="shared" si="91"/>
        <v>-4.702127178203499</v>
      </c>
      <c r="L109">
        <f t="shared" si="12"/>
        <v>3.6207733980463344</v>
      </c>
      <c r="M109">
        <f t="shared" si="13"/>
        <v>-3.6207733980463344</v>
      </c>
      <c r="N109">
        <f t="shared" si="14"/>
        <v>2.4718414188616551</v>
      </c>
      <c r="O109">
        <f t="shared" si="15"/>
        <v>-2.4718414188616551</v>
      </c>
      <c r="P109">
        <f t="shared" si="18"/>
        <v>1.0535653752852741</v>
      </c>
      <c r="Q109">
        <f t="shared" si="19"/>
        <v>-1.0535653752852741</v>
      </c>
      <c r="U109" s="94"/>
      <c r="V109" s="94"/>
      <c r="W109" s="94"/>
      <c r="X109" s="94"/>
      <c r="Y109" s="94"/>
      <c r="Z109" s="94"/>
      <c r="AA109" s="94"/>
      <c r="AB109" s="94"/>
      <c r="AO109" s="39">
        <v>0.91666666666666696</v>
      </c>
      <c r="AP109" s="38">
        <v>-150</v>
      </c>
      <c r="AQ109" s="38">
        <f t="shared" si="30"/>
        <v>-62.144337795921587</v>
      </c>
      <c r="AR109" s="38">
        <f t="shared" si="76"/>
        <v>-82.491026273418044</v>
      </c>
      <c r="AT109">
        <f t="shared" si="32"/>
        <v>9</v>
      </c>
      <c r="AU109">
        <f t="shared" si="77"/>
        <v>205.50783517093154</v>
      </c>
      <c r="AV109" s="94">
        <f t="shared" si="34"/>
        <v>-8.1227376334839274</v>
      </c>
      <c r="AW109" s="94">
        <f t="shared" si="35"/>
        <v>-3.8757106880653427</v>
      </c>
      <c r="AX109" s="39">
        <v>0.91666666666666696</v>
      </c>
      <c r="AY109" s="13"/>
      <c r="AZ109" s="39">
        <v>0.91666666666666696</v>
      </c>
      <c r="BA109" s="38">
        <v>-150</v>
      </c>
      <c r="BB109" s="38">
        <f t="shared" si="36"/>
        <v>-59.157361808562058</v>
      </c>
      <c r="BC109" s="38">
        <f t="shared" si="78"/>
        <v>-70.120905705727807</v>
      </c>
      <c r="BE109">
        <f t="shared" si="38"/>
        <v>9</v>
      </c>
      <c r="BF109">
        <f t="shared" si="79"/>
        <v>197.64724136881426</v>
      </c>
      <c r="BG109" s="94">
        <f t="shared" si="40"/>
        <v>-8.5764693111567532</v>
      </c>
      <c r="BH109" s="94">
        <f t="shared" si="41"/>
        <v>-2.7284013918018726</v>
      </c>
      <c r="BI109" s="39">
        <v>0.91666666666666696</v>
      </c>
      <c r="BK109" s="39">
        <v>0.91666666666666696</v>
      </c>
      <c r="BL109" s="38">
        <v>-150</v>
      </c>
      <c r="BM109" s="38">
        <f t="shared" si="42"/>
        <v>-52.235597230597229</v>
      </c>
      <c r="BN109" s="38">
        <f t="shared" si="80"/>
        <v>-54.511264854904709</v>
      </c>
      <c r="BP109">
        <f t="shared" si="44"/>
        <v>9</v>
      </c>
      <c r="BQ109">
        <f t="shared" si="81"/>
        <v>184.82492718072712</v>
      </c>
      <c r="BR109" s="94">
        <f t="shared" si="72"/>
        <v>-8.9681072395106511</v>
      </c>
      <c r="BS109" s="94">
        <f t="shared" si="73"/>
        <v>-0.75700233859390975</v>
      </c>
      <c r="BT109" s="39">
        <v>0.91666666666666696</v>
      </c>
      <c r="BV109" s="39">
        <v>0.91666666666666696</v>
      </c>
      <c r="BW109" s="38">
        <v>-150</v>
      </c>
      <c r="BX109" s="38">
        <f t="shared" si="48"/>
        <v>-43.208830809241775</v>
      </c>
      <c r="BY109" s="38">
        <f t="shared" si="82"/>
        <v>-42.826045557501772</v>
      </c>
      <c r="CA109">
        <f t="shared" si="50"/>
        <v>9</v>
      </c>
      <c r="CB109">
        <f t="shared" si="83"/>
        <v>171.15280091256506</v>
      </c>
      <c r="CC109" s="94">
        <f t="shared" si="52"/>
        <v>-8.8929181760047449</v>
      </c>
      <c r="CD109" s="94">
        <f t="shared" si="53"/>
        <v>1.3841987989029836</v>
      </c>
      <c r="CE109" s="39">
        <v>0.91666666666666696</v>
      </c>
      <c r="CG109" s="39">
        <v>0.91666666666666696</v>
      </c>
      <c r="CH109" s="38">
        <v>-150</v>
      </c>
      <c r="CI109" s="38">
        <f t="shared" si="54"/>
        <v>-34.797322567809786</v>
      </c>
      <c r="CJ109" s="38">
        <f t="shared" si="84"/>
        <v>-35.40599987896482</v>
      </c>
      <c r="CL109">
        <f t="shared" si="56"/>
        <v>9</v>
      </c>
      <c r="CM109">
        <f t="shared" si="85"/>
        <v>159.39394357034001</v>
      </c>
      <c r="CN109" s="94">
        <f t="shared" si="58"/>
        <v>-8.4242010529375033</v>
      </c>
      <c r="CO109" s="94">
        <f t="shared" si="59"/>
        <v>3.1674653304632505</v>
      </c>
      <c r="CP109" s="39">
        <v>0.91666666666666696</v>
      </c>
      <c r="CR109" s="39">
        <v>0.91666666666666696</v>
      </c>
      <c r="CS109" s="38">
        <v>-150</v>
      </c>
      <c r="CT109" s="38">
        <f t="shared" si="60"/>
        <v>-30.345862693789289</v>
      </c>
      <c r="CU109" s="38">
        <f t="shared" si="86"/>
        <v>-32.197876165590202</v>
      </c>
      <c r="CW109">
        <f t="shared" si="62"/>
        <v>9</v>
      </c>
      <c r="CX109">
        <f t="shared" si="87"/>
        <v>153.30093729758607</v>
      </c>
      <c r="CY109" s="94">
        <f t="shared" si="64"/>
        <v>-8.0404086472728373</v>
      </c>
      <c r="CZ109" s="94">
        <f t="shared" si="65"/>
        <v>4.0437394556103845</v>
      </c>
      <c r="DA109" s="39">
        <v>0.91666666666666696</v>
      </c>
      <c r="DC109" s="39">
        <v>0.91666666666666696</v>
      </c>
      <c r="DD109" s="38">
        <v>-150</v>
      </c>
      <c r="DE109" s="38">
        <f t="shared" si="66"/>
        <v>-62.593106094089499</v>
      </c>
      <c r="DF109" s="38">
        <f t="shared" si="88"/>
        <v>-85.218419971753733</v>
      </c>
      <c r="DH109">
        <f t="shared" si="68"/>
        <v>9</v>
      </c>
      <c r="DI109">
        <f t="shared" si="89"/>
        <v>207.0871391084072</v>
      </c>
      <c r="DJ109" s="94">
        <f t="shared" si="70"/>
        <v>-8.0128353242451471</v>
      </c>
      <c r="DK109" s="94">
        <f t="shared" si="71"/>
        <v>-4.098105668053126</v>
      </c>
      <c r="DL109" s="39">
        <v>0.91666666666666696</v>
      </c>
    </row>
    <row r="110" spans="1:116" x14ac:dyDescent="0.25">
      <c r="A110">
        <v>-1.8</v>
      </c>
      <c r="B110">
        <f t="shared" si="16"/>
        <v>8.8181630740194414</v>
      </c>
      <c r="C110">
        <f t="shared" si="17"/>
        <v>-8.8181630740194414</v>
      </c>
      <c r="D110">
        <f t="shared" si="20"/>
        <v>7.7948701079620308</v>
      </c>
      <c r="E110">
        <f t="shared" si="21"/>
        <v>-7.7948701079620308</v>
      </c>
      <c r="F110">
        <f t="shared" si="24"/>
        <v>6.7646138101151054</v>
      </c>
      <c r="G110">
        <f t="shared" si="25"/>
        <v>-6.7646138101151054</v>
      </c>
      <c r="H110">
        <f t="shared" si="74"/>
        <v>5.7236352085016735</v>
      </c>
      <c r="I110">
        <f t="shared" si="75"/>
        <v>-5.7236352085016735</v>
      </c>
      <c r="J110">
        <f t="shared" si="90"/>
        <v>4.6647615158762399</v>
      </c>
      <c r="K110">
        <f t="shared" si="91"/>
        <v>-4.6647615158762399</v>
      </c>
      <c r="L110">
        <f t="shared" si="12"/>
        <v>3.5721142198983502</v>
      </c>
      <c r="M110">
        <f t="shared" si="13"/>
        <v>-3.5721142198983502</v>
      </c>
      <c r="N110">
        <f t="shared" si="14"/>
        <v>2.4</v>
      </c>
      <c r="O110">
        <f t="shared" si="15"/>
        <v>-2.4</v>
      </c>
      <c r="P110">
        <f t="shared" si="18"/>
        <v>0.87177978870813455</v>
      </c>
      <c r="Q110">
        <f t="shared" si="19"/>
        <v>-0.87177978870813455</v>
      </c>
      <c r="U110" s="94"/>
      <c r="V110" s="94"/>
      <c r="W110" s="94"/>
      <c r="X110" s="94"/>
      <c r="Y110" s="94"/>
      <c r="Z110" s="94"/>
      <c r="AA110" s="94"/>
      <c r="AB110" s="94"/>
      <c r="AE110" t="s">
        <v>108</v>
      </c>
      <c r="AF110" t="str">
        <f>+'Control Solar 2do Sem'!N12</f>
        <v>SI</v>
      </c>
      <c r="AO110" s="39">
        <v>0.95833333333333304</v>
      </c>
      <c r="AP110" s="38">
        <v>-165</v>
      </c>
      <c r="AQ110" s="38">
        <f t="shared" si="30"/>
        <v>-74.799808157740955</v>
      </c>
      <c r="AR110" s="38">
        <f t="shared" si="76"/>
        <v>-66.142990846489056</v>
      </c>
      <c r="AT110">
        <f t="shared" si="32"/>
        <v>9</v>
      </c>
      <c r="AU110">
        <f t="shared" si="77"/>
        <v>205.50783517093154</v>
      </c>
      <c r="AV110" s="94">
        <f t="shared" si="34"/>
        <v>-8.1227376334839274</v>
      </c>
      <c r="AW110" s="94">
        <f t="shared" si="35"/>
        <v>-3.8757106880653427</v>
      </c>
      <c r="AX110" s="39">
        <v>0.95833333333333304</v>
      </c>
      <c r="AY110" s="13"/>
      <c r="AZ110" s="39">
        <v>0.95833333333333304</v>
      </c>
      <c r="BA110" s="38">
        <v>-165</v>
      </c>
      <c r="BB110" s="38">
        <f t="shared" si="36"/>
        <v>-70.521354044474833</v>
      </c>
      <c r="BC110" s="38">
        <f t="shared" si="78"/>
        <v>-48.455073660614858</v>
      </c>
      <c r="BE110">
        <f t="shared" si="38"/>
        <v>9</v>
      </c>
      <c r="BF110">
        <f t="shared" si="79"/>
        <v>197.64724136881426</v>
      </c>
      <c r="BG110" s="94">
        <f t="shared" si="40"/>
        <v>-8.5764693111567532</v>
      </c>
      <c r="BH110" s="94">
        <f t="shared" si="41"/>
        <v>-2.7284013918018726</v>
      </c>
      <c r="BI110" s="39">
        <v>0.95833333333333304</v>
      </c>
      <c r="BK110" s="39">
        <v>0.95833333333333304</v>
      </c>
      <c r="BL110" s="38">
        <v>-165</v>
      </c>
      <c r="BM110" s="38">
        <f t="shared" si="42"/>
        <v>-61.35498544459201</v>
      </c>
      <c r="BN110" s="38">
        <f t="shared" si="80"/>
        <v>-32.577599509616022</v>
      </c>
      <c r="BP110">
        <f t="shared" si="44"/>
        <v>9</v>
      </c>
      <c r="BQ110">
        <f t="shared" si="81"/>
        <v>184.82492718072712</v>
      </c>
      <c r="BR110" s="94">
        <f t="shared" si="72"/>
        <v>-8.9681072395106511</v>
      </c>
      <c r="BS110" s="94">
        <f t="shared" si="73"/>
        <v>-0.75700233859390975</v>
      </c>
      <c r="BT110" s="39">
        <v>0.95833333333333304</v>
      </c>
      <c r="BV110" s="39">
        <v>0.95833333333333304</v>
      </c>
      <c r="BW110" s="38">
        <v>-165</v>
      </c>
      <c r="BX110" s="38">
        <f t="shared" si="48"/>
        <v>-50.459462063736531</v>
      </c>
      <c r="BY110" s="38">
        <f t="shared" si="82"/>
        <v>-23.757097991460768</v>
      </c>
      <c r="CA110">
        <f t="shared" si="50"/>
        <v>9</v>
      </c>
      <c r="CB110">
        <f t="shared" si="83"/>
        <v>171.15280091256506</v>
      </c>
      <c r="CC110" s="94">
        <f t="shared" si="52"/>
        <v>-8.8929181760047449</v>
      </c>
      <c r="CD110" s="94">
        <f t="shared" si="53"/>
        <v>1.3841987989029836</v>
      </c>
      <c r="CE110" s="39">
        <v>0.95833333333333304</v>
      </c>
      <c r="CG110" s="39">
        <v>0.95833333333333304</v>
      </c>
      <c r="CH110" s="38">
        <v>-165</v>
      </c>
      <c r="CI110" s="38">
        <f t="shared" si="54"/>
        <v>-40.824938336382189</v>
      </c>
      <c r="CJ110" s="38">
        <f t="shared" si="84"/>
        <v>-18.99291882687055</v>
      </c>
      <c r="CL110">
        <f t="shared" si="56"/>
        <v>9</v>
      </c>
      <c r="CM110">
        <f t="shared" si="85"/>
        <v>159.39394357034001</v>
      </c>
      <c r="CN110" s="94">
        <f t="shared" si="58"/>
        <v>-8.4242010529375033</v>
      </c>
      <c r="CO110" s="94">
        <f t="shared" si="59"/>
        <v>3.1674653304632505</v>
      </c>
      <c r="CP110" s="39">
        <v>0.95833333333333304</v>
      </c>
      <c r="CR110" s="39">
        <v>0.95833333333333304</v>
      </c>
      <c r="CS110" s="38">
        <v>-165</v>
      </c>
      <c r="CT110" s="38">
        <f t="shared" si="60"/>
        <v>-35.839262725902358</v>
      </c>
      <c r="CU110" s="38">
        <f t="shared" si="86"/>
        <v>-17.075115341073001</v>
      </c>
      <c r="CW110">
        <f t="shared" si="62"/>
        <v>9</v>
      </c>
      <c r="CX110">
        <f t="shared" si="87"/>
        <v>153.30093729758607</v>
      </c>
      <c r="CY110" s="94">
        <f t="shared" si="64"/>
        <v>-8.0404086472728373</v>
      </c>
      <c r="CZ110" s="94">
        <f t="shared" si="65"/>
        <v>4.0437394556103845</v>
      </c>
      <c r="DA110" s="39">
        <v>0.95833333333333304</v>
      </c>
      <c r="DC110" s="39">
        <v>0.95833333333333304</v>
      </c>
      <c r="DD110" s="38">
        <v>-165</v>
      </c>
      <c r="DE110" s="38">
        <f t="shared" si="66"/>
        <v>-75.43350470599799</v>
      </c>
      <c r="DF110" s="38">
        <f t="shared" si="88"/>
        <v>-70.750931390631095</v>
      </c>
      <c r="DH110">
        <f t="shared" si="68"/>
        <v>9</v>
      </c>
      <c r="DI110">
        <f t="shared" si="89"/>
        <v>207.0871391084072</v>
      </c>
      <c r="DJ110" s="94">
        <f t="shared" si="70"/>
        <v>-8.0128353242451471</v>
      </c>
      <c r="DK110" s="94">
        <f t="shared" si="71"/>
        <v>-4.098105668053126</v>
      </c>
      <c r="DL110" s="39">
        <v>0.95833333333333304</v>
      </c>
    </row>
    <row r="111" spans="1:116" x14ac:dyDescent="0.25">
      <c r="A111">
        <v>-1.9</v>
      </c>
      <c r="B111">
        <f t="shared" si="16"/>
        <v>8.7971586321948294</v>
      </c>
      <c r="C111">
        <f t="shared" si="17"/>
        <v>-8.7971586321948294</v>
      </c>
      <c r="D111">
        <f t="shared" si="20"/>
        <v>7.7711003081931711</v>
      </c>
      <c r="E111">
        <f t="shared" si="21"/>
        <v>-7.7711003081931711</v>
      </c>
      <c r="F111">
        <f t="shared" si="24"/>
        <v>6.7372101050805888</v>
      </c>
      <c r="G111">
        <f t="shared" si="25"/>
        <v>-6.7372101050805888</v>
      </c>
      <c r="H111">
        <f t="shared" si="74"/>
        <v>5.6912213100528781</v>
      </c>
      <c r="I111">
        <f t="shared" si="75"/>
        <v>-5.6912213100528781</v>
      </c>
      <c r="J111">
        <f t="shared" si="90"/>
        <v>4.6249324319388707</v>
      </c>
      <c r="K111">
        <f t="shared" si="91"/>
        <v>-4.6249324319388707</v>
      </c>
      <c r="L111">
        <f t="shared" si="12"/>
        <v>3.5199431813596083</v>
      </c>
      <c r="M111">
        <f t="shared" si="13"/>
        <v>-3.5199431813596083</v>
      </c>
      <c r="N111">
        <f t="shared" si="14"/>
        <v>2.32163735324878</v>
      </c>
      <c r="O111">
        <f t="shared" si="15"/>
        <v>-2.32163735324878</v>
      </c>
      <c r="P111">
        <f t="shared" si="18"/>
        <v>0.62449979983983994</v>
      </c>
      <c r="Q111">
        <f t="shared" si="19"/>
        <v>-0.62449979983983994</v>
      </c>
      <c r="U111" s="94"/>
      <c r="V111" s="94"/>
      <c r="W111" s="94"/>
      <c r="X111" s="94"/>
      <c r="Y111" s="94"/>
      <c r="Z111" s="94"/>
      <c r="AA111" s="94"/>
      <c r="AB111" s="94"/>
      <c r="AE111" t="s">
        <v>107</v>
      </c>
      <c r="AF111" t="str">
        <f>+'Control Solar 2do Sem'!N26</f>
        <v>NO</v>
      </c>
      <c r="AO111" s="39">
        <v>1</v>
      </c>
      <c r="AP111" s="38">
        <v>-180</v>
      </c>
      <c r="AQ111" s="38">
        <f t="shared" si="30"/>
        <v>-83.027748812505394</v>
      </c>
      <c r="AR111" s="38">
        <f>IF(((((SIN(RADIANS(AQ111)))*SIN(RADIANS($AR$85)))-SIN(RADIANS($AQ$85)))/((COS(RADIANS(AQ111)))*COS(RADIANS($AR$85))))&lt;=-1,-(180-DEGREES(ACOS(-1))),IF(((((SIN(RADIANS(AQ111)))*SIN(RADIANS($AR$85)))-SIN(RADIANS($AQ$85)))/((COS(RADIANS(AQ111)))*COS(RADIANS($AR$85))))&gt;=1,-(180-DEGREES(ACOS(1))),-(180-DEGREES(ACOS((((SIN(RADIANS(AQ111)))*SIN(RADIANS($AR$85)))-SIN(RADIANS($AQ$85)))/((COS(RADIANS(AQ111)))*COS(RADIANS($AR$85))))))))</f>
        <v>0</v>
      </c>
      <c r="AT111">
        <f t="shared" si="32"/>
        <v>9</v>
      </c>
      <c r="AU111">
        <f t="shared" si="77"/>
        <v>205.50783517093154</v>
      </c>
      <c r="AV111" s="94">
        <f t="shared" si="34"/>
        <v>-8.1227376334839274</v>
      </c>
      <c r="AW111" s="94">
        <f t="shared" si="35"/>
        <v>-3.8757106880653427</v>
      </c>
      <c r="AX111" s="39">
        <v>1</v>
      </c>
      <c r="AY111" s="13"/>
      <c r="AZ111" s="39">
        <v>1</v>
      </c>
      <c r="BA111" s="38">
        <v>-180</v>
      </c>
      <c r="BB111" s="38">
        <f t="shared" si="36"/>
        <v>-76.283416576552995</v>
      </c>
      <c r="BC111" s="38">
        <f>IF(((((SIN(RADIANS(BB111)))*SIN(RADIANS($BC$85)))-SIN(RADIANS($BC$85)))/((COS(RADIANS(BB111)))*COS(RADIANS($BC$85))))&lt;=-1,-(180-DEGREES(ACOS(-1))),IF(((((SIN(RADIANS(BB111)))*SIN(RADIANS($BC$85)))-SIN(RADIANS($BC$85)))/((COS(RADIANS(BB111)))*COS(RADIANS($BC$85))))&gt;=1,-(180-DEGREES(ACOS(1))),-(180-DEGREES(ACOS((((SIN(RADIANS(BB111)))*SIN(RADIANS($BC$85)))-SIN(RADIANS($BB$85)))/((COS(RADIANS(BB111)))*COS(RADIANS($BC$85))))))))</f>
        <v>0</v>
      </c>
      <c r="BE111">
        <f t="shared" si="38"/>
        <v>9</v>
      </c>
      <c r="BF111">
        <f t="shared" si="79"/>
        <v>197.64724136881426</v>
      </c>
      <c r="BG111" s="94">
        <f t="shared" si="40"/>
        <v>-8.5764693111567532</v>
      </c>
      <c r="BH111" s="94">
        <f t="shared" si="41"/>
        <v>-2.7284013918018726</v>
      </c>
      <c r="BI111" s="39">
        <v>1</v>
      </c>
      <c r="BK111" s="39">
        <v>1</v>
      </c>
      <c r="BL111" s="38">
        <v>-180</v>
      </c>
      <c r="BM111" s="38">
        <f t="shared" si="42"/>
        <v>-65.135526435264424</v>
      </c>
      <c r="BN111" s="38">
        <f>IF(((((SIN(RADIANS(BM111)))*SIN(RADIANS($BN$85)))-SIN(RADIANS($BN$85)))/((COS(RADIANS(BM111)))*COS(RADIANS($BN$85))))&lt;=-1,-(180-DEGREES(ACOS(-1))),-(180-DEGREES(ACOS((((SIN(RADIANS(BM111)))*SIN(RADIANS($BN$85)))-SIN(RADIANS($BM$85)))/((COS(RADIANS(BM111)))*COS(RADIANS($BN$85)))))))</f>
        <v>0</v>
      </c>
      <c r="BP111">
        <f t="shared" si="44"/>
        <v>9</v>
      </c>
      <c r="BQ111">
        <f t="shared" si="81"/>
        <v>184.82492718072712</v>
      </c>
      <c r="BR111" s="94">
        <f t="shared" si="72"/>
        <v>-8.9681072395106511</v>
      </c>
      <c r="BS111" s="94">
        <f t="shared" si="73"/>
        <v>-0.75700233859390975</v>
      </c>
      <c r="BT111" s="39">
        <v>1</v>
      </c>
      <c r="BV111" s="39">
        <v>1</v>
      </c>
      <c r="BW111" s="38">
        <v>-180</v>
      </c>
      <c r="BX111" s="38">
        <f t="shared" si="48"/>
        <v>-53.195371091834765</v>
      </c>
      <c r="BY111" s="38">
        <f>IF(((((SIN(RADIANS(BX111)))*SIN(RADIANS($BY$85)))-SIN(RADIANS($BX$85)))/((COS(RADIANS(BX111)))*COS(RADIANS($BY$85))))&gt;=-1,-(180-DEGREES(ACOS(-1))),-(180-DEGREES(ACOS((((SIN(RADIANS(BX111)))*SIN(RADIANS($BY$85)))-SIN(RADIANS($BX$85)))/((COS(RADIANS(BX111)))*COS(RADIANS($BY$85)))))))</f>
        <v>0</v>
      </c>
      <c r="CA111">
        <f t="shared" si="50"/>
        <v>9</v>
      </c>
      <c r="CB111">
        <f t="shared" si="83"/>
        <v>171.15280091256506</v>
      </c>
      <c r="CC111" s="94">
        <f t="shared" si="52"/>
        <v>-8.8929181760047449</v>
      </c>
      <c r="CD111" s="94">
        <f t="shared" si="53"/>
        <v>1.3841987989029836</v>
      </c>
      <c r="CE111" s="39">
        <v>1</v>
      </c>
      <c r="CG111" s="39">
        <v>1</v>
      </c>
      <c r="CH111" s="38">
        <v>-180</v>
      </c>
      <c r="CI111" s="38">
        <f t="shared" si="54"/>
        <v>-43.006812030061774</v>
      </c>
      <c r="CJ111" s="38">
        <f>IF(((((SIN(RADIANS(CI111)))*SIN(RADIANS($CJ$85)))-SIN(RADIANS($CI$85)))/((COS(RADIANS(CI111)))*COS(RADIANS($CJ$85))))&lt;=-1,-(180-DEGREES(ACOS(-1))),-(180-DEGREES(ACOS((((SIN(RADIANS(CI111)))*SIN(RADIANS($CJ$85)))-SIN(RADIANS($CI$85)))/((COS(RADIANS(CI111)))*COS(RADIANS($CJ$85)))))))</f>
        <v>0</v>
      </c>
      <c r="CL111">
        <f t="shared" si="56"/>
        <v>9</v>
      </c>
      <c r="CM111">
        <f t="shared" si="85"/>
        <v>159.39394357034001</v>
      </c>
      <c r="CN111" s="94">
        <f t="shared" si="58"/>
        <v>-8.4242010529375033</v>
      </c>
      <c r="CO111" s="94">
        <f t="shared" si="59"/>
        <v>3.1674653304632505</v>
      </c>
      <c r="CP111" s="39">
        <v>1</v>
      </c>
      <c r="CR111" s="39">
        <v>1</v>
      </c>
      <c r="CS111" s="38">
        <v>-180</v>
      </c>
      <c r="CT111" s="38">
        <f t="shared" si="60"/>
        <v>-37.799515883348185</v>
      </c>
      <c r="CU111" s="38">
        <f>IF(((((SIN(RADIANS(CT111)))*SIN(RADIANS($CU$85)))-SIN(RADIANS($CT$85)))/((COS(RADIANS(CT111)))*COS(RADIANS($CU$85))))&gt;=-1,-(180-DEGREES(ACOS(-1))),-(180-DEGREES(ACOS((((SIN(RADIANS(CT111)))*SIN(RADIANS($CU$85)))-SIN(RADIANS($CT$85)))/((COS(RADIANS(CT111)))*COS(RADIANS($CU$85)))))))</f>
        <v>0</v>
      </c>
      <c r="CW111">
        <f t="shared" si="62"/>
        <v>9</v>
      </c>
      <c r="CX111">
        <f t="shared" si="87"/>
        <v>153.30093729758607</v>
      </c>
      <c r="CY111" s="94">
        <f t="shared" si="64"/>
        <v>-8.0404086472728373</v>
      </c>
      <c r="CZ111" s="94">
        <f t="shared" si="65"/>
        <v>4.0437394556103845</v>
      </c>
      <c r="DA111" s="39">
        <v>1</v>
      </c>
      <c r="DC111" s="39">
        <v>1</v>
      </c>
      <c r="DD111" s="38">
        <v>-180</v>
      </c>
      <c r="DE111" s="38">
        <f t="shared" si="66"/>
        <v>-84.369782846813692</v>
      </c>
      <c r="DF111" s="38">
        <f>IF(((((SIN(RADIANS(DE111)))*SIN(RADIANS($DF$85)))-SIN(RADIANS($DF$85)))/((COS(RADIANS(DE111)))*COS(RADIANS($DF$85))))&lt;=-1,-(180-DEGREES(ACOS(-1))),IF(((((SIN(RADIANS(DE111)))*SIN(RADIANS($DF$85)))-SIN(RADIANS($DF$85)))/((COS(RADIANS(DE111)))*COS(RADIANS($DF$85))))&gt;=1,-(180-DEGREES(ACOS(1))),-(180-DEGREES(ACOS((((SIN(RADIANS(DE111)))*SIN(RADIANS($DF$85)))-SIN(RADIANS($DE$85)))/((COS(RADIANS(DE111)))*COS(RADIANS($DF$85))))))))</f>
        <v>0</v>
      </c>
      <c r="DH111">
        <f t="shared" si="68"/>
        <v>9</v>
      </c>
      <c r="DI111">
        <f t="shared" si="89"/>
        <v>207.0871391084072</v>
      </c>
      <c r="DJ111" s="94">
        <f t="shared" si="70"/>
        <v>-8.0128353242451471</v>
      </c>
      <c r="DK111" s="94">
        <f t="shared" si="71"/>
        <v>-4.098105668053126</v>
      </c>
      <c r="DL111" s="39">
        <v>1</v>
      </c>
    </row>
    <row r="112" spans="1:116" x14ac:dyDescent="0.25">
      <c r="A112">
        <v>-2</v>
      </c>
      <c r="B112">
        <f t="shared" si="16"/>
        <v>8.7749643873921226</v>
      </c>
      <c r="C112">
        <f t="shared" si="17"/>
        <v>-8.7749643873921226</v>
      </c>
      <c r="D112">
        <f t="shared" si="20"/>
        <v>7.745966692414834</v>
      </c>
      <c r="E112">
        <f t="shared" si="21"/>
        <v>-7.745966692414834</v>
      </c>
      <c r="F112">
        <f t="shared" si="24"/>
        <v>6.7082039324993694</v>
      </c>
      <c r="G112">
        <f t="shared" si="25"/>
        <v>-6.7082039324993694</v>
      </c>
      <c r="H112">
        <f t="shared" si="74"/>
        <v>5.6568542494923806</v>
      </c>
      <c r="I112">
        <f t="shared" si="75"/>
        <v>-5.6568542494923806</v>
      </c>
      <c r="J112">
        <f t="shared" si="90"/>
        <v>4.5825756949558398</v>
      </c>
      <c r="K112">
        <f t="shared" si="91"/>
        <v>-4.5825756949558398</v>
      </c>
      <c r="L112">
        <f t="shared" si="12"/>
        <v>3.4641016151377544</v>
      </c>
      <c r="M112">
        <f t="shared" si="13"/>
        <v>-3.4641016151377544</v>
      </c>
      <c r="N112">
        <f t="shared" si="14"/>
        <v>2.2360679774997898</v>
      </c>
      <c r="O112">
        <f t="shared" si="15"/>
        <v>-2.2360679774997898</v>
      </c>
      <c r="P112">
        <f t="shared" si="18"/>
        <v>0</v>
      </c>
      <c r="Q112">
        <f t="shared" si="19"/>
        <v>0</v>
      </c>
      <c r="U112" s="94"/>
      <c r="V112" s="94"/>
      <c r="W112" s="94"/>
      <c r="X112" s="94"/>
      <c r="Y112" s="94"/>
      <c r="Z112" s="94"/>
      <c r="AA112" s="94"/>
      <c r="AB112" s="94"/>
      <c r="AO112" s="39">
        <v>1.0416666666666701</v>
      </c>
      <c r="AP112" s="38">
        <v>-195</v>
      </c>
      <c r="AQ112" s="38">
        <f t="shared" si="30"/>
        <v>-74.799808157740998</v>
      </c>
      <c r="AR112" s="38">
        <f>-(180-DEGREES(ACOS((((SIN(RADIANS(AQ112)))*SIN(RADIANS($AR$85)))-SIN(RADIANS($AQ$85)))/((COS(RADIANS(AQ112)))*COS(RADIANS($AR$85))))))</f>
        <v>-66.142990846488942</v>
      </c>
      <c r="AT112">
        <f t="shared" si="32"/>
        <v>9</v>
      </c>
      <c r="AU112">
        <f t="shared" si="77"/>
        <v>205.50783517093154</v>
      </c>
      <c r="AV112" s="94">
        <f t="shared" si="34"/>
        <v>-8.1227376334839274</v>
      </c>
      <c r="AW112" s="94">
        <f t="shared" si="35"/>
        <v>-3.8757106880653427</v>
      </c>
      <c r="AX112" s="39">
        <v>1.0416666666666701</v>
      </c>
      <c r="AZ112" s="39">
        <v>1.0416666666666701</v>
      </c>
      <c r="BA112" s="38">
        <v>-195</v>
      </c>
      <c r="BB112" s="38">
        <f t="shared" si="36"/>
        <v>-70.521354044474847</v>
      </c>
      <c r="BC112" s="38">
        <f>-(180-DEGREES(ACOS((((SIN(RADIANS(BB112)))*SIN(RADIANS($BC$85)))-SIN(RADIANS($BB$85)))/((COS(RADIANS(BB112)))*COS(RADIANS($BC$85))))))</f>
        <v>-48.455073660614829</v>
      </c>
      <c r="BE112">
        <f t="shared" si="38"/>
        <v>9</v>
      </c>
      <c r="BF112">
        <f t="shared" si="79"/>
        <v>197.64724136881426</v>
      </c>
      <c r="BG112" s="94">
        <f t="shared" si="40"/>
        <v>-8.5764693111567532</v>
      </c>
      <c r="BH112" s="94">
        <f t="shared" si="41"/>
        <v>-2.7284013918018726</v>
      </c>
      <c r="BI112" s="39">
        <v>1.0416666666666701</v>
      </c>
      <c r="BK112" s="39">
        <v>1.0416666666666701</v>
      </c>
      <c r="BL112" s="38">
        <v>-195</v>
      </c>
      <c r="BM112" s="38">
        <f t="shared" si="42"/>
        <v>-61.354985444592032</v>
      </c>
      <c r="BN112" s="38">
        <f>-(180-DEGREES(ACOS((((SIN(RADIANS(BM112)))*SIN(RADIANS($BN$85)))-SIN(RADIANS($BM$85)))/((COS(RADIANS(BM112)))*COS(RADIANS($BN$85))))))</f>
        <v>-32.577599509615908</v>
      </c>
      <c r="BP112">
        <f t="shared" si="44"/>
        <v>9</v>
      </c>
      <c r="BQ112">
        <f t="shared" si="81"/>
        <v>184.82492718072712</v>
      </c>
      <c r="BR112" s="94">
        <f t="shared" si="72"/>
        <v>-8.9681072395106511</v>
      </c>
      <c r="BS112" s="94">
        <f t="shared" si="73"/>
        <v>-0.75700233859390975</v>
      </c>
      <c r="BT112" s="39">
        <v>1.0416666666666701</v>
      </c>
      <c r="BV112" s="39">
        <v>1.0416666666666701</v>
      </c>
      <c r="BW112" s="38">
        <v>-195</v>
      </c>
      <c r="BX112" s="38">
        <f t="shared" si="48"/>
        <v>-50.459462063736552</v>
      </c>
      <c r="BY112" s="38">
        <f>-(180-DEGREES(ACOS((((SIN(RADIANS(BX112)))*SIN(RADIANS($BY$85)))-SIN(RADIANS($BX$85)))/((COS(RADIANS(BX112)))*COS(RADIANS($BY$85))))))</f>
        <v>-23.757097991460682</v>
      </c>
      <c r="CA112">
        <f t="shared" si="50"/>
        <v>9</v>
      </c>
      <c r="CB112">
        <f t="shared" si="83"/>
        <v>171.15280091256506</v>
      </c>
      <c r="CC112" s="94">
        <f t="shared" si="52"/>
        <v>-8.8929181760047449</v>
      </c>
      <c r="CD112" s="94">
        <f t="shared" si="53"/>
        <v>1.3841987989029836</v>
      </c>
      <c r="CE112" s="39">
        <v>1.0416666666666701</v>
      </c>
      <c r="CG112" s="39">
        <v>1.0416666666666701</v>
      </c>
      <c r="CH112" s="38">
        <v>-195</v>
      </c>
      <c r="CI112" s="38">
        <f t="shared" si="54"/>
        <v>-40.824938336382189</v>
      </c>
      <c r="CJ112" s="38">
        <f>-(180-DEGREES(ACOS((((SIN(RADIANS(CI112)))*SIN(RADIANS($CJ$85)))-SIN(RADIANS($CI$85)))/((COS(RADIANS(CI112)))*COS(RADIANS($CJ$85))))))</f>
        <v>-18.99291882687055</v>
      </c>
      <c r="CL112">
        <f t="shared" si="56"/>
        <v>9</v>
      </c>
      <c r="CM112">
        <f t="shared" si="85"/>
        <v>159.39394357034001</v>
      </c>
      <c r="CN112" s="94">
        <f t="shared" si="58"/>
        <v>-8.4242010529375033</v>
      </c>
      <c r="CO112" s="94">
        <f t="shared" si="59"/>
        <v>3.1674653304632505</v>
      </c>
      <c r="CP112" s="39">
        <v>1.0416666666666701</v>
      </c>
      <c r="CR112" s="39">
        <v>1.0416666666666701</v>
      </c>
      <c r="CS112" s="38">
        <v>-195</v>
      </c>
      <c r="CT112" s="38">
        <f t="shared" si="60"/>
        <v>-35.839262725902358</v>
      </c>
      <c r="CU112" s="38">
        <f>-(180-DEGREES(ACOS((((SIN(RADIANS(CT112)))*SIN(RADIANS($CU$85)))-SIN(RADIANS($CT$85)))/((COS(RADIANS(CT112)))*COS(RADIANS($CU$85))))))</f>
        <v>-17.075115341073001</v>
      </c>
      <c r="CW112">
        <f t="shared" si="62"/>
        <v>9</v>
      </c>
      <c r="CX112">
        <f>IF((9-(CT88/10))&gt;9,90-(180-DEGREES(ACOS((((SIN(RADIANS(0)))*SIN(RADIANS($CU$85)))-SIN(RADIANS($CT$85)))/((COS(RADIANS(0)))*COS(RADIANS($CU$85)))))),90-CU88)</f>
        <v>26.699062702413926</v>
      </c>
      <c r="CY112" s="94">
        <f t="shared" si="64"/>
        <v>8.0404086472728373</v>
      </c>
      <c r="CZ112" s="94">
        <f t="shared" si="65"/>
        <v>4.0437394556103836</v>
      </c>
      <c r="DA112" s="39">
        <v>4.1666666666666699E-2</v>
      </c>
      <c r="DC112" s="39">
        <v>1.0416666666666701</v>
      </c>
      <c r="DD112" s="38">
        <v>-195</v>
      </c>
      <c r="DE112" s="38">
        <f t="shared" si="66"/>
        <v>-75.433504705998047</v>
      </c>
      <c r="DF112" s="38">
        <f>-(180-DEGREES(ACOS((((SIN(RADIANS(DE112)))*SIN(RADIANS($DF$85)))-SIN(RADIANS($DE$85)))/((COS(RADIANS(DE112)))*COS(RADIANS($DF$85))))))</f>
        <v>-70.750931390630981</v>
      </c>
      <c r="DH112">
        <f t="shared" si="68"/>
        <v>9</v>
      </c>
      <c r="DI112">
        <f t="shared" si="89"/>
        <v>207.0871391084072</v>
      </c>
      <c r="DJ112" s="94">
        <f t="shared" si="70"/>
        <v>-8.0128353242451471</v>
      </c>
      <c r="DK112" s="94">
        <f t="shared" si="71"/>
        <v>-4.098105668053126</v>
      </c>
      <c r="DL112" s="39">
        <v>1.0416666666666701</v>
      </c>
    </row>
    <row r="113" spans="1:116" x14ac:dyDescent="0.25">
      <c r="A113">
        <v>-2.1</v>
      </c>
      <c r="B113">
        <f t="shared" si="16"/>
        <v>8.7515712874888933</v>
      </c>
      <c r="C113">
        <f t="shared" si="17"/>
        <v>-8.7515712874888933</v>
      </c>
      <c r="D113">
        <f t="shared" si="20"/>
        <v>7.7194559393781113</v>
      </c>
      <c r="E113">
        <f t="shared" si="21"/>
        <v>-7.7194559393781113</v>
      </c>
      <c r="F113">
        <f t="shared" si="24"/>
        <v>6.6775744099186198</v>
      </c>
      <c r="G113">
        <f t="shared" si="25"/>
        <v>-6.6775744099186198</v>
      </c>
      <c r="H113">
        <f t="shared" si="74"/>
        <v>5.6204981985585585</v>
      </c>
      <c r="I113">
        <f t="shared" si="75"/>
        <v>-5.6204981985585585</v>
      </c>
      <c r="J113">
        <f t="shared" si="90"/>
        <v>4.5376205218153709</v>
      </c>
      <c r="K113">
        <f t="shared" si="91"/>
        <v>-4.5376205218153709</v>
      </c>
      <c r="L113">
        <f t="shared" si="12"/>
        <v>3.4044089061098401</v>
      </c>
      <c r="M113">
        <f t="shared" si="13"/>
        <v>-3.4044089061098401</v>
      </c>
      <c r="N113">
        <f t="shared" si="14"/>
        <v>2.142428528562855</v>
      </c>
      <c r="O113">
        <f t="shared" si="15"/>
        <v>-2.142428528562855</v>
      </c>
      <c r="U113" s="94"/>
      <c r="V113" s="94"/>
      <c r="W113" s="94"/>
      <c r="X113" s="94"/>
      <c r="Y113" s="94"/>
      <c r="Z113" s="94"/>
      <c r="AA113" s="94"/>
      <c r="AB113" s="94"/>
    </row>
    <row r="114" spans="1:116" x14ac:dyDescent="0.25">
      <c r="A114">
        <v>-2.2000000000000002</v>
      </c>
      <c r="B114">
        <f t="shared" si="16"/>
        <v>8.7269696917085717</v>
      </c>
      <c r="C114">
        <f t="shared" si="17"/>
        <v>-8.7269696917085717</v>
      </c>
      <c r="D114">
        <f t="shared" si="20"/>
        <v>7.6915538092117641</v>
      </c>
      <c r="E114">
        <f t="shared" si="21"/>
        <v>-7.6915538092117641</v>
      </c>
      <c r="F114">
        <f t="shared" si="24"/>
        <v>6.6452990903344595</v>
      </c>
      <c r="G114">
        <f t="shared" si="25"/>
        <v>-6.6452990903344595</v>
      </c>
      <c r="H114">
        <f t="shared" si="74"/>
        <v>5.5821142947811451</v>
      </c>
      <c r="I114">
        <f t="shared" si="75"/>
        <v>-5.5821142947811451</v>
      </c>
      <c r="J114">
        <f t="shared" si="90"/>
        <v>4.4899888641287298</v>
      </c>
      <c r="K114">
        <f t="shared" si="91"/>
        <v>-4.4899888641287298</v>
      </c>
      <c r="L114">
        <f t="shared" si="12"/>
        <v>3.3406586176980131</v>
      </c>
      <c r="M114">
        <f t="shared" si="13"/>
        <v>-3.3406586176980131</v>
      </c>
      <c r="N114">
        <f t="shared" si="14"/>
        <v>2.0396078054371136</v>
      </c>
      <c r="O114">
        <f t="shared" si="15"/>
        <v>-2.0396078054371136</v>
      </c>
      <c r="U114" s="94"/>
      <c r="V114" s="94"/>
      <c r="W114" s="94"/>
      <c r="X114" s="94"/>
      <c r="Y114" s="94"/>
      <c r="Z114" s="94"/>
      <c r="AA114" s="94"/>
      <c r="AB114" s="94"/>
    </row>
    <row r="115" spans="1:116" x14ac:dyDescent="0.25">
      <c r="A115">
        <v>-2.2999999999999998</v>
      </c>
      <c r="B115">
        <f t="shared" si="16"/>
        <v>8.7011493493675882</v>
      </c>
      <c r="C115">
        <f t="shared" si="17"/>
        <v>-8.7011493493675882</v>
      </c>
      <c r="D115">
        <f t="shared" si="20"/>
        <v>7.6622451017962092</v>
      </c>
      <c r="E115">
        <f t="shared" si="21"/>
        <v>-7.6622451017962092</v>
      </c>
      <c r="F115">
        <f t="shared" si="24"/>
        <v>6.611353870426238</v>
      </c>
      <c r="G115">
        <f t="shared" si="25"/>
        <v>-6.611353870426238</v>
      </c>
      <c r="H115">
        <f t="shared" si="74"/>
        <v>5.5416604009989641</v>
      </c>
      <c r="I115">
        <f t="shared" si="75"/>
        <v>-5.5416604009989641</v>
      </c>
      <c r="J115">
        <f t="shared" si="90"/>
        <v>4.4395945760846232</v>
      </c>
      <c r="K115">
        <f t="shared" si="91"/>
        <v>-4.4395945760846232</v>
      </c>
      <c r="L115">
        <f t="shared" si="12"/>
        <v>3.2726136343907144</v>
      </c>
      <c r="M115">
        <f t="shared" si="13"/>
        <v>-3.2726136343907144</v>
      </c>
      <c r="N115">
        <f t="shared" si="14"/>
        <v>1.9261360284258224</v>
      </c>
      <c r="O115">
        <f t="shared" si="15"/>
        <v>-1.9261360284258224</v>
      </c>
      <c r="U115" s="94"/>
      <c r="V115" s="94"/>
      <c r="W115" s="94"/>
      <c r="X115" s="94"/>
      <c r="Y115" s="94"/>
      <c r="Z115" s="94"/>
      <c r="AA115" s="94"/>
      <c r="AB115" s="94"/>
      <c r="AN115" s="95" t="s">
        <v>92</v>
      </c>
      <c r="AO115" s="95">
        <v>1</v>
      </c>
      <c r="AP115" s="315"/>
      <c r="AQ115" s="315"/>
      <c r="AR115" s="328"/>
      <c r="AY115" s="95" t="s">
        <v>92</v>
      </c>
      <c r="AZ115" s="95">
        <v>1</v>
      </c>
      <c r="BA115" s="315"/>
      <c r="BB115" s="315"/>
      <c r="BC115" s="316"/>
      <c r="BJ115" s="95" t="s">
        <v>92</v>
      </c>
      <c r="BK115" s="95">
        <v>1</v>
      </c>
      <c r="BL115" s="315"/>
      <c r="BM115" s="315"/>
      <c r="BN115" s="316"/>
      <c r="BU115" s="95" t="s">
        <v>92</v>
      </c>
      <c r="BV115" s="95">
        <v>1</v>
      </c>
      <c r="BW115" s="315"/>
      <c r="BX115" s="315"/>
      <c r="BY115" s="316"/>
      <c r="CF115" s="95" t="s">
        <v>92</v>
      </c>
      <c r="CG115" s="95">
        <v>1</v>
      </c>
      <c r="CH115" s="315"/>
      <c r="CI115" s="315"/>
      <c r="CJ115" s="316"/>
      <c r="CQ115" s="95" t="s">
        <v>92</v>
      </c>
      <c r="CR115" s="95">
        <v>1</v>
      </c>
      <c r="CS115" s="315"/>
      <c r="CT115" s="315"/>
      <c r="CU115" s="316"/>
      <c r="DB115" s="95" t="s">
        <v>92</v>
      </c>
      <c r="DC115" s="95">
        <v>21</v>
      </c>
      <c r="DD115" s="315"/>
      <c r="DE115" s="315"/>
      <c r="DF115" s="316"/>
    </row>
    <row r="116" spans="1:116" x14ac:dyDescent="0.25">
      <c r="A116">
        <v>-2.4</v>
      </c>
      <c r="B116">
        <f t="shared" si="16"/>
        <v>8.6740993768805765</v>
      </c>
      <c r="C116">
        <f t="shared" si="17"/>
        <v>-8.6740993768805765</v>
      </c>
      <c r="D116">
        <f t="shared" si="20"/>
        <v>7.6315136113355653</v>
      </c>
      <c r="E116">
        <f t="shared" si="21"/>
        <v>-7.6315136113355653</v>
      </c>
      <c r="F116">
        <f t="shared" si="24"/>
        <v>6.5757128891094387</v>
      </c>
      <c r="G116">
        <f t="shared" si="25"/>
        <v>-6.5757128891094387</v>
      </c>
      <c r="H116">
        <f t="shared" si="74"/>
        <v>5.4990908339470082</v>
      </c>
      <c r="I116">
        <f t="shared" si="75"/>
        <v>-5.4990908339470082</v>
      </c>
      <c r="J116">
        <f t="shared" si="90"/>
        <v>4.3863424398922621</v>
      </c>
      <c r="K116">
        <f t="shared" si="91"/>
        <v>-4.3863424398922621</v>
      </c>
      <c r="L116">
        <f t="shared" ref="L116:L132" si="92">+SQRT(16-A116^2)</f>
        <v>3.2</v>
      </c>
      <c r="M116">
        <f t="shared" ref="M116:M132" si="93">-L116</f>
        <v>-3.2</v>
      </c>
      <c r="N116">
        <f t="shared" si="14"/>
        <v>1.8</v>
      </c>
      <c r="O116">
        <f t="shared" si="15"/>
        <v>-1.8</v>
      </c>
      <c r="U116" s="94"/>
      <c r="V116" s="94"/>
      <c r="W116" s="94"/>
      <c r="X116" s="94"/>
      <c r="Y116" s="94"/>
      <c r="Z116" s="94"/>
      <c r="AA116" s="94"/>
      <c r="AB116" s="94"/>
      <c r="AN116" s="95" t="s">
        <v>91</v>
      </c>
      <c r="AO116" s="95">
        <v>12</v>
      </c>
      <c r="AP116" s="315"/>
      <c r="AQ116" s="315"/>
      <c r="AR116" s="328"/>
      <c r="AY116" s="95" t="s">
        <v>91</v>
      </c>
      <c r="AZ116" s="95">
        <v>11</v>
      </c>
      <c r="BA116" s="315"/>
      <c r="BB116" s="315"/>
      <c r="BC116" s="316"/>
      <c r="BJ116" s="95" t="s">
        <v>91</v>
      </c>
      <c r="BK116" s="95">
        <v>10</v>
      </c>
      <c r="BL116" s="315"/>
      <c r="BM116" s="315"/>
      <c r="BN116" s="316"/>
      <c r="BU116" s="95" t="s">
        <v>91</v>
      </c>
      <c r="BV116" s="95">
        <v>9</v>
      </c>
      <c r="BW116" s="315"/>
      <c r="BX116" s="315"/>
      <c r="BY116" s="316"/>
      <c r="CF116" s="95" t="s">
        <v>91</v>
      </c>
      <c r="CG116" s="95">
        <v>8</v>
      </c>
      <c r="CH116" s="315"/>
      <c r="CI116" s="315"/>
      <c r="CJ116" s="316"/>
      <c r="CQ116" s="95" t="s">
        <v>91</v>
      </c>
      <c r="CR116" s="95">
        <v>7</v>
      </c>
      <c r="CS116" s="315"/>
      <c r="CT116" s="315"/>
      <c r="CU116" s="316"/>
      <c r="DB116" s="95" t="s">
        <v>91</v>
      </c>
      <c r="DC116" s="95">
        <v>12</v>
      </c>
      <c r="DD116" s="315"/>
      <c r="DE116" s="315"/>
      <c r="DF116" s="316"/>
    </row>
    <row r="117" spans="1:116" x14ac:dyDescent="0.25">
      <c r="A117">
        <v>-2.5</v>
      </c>
      <c r="B117">
        <f t="shared" si="16"/>
        <v>8.6458082328952912</v>
      </c>
      <c r="C117">
        <f t="shared" si="17"/>
        <v>-8.6458082328952912</v>
      </c>
      <c r="D117">
        <f t="shared" si="20"/>
        <v>7.5993420767853319</v>
      </c>
      <c r="E117">
        <f t="shared" si="21"/>
        <v>-7.5993420767853319</v>
      </c>
      <c r="F117">
        <f t="shared" si="24"/>
        <v>6.5383484153110105</v>
      </c>
      <c r="G117">
        <f t="shared" si="25"/>
        <v>-6.5383484153110105</v>
      </c>
      <c r="H117">
        <f t="shared" si="74"/>
        <v>5.4543560573178569</v>
      </c>
      <c r="I117">
        <f t="shared" si="75"/>
        <v>-5.4543560573178569</v>
      </c>
      <c r="J117">
        <f t="shared" si="90"/>
        <v>4.3301270189221936</v>
      </c>
      <c r="K117">
        <f t="shared" si="91"/>
        <v>-4.3301270189221936</v>
      </c>
      <c r="L117">
        <f t="shared" si="92"/>
        <v>3.1224989991991992</v>
      </c>
      <c r="M117">
        <f t="shared" si="93"/>
        <v>-3.1224989991991992</v>
      </c>
      <c r="N117">
        <f t="shared" si="14"/>
        <v>1.6583123951776999</v>
      </c>
      <c r="O117">
        <f t="shared" si="15"/>
        <v>-1.6583123951776999</v>
      </c>
      <c r="U117" s="94"/>
      <c r="V117" s="94"/>
      <c r="W117" s="94"/>
      <c r="X117" s="94"/>
      <c r="Y117" s="94"/>
      <c r="Z117" s="94"/>
      <c r="AA117" s="94"/>
      <c r="AB117" s="94"/>
      <c r="AP117" s="93">
        <f>+IF(AO116=$AI$63,AO115,IF(AO116=$AJ$63,$AI$64+AO115,IF(AO116=$AK$63,$AI$64+$AJ$64+AO115,IF(AO116=$AL$63,$AI$64+$AJ$64+$AK$64+AO115,IF(AO116=$AM$63,$AI$64+$AJ$64+$AK$64+$AL$64+AO115,IF(AO116=$AN$63,$AI$64+$AJ$64+$AK$64+$AL$64+$AM$64+AO115,IF(AO116=$AO$63,$AI$64+$AJ$64+$AK$64+$AL$64+$AM$64+$AN$64+AO115,IF(AO116=$AP$63,$AI$64+$AJ$64+$AK$64+$AL$64+$AM$64+$AN$64+$AO$64+AO115,IF(AO116=$AQ$63,$AI$64+$AJ$64+$AK$64+$AL$64+$AM$64+$AN$64+$AO$64+$AP$64+AO115,IF(AO116=$AR$63,$AI$64+$AJ$64+$AK$64+$AL$64+$AM$64+$AN$64+$AO$64+$AP$64+$AQ$64+AO115,IF(AO116=$AS$63,$AI$64+$AJ$64+$AK$64+$AL$64+$AM$64+$AN$64+$AO$64+$AP$64+$AQ$64+$AR$64+AO115,IF(AO116=$AT$63,$AI$64+$AJ$64+$AK$64+$AL$64+$AM$64+$AN$64+$AO$64+$AP$64+$AQ$64+$AR$64+$AS$64+AO115,"error"))))))))))))</f>
        <v>335</v>
      </c>
      <c r="AQ117" s="38">
        <f>23.45*SIN(RADIANS(360*((284+AP117)/365)))</f>
        <v>-22.107748812505367</v>
      </c>
      <c r="AR117" s="95">
        <f>+IF('Control Solar 2do Sem'!$H$4&gt;89.9,89.9,IF('Control Solar 2do Sem'!$H$4&lt;-89.9,-89.9,'Control Solar 2do Sem'!$H$4))</f>
        <v>29.08</v>
      </c>
      <c r="BA117" s="93">
        <f>+IF(AZ116=$AI$63,AZ115,IF(AZ116=$AJ$63,$AI$64+AZ115,IF(AZ116=$AK$63,$AI$64+$AJ$64+AZ115,IF(AZ116=$AL$63,$AI$64+$AJ$64+$AK$64+AZ115,IF(AZ116=$AM$63,$AI$64+$AJ$64+$AK$64+$AL$64+AZ115,IF(AZ116=$AN$63,$AI$64+$AJ$64+$AK$64+$AL$64+$AM$64+AZ115,IF(AZ116=$AO$63,$AI$64+$AJ$64+$AK$64+$AL$64+$AM$64+$AN$64+AZ115,IF(AZ116=$AP$63,$AI$64+$AJ$64+$AK$64+$AL$64+$AM$64+$AN$64+$AO$64+AZ115,IF(AZ116=$AQ$63,$AI$64+$AJ$64+$AK$64+$AL$64+$AM$64+$AN$64+$AO$64+$AP$64+AZ115,IF(AZ116=$AR$63,$AI$64+$AJ$64+$AK$64+$AL$64+$AM$64+$AN$64+$AO$64+$AP$64+$AQ$64+AZ115,IF(AZ116=$AS$63,$AI$64+$AJ$64+$AK$64+$AL$64+$AM$64+$AN$64+$AO$64+$AP$64+$AQ$64+$AR$64+AZ115,IF(AZ116=$AT$63,$AI$64+$AJ$64+$AK$64+$AL$64+$AM$64+$AN$64+$AO$64+$AP$64+$AQ$64+$AR$64+$AS$64+AZ115,"error"))))))))))))</f>
        <v>305</v>
      </c>
      <c r="BB117" s="38">
        <f>23.45*SIN(RADIANS(360*((284+BA117)/365)))</f>
        <v>-15.363416576553023</v>
      </c>
      <c r="BC117" s="95">
        <f>+IF('Control Solar 2do Sem'!$H$4&gt;89.9,89.9,IF('Control Solar 2do Sem'!$H$4&lt;-89.9,-89.9,'Control Solar 2do Sem'!$H$4))</f>
        <v>29.08</v>
      </c>
      <c r="BL117" s="93">
        <f>+IF(BK116=$AI$63,BK115,IF(BK116=$AJ$63,$AI$64+BK115,IF(BK116=$AK$63,$AI$64+$AJ$64+BK115,IF(BK116=$AL$63,$AI$64+$AJ$64+$AK$64+BK115,IF(BK116=$AM$63,$AI$64+$AJ$64+$AK$64+$AL$64+BK115,IF(BK116=$AN$63,$AI$64+$AJ$64+$AK$64+$AL$64+$AM$64+BK115,IF(BK116=$AO$63,$AI$64+$AJ$64+$AK$64+$AL$64+$AM$64+$AN$64+BK115,IF(BK116=$AP$63,$AI$64+$AJ$64+$AK$64+$AL$64+$AM$64+$AN$64+$AO$64+BK115,IF(BK116=$AQ$63,$AI$64+$AJ$64+$AK$64+$AL$64+$AM$64+$AN$64+$AO$64+$AP$64+BK115,IF(BK116=$AR$63,$AI$64+$AJ$64+$AK$64+$AL$64+$AM$64+$AN$64+$AO$64+$AP$64+$AQ$64+BK115,IF(BK116=$AS$63,$AI$64+$AJ$64+$AK$64+$AL$64+$AM$64+$AN$64+$AO$64+$AP$64+$AQ$64+$AR$64+BK115,IF(BK116=$AT$63,$AI$64+$AJ$64+$AK$64+$AL$64+$AM$64+$AN$64+$AO$64+$AP$64+$AQ$64+$AR$64+$AS$64+BK115,"error"))))))))))))</f>
        <v>274</v>
      </c>
      <c r="BM117" s="38">
        <f>23.45*SIN(RADIANS(360*((284+BL117)/365)))</f>
        <v>-4.2155264352644162</v>
      </c>
      <c r="BN117" s="95">
        <f>+IF('Control Solar 2do Sem'!$H$4&gt;89.9,89.9,IF('Control Solar 2do Sem'!$H$4&lt;-89.9,-89.9,'Control Solar 2do Sem'!$H$4))</f>
        <v>29.08</v>
      </c>
      <c r="BW117" s="93">
        <f>+IF(BV116=$AI$63,BV115,IF(BV116=$AJ$63,$AI$64+BV115,IF(BV116=$AK$63,$AI$64+$AJ$64+BV115,IF(BV116=$AL$63,$AI$64+$AJ$64+$AK$64+BV115,IF(BV116=$AM$63,$AI$64+$AJ$64+$AK$64+$AL$64+BV115,IF(BV116=$AN$63,$AI$64+$AJ$64+$AK$64+$AL$64+$AM$64+BV115,IF(BV116=$AO$63,$AI$64+$AJ$64+$AK$64+$AL$64+$AM$64+$AN$64+BV115,IF(BV116=$AP$63,$AI$64+$AJ$64+$AK$64+$AL$64+$AM$64+$AN$64+$AO$64+BV115,IF(BV116=$AQ$63,$AI$64+$AJ$64+$AK$64+$AL$64+$AM$64+$AN$64+$AO$64+$AP$64+BV115,IF(BV116=$AR$63,$AI$64+$AJ$64+$AK$64+$AL$64+$AM$64+$AN$64+$AO$64+$AP$64+$AQ$64+BV115,IF(BV116=$AS$63,$AI$64+$AJ$64+$AK$64+$AL$64+$AM$64+$AN$64+$AO$64+$AP$64+$AQ$64+$AR$64+BV115,IF(BV116=$AT$63,$AI$64+$AJ$64+$AK$64+$AL$64+$AM$64+$AN$64+$AO$64+$AP$64+$AQ$64+$AR$64+$AS$64+BV115,"error"))))))))))))</f>
        <v>244</v>
      </c>
      <c r="BX117" s="38">
        <f>23.45*SIN(RADIANS(360*((284+BW117)/365)))</f>
        <v>7.7246289081652444</v>
      </c>
      <c r="BY117" s="95">
        <f>+IF('Control Solar 2do Sem'!$H$4&gt;89.9,89.9,IF('Control Solar 2do Sem'!$H$4&lt;-89.9,-89.9,'Control Solar 2do Sem'!$H$4))</f>
        <v>29.08</v>
      </c>
      <c r="CH117" s="93">
        <f>+IF(CG116=$AI$63,CG115,IF(CG116=$AJ$63,$AI$64+CG115,IF(CG116=$AK$63,$AI$64+$AJ$64+CG115,IF(CG116=$AL$63,$AI$64+$AJ$64+$AK$64+CG115,IF(CG116=$AM$63,$AI$64+$AJ$64+$AK$64+$AL$64+CG115,IF(CG116=$AN$63,$AI$64+$AJ$64+$AK$64+$AL$64+$AM$64+CG115,IF(CG116=$AO$63,$AI$64+$AJ$64+$AK$64+$AL$64+$AM$64+$AN$64+CG115,IF(CG116=$AP$63,$AI$64+$AJ$64+$AK$64+$AL$64+$AM$64+$AN$64+$AO$64+CG115,IF(CG116=$AQ$63,$AI$64+$AJ$64+$AK$64+$AL$64+$AM$64+$AN$64+$AO$64+$AP$64+CG115,IF(CG116=$AR$63,$AI$64+$AJ$64+$AK$64+$AL$64+$AM$64+$AN$64+$AO$64+$AP$64+$AQ$64+CG115,IF(CG116=$AS$63,$AI$64+$AJ$64+$AK$64+$AL$64+$AM$64+$AN$64+$AO$64+$AP$64+$AQ$64+$AR$64+CG115,IF(CG116=$AT$63,$AI$64+$AJ$64+$AK$64+$AL$64+$AM$64+$AN$64+$AO$64+$AP$64+$AQ$64+$AR$64+$AS$64+CG115,"error"))))))))))))</f>
        <v>213</v>
      </c>
      <c r="CI117" s="38">
        <f>23.45*SIN(RADIANS(360*((284+CH117)/365)))</f>
        <v>17.913187969938225</v>
      </c>
      <c r="CJ117" s="95">
        <f>+IF('Control Solar 2do Sem'!$H$4&gt;89.9,89.9,IF('Control Solar 2do Sem'!$H$4&lt;-89.9,-89.9,'Control Solar 2do Sem'!$H$4))</f>
        <v>29.08</v>
      </c>
      <c r="CS117" s="93">
        <f>+IF(CR116=$AI$63,CR115,IF(CR116=$AJ$63,$AI$64+CR115,IF(CR116=$AK$63,$AI$64+$AJ$64+CR115,IF(CR116=$AL$63,$AI$64+$AJ$64+$AK$64+CR115,IF(CR116=$AM$63,$AI$64+$AJ$64+$AK$64+$AL$64+CR115,IF(CR116=$AN$63,$AI$64+$AJ$64+$AK$64+$AL$64+$AM$64+CR115,IF(CR116=$AO$63,$AI$64+$AJ$64+$AK$64+$AL$64+$AM$64+$AN$64+CR115,IF(CR116=$AP$63,$AI$64+$AJ$64+$AK$64+$AL$64+$AM$64+$AN$64+$AO$64+CR115,IF(CR116=$AQ$63,$AI$64+$AJ$64+$AK$64+$AL$64+$AM$64+$AN$64+$AO$64+$AP$64+CR115,IF(CR116=$AR$63,$AI$64+$AJ$64+$AK$64+$AL$64+$AM$64+$AN$64+$AO$64+$AP$64+$AQ$64+CR115,IF(CR116=$AS$63,$AI$64+$AJ$64+$AK$64+$AL$64+$AM$64+$AN$64+$AO$64+$AP$64+$AQ$64+$AR$64+CR115,IF(CR116=$AT$63,$AI$64+$AJ$64+$AK$64+$AL$64+$AM$64+$AN$64+$AO$64+$AP$64+$AQ$64+$AR$64+$AS$64+CR115,"error"))))))))))))</f>
        <v>182</v>
      </c>
      <c r="CT117" s="38">
        <f>23.45*SIN(RADIANS(360*((284+CS117)/365)))</f>
        <v>23.12048411665182</v>
      </c>
      <c r="CU117" s="95">
        <f>+IF('Control Solar 2do Sem'!$H$4&gt;89.9,89.9,IF('Control Solar 2do Sem'!$H$4&lt;-89.9,-89.9,'Control Solar 2do Sem'!$H$4))</f>
        <v>29.08</v>
      </c>
      <c r="DD117" s="93">
        <f>+IF(DC116=$AI$63,DC115,IF(DC116=$AJ$63,$AI$64+DC115,IF(DC116=$AK$63,$AI$64+$AJ$64+DC115,IF(DC116=$AL$63,$AI$64+$AJ$64+$AK$64+DC115,IF(DC116=$AM$63,$AI$64+$AJ$64+$AK$64+$AL$64+DC115,IF(DC116=$AN$63,$AI$64+$AJ$64+$AK$64+$AL$64+$AM$64+DC115,IF(DC116=$AO$63,$AI$64+$AJ$64+$AK$64+$AL$64+$AM$64+$AN$64+DC115,IF(DC116=$AP$63,$AI$64+$AJ$64+$AK$64+$AL$64+$AM$64+$AN$64+$AO$64+DC115,IF(DC116=$AQ$63,$AI$64+$AJ$64+$AK$64+$AL$64+$AM$64+$AN$64+$AO$64+$AP$64+DC115,IF(DC116=$AR$63,$AI$64+$AJ$64+$AK$64+$AL$64+$AM$64+$AN$64+$AO$64+$AP$64+$AQ$64+DC115,IF(DC116=$AS$63,$AI$64+$AJ$64+$AK$64+$AL$64+$AM$64+$AN$64+$AO$64+$AP$64+$AQ$64+$AR$64+DC115,IF(DC116=$AT$63,$AI$64+$AJ$64+$AK$64+$AL$64+$AM$64+$AN$64+$AO$64+$AP$64+$AQ$64+$AR$64+$AS$64+DC115,"error"))))))))))))</f>
        <v>355</v>
      </c>
      <c r="DE117" s="38">
        <f>23.45*SIN(RADIANS(360*((284+DD117)/365)))</f>
        <v>-23.449782846813658</v>
      </c>
      <c r="DF117" s="95">
        <f>+IF('Control Solar 2do Sem'!$H$4&gt;89.9,89.9,IF('Control Solar 2do Sem'!$H$4&lt;-89.9,-89.9,'Control Solar 2do Sem'!$H$4))</f>
        <v>29.08</v>
      </c>
    </row>
    <row r="118" spans="1:116" x14ac:dyDescent="0.25">
      <c r="A118">
        <v>-2.6</v>
      </c>
      <c r="B118">
        <f t="shared" si="16"/>
        <v>8.616263691415206</v>
      </c>
      <c r="C118">
        <f t="shared" si="17"/>
        <v>-8.616263691415206</v>
      </c>
      <c r="D118">
        <f t="shared" si="20"/>
        <v>7.5657121277510955</v>
      </c>
      <c r="E118">
        <f t="shared" si="21"/>
        <v>-7.5657121277510955</v>
      </c>
      <c r="F118">
        <f t="shared" si="24"/>
        <v>6.4992307237087683</v>
      </c>
      <c r="G118">
        <f t="shared" si="25"/>
        <v>-6.4992307237087683</v>
      </c>
      <c r="H118">
        <f t="shared" si="74"/>
        <v>5.4074023338383093</v>
      </c>
      <c r="I118">
        <f t="shared" si="75"/>
        <v>-5.4074023338383093</v>
      </c>
      <c r="J118">
        <f t="shared" si="90"/>
        <v>4.2708313008125245</v>
      </c>
      <c r="K118">
        <f t="shared" si="91"/>
        <v>-4.2708313008125245</v>
      </c>
      <c r="L118">
        <f t="shared" si="92"/>
        <v>3.0397368307141326</v>
      </c>
      <c r="M118">
        <f t="shared" si="93"/>
        <v>-3.0397368307141326</v>
      </c>
      <c r="N118">
        <f t="shared" si="14"/>
        <v>1.4966629547095762</v>
      </c>
      <c r="O118">
        <f t="shared" si="15"/>
        <v>-1.4966629547095762</v>
      </c>
      <c r="U118" s="94"/>
      <c r="V118" s="94"/>
      <c r="W118" s="94"/>
      <c r="X118" s="94"/>
      <c r="Y118" s="94"/>
      <c r="Z118" s="94"/>
      <c r="AA118" s="94"/>
      <c r="AB118" s="94"/>
      <c r="AO118" s="317" t="s">
        <v>90</v>
      </c>
      <c r="AP118" s="315"/>
      <c r="AQ118" s="315"/>
      <c r="AR118" s="315"/>
      <c r="AT118" s="319" t="s">
        <v>89</v>
      </c>
      <c r="AU118" s="319"/>
      <c r="AV118" s="319" t="s">
        <v>42</v>
      </c>
      <c r="AW118" s="319" t="s">
        <v>43</v>
      </c>
      <c r="AZ118" s="317" t="s">
        <v>90</v>
      </c>
      <c r="BA118" s="315"/>
      <c r="BB118" s="315"/>
      <c r="BC118" s="315"/>
      <c r="BE118" s="319" t="s">
        <v>89</v>
      </c>
      <c r="BF118" s="319"/>
      <c r="BG118" s="319" t="s">
        <v>42</v>
      </c>
      <c r="BH118" s="319" t="s">
        <v>43</v>
      </c>
      <c r="BK118" s="317" t="s">
        <v>90</v>
      </c>
      <c r="BL118" s="315"/>
      <c r="BM118" s="315"/>
      <c r="BN118" s="315"/>
      <c r="BP118" s="319" t="s">
        <v>89</v>
      </c>
      <c r="BQ118" s="319"/>
      <c r="BR118" s="319" t="s">
        <v>42</v>
      </c>
      <c r="BS118" s="319" t="s">
        <v>43</v>
      </c>
      <c r="BV118" s="317" t="s">
        <v>90</v>
      </c>
      <c r="BW118" s="315"/>
      <c r="BX118" s="315"/>
      <c r="BY118" s="315"/>
      <c r="CA118" s="319" t="s">
        <v>89</v>
      </c>
      <c r="CB118" s="319"/>
      <c r="CC118" s="319" t="s">
        <v>42</v>
      </c>
      <c r="CD118" s="319" t="s">
        <v>43</v>
      </c>
      <c r="CG118" s="317" t="s">
        <v>90</v>
      </c>
      <c r="CH118" s="315"/>
      <c r="CI118" s="315"/>
      <c r="CJ118" s="315"/>
      <c r="CL118" s="319" t="s">
        <v>89</v>
      </c>
      <c r="CM118" s="319"/>
      <c r="CN118" s="319" t="s">
        <v>42</v>
      </c>
      <c r="CO118" s="319" t="s">
        <v>43</v>
      </c>
      <c r="CR118" s="317" t="s">
        <v>90</v>
      </c>
      <c r="CS118" s="315"/>
      <c r="CT118" s="315"/>
      <c r="CU118" s="315"/>
      <c r="CW118" s="319" t="s">
        <v>89</v>
      </c>
      <c r="CX118" s="319"/>
      <c r="CY118" s="319" t="s">
        <v>42</v>
      </c>
      <c r="CZ118" s="319" t="s">
        <v>43</v>
      </c>
      <c r="DC118" s="317" t="s">
        <v>90</v>
      </c>
      <c r="DD118" s="315"/>
      <c r="DE118" s="315"/>
      <c r="DF118" s="315"/>
      <c r="DH118" s="319" t="s">
        <v>89</v>
      </c>
      <c r="DI118" s="319"/>
      <c r="DJ118" s="319" t="s">
        <v>42</v>
      </c>
      <c r="DK118" s="319" t="s">
        <v>43</v>
      </c>
    </row>
    <row r="119" spans="1:116" x14ac:dyDescent="0.25">
      <c r="A119">
        <v>-2.7</v>
      </c>
      <c r="B119">
        <f t="shared" si="16"/>
        <v>8.5854528127525107</v>
      </c>
      <c r="C119">
        <f t="shared" si="17"/>
        <v>-8.5854528127525107</v>
      </c>
      <c r="D119">
        <f t="shared" si="20"/>
        <v>7.5306042254257397</v>
      </c>
      <c r="E119">
        <f t="shared" si="21"/>
        <v>-7.5306042254257397</v>
      </c>
      <c r="F119">
        <f t="shared" si="24"/>
        <v>6.4583279569870093</v>
      </c>
      <c r="G119">
        <f t="shared" si="25"/>
        <v>-6.4583279569870093</v>
      </c>
      <c r="H119">
        <f t="shared" si="74"/>
        <v>5.3581713298475258</v>
      </c>
      <c r="I119">
        <f t="shared" si="75"/>
        <v>-5.3581713298475258</v>
      </c>
      <c r="J119">
        <f t="shared" si="90"/>
        <v>4.2083250825001626</v>
      </c>
      <c r="K119">
        <f t="shared" si="91"/>
        <v>-4.2083250825001626</v>
      </c>
      <c r="L119">
        <f t="shared" si="92"/>
        <v>2.9512709126747412</v>
      </c>
      <c r="M119">
        <f t="shared" si="93"/>
        <v>-2.9512709126747412</v>
      </c>
      <c r="N119">
        <f t="shared" si="14"/>
        <v>1.3076696830622017</v>
      </c>
      <c r="O119">
        <f t="shared" si="15"/>
        <v>-1.3076696830622017</v>
      </c>
      <c r="U119" s="94"/>
      <c r="V119" s="94"/>
      <c r="W119" s="94"/>
      <c r="X119" s="94"/>
      <c r="Y119" s="94"/>
      <c r="Z119" s="94"/>
      <c r="AA119" s="94"/>
      <c r="AB119" s="94"/>
      <c r="AO119" s="318"/>
      <c r="AP119" s="315"/>
      <c r="AQ119" s="315"/>
      <c r="AR119" s="315"/>
      <c r="AT119" s="319"/>
      <c r="AU119" s="319"/>
      <c r="AV119" s="319"/>
      <c r="AW119" s="319"/>
      <c r="AZ119" s="318"/>
      <c r="BA119" s="315"/>
      <c r="BB119" s="315"/>
      <c r="BC119" s="315"/>
      <c r="BE119" s="319"/>
      <c r="BF119" s="319"/>
      <c r="BG119" s="319"/>
      <c r="BH119" s="319"/>
      <c r="BK119" s="318"/>
      <c r="BL119" s="315"/>
      <c r="BM119" s="315"/>
      <c r="BN119" s="315"/>
      <c r="BP119" s="319"/>
      <c r="BQ119" s="319"/>
      <c r="BR119" s="319"/>
      <c r="BS119" s="319"/>
      <c r="BV119" s="318"/>
      <c r="BW119" s="315"/>
      <c r="BX119" s="315"/>
      <c r="BY119" s="315"/>
      <c r="CA119" s="319"/>
      <c r="CB119" s="319"/>
      <c r="CC119" s="319"/>
      <c r="CD119" s="319"/>
      <c r="CG119" s="318"/>
      <c r="CH119" s="315"/>
      <c r="CI119" s="315"/>
      <c r="CJ119" s="315"/>
      <c r="CL119" s="319"/>
      <c r="CM119" s="319"/>
      <c r="CN119" s="319"/>
      <c r="CO119" s="319"/>
      <c r="CR119" s="318"/>
      <c r="CS119" s="315"/>
      <c r="CT119" s="315"/>
      <c r="CU119" s="315"/>
      <c r="CW119" s="319"/>
      <c r="CX119" s="319"/>
      <c r="CY119" s="319"/>
      <c r="CZ119" s="319"/>
      <c r="DC119" s="318"/>
      <c r="DD119" s="315"/>
      <c r="DE119" s="315"/>
      <c r="DF119" s="315"/>
      <c r="DH119" s="319"/>
      <c r="DI119" s="319"/>
      <c r="DJ119" s="319"/>
      <c r="DK119" s="319"/>
    </row>
    <row r="120" spans="1:116" x14ac:dyDescent="0.25">
      <c r="A120">
        <v>-2.8</v>
      </c>
      <c r="B120">
        <f t="shared" si="16"/>
        <v>8.5533619121372393</v>
      </c>
      <c r="C120">
        <f t="shared" si="17"/>
        <v>-8.5533619121372393</v>
      </c>
      <c r="D120">
        <f t="shared" si="20"/>
        <v>7.493997598078078</v>
      </c>
      <c r="E120">
        <f t="shared" si="21"/>
        <v>-7.493997598078078</v>
      </c>
      <c r="F120">
        <f t="shared" si="24"/>
        <v>6.4156059729381765</v>
      </c>
      <c r="G120">
        <f t="shared" si="25"/>
        <v>-6.4156059729381765</v>
      </c>
      <c r="H120">
        <f t="shared" si="74"/>
        <v>5.3065996645686395</v>
      </c>
      <c r="I120">
        <f t="shared" si="75"/>
        <v>-5.3065996645686395</v>
      </c>
      <c r="J120">
        <f t="shared" si="90"/>
        <v>4.1424630354415957</v>
      </c>
      <c r="K120">
        <f t="shared" si="91"/>
        <v>-4.1424630354415957</v>
      </c>
      <c r="L120">
        <f t="shared" si="92"/>
        <v>2.8565713714171399</v>
      </c>
      <c r="M120">
        <f t="shared" si="93"/>
        <v>-2.8565713714171399</v>
      </c>
      <c r="N120">
        <f t="shared" si="14"/>
        <v>1.0770329614269012</v>
      </c>
      <c r="O120">
        <f t="shared" si="15"/>
        <v>-1.0770329614269012</v>
      </c>
      <c r="U120" s="94"/>
      <c r="V120" s="94"/>
      <c r="W120" s="94"/>
      <c r="X120" s="94"/>
      <c r="Y120" s="94"/>
      <c r="Z120" s="94"/>
      <c r="AA120" s="94"/>
      <c r="AB120" s="94"/>
      <c r="AO120" s="39">
        <v>4.1666666666666664E-2</v>
      </c>
      <c r="AP120" s="38">
        <v>165</v>
      </c>
      <c r="AQ120" s="38">
        <f t="shared" ref="AQ120:AQ143" si="94">+DEGREES(ASIN(COS(RADIANS($AR$85))*COS(RADIANS($AQ$85))*COS(RADIANS(AP120))+SIN(RADIANS($AR$85))*SIN(RADIANS($AQ$85))))</f>
        <v>-74.799808157740955</v>
      </c>
      <c r="AR120" s="38">
        <f t="shared" ref="AR120:AR130" si="95">180-DEGREES(ACOS((((SIN(RADIANS(AQ120)))*SIN(RADIANS($AR$85)))-SIN(RADIANS($AQ$85)))/((COS(RADIANS(AQ120)))*COS(RADIANS($AR$85)))))</f>
        <v>66.142990846489056</v>
      </c>
      <c r="AT120">
        <f t="shared" ref="AT120:AT143" si="96">9-(AQ120/10)</f>
        <v>16.479980815774095</v>
      </c>
      <c r="AU120">
        <f t="shared" ref="AU120:AU143" si="97">90-AR120</f>
        <v>23.857009153510944</v>
      </c>
      <c r="AV120" s="94">
        <f t="shared" ref="AV120:AV143" si="98">+AT120*COS(RADIANS(AU120))</f>
        <v>15.071893160874565</v>
      </c>
      <c r="AW120" s="94">
        <f t="shared" ref="AW120:AW143" si="99">+AT120*SIN(RADIANS(AU120))</f>
        <v>6.6654185341555809</v>
      </c>
      <c r="AX120" s="39">
        <v>4.1666666666666699E-2</v>
      </c>
      <c r="AZ120" s="39">
        <v>4.1666666666666699E-2</v>
      </c>
      <c r="BA120" s="38">
        <v>165</v>
      </c>
      <c r="BB120" s="38">
        <f t="shared" ref="BB120:BB143" si="100">+DEGREES(ASIN(COS(RADIANS($BC$85))*COS(RADIANS($BB$85))*COS(RADIANS(BA120))+SIN(RADIANS($BC$85))*SIN(RADIANS($BB$85))))</f>
        <v>-70.521354044474833</v>
      </c>
      <c r="BC120" s="38">
        <f t="shared" ref="BC120:BC130" si="101">180-DEGREES(ACOS((((SIN(RADIANS(BB120)))*SIN(RADIANS($BC$85)))-SIN(RADIANS($BB$85)))/((COS(RADIANS(BB120)))*COS(RADIANS($BC$85)))))</f>
        <v>48.455073660614858</v>
      </c>
      <c r="BE120">
        <f t="shared" ref="BE120:BE143" si="102">9-(BB120/10)</f>
        <v>16.052135404447483</v>
      </c>
      <c r="BF120">
        <f t="shared" ref="BF120:BF143" si="103">90-BC120</f>
        <v>41.544926339385142</v>
      </c>
      <c r="BG120" s="94">
        <f t="shared" ref="BG120:BG143" si="104">+BE120*COS(RADIANS(BF120))</f>
        <v>12.013994760051194</v>
      </c>
      <c r="BH120" s="94">
        <f t="shared" ref="BH120:BH143" si="105">+BE120*SIN(RADIANS(BF120))</f>
        <v>10.645890331399192</v>
      </c>
      <c r="BI120" s="39">
        <v>4.1666666666666699E-2</v>
      </c>
      <c r="BK120" s="39">
        <v>4.1666666666666699E-2</v>
      </c>
      <c r="BL120" s="38">
        <v>165</v>
      </c>
      <c r="BM120" s="38">
        <f t="shared" ref="BM120:BM143" si="106">+DEGREES(ASIN(COS(RADIANS($BN$85))*COS(RADIANS($BM$85))*COS(RADIANS(BL120))+SIN(RADIANS($BN$85))*SIN(RADIANS($BM$85))))</f>
        <v>-61.35498544459201</v>
      </c>
      <c r="BN120" s="38">
        <f t="shared" ref="BN120:BN130" si="107">180-DEGREES(ACOS((((SIN(RADIANS(BM120)))*SIN(RADIANS($BN$85)))-SIN(RADIANS($BM$85)))/((COS(RADIANS(BM120)))*COS(RADIANS($BN$85)))))</f>
        <v>32.577599509616022</v>
      </c>
      <c r="BP120">
        <f t="shared" ref="BP120:BP143" si="108">9-(BM120/10)</f>
        <v>15.135498544459201</v>
      </c>
      <c r="BQ120">
        <f t="shared" ref="BQ120:BQ143" si="109">90-BN120</f>
        <v>57.422400490383978</v>
      </c>
      <c r="BR120" s="94">
        <f t="shared" ref="BR120:BR143" si="110">+BP120*COS(RADIANS(BQ120))</f>
        <v>8.1495786733652178</v>
      </c>
      <c r="BS120" s="94">
        <f t="shared" ref="BS120:BS143" si="111">+BP120*SIN(RADIANS(BQ120))</f>
        <v>12.754124181454305</v>
      </c>
      <c r="BT120" s="39">
        <v>4.1666666666666699E-2</v>
      </c>
      <c r="BV120" s="39">
        <v>4.1666666666666699E-2</v>
      </c>
      <c r="BW120" s="38">
        <v>165</v>
      </c>
      <c r="BX120" s="38">
        <f t="shared" ref="BX120:BX143" si="112">+DEGREES(ASIN(COS(RADIANS($BY$85))*COS(RADIANS($BX$85))*COS(RADIANS(BW120))+SIN(RADIANS($BY$85))*SIN(RADIANS($BX$85))))</f>
        <v>-50.459462063736531</v>
      </c>
      <c r="BY120" s="38">
        <f t="shared" ref="BY120:BY130" si="113">180-DEGREES(ACOS((((SIN(RADIANS(BX120)))*SIN(RADIANS($BY$85)))-SIN(RADIANS($BX$85)))/((COS(RADIANS(BX120)))*COS(RADIANS($BY$85)))))</f>
        <v>23.757097991460768</v>
      </c>
      <c r="CA120">
        <f t="shared" ref="CA120:CA143" si="114">9-(BX120/10)</f>
        <v>14.045946206373653</v>
      </c>
      <c r="CB120">
        <f t="shared" ref="CB120:CB143" si="115">90-BY120</f>
        <v>66.242902008539232</v>
      </c>
      <c r="CC120" s="94">
        <f t="shared" ref="CC120:CC143" si="116">+CA120*COS(RADIANS(CB120))</f>
        <v>5.6585509926265578</v>
      </c>
      <c r="CD120" s="94">
        <f t="shared" ref="CD120:CD143" si="117">+CA120*SIN(RADIANS(CB120))</f>
        <v>12.855714896348138</v>
      </c>
      <c r="CE120" s="39">
        <v>4.1666666666666699E-2</v>
      </c>
      <c r="CG120" s="39">
        <v>4.1666666666666699E-2</v>
      </c>
      <c r="CH120" s="38">
        <v>165</v>
      </c>
      <c r="CI120" s="38">
        <f t="shared" ref="CI120:CI143" si="118">+DEGREES(ASIN(COS(RADIANS($CJ$85))*COS(RADIANS($CI$85))*COS(RADIANS(CH120))+SIN(RADIANS($CJ$85))*SIN(RADIANS($CI$85))))</f>
        <v>-40.824938336382189</v>
      </c>
      <c r="CJ120" s="38">
        <f t="shared" ref="CJ120:CJ130" si="119">180-DEGREES(ACOS((((SIN(RADIANS(CI120)))*SIN(RADIANS($CJ$85)))-SIN(RADIANS($CI$85)))/((COS(RADIANS(CI120)))*COS(RADIANS($CJ$85)))))</f>
        <v>18.99291882687055</v>
      </c>
      <c r="CL120">
        <f t="shared" ref="CL120:CL143" si="120">9-(CI120/10)</f>
        <v>13.082493833638219</v>
      </c>
      <c r="CM120">
        <f t="shared" ref="CM120:CM143" si="121">90-CJ120</f>
        <v>71.00708117312945</v>
      </c>
      <c r="CN120" s="94">
        <f t="shared" ref="CN120:CN143" si="122">+CL120*COS(RADIANS(CM120))</f>
        <v>4.2577145669546779</v>
      </c>
      <c r="CO120" s="94">
        <f t="shared" ref="CO120:CO143" si="123">+CL120*SIN(RADIANS(CM120))</f>
        <v>12.370267239373771</v>
      </c>
      <c r="CP120" s="39">
        <v>4.1666666666666699E-2</v>
      </c>
      <c r="CR120" s="39">
        <v>4.1666666666666699E-2</v>
      </c>
      <c r="CS120" s="38">
        <v>165</v>
      </c>
      <c r="CT120" s="38">
        <f t="shared" ref="CT120:CT143" si="124">+DEGREES(ASIN(COS(RADIANS($CU$85))*COS(RADIANS($CT$85))*COS(RADIANS(CS120))+SIN(RADIANS($CU$85))*SIN(RADIANS($CT$85))))</f>
        <v>-35.839262725902358</v>
      </c>
      <c r="CU120" s="38">
        <f t="shared" ref="CU120:CU130" si="125">180-DEGREES(ACOS((((SIN(RADIANS(CT120)))*SIN(RADIANS($CU$85)))-SIN(RADIANS($CT$85)))/((COS(RADIANS(CT120)))*COS(RADIANS($CU$85)))))</f>
        <v>17.075115341073001</v>
      </c>
      <c r="CW120">
        <f t="shared" ref="CW120:CW143" si="126">9-(CT120/10)</f>
        <v>12.583926272590237</v>
      </c>
      <c r="CX120">
        <f t="shared" ref="CX120:CX143" si="127">90-CU120</f>
        <v>72.924884658926999</v>
      </c>
      <c r="CY120" s="94">
        <f t="shared" ref="CY120:CY143" si="128">+CW120*COS(RADIANS(CX120))</f>
        <v>3.6949575945570605</v>
      </c>
      <c r="CZ120" s="94">
        <f t="shared" ref="CZ120:CZ143" si="129">+CW120*SIN(RADIANS(CX120))</f>
        <v>12.029234755727893</v>
      </c>
      <c r="DA120" s="39">
        <v>4.1666666666666699E-2</v>
      </c>
      <c r="DC120" s="39">
        <v>4.1666666666666699E-2</v>
      </c>
      <c r="DD120" s="38">
        <v>165</v>
      </c>
      <c r="DE120" s="38">
        <f t="shared" ref="DE120:DE143" si="130">+DEGREES(ASIN(COS(RADIANS($DF$85))*COS(RADIANS($DE$85))*COS(RADIANS(DD120))+SIN(RADIANS($DF$85))*SIN(RADIANS($DE$85))))</f>
        <v>-75.43350470599799</v>
      </c>
      <c r="DF120" s="38">
        <f t="shared" ref="DF120:DF130" si="131">180-DEGREES(ACOS((((SIN(RADIANS(DE120)))*SIN(RADIANS($DF$85)))-SIN(RADIANS($DE$85)))/((COS(RADIANS(DE120)))*COS(RADIANS($DF$85)))))</f>
        <v>70.750931390631095</v>
      </c>
      <c r="DH120">
        <f t="shared" ref="DH120:DH143" si="132">9-(DE120/10)</f>
        <v>16.543350470599798</v>
      </c>
      <c r="DI120">
        <f t="shared" ref="DI120:DI143" si="133">90-DF120</f>
        <v>19.249068609368905</v>
      </c>
      <c r="DJ120" s="94">
        <f t="shared" ref="DJ120:DJ143" si="134">+DH120*COS(RADIANS(DI120))</f>
        <v>15.618484200107718</v>
      </c>
      <c r="DK120" s="94">
        <f t="shared" ref="DK120:DK143" si="135">+DH120*SIN(RADIANS(DI120))</f>
        <v>5.4539340007081245</v>
      </c>
      <c r="DL120" s="39">
        <v>4.1666666666666699E-2</v>
      </c>
    </row>
    <row r="121" spans="1:116" x14ac:dyDescent="0.25">
      <c r="A121">
        <v>-2.9</v>
      </c>
      <c r="B121">
        <f t="shared" si="16"/>
        <v>8.519976525789259</v>
      </c>
      <c r="C121">
        <f t="shared" si="17"/>
        <v>-8.519976525789259</v>
      </c>
      <c r="D121">
        <f t="shared" si="20"/>
        <v>7.4558701705434762</v>
      </c>
      <c r="E121">
        <f t="shared" si="21"/>
        <v>-7.4558701705434762</v>
      </c>
      <c r="F121">
        <f t="shared" si="24"/>
        <v>6.3710281744785906</v>
      </c>
      <c r="G121">
        <f t="shared" si="25"/>
        <v>-6.3710281744785906</v>
      </c>
      <c r="H121">
        <f t="shared" si="74"/>
        <v>5.2526183946675582</v>
      </c>
      <c r="I121">
        <f t="shared" si="75"/>
        <v>-5.2526183946675582</v>
      </c>
      <c r="J121">
        <f t="shared" si="90"/>
        <v>4.0730823708832604</v>
      </c>
      <c r="K121">
        <f t="shared" si="91"/>
        <v>-4.0730823708832604</v>
      </c>
      <c r="L121">
        <f t="shared" si="92"/>
        <v>2.7549954627911823</v>
      </c>
      <c r="M121">
        <f t="shared" si="93"/>
        <v>-2.7549954627911823</v>
      </c>
      <c r="N121">
        <f t="shared" si="14"/>
        <v>0.76811457478686074</v>
      </c>
      <c r="O121">
        <f t="shared" si="15"/>
        <v>-0.76811457478686074</v>
      </c>
      <c r="U121" s="94"/>
      <c r="V121" s="94"/>
      <c r="W121" s="94"/>
      <c r="X121" s="94"/>
      <c r="Y121" s="94"/>
      <c r="Z121" s="94"/>
      <c r="AA121" s="94"/>
      <c r="AB121" s="94"/>
      <c r="AO121" s="39">
        <v>8.3333333333333301E-2</v>
      </c>
      <c r="AP121" s="38">
        <v>150</v>
      </c>
      <c r="AQ121" s="38">
        <f t="shared" si="94"/>
        <v>-62.144337795921587</v>
      </c>
      <c r="AR121" s="38">
        <f t="shared" si="95"/>
        <v>82.491026273418044</v>
      </c>
      <c r="AT121">
        <f t="shared" si="96"/>
        <v>15.214433779592159</v>
      </c>
      <c r="AU121">
        <f t="shared" si="97"/>
        <v>7.5089737265819565</v>
      </c>
      <c r="AV121" s="94">
        <f t="shared" si="98"/>
        <v>15.083960973489583</v>
      </c>
      <c r="AW121" s="94">
        <f t="shared" si="99"/>
        <v>1.9882445985939754</v>
      </c>
      <c r="AX121" s="39">
        <v>8.3333333333333301E-2</v>
      </c>
      <c r="AZ121" s="39">
        <v>8.3333333333333301E-2</v>
      </c>
      <c r="BA121" s="38">
        <v>150</v>
      </c>
      <c r="BB121" s="38">
        <f t="shared" si="100"/>
        <v>-59.157361808562058</v>
      </c>
      <c r="BC121" s="38">
        <f t="shared" si="101"/>
        <v>70.120905705727807</v>
      </c>
      <c r="BE121">
        <f t="shared" si="102"/>
        <v>14.915736180856205</v>
      </c>
      <c r="BF121">
        <f t="shared" si="103"/>
        <v>19.879094294272193</v>
      </c>
      <c r="BG121" s="94">
        <f t="shared" si="104"/>
        <v>14.026941169300484</v>
      </c>
      <c r="BH121" s="94">
        <f t="shared" si="105"/>
        <v>5.0718938523874924</v>
      </c>
      <c r="BI121" s="39">
        <v>8.3333333333333301E-2</v>
      </c>
      <c r="BK121" s="39">
        <v>8.3333333333333301E-2</v>
      </c>
      <c r="BL121" s="38">
        <v>150</v>
      </c>
      <c r="BM121" s="38">
        <f t="shared" si="106"/>
        <v>-52.235597230597229</v>
      </c>
      <c r="BN121" s="38">
        <f t="shared" si="107"/>
        <v>54.511264854904709</v>
      </c>
      <c r="BP121">
        <f t="shared" si="108"/>
        <v>14.223559723059722</v>
      </c>
      <c r="BQ121">
        <f t="shared" si="109"/>
        <v>35.488735145095291</v>
      </c>
      <c r="BR121" s="94">
        <f t="shared" si="110"/>
        <v>11.581244395524559</v>
      </c>
      <c r="BS121" s="94">
        <f t="shared" si="111"/>
        <v>8.2573863568672721</v>
      </c>
      <c r="BT121" s="39">
        <v>8.3333333333333301E-2</v>
      </c>
      <c r="BV121" s="39">
        <v>8.3333333333333301E-2</v>
      </c>
      <c r="BW121" s="38">
        <v>150</v>
      </c>
      <c r="BX121" s="38">
        <f t="shared" si="112"/>
        <v>-43.208830809241775</v>
      </c>
      <c r="BY121" s="38">
        <f t="shared" si="113"/>
        <v>42.826045557501772</v>
      </c>
      <c r="CA121">
        <f t="shared" si="114"/>
        <v>13.320883080924178</v>
      </c>
      <c r="CB121">
        <f t="shared" si="115"/>
        <v>47.173954442498228</v>
      </c>
      <c r="CC121" s="94">
        <f t="shared" si="116"/>
        <v>9.0552002792780915</v>
      </c>
      <c r="CD121" s="94">
        <f t="shared" si="117"/>
        <v>9.769814428013154</v>
      </c>
      <c r="CE121" s="39">
        <v>8.3333333333333301E-2</v>
      </c>
      <c r="CG121" s="39">
        <v>8.3333333333333301E-2</v>
      </c>
      <c r="CH121" s="38">
        <v>150</v>
      </c>
      <c r="CI121" s="38">
        <f t="shared" si="118"/>
        <v>-34.797322567809786</v>
      </c>
      <c r="CJ121" s="38">
        <f t="shared" si="119"/>
        <v>35.40599987896482</v>
      </c>
      <c r="CL121">
        <f t="shared" si="120"/>
        <v>12.479732256780979</v>
      </c>
      <c r="CM121">
        <f t="shared" si="121"/>
        <v>54.59400012103518</v>
      </c>
      <c r="CN121" s="94">
        <f t="shared" si="122"/>
        <v>7.2303391408376463</v>
      </c>
      <c r="CO121" s="94">
        <f t="shared" si="123"/>
        <v>10.171819557454349</v>
      </c>
      <c r="CP121" s="39">
        <v>8.3333333333333301E-2</v>
      </c>
      <c r="CR121" s="39">
        <v>8.3333333333333301E-2</v>
      </c>
      <c r="CS121" s="38">
        <v>150</v>
      </c>
      <c r="CT121" s="38">
        <f t="shared" si="124"/>
        <v>-30.345862693789289</v>
      </c>
      <c r="CU121" s="38">
        <f t="shared" si="125"/>
        <v>32.197876165590202</v>
      </c>
      <c r="CW121">
        <f t="shared" si="126"/>
        <v>12.034586269378929</v>
      </c>
      <c r="CX121">
        <f t="shared" si="127"/>
        <v>57.802123834409798</v>
      </c>
      <c r="CY121" s="94">
        <f t="shared" si="128"/>
        <v>6.4125680267423535</v>
      </c>
      <c r="CZ121" s="94">
        <f t="shared" si="129"/>
        <v>10.183822365768441</v>
      </c>
      <c r="DA121" s="39">
        <v>8.3333333333333301E-2</v>
      </c>
      <c r="DC121" s="39">
        <v>8.3333333333333301E-2</v>
      </c>
      <c r="DD121" s="38">
        <v>150</v>
      </c>
      <c r="DE121" s="38">
        <f t="shared" si="130"/>
        <v>-62.593106094089499</v>
      </c>
      <c r="DF121" s="38">
        <f t="shared" si="131"/>
        <v>85.218419971753733</v>
      </c>
      <c r="DH121">
        <f t="shared" si="132"/>
        <v>15.259310609408949</v>
      </c>
      <c r="DI121">
        <f t="shared" si="133"/>
        <v>4.7815800282462675</v>
      </c>
      <c r="DJ121" s="94">
        <f t="shared" si="134"/>
        <v>15.206203772176417</v>
      </c>
      <c r="DK121" s="94">
        <f t="shared" si="135"/>
        <v>1.2719776387453461</v>
      </c>
      <c r="DL121" s="39">
        <v>8.3333333333333301E-2</v>
      </c>
    </row>
    <row r="122" spans="1:116" x14ac:dyDescent="0.25">
      <c r="A122">
        <v>-3</v>
      </c>
      <c r="B122">
        <f t="shared" si="16"/>
        <v>8.4852813742385695</v>
      </c>
      <c r="C122">
        <f t="shared" si="17"/>
        <v>-8.4852813742385695</v>
      </c>
      <c r="D122">
        <f t="shared" si="20"/>
        <v>7.416198487095663</v>
      </c>
      <c r="E122">
        <f t="shared" si="21"/>
        <v>-7.416198487095663</v>
      </c>
      <c r="F122">
        <f t="shared" si="24"/>
        <v>6.324555320336759</v>
      </c>
      <c r="G122">
        <f t="shared" si="25"/>
        <v>-6.324555320336759</v>
      </c>
      <c r="H122">
        <f t="shared" si="74"/>
        <v>5.196152422706632</v>
      </c>
      <c r="I122">
        <f t="shared" si="75"/>
        <v>-5.196152422706632</v>
      </c>
      <c r="J122">
        <f t="shared" si="90"/>
        <v>4</v>
      </c>
      <c r="K122">
        <f t="shared" si="91"/>
        <v>-4</v>
      </c>
      <c r="L122">
        <f t="shared" si="92"/>
        <v>2.6457513110645907</v>
      </c>
      <c r="M122">
        <f t="shared" si="93"/>
        <v>-2.6457513110645907</v>
      </c>
      <c r="N122">
        <f t="shared" si="14"/>
        <v>0</v>
      </c>
      <c r="O122">
        <f t="shared" si="15"/>
        <v>0</v>
      </c>
      <c r="U122" s="94"/>
      <c r="V122" s="94"/>
      <c r="AO122" s="39">
        <v>0.125</v>
      </c>
      <c r="AP122" s="38">
        <v>135</v>
      </c>
      <c r="AQ122" s="38">
        <f t="shared" si="94"/>
        <v>-49.064968267853097</v>
      </c>
      <c r="AR122" s="38">
        <f t="shared" si="95"/>
        <v>90.918245771275195</v>
      </c>
      <c r="AT122">
        <f t="shared" si="96"/>
        <v>13.906496826785309</v>
      </c>
      <c r="AU122">
        <f t="shared" si="97"/>
        <v>-0.91824577127519547</v>
      </c>
      <c r="AV122" s="94">
        <f t="shared" si="98"/>
        <v>13.904710951780249</v>
      </c>
      <c r="AW122" s="94">
        <f t="shared" si="99"/>
        <v>-0.22286170786444864</v>
      </c>
      <c r="AX122" s="39">
        <v>0.125</v>
      </c>
      <c r="AZ122" s="39">
        <v>0.125</v>
      </c>
      <c r="BA122" s="38">
        <v>135</v>
      </c>
      <c r="BB122" s="38">
        <f t="shared" si="100"/>
        <v>-46.440244568188291</v>
      </c>
      <c r="BC122" s="38">
        <f t="shared" si="101"/>
        <v>81.668571166050128</v>
      </c>
      <c r="BE122">
        <f t="shared" si="102"/>
        <v>13.64402445681883</v>
      </c>
      <c r="BF122">
        <f t="shared" si="103"/>
        <v>8.3314288339498717</v>
      </c>
      <c r="BG122" s="94">
        <f t="shared" si="104"/>
        <v>13.500031638075296</v>
      </c>
      <c r="BH122" s="94">
        <f t="shared" si="105"/>
        <v>1.9770050959055312</v>
      </c>
      <c r="BI122" s="39">
        <v>0.125</v>
      </c>
      <c r="BK122" s="39">
        <v>0.125</v>
      </c>
      <c r="BL122" s="38">
        <v>135</v>
      </c>
      <c r="BM122" s="38">
        <f t="shared" si="106"/>
        <v>-40.69450913621494</v>
      </c>
      <c r="BN122" s="38">
        <f t="shared" si="107"/>
        <v>68.449359832966508</v>
      </c>
      <c r="BP122">
        <f t="shared" si="108"/>
        <v>13.069450913621495</v>
      </c>
      <c r="BQ122">
        <f t="shared" si="109"/>
        <v>21.550640167033492</v>
      </c>
      <c r="BR122" s="94">
        <f t="shared" si="110"/>
        <v>12.155808429300228</v>
      </c>
      <c r="BS122" s="94">
        <f t="shared" si="111"/>
        <v>4.8007154272790693</v>
      </c>
      <c r="BT122" s="39">
        <v>0.125</v>
      </c>
      <c r="BV122" s="39">
        <v>0.125</v>
      </c>
      <c r="BW122" s="38">
        <v>135</v>
      </c>
      <c r="BX122" s="38">
        <f t="shared" si="112"/>
        <v>-33.163778112116894</v>
      </c>
      <c r="BY122" s="38">
        <f t="shared" si="113"/>
        <v>56.828274835741524</v>
      </c>
      <c r="CA122">
        <f t="shared" si="114"/>
        <v>12.316377811211689</v>
      </c>
      <c r="CB122">
        <f t="shared" si="115"/>
        <v>33.171725164258476</v>
      </c>
      <c r="CC122" s="94">
        <f t="shared" si="116"/>
        <v>10.309232255931517</v>
      </c>
      <c r="CD122" s="94">
        <f t="shared" si="117"/>
        <v>6.738908864331731</v>
      </c>
      <c r="CE122" s="39">
        <v>0.125</v>
      </c>
      <c r="CG122" s="39">
        <v>0.125</v>
      </c>
      <c r="CH122" s="38">
        <v>135</v>
      </c>
      <c r="CI122" s="38">
        <f t="shared" si="118"/>
        <v>-26.009630801153676</v>
      </c>
      <c r="CJ122" s="38">
        <f t="shared" si="119"/>
        <v>48.473747153771313</v>
      </c>
      <c r="CL122">
        <f t="shared" si="120"/>
        <v>11.600963080115367</v>
      </c>
      <c r="CM122">
        <f t="shared" si="121"/>
        <v>41.526252846228687</v>
      </c>
      <c r="CN122" s="94">
        <f t="shared" si="122"/>
        <v>8.685084566820418</v>
      </c>
      <c r="CO122" s="94">
        <f t="shared" si="123"/>
        <v>7.6910110163344338</v>
      </c>
      <c r="CP122" s="39">
        <v>0.125</v>
      </c>
      <c r="CR122" s="39">
        <v>0.125</v>
      </c>
      <c r="CS122" s="38">
        <v>135</v>
      </c>
      <c r="CT122" s="38">
        <f t="shared" si="124"/>
        <v>-22.178173585837602</v>
      </c>
      <c r="CU122" s="38">
        <f t="shared" si="125"/>
        <v>44.609465486800445</v>
      </c>
      <c r="CW122">
        <f t="shared" si="126"/>
        <v>11.21781735858376</v>
      </c>
      <c r="CX122">
        <f t="shared" si="127"/>
        <v>45.390534513199555</v>
      </c>
      <c r="CY122" s="94">
        <f t="shared" si="128"/>
        <v>7.8779441448788878</v>
      </c>
      <c r="CZ122" s="94">
        <f t="shared" si="129"/>
        <v>7.9860767802915333</v>
      </c>
      <c r="DA122" s="39">
        <v>0.125</v>
      </c>
      <c r="DC122" s="39">
        <v>0.125</v>
      </c>
      <c r="DD122" s="38">
        <v>135</v>
      </c>
      <c r="DE122" s="38">
        <f t="shared" si="130"/>
        <v>-49.494624805188721</v>
      </c>
      <c r="DF122" s="38">
        <f t="shared" si="131"/>
        <v>92.867225270837807</v>
      </c>
      <c r="DH122">
        <f t="shared" si="132"/>
        <v>13.949462480518871</v>
      </c>
      <c r="DI122">
        <f t="shared" si="133"/>
        <v>-2.8672252708378068</v>
      </c>
      <c r="DJ122" s="94">
        <f t="shared" si="134"/>
        <v>13.931999627034255</v>
      </c>
      <c r="DK122" s="94">
        <f t="shared" si="135"/>
        <v>-0.69777495492535535</v>
      </c>
      <c r="DL122" s="39">
        <v>0.125</v>
      </c>
    </row>
    <row r="123" spans="1:116" x14ac:dyDescent="0.25">
      <c r="A123">
        <v>-3.1</v>
      </c>
      <c r="B123">
        <f t="shared" si="16"/>
        <v>8.4492603226554692</v>
      </c>
      <c r="C123">
        <f t="shared" si="17"/>
        <v>-8.4492603226554692</v>
      </c>
      <c r="D123">
        <f t="shared" si="20"/>
        <v>7.3749576269969168</v>
      </c>
      <c r="E123">
        <f t="shared" si="21"/>
        <v>-7.3749576269969168</v>
      </c>
      <c r="F123">
        <f t="shared" si="24"/>
        <v>6.2761453138052818</v>
      </c>
      <c r="G123">
        <f t="shared" si="25"/>
        <v>-6.2761453138052818</v>
      </c>
      <c r="H123">
        <f t="shared" si="74"/>
        <v>5.1371198156165292</v>
      </c>
      <c r="I123">
        <f t="shared" si="75"/>
        <v>-5.1371198156165292</v>
      </c>
      <c r="J123">
        <f t="shared" si="90"/>
        <v>3.9230090491866059</v>
      </c>
      <c r="K123">
        <f t="shared" si="91"/>
        <v>-3.9230090491866059</v>
      </c>
      <c r="L123">
        <f t="shared" si="92"/>
        <v>2.5278449319529073</v>
      </c>
      <c r="M123">
        <f t="shared" si="93"/>
        <v>-2.5278449319529073</v>
      </c>
      <c r="U123" s="94"/>
      <c r="AO123" s="39">
        <v>0.16666666666666699</v>
      </c>
      <c r="AP123" s="38">
        <v>120</v>
      </c>
      <c r="AQ123" s="38">
        <f t="shared" si="94"/>
        <v>-35.998295445076977</v>
      </c>
      <c r="AR123" s="38">
        <f t="shared" si="95"/>
        <v>97.368538589092722</v>
      </c>
      <c r="AT123">
        <f t="shared" si="96"/>
        <v>12.599829544507697</v>
      </c>
      <c r="AU123">
        <f t="shared" si="97"/>
        <v>-7.3685385890927222</v>
      </c>
      <c r="AV123" s="94">
        <f t="shared" si="98"/>
        <v>12.495776815816766</v>
      </c>
      <c r="AW123" s="94">
        <f t="shared" si="99"/>
        <v>-1.615941310798523</v>
      </c>
      <c r="AX123" s="39">
        <v>0.16666666666666699</v>
      </c>
      <c r="AZ123" s="39">
        <v>0.16666666666666699</v>
      </c>
      <c r="BA123" s="38">
        <v>120</v>
      </c>
      <c r="BB123" s="38">
        <f t="shared" si="100"/>
        <v>-33.375576800263644</v>
      </c>
      <c r="BC123" s="38">
        <f t="shared" si="101"/>
        <v>89.808687161128702</v>
      </c>
      <c r="BE123">
        <f t="shared" si="102"/>
        <v>12.337557680026364</v>
      </c>
      <c r="BF123">
        <f t="shared" si="103"/>
        <v>0.19131283887129769</v>
      </c>
      <c r="BG123" s="94">
        <f t="shared" si="104"/>
        <v>12.337488903258178</v>
      </c>
      <c r="BH123" s="94">
        <f t="shared" si="105"/>
        <v>4.1195508964217378E-2</v>
      </c>
      <c r="BI123" s="39">
        <v>0.16666666666666699</v>
      </c>
      <c r="BK123" s="39">
        <v>0.16666666666666699</v>
      </c>
      <c r="BL123" s="38">
        <v>120</v>
      </c>
      <c r="BM123" s="38">
        <f t="shared" si="106"/>
        <v>-28.132756376775866</v>
      </c>
      <c r="BN123" s="38">
        <f t="shared" si="107"/>
        <v>78.347362563772293</v>
      </c>
      <c r="BP123">
        <f t="shared" si="108"/>
        <v>11.813275637677586</v>
      </c>
      <c r="BQ123">
        <f t="shared" si="109"/>
        <v>11.652637436227707</v>
      </c>
      <c r="BR123" s="94">
        <f t="shared" si="110"/>
        <v>11.569805286624637</v>
      </c>
      <c r="BS123" s="94">
        <f t="shared" si="111"/>
        <v>2.3860190530126446</v>
      </c>
      <c r="BT123" s="39">
        <v>0.16666666666666699</v>
      </c>
      <c r="BV123" s="39">
        <v>0.16666666666666699</v>
      </c>
      <c r="BW123" s="38">
        <v>120</v>
      </c>
      <c r="BX123" s="38">
        <f t="shared" si="112"/>
        <v>-21.572441130326556</v>
      </c>
      <c r="BY123" s="38">
        <f t="shared" si="113"/>
        <v>67.339818015101898</v>
      </c>
      <c r="CA123">
        <f t="shared" si="114"/>
        <v>11.157244113032656</v>
      </c>
      <c r="CB123">
        <f t="shared" si="115"/>
        <v>22.660181984898102</v>
      </c>
      <c r="CC123" s="94">
        <f t="shared" si="116"/>
        <v>10.29597241538014</v>
      </c>
      <c r="CD123" s="94">
        <f t="shared" si="117"/>
        <v>4.2984937151905998</v>
      </c>
      <c r="CE123" s="39">
        <v>0.16666666666666699</v>
      </c>
      <c r="CG123" s="39">
        <v>0.16666666666666699</v>
      </c>
      <c r="CH123" s="38">
        <v>120</v>
      </c>
      <c r="CI123" s="38">
        <f t="shared" si="118"/>
        <v>-15.444041296492092</v>
      </c>
      <c r="CJ123" s="38">
        <f t="shared" si="119"/>
        <v>58.750204484754804</v>
      </c>
      <c r="CL123">
        <f t="shared" si="120"/>
        <v>10.544404129649209</v>
      </c>
      <c r="CM123">
        <f t="shared" si="121"/>
        <v>31.249795515245196</v>
      </c>
      <c r="CN123" s="94">
        <f t="shared" si="122"/>
        <v>9.0145557821646758</v>
      </c>
      <c r="CO123" s="94">
        <f t="shared" si="123"/>
        <v>5.4701227133954413</v>
      </c>
      <c r="CP123" s="39">
        <v>0.16666666666666699</v>
      </c>
      <c r="CR123" s="39">
        <v>0.16666666666666699</v>
      </c>
      <c r="CS123" s="38">
        <v>120</v>
      </c>
      <c r="CT123" s="38">
        <f t="shared" si="124"/>
        <v>-12.182509074452025</v>
      </c>
      <c r="CU123" s="38">
        <f t="shared" si="125"/>
        <v>54.569235210579663</v>
      </c>
      <c r="CW123">
        <f t="shared" si="126"/>
        <v>10.218250907445203</v>
      </c>
      <c r="CX123">
        <f t="shared" si="127"/>
        <v>35.430764789420337</v>
      </c>
      <c r="CY123" s="94">
        <f t="shared" si="128"/>
        <v>8.3260008202575673</v>
      </c>
      <c r="CZ123" s="94">
        <f t="shared" si="129"/>
        <v>5.9237118387523742</v>
      </c>
      <c r="DA123" s="39">
        <v>0.16666666666666699</v>
      </c>
      <c r="DC123" s="39">
        <v>0.16666666666666699</v>
      </c>
      <c r="DD123" s="38">
        <v>120</v>
      </c>
      <c r="DE123" s="38">
        <f t="shared" si="130"/>
        <v>-36.462362723804368</v>
      </c>
      <c r="DF123" s="38">
        <f t="shared" si="131"/>
        <v>98.929650560124273</v>
      </c>
      <c r="DH123">
        <f t="shared" si="132"/>
        <v>12.646236272380436</v>
      </c>
      <c r="DI123">
        <f t="shared" si="133"/>
        <v>-8.9296505601242728</v>
      </c>
      <c r="DJ123" s="94">
        <f t="shared" si="134"/>
        <v>12.492959726538649</v>
      </c>
      <c r="DK123" s="94">
        <f t="shared" si="135"/>
        <v>-1.9629694668929516</v>
      </c>
      <c r="DL123" s="39">
        <v>0.16666666666666699</v>
      </c>
    </row>
    <row r="124" spans="1:116" x14ac:dyDescent="0.25">
      <c r="A124">
        <v>-3.2</v>
      </c>
      <c r="B124">
        <f t="shared" si="16"/>
        <v>8.4118963379252349</v>
      </c>
      <c r="C124">
        <f t="shared" si="17"/>
        <v>-8.4118963379252349</v>
      </c>
      <c r="D124">
        <f t="shared" si="20"/>
        <v>7.3321211119293439</v>
      </c>
      <c r="E124">
        <f t="shared" si="21"/>
        <v>-7.3321211119293439</v>
      </c>
      <c r="F124">
        <f t="shared" si="24"/>
        <v>6.2257529665093525</v>
      </c>
      <c r="G124">
        <f t="shared" si="25"/>
        <v>-6.2257529665093525</v>
      </c>
      <c r="H124">
        <f t="shared" si="74"/>
        <v>5.0754310161798077</v>
      </c>
      <c r="I124">
        <f t="shared" si="75"/>
        <v>-5.0754310161798077</v>
      </c>
      <c r="J124">
        <f t="shared" si="90"/>
        <v>3.8418745424597089</v>
      </c>
      <c r="K124">
        <f t="shared" si="91"/>
        <v>-3.8418745424597089</v>
      </c>
      <c r="L124">
        <f t="shared" si="92"/>
        <v>2.3999999999999995</v>
      </c>
      <c r="M124">
        <f t="shared" si="93"/>
        <v>-2.3999999999999995</v>
      </c>
      <c r="U124" s="94"/>
      <c r="AA124" t="s">
        <v>67</v>
      </c>
      <c r="AC124" t="s">
        <v>66</v>
      </c>
      <c r="AE124" t="s">
        <v>65</v>
      </c>
      <c r="AG124" t="s">
        <v>64</v>
      </c>
      <c r="AI124" t="s">
        <v>63</v>
      </c>
      <c r="AK124" t="s">
        <v>62</v>
      </c>
      <c r="AO124" s="39">
        <v>0.20833333333333334</v>
      </c>
      <c r="AP124" s="38">
        <v>105</v>
      </c>
      <c r="AQ124" s="38">
        <f t="shared" si="94"/>
        <v>-23.1088955047322</v>
      </c>
      <c r="AR124" s="38">
        <f t="shared" si="95"/>
        <v>103.34940436098259</v>
      </c>
      <c r="AT124">
        <f t="shared" si="96"/>
        <v>11.31088955047322</v>
      </c>
      <c r="AU124">
        <f t="shared" si="97"/>
        <v>-13.349404360982589</v>
      </c>
      <c r="AV124" s="94">
        <f t="shared" si="98"/>
        <v>11.005270969786864</v>
      </c>
      <c r="AW124" s="94">
        <f t="shared" si="99"/>
        <v>-2.6115576395267981</v>
      </c>
      <c r="AX124" s="39">
        <v>0.20833333333333334</v>
      </c>
      <c r="AZ124" s="39">
        <v>0.20833333333333334</v>
      </c>
      <c r="BA124" s="38">
        <v>105</v>
      </c>
      <c r="BB124" s="38">
        <f t="shared" si="100"/>
        <v>-20.296531863835749</v>
      </c>
      <c r="BC124" s="38">
        <f t="shared" si="101"/>
        <v>96.750275197271563</v>
      </c>
      <c r="BE124">
        <f t="shared" si="102"/>
        <v>11.029653186383575</v>
      </c>
      <c r="BF124">
        <f t="shared" si="103"/>
        <v>-6.7502751972715629</v>
      </c>
      <c r="BG124" s="94">
        <f t="shared" si="104"/>
        <v>10.953194443702412</v>
      </c>
      <c r="BH124" s="94">
        <f t="shared" si="105"/>
        <v>-1.2964493396766235</v>
      </c>
      <c r="BI124" s="39">
        <v>0.20833333333333334</v>
      </c>
      <c r="BK124" s="39">
        <v>0.20833333333333334</v>
      </c>
      <c r="BL124" s="38">
        <v>105</v>
      </c>
      <c r="BM124" s="38">
        <f t="shared" si="106"/>
        <v>-15.147701011627433</v>
      </c>
      <c r="BN124" s="38">
        <f t="shared" si="107"/>
        <v>86.364160707609329</v>
      </c>
      <c r="BP124">
        <f t="shared" si="108"/>
        <v>10.514770101162743</v>
      </c>
      <c r="BQ124">
        <f t="shared" si="109"/>
        <v>3.6358392923906706</v>
      </c>
      <c r="BR124" s="94">
        <f t="shared" si="110"/>
        <v>10.493606569730019</v>
      </c>
      <c r="BS124" s="94">
        <f t="shared" si="111"/>
        <v>0.66679190158919366</v>
      </c>
      <c r="BT124" s="39">
        <v>0.20833333333333334</v>
      </c>
      <c r="BV124" s="39">
        <v>0.20833333333333334</v>
      </c>
      <c r="BW124" s="38">
        <v>105</v>
      </c>
      <c r="BX124" s="38">
        <f t="shared" si="112"/>
        <v>-9.1379383497118152</v>
      </c>
      <c r="BY124" s="38">
        <f t="shared" si="113"/>
        <v>75.804390510576525</v>
      </c>
      <c r="CA124">
        <f t="shared" si="114"/>
        <v>9.9137938349711821</v>
      </c>
      <c r="CB124">
        <f t="shared" si="115"/>
        <v>14.195609489423475</v>
      </c>
      <c r="CC124" s="94">
        <f t="shared" si="116"/>
        <v>9.6110676607095051</v>
      </c>
      <c r="CD124" s="94">
        <f t="shared" si="117"/>
        <v>2.4311903717266836</v>
      </c>
      <c r="CE124" s="39">
        <v>0.20833333333333334</v>
      </c>
      <c r="CG124" s="39">
        <v>0.20833333333333334</v>
      </c>
      <c r="CH124" s="38">
        <v>105</v>
      </c>
      <c r="CI124" s="38">
        <f t="shared" si="118"/>
        <v>-3.7691542744190856</v>
      </c>
      <c r="CJ124" s="38">
        <f t="shared" si="119"/>
        <v>67.086482293695084</v>
      </c>
      <c r="CL124">
        <f t="shared" si="120"/>
        <v>9.376915427441908</v>
      </c>
      <c r="CM124">
        <f t="shared" si="121"/>
        <v>22.913517706304916</v>
      </c>
      <c r="CN124" s="94">
        <f t="shared" si="122"/>
        <v>8.637016548902448</v>
      </c>
      <c r="CO124" s="94">
        <f t="shared" si="123"/>
        <v>3.6508201910506766</v>
      </c>
      <c r="CP124" s="39">
        <v>0.20833333333333334</v>
      </c>
      <c r="CR124" s="39">
        <v>0.20833333333333334</v>
      </c>
      <c r="CS124" s="38">
        <v>105</v>
      </c>
      <c r="CT124" s="38">
        <f t="shared" si="124"/>
        <v>-0.98425873859118373</v>
      </c>
      <c r="CU124" s="38">
        <f t="shared" si="125"/>
        <v>62.682223313308867</v>
      </c>
      <c r="CW124">
        <f t="shared" si="126"/>
        <v>9.0984258738591191</v>
      </c>
      <c r="CX124">
        <f t="shared" si="127"/>
        <v>27.317776686691133</v>
      </c>
      <c r="CY124" s="94">
        <f t="shared" si="128"/>
        <v>8.083722913717649</v>
      </c>
      <c r="CZ124" s="94">
        <f t="shared" si="129"/>
        <v>4.1754972442028171</v>
      </c>
      <c r="DA124" s="39">
        <v>0.20833333333333334</v>
      </c>
      <c r="DC124" s="39">
        <v>0.20833333333333334</v>
      </c>
      <c r="DD124" s="38">
        <v>105</v>
      </c>
      <c r="DE124" s="38">
        <f t="shared" si="130"/>
        <v>-23.636004549359633</v>
      </c>
      <c r="DF124" s="38">
        <f t="shared" si="131"/>
        <v>104.69392403052011</v>
      </c>
      <c r="DH124">
        <f t="shared" si="132"/>
        <v>11.363600454935963</v>
      </c>
      <c r="DI124">
        <f t="shared" si="133"/>
        <v>-14.693924030520108</v>
      </c>
      <c r="DJ124" s="94">
        <f t="shared" si="134"/>
        <v>10.991950007398707</v>
      </c>
      <c r="DK124" s="94">
        <f t="shared" si="135"/>
        <v>-2.8824382620046505</v>
      </c>
      <c r="DL124" s="39">
        <v>0.20833333333333334</v>
      </c>
    </row>
    <row r="125" spans="1:116" x14ac:dyDescent="0.25">
      <c r="A125">
        <v>-3.3</v>
      </c>
      <c r="B125">
        <f t="shared" si="16"/>
        <v>8.3731714421717172</v>
      </c>
      <c r="C125">
        <f t="shared" si="17"/>
        <v>-8.3731714421717172</v>
      </c>
      <c r="D125">
        <f t="shared" si="20"/>
        <v>7.2876608044008195</v>
      </c>
      <c r="E125">
        <f t="shared" si="21"/>
        <v>-7.2876608044008195</v>
      </c>
      <c r="F125">
        <f t="shared" si="24"/>
        <v>6.1733297336202604</v>
      </c>
      <c r="G125">
        <f t="shared" si="25"/>
        <v>-6.1733297336202604</v>
      </c>
      <c r="H125">
        <f t="shared" si="74"/>
        <v>5.0109879265470196</v>
      </c>
      <c r="I125">
        <f t="shared" si="75"/>
        <v>-5.0109879265470196</v>
      </c>
      <c r="J125">
        <f t="shared" si="90"/>
        <v>3.7563279941985899</v>
      </c>
      <c r="K125">
        <f t="shared" si="91"/>
        <v>-3.7563279941985899</v>
      </c>
      <c r="L125">
        <f t="shared" si="92"/>
        <v>2.2605309110914633</v>
      </c>
      <c r="M125">
        <f t="shared" si="93"/>
        <v>-2.2605309110914633</v>
      </c>
      <c r="U125" s="94"/>
      <c r="AA125" s="55">
        <v>0.25</v>
      </c>
      <c r="AB125" s="94">
        <f>IF('Control Solar 2do Sem'!$N$8="si",IF(Isorreq!N10=-1,0,"si"),0)</f>
        <v>0</v>
      </c>
      <c r="AC125" s="55">
        <v>0.25</v>
      </c>
      <c r="AD125" s="94">
        <f>IF('Control Solar 2do Sem'!$N$8="si",IF(Isorreq!M10=-1,0,"si"),0)</f>
        <v>0</v>
      </c>
      <c r="AE125" s="55">
        <v>0.25</v>
      </c>
      <c r="AF125" s="94">
        <f>IF('Control Solar 2do Sem'!$N$8="si",IF(Isorreq!L10=-1,0,"si"),0)</f>
        <v>0</v>
      </c>
      <c r="AG125" s="55">
        <v>0.25</v>
      </c>
      <c r="AH125" s="94" t="str">
        <f>IF('Control Solar 2do Sem'!$N$8="si",IF(Isorreq!K10=-1,0,"si"),0)</f>
        <v>si</v>
      </c>
      <c r="AI125" s="55">
        <v>0.25</v>
      </c>
      <c r="AJ125" s="94" t="str">
        <f>IF('Control Solar 2do Sem'!$N$8="si",IF(Isorreq!J10=-1,0,"si"),0)</f>
        <v>si</v>
      </c>
      <c r="AK125" s="55">
        <v>0.25</v>
      </c>
      <c r="AL125" s="94" t="str">
        <f>IF('Control Solar 2do Sem'!$N$8="si",IF(Isorreq!I10=-1,0,"si"),0)</f>
        <v>si</v>
      </c>
      <c r="AO125" s="39">
        <v>0.25</v>
      </c>
      <c r="AP125" s="38">
        <v>90</v>
      </c>
      <c r="AQ125" s="38">
        <f t="shared" si="94"/>
        <v>-10.539731181947333</v>
      </c>
      <c r="AR125" s="38">
        <f t="shared" si="95"/>
        <v>109.54530546833175</v>
      </c>
      <c r="AT125">
        <f t="shared" si="96"/>
        <v>10.053973118194733</v>
      </c>
      <c r="AU125">
        <f t="shared" si="97"/>
        <v>-19.545305468331748</v>
      </c>
      <c r="AV125" s="94">
        <f t="shared" si="98"/>
        <v>9.4746354930873924</v>
      </c>
      <c r="AW125" s="94">
        <f t="shared" si="99"/>
        <v>-3.3635781148222135</v>
      </c>
      <c r="AX125" s="39">
        <v>0.25</v>
      </c>
      <c r="AZ125" s="39">
        <v>0.25</v>
      </c>
      <c r="BA125" s="38">
        <v>90</v>
      </c>
      <c r="BB125" s="38">
        <f t="shared" si="100"/>
        <v>-7.3984700881092289</v>
      </c>
      <c r="BC125" s="38">
        <f t="shared" si="101"/>
        <v>103.50242212020031</v>
      </c>
      <c r="BE125">
        <f t="shared" si="102"/>
        <v>9.7398470088109228</v>
      </c>
      <c r="BF125">
        <f t="shared" si="103"/>
        <v>-13.502422120200308</v>
      </c>
      <c r="BG125" s="94">
        <f t="shared" si="104"/>
        <v>9.4706381329140701</v>
      </c>
      <c r="BH125" s="94">
        <f t="shared" si="105"/>
        <v>-2.2741224923994272</v>
      </c>
      <c r="BI125" s="39">
        <v>0.25</v>
      </c>
      <c r="BK125" s="39">
        <v>0.25</v>
      </c>
      <c r="BL125" s="38">
        <v>90</v>
      </c>
      <c r="BM125" s="38">
        <f t="shared" si="106"/>
        <v>-2.0474614986880884</v>
      </c>
      <c r="BN125" s="38">
        <f t="shared" si="107"/>
        <v>93.685695181080817</v>
      </c>
      <c r="BP125">
        <f t="shared" si="108"/>
        <v>9.204746149868809</v>
      </c>
      <c r="BQ125">
        <f t="shared" si="109"/>
        <v>-3.685695181080817</v>
      </c>
      <c r="BR125" s="94">
        <f t="shared" si="110"/>
        <v>9.1857079614946517</v>
      </c>
      <c r="BS125" s="94">
        <f t="shared" si="111"/>
        <v>-0.59171017369859047</v>
      </c>
      <c r="BT125" s="39">
        <v>0.25</v>
      </c>
      <c r="BV125" s="39">
        <v>0.25</v>
      </c>
      <c r="BW125" s="38">
        <v>90</v>
      </c>
      <c r="BX125" s="38">
        <f t="shared" si="112"/>
        <v>3.7457083017543744</v>
      </c>
      <c r="BY125" s="38">
        <f t="shared" si="113"/>
        <v>83.239470999313269</v>
      </c>
      <c r="CA125">
        <f t="shared" si="114"/>
        <v>8.625429169824562</v>
      </c>
      <c r="CB125">
        <f t="shared" si="115"/>
        <v>6.7605290006867307</v>
      </c>
      <c r="CC125" s="94">
        <f t="shared" si="116"/>
        <v>8.5654551879976513</v>
      </c>
      <c r="CD125" s="94">
        <f t="shared" si="117"/>
        <v>1.0153845508301496</v>
      </c>
      <c r="CE125" s="39">
        <v>0.25</v>
      </c>
      <c r="CG125" s="39">
        <v>0.25</v>
      </c>
      <c r="CH125" s="38">
        <v>90</v>
      </c>
      <c r="CI125" s="38">
        <f t="shared" si="118"/>
        <v>8.5974359692729667</v>
      </c>
      <c r="CJ125" s="38">
        <f t="shared" si="119"/>
        <v>74.225135377203927</v>
      </c>
      <c r="CL125">
        <f t="shared" si="120"/>
        <v>8.1402564030727032</v>
      </c>
      <c r="CM125">
        <f t="shared" si="121"/>
        <v>15.774864622796073</v>
      </c>
      <c r="CN125" s="94">
        <f t="shared" si="122"/>
        <v>7.8336727666422483</v>
      </c>
      <c r="CO125" s="94">
        <f t="shared" si="123"/>
        <v>2.2129946436748824</v>
      </c>
      <c r="CP125" s="39">
        <v>0.25</v>
      </c>
      <c r="CR125" s="39">
        <v>0.25</v>
      </c>
      <c r="CS125" s="38">
        <v>90</v>
      </c>
      <c r="CT125" s="38">
        <f t="shared" si="124"/>
        <v>11.002251178794777</v>
      </c>
      <c r="CU125" s="38">
        <f t="shared" si="125"/>
        <v>69.537585435747644</v>
      </c>
      <c r="CW125">
        <f t="shared" si="126"/>
        <v>7.8997748821205223</v>
      </c>
      <c r="CX125">
        <f t="shared" si="127"/>
        <v>20.462414564252356</v>
      </c>
      <c r="CY125" s="94">
        <f t="shared" si="128"/>
        <v>7.4013126754456309</v>
      </c>
      <c r="CZ125" s="94">
        <f t="shared" si="129"/>
        <v>2.7617048843911882</v>
      </c>
      <c r="DA125" s="39">
        <v>0.25</v>
      </c>
      <c r="DC125" s="39">
        <v>0.25</v>
      </c>
      <c r="DD125" s="38">
        <v>90</v>
      </c>
      <c r="DE125" s="38">
        <f t="shared" si="130"/>
        <v>-11.15205496731916</v>
      </c>
      <c r="DF125" s="38">
        <f t="shared" si="131"/>
        <v>110.76123341972382</v>
      </c>
      <c r="DH125">
        <f t="shared" si="132"/>
        <v>10.115205496731916</v>
      </c>
      <c r="DI125">
        <f t="shared" si="133"/>
        <v>-20.761233419723823</v>
      </c>
      <c r="DJ125" s="94">
        <f t="shared" si="134"/>
        <v>9.4583820053833971</v>
      </c>
      <c r="DK125" s="94">
        <f t="shared" si="135"/>
        <v>-3.5855811357930687</v>
      </c>
      <c r="DL125" s="39">
        <v>0.25</v>
      </c>
    </row>
    <row r="126" spans="1:116" x14ac:dyDescent="0.25">
      <c r="A126">
        <v>-3.4</v>
      </c>
      <c r="B126">
        <f t="shared" si="16"/>
        <v>8.3330666623998635</v>
      </c>
      <c r="C126">
        <f t="shared" si="17"/>
        <v>-8.3330666623998635</v>
      </c>
      <c r="D126">
        <f t="shared" si="20"/>
        <v>7.2415467960926687</v>
      </c>
      <c r="E126">
        <f t="shared" si="21"/>
        <v>-7.2415467960926687</v>
      </c>
      <c r="F126">
        <f t="shared" si="24"/>
        <v>6.1188234163113417</v>
      </c>
      <c r="G126">
        <f t="shared" si="25"/>
        <v>-6.1188234163113417</v>
      </c>
      <c r="H126">
        <f t="shared" si="74"/>
        <v>4.9436828377233102</v>
      </c>
      <c r="I126">
        <f t="shared" si="75"/>
        <v>-4.9436828377233102</v>
      </c>
      <c r="J126">
        <f t="shared" si="90"/>
        <v>3.6660605559646724</v>
      </c>
      <c r="K126">
        <f t="shared" si="91"/>
        <v>-3.6660605559646724</v>
      </c>
      <c r="L126">
        <f t="shared" si="92"/>
        <v>2.1071307505705481</v>
      </c>
      <c r="M126">
        <f t="shared" si="93"/>
        <v>-2.1071307505705481</v>
      </c>
      <c r="U126" s="94"/>
      <c r="AA126" s="55">
        <v>0.29166666666666702</v>
      </c>
      <c r="AB126" s="102">
        <f>IF('Control Solar 2do Sem'!$N$8="si",IF(Isorreq!N11=-1,0,"si"),0)</f>
        <v>0</v>
      </c>
      <c r="AC126" s="55">
        <v>0.29166666666666702</v>
      </c>
      <c r="AD126" s="102">
        <f>IF('Control Solar 2do Sem'!$N$8="si",IF(Isorreq!M11=-1,0,"si"),0)</f>
        <v>0</v>
      </c>
      <c r="AE126" s="55">
        <v>0.29166666666666702</v>
      </c>
      <c r="AF126" s="102">
        <f>IF('Control Solar 2do Sem'!$N$8="si",IF(Isorreq!L11=-1,0,"si"),0)</f>
        <v>0</v>
      </c>
      <c r="AG126" s="55">
        <v>0.29166666666666702</v>
      </c>
      <c r="AH126" s="102" t="str">
        <f>IF('Control Solar 2do Sem'!$N$8="si",IF(Isorreq!K11=-1,0,"si"),0)</f>
        <v>si</v>
      </c>
      <c r="AI126" s="55">
        <v>0.29166666666666702</v>
      </c>
      <c r="AJ126" s="102" t="str">
        <f>IF('Control Solar 2do Sem'!$N$8="si",IF(Isorreq!J11=-1,0,"si"),0)</f>
        <v>si</v>
      </c>
      <c r="AK126" s="55">
        <v>0.29166666666666702</v>
      </c>
      <c r="AL126" s="102" t="str">
        <f>IF('Control Solar 2do Sem'!$N$8="si",IF(Isorreq!I11=-1,0,"si"),0)</f>
        <v>si</v>
      </c>
      <c r="AO126" s="39">
        <v>0.29166666666666702</v>
      </c>
      <c r="AP126" s="38">
        <v>75</v>
      </c>
      <c r="AQ126" s="38">
        <f t="shared" si="94"/>
        <v>1.5268439307083672</v>
      </c>
      <c r="AR126" s="38">
        <f t="shared" si="95"/>
        <v>116.4624458503213</v>
      </c>
      <c r="AT126">
        <f t="shared" si="96"/>
        <v>8.847315606929163</v>
      </c>
      <c r="AU126">
        <f t="shared" si="97"/>
        <v>-26.462445850321302</v>
      </c>
      <c r="AV126" s="94">
        <f t="shared" si="98"/>
        <v>7.9203525072857328</v>
      </c>
      <c r="AW126" s="94">
        <f t="shared" si="99"/>
        <v>-3.9424623788877113</v>
      </c>
      <c r="AX126" s="39">
        <v>0.29166666666666702</v>
      </c>
      <c r="AZ126" s="39">
        <v>0.29166666666666702</v>
      </c>
      <c r="BA126" s="38">
        <v>75</v>
      </c>
      <c r="BB126" s="38">
        <f t="shared" si="100"/>
        <v>5.1256761006130356</v>
      </c>
      <c r="BC126" s="38">
        <f t="shared" si="101"/>
        <v>110.74796771639679</v>
      </c>
      <c r="BE126">
        <f t="shared" si="102"/>
        <v>8.4874323899386965</v>
      </c>
      <c r="BF126">
        <f t="shared" si="103"/>
        <v>-20.747967716396786</v>
      </c>
      <c r="BG126" s="94">
        <f t="shared" si="104"/>
        <v>7.9370035218323389</v>
      </c>
      <c r="BH126" s="94">
        <f t="shared" si="105"/>
        <v>-3.0067397074242299</v>
      </c>
      <c r="BI126" s="39">
        <v>0.29166666666666702</v>
      </c>
      <c r="BK126" s="39">
        <v>0.29166666666666702</v>
      </c>
      <c r="BL126" s="38">
        <v>75</v>
      </c>
      <c r="BM126" s="38">
        <f t="shared" si="106"/>
        <v>10.944236718611343</v>
      </c>
      <c r="BN126" s="38">
        <f t="shared" si="107"/>
        <v>101.14015957211414</v>
      </c>
      <c r="BP126">
        <f t="shared" si="108"/>
        <v>7.9055763281388653</v>
      </c>
      <c r="BQ126">
        <f t="shared" si="109"/>
        <v>-11.140159572114143</v>
      </c>
      <c r="BR126" s="94">
        <f t="shared" si="110"/>
        <v>7.7566153566303626</v>
      </c>
      <c r="BS126" s="94">
        <f t="shared" si="111"/>
        <v>-1.5274342176721136</v>
      </c>
      <c r="BT126" s="39">
        <v>0.29166666666666702</v>
      </c>
      <c r="BV126" s="39">
        <v>0.29166666666666702</v>
      </c>
      <c r="BW126" s="38">
        <v>75</v>
      </c>
      <c r="BX126" s="38">
        <f t="shared" si="112"/>
        <v>16.826145638621131</v>
      </c>
      <c r="BY126" s="38">
        <f t="shared" si="113"/>
        <v>90.430026005197348</v>
      </c>
      <c r="CA126">
        <f t="shared" si="114"/>
        <v>7.3173854361378865</v>
      </c>
      <c r="CB126">
        <f t="shared" si="115"/>
        <v>-0.43002600519734813</v>
      </c>
      <c r="CC126" s="94">
        <f t="shared" si="116"/>
        <v>7.3171793408454278</v>
      </c>
      <c r="CD126" s="94">
        <f t="shared" si="117"/>
        <v>-5.491916703403818E-2</v>
      </c>
      <c r="CE126" s="39">
        <v>0.29166666666666702</v>
      </c>
      <c r="CG126" s="39">
        <v>0.29166666666666702</v>
      </c>
      <c r="CH126" s="38">
        <v>75</v>
      </c>
      <c r="CI126" s="38">
        <f t="shared" si="118"/>
        <v>21.390284745138615</v>
      </c>
      <c r="CJ126" s="38">
        <f t="shared" si="119"/>
        <v>80.785090541413638</v>
      </c>
      <c r="CL126">
        <f t="shared" si="120"/>
        <v>6.8609715254861383</v>
      </c>
      <c r="CM126">
        <f t="shared" si="121"/>
        <v>9.2149094585863622</v>
      </c>
      <c r="CN126" s="94">
        <f t="shared" si="122"/>
        <v>6.7724281322824265</v>
      </c>
      <c r="CO126" s="94">
        <f t="shared" si="123"/>
        <v>1.0987026288314572</v>
      </c>
      <c r="CP126" s="39">
        <v>0.29166666666666702</v>
      </c>
      <c r="CR126" s="39">
        <v>0.29166666666666702</v>
      </c>
      <c r="CS126" s="38">
        <v>75</v>
      </c>
      <c r="CT126" s="38">
        <f t="shared" si="124"/>
        <v>23.507733059132701</v>
      </c>
      <c r="CU126" s="38">
        <f t="shared" si="125"/>
        <v>75.636975428271541</v>
      </c>
      <c r="CW126">
        <f t="shared" si="126"/>
        <v>6.6492266940867299</v>
      </c>
      <c r="CX126">
        <f t="shared" si="127"/>
        <v>14.363024571728459</v>
      </c>
      <c r="CY126" s="94">
        <f t="shared" si="128"/>
        <v>6.4413948054342534</v>
      </c>
      <c r="CZ126" s="94">
        <f t="shared" si="129"/>
        <v>1.6494388712165591</v>
      </c>
      <c r="DA126" s="39">
        <v>0.29166666666666702</v>
      </c>
      <c r="DC126" s="39">
        <v>0.29166666666666702</v>
      </c>
      <c r="DD126" s="38">
        <v>75</v>
      </c>
      <c r="DE126" s="38">
        <f t="shared" si="130"/>
        <v>0.80777986614324049</v>
      </c>
      <c r="DF126" s="38">
        <f t="shared" si="131"/>
        <v>117.59582673339338</v>
      </c>
      <c r="DH126">
        <f t="shared" si="132"/>
        <v>8.9192220133856761</v>
      </c>
      <c r="DI126">
        <f t="shared" si="133"/>
        <v>-27.59582673339338</v>
      </c>
      <c r="DJ126" s="94">
        <f t="shared" si="134"/>
        <v>7.9045474322355096</v>
      </c>
      <c r="DK126" s="94">
        <f t="shared" si="135"/>
        <v>-4.1316644606747346</v>
      </c>
      <c r="DL126" s="39">
        <v>0.29166666666666702</v>
      </c>
    </row>
    <row r="127" spans="1:116" x14ac:dyDescent="0.25">
      <c r="A127">
        <v>-3.5</v>
      </c>
      <c r="B127">
        <f t="shared" si="16"/>
        <v>8.2915619758885004</v>
      </c>
      <c r="C127">
        <f t="shared" si="17"/>
        <v>-8.2915619758885004</v>
      </c>
      <c r="D127">
        <f t="shared" si="20"/>
        <v>7.1937472849690796</v>
      </c>
      <c r="E127">
        <f t="shared" si="21"/>
        <v>-7.1937472849690796</v>
      </c>
      <c r="F127">
        <f t="shared" si="24"/>
        <v>6.0621778264910704</v>
      </c>
      <c r="G127">
        <f t="shared" si="25"/>
        <v>-6.0621778264910704</v>
      </c>
      <c r="H127">
        <f t="shared" si="74"/>
        <v>4.8733971724044816</v>
      </c>
      <c r="I127">
        <f t="shared" si="75"/>
        <v>-4.8733971724044816</v>
      </c>
      <c r="J127">
        <f t="shared" si="90"/>
        <v>3.5707142142714252</v>
      </c>
      <c r="K127">
        <f t="shared" si="91"/>
        <v>-3.5707142142714252</v>
      </c>
      <c r="L127">
        <f t="shared" si="92"/>
        <v>1.9364916731037085</v>
      </c>
      <c r="M127">
        <f t="shared" si="93"/>
        <v>-1.9364916731037085</v>
      </c>
      <c r="U127" s="94"/>
      <c r="AA127" s="55">
        <v>0.33333333333333298</v>
      </c>
      <c r="AB127" s="102">
        <f>IF('Control Solar 2do Sem'!$N$8="si",IF(Isorreq!N12=-1,0,"si"),0)</f>
        <v>0</v>
      </c>
      <c r="AC127" s="55">
        <v>0.33333333333333298</v>
      </c>
      <c r="AD127" s="102">
        <f>IF('Control Solar 2do Sem'!$N$8="si",IF(Isorreq!M12=-1,0,"si"),0)</f>
        <v>0</v>
      </c>
      <c r="AE127" s="55">
        <v>0.33333333333333298</v>
      </c>
      <c r="AF127" s="102">
        <f>IF('Control Solar 2do Sem'!$N$8="si",IF(Isorreq!L12=-1,0,"si"),0)</f>
        <v>0</v>
      </c>
      <c r="AG127" s="55">
        <v>0.33333333333333298</v>
      </c>
      <c r="AH127" s="102" t="str">
        <f>IF('Control Solar 2do Sem'!$N$8="si",IF(Isorreq!K12=-1,0,"si"),0)</f>
        <v>si</v>
      </c>
      <c r="AI127" s="55">
        <v>0.33333333333333298</v>
      </c>
      <c r="AJ127" s="102" t="str">
        <f>IF('Control Solar 2do Sem'!$N$8="si",IF(Isorreq!J12=-1,0,"si"),0)</f>
        <v>si</v>
      </c>
      <c r="AK127" s="55">
        <v>0.33333333333333298</v>
      </c>
      <c r="AL127" s="102" t="str">
        <f>IF('Control Solar 2do Sem'!$N$8="si",IF(Isorreq!I12=-1,0,"si"),0)</f>
        <v>si</v>
      </c>
      <c r="AO127" s="39">
        <v>0.33333333333333298</v>
      </c>
      <c r="AP127" s="38">
        <v>60</v>
      </c>
      <c r="AQ127" s="38">
        <f t="shared" si="94"/>
        <v>12.822214610282128</v>
      </c>
      <c r="AR127" s="38">
        <f t="shared" si="95"/>
        <v>124.62657247743616</v>
      </c>
      <c r="AT127">
        <f t="shared" si="96"/>
        <v>7.7177785389717872</v>
      </c>
      <c r="AU127">
        <f t="shared" si="97"/>
        <v>-34.626572477436156</v>
      </c>
      <c r="AV127" s="94">
        <f t="shared" si="98"/>
        <v>6.3507510164986245</v>
      </c>
      <c r="AW127" s="94">
        <f t="shared" si="99"/>
        <v>-4.3854380742469941</v>
      </c>
      <c r="AX127" s="39">
        <v>0.33333333333333298</v>
      </c>
      <c r="AZ127" s="39">
        <v>0.33333333333333298</v>
      </c>
      <c r="BA127" s="38">
        <v>60</v>
      </c>
      <c r="BB127" s="38">
        <f t="shared" si="100"/>
        <v>17.012874995336517</v>
      </c>
      <c r="BC127" s="38">
        <f t="shared" si="101"/>
        <v>119.15629368068804</v>
      </c>
      <c r="BE127">
        <f t="shared" si="102"/>
        <v>7.2987125004663485</v>
      </c>
      <c r="BF127">
        <f t="shared" si="103"/>
        <v>-29.156293680688037</v>
      </c>
      <c r="BG127" s="94">
        <f t="shared" si="104"/>
        <v>6.3739216297498276</v>
      </c>
      <c r="BH127" s="94">
        <f t="shared" si="105"/>
        <v>-3.5558862780284519</v>
      </c>
      <c r="BI127" s="39">
        <v>0.33333333333333298</v>
      </c>
      <c r="BK127" s="39">
        <v>0.33333333333333298</v>
      </c>
      <c r="BL127" s="38">
        <v>60</v>
      </c>
      <c r="BM127" s="38">
        <f t="shared" si="106"/>
        <v>23.5820196394737</v>
      </c>
      <c r="BN127" s="38">
        <f t="shared" si="107"/>
        <v>109.54442448396416</v>
      </c>
      <c r="BP127">
        <f t="shared" si="108"/>
        <v>6.6417980360526299</v>
      </c>
      <c r="BQ127">
        <f t="shared" si="109"/>
        <v>-19.544424483964164</v>
      </c>
      <c r="BR127" s="94">
        <f t="shared" si="110"/>
        <v>6.2591135034701519</v>
      </c>
      <c r="BS127" s="94">
        <f t="shared" si="111"/>
        <v>-2.2219314351235444</v>
      </c>
      <c r="BT127" s="39">
        <v>0.33333333333333298</v>
      </c>
      <c r="BV127" s="39">
        <v>0.33333333333333298</v>
      </c>
      <c r="BW127" s="38">
        <v>60</v>
      </c>
      <c r="BX127" s="38">
        <f t="shared" si="112"/>
        <v>29.88984365984685</v>
      </c>
      <c r="BY127" s="38">
        <f t="shared" si="113"/>
        <v>98.178925560955776</v>
      </c>
      <c r="CA127">
        <f t="shared" si="114"/>
        <v>6.0110156340153154</v>
      </c>
      <c r="CB127">
        <f t="shared" si="115"/>
        <v>-8.1789255609557756</v>
      </c>
      <c r="CC127" s="94">
        <f t="shared" si="116"/>
        <v>5.9498753428282356</v>
      </c>
      <c r="CD127" s="94">
        <f t="shared" si="117"/>
        <v>-0.85515633493597176</v>
      </c>
      <c r="CE127" s="39">
        <v>0.33333333333333298</v>
      </c>
      <c r="CG127" s="39">
        <v>0.33333333333333298</v>
      </c>
      <c r="CH127" s="38">
        <v>60</v>
      </c>
      <c r="CI127" s="38">
        <f t="shared" si="118"/>
        <v>34.421688460547578</v>
      </c>
      <c r="CJ127" s="38">
        <f t="shared" si="119"/>
        <v>87.389663704152156</v>
      </c>
      <c r="CL127">
        <f t="shared" si="120"/>
        <v>5.5578311539452425</v>
      </c>
      <c r="CM127">
        <f t="shared" si="121"/>
        <v>2.6103362958478442</v>
      </c>
      <c r="CN127" s="94">
        <f t="shared" si="122"/>
        <v>5.5520641812898193</v>
      </c>
      <c r="CO127" s="94">
        <f t="shared" si="123"/>
        <v>0.25312143844983037</v>
      </c>
      <c r="CP127" s="39">
        <v>0.33333333333333298</v>
      </c>
      <c r="CR127" s="39">
        <v>0.33333333333333298</v>
      </c>
      <c r="CS127" s="38">
        <v>60</v>
      </c>
      <c r="CT127" s="38">
        <f t="shared" si="124"/>
        <v>36.350375327550033</v>
      </c>
      <c r="CU127" s="38">
        <f t="shared" si="125"/>
        <v>81.455117320378122</v>
      </c>
      <c r="CW127">
        <f t="shared" si="126"/>
        <v>5.3649624672449967</v>
      </c>
      <c r="CX127">
        <f t="shared" si="127"/>
        <v>8.5448826796218782</v>
      </c>
      <c r="CY127" s="94">
        <f t="shared" si="128"/>
        <v>5.3054101678542844</v>
      </c>
      <c r="CZ127" s="94">
        <f t="shared" si="129"/>
        <v>0.79714818307256552</v>
      </c>
      <c r="DA127" s="39">
        <v>0.33333333333333298</v>
      </c>
      <c r="DC127" s="39">
        <v>0.33333333333333298</v>
      </c>
      <c r="DD127" s="38">
        <v>60</v>
      </c>
      <c r="DE127" s="38">
        <f t="shared" si="130"/>
        <v>11.973998043852726</v>
      </c>
      <c r="DF127" s="38">
        <f t="shared" si="131"/>
        <v>125.69140900534735</v>
      </c>
      <c r="DH127">
        <f t="shared" si="132"/>
        <v>7.802600195614728</v>
      </c>
      <c r="DI127">
        <f t="shared" si="133"/>
        <v>-35.691409005347353</v>
      </c>
      <c r="DJ127" s="94">
        <f t="shared" si="134"/>
        <v>6.3370457173808656</v>
      </c>
      <c r="DK127" s="94">
        <f t="shared" si="135"/>
        <v>-4.5521886371757292</v>
      </c>
      <c r="DL127" s="39">
        <v>0.33333333333333298</v>
      </c>
    </row>
    <row r="128" spans="1:116" x14ac:dyDescent="0.25">
      <c r="A128">
        <v>-3.6</v>
      </c>
      <c r="B128">
        <f t="shared" si="16"/>
        <v>8.2486362509205122</v>
      </c>
      <c r="C128">
        <f t="shared" si="17"/>
        <v>-8.2486362509205122</v>
      </c>
      <c r="D128">
        <f t="shared" si="20"/>
        <v>7.1442284397967004</v>
      </c>
      <c r="E128">
        <f t="shared" si="21"/>
        <v>-7.1442284397967004</v>
      </c>
      <c r="F128">
        <f t="shared" si="24"/>
        <v>6.0033324079214534</v>
      </c>
      <c r="G128">
        <f t="shared" si="25"/>
        <v>-6.0033324079214534</v>
      </c>
      <c r="H128">
        <f t="shared" si="74"/>
        <v>4.8</v>
      </c>
      <c r="I128">
        <f t="shared" si="75"/>
        <v>-4.8</v>
      </c>
      <c r="J128">
        <f t="shared" si="90"/>
        <v>3.4698703145794942</v>
      </c>
      <c r="K128">
        <f t="shared" si="91"/>
        <v>-3.4698703145794942</v>
      </c>
      <c r="L128">
        <f t="shared" si="92"/>
        <v>1.7435595774162691</v>
      </c>
      <c r="M128">
        <f t="shared" si="93"/>
        <v>-1.7435595774162691</v>
      </c>
      <c r="U128" s="94"/>
      <c r="AA128" s="55">
        <v>0.375</v>
      </c>
      <c r="AB128" s="102">
        <f>IF('Control Solar 2do Sem'!$N$8="si",IF(Isorreq!N13=-1,0,"si"),0)</f>
        <v>0</v>
      </c>
      <c r="AC128" s="55">
        <v>0.375</v>
      </c>
      <c r="AD128" s="102">
        <f>IF('Control Solar 2do Sem'!$N$8="si",IF(Isorreq!M13=-1,0,"si"),0)</f>
        <v>0</v>
      </c>
      <c r="AE128" s="55">
        <v>0.375</v>
      </c>
      <c r="AF128" s="102">
        <f>IF('Control Solar 2do Sem'!$N$8="si",IF(Isorreq!L13=-1,0,"si"),0)</f>
        <v>0</v>
      </c>
      <c r="AG128" s="55">
        <v>0.375</v>
      </c>
      <c r="AH128" s="102" t="str">
        <f>IF('Control Solar 2do Sem'!$N$8="si",IF(Isorreq!K13=-1,0,"si"),0)</f>
        <v>si</v>
      </c>
      <c r="AI128" s="55">
        <v>0.375</v>
      </c>
      <c r="AJ128" s="102" t="str">
        <f>IF('Control Solar 2do Sem'!$N$8="si",IF(Isorreq!J13=-1,0,"si"),0)</f>
        <v>si</v>
      </c>
      <c r="AK128" s="55">
        <v>0.375</v>
      </c>
      <c r="AL128" s="102" t="str">
        <f>IF('Control Solar 2do Sem'!$N$8="si",IF(Isorreq!I13=-1,0,"si"),0)</f>
        <v>si</v>
      </c>
      <c r="AO128" s="39">
        <v>0.375</v>
      </c>
      <c r="AP128" s="38">
        <v>45</v>
      </c>
      <c r="AQ128" s="38">
        <f t="shared" si="94"/>
        <v>22.930756425404709</v>
      </c>
      <c r="AR128" s="38">
        <f t="shared" si="95"/>
        <v>134.65671961264201</v>
      </c>
      <c r="AT128">
        <f t="shared" si="96"/>
        <v>6.7069243574595294</v>
      </c>
      <c r="AU128">
        <f t="shared" si="97"/>
        <v>-44.656719612642007</v>
      </c>
      <c r="AV128" s="94">
        <f t="shared" si="98"/>
        <v>4.770840561015433</v>
      </c>
      <c r="AW128" s="94">
        <f t="shared" si="99"/>
        <v>-4.7140125878124115</v>
      </c>
      <c r="AX128" s="39">
        <v>0.375</v>
      </c>
      <c r="AZ128" s="39">
        <v>0.375</v>
      </c>
      <c r="BA128" s="38">
        <v>45</v>
      </c>
      <c r="BB128" s="38">
        <f t="shared" si="100"/>
        <v>27.847371205928958</v>
      </c>
      <c r="BC128" s="38">
        <f t="shared" si="101"/>
        <v>129.54363287993408</v>
      </c>
      <c r="BE128">
        <f t="shared" si="102"/>
        <v>6.2152628794071045</v>
      </c>
      <c r="BF128">
        <f t="shared" si="103"/>
        <v>-39.54363287993408</v>
      </c>
      <c r="BG128" s="94">
        <f t="shared" si="104"/>
        <v>4.792837582647314</v>
      </c>
      <c r="BH128" s="94">
        <f t="shared" si="105"/>
        <v>-3.9570444231142194</v>
      </c>
      <c r="BI128" s="39">
        <v>0.375</v>
      </c>
      <c r="BK128" s="39">
        <v>0.375</v>
      </c>
      <c r="BL128" s="38">
        <v>45</v>
      </c>
      <c r="BM128" s="38">
        <f t="shared" si="106"/>
        <v>35.49071849161092</v>
      </c>
      <c r="BN128" s="38">
        <f t="shared" si="107"/>
        <v>119.99048573125475</v>
      </c>
      <c r="BP128">
        <f t="shared" si="108"/>
        <v>5.4509281508389078</v>
      </c>
      <c r="BQ128">
        <f t="shared" si="109"/>
        <v>-29.990485731254751</v>
      </c>
      <c r="BR128" s="94">
        <f t="shared" si="110"/>
        <v>4.7210947655407791</v>
      </c>
      <c r="BS128" s="94">
        <f t="shared" si="111"/>
        <v>-2.7246801501078113</v>
      </c>
      <c r="BT128" s="39">
        <v>0.375</v>
      </c>
      <c r="BV128" s="39">
        <v>0.375</v>
      </c>
      <c r="BW128" s="38">
        <v>45</v>
      </c>
      <c r="BX128" s="38">
        <f t="shared" si="112"/>
        <v>42.663463448393529</v>
      </c>
      <c r="BY128" s="38">
        <f t="shared" si="113"/>
        <v>107.66062257112267</v>
      </c>
      <c r="CA128">
        <f t="shared" si="114"/>
        <v>4.733653655160647</v>
      </c>
      <c r="CB128">
        <f t="shared" si="115"/>
        <v>-17.660622571122673</v>
      </c>
      <c r="CC128" s="94">
        <f t="shared" si="116"/>
        <v>4.5105575419044515</v>
      </c>
      <c r="CD128" s="94">
        <f t="shared" si="117"/>
        <v>-1.4360875976710545</v>
      </c>
      <c r="CE128" s="39">
        <v>0.375</v>
      </c>
      <c r="CG128" s="39">
        <v>0.375</v>
      </c>
      <c r="CH128" s="38">
        <v>45</v>
      </c>
      <c r="CI128" s="38">
        <f t="shared" si="118"/>
        <v>47.519261224452976</v>
      </c>
      <c r="CJ128" s="38">
        <f t="shared" si="119"/>
        <v>94.944817071916091</v>
      </c>
      <c r="CL128">
        <f t="shared" si="120"/>
        <v>4.2480738775547024</v>
      </c>
      <c r="CM128">
        <f t="shared" si="121"/>
        <v>-4.9448170719160913</v>
      </c>
      <c r="CN128" s="94">
        <f t="shared" si="122"/>
        <v>4.2322633019278983</v>
      </c>
      <c r="CO128" s="94">
        <f t="shared" si="123"/>
        <v>-0.36616801105094599</v>
      </c>
      <c r="CP128" s="39">
        <v>0.375</v>
      </c>
      <c r="CR128" s="39">
        <v>0.375</v>
      </c>
      <c r="CS128" s="38">
        <v>45</v>
      </c>
      <c r="CT128" s="38">
        <f t="shared" si="124"/>
        <v>49.392241958613631</v>
      </c>
      <c r="CU128" s="38">
        <f t="shared" si="125"/>
        <v>87.614133955275165</v>
      </c>
      <c r="CW128">
        <f t="shared" si="126"/>
        <v>4.060775804138637</v>
      </c>
      <c r="CX128">
        <f t="shared" si="127"/>
        <v>2.3858660447248354</v>
      </c>
      <c r="CY128" s="94">
        <f t="shared" si="128"/>
        <v>4.0572556384225589</v>
      </c>
      <c r="CZ128" s="94">
        <f t="shared" si="129"/>
        <v>0.16904678632304351</v>
      </c>
      <c r="DA128" s="39">
        <v>0.375</v>
      </c>
      <c r="DC128" s="39">
        <v>0.375</v>
      </c>
      <c r="DD128" s="38">
        <v>45</v>
      </c>
      <c r="DE128" s="38">
        <f t="shared" si="130"/>
        <v>21.932757611792816</v>
      </c>
      <c r="DF128" s="38">
        <f t="shared" si="131"/>
        <v>135.62743572218571</v>
      </c>
      <c r="DH128">
        <f t="shared" si="132"/>
        <v>6.8067242388207188</v>
      </c>
      <c r="DI128">
        <f t="shared" si="133"/>
        <v>-45.627435722185709</v>
      </c>
      <c r="DJ128" s="94">
        <f t="shared" si="134"/>
        <v>4.7600861515158286</v>
      </c>
      <c r="DK128" s="94">
        <f t="shared" si="135"/>
        <v>-4.8654984013456133</v>
      </c>
      <c r="DL128" s="39">
        <v>0.375</v>
      </c>
    </row>
    <row r="129" spans="1:116" x14ac:dyDescent="0.25">
      <c r="A129">
        <v>-3.7</v>
      </c>
      <c r="B129">
        <f t="shared" si="16"/>
        <v>8.2042671823874684</v>
      </c>
      <c r="C129">
        <f t="shared" si="17"/>
        <v>-8.2042671823874684</v>
      </c>
      <c r="D129">
        <f t="shared" si="20"/>
        <v>7.0929542505221335</v>
      </c>
      <c r="E129">
        <f t="shared" si="21"/>
        <v>-7.0929542505221335</v>
      </c>
      <c r="F129">
        <f t="shared" si="24"/>
        <v>5.9422218066982317</v>
      </c>
      <c r="G129">
        <f t="shared" si="25"/>
        <v>-5.9422218066982317</v>
      </c>
      <c r="H129">
        <f t="shared" si="74"/>
        <v>4.7233462714478174</v>
      </c>
      <c r="I129">
        <f t="shared" si="75"/>
        <v>-4.7233462714478174</v>
      </c>
      <c r="J129">
        <f t="shared" si="90"/>
        <v>3.363034344160047</v>
      </c>
      <c r="K129">
        <f t="shared" si="91"/>
        <v>-3.363034344160047</v>
      </c>
      <c r="L129">
        <f t="shared" si="92"/>
        <v>1.5198684153570658</v>
      </c>
      <c r="M129">
        <f t="shared" si="93"/>
        <v>-1.5198684153570658</v>
      </c>
      <c r="U129" s="94"/>
      <c r="AA129" s="55">
        <v>0.41666666666666602</v>
      </c>
      <c r="AB129" s="102">
        <f>IF('Control Solar 2do Sem'!$N$8="si",IF(Isorreq!N14=-1,0,"si"),0)</f>
        <v>0</v>
      </c>
      <c r="AC129" s="55">
        <v>0.41666666666666602</v>
      </c>
      <c r="AD129" s="102">
        <f>IF('Control Solar 2do Sem'!$N$8="si",IF(Isorreq!M14=-1,0,"si"),0)</f>
        <v>0</v>
      </c>
      <c r="AE129" s="55">
        <v>0.41666666666666602</v>
      </c>
      <c r="AF129" s="102" t="str">
        <f>IF('Control Solar 2do Sem'!$N$8="si",IF(Isorreq!L14=-1,0,"si"),0)</f>
        <v>si</v>
      </c>
      <c r="AG129" s="55">
        <v>0.41666666666666602</v>
      </c>
      <c r="AH129" s="102" t="str">
        <f>IF('Control Solar 2do Sem'!$N$8="si",IF(Isorreq!K14=-1,0,"si"),0)</f>
        <v>si</v>
      </c>
      <c r="AI129" s="55">
        <v>0.41666666666666602</v>
      </c>
      <c r="AJ129" s="102" t="str">
        <f>IF('Control Solar 2do Sem'!$N$8="si",IF(Isorreq!J14=-1,0,"si"),0)</f>
        <v>si</v>
      </c>
      <c r="AK129" s="55">
        <v>0.41666666666666602</v>
      </c>
      <c r="AL129" s="102" t="str">
        <f>IF('Control Solar 2do Sem'!$N$8="si",IF(Isorreq!I14=-1,0,"si"),0)</f>
        <v>si</v>
      </c>
      <c r="AO129" s="39">
        <v>0.41666666666666602</v>
      </c>
      <c r="AP129" s="38">
        <v>30</v>
      </c>
      <c r="AQ129" s="38">
        <f t="shared" si="94"/>
        <v>31.217808683018777</v>
      </c>
      <c r="AR129" s="38">
        <f t="shared" si="95"/>
        <v>147.20252877534776</v>
      </c>
      <c r="AT129">
        <f t="shared" si="96"/>
        <v>5.8782191316981223</v>
      </c>
      <c r="AU129">
        <f t="shared" si="97"/>
        <v>-57.202528775347758</v>
      </c>
      <c r="AV129" s="94">
        <f t="shared" si="98"/>
        <v>3.1840614875621545</v>
      </c>
      <c r="AW129" s="94">
        <f t="shared" si="99"/>
        <v>-4.9411752249525929</v>
      </c>
      <c r="AX129" s="39">
        <v>0.41666666666666602</v>
      </c>
      <c r="AZ129" s="39">
        <v>0.41666666666666602</v>
      </c>
      <c r="BA129" s="38">
        <v>30</v>
      </c>
      <c r="BB129" s="38">
        <f t="shared" si="100"/>
        <v>36.94444539822846</v>
      </c>
      <c r="BC129" s="38">
        <f t="shared" si="101"/>
        <v>142.89664703004638</v>
      </c>
      <c r="BE129">
        <f t="shared" si="102"/>
        <v>5.3055554601771542</v>
      </c>
      <c r="BF129">
        <f t="shared" si="103"/>
        <v>-52.896647030046381</v>
      </c>
      <c r="BG129" s="94">
        <f t="shared" si="104"/>
        <v>3.2006010638105553</v>
      </c>
      <c r="BH129" s="94">
        <f t="shared" si="105"/>
        <v>-4.2314384754301173</v>
      </c>
      <c r="BI129" s="39">
        <v>0.41666666666666602</v>
      </c>
      <c r="BK129" s="39">
        <v>0.41666666666666602</v>
      </c>
      <c r="BL129" s="38">
        <v>30</v>
      </c>
      <c r="BM129" s="38">
        <f t="shared" si="106"/>
        <v>45.978655929743674</v>
      </c>
      <c r="BN129" s="38">
        <f t="shared" si="107"/>
        <v>134.1470799889712</v>
      </c>
      <c r="BP129">
        <f t="shared" si="108"/>
        <v>4.402134407025633</v>
      </c>
      <c r="BQ129">
        <f t="shared" si="109"/>
        <v>-44.1470799889712</v>
      </c>
      <c r="BR129" s="94">
        <f t="shared" si="110"/>
        <v>3.1587701351887114</v>
      </c>
      <c r="BS129" s="94">
        <f t="shared" si="111"/>
        <v>-3.0660982649874109</v>
      </c>
      <c r="BT129" s="39">
        <v>0.41666666666666602</v>
      </c>
      <c r="BV129" s="39">
        <v>0.41666666666666602</v>
      </c>
      <c r="BW129" s="38">
        <v>30</v>
      </c>
      <c r="BX129" s="38">
        <f t="shared" si="112"/>
        <v>54.618641174592703</v>
      </c>
      <c r="BY129" s="38">
        <f t="shared" si="113"/>
        <v>121.16307222620452</v>
      </c>
      <c r="CA129">
        <f t="shared" si="114"/>
        <v>3.5381358825407299</v>
      </c>
      <c r="CB129">
        <f t="shared" si="115"/>
        <v>-31.16307222620452</v>
      </c>
      <c r="CC129" s="94">
        <f t="shared" si="116"/>
        <v>3.027575645251392</v>
      </c>
      <c r="CD129" s="94">
        <f t="shared" si="117"/>
        <v>-1.8308990238685714</v>
      </c>
      <c r="CE129" s="39">
        <v>0.41666666666666602</v>
      </c>
      <c r="CG129" s="39">
        <v>0.41666666666666602</v>
      </c>
      <c r="CH129" s="38">
        <v>30</v>
      </c>
      <c r="CI129" s="38">
        <f t="shared" si="118"/>
        <v>60.418849938512295</v>
      </c>
      <c r="CJ129" s="38">
        <f t="shared" si="119"/>
        <v>105.47388867741584</v>
      </c>
      <c r="CL129">
        <f t="shared" si="120"/>
        <v>2.9581150061487707</v>
      </c>
      <c r="CM129">
        <f t="shared" si="121"/>
        <v>-15.473888677415843</v>
      </c>
      <c r="CN129" s="94">
        <f t="shared" si="122"/>
        <v>2.8508896713723404</v>
      </c>
      <c r="CO129" s="94">
        <f t="shared" si="123"/>
        <v>-0.78922270067773015</v>
      </c>
      <c r="CP129" s="39">
        <v>0.41666666666666602</v>
      </c>
      <c r="CR129" s="39">
        <v>0.41666666666666602</v>
      </c>
      <c r="CS129" s="38">
        <v>30</v>
      </c>
      <c r="CT129" s="38">
        <f t="shared" si="124"/>
        <v>62.487949611154917</v>
      </c>
      <c r="CU129" s="38">
        <f t="shared" si="125"/>
        <v>95.458320455047897</v>
      </c>
      <c r="CW129">
        <f t="shared" si="126"/>
        <v>2.7512050388845086</v>
      </c>
      <c r="CX129">
        <f t="shared" si="127"/>
        <v>-5.4583204550478968</v>
      </c>
      <c r="CY129" s="94">
        <f t="shared" si="128"/>
        <v>2.7387301330387381</v>
      </c>
      <c r="CZ129" s="94">
        <f t="shared" si="129"/>
        <v>-0.2616991103712919</v>
      </c>
      <c r="DA129" s="39">
        <v>0.41666666666666602</v>
      </c>
      <c r="DC129" s="39">
        <v>0.41666666666666602</v>
      </c>
      <c r="DD129" s="38">
        <v>30</v>
      </c>
      <c r="DE129" s="38">
        <f t="shared" si="130"/>
        <v>30.061756873161897</v>
      </c>
      <c r="DF129" s="38">
        <f t="shared" si="131"/>
        <v>147.99477629228704</v>
      </c>
      <c r="DH129">
        <f t="shared" si="132"/>
        <v>5.9938243126838104</v>
      </c>
      <c r="DI129">
        <f t="shared" si="133"/>
        <v>-57.994776292287042</v>
      </c>
      <c r="DJ129" s="94">
        <f t="shared" si="134"/>
        <v>3.1767063828743427</v>
      </c>
      <c r="DK129" s="94">
        <f t="shared" si="135"/>
        <v>-5.0827616950162993</v>
      </c>
      <c r="DL129" s="39">
        <v>0.41666666666666602</v>
      </c>
    </row>
    <row r="130" spans="1:116" x14ac:dyDescent="0.25">
      <c r="A130">
        <v>-3.8</v>
      </c>
      <c r="B130">
        <f t="shared" ref="B130:B182" si="136">+SQRT(81-A130^2)</f>
        <v>8.1584312217484563</v>
      </c>
      <c r="C130">
        <f t="shared" ref="C130:C182" si="137">-B130</f>
        <v>-8.1584312217484563</v>
      </c>
      <c r="D130">
        <f t="shared" si="20"/>
        <v>7.0398863627192165</v>
      </c>
      <c r="E130">
        <f t="shared" si="21"/>
        <v>-7.0398863627192165</v>
      </c>
      <c r="F130">
        <f t="shared" si="24"/>
        <v>5.8787753826796276</v>
      </c>
      <c r="G130">
        <f t="shared" si="25"/>
        <v>-5.8787753826796276</v>
      </c>
      <c r="H130">
        <f t="shared" si="74"/>
        <v>4.6432747064975599</v>
      </c>
      <c r="I130">
        <f t="shared" si="75"/>
        <v>-4.6432747064975599</v>
      </c>
      <c r="J130">
        <f t="shared" si="90"/>
        <v>3.2496153618543842</v>
      </c>
      <c r="K130">
        <f t="shared" si="91"/>
        <v>-3.2496153618543842</v>
      </c>
      <c r="L130">
        <f t="shared" si="92"/>
        <v>1.2489995996796799</v>
      </c>
      <c r="M130">
        <f t="shared" si="93"/>
        <v>-1.2489995996796799</v>
      </c>
      <c r="U130" s="94"/>
      <c r="AA130" s="55">
        <v>0.45833333333333298</v>
      </c>
      <c r="AB130" s="102">
        <f>IF('Control Solar 2do Sem'!$N$8="si",IF(Isorreq!N15=-1,0,"si"),0)</f>
        <v>0</v>
      </c>
      <c r="AC130" s="55">
        <v>0.45833333333333298</v>
      </c>
      <c r="AD130" s="102" t="str">
        <f>IF('Control Solar 2do Sem'!$N$8="si",IF(Isorreq!M15=-1,0,"si"),0)</f>
        <v>si</v>
      </c>
      <c r="AE130" s="55">
        <v>0.45833333333333298</v>
      </c>
      <c r="AF130" s="102" t="str">
        <f>IF('Control Solar 2do Sem'!$N$8="si",IF(Isorreq!L15=-1,0,"si"),0)</f>
        <v>si</v>
      </c>
      <c r="AG130" s="55">
        <v>0.45833333333333298</v>
      </c>
      <c r="AH130" s="102" t="str">
        <f>IF('Control Solar 2do Sem'!$N$8="si",IF(Isorreq!K15=-1,0,"si"),0)</f>
        <v>si</v>
      </c>
      <c r="AI130" s="55">
        <v>0.45833333333333298</v>
      </c>
      <c r="AJ130" s="102" t="str">
        <f>IF('Control Solar 2do Sem'!$N$8="si",IF(Isorreq!J15=-1,0,"si"),0)</f>
        <v>si</v>
      </c>
      <c r="AK130" s="55">
        <v>0.45833333333333298</v>
      </c>
      <c r="AL130" s="102" t="str">
        <f>IF('Control Solar 2do Sem'!$N$8="si",IF(Isorreq!I15=-1,0,"si"),0)</f>
        <v>si</v>
      </c>
      <c r="AO130" s="39">
        <v>0.45833333333333298</v>
      </c>
      <c r="AP130" s="38">
        <v>15</v>
      </c>
      <c r="AQ130" s="38">
        <f t="shared" si="94"/>
        <v>36.811263360071692</v>
      </c>
      <c r="AR130" s="38">
        <f t="shared" si="95"/>
        <v>162.5719521238546</v>
      </c>
      <c r="AT130">
        <f t="shared" si="96"/>
        <v>5.3188736639928305</v>
      </c>
      <c r="AU130">
        <f t="shared" si="97"/>
        <v>-72.571952123854601</v>
      </c>
      <c r="AV130" s="94">
        <f t="shared" si="98"/>
        <v>1.5930445940412605</v>
      </c>
      <c r="AW130" s="94">
        <f t="shared" si="99"/>
        <v>-5.0747045209462618</v>
      </c>
      <c r="AX130" s="39">
        <v>0.45833333333333298</v>
      </c>
      <c r="AZ130" s="39">
        <v>0.45833333333333298</v>
      </c>
      <c r="BA130" s="38">
        <v>15</v>
      </c>
      <c r="BB130" s="38">
        <f t="shared" si="100"/>
        <v>43.2535093097095</v>
      </c>
      <c r="BC130" s="38">
        <f t="shared" si="101"/>
        <v>159.96090838605289</v>
      </c>
      <c r="BE130">
        <f t="shared" si="102"/>
        <v>4.6746490690290496</v>
      </c>
      <c r="BF130">
        <f t="shared" si="103"/>
        <v>-69.960908386052893</v>
      </c>
      <c r="BG130" s="94">
        <f t="shared" si="104"/>
        <v>1.6018208347188778</v>
      </c>
      <c r="BH130" s="94">
        <f t="shared" si="105"/>
        <v>-4.3916413710632929</v>
      </c>
      <c r="BI130" s="39">
        <v>0.45833333333333298</v>
      </c>
      <c r="BK130" s="39">
        <v>0.45833333333333298</v>
      </c>
      <c r="BL130" s="38">
        <v>15</v>
      </c>
      <c r="BM130" s="38">
        <f t="shared" si="106"/>
        <v>53.721651477607679</v>
      </c>
      <c r="BN130" s="38">
        <f t="shared" si="107"/>
        <v>154.13665034646286</v>
      </c>
      <c r="BP130">
        <f t="shared" si="108"/>
        <v>3.6278348522392321</v>
      </c>
      <c r="BQ130">
        <f t="shared" si="109"/>
        <v>-64.136650346462858</v>
      </c>
      <c r="BR130" s="94">
        <f t="shared" si="110"/>
        <v>1.5825569006738294</v>
      </c>
      <c r="BS130" s="94">
        <f t="shared" si="111"/>
        <v>-3.2644600428327033</v>
      </c>
      <c r="BT130" s="39">
        <v>0.45833333333333298</v>
      </c>
      <c r="BV130" s="39">
        <v>0.45833333333333298</v>
      </c>
      <c r="BW130" s="38">
        <v>15</v>
      </c>
      <c r="BX130" s="38">
        <f t="shared" si="112"/>
        <v>64.399813806231478</v>
      </c>
      <c r="BY130" s="38">
        <f t="shared" si="113"/>
        <v>143.58998089453021</v>
      </c>
      <c r="CA130">
        <f t="shared" si="114"/>
        <v>2.5600186193768524</v>
      </c>
      <c r="CB130">
        <f t="shared" si="115"/>
        <v>-53.589980894530214</v>
      </c>
      <c r="CC130" s="94">
        <f t="shared" si="116"/>
        <v>1.519523695277962</v>
      </c>
      <c r="CD130" s="94">
        <f t="shared" si="117"/>
        <v>-2.0602774257475551</v>
      </c>
      <c r="CE130" s="39">
        <v>0.45833333333333298</v>
      </c>
      <c r="CG130" s="39">
        <v>0.45833333333333298</v>
      </c>
      <c r="CH130" s="38">
        <v>15</v>
      </c>
      <c r="CI130" s="38">
        <f t="shared" si="118"/>
        <v>72.313335780227064</v>
      </c>
      <c r="CJ130" s="38">
        <f t="shared" si="119"/>
        <v>125.84444444383482</v>
      </c>
      <c r="CL130">
        <f t="shared" si="120"/>
        <v>1.7686664219772936</v>
      </c>
      <c r="CM130">
        <f t="shared" si="121"/>
        <v>-35.844444443834817</v>
      </c>
      <c r="CN130" s="94">
        <f t="shared" si="122"/>
        <v>1.4336983739441382</v>
      </c>
      <c r="CO130" s="94">
        <f t="shared" si="123"/>
        <v>-1.0357074320385538</v>
      </c>
      <c r="CP130" s="39">
        <v>0.45833333333333298</v>
      </c>
      <c r="CR130" s="39">
        <v>0.45833333333333298</v>
      </c>
      <c r="CS130" s="38">
        <v>15</v>
      </c>
      <c r="CT130" s="38">
        <f t="shared" si="124"/>
        <v>75.286617836966144</v>
      </c>
      <c r="CU130" s="38">
        <f t="shared" si="125"/>
        <v>110.41519717198776</v>
      </c>
      <c r="CW130">
        <f t="shared" si="126"/>
        <v>1.4713382163033852</v>
      </c>
      <c r="CX130">
        <f t="shared" si="127"/>
        <v>-20.415197171987757</v>
      </c>
      <c r="CY130" s="94">
        <f t="shared" si="128"/>
        <v>1.3789227287883619</v>
      </c>
      <c r="CZ130" s="94">
        <f t="shared" si="129"/>
        <v>-0.51323313882258714</v>
      </c>
      <c r="DA130" s="39">
        <v>0.45833333333333298</v>
      </c>
      <c r="DC130" s="39">
        <v>0.45833333333333298</v>
      </c>
      <c r="DD130" s="38">
        <v>15</v>
      </c>
      <c r="DE130" s="38">
        <f t="shared" si="130"/>
        <v>35.522989333110019</v>
      </c>
      <c r="DF130" s="38">
        <f t="shared" si="131"/>
        <v>163.03777709301244</v>
      </c>
      <c r="DH130">
        <f t="shared" si="132"/>
        <v>5.4477010666889978</v>
      </c>
      <c r="DI130">
        <f t="shared" si="133"/>
        <v>-73.037777093012437</v>
      </c>
      <c r="DJ130" s="94">
        <f t="shared" si="134"/>
        <v>1.5893183907474926</v>
      </c>
      <c r="DK130" s="94">
        <f t="shared" si="135"/>
        <v>-5.2107114643622561</v>
      </c>
      <c r="DL130" s="39">
        <v>0.45833333333333298</v>
      </c>
    </row>
    <row r="131" spans="1:116" x14ac:dyDescent="0.25">
      <c r="A131">
        <v>-3.9</v>
      </c>
      <c r="B131">
        <f t="shared" si="136"/>
        <v>8.1111035007574657</v>
      </c>
      <c r="C131">
        <f t="shared" si="137"/>
        <v>-8.1111035007574657</v>
      </c>
      <c r="D131">
        <f t="shared" si="20"/>
        <v>6.9849838940401288</v>
      </c>
      <c r="E131">
        <f t="shared" si="21"/>
        <v>-6.9849838940401288</v>
      </c>
      <c r="F131">
        <f t="shared" si="24"/>
        <v>5.8129166517334481</v>
      </c>
      <c r="G131">
        <f t="shared" si="25"/>
        <v>-5.8129166517334481</v>
      </c>
      <c r="H131">
        <f t="shared" si="74"/>
        <v>4.5596052460711993</v>
      </c>
      <c r="I131">
        <f t="shared" si="75"/>
        <v>-4.5596052460711993</v>
      </c>
      <c r="J131">
        <f t="shared" si="90"/>
        <v>3.1288975694324033</v>
      </c>
      <c r="K131">
        <f t="shared" si="91"/>
        <v>-3.1288975694324033</v>
      </c>
      <c r="L131">
        <f t="shared" si="92"/>
        <v>0.88881944173155936</v>
      </c>
      <c r="M131">
        <f t="shared" si="93"/>
        <v>-0.88881944173155936</v>
      </c>
      <c r="U131" s="94"/>
      <c r="AA131" s="55">
        <v>0.5</v>
      </c>
      <c r="AB131" s="102" t="str">
        <f>IF('Control Solar 2do Sem'!$N$8="si",IF(Isorreq!N16=-1,0,"si"),0)</f>
        <v>si</v>
      </c>
      <c r="AC131" s="55">
        <v>0.5</v>
      </c>
      <c r="AD131" s="102" t="str">
        <f>IF('Control Solar 2do Sem'!$N$8="si",IF(Isorreq!M16=-1,0,"si"),0)</f>
        <v>si</v>
      </c>
      <c r="AE131" s="55">
        <v>0.5</v>
      </c>
      <c r="AF131" s="102" t="str">
        <f>IF('Control Solar 2do Sem'!$N$8="si",IF(Isorreq!L16=-1,0,"si"),0)</f>
        <v>si</v>
      </c>
      <c r="AG131" s="55">
        <v>0.5</v>
      </c>
      <c r="AH131" s="102" t="str">
        <f>IF('Control Solar 2do Sem'!$N$8="si",IF(Isorreq!K16=-1,0,"si"),0)</f>
        <v>si</v>
      </c>
      <c r="AI131" s="55">
        <v>0.5</v>
      </c>
      <c r="AJ131" s="102" t="str">
        <f>IF('Control Solar 2do Sem'!$N$8="si",IF(Isorreq!J16=-1,0,"si"),0)</f>
        <v>si</v>
      </c>
      <c r="AK131" s="55">
        <v>0.5</v>
      </c>
      <c r="AL131" s="102" t="str">
        <f>IF('Control Solar 2do Sem'!$N$8="si",IF(Isorreq!I16=-1,0,"si"),0)</f>
        <v>si</v>
      </c>
      <c r="AO131" s="39">
        <v>0.5</v>
      </c>
      <c r="AP131" s="38">
        <v>0</v>
      </c>
      <c r="AQ131" s="38">
        <f t="shared" si="94"/>
        <v>38.812251187494631</v>
      </c>
      <c r="AR131" s="38">
        <f>+IF(AR117&gt;=-19,180,0)</f>
        <v>180</v>
      </c>
      <c r="AT131">
        <f t="shared" si="96"/>
        <v>5.1187748812505367</v>
      </c>
      <c r="AU131">
        <f t="shared" si="97"/>
        <v>-90</v>
      </c>
      <c r="AV131" s="94">
        <f t="shared" si="98"/>
        <v>3.135629568394575E-16</v>
      </c>
      <c r="AW131" s="94">
        <f t="shared" si="99"/>
        <v>-5.1187748812505367</v>
      </c>
      <c r="AX131" s="39">
        <v>0.5</v>
      </c>
      <c r="AZ131" s="39">
        <v>0.5</v>
      </c>
      <c r="BA131" s="38">
        <v>0</v>
      </c>
      <c r="BB131" s="38">
        <f t="shared" si="100"/>
        <v>45.556583423446973</v>
      </c>
      <c r="BC131" s="38">
        <f>+IF(BC117&gt;=-11,180,0)</f>
        <v>180</v>
      </c>
      <c r="BE131">
        <f t="shared" si="102"/>
        <v>4.4443416576553023</v>
      </c>
      <c r="BF131">
        <f t="shared" si="103"/>
        <v>-90</v>
      </c>
      <c r="BG131" s="94">
        <f t="shared" si="104"/>
        <v>2.7224891574812041E-16</v>
      </c>
      <c r="BH131" s="94">
        <f t="shared" si="105"/>
        <v>-4.4443416576553023</v>
      </c>
      <c r="BI131" s="39">
        <v>0.5</v>
      </c>
      <c r="BK131" s="39">
        <v>0.5</v>
      </c>
      <c r="BL131" s="38">
        <v>0</v>
      </c>
      <c r="BM131" s="38">
        <f t="shared" si="106"/>
        <v>56.704473564735594</v>
      </c>
      <c r="BN131" s="38">
        <f>+IF(BN117&gt;=0,180,0)</f>
        <v>180</v>
      </c>
      <c r="BP131">
        <f t="shared" si="108"/>
        <v>3.3295526435264406</v>
      </c>
      <c r="BQ131">
        <f t="shared" si="109"/>
        <v>-90</v>
      </c>
      <c r="BR131" s="94">
        <f t="shared" si="110"/>
        <v>2.0395981383766651E-16</v>
      </c>
      <c r="BS131" s="94">
        <f t="shared" si="111"/>
        <v>-3.3295526435264406</v>
      </c>
      <c r="BT131" s="39">
        <v>0.5</v>
      </c>
      <c r="BV131" s="39">
        <v>0.5</v>
      </c>
      <c r="BW131" s="38">
        <v>0</v>
      </c>
      <c r="BX131" s="38">
        <f t="shared" si="112"/>
        <v>68.644628908165231</v>
      </c>
      <c r="BY131" s="38">
        <f>IF(BY117&lt;12,0,180)</f>
        <v>180</v>
      </c>
      <c r="CA131">
        <f t="shared" si="114"/>
        <v>2.1355371091834767</v>
      </c>
      <c r="CB131">
        <f t="shared" si="115"/>
        <v>-90</v>
      </c>
      <c r="CC131" s="94">
        <f t="shared" si="116"/>
        <v>1.3081749948580787E-16</v>
      </c>
      <c r="CD131" s="94">
        <f t="shared" si="117"/>
        <v>-2.1355371091834767</v>
      </c>
      <c r="CE131" s="39">
        <v>0.5</v>
      </c>
      <c r="CG131" s="39">
        <v>0.5</v>
      </c>
      <c r="CH131" s="38">
        <v>0</v>
      </c>
      <c r="CI131" s="38">
        <f t="shared" si="118"/>
        <v>78.833187969938209</v>
      </c>
      <c r="CJ131" s="38">
        <f>IF(CJ117&lt;20,0,180)</f>
        <v>180</v>
      </c>
      <c r="CL131">
        <f t="shared" si="120"/>
        <v>1.1166812030061788</v>
      </c>
      <c r="CM131">
        <f t="shared" si="121"/>
        <v>-90</v>
      </c>
      <c r="CN131" s="94">
        <f t="shared" si="122"/>
        <v>6.8405012524425953E-17</v>
      </c>
      <c r="CO131" s="94">
        <f t="shared" si="123"/>
        <v>-1.1166812030061788</v>
      </c>
      <c r="CP131" s="39">
        <v>0.5</v>
      </c>
      <c r="CR131" s="39">
        <v>0.5</v>
      </c>
      <c r="CS131" s="38">
        <v>0</v>
      </c>
      <c r="CT131" s="38">
        <f t="shared" si="124"/>
        <v>84.040484116651811</v>
      </c>
      <c r="CU131" s="38">
        <f>IF(CU117&lt;23.45,0,180)</f>
        <v>180</v>
      </c>
      <c r="CW131">
        <f t="shared" si="126"/>
        <v>0.59595158833481854</v>
      </c>
      <c r="CX131">
        <f t="shared" si="127"/>
        <v>-90</v>
      </c>
      <c r="CY131" s="94">
        <f t="shared" si="128"/>
        <v>3.6506458382437044E-17</v>
      </c>
      <c r="CZ131" s="94">
        <f t="shared" si="129"/>
        <v>-0.59595158833481854</v>
      </c>
      <c r="DA131" s="39">
        <v>0.5</v>
      </c>
      <c r="DC131" s="39">
        <v>0.5</v>
      </c>
      <c r="DD131" s="38">
        <v>0</v>
      </c>
      <c r="DE131" s="38">
        <f t="shared" si="130"/>
        <v>37.47021715318634</v>
      </c>
      <c r="DF131" s="38">
        <f>+IF(DF117&gt;=-23,180,0)</f>
        <v>180</v>
      </c>
      <c r="DH131">
        <f t="shared" si="132"/>
        <v>5.2529782846813662</v>
      </c>
      <c r="DI131">
        <f t="shared" si="133"/>
        <v>-90</v>
      </c>
      <c r="DJ131" s="94">
        <f t="shared" si="134"/>
        <v>3.2178391145729545E-16</v>
      </c>
      <c r="DK131" s="94">
        <f t="shared" si="135"/>
        <v>-5.2529782846813662</v>
      </c>
      <c r="DL131" s="39">
        <v>0.5</v>
      </c>
    </row>
    <row r="132" spans="1:116" x14ac:dyDescent="0.25">
      <c r="A132">
        <v>-4</v>
      </c>
      <c r="B132">
        <f t="shared" si="136"/>
        <v>8.0622577482985491</v>
      </c>
      <c r="C132">
        <f t="shared" si="137"/>
        <v>-8.0622577482985491</v>
      </c>
      <c r="D132">
        <f t="shared" si="20"/>
        <v>6.9282032302755088</v>
      </c>
      <c r="E132">
        <f t="shared" si="21"/>
        <v>-6.9282032302755088</v>
      </c>
      <c r="F132">
        <f t="shared" si="24"/>
        <v>5.7445626465380286</v>
      </c>
      <c r="G132">
        <f t="shared" si="25"/>
        <v>-5.7445626465380286</v>
      </c>
      <c r="H132">
        <f t="shared" si="74"/>
        <v>4.4721359549995796</v>
      </c>
      <c r="I132">
        <f t="shared" si="75"/>
        <v>-4.4721359549995796</v>
      </c>
      <c r="J132">
        <f t="shared" si="90"/>
        <v>3</v>
      </c>
      <c r="K132">
        <f t="shared" si="91"/>
        <v>-3</v>
      </c>
      <c r="L132">
        <f t="shared" si="92"/>
        <v>0</v>
      </c>
      <c r="M132">
        <f t="shared" si="93"/>
        <v>0</v>
      </c>
      <c r="U132" s="94"/>
      <c r="AA132" s="55">
        <v>0.54166666666666596</v>
      </c>
      <c r="AB132" s="102" t="str">
        <f>IF('Control Solar 2do Sem'!$N$8="si",IF(Isorreq!N17=-1,0,"si"),0)</f>
        <v>si</v>
      </c>
      <c r="AC132" s="55">
        <v>0.54166666666666596</v>
      </c>
      <c r="AD132" s="102" t="str">
        <f>IF('Control Solar 2do Sem'!$N$8="si",IF(Isorreq!M17=-1,0,"si"),0)</f>
        <v>si</v>
      </c>
      <c r="AE132" s="55">
        <v>0.54166666666666596</v>
      </c>
      <c r="AF132" s="102" t="str">
        <f>IF('Control Solar 2do Sem'!$N$8="si",IF(Isorreq!L17=-1,0,"si"),0)</f>
        <v>si</v>
      </c>
      <c r="AG132" s="55">
        <v>0.54166666666666596</v>
      </c>
      <c r="AH132" s="102" t="str">
        <f>IF('Control Solar 2do Sem'!$N$8="si",IF(Isorreq!K17=-1,0,"si"),0)</f>
        <v>si</v>
      </c>
      <c r="AI132" s="55">
        <v>0.54166666666666596</v>
      </c>
      <c r="AJ132" s="102" t="str">
        <f>IF('Control Solar 2do Sem'!$N$8="si",IF(Isorreq!J17=-1,0,"si"),0)</f>
        <v>si</v>
      </c>
      <c r="AK132" s="55">
        <v>0.54166666666666596</v>
      </c>
      <c r="AL132" s="102" t="str">
        <f>IF('Control Solar 2do Sem'!$N$8="si",IF(Isorreq!I17=-1,0,"si"),0)</f>
        <v>si</v>
      </c>
      <c r="AO132" s="39">
        <v>0.54166666666666596</v>
      </c>
      <c r="AP132" s="38">
        <v>-15</v>
      </c>
      <c r="AQ132" s="38">
        <f t="shared" si="94"/>
        <v>36.811263360071692</v>
      </c>
      <c r="AR132" s="38">
        <f t="shared" ref="AR132:AR143" si="138">-(180-DEGREES(ACOS((((SIN(RADIANS(AQ132)))*SIN(RADIANS($AR$85)))-SIN(RADIANS($AQ$85)))/((COS(RADIANS(AQ132)))*COS(RADIANS($AR$85))))))</f>
        <v>-162.5719521238546</v>
      </c>
      <c r="AT132">
        <f t="shared" si="96"/>
        <v>5.3188736639928305</v>
      </c>
      <c r="AU132">
        <f t="shared" si="97"/>
        <v>252.5719521238546</v>
      </c>
      <c r="AV132" s="94">
        <f t="shared" si="98"/>
        <v>-1.5930445940412599</v>
      </c>
      <c r="AW132" s="94">
        <f t="shared" si="99"/>
        <v>-5.0747045209462627</v>
      </c>
      <c r="AX132" s="39">
        <v>0.54166666666666596</v>
      </c>
      <c r="AZ132" s="39">
        <v>0.54166666666666596</v>
      </c>
      <c r="BA132" s="38">
        <v>-15</v>
      </c>
      <c r="BB132" s="38">
        <f t="shared" si="100"/>
        <v>43.2535093097095</v>
      </c>
      <c r="BC132" s="38">
        <f t="shared" ref="BC132:BC143" si="139">-(180-DEGREES(ACOS((((SIN(RADIANS(BB132)))*SIN(RADIANS($BC$85)))-SIN(RADIANS($BB$85)))/((COS(RADIANS(BB132)))*COS(RADIANS($BC$85))))))</f>
        <v>-159.96090838605289</v>
      </c>
      <c r="BE132">
        <f t="shared" si="102"/>
        <v>4.6746490690290496</v>
      </c>
      <c r="BF132">
        <f t="shared" si="103"/>
        <v>249.96090838605289</v>
      </c>
      <c r="BG132" s="94">
        <f t="shared" si="104"/>
        <v>-1.6018208347188794</v>
      </c>
      <c r="BH132" s="94">
        <f t="shared" si="105"/>
        <v>-4.391641371063292</v>
      </c>
      <c r="BI132" s="39">
        <v>0.54166666666666596</v>
      </c>
      <c r="BK132" s="39">
        <v>0.54166666666666596</v>
      </c>
      <c r="BL132" s="38">
        <v>-15</v>
      </c>
      <c r="BM132" s="38">
        <f t="shared" si="106"/>
        <v>53.721651477607679</v>
      </c>
      <c r="BN132" s="38">
        <f t="shared" ref="BN132:BN143" si="140">-(180-DEGREES(ACOS((((SIN(RADIANS(BM132)))*SIN(RADIANS($BN$85)))-SIN(RADIANS($BM$85)))/((COS(RADIANS(BM132)))*COS(RADIANS($BN$85))))))</f>
        <v>-154.13665034646286</v>
      </c>
      <c r="BP132">
        <f t="shared" si="108"/>
        <v>3.6278348522392321</v>
      </c>
      <c r="BQ132">
        <f t="shared" si="109"/>
        <v>244.13665034646286</v>
      </c>
      <c r="BR132" s="94">
        <f t="shared" si="110"/>
        <v>-1.5825569006738291</v>
      </c>
      <c r="BS132" s="94">
        <f t="shared" si="111"/>
        <v>-3.2644600428327033</v>
      </c>
      <c r="BT132" s="39">
        <v>0.54166666666666596</v>
      </c>
      <c r="BV132" s="39">
        <v>0.54166666666666596</v>
      </c>
      <c r="BW132" s="38">
        <v>-15</v>
      </c>
      <c r="BX132" s="38">
        <f t="shared" si="112"/>
        <v>64.399813806231478</v>
      </c>
      <c r="BY132" s="38">
        <f t="shared" ref="BY132:BY143" si="141">-(180-DEGREES(ACOS((((SIN(RADIANS(BX132)))*SIN(RADIANS($BY$85)))-SIN(RADIANS($BX$85)))/((COS(RADIANS(BX132)))*COS(RADIANS($BY$85))))))</f>
        <v>-143.58998089453021</v>
      </c>
      <c r="CA132">
        <f t="shared" si="114"/>
        <v>2.5600186193768524</v>
      </c>
      <c r="CB132">
        <f t="shared" si="115"/>
        <v>233.58998089453021</v>
      </c>
      <c r="CC132" s="94">
        <f t="shared" si="116"/>
        <v>-1.5195236952779616</v>
      </c>
      <c r="CD132" s="94">
        <f t="shared" si="117"/>
        <v>-2.0602774257475556</v>
      </c>
      <c r="CE132" s="39">
        <v>0.54166666666666596</v>
      </c>
      <c r="CG132" s="39">
        <v>0.54166666666666596</v>
      </c>
      <c r="CH132" s="38">
        <v>-15</v>
      </c>
      <c r="CI132" s="38">
        <f t="shared" si="118"/>
        <v>72.313335780227064</v>
      </c>
      <c r="CJ132" s="38">
        <f t="shared" ref="CJ132:CJ143" si="142">-(180-DEGREES(ACOS((((SIN(RADIANS(CI132)))*SIN(RADIANS($CJ$85)))-SIN(RADIANS($CI$85)))/((COS(RADIANS(CI132)))*COS(RADIANS($CJ$85))))))</f>
        <v>-125.84444444383482</v>
      </c>
      <c r="CL132">
        <f t="shared" si="120"/>
        <v>1.7686664219772936</v>
      </c>
      <c r="CM132">
        <f t="shared" si="121"/>
        <v>215.84444444383482</v>
      </c>
      <c r="CN132" s="94">
        <f t="shared" si="122"/>
        <v>-1.4336983739441382</v>
      </c>
      <c r="CO132" s="94">
        <f t="shared" si="123"/>
        <v>-1.035707432038554</v>
      </c>
      <c r="CP132" s="39">
        <v>0.54166666666666596</v>
      </c>
      <c r="CR132" s="39">
        <v>0.54166666666666596</v>
      </c>
      <c r="CS132" s="38">
        <v>-15</v>
      </c>
      <c r="CT132" s="38">
        <f t="shared" si="124"/>
        <v>75.286617836966144</v>
      </c>
      <c r="CU132" s="38">
        <f t="shared" ref="CU132:CU143" si="143">-(180-DEGREES(ACOS((((SIN(RADIANS(CT132)))*SIN(RADIANS($CU$85)))-SIN(RADIANS($CT$85)))/((COS(RADIANS(CT132)))*COS(RADIANS($CU$85))))))</f>
        <v>-110.41519717198776</v>
      </c>
      <c r="CW132">
        <f t="shared" si="126"/>
        <v>1.4713382163033852</v>
      </c>
      <c r="CX132">
        <f t="shared" si="127"/>
        <v>200.41519717198776</v>
      </c>
      <c r="CY132" s="94">
        <f t="shared" si="128"/>
        <v>-1.3789227287883621</v>
      </c>
      <c r="CZ132" s="94">
        <f t="shared" si="129"/>
        <v>-0.51323313882258681</v>
      </c>
      <c r="DA132" s="39">
        <v>0.54166666666666596</v>
      </c>
      <c r="DC132" s="39">
        <v>0.54166666666666596</v>
      </c>
      <c r="DD132" s="38">
        <v>-15</v>
      </c>
      <c r="DE132" s="38">
        <f t="shared" si="130"/>
        <v>35.522989333110019</v>
      </c>
      <c r="DF132" s="38">
        <f t="shared" ref="DF132:DF143" si="144">-(180-DEGREES(ACOS((((SIN(RADIANS(DE132)))*SIN(RADIANS($DF$85)))-SIN(RADIANS($DE$85)))/((COS(RADIANS(DE132)))*COS(RADIANS($DF$85))))))</f>
        <v>-163.03777709301244</v>
      </c>
      <c r="DH132">
        <f t="shared" si="132"/>
        <v>5.4477010666889978</v>
      </c>
      <c r="DI132">
        <f t="shared" si="133"/>
        <v>253.03777709301244</v>
      </c>
      <c r="DJ132" s="94">
        <f t="shared" si="134"/>
        <v>-1.5893183907474944</v>
      </c>
      <c r="DK132" s="94">
        <f t="shared" si="135"/>
        <v>-5.2107114643622552</v>
      </c>
      <c r="DL132" s="39">
        <v>0.54166666666666596</v>
      </c>
    </row>
    <row r="133" spans="1:116" x14ac:dyDescent="0.25">
      <c r="A133">
        <v>-4.0999999999999996</v>
      </c>
      <c r="B133">
        <f t="shared" si="136"/>
        <v>8.0118661995817178</v>
      </c>
      <c r="C133">
        <f t="shared" si="137"/>
        <v>-8.0118661995817178</v>
      </c>
      <c r="D133">
        <f t="shared" si="20"/>
        <v>6.8694977982382381</v>
      </c>
      <c r="E133">
        <f t="shared" si="21"/>
        <v>-6.8694977982382381</v>
      </c>
      <c r="F133">
        <f t="shared" si="24"/>
        <v>5.6736231810017133</v>
      </c>
      <c r="G133">
        <f t="shared" si="25"/>
        <v>-5.6736231810017133</v>
      </c>
      <c r="H133">
        <f t="shared" si="74"/>
        <v>4.3806392227619018</v>
      </c>
      <c r="I133">
        <f t="shared" si="75"/>
        <v>-4.3806392227619018</v>
      </c>
      <c r="J133">
        <f t="shared" si="90"/>
        <v>2.8618176042508372</v>
      </c>
      <c r="K133">
        <f t="shared" si="91"/>
        <v>-2.8618176042508372</v>
      </c>
      <c r="U133" s="94"/>
      <c r="AA133" s="55">
        <v>0.58333333333333304</v>
      </c>
      <c r="AB133" s="102" t="str">
        <f>IF('Control Solar 2do Sem'!$N$8="si",IF(Isorreq!N18=-1,0,"si"),0)</f>
        <v>si</v>
      </c>
      <c r="AC133" s="55">
        <v>0.58333333333333304</v>
      </c>
      <c r="AD133" s="102" t="str">
        <f>IF('Control Solar 2do Sem'!$N$8="si",IF(Isorreq!M18=-1,0,"si"),0)</f>
        <v>si</v>
      </c>
      <c r="AE133" s="55">
        <v>0.58333333333333304</v>
      </c>
      <c r="AF133" s="102" t="str">
        <f>IF('Control Solar 2do Sem'!$N$8="si",IF(Isorreq!L18=-1,0,"si"),0)</f>
        <v>si</v>
      </c>
      <c r="AG133" s="55">
        <v>0.58333333333333304</v>
      </c>
      <c r="AH133" s="102" t="str">
        <f>IF('Control Solar 2do Sem'!$N$8="si",IF(Isorreq!K18=-1,0,"si"),0)</f>
        <v>si</v>
      </c>
      <c r="AI133" s="55">
        <v>0.58333333333333304</v>
      </c>
      <c r="AJ133" s="102" t="str">
        <f>IF('Control Solar 2do Sem'!$N$8="si",IF(Isorreq!J18=-1,0,"si"),0)</f>
        <v>si</v>
      </c>
      <c r="AK133" s="55">
        <v>0.58333333333333304</v>
      </c>
      <c r="AL133" s="102" t="str">
        <f>IF('Control Solar 2do Sem'!$N$8="si",IF(Isorreq!I18=-1,0,"si"),0)</f>
        <v>si</v>
      </c>
      <c r="AO133" s="39">
        <v>0.58333333333333304</v>
      </c>
      <c r="AP133" s="38">
        <v>-30</v>
      </c>
      <c r="AQ133" s="38">
        <f t="shared" si="94"/>
        <v>31.217808683018777</v>
      </c>
      <c r="AR133" s="38">
        <f t="shared" si="138"/>
        <v>-147.20252877534776</v>
      </c>
      <c r="AT133">
        <f t="shared" si="96"/>
        <v>5.8782191316981223</v>
      </c>
      <c r="AU133">
        <f t="shared" si="97"/>
        <v>237.20252877534776</v>
      </c>
      <c r="AV133" s="94">
        <f t="shared" si="98"/>
        <v>-3.1840614875621553</v>
      </c>
      <c r="AW133" s="94">
        <f t="shared" si="99"/>
        <v>-4.941175224952592</v>
      </c>
      <c r="AX133" s="39">
        <v>0.58333333333333304</v>
      </c>
      <c r="AZ133" s="39">
        <v>0.58333333333333304</v>
      </c>
      <c r="BA133" s="38">
        <v>-30</v>
      </c>
      <c r="BB133" s="38">
        <f t="shared" si="100"/>
        <v>36.94444539822846</v>
      </c>
      <c r="BC133" s="38">
        <f t="shared" si="139"/>
        <v>-142.89664703004638</v>
      </c>
      <c r="BE133">
        <f t="shared" si="102"/>
        <v>5.3055554601771542</v>
      </c>
      <c r="BF133">
        <f t="shared" si="103"/>
        <v>232.89664703004638</v>
      </c>
      <c r="BG133" s="94">
        <f t="shared" si="104"/>
        <v>-3.2006010638105553</v>
      </c>
      <c r="BH133" s="94">
        <f t="shared" si="105"/>
        <v>-4.2314384754301173</v>
      </c>
      <c r="BI133" s="39">
        <v>0.58333333333333304</v>
      </c>
      <c r="BK133" s="39">
        <v>0.58333333333333304</v>
      </c>
      <c r="BL133" s="38">
        <v>-30</v>
      </c>
      <c r="BM133" s="38">
        <f t="shared" si="106"/>
        <v>45.978655929743674</v>
      </c>
      <c r="BN133" s="38">
        <f t="shared" si="140"/>
        <v>-134.1470799889712</v>
      </c>
      <c r="BP133">
        <f t="shared" si="108"/>
        <v>4.402134407025633</v>
      </c>
      <c r="BQ133">
        <f t="shared" si="109"/>
        <v>224.1470799889712</v>
      </c>
      <c r="BR133" s="94">
        <f t="shared" si="110"/>
        <v>-3.1587701351887123</v>
      </c>
      <c r="BS133" s="94">
        <f t="shared" si="111"/>
        <v>-3.0660982649874096</v>
      </c>
      <c r="BT133" s="39">
        <v>0.58333333333333304</v>
      </c>
      <c r="BV133" s="39">
        <v>0.58333333333333304</v>
      </c>
      <c r="BW133" s="38">
        <v>-30</v>
      </c>
      <c r="BX133" s="38">
        <f t="shared" si="112"/>
        <v>54.618641174592703</v>
      </c>
      <c r="BY133" s="38">
        <f t="shared" si="141"/>
        <v>-121.16307222620452</v>
      </c>
      <c r="CA133">
        <f t="shared" si="114"/>
        <v>3.5381358825407299</v>
      </c>
      <c r="CB133">
        <f t="shared" si="115"/>
        <v>211.16307222620452</v>
      </c>
      <c r="CC133" s="94">
        <f t="shared" si="116"/>
        <v>-3.0275756452513924</v>
      </c>
      <c r="CD133" s="94">
        <f t="shared" si="117"/>
        <v>-1.830899023868571</v>
      </c>
      <c r="CE133" s="39">
        <v>0.58333333333333304</v>
      </c>
      <c r="CG133" s="39">
        <v>0.58333333333333304</v>
      </c>
      <c r="CH133" s="38">
        <v>-30</v>
      </c>
      <c r="CI133" s="38">
        <f t="shared" si="118"/>
        <v>60.418849938512295</v>
      </c>
      <c r="CJ133" s="38">
        <f t="shared" si="142"/>
        <v>-105.47388867741584</v>
      </c>
      <c r="CL133">
        <f t="shared" si="120"/>
        <v>2.9581150061487707</v>
      </c>
      <c r="CM133">
        <f t="shared" si="121"/>
        <v>195.47388867741586</v>
      </c>
      <c r="CN133" s="94">
        <f t="shared" si="122"/>
        <v>-2.8508896713723404</v>
      </c>
      <c r="CO133" s="94">
        <f t="shared" si="123"/>
        <v>-0.78922270067773104</v>
      </c>
      <c r="CP133" s="39">
        <v>0.58333333333333304</v>
      </c>
      <c r="CR133" s="39">
        <v>0.58333333333333304</v>
      </c>
      <c r="CS133" s="38">
        <v>-30</v>
      </c>
      <c r="CT133" s="38">
        <f t="shared" si="124"/>
        <v>62.487949611154917</v>
      </c>
      <c r="CU133" s="38">
        <f t="shared" si="143"/>
        <v>-95.458320455047897</v>
      </c>
      <c r="CW133">
        <f t="shared" si="126"/>
        <v>2.7512050388845086</v>
      </c>
      <c r="CX133">
        <f t="shared" si="127"/>
        <v>185.4583204550479</v>
      </c>
      <c r="CY133" s="94">
        <f t="shared" si="128"/>
        <v>-2.7387301330387381</v>
      </c>
      <c r="CZ133" s="94">
        <f t="shared" si="129"/>
        <v>-0.26169911037129179</v>
      </c>
      <c r="DA133" s="39">
        <v>0.58333333333333304</v>
      </c>
      <c r="DC133" s="39">
        <v>0.58333333333333304</v>
      </c>
      <c r="DD133" s="38">
        <v>-30</v>
      </c>
      <c r="DE133" s="38">
        <f t="shared" si="130"/>
        <v>30.061756873161897</v>
      </c>
      <c r="DF133" s="38">
        <f t="shared" si="144"/>
        <v>-147.99477629228704</v>
      </c>
      <c r="DH133">
        <f t="shared" si="132"/>
        <v>5.9938243126838104</v>
      </c>
      <c r="DI133">
        <f t="shared" si="133"/>
        <v>237.99477629228704</v>
      </c>
      <c r="DJ133" s="94">
        <f t="shared" si="134"/>
        <v>-3.176706382874344</v>
      </c>
      <c r="DK133" s="94">
        <f t="shared" si="135"/>
        <v>-5.0827616950162984</v>
      </c>
      <c r="DL133" s="39">
        <v>0.58333333333333304</v>
      </c>
    </row>
    <row r="134" spans="1:116" x14ac:dyDescent="0.25">
      <c r="A134">
        <v>-4.2</v>
      </c>
      <c r="B134">
        <f t="shared" si="136"/>
        <v>7.9598994968529597</v>
      </c>
      <c r="C134">
        <f t="shared" si="137"/>
        <v>-7.9598994968529597</v>
      </c>
      <c r="D134">
        <f t="shared" si="20"/>
        <v>6.8088178122196803</v>
      </c>
      <c r="E134">
        <f t="shared" si="21"/>
        <v>-6.8088178122196803</v>
      </c>
      <c r="F134">
        <f t="shared" si="24"/>
        <v>5.6</v>
      </c>
      <c r="G134">
        <f t="shared" si="25"/>
        <v>-5.6</v>
      </c>
      <c r="H134">
        <f t="shared" si="74"/>
        <v>4.2848570571257101</v>
      </c>
      <c r="I134">
        <f t="shared" si="75"/>
        <v>-4.2848570571257101</v>
      </c>
      <c r="J134">
        <f t="shared" si="90"/>
        <v>2.7129319932501073</v>
      </c>
      <c r="K134">
        <f t="shared" si="91"/>
        <v>-2.7129319932501073</v>
      </c>
      <c r="U134" s="94"/>
      <c r="AA134" s="55">
        <v>0.625</v>
      </c>
      <c r="AB134" s="102" t="str">
        <f>IF('Control Solar 2do Sem'!$N$8="si",IF(Isorreq!N19=-1,0,"si"),0)</f>
        <v>si</v>
      </c>
      <c r="AC134" s="55">
        <v>0.625</v>
      </c>
      <c r="AD134" s="102" t="str">
        <f>IF('Control Solar 2do Sem'!$N$8="si",IF(Isorreq!M19=-1,0,"si"),0)</f>
        <v>si</v>
      </c>
      <c r="AE134" s="55">
        <v>0.625</v>
      </c>
      <c r="AF134" s="102" t="str">
        <f>IF('Control Solar 2do Sem'!$N$8="si",IF(Isorreq!L19=-1,0,"si"),0)</f>
        <v>si</v>
      </c>
      <c r="AG134" s="55">
        <v>0.625</v>
      </c>
      <c r="AH134" s="102" t="str">
        <f>IF('Control Solar 2do Sem'!$N$8="si",IF(Isorreq!K19=-1,0,"si"),0)</f>
        <v>si</v>
      </c>
      <c r="AI134" s="55">
        <v>0.625</v>
      </c>
      <c r="AJ134" s="102" t="str">
        <f>IF('Control Solar 2do Sem'!$N$8="si",IF(Isorreq!J19=-1,0,"si"),0)</f>
        <v>si</v>
      </c>
      <c r="AK134" s="55">
        <v>0.625</v>
      </c>
      <c r="AL134" s="102" t="str">
        <f>IF('Control Solar 2do Sem'!$N$8="si",IF(Isorreq!I19=-1,0,"si"),0)</f>
        <v>si</v>
      </c>
      <c r="AO134" s="39">
        <v>0.625</v>
      </c>
      <c r="AP134" s="38">
        <v>-45</v>
      </c>
      <c r="AQ134" s="38">
        <f t="shared" si="94"/>
        <v>22.930756425404709</v>
      </c>
      <c r="AR134" s="38">
        <f t="shared" si="138"/>
        <v>-134.65671961264201</v>
      </c>
      <c r="AT134">
        <f t="shared" si="96"/>
        <v>6.7069243574595294</v>
      </c>
      <c r="AU134">
        <f t="shared" si="97"/>
        <v>224.65671961264201</v>
      </c>
      <c r="AV134" s="94">
        <f t="shared" si="98"/>
        <v>-4.7708405610154339</v>
      </c>
      <c r="AW134" s="94">
        <f t="shared" si="99"/>
        <v>-4.7140125878124106</v>
      </c>
      <c r="AX134" s="39">
        <v>0.625</v>
      </c>
      <c r="AZ134" s="39">
        <v>0.625</v>
      </c>
      <c r="BA134" s="38">
        <v>-45</v>
      </c>
      <c r="BB134" s="38">
        <f t="shared" si="100"/>
        <v>27.847371205928958</v>
      </c>
      <c r="BC134" s="38">
        <f t="shared" si="139"/>
        <v>-129.54363287993408</v>
      </c>
      <c r="BE134">
        <f t="shared" si="102"/>
        <v>6.2152628794071045</v>
      </c>
      <c r="BF134">
        <f t="shared" si="103"/>
        <v>219.54363287993408</v>
      </c>
      <c r="BG134" s="94">
        <f t="shared" si="104"/>
        <v>-4.792837582647314</v>
      </c>
      <c r="BH134" s="94">
        <f t="shared" si="105"/>
        <v>-3.957044423114219</v>
      </c>
      <c r="BI134" s="39">
        <v>0.625</v>
      </c>
      <c r="BK134" s="39">
        <v>0.625</v>
      </c>
      <c r="BL134" s="38">
        <v>-45</v>
      </c>
      <c r="BM134" s="38">
        <f t="shared" si="106"/>
        <v>35.49071849161092</v>
      </c>
      <c r="BN134" s="38">
        <f t="shared" si="140"/>
        <v>-119.99048573125475</v>
      </c>
      <c r="BP134">
        <f t="shared" si="108"/>
        <v>5.4509281508389078</v>
      </c>
      <c r="BQ134">
        <f t="shared" si="109"/>
        <v>209.99048573125475</v>
      </c>
      <c r="BR134" s="94">
        <f t="shared" si="110"/>
        <v>-4.7210947655407791</v>
      </c>
      <c r="BS134" s="94">
        <f t="shared" si="111"/>
        <v>-2.7246801501078117</v>
      </c>
      <c r="BT134" s="39">
        <v>0.625</v>
      </c>
      <c r="BV134" s="39">
        <v>0.625</v>
      </c>
      <c r="BW134" s="38">
        <v>-45</v>
      </c>
      <c r="BX134" s="38">
        <f t="shared" si="112"/>
        <v>42.663463448393529</v>
      </c>
      <c r="BY134" s="38">
        <f t="shared" si="141"/>
        <v>-107.66062257112267</v>
      </c>
      <c r="CA134">
        <f t="shared" si="114"/>
        <v>4.733653655160647</v>
      </c>
      <c r="CB134">
        <f t="shared" si="115"/>
        <v>197.66062257112267</v>
      </c>
      <c r="CC134" s="94">
        <f t="shared" si="116"/>
        <v>-4.5105575419044515</v>
      </c>
      <c r="CD134" s="94">
        <f t="shared" si="117"/>
        <v>-1.4360875976710543</v>
      </c>
      <c r="CE134" s="39">
        <v>0.625</v>
      </c>
      <c r="CG134" s="39">
        <v>0.625</v>
      </c>
      <c r="CH134" s="38">
        <v>-45</v>
      </c>
      <c r="CI134" s="38">
        <f t="shared" si="118"/>
        <v>47.519261224452976</v>
      </c>
      <c r="CJ134" s="38">
        <f t="shared" si="142"/>
        <v>-94.944817071916091</v>
      </c>
      <c r="CL134">
        <f t="shared" si="120"/>
        <v>4.2480738775547024</v>
      </c>
      <c r="CM134">
        <f t="shared" si="121"/>
        <v>184.94481707191608</v>
      </c>
      <c r="CN134" s="94">
        <f t="shared" si="122"/>
        <v>-4.2322633019278983</v>
      </c>
      <c r="CO134" s="94">
        <f t="shared" si="123"/>
        <v>-0.3661680110509456</v>
      </c>
      <c r="CP134" s="39">
        <v>0.625</v>
      </c>
      <c r="CR134" s="39">
        <v>0.625</v>
      </c>
      <c r="CS134" s="38">
        <v>-45</v>
      </c>
      <c r="CT134" s="38">
        <f t="shared" si="124"/>
        <v>49.392241958613631</v>
      </c>
      <c r="CU134" s="38">
        <f t="shared" si="143"/>
        <v>-87.614133955275165</v>
      </c>
      <c r="CW134">
        <f t="shared" si="126"/>
        <v>4.060775804138637</v>
      </c>
      <c r="CX134">
        <f t="shared" si="127"/>
        <v>177.61413395527518</v>
      </c>
      <c r="CY134" s="94">
        <f t="shared" si="128"/>
        <v>-4.0572556384225589</v>
      </c>
      <c r="CZ134" s="94">
        <f t="shared" si="129"/>
        <v>0.16904678632304337</v>
      </c>
      <c r="DA134" s="39">
        <v>0.625</v>
      </c>
      <c r="DC134" s="39">
        <v>0.625</v>
      </c>
      <c r="DD134" s="38">
        <v>-45</v>
      </c>
      <c r="DE134" s="38">
        <f t="shared" si="130"/>
        <v>21.932757611792816</v>
      </c>
      <c r="DF134" s="38">
        <f t="shared" si="144"/>
        <v>-135.62743572218571</v>
      </c>
      <c r="DH134">
        <f t="shared" si="132"/>
        <v>6.8067242388207188</v>
      </c>
      <c r="DI134">
        <f t="shared" si="133"/>
        <v>225.62743572218571</v>
      </c>
      <c r="DJ134" s="94">
        <f t="shared" si="134"/>
        <v>-4.7600861515158286</v>
      </c>
      <c r="DK134" s="94">
        <f t="shared" si="135"/>
        <v>-4.8654984013456133</v>
      </c>
      <c r="DL134" s="39">
        <v>0.625</v>
      </c>
    </row>
    <row r="135" spans="1:116" x14ac:dyDescent="0.25">
      <c r="A135">
        <v>-4.3</v>
      </c>
      <c r="B135">
        <f t="shared" si="136"/>
        <v>7.9063265806567848</v>
      </c>
      <c r="C135">
        <f t="shared" si="137"/>
        <v>-7.9063265806567848</v>
      </c>
      <c r="D135">
        <f t="shared" si="20"/>
        <v>6.746109990209173</v>
      </c>
      <c r="E135">
        <f t="shared" si="21"/>
        <v>-6.746109990209173</v>
      </c>
      <c r="F135">
        <f t="shared" si="24"/>
        <v>5.5235857918565907</v>
      </c>
      <c r="G135">
        <f t="shared" si="25"/>
        <v>-5.5235857918565907</v>
      </c>
      <c r="H135">
        <f t="shared" si="74"/>
        <v>4.1844951905815355</v>
      </c>
      <c r="I135">
        <f t="shared" si="75"/>
        <v>-4.1844951905815355</v>
      </c>
      <c r="J135">
        <f t="shared" si="90"/>
        <v>2.5514701644346149</v>
      </c>
      <c r="K135">
        <f t="shared" si="91"/>
        <v>-2.5514701644346149</v>
      </c>
      <c r="U135" s="94"/>
      <c r="AA135" s="55">
        <v>0.66666666666666596</v>
      </c>
      <c r="AB135" s="102" t="str">
        <f>IF('Control Solar 2do Sem'!$N$8="si",IF(Isorreq!N20=-1,0,"si"),0)</f>
        <v>si</v>
      </c>
      <c r="AC135" s="55">
        <v>0.66666666666666596</v>
      </c>
      <c r="AD135" s="102" t="str">
        <f>IF('Control Solar 2do Sem'!$N$8="si",IF(Isorreq!M20=-1,0,"si"),0)</f>
        <v>si</v>
      </c>
      <c r="AE135" s="55">
        <v>0.66666666666666596</v>
      </c>
      <c r="AF135" s="102" t="str">
        <f>IF('Control Solar 2do Sem'!$N$8="si",IF(Isorreq!L20=-1,0,"si"),0)</f>
        <v>si</v>
      </c>
      <c r="AG135" s="55">
        <v>0.66666666666666596</v>
      </c>
      <c r="AH135" s="102" t="str">
        <f>IF('Control Solar 2do Sem'!$N$8="si",IF(Isorreq!K20=-1,0,"si"),0)</f>
        <v>si</v>
      </c>
      <c r="AI135" s="55">
        <v>0.66666666666666596</v>
      </c>
      <c r="AJ135" s="102" t="str">
        <f>IF('Control Solar 2do Sem'!$N$8="si",IF(Isorreq!J20=-1,0,"si"),0)</f>
        <v>si</v>
      </c>
      <c r="AK135" s="55">
        <v>0.66666666666666596</v>
      </c>
      <c r="AL135" s="102" t="str">
        <f>IF('Control Solar 2do Sem'!$N$8="si",IF(Isorreq!I20=-1,0,"si"),0)</f>
        <v>si</v>
      </c>
      <c r="AO135" s="39">
        <v>0.66666666666666596</v>
      </c>
      <c r="AP135" s="38">
        <v>-60</v>
      </c>
      <c r="AQ135" s="38">
        <f t="shared" si="94"/>
        <v>12.822214610282128</v>
      </c>
      <c r="AR135" s="38">
        <f t="shared" si="138"/>
        <v>-124.62657247743616</v>
      </c>
      <c r="AT135">
        <f t="shared" si="96"/>
        <v>7.7177785389717872</v>
      </c>
      <c r="AU135">
        <f t="shared" si="97"/>
        <v>214.62657247743616</v>
      </c>
      <c r="AV135" s="94">
        <f t="shared" si="98"/>
        <v>-6.3507510164986254</v>
      </c>
      <c r="AW135" s="94">
        <f t="shared" si="99"/>
        <v>-4.3854380742469932</v>
      </c>
      <c r="AX135" s="39">
        <v>0.66666666666666596</v>
      </c>
      <c r="AZ135" s="39">
        <v>0.66666666666666596</v>
      </c>
      <c r="BA135" s="38">
        <v>-60</v>
      </c>
      <c r="BB135" s="38">
        <f t="shared" si="100"/>
        <v>17.012874995336517</v>
      </c>
      <c r="BC135" s="38">
        <f t="shared" si="139"/>
        <v>-119.15629368068804</v>
      </c>
      <c r="BE135">
        <f t="shared" si="102"/>
        <v>7.2987125004663485</v>
      </c>
      <c r="BF135">
        <f t="shared" si="103"/>
        <v>209.15629368068804</v>
      </c>
      <c r="BG135" s="94">
        <f t="shared" si="104"/>
        <v>-6.3739216297498285</v>
      </c>
      <c r="BH135" s="94">
        <f t="shared" si="105"/>
        <v>-3.5558862780284506</v>
      </c>
      <c r="BI135" s="39">
        <v>0.66666666666666596</v>
      </c>
      <c r="BK135" s="39">
        <v>0.66666666666666596</v>
      </c>
      <c r="BL135" s="38">
        <v>-60</v>
      </c>
      <c r="BM135" s="38">
        <f t="shared" si="106"/>
        <v>23.5820196394737</v>
      </c>
      <c r="BN135" s="38">
        <f t="shared" si="140"/>
        <v>-109.54442448396416</v>
      </c>
      <c r="BP135">
        <f t="shared" si="108"/>
        <v>6.6417980360526299</v>
      </c>
      <c r="BQ135">
        <f t="shared" si="109"/>
        <v>199.54442448396418</v>
      </c>
      <c r="BR135" s="94">
        <f t="shared" si="110"/>
        <v>-6.2591135034701519</v>
      </c>
      <c r="BS135" s="94">
        <f t="shared" si="111"/>
        <v>-2.2219314351235457</v>
      </c>
      <c r="BT135" s="39">
        <v>0.66666666666666596</v>
      </c>
      <c r="BV135" s="39">
        <v>0.66666666666666596</v>
      </c>
      <c r="BW135" s="38">
        <v>-60</v>
      </c>
      <c r="BX135" s="38">
        <f t="shared" si="112"/>
        <v>29.88984365984685</v>
      </c>
      <c r="BY135" s="38">
        <f t="shared" si="141"/>
        <v>-98.178925560955776</v>
      </c>
      <c r="CA135">
        <f t="shared" si="114"/>
        <v>6.0110156340153154</v>
      </c>
      <c r="CB135">
        <f t="shared" si="115"/>
        <v>188.17892556095578</v>
      </c>
      <c r="CC135" s="94">
        <f t="shared" si="116"/>
        <v>-5.9498753428282356</v>
      </c>
      <c r="CD135" s="94">
        <f t="shared" si="117"/>
        <v>-0.85515633493597099</v>
      </c>
      <c r="CE135" s="39">
        <v>0.66666666666666596</v>
      </c>
      <c r="CG135" s="39">
        <v>0.66666666666666596</v>
      </c>
      <c r="CH135" s="38">
        <v>-60</v>
      </c>
      <c r="CI135" s="38">
        <f t="shared" si="118"/>
        <v>34.421688460547578</v>
      </c>
      <c r="CJ135" s="38">
        <f t="shared" si="142"/>
        <v>-87.389663704152156</v>
      </c>
      <c r="CL135">
        <f t="shared" si="120"/>
        <v>5.5578311539452425</v>
      </c>
      <c r="CM135">
        <f t="shared" si="121"/>
        <v>177.38966370415216</v>
      </c>
      <c r="CN135" s="94">
        <f t="shared" si="122"/>
        <v>-5.5520641812898193</v>
      </c>
      <c r="CO135" s="94">
        <f t="shared" si="123"/>
        <v>0.25312143844983048</v>
      </c>
      <c r="CP135" s="39">
        <v>0.66666666666666596</v>
      </c>
      <c r="CR135" s="39">
        <v>0.66666666666666596</v>
      </c>
      <c r="CS135" s="38">
        <v>-60</v>
      </c>
      <c r="CT135" s="38">
        <f t="shared" si="124"/>
        <v>36.350375327550033</v>
      </c>
      <c r="CU135" s="38">
        <f t="shared" si="143"/>
        <v>-81.455117320378122</v>
      </c>
      <c r="CW135">
        <f t="shared" si="126"/>
        <v>5.3649624672449967</v>
      </c>
      <c r="CX135">
        <f t="shared" si="127"/>
        <v>171.45511732037812</v>
      </c>
      <c r="CY135" s="94">
        <f t="shared" si="128"/>
        <v>-5.3054101678542844</v>
      </c>
      <c r="CZ135" s="94">
        <f t="shared" si="129"/>
        <v>0.79714818307256685</v>
      </c>
      <c r="DA135" s="39">
        <v>0.66666666666666596</v>
      </c>
      <c r="DC135" s="39">
        <v>0.66666666666666596</v>
      </c>
      <c r="DD135" s="38">
        <v>-60</v>
      </c>
      <c r="DE135" s="38">
        <f t="shared" si="130"/>
        <v>11.973998043852726</v>
      </c>
      <c r="DF135" s="38">
        <f t="shared" si="144"/>
        <v>-125.69140900534735</v>
      </c>
      <c r="DH135">
        <f t="shared" si="132"/>
        <v>7.802600195614728</v>
      </c>
      <c r="DI135">
        <f t="shared" si="133"/>
        <v>215.69140900534734</v>
      </c>
      <c r="DJ135" s="94">
        <f t="shared" si="134"/>
        <v>-6.3370457173808665</v>
      </c>
      <c r="DK135" s="94">
        <f t="shared" si="135"/>
        <v>-4.5521886371757274</v>
      </c>
      <c r="DL135" s="39">
        <v>0.66666666666666596</v>
      </c>
    </row>
    <row r="136" spans="1:116" x14ac:dyDescent="0.25">
      <c r="A136">
        <v>-4.4000000000000004</v>
      </c>
      <c r="B136">
        <f t="shared" si="136"/>
        <v>7.8511145705562084</v>
      </c>
      <c r="C136">
        <f t="shared" si="137"/>
        <v>-7.8511145705562084</v>
      </c>
      <c r="D136">
        <f t="shared" si="20"/>
        <v>6.6813172353960262</v>
      </c>
      <c r="E136">
        <f t="shared" si="21"/>
        <v>-6.6813172353960262</v>
      </c>
      <c r="F136">
        <f t="shared" si="24"/>
        <v>5.4442630355264798</v>
      </c>
      <c r="G136">
        <f t="shared" si="25"/>
        <v>-5.4442630355264798</v>
      </c>
      <c r="H136">
        <f t="shared" si="74"/>
        <v>4.0792156108742272</v>
      </c>
      <c r="I136">
        <f t="shared" si="75"/>
        <v>-4.0792156108742272</v>
      </c>
      <c r="J136">
        <f t="shared" si="90"/>
        <v>2.3748684174075829</v>
      </c>
      <c r="K136">
        <f t="shared" si="91"/>
        <v>-2.3748684174075829</v>
      </c>
      <c r="AA136" s="55">
        <v>0.70833333333333304</v>
      </c>
      <c r="AB136" s="102" t="str">
        <f>IF('Control Solar 2do Sem'!$N$8="si",IF(Isorreq!N21=-1,0,"si"),0)</f>
        <v>si</v>
      </c>
      <c r="AC136" s="55">
        <v>0.70833333333333304</v>
      </c>
      <c r="AD136" s="102" t="str">
        <f>IF('Control Solar 2do Sem'!$N$8="si",IF(Isorreq!M21=-1,0,"si"),0)</f>
        <v>si</v>
      </c>
      <c r="AE136" s="55">
        <v>0.70833333333333304</v>
      </c>
      <c r="AF136" s="102" t="str">
        <f>IF('Control Solar 2do Sem'!$N$8="si",IF(Isorreq!L21=-1,0,"si"),0)</f>
        <v>si</v>
      </c>
      <c r="AG136" s="55">
        <v>0.70833333333333304</v>
      </c>
      <c r="AH136" s="102" t="str">
        <f>IF('Control Solar 2do Sem'!$N$8="si",IF(Isorreq!K21=-1,0,"si"),0)</f>
        <v>si</v>
      </c>
      <c r="AI136" s="55">
        <v>0.70833333333333304</v>
      </c>
      <c r="AJ136" s="102" t="str">
        <f>IF('Control Solar 2do Sem'!$N$8="si",IF(Isorreq!J21=-1,0,"si"),0)</f>
        <v>si</v>
      </c>
      <c r="AK136" s="55">
        <v>0.70833333333333304</v>
      </c>
      <c r="AL136" s="102" t="str">
        <f>IF('Control Solar 2do Sem'!$N$8="si",IF(Isorreq!I21=-1,0,"si"),0)</f>
        <v>si</v>
      </c>
      <c r="AO136" s="39">
        <v>0.70833333333333304</v>
      </c>
      <c r="AP136" s="38">
        <v>-75</v>
      </c>
      <c r="AQ136" s="38">
        <f t="shared" si="94"/>
        <v>1.5268439307083672</v>
      </c>
      <c r="AR136" s="38">
        <f t="shared" si="138"/>
        <v>-116.4624458503213</v>
      </c>
      <c r="AT136">
        <f t="shared" si="96"/>
        <v>8.847315606929163</v>
      </c>
      <c r="AU136">
        <f t="shared" si="97"/>
        <v>206.4624458503213</v>
      </c>
      <c r="AV136" s="94">
        <f t="shared" si="98"/>
        <v>-7.9203525072857337</v>
      </c>
      <c r="AW136" s="94">
        <f t="shared" si="99"/>
        <v>-3.94246237888771</v>
      </c>
      <c r="AX136" s="39">
        <v>0.70833333333333304</v>
      </c>
      <c r="AZ136" s="39">
        <v>0.70833333333333304</v>
      </c>
      <c r="BA136" s="38">
        <v>-75</v>
      </c>
      <c r="BB136" s="38">
        <f t="shared" si="100"/>
        <v>5.1256761006130356</v>
      </c>
      <c r="BC136" s="38">
        <f t="shared" si="139"/>
        <v>-110.74796771639679</v>
      </c>
      <c r="BE136">
        <f t="shared" si="102"/>
        <v>8.4874323899386965</v>
      </c>
      <c r="BF136">
        <f t="shared" si="103"/>
        <v>200.74796771639677</v>
      </c>
      <c r="BG136" s="94">
        <f t="shared" si="104"/>
        <v>-7.9370035218323398</v>
      </c>
      <c r="BH136" s="94">
        <f t="shared" si="105"/>
        <v>-3.0067397074242268</v>
      </c>
      <c r="BI136" s="39">
        <v>0.70833333333333304</v>
      </c>
      <c r="BK136" s="39">
        <v>0.70833333333333304</v>
      </c>
      <c r="BL136" s="38">
        <v>-75</v>
      </c>
      <c r="BM136" s="38">
        <f t="shared" si="106"/>
        <v>10.944236718611343</v>
      </c>
      <c r="BN136" s="38">
        <f t="shared" si="140"/>
        <v>-101.14015957211414</v>
      </c>
      <c r="BP136">
        <f t="shared" si="108"/>
        <v>7.9055763281388653</v>
      </c>
      <c r="BQ136">
        <f t="shared" si="109"/>
        <v>191.14015957211416</v>
      </c>
      <c r="BR136" s="94">
        <f t="shared" si="110"/>
        <v>-7.7566153566303617</v>
      </c>
      <c r="BS136" s="94">
        <f t="shared" si="111"/>
        <v>-1.5274342176721158</v>
      </c>
      <c r="BT136" s="39">
        <v>0.70833333333333304</v>
      </c>
      <c r="BV136" s="39">
        <v>0.70833333333333304</v>
      </c>
      <c r="BW136" s="38">
        <v>-75</v>
      </c>
      <c r="BX136" s="38">
        <f t="shared" si="112"/>
        <v>16.826145638621131</v>
      </c>
      <c r="BY136" s="38">
        <f t="shared" si="141"/>
        <v>-90.430026005197348</v>
      </c>
      <c r="CA136">
        <f t="shared" si="114"/>
        <v>7.3173854361378865</v>
      </c>
      <c r="CB136">
        <f t="shared" si="115"/>
        <v>180.43002600519736</v>
      </c>
      <c r="CC136" s="94">
        <f t="shared" si="116"/>
        <v>-7.3171793408454278</v>
      </c>
      <c r="CD136" s="94">
        <f t="shared" si="117"/>
        <v>-5.4919167034038395E-2</v>
      </c>
      <c r="CE136" s="39">
        <v>0.70833333333333304</v>
      </c>
      <c r="CG136" s="39">
        <v>0.70833333333333304</v>
      </c>
      <c r="CH136" s="38">
        <v>-75</v>
      </c>
      <c r="CI136" s="38">
        <f t="shared" si="118"/>
        <v>21.390284745138615</v>
      </c>
      <c r="CJ136" s="38">
        <f t="shared" si="142"/>
        <v>-80.785090541413638</v>
      </c>
      <c r="CL136">
        <f t="shared" si="120"/>
        <v>6.8609715254861383</v>
      </c>
      <c r="CM136">
        <f t="shared" si="121"/>
        <v>170.78509054141364</v>
      </c>
      <c r="CN136" s="94">
        <f t="shared" si="122"/>
        <v>-6.7724281322824265</v>
      </c>
      <c r="CO136" s="94">
        <f t="shared" si="123"/>
        <v>1.0987026288314568</v>
      </c>
      <c r="CP136" s="39">
        <v>0.70833333333333304</v>
      </c>
      <c r="CR136" s="39">
        <v>0.70833333333333304</v>
      </c>
      <c r="CS136" s="38">
        <v>-75</v>
      </c>
      <c r="CT136" s="38">
        <f t="shared" si="124"/>
        <v>23.507733059132701</v>
      </c>
      <c r="CU136" s="38">
        <f t="shared" si="143"/>
        <v>-75.636975428271541</v>
      </c>
      <c r="CW136">
        <f t="shared" si="126"/>
        <v>6.6492266940867299</v>
      </c>
      <c r="CX136">
        <f t="shared" si="127"/>
        <v>165.63697542827154</v>
      </c>
      <c r="CY136" s="94">
        <f t="shared" si="128"/>
        <v>-6.4413948054342534</v>
      </c>
      <c r="CZ136" s="94">
        <f t="shared" si="129"/>
        <v>1.6494388712165602</v>
      </c>
      <c r="DA136" s="39">
        <v>0.70833333333333304</v>
      </c>
      <c r="DC136" s="39">
        <v>0.70833333333333304</v>
      </c>
      <c r="DD136" s="38">
        <v>-75</v>
      </c>
      <c r="DE136" s="38">
        <f t="shared" si="130"/>
        <v>0.80777986614324049</v>
      </c>
      <c r="DF136" s="38">
        <f t="shared" si="144"/>
        <v>-117.59582673339338</v>
      </c>
      <c r="DH136">
        <f t="shared" si="132"/>
        <v>8.9192220133856761</v>
      </c>
      <c r="DI136">
        <f t="shared" si="133"/>
        <v>207.59582673339338</v>
      </c>
      <c r="DJ136" s="94">
        <f t="shared" si="134"/>
        <v>-7.9045474322355096</v>
      </c>
      <c r="DK136" s="94">
        <f t="shared" si="135"/>
        <v>-4.1316644606747346</v>
      </c>
      <c r="DL136" s="39">
        <v>0.70833333333333304</v>
      </c>
    </row>
    <row r="137" spans="1:116" x14ac:dyDescent="0.25">
      <c r="A137">
        <v>-4.5</v>
      </c>
      <c r="B137">
        <f t="shared" si="136"/>
        <v>7.794228634059948</v>
      </c>
      <c r="C137">
        <f t="shared" si="137"/>
        <v>-7.794228634059948</v>
      </c>
      <c r="D137">
        <f t="shared" si="20"/>
        <v>6.6143782776614763</v>
      </c>
      <c r="E137">
        <f t="shared" si="21"/>
        <v>-6.6143782776614763</v>
      </c>
      <c r="F137">
        <f t="shared" si="24"/>
        <v>5.3619026473818039</v>
      </c>
      <c r="G137">
        <f t="shared" si="25"/>
        <v>-5.3619026473818039</v>
      </c>
      <c r="H137">
        <f t="shared" si="74"/>
        <v>3.9686269665968861</v>
      </c>
      <c r="I137">
        <f t="shared" si="75"/>
        <v>-3.9686269665968861</v>
      </c>
      <c r="J137">
        <f t="shared" si="90"/>
        <v>2.179449471770337</v>
      </c>
      <c r="K137">
        <f t="shared" si="91"/>
        <v>-2.179449471770337</v>
      </c>
      <c r="AA137" s="55">
        <v>0.75</v>
      </c>
      <c r="AB137" s="102" t="str">
        <f>IF('Control Solar 2do Sem'!$N$8="si",IF(Isorreq!N22=-1,0,"si"),0)</f>
        <v>si</v>
      </c>
      <c r="AC137" s="55">
        <v>0.75</v>
      </c>
      <c r="AD137" s="102" t="str">
        <f>IF('Control Solar 2do Sem'!$N$8="si",IF(Isorreq!M22=-1,0,"si"),0)</f>
        <v>si</v>
      </c>
      <c r="AE137" s="55">
        <v>0.75</v>
      </c>
      <c r="AF137" s="102" t="str">
        <f>IF('Control Solar 2do Sem'!$N$8="si",IF(Isorreq!L22=-1,0,"si"),0)</f>
        <v>si</v>
      </c>
      <c r="AG137" s="55">
        <v>0.75</v>
      </c>
      <c r="AH137" s="102" t="str">
        <f>IF('Control Solar 2do Sem'!$N$8="si",IF(Isorreq!K22=-1,0,"si"),0)</f>
        <v>si</v>
      </c>
      <c r="AI137" s="55">
        <v>0.75</v>
      </c>
      <c r="AJ137" s="102" t="str">
        <f>IF('Control Solar 2do Sem'!$N$8="si",IF(Isorreq!J22=-1,0,"si"),0)</f>
        <v>si</v>
      </c>
      <c r="AK137" s="55">
        <v>0.75</v>
      </c>
      <c r="AL137" s="102" t="str">
        <f>IF('Control Solar 2do Sem'!$N$8="si",IF(Isorreq!I22=-1,0,"si"),0)</f>
        <v>si</v>
      </c>
      <c r="AO137" s="39">
        <v>0.75</v>
      </c>
      <c r="AP137" s="38">
        <v>-90</v>
      </c>
      <c r="AQ137" s="38">
        <f t="shared" si="94"/>
        <v>-10.539731181947333</v>
      </c>
      <c r="AR137" s="38">
        <f t="shared" si="138"/>
        <v>-109.54530546833175</v>
      </c>
      <c r="AT137">
        <f t="shared" si="96"/>
        <v>10.053973118194733</v>
      </c>
      <c r="AU137">
        <f t="shared" si="97"/>
        <v>199.54530546833175</v>
      </c>
      <c r="AV137" s="94">
        <f t="shared" si="98"/>
        <v>-9.4746354930873906</v>
      </c>
      <c r="AW137" s="94">
        <f t="shared" si="99"/>
        <v>-3.3635781148222135</v>
      </c>
      <c r="AX137" s="39">
        <v>0.75</v>
      </c>
      <c r="AZ137" s="39">
        <v>0.75</v>
      </c>
      <c r="BA137" s="38">
        <v>-90</v>
      </c>
      <c r="BB137" s="38">
        <f t="shared" si="100"/>
        <v>-7.3984700881092289</v>
      </c>
      <c r="BC137" s="38">
        <f t="shared" si="139"/>
        <v>-103.50242212020031</v>
      </c>
      <c r="BE137">
        <f t="shared" si="102"/>
        <v>9.7398470088109228</v>
      </c>
      <c r="BF137">
        <f t="shared" si="103"/>
        <v>193.50242212020032</v>
      </c>
      <c r="BG137" s="94">
        <f t="shared" si="104"/>
        <v>-9.4706381329140683</v>
      </c>
      <c r="BH137" s="94">
        <f t="shared" si="105"/>
        <v>-2.2741224923994277</v>
      </c>
      <c r="BI137" s="39">
        <v>0.75</v>
      </c>
      <c r="BK137" s="39">
        <v>0.75</v>
      </c>
      <c r="BL137" s="38">
        <v>-90</v>
      </c>
      <c r="BM137" s="38">
        <f t="shared" si="106"/>
        <v>-2.0474614986880884</v>
      </c>
      <c r="BN137" s="38">
        <f t="shared" si="140"/>
        <v>-93.685695181080817</v>
      </c>
      <c r="BP137">
        <f t="shared" si="108"/>
        <v>9.204746149868809</v>
      </c>
      <c r="BQ137">
        <f t="shared" si="109"/>
        <v>183.6856951810808</v>
      </c>
      <c r="BR137" s="94">
        <f t="shared" si="110"/>
        <v>-9.1857079614946517</v>
      </c>
      <c r="BS137" s="94">
        <f t="shared" si="111"/>
        <v>-0.59171017369858825</v>
      </c>
      <c r="BT137" s="39">
        <v>0.75</v>
      </c>
      <c r="BV137" s="39">
        <v>0.75</v>
      </c>
      <c r="BW137" s="38">
        <v>-90</v>
      </c>
      <c r="BX137" s="38">
        <f t="shared" si="112"/>
        <v>3.7457083017543744</v>
      </c>
      <c r="BY137" s="38">
        <f t="shared" si="141"/>
        <v>-83.239470999313269</v>
      </c>
      <c r="CA137">
        <f t="shared" si="114"/>
        <v>8.625429169824562</v>
      </c>
      <c r="CB137">
        <f t="shared" si="115"/>
        <v>173.23947099931326</v>
      </c>
      <c r="CC137" s="94">
        <f t="shared" si="116"/>
        <v>-8.5654551879976513</v>
      </c>
      <c r="CD137" s="94">
        <f t="shared" si="117"/>
        <v>1.0153845508301516</v>
      </c>
      <c r="CE137" s="39">
        <v>0.75</v>
      </c>
      <c r="CG137" s="39">
        <v>0.75</v>
      </c>
      <c r="CH137" s="38">
        <v>-90</v>
      </c>
      <c r="CI137" s="38">
        <f t="shared" si="118"/>
        <v>8.5974359692729667</v>
      </c>
      <c r="CJ137" s="38">
        <f t="shared" si="142"/>
        <v>-74.225135377203927</v>
      </c>
      <c r="CL137">
        <f t="shared" si="120"/>
        <v>8.1402564030727032</v>
      </c>
      <c r="CM137">
        <f t="shared" si="121"/>
        <v>164.22513537720391</v>
      </c>
      <c r="CN137" s="94">
        <f t="shared" si="122"/>
        <v>-7.8336727666422483</v>
      </c>
      <c r="CO137" s="94">
        <f t="shared" si="123"/>
        <v>2.2129946436748833</v>
      </c>
      <c r="CP137" s="39">
        <v>0.75</v>
      </c>
      <c r="CR137" s="39">
        <v>0.75</v>
      </c>
      <c r="CS137" s="38">
        <v>-90</v>
      </c>
      <c r="CT137" s="38">
        <f t="shared" si="124"/>
        <v>11.002251178794777</v>
      </c>
      <c r="CU137" s="38">
        <f t="shared" si="143"/>
        <v>-69.537585435747644</v>
      </c>
      <c r="CW137">
        <f t="shared" si="126"/>
        <v>7.8997748821205223</v>
      </c>
      <c r="CX137">
        <f t="shared" si="127"/>
        <v>159.53758543574764</v>
      </c>
      <c r="CY137" s="94">
        <f t="shared" si="128"/>
        <v>-7.40131267544563</v>
      </c>
      <c r="CZ137" s="94">
        <f t="shared" si="129"/>
        <v>2.76170488439119</v>
      </c>
      <c r="DA137" s="39">
        <v>0.75</v>
      </c>
      <c r="DC137" s="39">
        <v>0.75</v>
      </c>
      <c r="DD137" s="38">
        <v>-90</v>
      </c>
      <c r="DE137" s="38">
        <f t="shared" si="130"/>
        <v>-11.15205496731916</v>
      </c>
      <c r="DF137" s="38">
        <f t="shared" si="144"/>
        <v>-110.76123341972382</v>
      </c>
      <c r="DH137">
        <f t="shared" si="132"/>
        <v>10.115205496731916</v>
      </c>
      <c r="DI137">
        <f t="shared" si="133"/>
        <v>200.76123341972382</v>
      </c>
      <c r="DJ137" s="94">
        <f t="shared" si="134"/>
        <v>-9.4583820053833971</v>
      </c>
      <c r="DK137" s="94">
        <f t="shared" si="135"/>
        <v>-3.5855811357930687</v>
      </c>
      <c r="DL137" s="39">
        <v>0.75</v>
      </c>
    </row>
    <row r="138" spans="1:116" x14ac:dyDescent="0.25">
      <c r="A138">
        <v>-4.5999999999999996</v>
      </c>
      <c r="B138">
        <f t="shared" si="136"/>
        <v>7.7356318423254864</v>
      </c>
      <c r="C138">
        <f t="shared" si="137"/>
        <v>-7.7356318423254864</v>
      </c>
      <c r="D138">
        <f t="shared" si="20"/>
        <v>6.5452272687814288</v>
      </c>
      <c r="E138">
        <f t="shared" si="21"/>
        <v>-6.5452272687814288</v>
      </c>
      <c r="F138">
        <f t="shared" si="24"/>
        <v>5.2763623833091682</v>
      </c>
      <c r="G138">
        <f t="shared" si="25"/>
        <v>-5.2763623833091682</v>
      </c>
      <c r="H138">
        <f t="shared" si="74"/>
        <v>3.8522720568516449</v>
      </c>
      <c r="I138">
        <f t="shared" si="75"/>
        <v>-3.8522720568516449</v>
      </c>
      <c r="J138">
        <f t="shared" si="90"/>
        <v>1.9595917942265433</v>
      </c>
      <c r="K138">
        <f>-J138</f>
        <v>-1.9595917942265433</v>
      </c>
      <c r="AO138" s="39">
        <v>0.79166666666666663</v>
      </c>
      <c r="AP138" s="38">
        <v>-105</v>
      </c>
      <c r="AQ138" s="38">
        <f t="shared" si="94"/>
        <v>-23.1088955047322</v>
      </c>
      <c r="AR138" s="38">
        <f t="shared" si="138"/>
        <v>-103.34940436098259</v>
      </c>
      <c r="AT138">
        <f t="shared" si="96"/>
        <v>11.31088955047322</v>
      </c>
      <c r="AU138">
        <f t="shared" si="97"/>
        <v>193.34940436098259</v>
      </c>
      <c r="AV138" s="94">
        <f t="shared" si="98"/>
        <v>-11.005270969786864</v>
      </c>
      <c r="AW138" s="94">
        <f t="shared" si="99"/>
        <v>-2.6115576395267972</v>
      </c>
      <c r="AX138" s="39">
        <v>0.79166666666666663</v>
      </c>
      <c r="AZ138" s="39">
        <v>0.79166666666666663</v>
      </c>
      <c r="BA138" s="38">
        <v>-105</v>
      </c>
      <c r="BB138" s="38">
        <f t="shared" si="100"/>
        <v>-20.296531863835749</v>
      </c>
      <c r="BC138" s="38">
        <f t="shared" si="139"/>
        <v>-96.750275197271563</v>
      </c>
      <c r="BE138">
        <f t="shared" si="102"/>
        <v>11.029653186383575</v>
      </c>
      <c r="BF138">
        <f t="shared" si="103"/>
        <v>186.75027519727155</v>
      </c>
      <c r="BG138" s="94">
        <f t="shared" si="104"/>
        <v>-10.953194443702413</v>
      </c>
      <c r="BH138" s="94">
        <f t="shared" si="105"/>
        <v>-1.2964493396766186</v>
      </c>
      <c r="BI138" s="39">
        <v>0.79166666666666663</v>
      </c>
      <c r="BK138" s="39">
        <v>0.79166666666666663</v>
      </c>
      <c r="BL138" s="38">
        <v>-105</v>
      </c>
      <c r="BM138" s="38">
        <f t="shared" si="106"/>
        <v>-15.147701011627433</v>
      </c>
      <c r="BN138" s="38">
        <f t="shared" si="140"/>
        <v>-86.364160707609329</v>
      </c>
      <c r="BP138">
        <f t="shared" si="108"/>
        <v>10.514770101162743</v>
      </c>
      <c r="BQ138">
        <f t="shared" si="109"/>
        <v>176.36416070760933</v>
      </c>
      <c r="BR138" s="94">
        <f t="shared" si="110"/>
        <v>-10.493606569730019</v>
      </c>
      <c r="BS138" s="94">
        <f t="shared" si="111"/>
        <v>0.66679190158919466</v>
      </c>
      <c r="BT138" s="39">
        <v>0.79166666666666663</v>
      </c>
      <c r="BV138" s="39">
        <v>0.79166666666666663</v>
      </c>
      <c r="BW138" s="38">
        <v>-105</v>
      </c>
      <c r="BX138" s="38">
        <f t="shared" si="112"/>
        <v>-9.1379383497118152</v>
      </c>
      <c r="BY138" s="38">
        <f t="shared" si="141"/>
        <v>-75.804390510576525</v>
      </c>
      <c r="CA138">
        <f t="shared" si="114"/>
        <v>9.9137938349711821</v>
      </c>
      <c r="CB138">
        <f t="shared" si="115"/>
        <v>165.80439051057652</v>
      </c>
      <c r="CC138" s="94">
        <f t="shared" si="116"/>
        <v>-9.6110676607095051</v>
      </c>
      <c r="CD138" s="94">
        <f t="shared" si="117"/>
        <v>2.4311903717266845</v>
      </c>
      <c r="CE138" s="39">
        <v>0.79166666666666663</v>
      </c>
      <c r="CG138" s="39">
        <v>0.79166666666666663</v>
      </c>
      <c r="CH138" s="38">
        <v>-105</v>
      </c>
      <c r="CI138" s="38">
        <f t="shared" si="118"/>
        <v>-3.7691542744190856</v>
      </c>
      <c r="CJ138" s="38">
        <f t="shared" si="142"/>
        <v>-67.086482293695084</v>
      </c>
      <c r="CL138">
        <f t="shared" si="120"/>
        <v>9.376915427441908</v>
      </c>
      <c r="CM138">
        <f t="shared" si="121"/>
        <v>157.0864822936951</v>
      </c>
      <c r="CN138" s="94">
        <f t="shared" si="122"/>
        <v>-8.6370165489024497</v>
      </c>
      <c r="CO138" s="94">
        <f t="shared" si="123"/>
        <v>3.6508201910506748</v>
      </c>
      <c r="CP138" s="39">
        <v>0.79166666666666663</v>
      </c>
      <c r="CR138" s="39">
        <v>0.79166666666666663</v>
      </c>
      <c r="CS138" s="38">
        <v>-105</v>
      </c>
      <c r="CT138" s="38">
        <f t="shared" si="124"/>
        <v>-0.98425873859118373</v>
      </c>
      <c r="CU138" s="38">
        <f t="shared" si="143"/>
        <v>-62.682223313308867</v>
      </c>
      <c r="CW138">
        <f t="shared" si="126"/>
        <v>9.0984258738591191</v>
      </c>
      <c r="CX138">
        <f t="shared" si="127"/>
        <v>152.68222331330887</v>
      </c>
      <c r="CY138" s="94">
        <f t="shared" si="128"/>
        <v>-8.083722913717649</v>
      </c>
      <c r="CZ138" s="94">
        <f t="shared" si="129"/>
        <v>4.1754972442028189</v>
      </c>
      <c r="DA138" s="39">
        <v>0.79166666666666663</v>
      </c>
      <c r="DC138" s="39">
        <v>0.79166666666666663</v>
      </c>
      <c r="DD138" s="38">
        <v>-105</v>
      </c>
      <c r="DE138" s="38">
        <f t="shared" si="130"/>
        <v>-23.636004549359633</v>
      </c>
      <c r="DF138" s="38">
        <f t="shared" si="144"/>
        <v>-104.69392403052011</v>
      </c>
      <c r="DH138">
        <f t="shared" si="132"/>
        <v>11.363600454935963</v>
      </c>
      <c r="DI138">
        <f t="shared" si="133"/>
        <v>194.69392403052012</v>
      </c>
      <c r="DJ138" s="94">
        <f t="shared" si="134"/>
        <v>-10.991950007398707</v>
      </c>
      <c r="DK138" s="94">
        <f t="shared" si="135"/>
        <v>-2.8824382620046505</v>
      </c>
      <c r="DL138" s="39">
        <v>0.79166666666666663</v>
      </c>
    </row>
    <row r="139" spans="1:116" x14ac:dyDescent="0.25">
      <c r="A139">
        <v>-4.7</v>
      </c>
      <c r="B139">
        <f t="shared" si="136"/>
        <v>7.6752850109947053</v>
      </c>
      <c r="C139">
        <f t="shared" si="137"/>
        <v>-7.6752850109947053</v>
      </c>
      <c r="D139">
        <f t="shared" si="20"/>
        <v>6.473793323855805</v>
      </c>
      <c r="E139">
        <f t="shared" si="21"/>
        <v>-6.473793323855805</v>
      </c>
      <c r="F139">
        <f t="shared" si="24"/>
        <v>5.1874849397371747</v>
      </c>
      <c r="G139">
        <f t="shared" si="25"/>
        <v>-5.1874849397371747</v>
      </c>
      <c r="H139">
        <f t="shared" si="74"/>
        <v>3.7296112397943029</v>
      </c>
      <c r="I139">
        <f t="shared" si="75"/>
        <v>-3.7296112397943029</v>
      </c>
      <c r="J139">
        <f t="shared" si="90"/>
        <v>1.7058722109231972</v>
      </c>
      <c r="K139">
        <f>-J139</f>
        <v>-1.7058722109231972</v>
      </c>
      <c r="AO139" s="39">
        <v>0.83333333333333304</v>
      </c>
      <c r="AP139" s="38">
        <v>-120</v>
      </c>
      <c r="AQ139" s="38">
        <f t="shared" si="94"/>
        <v>-35.998295445076977</v>
      </c>
      <c r="AR139" s="38">
        <f t="shared" si="138"/>
        <v>-97.368538589092722</v>
      </c>
      <c r="AT139">
        <f t="shared" si="96"/>
        <v>12.599829544507697</v>
      </c>
      <c r="AU139">
        <f t="shared" si="97"/>
        <v>187.36853858909274</v>
      </c>
      <c r="AV139" s="94">
        <f t="shared" si="98"/>
        <v>-12.495776815816766</v>
      </c>
      <c r="AW139" s="94">
        <f t="shared" si="99"/>
        <v>-1.6159413107985252</v>
      </c>
      <c r="AX139" s="39">
        <v>0.83333333333333304</v>
      </c>
      <c r="AZ139" s="39">
        <v>0.83333333333333304</v>
      </c>
      <c r="BA139" s="38">
        <v>-120</v>
      </c>
      <c r="BB139" s="38">
        <f t="shared" si="100"/>
        <v>-33.375576800263644</v>
      </c>
      <c r="BC139" s="38">
        <f t="shared" si="139"/>
        <v>-89.808687161128702</v>
      </c>
      <c r="BE139">
        <f t="shared" si="102"/>
        <v>12.337557680026364</v>
      </c>
      <c r="BF139">
        <f t="shared" si="103"/>
        <v>179.80868716112872</v>
      </c>
      <c r="BG139" s="94">
        <f t="shared" si="104"/>
        <v>-12.337488903258178</v>
      </c>
      <c r="BH139" s="94">
        <f t="shared" si="105"/>
        <v>4.1195508964215595E-2</v>
      </c>
      <c r="BI139" s="39">
        <v>0.83333333333333304</v>
      </c>
      <c r="BK139" s="39">
        <v>0.83333333333333304</v>
      </c>
      <c r="BL139" s="38">
        <v>-120</v>
      </c>
      <c r="BM139" s="38">
        <f t="shared" si="106"/>
        <v>-28.132756376775866</v>
      </c>
      <c r="BN139" s="38">
        <f t="shared" si="140"/>
        <v>-78.347362563772293</v>
      </c>
      <c r="BP139">
        <f t="shared" si="108"/>
        <v>11.813275637677586</v>
      </c>
      <c r="BQ139">
        <f t="shared" si="109"/>
        <v>168.34736256377229</v>
      </c>
      <c r="BR139" s="94">
        <f t="shared" si="110"/>
        <v>-11.569805286624637</v>
      </c>
      <c r="BS139" s="94">
        <f t="shared" si="111"/>
        <v>2.3860190530126468</v>
      </c>
      <c r="BT139" s="39">
        <v>0.83333333333333304</v>
      </c>
      <c r="BV139" s="39">
        <v>0.83333333333333304</v>
      </c>
      <c r="BW139" s="38">
        <v>-120</v>
      </c>
      <c r="BX139" s="38">
        <f t="shared" si="112"/>
        <v>-21.572441130326556</v>
      </c>
      <c r="BY139" s="38">
        <f t="shared" si="141"/>
        <v>-67.339818015101898</v>
      </c>
      <c r="CA139">
        <f t="shared" si="114"/>
        <v>11.157244113032656</v>
      </c>
      <c r="CB139">
        <f t="shared" si="115"/>
        <v>157.33981801510191</v>
      </c>
      <c r="CC139" s="94">
        <f t="shared" si="116"/>
        <v>-10.295972415380142</v>
      </c>
      <c r="CD139" s="94">
        <f t="shared" si="117"/>
        <v>4.298493715190598</v>
      </c>
      <c r="CE139" s="39">
        <v>0.83333333333333304</v>
      </c>
      <c r="CG139" s="39">
        <v>0.83333333333333304</v>
      </c>
      <c r="CH139" s="38">
        <v>-120</v>
      </c>
      <c r="CI139" s="38">
        <f t="shared" si="118"/>
        <v>-15.444041296492092</v>
      </c>
      <c r="CJ139" s="38">
        <f t="shared" si="142"/>
        <v>-58.750204484754804</v>
      </c>
      <c r="CL139">
        <f t="shared" si="120"/>
        <v>10.544404129649209</v>
      </c>
      <c r="CM139">
        <f t="shared" si="121"/>
        <v>148.75020448475482</v>
      </c>
      <c r="CN139" s="94">
        <f t="shared" si="122"/>
        <v>-9.0145557821646776</v>
      </c>
      <c r="CO139" s="94">
        <f t="shared" si="123"/>
        <v>5.4701227133954387</v>
      </c>
      <c r="CP139" s="39">
        <v>0.83333333333333304</v>
      </c>
      <c r="CR139" s="39">
        <v>0.83333333333333304</v>
      </c>
      <c r="CS139" s="38">
        <v>-120</v>
      </c>
      <c r="CT139" s="38">
        <f t="shared" si="124"/>
        <v>-12.182509074452025</v>
      </c>
      <c r="CU139" s="38">
        <f t="shared" si="143"/>
        <v>-54.569235210579663</v>
      </c>
      <c r="CW139">
        <f t="shared" si="126"/>
        <v>10.218250907445203</v>
      </c>
      <c r="CX139">
        <f t="shared" si="127"/>
        <v>144.56923521057968</v>
      </c>
      <c r="CY139" s="94">
        <f t="shared" si="128"/>
        <v>-8.326000820257569</v>
      </c>
      <c r="CZ139" s="94">
        <f t="shared" si="129"/>
        <v>5.9237118387523715</v>
      </c>
      <c r="DA139" s="39">
        <v>0.83333333333333304</v>
      </c>
      <c r="DC139" s="39">
        <v>0.83333333333333304</v>
      </c>
      <c r="DD139" s="38">
        <v>-120</v>
      </c>
      <c r="DE139" s="38">
        <f t="shared" si="130"/>
        <v>-36.462362723804368</v>
      </c>
      <c r="DF139" s="38">
        <f t="shared" si="144"/>
        <v>-98.929650560124273</v>
      </c>
      <c r="DH139">
        <f t="shared" si="132"/>
        <v>12.646236272380436</v>
      </c>
      <c r="DI139">
        <f t="shared" si="133"/>
        <v>188.92965056012429</v>
      </c>
      <c r="DJ139" s="94">
        <f t="shared" si="134"/>
        <v>-12.492959726538649</v>
      </c>
      <c r="DK139" s="94">
        <f t="shared" si="135"/>
        <v>-1.9629694668929556</v>
      </c>
      <c r="DL139" s="39">
        <v>0.83333333333333304</v>
      </c>
    </row>
    <row r="140" spans="1:116" x14ac:dyDescent="0.25">
      <c r="A140">
        <v>-4.8</v>
      </c>
      <c r="B140">
        <f t="shared" si="136"/>
        <v>7.6131465242697125</v>
      </c>
      <c r="C140">
        <f t="shared" si="137"/>
        <v>-7.6131465242697125</v>
      </c>
      <c r="D140">
        <f t="shared" ref="D140:D172" si="145">+SQRT(64-A140^2)</f>
        <v>6.4</v>
      </c>
      <c r="E140">
        <f t="shared" ref="E140:E171" si="146">-D140</f>
        <v>-6.4</v>
      </c>
      <c r="F140">
        <f t="shared" si="24"/>
        <v>5.0950956811427988</v>
      </c>
      <c r="G140">
        <f t="shared" si="25"/>
        <v>-5.0950956811427988</v>
      </c>
      <c r="H140">
        <f t="shared" si="74"/>
        <v>3.6</v>
      </c>
      <c r="I140">
        <f t="shared" si="75"/>
        <v>-3.6</v>
      </c>
      <c r="J140">
        <f t="shared" si="90"/>
        <v>1.4000000000000004</v>
      </c>
      <c r="K140">
        <f>-J140</f>
        <v>-1.4000000000000004</v>
      </c>
      <c r="AA140" t="s">
        <v>67</v>
      </c>
      <c r="AC140" t="s">
        <v>66</v>
      </c>
      <c r="AE140" t="s">
        <v>65</v>
      </c>
      <c r="AG140" t="s">
        <v>64</v>
      </c>
      <c r="AI140" t="s">
        <v>63</v>
      </c>
      <c r="AK140" t="s">
        <v>62</v>
      </c>
      <c r="AO140" s="39">
        <v>0.875</v>
      </c>
      <c r="AP140" s="38">
        <v>-135</v>
      </c>
      <c r="AQ140" s="38">
        <f t="shared" si="94"/>
        <v>-49.064968267853097</v>
      </c>
      <c r="AR140" s="38">
        <f t="shared" si="138"/>
        <v>-90.918245771275195</v>
      </c>
      <c r="AT140">
        <f t="shared" si="96"/>
        <v>13.906496826785309</v>
      </c>
      <c r="AU140">
        <f t="shared" si="97"/>
        <v>180.9182457712752</v>
      </c>
      <c r="AV140" s="94">
        <f t="shared" si="98"/>
        <v>-13.904710951780249</v>
      </c>
      <c r="AW140" s="94">
        <f t="shared" si="99"/>
        <v>-0.22286170786444759</v>
      </c>
      <c r="AX140" s="39">
        <v>0.875</v>
      </c>
      <c r="AZ140" s="39">
        <v>0.875</v>
      </c>
      <c r="BA140" s="38">
        <v>-135</v>
      </c>
      <c r="BB140" s="38">
        <f t="shared" si="100"/>
        <v>-46.440244568188291</v>
      </c>
      <c r="BC140" s="38">
        <f t="shared" si="139"/>
        <v>-81.668571166050128</v>
      </c>
      <c r="BE140">
        <f t="shared" si="102"/>
        <v>13.64402445681883</v>
      </c>
      <c r="BF140">
        <f t="shared" si="103"/>
        <v>171.66857116605013</v>
      </c>
      <c r="BG140" s="94">
        <f t="shared" si="104"/>
        <v>-13.500031638075296</v>
      </c>
      <c r="BH140" s="94">
        <f t="shared" si="105"/>
        <v>1.9770050959055332</v>
      </c>
      <c r="BI140" s="39">
        <v>0.875</v>
      </c>
      <c r="BK140" s="39">
        <v>0.875</v>
      </c>
      <c r="BL140" s="38">
        <v>-135</v>
      </c>
      <c r="BM140" s="38">
        <f t="shared" si="106"/>
        <v>-40.69450913621494</v>
      </c>
      <c r="BN140" s="38">
        <f t="shared" si="140"/>
        <v>-68.449359832966508</v>
      </c>
      <c r="BP140">
        <f t="shared" si="108"/>
        <v>13.069450913621495</v>
      </c>
      <c r="BQ140">
        <f t="shared" si="109"/>
        <v>158.44935983296651</v>
      </c>
      <c r="BR140" s="94">
        <f t="shared" si="110"/>
        <v>-12.155808429300226</v>
      </c>
      <c r="BS140" s="94">
        <f t="shared" si="111"/>
        <v>4.8007154272790702</v>
      </c>
      <c r="BT140" s="39">
        <v>0.875</v>
      </c>
      <c r="BV140" s="39">
        <v>0.875</v>
      </c>
      <c r="BW140" s="38">
        <v>-135</v>
      </c>
      <c r="BX140" s="38">
        <f t="shared" si="112"/>
        <v>-33.163778112116894</v>
      </c>
      <c r="BY140" s="38">
        <f t="shared" si="141"/>
        <v>-56.828274835741524</v>
      </c>
      <c r="CA140">
        <f t="shared" si="114"/>
        <v>12.316377811211689</v>
      </c>
      <c r="CB140">
        <f t="shared" si="115"/>
        <v>146.82827483574152</v>
      </c>
      <c r="CC140" s="94">
        <f t="shared" si="116"/>
        <v>-10.309232255931517</v>
      </c>
      <c r="CD140" s="94">
        <f t="shared" si="117"/>
        <v>6.7389088643317328</v>
      </c>
      <c r="CE140" s="39">
        <v>0.875</v>
      </c>
      <c r="CG140" s="39">
        <v>0.875</v>
      </c>
      <c r="CH140" s="38">
        <v>-135</v>
      </c>
      <c r="CI140" s="38">
        <f t="shared" si="118"/>
        <v>-26.009630801153676</v>
      </c>
      <c r="CJ140" s="38">
        <f t="shared" si="142"/>
        <v>-48.473747153771313</v>
      </c>
      <c r="CL140">
        <f t="shared" si="120"/>
        <v>11.600963080115367</v>
      </c>
      <c r="CM140">
        <f t="shared" si="121"/>
        <v>138.47374715377131</v>
      </c>
      <c r="CN140" s="94">
        <f t="shared" si="122"/>
        <v>-8.6850845668204162</v>
      </c>
      <c r="CO140" s="94">
        <f t="shared" si="123"/>
        <v>7.6910110163344347</v>
      </c>
      <c r="CP140" s="39">
        <v>0.875</v>
      </c>
      <c r="CR140" s="39">
        <v>0.875</v>
      </c>
      <c r="CS140" s="38">
        <v>-135</v>
      </c>
      <c r="CT140" s="38">
        <f t="shared" si="124"/>
        <v>-22.178173585837602</v>
      </c>
      <c r="CU140" s="38">
        <f t="shared" si="143"/>
        <v>-44.609465486800445</v>
      </c>
      <c r="CW140">
        <f t="shared" si="126"/>
        <v>11.21781735858376</v>
      </c>
      <c r="CX140">
        <f t="shared" si="127"/>
        <v>134.60946548680045</v>
      </c>
      <c r="CY140" s="94">
        <f t="shared" si="128"/>
        <v>-7.8779441448788878</v>
      </c>
      <c r="CZ140" s="94">
        <f t="shared" si="129"/>
        <v>7.9860767802915342</v>
      </c>
      <c r="DA140" s="39">
        <v>0.875</v>
      </c>
      <c r="DC140" s="39">
        <v>0.875</v>
      </c>
      <c r="DD140" s="38">
        <v>-135</v>
      </c>
      <c r="DE140" s="38">
        <f t="shared" si="130"/>
        <v>-49.494624805188721</v>
      </c>
      <c r="DF140" s="38">
        <f t="shared" si="144"/>
        <v>-92.867225270837807</v>
      </c>
      <c r="DH140">
        <f t="shared" si="132"/>
        <v>13.949462480518871</v>
      </c>
      <c r="DI140">
        <f t="shared" si="133"/>
        <v>182.86722527083782</v>
      </c>
      <c r="DJ140" s="94">
        <f t="shared" si="134"/>
        <v>-13.931999627034255</v>
      </c>
      <c r="DK140" s="94">
        <f t="shared" si="135"/>
        <v>-0.69777495492536135</v>
      </c>
      <c r="DL140" s="39">
        <v>0.875</v>
      </c>
    </row>
    <row r="141" spans="1:116" x14ac:dyDescent="0.25">
      <c r="A141">
        <v>-4.9000000000000004</v>
      </c>
      <c r="B141">
        <f t="shared" si="136"/>
        <v>7.5491721400429066</v>
      </c>
      <c r="C141">
        <f t="shared" si="137"/>
        <v>-7.5491721400429066</v>
      </c>
      <c r="D141">
        <f t="shared" si="145"/>
        <v>6.3237647015049507</v>
      </c>
      <c r="E141">
        <f t="shared" si="146"/>
        <v>-6.3237647015049507</v>
      </c>
      <c r="F141">
        <f t="shared" si="24"/>
        <v>4.9989998999799941</v>
      </c>
      <c r="G141">
        <f t="shared" si="25"/>
        <v>-4.9989998999799941</v>
      </c>
      <c r="H141">
        <f t="shared" si="74"/>
        <v>3.4626579386361565</v>
      </c>
      <c r="I141">
        <f t="shared" si="75"/>
        <v>-3.4626579386361565</v>
      </c>
      <c r="J141">
        <f t="shared" si="90"/>
        <v>0.99498743710661741</v>
      </c>
      <c r="K141">
        <f>-J141</f>
        <v>-0.99498743710661741</v>
      </c>
      <c r="AA141" s="55">
        <v>0.25</v>
      </c>
      <c r="AB141" s="198">
        <f>IF(Isorreq!N10=-1,0,1)</f>
        <v>0</v>
      </c>
      <c r="AC141" s="55">
        <v>0.25</v>
      </c>
      <c r="AD141" s="198">
        <f>IF(Isorreq!M10=-1,0,1)</f>
        <v>0</v>
      </c>
      <c r="AE141" s="55">
        <v>0.25</v>
      </c>
      <c r="AF141" s="198">
        <f>IF(Isorreq!L10=-1,0,1)</f>
        <v>0</v>
      </c>
      <c r="AG141" s="55">
        <v>0.25</v>
      </c>
      <c r="AH141" s="198">
        <f>IF(Isorreq!K10=-1,0,1)</f>
        <v>1</v>
      </c>
      <c r="AI141" s="55">
        <v>0.25</v>
      </c>
      <c r="AJ141" s="198">
        <f>IF(Isorreq!J10=-1,0,1)</f>
        <v>1</v>
      </c>
      <c r="AK141" s="55">
        <v>0.25</v>
      </c>
      <c r="AL141" s="198">
        <f>IF(Isorreq!I10=-1,0,1)</f>
        <v>1</v>
      </c>
      <c r="AO141" s="39">
        <v>0.91666666666666696</v>
      </c>
      <c r="AP141" s="38">
        <v>-150</v>
      </c>
      <c r="AQ141" s="38">
        <f t="shared" si="94"/>
        <v>-62.144337795921587</v>
      </c>
      <c r="AR141" s="38">
        <f t="shared" si="138"/>
        <v>-82.491026273418044</v>
      </c>
      <c r="AT141">
        <f t="shared" si="96"/>
        <v>15.214433779592159</v>
      </c>
      <c r="AU141">
        <f t="shared" si="97"/>
        <v>172.49102627341804</v>
      </c>
      <c r="AV141" s="94">
        <f t="shared" si="98"/>
        <v>-15.083960973489583</v>
      </c>
      <c r="AW141" s="94">
        <f t="shared" si="99"/>
        <v>1.9882445985939734</v>
      </c>
      <c r="AX141" s="39">
        <v>0.91666666666666696</v>
      </c>
      <c r="AY141" s="13"/>
      <c r="AZ141" s="39">
        <v>0.91666666666666696</v>
      </c>
      <c r="BA141" s="38">
        <v>-150</v>
      </c>
      <c r="BB141" s="38">
        <f t="shared" si="100"/>
        <v>-59.157361808562058</v>
      </c>
      <c r="BC141" s="38">
        <f t="shared" si="139"/>
        <v>-70.120905705727807</v>
      </c>
      <c r="BE141">
        <f t="shared" si="102"/>
        <v>14.915736180856205</v>
      </c>
      <c r="BF141">
        <f t="shared" si="103"/>
        <v>160.12090570572781</v>
      </c>
      <c r="BG141" s="94">
        <f t="shared" si="104"/>
        <v>-14.026941169300484</v>
      </c>
      <c r="BH141" s="94">
        <f t="shared" si="105"/>
        <v>5.0718938523874924</v>
      </c>
      <c r="BI141" s="39">
        <v>0.91666666666666696</v>
      </c>
      <c r="BK141" s="39">
        <v>0.91666666666666696</v>
      </c>
      <c r="BL141" s="38">
        <v>-150</v>
      </c>
      <c r="BM141" s="38">
        <f t="shared" si="106"/>
        <v>-52.235597230597229</v>
      </c>
      <c r="BN141" s="38">
        <f t="shared" si="140"/>
        <v>-54.511264854904709</v>
      </c>
      <c r="BP141">
        <f t="shared" si="108"/>
        <v>14.223559723059722</v>
      </c>
      <c r="BQ141">
        <f t="shared" si="109"/>
        <v>144.51126485490471</v>
      </c>
      <c r="BR141" s="94">
        <f t="shared" si="110"/>
        <v>-11.581244395524559</v>
      </c>
      <c r="BS141" s="94">
        <f t="shared" si="111"/>
        <v>8.2573863568672738</v>
      </c>
      <c r="BT141" s="39">
        <v>0.91666666666666696</v>
      </c>
      <c r="BV141" s="39">
        <v>0.91666666666666696</v>
      </c>
      <c r="BW141" s="38">
        <v>-150</v>
      </c>
      <c r="BX141" s="38">
        <f t="shared" si="112"/>
        <v>-43.208830809241775</v>
      </c>
      <c r="BY141" s="38">
        <f t="shared" si="141"/>
        <v>-42.826045557501772</v>
      </c>
      <c r="CA141">
        <f t="shared" si="114"/>
        <v>13.320883080924178</v>
      </c>
      <c r="CB141">
        <f t="shared" si="115"/>
        <v>132.82604555750177</v>
      </c>
      <c r="CC141" s="94">
        <f t="shared" si="116"/>
        <v>-9.0552002792780879</v>
      </c>
      <c r="CD141" s="94">
        <f t="shared" si="117"/>
        <v>9.7698144280131558</v>
      </c>
      <c r="CE141" s="39">
        <v>0.91666666666666696</v>
      </c>
      <c r="CG141" s="39">
        <v>0.91666666666666696</v>
      </c>
      <c r="CH141" s="38">
        <v>-150</v>
      </c>
      <c r="CI141" s="38">
        <f t="shared" si="118"/>
        <v>-34.797322567809786</v>
      </c>
      <c r="CJ141" s="38">
        <f t="shared" si="142"/>
        <v>-35.40599987896482</v>
      </c>
      <c r="CL141">
        <f t="shared" si="120"/>
        <v>12.479732256780979</v>
      </c>
      <c r="CM141">
        <f t="shared" si="121"/>
        <v>125.40599987896482</v>
      </c>
      <c r="CN141" s="94">
        <f t="shared" si="122"/>
        <v>-7.2303391408376463</v>
      </c>
      <c r="CO141" s="94">
        <f t="shared" si="123"/>
        <v>10.171819557454349</v>
      </c>
      <c r="CP141" s="39">
        <v>0.91666666666666696</v>
      </c>
      <c r="CR141" s="39">
        <v>0.91666666666666696</v>
      </c>
      <c r="CS141" s="38">
        <v>-150</v>
      </c>
      <c r="CT141" s="38">
        <f t="shared" si="124"/>
        <v>-30.345862693789289</v>
      </c>
      <c r="CU141" s="38">
        <f t="shared" si="143"/>
        <v>-32.197876165590202</v>
      </c>
      <c r="CW141">
        <f t="shared" si="126"/>
        <v>12.034586269378929</v>
      </c>
      <c r="CX141">
        <f t="shared" si="127"/>
        <v>122.1978761655902</v>
      </c>
      <c r="CY141" s="94">
        <f t="shared" si="128"/>
        <v>-6.4125680267423553</v>
      </c>
      <c r="CZ141" s="94">
        <f t="shared" si="129"/>
        <v>10.183822365768441</v>
      </c>
      <c r="DA141" s="39">
        <v>0.91666666666666696</v>
      </c>
      <c r="DC141" s="39">
        <v>0.91666666666666696</v>
      </c>
      <c r="DD141" s="38">
        <v>-150</v>
      </c>
      <c r="DE141" s="38">
        <f t="shared" si="130"/>
        <v>-62.593106094089499</v>
      </c>
      <c r="DF141" s="38">
        <f t="shared" si="144"/>
        <v>-85.218419971753733</v>
      </c>
      <c r="DH141">
        <f t="shared" si="132"/>
        <v>15.259310609408949</v>
      </c>
      <c r="DI141">
        <f t="shared" si="133"/>
        <v>175.21841997175375</v>
      </c>
      <c r="DJ141" s="94">
        <f t="shared" si="134"/>
        <v>-15.206203772176417</v>
      </c>
      <c r="DK141" s="94">
        <f t="shared" si="135"/>
        <v>1.2719776387453428</v>
      </c>
      <c r="DL141" s="39">
        <v>0.91666666666666696</v>
      </c>
    </row>
    <row r="142" spans="1:116" x14ac:dyDescent="0.25">
      <c r="A142">
        <v>-5</v>
      </c>
      <c r="B142">
        <f t="shared" si="136"/>
        <v>7.4833147735478827</v>
      </c>
      <c r="C142">
        <f t="shared" si="137"/>
        <v>-7.4833147735478827</v>
      </c>
      <c r="D142">
        <f t="shared" si="145"/>
        <v>6.2449979983983983</v>
      </c>
      <c r="E142">
        <f t="shared" si="146"/>
        <v>-6.2449979983983983</v>
      </c>
      <c r="F142">
        <f t="shared" si="24"/>
        <v>4.8989794855663558</v>
      </c>
      <c r="G142">
        <f t="shared" si="25"/>
        <v>-4.8989794855663558</v>
      </c>
      <c r="H142">
        <f t="shared" si="74"/>
        <v>3.3166247903553998</v>
      </c>
      <c r="I142">
        <f t="shared" si="75"/>
        <v>-3.3166247903553998</v>
      </c>
      <c r="J142">
        <f t="shared" si="90"/>
        <v>0</v>
      </c>
      <c r="K142">
        <f>-J142</f>
        <v>0</v>
      </c>
      <c r="AA142" s="55">
        <v>0.29166666666666702</v>
      </c>
      <c r="AB142" s="198">
        <f>IF(Isorreq!N11=-1,0,1)</f>
        <v>0</v>
      </c>
      <c r="AC142" s="55">
        <v>0.29166666666666702</v>
      </c>
      <c r="AD142" s="198">
        <f>IF(Isorreq!M11=-1,0,1)</f>
        <v>0</v>
      </c>
      <c r="AE142" s="55">
        <v>0.29166666666666702</v>
      </c>
      <c r="AF142" s="198">
        <f>IF(Isorreq!L11=-1,0,1)</f>
        <v>0</v>
      </c>
      <c r="AG142" s="55">
        <v>0.29166666666666702</v>
      </c>
      <c r="AH142" s="198">
        <f>IF(Isorreq!K11=-1,0,1)</f>
        <v>1</v>
      </c>
      <c r="AI142" s="55">
        <v>0.29166666666666702</v>
      </c>
      <c r="AJ142" s="198">
        <f>IF(Isorreq!J11=-1,0,1)</f>
        <v>1</v>
      </c>
      <c r="AK142" s="55">
        <v>0.29166666666666702</v>
      </c>
      <c r="AL142" s="198">
        <f>IF(Isorreq!I11=-1,0,1)</f>
        <v>1</v>
      </c>
      <c r="AO142" s="39">
        <v>0.95833333333333304</v>
      </c>
      <c r="AP142" s="38">
        <v>-165</v>
      </c>
      <c r="AQ142" s="38">
        <f t="shared" si="94"/>
        <v>-74.799808157740955</v>
      </c>
      <c r="AR142" s="38">
        <f t="shared" si="138"/>
        <v>-66.142990846489056</v>
      </c>
      <c r="AT142">
        <f t="shared" si="96"/>
        <v>16.479980815774095</v>
      </c>
      <c r="AU142">
        <f t="shared" si="97"/>
        <v>156.14299084648906</v>
      </c>
      <c r="AV142" s="94">
        <f t="shared" si="98"/>
        <v>-15.071893160874563</v>
      </c>
      <c r="AW142" s="94">
        <f t="shared" si="99"/>
        <v>6.6654185341555827</v>
      </c>
      <c r="AX142" s="39">
        <v>0.95833333333333304</v>
      </c>
      <c r="AY142" s="13"/>
      <c r="AZ142" s="39">
        <v>0.95833333333333304</v>
      </c>
      <c r="BA142" s="38">
        <v>-165</v>
      </c>
      <c r="BB142" s="38">
        <f t="shared" si="100"/>
        <v>-70.521354044474833</v>
      </c>
      <c r="BC142" s="38">
        <f t="shared" si="139"/>
        <v>-48.455073660614858</v>
      </c>
      <c r="BE142">
        <f t="shared" si="102"/>
        <v>16.052135404447483</v>
      </c>
      <c r="BF142">
        <f t="shared" si="103"/>
        <v>138.45507366061486</v>
      </c>
      <c r="BG142" s="94">
        <f t="shared" si="104"/>
        <v>-12.013994760051194</v>
      </c>
      <c r="BH142" s="94">
        <f t="shared" si="105"/>
        <v>10.645890331399192</v>
      </c>
      <c r="BI142" s="39">
        <v>0.95833333333333304</v>
      </c>
      <c r="BK142" s="39">
        <v>0.95833333333333304</v>
      </c>
      <c r="BL142" s="38">
        <v>-165</v>
      </c>
      <c r="BM142" s="38">
        <f t="shared" si="106"/>
        <v>-61.35498544459201</v>
      </c>
      <c r="BN142" s="38">
        <f t="shared" si="140"/>
        <v>-32.577599509616022</v>
      </c>
      <c r="BP142">
        <f t="shared" si="108"/>
        <v>15.135498544459201</v>
      </c>
      <c r="BQ142">
        <f t="shared" si="109"/>
        <v>122.57759950961602</v>
      </c>
      <c r="BR142" s="94">
        <f t="shared" si="110"/>
        <v>-8.1495786733652196</v>
      </c>
      <c r="BS142" s="94">
        <f t="shared" si="111"/>
        <v>12.754124181454303</v>
      </c>
      <c r="BT142" s="39">
        <v>0.95833333333333304</v>
      </c>
      <c r="BV142" s="39">
        <v>0.95833333333333304</v>
      </c>
      <c r="BW142" s="38">
        <v>-165</v>
      </c>
      <c r="BX142" s="38">
        <f t="shared" si="112"/>
        <v>-50.459462063736531</v>
      </c>
      <c r="BY142" s="38">
        <f t="shared" si="141"/>
        <v>-23.757097991460768</v>
      </c>
      <c r="CA142">
        <f t="shared" si="114"/>
        <v>14.045946206373653</v>
      </c>
      <c r="CB142">
        <f t="shared" si="115"/>
        <v>113.75709799146077</v>
      </c>
      <c r="CC142" s="94">
        <f t="shared" si="116"/>
        <v>-5.658550992626556</v>
      </c>
      <c r="CD142" s="94">
        <f t="shared" si="117"/>
        <v>12.855714896348138</v>
      </c>
      <c r="CE142" s="39">
        <v>0.95833333333333304</v>
      </c>
      <c r="CG142" s="39">
        <v>0.95833333333333304</v>
      </c>
      <c r="CH142" s="38">
        <v>-165</v>
      </c>
      <c r="CI142" s="38">
        <f t="shared" si="118"/>
        <v>-40.824938336382189</v>
      </c>
      <c r="CJ142" s="38">
        <f t="shared" si="142"/>
        <v>-18.99291882687055</v>
      </c>
      <c r="CL142">
        <f t="shared" si="120"/>
        <v>13.082493833638219</v>
      </c>
      <c r="CM142">
        <f t="shared" si="121"/>
        <v>108.99291882687055</v>
      </c>
      <c r="CN142" s="94">
        <f t="shared" si="122"/>
        <v>-4.2577145669546788</v>
      </c>
      <c r="CO142" s="94">
        <f t="shared" si="123"/>
        <v>12.370267239373771</v>
      </c>
      <c r="CP142" s="39">
        <v>0.95833333333333304</v>
      </c>
      <c r="CR142" s="39">
        <v>0.95833333333333304</v>
      </c>
      <c r="CS142" s="38">
        <v>-165</v>
      </c>
      <c r="CT142" s="38">
        <f t="shared" si="124"/>
        <v>-35.839262725902358</v>
      </c>
      <c r="CU142" s="38">
        <f t="shared" si="143"/>
        <v>-17.075115341073001</v>
      </c>
      <c r="CW142">
        <f t="shared" si="126"/>
        <v>12.583926272590237</v>
      </c>
      <c r="CX142">
        <f t="shared" si="127"/>
        <v>107.075115341073</v>
      </c>
      <c r="CY142" s="94">
        <f t="shared" si="128"/>
        <v>-3.6949575945570592</v>
      </c>
      <c r="CZ142" s="94">
        <f t="shared" si="129"/>
        <v>12.029234755727893</v>
      </c>
      <c r="DA142" s="39">
        <v>0.95833333333333304</v>
      </c>
      <c r="DC142" s="39">
        <v>0.95833333333333304</v>
      </c>
      <c r="DD142" s="38">
        <v>-165</v>
      </c>
      <c r="DE142" s="38">
        <f t="shared" si="130"/>
        <v>-75.43350470599799</v>
      </c>
      <c r="DF142" s="38">
        <f t="shared" si="144"/>
        <v>-70.750931390631095</v>
      </c>
      <c r="DH142">
        <f t="shared" si="132"/>
        <v>16.543350470599798</v>
      </c>
      <c r="DI142">
        <f t="shared" si="133"/>
        <v>160.75093139063108</v>
      </c>
      <c r="DJ142" s="94">
        <f t="shared" si="134"/>
        <v>-15.618484200107716</v>
      </c>
      <c r="DK142" s="94">
        <f t="shared" si="135"/>
        <v>5.4539340007081281</v>
      </c>
      <c r="DL142" s="39">
        <v>0.95833333333333304</v>
      </c>
    </row>
    <row r="143" spans="1:116" x14ac:dyDescent="0.25">
      <c r="A143">
        <v>-5.0999999999999996</v>
      </c>
      <c r="B143">
        <f t="shared" si="136"/>
        <v>7.4155242565849653</v>
      </c>
      <c r="C143">
        <f t="shared" si="137"/>
        <v>-7.4155242565849653</v>
      </c>
      <c r="D143">
        <f t="shared" si="145"/>
        <v>6.163602842493991</v>
      </c>
      <c r="E143">
        <f t="shared" si="146"/>
        <v>-6.163602842493991</v>
      </c>
      <c r="F143">
        <f t="shared" si="24"/>
        <v>4.7947888378947408</v>
      </c>
      <c r="G143">
        <f t="shared" si="25"/>
        <v>-4.7947888378947408</v>
      </c>
      <c r="H143">
        <f t="shared" si="74"/>
        <v>3.1606961258558219</v>
      </c>
      <c r="I143">
        <f t="shared" si="75"/>
        <v>-3.1606961258558219</v>
      </c>
      <c r="AA143" s="55">
        <v>0.33333333333333298</v>
      </c>
      <c r="AB143" s="198">
        <f>IF(Isorreq!N12=-1,0,1)</f>
        <v>0</v>
      </c>
      <c r="AC143" s="55">
        <v>0.33333333333333298</v>
      </c>
      <c r="AD143" s="198">
        <f>IF(Isorreq!M12=-1,0,1)</f>
        <v>0</v>
      </c>
      <c r="AE143" s="55">
        <v>0.33333333333333298</v>
      </c>
      <c r="AF143" s="198">
        <f>IF(Isorreq!L12=-1,0,1)</f>
        <v>0</v>
      </c>
      <c r="AG143" s="55">
        <v>0.33333333333333298</v>
      </c>
      <c r="AH143" s="198">
        <f>IF(Isorreq!K12=-1,0,1)</f>
        <v>1</v>
      </c>
      <c r="AI143" s="55">
        <v>0.33333333333333298</v>
      </c>
      <c r="AJ143" s="198">
        <f>IF(Isorreq!J12=-1,0,1)</f>
        <v>1</v>
      </c>
      <c r="AK143" s="55">
        <v>0.33333333333333298</v>
      </c>
      <c r="AL143" s="198">
        <f>IF(Isorreq!I12=-1,0,1)</f>
        <v>1</v>
      </c>
      <c r="AO143" s="39">
        <v>1</v>
      </c>
      <c r="AP143" s="38">
        <v>-180</v>
      </c>
      <c r="AQ143" s="38">
        <f t="shared" si="94"/>
        <v>-83.027748812505394</v>
      </c>
      <c r="AR143" s="38" t="e">
        <f t="shared" si="138"/>
        <v>#NUM!</v>
      </c>
      <c r="AT143">
        <f t="shared" si="96"/>
        <v>17.302774881250539</v>
      </c>
      <c r="AU143" t="e">
        <f t="shared" si="97"/>
        <v>#NUM!</v>
      </c>
      <c r="AV143" s="94" t="e">
        <f t="shared" si="98"/>
        <v>#NUM!</v>
      </c>
      <c r="AW143" s="94" t="e">
        <f t="shared" si="99"/>
        <v>#NUM!</v>
      </c>
      <c r="AX143" s="39">
        <v>1</v>
      </c>
      <c r="AY143" s="13"/>
      <c r="AZ143" s="39">
        <v>1</v>
      </c>
      <c r="BA143" s="38">
        <v>-180</v>
      </c>
      <c r="BB143" s="38">
        <f t="shared" si="100"/>
        <v>-76.283416576552995</v>
      </c>
      <c r="BC143" s="38">
        <f t="shared" si="139"/>
        <v>-3.8181918284863059E-6</v>
      </c>
      <c r="BE143">
        <f t="shared" si="102"/>
        <v>16.628341657655298</v>
      </c>
      <c r="BF143">
        <f t="shared" si="103"/>
        <v>90.000003818191828</v>
      </c>
      <c r="BG143" s="94">
        <f t="shared" si="104"/>
        <v>-1.1081130002672069E-6</v>
      </c>
      <c r="BH143" s="94">
        <f t="shared" si="105"/>
        <v>16.628341657655263</v>
      </c>
      <c r="BI143" s="39">
        <v>1</v>
      </c>
      <c r="BK143" s="39">
        <v>1</v>
      </c>
      <c r="BL143" s="38">
        <v>-180</v>
      </c>
      <c r="BM143" s="38">
        <f t="shared" si="106"/>
        <v>-65.135526435264424</v>
      </c>
      <c r="BN143" s="38" t="e">
        <f t="shared" si="140"/>
        <v>#NUM!</v>
      </c>
      <c r="BP143">
        <f t="shared" si="108"/>
        <v>15.513552643526442</v>
      </c>
      <c r="BQ143" t="e">
        <f t="shared" si="109"/>
        <v>#NUM!</v>
      </c>
      <c r="BR143" s="94" t="e">
        <f t="shared" si="110"/>
        <v>#NUM!</v>
      </c>
      <c r="BS143" s="94" t="e">
        <f t="shared" si="111"/>
        <v>#NUM!</v>
      </c>
      <c r="BT143" s="39">
        <v>1</v>
      </c>
      <c r="BV143" s="39">
        <v>1</v>
      </c>
      <c r="BW143" s="38">
        <v>-180</v>
      </c>
      <c r="BX143" s="38">
        <f t="shared" si="112"/>
        <v>-53.195371091834765</v>
      </c>
      <c r="BY143" s="38" t="e">
        <f t="shared" si="141"/>
        <v>#NUM!</v>
      </c>
      <c r="CA143">
        <f t="shared" si="114"/>
        <v>14.319537109183477</v>
      </c>
      <c r="CB143" t="e">
        <f t="shared" si="115"/>
        <v>#NUM!</v>
      </c>
      <c r="CC143" s="94" t="e">
        <f t="shared" si="116"/>
        <v>#NUM!</v>
      </c>
      <c r="CD143" s="94" t="e">
        <f t="shared" si="117"/>
        <v>#NUM!</v>
      </c>
      <c r="CE143" s="39">
        <v>1</v>
      </c>
      <c r="CG143" s="39">
        <v>1</v>
      </c>
      <c r="CH143" s="38">
        <v>-180</v>
      </c>
      <c r="CI143" s="38">
        <f t="shared" si="118"/>
        <v>-43.006812030061774</v>
      </c>
      <c r="CJ143" s="38">
        <f t="shared" si="142"/>
        <v>0</v>
      </c>
      <c r="CL143">
        <f t="shared" si="120"/>
        <v>13.300681203006178</v>
      </c>
      <c r="CM143">
        <f t="shared" si="121"/>
        <v>90</v>
      </c>
      <c r="CN143" s="94">
        <f t="shared" si="122"/>
        <v>8.1476545125475718E-16</v>
      </c>
      <c r="CO143" s="94">
        <f t="shared" si="123"/>
        <v>13.300681203006178</v>
      </c>
      <c r="CP143" s="39">
        <v>1</v>
      </c>
      <c r="CR143" s="39">
        <v>1</v>
      </c>
      <c r="CS143" s="38">
        <v>-180</v>
      </c>
      <c r="CT143" s="38">
        <f t="shared" si="124"/>
        <v>-37.799515883348185</v>
      </c>
      <c r="CU143" s="38">
        <f t="shared" si="143"/>
        <v>0</v>
      </c>
      <c r="CW143">
        <f t="shared" si="126"/>
        <v>12.779951588334818</v>
      </c>
      <c r="CX143">
        <f t="shared" si="127"/>
        <v>90</v>
      </c>
      <c r="CY143" s="94">
        <f t="shared" si="128"/>
        <v>7.828668971127683E-16</v>
      </c>
      <c r="CZ143" s="94">
        <f t="shared" si="129"/>
        <v>12.779951588334818</v>
      </c>
      <c r="DA143" s="39">
        <v>1</v>
      </c>
      <c r="DC143" s="39">
        <v>1</v>
      </c>
      <c r="DD143" s="38">
        <v>-180</v>
      </c>
      <c r="DE143" s="38">
        <f t="shared" si="130"/>
        <v>-84.369782846813692</v>
      </c>
      <c r="DF143" s="38" t="e">
        <f t="shared" si="144"/>
        <v>#NUM!</v>
      </c>
      <c r="DH143">
        <f t="shared" si="132"/>
        <v>17.43697828468137</v>
      </c>
      <c r="DI143" t="e">
        <f t="shared" si="133"/>
        <v>#NUM!</v>
      </c>
      <c r="DJ143" s="94" t="e">
        <f t="shared" si="134"/>
        <v>#NUM!</v>
      </c>
      <c r="DK143" s="94" t="e">
        <f t="shared" si="135"/>
        <v>#NUM!</v>
      </c>
      <c r="DL143" s="39">
        <v>1</v>
      </c>
    </row>
    <row r="144" spans="1:116" x14ac:dyDescent="0.25">
      <c r="A144">
        <v>-5.2</v>
      </c>
      <c r="B144">
        <f t="shared" si="136"/>
        <v>7.3457470688827824</v>
      </c>
      <c r="C144">
        <f t="shared" si="137"/>
        <v>-7.3457470688827824</v>
      </c>
      <c r="D144">
        <f t="shared" si="145"/>
        <v>6.0794736614282652</v>
      </c>
      <c r="E144">
        <f t="shared" si="146"/>
        <v>-6.0794736614282652</v>
      </c>
      <c r="F144">
        <f t="shared" si="24"/>
        <v>4.6861498055439927</v>
      </c>
      <c r="G144">
        <f t="shared" si="25"/>
        <v>-4.6861498055439927</v>
      </c>
      <c r="H144">
        <f t="shared" si="74"/>
        <v>2.9933259094191524</v>
      </c>
      <c r="I144">
        <f t="shared" si="75"/>
        <v>-2.9933259094191524</v>
      </c>
      <c r="AA144" s="55">
        <v>0.375</v>
      </c>
      <c r="AB144" s="198">
        <f>IF(Isorreq!N13=-1,0,1)</f>
        <v>0</v>
      </c>
      <c r="AC144" s="55">
        <v>0.375</v>
      </c>
      <c r="AD144" s="198">
        <f>IF(Isorreq!M13=-1,0,1)</f>
        <v>0</v>
      </c>
      <c r="AE144" s="55">
        <v>0.375</v>
      </c>
      <c r="AF144" s="198">
        <f>IF(Isorreq!L13=-1,0,1)</f>
        <v>0</v>
      </c>
      <c r="AG144" s="55">
        <v>0.375</v>
      </c>
      <c r="AH144" s="198">
        <f>IF(Isorreq!K13=-1,0,1)</f>
        <v>1</v>
      </c>
      <c r="AI144" s="55">
        <v>0.375</v>
      </c>
      <c r="AJ144" s="198">
        <f>IF(Isorreq!J13=-1,0,1)</f>
        <v>1</v>
      </c>
      <c r="AK144" s="55">
        <v>0.375</v>
      </c>
      <c r="AL144" s="198">
        <f>IF(Isorreq!I13=-1,0,1)</f>
        <v>1</v>
      </c>
    </row>
    <row r="145" spans="1:88" x14ac:dyDescent="0.25">
      <c r="A145">
        <v>-5.3</v>
      </c>
      <c r="B145">
        <f t="shared" si="136"/>
        <v>7.2739260375673327</v>
      </c>
      <c r="C145">
        <f t="shared" si="137"/>
        <v>-7.2739260375673327</v>
      </c>
      <c r="D145">
        <f t="shared" si="145"/>
        <v>5.9924953066314535</v>
      </c>
      <c r="E145">
        <f t="shared" si="146"/>
        <v>-5.9924953066314535</v>
      </c>
      <c r="F145">
        <f t="shared" si="24"/>
        <v>4.5727453460694703</v>
      </c>
      <c r="G145">
        <f t="shared" si="25"/>
        <v>-4.5727453460694703</v>
      </c>
      <c r="H145">
        <f t="shared" si="74"/>
        <v>2.8124722220850469</v>
      </c>
      <c r="I145">
        <f t="shared" si="75"/>
        <v>-2.8124722220850469</v>
      </c>
      <c r="AA145" s="55">
        <v>0.41666666666666602</v>
      </c>
      <c r="AB145" s="198">
        <f>IF(Isorreq!N14=-1,0,1)</f>
        <v>0</v>
      </c>
      <c r="AC145" s="55">
        <v>0.41666666666666602</v>
      </c>
      <c r="AD145" s="198">
        <f>IF(Isorreq!M14=-1,0,1)</f>
        <v>0</v>
      </c>
      <c r="AE145" s="55">
        <v>0.41666666666666602</v>
      </c>
      <c r="AF145" s="198">
        <f>IF(Isorreq!L14=-1,0,1)</f>
        <v>1</v>
      </c>
      <c r="AG145" s="55">
        <v>0.41666666666666602</v>
      </c>
      <c r="AH145" s="198">
        <f>IF(Isorreq!K14=-1,0,1)</f>
        <v>1</v>
      </c>
      <c r="AI145" s="55">
        <v>0.41666666666666602</v>
      </c>
      <c r="AJ145" s="198">
        <f>IF(Isorreq!J14=-1,0,1)</f>
        <v>1</v>
      </c>
      <c r="AK145" s="55">
        <v>0.41666666666666602</v>
      </c>
      <c r="AL145" s="198">
        <f>IF(Isorreq!I14=-1,0,1)</f>
        <v>1</v>
      </c>
    </row>
    <row r="146" spans="1:88" x14ac:dyDescent="0.25">
      <c r="A146">
        <v>-5.4</v>
      </c>
      <c r="B146">
        <f t="shared" si="136"/>
        <v>7.2</v>
      </c>
      <c r="C146">
        <f t="shared" si="137"/>
        <v>-7.2</v>
      </c>
      <c r="D146">
        <f t="shared" si="145"/>
        <v>5.9025418253494824</v>
      </c>
      <c r="E146">
        <f t="shared" si="146"/>
        <v>-5.9025418253494824</v>
      </c>
      <c r="F146">
        <f t="shared" si="24"/>
        <v>4.4542114902640169</v>
      </c>
      <c r="G146">
        <f t="shared" si="25"/>
        <v>-4.4542114902640169</v>
      </c>
      <c r="H146">
        <f t="shared" si="74"/>
        <v>2.6153393661244033</v>
      </c>
      <c r="I146">
        <f t="shared" si="75"/>
        <v>-2.6153393661244033</v>
      </c>
      <c r="AA146" s="55">
        <v>0.45833333333333298</v>
      </c>
      <c r="AB146" s="198">
        <f>IF(Isorreq!N15=-1,0,1)</f>
        <v>0</v>
      </c>
      <c r="AC146" s="55">
        <v>0.45833333333333298</v>
      </c>
      <c r="AD146" s="198">
        <f>IF(Isorreq!M15=-1,0,1)</f>
        <v>1</v>
      </c>
      <c r="AE146" s="55">
        <v>0.45833333333333298</v>
      </c>
      <c r="AF146" s="198">
        <f>IF(Isorreq!L15=-1,0,1)</f>
        <v>1</v>
      </c>
      <c r="AG146" s="55">
        <v>0.45833333333333298</v>
      </c>
      <c r="AH146" s="198">
        <f>IF(Isorreq!K15=-1,0,1)</f>
        <v>1</v>
      </c>
      <c r="AI146" s="55">
        <v>0.45833333333333298</v>
      </c>
      <c r="AJ146" s="198">
        <f>IF(Isorreq!J15=-1,0,1)</f>
        <v>1</v>
      </c>
      <c r="AK146" s="55">
        <v>0.45833333333333298</v>
      </c>
      <c r="AL146" s="198">
        <f>IF(Isorreq!I15=-1,0,1)</f>
        <v>1</v>
      </c>
      <c r="AO146" s="326">
        <v>4.1666666666666664E-2</v>
      </c>
      <c r="AP146" s="292"/>
      <c r="AQ146" s="327">
        <v>8.3333333333333301E-2</v>
      </c>
      <c r="AR146" s="292"/>
      <c r="AS146" s="327">
        <v>0.125</v>
      </c>
      <c r="AT146" s="292"/>
      <c r="AU146" s="327">
        <v>0.16666666666666699</v>
      </c>
      <c r="AV146" s="292"/>
      <c r="AW146" s="327">
        <v>0.20833333333333301</v>
      </c>
      <c r="AX146" s="292"/>
      <c r="AY146" s="327">
        <v>0.25</v>
      </c>
      <c r="AZ146" s="292"/>
      <c r="BA146" s="327">
        <v>0.29166666666666702</v>
      </c>
      <c r="BB146" s="292"/>
      <c r="BC146" s="327">
        <v>0.33333333333333298</v>
      </c>
      <c r="BD146" s="292"/>
      <c r="BE146" s="327">
        <v>0.375</v>
      </c>
      <c r="BF146" s="292"/>
      <c r="BG146" s="327">
        <v>0.41666666666666702</v>
      </c>
      <c r="BH146" s="292"/>
      <c r="BI146" s="327">
        <v>0.45833333333333298</v>
      </c>
      <c r="BJ146" s="292"/>
      <c r="BK146" s="327">
        <v>0.5</v>
      </c>
      <c r="BL146" s="292"/>
      <c r="BM146" s="327">
        <v>0.54166666666666696</v>
      </c>
      <c r="BN146" s="292"/>
      <c r="BO146" s="327">
        <v>0.58333333333333304</v>
      </c>
      <c r="BP146" s="292"/>
      <c r="BQ146" s="327">
        <v>0.625</v>
      </c>
      <c r="BR146" s="292"/>
      <c r="BS146" s="327">
        <v>0.66666666666666696</v>
      </c>
      <c r="BT146" s="292"/>
      <c r="BU146" s="327">
        <v>0.70833333333333304</v>
      </c>
      <c r="BV146" s="292"/>
      <c r="BW146" s="327">
        <v>0.75</v>
      </c>
      <c r="BX146" s="292"/>
      <c r="BY146" s="327">
        <v>0.79166666666666696</v>
      </c>
      <c r="BZ146" s="292"/>
      <c r="CA146" s="327">
        <v>0.83333333333333304</v>
      </c>
      <c r="CB146" s="292"/>
      <c r="CC146" s="327">
        <v>0.875</v>
      </c>
      <c r="CD146" s="292"/>
      <c r="CE146" s="327">
        <v>0.91666666666666696</v>
      </c>
      <c r="CF146" s="292"/>
      <c r="CG146" s="327">
        <v>0.95833333333333304</v>
      </c>
      <c r="CH146" s="292"/>
      <c r="CI146" s="327">
        <v>1</v>
      </c>
      <c r="CJ146" s="292"/>
    </row>
    <row r="147" spans="1:88" x14ac:dyDescent="0.25">
      <c r="A147">
        <v>-5.5</v>
      </c>
      <c r="B147">
        <f t="shared" si="136"/>
        <v>7.1239034243875032</v>
      </c>
      <c r="C147">
        <f t="shared" si="137"/>
        <v>-7.1239034243875032</v>
      </c>
      <c r="D147">
        <f t="shared" si="145"/>
        <v>5.8094750193111251</v>
      </c>
      <c r="E147">
        <f t="shared" si="146"/>
        <v>-5.8094750193111251</v>
      </c>
      <c r="F147">
        <f t="shared" si="24"/>
        <v>4.3301270189221936</v>
      </c>
      <c r="G147">
        <f t="shared" si="25"/>
        <v>-4.3301270189221936</v>
      </c>
      <c r="H147">
        <f t="shared" si="74"/>
        <v>2.3979157616563596</v>
      </c>
      <c r="I147">
        <f t="shared" si="75"/>
        <v>-2.3979157616563596</v>
      </c>
      <c r="AA147" s="55">
        <v>0.5</v>
      </c>
      <c r="AB147" s="198">
        <f>IF(Isorreq!N16=-1,0,1)</f>
        <v>1</v>
      </c>
      <c r="AC147" s="55">
        <v>0.5</v>
      </c>
      <c r="AD147" s="198">
        <f>IF(Isorreq!M16=-1,0,1)</f>
        <v>1</v>
      </c>
      <c r="AE147" s="55">
        <v>0.5</v>
      </c>
      <c r="AF147" s="198">
        <f>IF(Isorreq!L16=-1,0,1)</f>
        <v>1</v>
      </c>
      <c r="AG147" s="55">
        <v>0.5</v>
      </c>
      <c r="AH147" s="198">
        <f>IF(Isorreq!K16=-1,0,1)</f>
        <v>1</v>
      </c>
      <c r="AI147" s="55">
        <v>0.5</v>
      </c>
      <c r="AJ147" s="198">
        <f>IF(Isorreq!J16=-1,0,1)</f>
        <v>1</v>
      </c>
      <c r="AK147" s="55">
        <v>0.5</v>
      </c>
      <c r="AL147" s="198">
        <f>IF(Isorreq!I16=-1,0,1)</f>
        <v>1</v>
      </c>
      <c r="AO147" s="92" t="s">
        <v>42</v>
      </c>
      <c r="AP147" s="91" t="s">
        <v>43</v>
      </c>
      <c r="AQ147" s="90" t="s">
        <v>42</v>
      </c>
      <c r="AR147" s="91" t="s">
        <v>43</v>
      </c>
      <c r="AS147" s="90" t="s">
        <v>42</v>
      </c>
      <c r="AT147" s="91" t="s">
        <v>43</v>
      </c>
      <c r="AU147" s="90" t="s">
        <v>42</v>
      </c>
      <c r="AV147" s="91" t="s">
        <v>43</v>
      </c>
      <c r="AW147" s="90" t="s">
        <v>42</v>
      </c>
      <c r="AX147" s="91" t="s">
        <v>43</v>
      </c>
      <c r="AY147" s="90" t="s">
        <v>42</v>
      </c>
      <c r="AZ147" s="91" t="s">
        <v>43</v>
      </c>
      <c r="BA147" s="90" t="s">
        <v>42</v>
      </c>
      <c r="BB147" s="91" t="s">
        <v>43</v>
      </c>
      <c r="BC147" s="90" t="s">
        <v>42</v>
      </c>
      <c r="BD147" s="91" t="s">
        <v>43</v>
      </c>
      <c r="BE147" s="90" t="s">
        <v>42</v>
      </c>
      <c r="BF147" s="91" t="s">
        <v>43</v>
      </c>
      <c r="BG147" s="90" t="s">
        <v>42</v>
      </c>
      <c r="BH147" s="91" t="s">
        <v>43</v>
      </c>
      <c r="BI147" s="90" t="s">
        <v>42</v>
      </c>
      <c r="BJ147" s="91" t="s">
        <v>43</v>
      </c>
      <c r="BK147" s="90" t="s">
        <v>42</v>
      </c>
      <c r="BL147" s="91" t="s">
        <v>43</v>
      </c>
      <c r="BM147" s="90" t="s">
        <v>42</v>
      </c>
      <c r="BN147" s="91" t="s">
        <v>43</v>
      </c>
      <c r="BO147" s="90" t="s">
        <v>42</v>
      </c>
      <c r="BP147" s="91" t="s">
        <v>43</v>
      </c>
      <c r="BQ147" s="90" t="s">
        <v>42</v>
      </c>
      <c r="BR147" s="91" t="s">
        <v>43</v>
      </c>
      <c r="BS147" s="90" t="s">
        <v>42</v>
      </c>
      <c r="BT147" s="91" t="s">
        <v>43</v>
      </c>
      <c r="BU147" s="90" t="s">
        <v>42</v>
      </c>
      <c r="BV147" s="91" t="s">
        <v>43</v>
      </c>
      <c r="BW147" s="90" t="s">
        <v>42</v>
      </c>
      <c r="BX147" s="91" t="s">
        <v>43</v>
      </c>
      <c r="BY147" s="90" t="s">
        <v>42</v>
      </c>
      <c r="BZ147" s="91" t="s">
        <v>43</v>
      </c>
      <c r="CA147" s="90" t="s">
        <v>42</v>
      </c>
      <c r="CB147" s="91" t="s">
        <v>43</v>
      </c>
      <c r="CC147" s="90" t="s">
        <v>42</v>
      </c>
      <c r="CD147" s="91" t="s">
        <v>43</v>
      </c>
      <c r="CE147" s="90" t="s">
        <v>42</v>
      </c>
      <c r="CF147" s="91" t="s">
        <v>43</v>
      </c>
      <c r="CG147" s="90" t="s">
        <v>42</v>
      </c>
      <c r="CH147" s="91" t="s">
        <v>43</v>
      </c>
      <c r="CI147" s="90" t="s">
        <v>42</v>
      </c>
      <c r="CJ147" s="91" t="s">
        <v>43</v>
      </c>
    </row>
    <row r="148" spans="1:88" x14ac:dyDescent="0.25">
      <c r="A148">
        <v>-5.6</v>
      </c>
      <c r="B148">
        <f t="shared" si="136"/>
        <v>7.0455659815234153</v>
      </c>
      <c r="C148">
        <f t="shared" si="137"/>
        <v>-7.0455659815234153</v>
      </c>
      <c r="D148">
        <f t="shared" si="145"/>
        <v>5.7131427428342798</v>
      </c>
      <c r="E148">
        <f t="shared" si="146"/>
        <v>-5.7131427428342798</v>
      </c>
      <c r="F148">
        <f t="shared" si="24"/>
        <v>4.2</v>
      </c>
      <c r="G148">
        <f t="shared" si="25"/>
        <v>-4.2</v>
      </c>
      <c r="H148">
        <f t="shared" si="74"/>
        <v>2.1540659228538024</v>
      </c>
      <c r="I148">
        <f t="shared" si="75"/>
        <v>-2.1540659228538024</v>
      </c>
      <c r="AA148" s="55">
        <v>0.54166666666666596</v>
      </c>
      <c r="AB148" s="198">
        <f>IF(Isorreq!N17=-1,0,1)</f>
        <v>1</v>
      </c>
      <c r="AC148" s="55">
        <v>0.54166666666666596</v>
      </c>
      <c r="AD148" s="198">
        <f>IF(Isorreq!M17=-1,0,1)</f>
        <v>1</v>
      </c>
      <c r="AE148" s="55">
        <v>0.54166666666666596</v>
      </c>
      <c r="AF148" s="198">
        <f>IF(Isorreq!L17=-1,0,1)</f>
        <v>1</v>
      </c>
      <c r="AG148" s="55">
        <v>0.54166666666666596</v>
      </c>
      <c r="AH148" s="198">
        <f>IF(Isorreq!K17=-1,0,1)</f>
        <v>1</v>
      </c>
      <c r="AI148" s="55">
        <v>0.54166666666666596</v>
      </c>
      <c r="AJ148" s="198">
        <f>IF(Isorreq!J17=-1,0,1)</f>
        <v>1</v>
      </c>
      <c r="AK148" s="55">
        <v>0.54166666666666596</v>
      </c>
      <c r="AL148" s="198">
        <f>IF(Isorreq!I17=-1,0,1)</f>
        <v>1</v>
      </c>
      <c r="AN148" s="13" t="s">
        <v>105</v>
      </c>
      <c r="AO148" s="50">
        <f>+DJ120</f>
        <v>15.618484200107718</v>
      </c>
      <c r="AP148" s="51">
        <f>+DK120</f>
        <v>5.4539340007081245</v>
      </c>
      <c r="AQ148" s="52">
        <f>+DJ121</f>
        <v>15.206203772176417</v>
      </c>
      <c r="AR148" s="51">
        <f>+DK121</f>
        <v>1.2719776387453461</v>
      </c>
      <c r="AS148" s="52">
        <f>+DJ122</f>
        <v>13.931999627034255</v>
      </c>
      <c r="AT148" s="51">
        <f>+DK122</f>
        <v>-0.69777495492535535</v>
      </c>
      <c r="AU148" s="52">
        <f>+DJ123</f>
        <v>12.492959726538649</v>
      </c>
      <c r="AV148" s="51">
        <f>+DK123</f>
        <v>-1.9629694668929516</v>
      </c>
      <c r="AW148" s="52">
        <f>+DJ124</f>
        <v>10.991950007398707</v>
      </c>
      <c r="AX148" s="51">
        <f>+DK124</f>
        <v>-2.8824382620046505</v>
      </c>
      <c r="AY148" s="52">
        <f>+DJ125</f>
        <v>9.4583820053833971</v>
      </c>
      <c r="AZ148" s="51">
        <f>+DK125</f>
        <v>-3.5855811357930687</v>
      </c>
      <c r="BA148" s="52">
        <f>+DJ126</f>
        <v>7.9045474322355096</v>
      </c>
      <c r="BB148" s="51">
        <f>+DK126</f>
        <v>-4.1316644606747346</v>
      </c>
      <c r="BC148" s="52">
        <f>+DJ127</f>
        <v>6.3370457173808656</v>
      </c>
      <c r="BD148" s="51">
        <f>+DK127</f>
        <v>-4.5521886371757292</v>
      </c>
      <c r="BE148" s="52">
        <f>+DJ128</f>
        <v>4.7600861515158286</v>
      </c>
      <c r="BF148" s="51">
        <f>+DK128</f>
        <v>-4.8654984013456133</v>
      </c>
      <c r="BG148" s="52">
        <f>+DJ129</f>
        <v>3.1767063828743427</v>
      </c>
      <c r="BH148" s="51">
        <f>+DK129</f>
        <v>-5.0827616950162993</v>
      </c>
      <c r="BI148" s="52">
        <f>+DJ130</f>
        <v>1.5893183907474926</v>
      </c>
      <c r="BJ148" s="51">
        <f>+DK130</f>
        <v>-5.2107114643622561</v>
      </c>
      <c r="BK148" s="52">
        <f>+DJ131</f>
        <v>3.2178391145729545E-16</v>
      </c>
      <c r="BL148" s="51">
        <f>+DK131</f>
        <v>-5.2529782846813662</v>
      </c>
      <c r="BM148" s="52">
        <f>+DJ132</f>
        <v>-1.5893183907474944</v>
      </c>
      <c r="BN148" s="51">
        <f>+DK132</f>
        <v>-5.2107114643622552</v>
      </c>
      <c r="BO148" s="52">
        <f>+DJ133</f>
        <v>-3.176706382874344</v>
      </c>
      <c r="BP148" s="51">
        <f>+DK133</f>
        <v>-5.0827616950162984</v>
      </c>
      <c r="BQ148" s="52">
        <f>+DJ134</f>
        <v>-4.7600861515158286</v>
      </c>
      <c r="BR148" s="51">
        <f>+DK134</f>
        <v>-4.8654984013456133</v>
      </c>
      <c r="BS148" s="52">
        <f>+DJ135</f>
        <v>-6.3370457173808665</v>
      </c>
      <c r="BT148" s="51">
        <f>+DK135</f>
        <v>-4.5521886371757274</v>
      </c>
      <c r="BU148" s="52">
        <f>+DJ136</f>
        <v>-7.9045474322355096</v>
      </c>
      <c r="BV148" s="51">
        <f>+DK136</f>
        <v>-4.1316644606747346</v>
      </c>
      <c r="BW148" s="52">
        <f>+DJ137</f>
        <v>-9.4583820053833971</v>
      </c>
      <c r="BX148" s="51">
        <f>+DK137</f>
        <v>-3.5855811357930687</v>
      </c>
      <c r="BY148" s="52">
        <f>+DJ138</f>
        <v>-10.991950007398707</v>
      </c>
      <c r="BZ148" s="51">
        <f>+DK138</f>
        <v>-2.8824382620046505</v>
      </c>
      <c r="CA148" s="52">
        <f>+DJ139</f>
        <v>-12.492959726538649</v>
      </c>
      <c r="CB148" s="51">
        <f>+DK139</f>
        <v>-1.9629694668929556</v>
      </c>
      <c r="CC148" s="52">
        <f>+DJ140</f>
        <v>-13.931999627034255</v>
      </c>
      <c r="CD148" s="51">
        <f>+DK140</f>
        <v>-0.69777495492536135</v>
      </c>
      <c r="CE148" s="52">
        <f>+DJ141</f>
        <v>-15.206203772176417</v>
      </c>
      <c r="CF148" s="51">
        <f>+DK141</f>
        <v>1.2719776387453428</v>
      </c>
      <c r="CG148" s="52">
        <f>+DJ142</f>
        <v>-15.618484200107716</v>
      </c>
      <c r="CH148" s="51">
        <f>+DK142</f>
        <v>5.4539340007081281</v>
      </c>
      <c r="CI148" s="52" t="e">
        <f>+DJ143</f>
        <v>#NUM!</v>
      </c>
      <c r="CJ148" s="51" t="e">
        <f>+DK143</f>
        <v>#NUM!</v>
      </c>
    </row>
    <row r="149" spans="1:88" x14ac:dyDescent="0.25">
      <c r="A149">
        <v>-5.7</v>
      </c>
      <c r="B149">
        <f t="shared" si="136"/>
        <v>6.9649120597463394</v>
      </c>
      <c r="C149">
        <f t="shared" si="137"/>
        <v>-6.9649120597463394</v>
      </c>
      <c r="D149">
        <f t="shared" si="145"/>
        <v>5.6133768802744752</v>
      </c>
      <c r="E149">
        <f t="shared" si="146"/>
        <v>-5.6133768802744752</v>
      </c>
      <c r="F149">
        <f t="shared" si="24"/>
        <v>4.0632499307820087</v>
      </c>
      <c r="G149">
        <f t="shared" si="25"/>
        <v>-4.0632499307820087</v>
      </c>
      <c r="H149">
        <f t="shared" si="74"/>
        <v>1.8734993995195188</v>
      </c>
      <c r="I149">
        <f t="shared" si="75"/>
        <v>-1.8734993995195188</v>
      </c>
      <c r="AA149" s="55">
        <v>0.58333333333333304</v>
      </c>
      <c r="AB149" s="198">
        <f>IF(Isorreq!N18=-1,0,1)</f>
        <v>1</v>
      </c>
      <c r="AC149" s="55">
        <v>0.58333333333333304</v>
      </c>
      <c r="AD149" s="198">
        <f>IF(Isorreq!M18=-1,0,1)</f>
        <v>1</v>
      </c>
      <c r="AE149" s="55">
        <v>0.58333333333333304</v>
      </c>
      <c r="AF149" s="198">
        <f>IF(Isorreq!L18=-1,0,1)</f>
        <v>1</v>
      </c>
      <c r="AG149" s="55">
        <v>0.58333333333333304</v>
      </c>
      <c r="AH149" s="198">
        <f>IF(Isorreq!K18=-1,0,1)</f>
        <v>1</v>
      </c>
      <c r="AI149" s="55">
        <v>0.58333333333333304</v>
      </c>
      <c r="AJ149" s="198">
        <f>IF(Isorreq!J18=-1,0,1)</f>
        <v>1</v>
      </c>
      <c r="AK149" s="55">
        <v>0.58333333333333304</v>
      </c>
      <c r="AL149" s="198">
        <f>IF(Isorreq!I18=-1,0,1)</f>
        <v>1</v>
      </c>
      <c r="AN149" t="s">
        <v>104</v>
      </c>
      <c r="AO149" s="50">
        <f>+AV120</f>
        <v>15.071893160874565</v>
      </c>
      <c r="AP149" s="51">
        <f>+AW120</f>
        <v>6.6654185341555809</v>
      </c>
      <c r="AQ149" s="16">
        <f>+AV121</f>
        <v>15.083960973489583</v>
      </c>
      <c r="AR149" s="14">
        <f>+AW121</f>
        <v>1.9882445985939754</v>
      </c>
      <c r="AS149" s="16">
        <f>+AV122</f>
        <v>13.904710951780249</v>
      </c>
      <c r="AT149" s="14">
        <f>+AW122</f>
        <v>-0.22286170786444864</v>
      </c>
      <c r="AU149" s="52">
        <f>+AV123</f>
        <v>12.495776815816766</v>
      </c>
      <c r="AV149" s="51">
        <f>+AW123</f>
        <v>-1.615941310798523</v>
      </c>
      <c r="AW149" s="52">
        <f>+AV124</f>
        <v>11.005270969786864</v>
      </c>
      <c r="AX149" s="51">
        <f>+AW124</f>
        <v>-2.6115576395267981</v>
      </c>
      <c r="AY149" s="52">
        <f>+AV125</f>
        <v>9.4746354930873924</v>
      </c>
      <c r="AZ149" s="51">
        <f>+AW125</f>
        <v>-3.3635781148222135</v>
      </c>
      <c r="BA149" s="52">
        <f>+AV126</f>
        <v>7.9203525072857328</v>
      </c>
      <c r="BB149" s="51">
        <f>+AW126</f>
        <v>-3.9424623788877113</v>
      </c>
      <c r="BC149" s="52">
        <f>+AV127</f>
        <v>6.3507510164986245</v>
      </c>
      <c r="BD149" s="51">
        <f>+AW127</f>
        <v>-4.3854380742469941</v>
      </c>
      <c r="BE149" s="52">
        <f>+AV128</f>
        <v>4.770840561015433</v>
      </c>
      <c r="BF149" s="51">
        <f>+AW128</f>
        <v>-4.7140125878124115</v>
      </c>
      <c r="BG149" s="52">
        <f>+AV129</f>
        <v>3.1840614875621545</v>
      </c>
      <c r="BH149" s="51">
        <f>+AW129</f>
        <v>-4.9411752249525929</v>
      </c>
      <c r="BI149" s="16">
        <f>+AV130</f>
        <v>1.5930445940412605</v>
      </c>
      <c r="BJ149" s="14">
        <f>+AW130</f>
        <v>-5.0747045209462618</v>
      </c>
      <c r="BK149" s="16">
        <f>+AV131</f>
        <v>3.135629568394575E-16</v>
      </c>
      <c r="BL149" s="14">
        <f>+AW131</f>
        <v>-5.1187748812505367</v>
      </c>
      <c r="BM149" s="16">
        <f>+AV132</f>
        <v>-1.5930445940412599</v>
      </c>
      <c r="BN149" s="14">
        <f>+AW132</f>
        <v>-5.0747045209462627</v>
      </c>
      <c r="BO149" s="16">
        <f>+AV133</f>
        <v>-3.1840614875621553</v>
      </c>
      <c r="BP149" s="14">
        <f>+AW133</f>
        <v>-4.941175224952592</v>
      </c>
      <c r="BQ149" s="16">
        <f>+AV134</f>
        <v>-4.7708405610154339</v>
      </c>
      <c r="BR149" s="14">
        <f>+AW134</f>
        <v>-4.7140125878124106</v>
      </c>
      <c r="BS149" s="16">
        <f>+AV135</f>
        <v>-6.3507510164986254</v>
      </c>
      <c r="BT149" s="14">
        <f>+AW135</f>
        <v>-4.3854380742469932</v>
      </c>
      <c r="BU149" s="16">
        <f>+AV136</f>
        <v>-7.9203525072857337</v>
      </c>
      <c r="BV149" s="14">
        <f>+AW136</f>
        <v>-3.94246237888771</v>
      </c>
      <c r="BW149" s="16">
        <f>+AV137</f>
        <v>-9.4746354930873906</v>
      </c>
      <c r="BX149" s="14">
        <f>+AW137</f>
        <v>-3.3635781148222135</v>
      </c>
      <c r="BY149" s="16">
        <f>+AV138</f>
        <v>-11.005270969786864</v>
      </c>
      <c r="BZ149" s="14">
        <f>+AW138</f>
        <v>-2.6115576395267972</v>
      </c>
      <c r="CA149" s="16">
        <f>+AV139</f>
        <v>-12.495776815816766</v>
      </c>
      <c r="CB149" s="14">
        <f>+AW139</f>
        <v>-1.6159413107985252</v>
      </c>
      <c r="CC149" s="16">
        <f>+AV140</f>
        <v>-13.904710951780249</v>
      </c>
      <c r="CD149" s="14">
        <f>+AW140</f>
        <v>-0.22286170786444759</v>
      </c>
      <c r="CE149" s="16">
        <f>+AV141</f>
        <v>-15.083960973489583</v>
      </c>
      <c r="CF149" s="14">
        <f>+AW141</f>
        <v>1.9882445985939734</v>
      </c>
      <c r="CG149" s="16">
        <f>+AV142</f>
        <v>-15.071893160874563</v>
      </c>
      <c r="CH149" s="14">
        <f>+AW142</f>
        <v>6.6654185341555827</v>
      </c>
      <c r="CI149" s="52" t="e">
        <f>+AV143</f>
        <v>#NUM!</v>
      </c>
      <c r="CJ149" s="51" t="e">
        <f>+AW143</f>
        <v>#NUM!</v>
      </c>
    </row>
    <row r="150" spans="1:88" x14ac:dyDescent="0.25">
      <c r="A150">
        <v>-5.8</v>
      </c>
      <c r="B150">
        <f t="shared" si="136"/>
        <v>6.8818602136341012</v>
      </c>
      <c r="C150">
        <f t="shared" si="137"/>
        <v>-6.8818602136341012</v>
      </c>
      <c r="D150">
        <f t="shared" si="145"/>
        <v>5.5099909255823647</v>
      </c>
      <c r="E150">
        <f t="shared" si="146"/>
        <v>-5.5099909255823647</v>
      </c>
      <c r="F150">
        <f t="shared" ref="F150:F162" si="147">+SQRT(49-A150^2)</f>
        <v>3.9191835884530848</v>
      </c>
      <c r="G150">
        <f t="shared" ref="G150:G162" si="148">-F150</f>
        <v>-3.9191835884530848</v>
      </c>
      <c r="H150">
        <f t="shared" si="74"/>
        <v>1.5362291495737215</v>
      </c>
      <c r="I150">
        <f t="shared" si="75"/>
        <v>-1.5362291495737215</v>
      </c>
      <c r="AA150" s="55">
        <v>0.625</v>
      </c>
      <c r="AB150" s="198">
        <f>IF(Isorreq!N19=-1,0,1)</f>
        <v>1</v>
      </c>
      <c r="AC150" s="55">
        <v>0.625</v>
      </c>
      <c r="AD150" s="198">
        <f>IF(Isorreq!M19=-1,0,1)</f>
        <v>1</v>
      </c>
      <c r="AE150" s="55">
        <v>0.625</v>
      </c>
      <c r="AF150" s="198">
        <f>IF(Isorreq!L19=-1,0,1)</f>
        <v>1</v>
      </c>
      <c r="AG150" s="55">
        <v>0.625</v>
      </c>
      <c r="AH150" s="198">
        <f>IF(Isorreq!K19=-1,0,1)</f>
        <v>1</v>
      </c>
      <c r="AI150" s="55">
        <v>0.625</v>
      </c>
      <c r="AJ150" s="198">
        <f>IF(Isorreq!J19=-1,0,1)</f>
        <v>1</v>
      </c>
      <c r="AK150" s="55">
        <v>0.625</v>
      </c>
      <c r="AL150" s="198">
        <f>IF(Isorreq!I19=-1,0,1)</f>
        <v>1</v>
      </c>
      <c r="AN150" t="s">
        <v>103</v>
      </c>
      <c r="AO150" s="50">
        <f>+BG120</f>
        <v>12.013994760051194</v>
      </c>
      <c r="AP150" s="51">
        <f>+BH120</f>
        <v>10.645890331399192</v>
      </c>
      <c r="AQ150" s="16">
        <f>+BG121</f>
        <v>14.026941169300484</v>
      </c>
      <c r="AR150" s="14">
        <f>+BH121</f>
        <v>5.0718938523874924</v>
      </c>
      <c r="AS150" s="16">
        <f>+BG122</f>
        <v>13.500031638075296</v>
      </c>
      <c r="AT150" s="14">
        <f>+BH122</f>
        <v>1.9770050959055312</v>
      </c>
      <c r="AU150" s="16">
        <f>+BG123</f>
        <v>12.337488903258178</v>
      </c>
      <c r="AV150" s="14">
        <f>+BH123</f>
        <v>4.1195508964217378E-2</v>
      </c>
      <c r="AW150" s="52">
        <f>+BG124</f>
        <v>10.953194443702412</v>
      </c>
      <c r="AX150" s="51">
        <f>+BH124</f>
        <v>-1.2964493396766235</v>
      </c>
      <c r="AY150" s="52">
        <f>+BG125</f>
        <v>9.4706381329140701</v>
      </c>
      <c r="AZ150" s="51">
        <f>+BH125</f>
        <v>-2.2741224923994272</v>
      </c>
      <c r="BA150" s="52">
        <f>+BG126</f>
        <v>7.9370035218323389</v>
      </c>
      <c r="BB150" s="51">
        <f>+BH126</f>
        <v>-3.0067397074242299</v>
      </c>
      <c r="BC150" s="52">
        <f>+BG127</f>
        <v>6.3739216297498276</v>
      </c>
      <c r="BD150" s="51">
        <f>+BH127</f>
        <v>-3.5558862780284519</v>
      </c>
      <c r="BE150" s="52">
        <f>+BG128</f>
        <v>4.792837582647314</v>
      </c>
      <c r="BF150" s="51">
        <f>+BH128</f>
        <v>-3.9570444231142194</v>
      </c>
      <c r="BG150" s="52">
        <f>+BG129</f>
        <v>3.2006010638105553</v>
      </c>
      <c r="BH150" s="51">
        <f>+BH129</f>
        <v>-4.2314384754301173</v>
      </c>
      <c r="BI150" s="52">
        <f>+BG130</f>
        <v>1.6018208347188778</v>
      </c>
      <c r="BJ150" s="51">
        <f>+BH130</f>
        <v>-4.3916413710632929</v>
      </c>
      <c r="BK150" s="52">
        <f>+BG131</f>
        <v>2.7224891574812041E-16</v>
      </c>
      <c r="BL150" s="51">
        <f>+BH131</f>
        <v>-4.4443416576553023</v>
      </c>
      <c r="BM150" s="52">
        <f>+BG132</f>
        <v>-1.6018208347188794</v>
      </c>
      <c r="BN150" s="51">
        <f>+BH132</f>
        <v>-4.391641371063292</v>
      </c>
      <c r="BO150" s="52">
        <f>+BG133</f>
        <v>-3.2006010638105553</v>
      </c>
      <c r="BP150" s="51">
        <f>+BH133</f>
        <v>-4.2314384754301173</v>
      </c>
      <c r="BQ150" s="52">
        <f>+BG134</f>
        <v>-4.792837582647314</v>
      </c>
      <c r="BR150" s="51">
        <f>+BH134</f>
        <v>-3.957044423114219</v>
      </c>
      <c r="BS150" s="52">
        <f>+BG135</f>
        <v>-6.3739216297498285</v>
      </c>
      <c r="BT150" s="51">
        <f>+BH135</f>
        <v>-3.5558862780284506</v>
      </c>
      <c r="BU150" s="52">
        <f>+BG136</f>
        <v>-7.9370035218323398</v>
      </c>
      <c r="BV150" s="51">
        <f>+BH136</f>
        <v>-3.0067397074242268</v>
      </c>
      <c r="BW150" s="52">
        <f>+BG137</f>
        <v>-9.4706381329140683</v>
      </c>
      <c r="BX150" s="51">
        <f>+BH137</f>
        <v>-2.2741224923994277</v>
      </c>
      <c r="BY150" s="52">
        <f>+BG138</f>
        <v>-10.953194443702413</v>
      </c>
      <c r="BZ150" s="51">
        <f>+BH138</f>
        <v>-1.2964493396766186</v>
      </c>
      <c r="CA150" s="52">
        <f>+BG139</f>
        <v>-12.337488903258178</v>
      </c>
      <c r="CB150" s="51">
        <f>+BH139</f>
        <v>4.1195508964215595E-2</v>
      </c>
      <c r="CC150" s="52">
        <f>+BG140</f>
        <v>-13.500031638075296</v>
      </c>
      <c r="CD150" s="51">
        <f>+BH140</f>
        <v>1.9770050959055332</v>
      </c>
      <c r="CE150" s="52">
        <f>+BG141</f>
        <v>-14.026941169300484</v>
      </c>
      <c r="CF150" s="51">
        <f>+BH141</f>
        <v>5.0718938523874924</v>
      </c>
      <c r="CG150" s="52">
        <f>+BG142</f>
        <v>-12.013994760051194</v>
      </c>
      <c r="CH150" s="51">
        <f>+BH142</f>
        <v>10.645890331399192</v>
      </c>
      <c r="CI150" s="52">
        <f>+BG143</f>
        <v>-1.1081130002672069E-6</v>
      </c>
      <c r="CJ150" s="51">
        <f>+BH143</f>
        <v>16.628341657655263</v>
      </c>
    </row>
    <row r="151" spans="1:88" x14ac:dyDescent="0.25">
      <c r="A151">
        <v>-5.9</v>
      </c>
      <c r="B151">
        <f t="shared" si="136"/>
        <v>6.7963225350184784</v>
      </c>
      <c r="C151">
        <f t="shared" si="137"/>
        <v>-6.7963225350184784</v>
      </c>
      <c r="D151">
        <f t="shared" si="145"/>
        <v>5.4027770636960391</v>
      </c>
      <c r="E151">
        <f t="shared" si="146"/>
        <v>-5.4027770636960391</v>
      </c>
      <c r="F151">
        <f t="shared" si="147"/>
        <v>3.7669616403674722</v>
      </c>
      <c r="G151">
        <f t="shared" si="148"/>
        <v>-3.7669616403674722</v>
      </c>
      <c r="H151">
        <f t="shared" si="74"/>
        <v>1.0908712114635704</v>
      </c>
      <c r="I151">
        <f t="shared" si="75"/>
        <v>-1.0908712114635704</v>
      </c>
      <c r="AA151" s="55">
        <v>0.66666666666666596</v>
      </c>
      <c r="AB151" s="198">
        <f>IF(Isorreq!N20=-1,0,1)</f>
        <v>1</v>
      </c>
      <c r="AC151" s="55">
        <v>0.66666666666666596</v>
      </c>
      <c r="AD151" s="198">
        <f>IF(Isorreq!M20=-1,0,1)</f>
        <v>1</v>
      </c>
      <c r="AE151" s="55">
        <v>0.66666666666666596</v>
      </c>
      <c r="AF151" s="198">
        <f>IF(Isorreq!L20=-1,0,1)</f>
        <v>1</v>
      </c>
      <c r="AG151" s="55">
        <v>0.66666666666666596</v>
      </c>
      <c r="AH151" s="198">
        <f>IF(Isorreq!K20=-1,0,1)</f>
        <v>1</v>
      </c>
      <c r="AI151" s="55">
        <v>0.66666666666666596</v>
      </c>
      <c r="AJ151" s="198">
        <f>IF(Isorreq!J20=-1,0,1)</f>
        <v>1</v>
      </c>
      <c r="AK151" s="55">
        <v>0.66666666666666596</v>
      </c>
      <c r="AL151" s="198">
        <f>IF(Isorreq!I20=-1,0,1)</f>
        <v>1</v>
      </c>
      <c r="AN151" t="s">
        <v>102</v>
      </c>
      <c r="AO151" s="50">
        <f>+BR120</f>
        <v>8.1495786733652178</v>
      </c>
      <c r="AP151" s="51">
        <f>+BS120</f>
        <v>12.754124181454305</v>
      </c>
      <c r="AQ151" s="16">
        <f>+BR121</f>
        <v>11.581244395524559</v>
      </c>
      <c r="AR151" s="14">
        <f>+BS121</f>
        <v>8.2573863568672721</v>
      </c>
      <c r="AS151" s="16">
        <f>+BR122</f>
        <v>12.155808429300228</v>
      </c>
      <c r="AT151" s="14">
        <f>+BS122</f>
        <v>4.8007154272790693</v>
      </c>
      <c r="AU151" s="52">
        <f>+BR123</f>
        <v>11.569805286624637</v>
      </c>
      <c r="AV151" s="51">
        <f>+BS123</f>
        <v>2.3860190530126446</v>
      </c>
      <c r="AW151" s="52">
        <f>+BR124</f>
        <v>10.493606569730019</v>
      </c>
      <c r="AX151" s="51">
        <f>+BS124</f>
        <v>0.66679190158919366</v>
      </c>
      <c r="AY151" s="52">
        <f>+BR125</f>
        <v>9.1857079614946517</v>
      </c>
      <c r="AZ151" s="51">
        <f>+BS125</f>
        <v>-0.59171017369859047</v>
      </c>
      <c r="BA151" s="52">
        <f>+BR126</f>
        <v>7.7566153566303626</v>
      </c>
      <c r="BB151" s="51">
        <f>+BS126</f>
        <v>-1.5274342176721136</v>
      </c>
      <c r="BC151" s="52">
        <f>+BR127</f>
        <v>6.2591135034701519</v>
      </c>
      <c r="BD151" s="51">
        <f>+BS127</f>
        <v>-2.2219314351235444</v>
      </c>
      <c r="BE151" s="52">
        <f>+BR128</f>
        <v>4.7210947655407791</v>
      </c>
      <c r="BF151" s="51">
        <f>+BS128</f>
        <v>-2.7246801501078113</v>
      </c>
      <c r="BG151" s="52">
        <f>+BR129</f>
        <v>3.1587701351887114</v>
      </c>
      <c r="BH151" s="51">
        <f>+BS129</f>
        <v>-3.0660982649874109</v>
      </c>
      <c r="BI151" s="52">
        <f>+BR130</f>
        <v>1.5825569006738294</v>
      </c>
      <c r="BJ151" s="51">
        <f>+BS130</f>
        <v>-3.2644600428327033</v>
      </c>
      <c r="BK151" s="52">
        <f>+BR131</f>
        <v>2.0395981383766651E-16</v>
      </c>
      <c r="BL151" s="51">
        <f>+BS131</f>
        <v>-3.3295526435264406</v>
      </c>
      <c r="BM151" s="52">
        <f>+BR132</f>
        <v>-1.5825569006738291</v>
      </c>
      <c r="BN151" s="51">
        <f>+BS132</f>
        <v>-3.2644600428327033</v>
      </c>
      <c r="BO151" s="52">
        <f>+BR133</f>
        <v>-3.1587701351887123</v>
      </c>
      <c r="BP151" s="51">
        <f>+BS133</f>
        <v>-3.0660982649874096</v>
      </c>
      <c r="BQ151" s="52">
        <f>+BR134</f>
        <v>-4.7210947655407791</v>
      </c>
      <c r="BR151" s="51">
        <f>+BS134</f>
        <v>-2.7246801501078117</v>
      </c>
      <c r="BS151" s="52">
        <f>+BR135</f>
        <v>-6.2591135034701519</v>
      </c>
      <c r="BT151" s="51">
        <f>+BS135</f>
        <v>-2.2219314351235457</v>
      </c>
      <c r="BU151" s="52">
        <f>+BR136</f>
        <v>-7.7566153566303617</v>
      </c>
      <c r="BV151" s="51">
        <f>+BS136</f>
        <v>-1.5274342176721158</v>
      </c>
      <c r="BW151" s="52">
        <f>+BR137</f>
        <v>-9.1857079614946517</v>
      </c>
      <c r="BX151" s="51">
        <f>+BS137</f>
        <v>-0.59171017369858825</v>
      </c>
      <c r="BY151" s="52">
        <f>+BR138</f>
        <v>-10.493606569730019</v>
      </c>
      <c r="BZ151" s="51">
        <f>+BS138</f>
        <v>0.66679190158919466</v>
      </c>
      <c r="CA151" s="52">
        <f>+BR139</f>
        <v>-11.569805286624637</v>
      </c>
      <c r="CB151" s="51">
        <f>+BS139</f>
        <v>2.3860190530126468</v>
      </c>
      <c r="CC151" s="52">
        <f>+BR140</f>
        <v>-12.155808429300226</v>
      </c>
      <c r="CD151" s="51">
        <f>+BS140</f>
        <v>4.8007154272790702</v>
      </c>
      <c r="CE151" s="52">
        <f>+BR141</f>
        <v>-11.581244395524559</v>
      </c>
      <c r="CF151" s="51">
        <f>+BS141</f>
        <v>8.2573863568672738</v>
      </c>
      <c r="CG151" s="52">
        <f>+BR142</f>
        <v>-8.1495786733652196</v>
      </c>
      <c r="CH151" s="51">
        <f>+BS142</f>
        <v>12.754124181454303</v>
      </c>
      <c r="CI151" s="52" t="e">
        <f>+BR143</f>
        <v>#NUM!</v>
      </c>
      <c r="CJ151" s="51" t="e">
        <f>+BS143</f>
        <v>#NUM!</v>
      </c>
    </row>
    <row r="152" spans="1:88" x14ac:dyDescent="0.25">
      <c r="A152">
        <v>-6</v>
      </c>
      <c r="B152">
        <f t="shared" si="136"/>
        <v>6.7082039324993694</v>
      </c>
      <c r="C152">
        <f t="shared" si="137"/>
        <v>-6.7082039324993694</v>
      </c>
      <c r="D152">
        <f t="shared" si="145"/>
        <v>5.2915026221291814</v>
      </c>
      <c r="E152">
        <f t="shared" si="146"/>
        <v>-5.2915026221291814</v>
      </c>
      <c r="F152">
        <f t="shared" si="147"/>
        <v>3.6055512754639891</v>
      </c>
      <c r="G152">
        <f t="shared" si="148"/>
        <v>-3.6055512754639891</v>
      </c>
      <c r="H152">
        <f t="shared" si="74"/>
        <v>0</v>
      </c>
      <c r="I152">
        <f t="shared" si="75"/>
        <v>0</v>
      </c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44"/>
      <c r="X152" s="13"/>
      <c r="Y152" s="13"/>
      <c r="Z152" s="13"/>
      <c r="AA152" s="55">
        <v>0.70833333333333304</v>
      </c>
      <c r="AB152" s="198">
        <f>IF(Isorreq!N21=-1,0,1)</f>
        <v>1</v>
      </c>
      <c r="AC152" s="55">
        <v>0.70833333333333304</v>
      </c>
      <c r="AD152" s="198">
        <f>IF(Isorreq!M21=-1,0,1)</f>
        <v>1</v>
      </c>
      <c r="AE152" s="55">
        <v>0.70833333333333304</v>
      </c>
      <c r="AF152" s="198">
        <f>IF(Isorreq!L21=-1,0,1)</f>
        <v>1</v>
      </c>
      <c r="AG152" s="55">
        <v>0.70833333333333304</v>
      </c>
      <c r="AH152" s="198">
        <f>IF(Isorreq!K21=-1,0,1)</f>
        <v>1</v>
      </c>
      <c r="AI152" s="55">
        <v>0.70833333333333304</v>
      </c>
      <c r="AJ152" s="198">
        <f>IF(Isorreq!J21=-1,0,1)</f>
        <v>1</v>
      </c>
      <c r="AK152" s="55">
        <v>0.70833333333333304</v>
      </c>
      <c r="AL152" s="198">
        <f>IF(Isorreq!I21=-1,0,1)</f>
        <v>1</v>
      </c>
      <c r="AM152" s="13"/>
      <c r="AN152" t="s">
        <v>101</v>
      </c>
      <c r="AO152" s="50">
        <f>+CC120</f>
        <v>5.6585509926265578</v>
      </c>
      <c r="AP152" s="51">
        <f>+CD120</f>
        <v>12.855714896348138</v>
      </c>
      <c r="AQ152" s="16">
        <f>+CC121</f>
        <v>9.0552002792780915</v>
      </c>
      <c r="AR152" s="14">
        <f>+CD121</f>
        <v>9.769814428013154</v>
      </c>
      <c r="AS152" s="54">
        <f>+CC122</f>
        <v>10.309232255931517</v>
      </c>
      <c r="AT152" s="53">
        <f>+CD122</f>
        <v>6.738908864331731</v>
      </c>
      <c r="AU152" s="52">
        <f>+CC123</f>
        <v>10.29597241538014</v>
      </c>
      <c r="AV152" s="51">
        <f>+CD123</f>
        <v>4.2984937151905998</v>
      </c>
      <c r="AW152" s="52">
        <f>+CC124</f>
        <v>9.6110676607095051</v>
      </c>
      <c r="AX152" s="51">
        <f>+CD124</f>
        <v>2.4311903717266836</v>
      </c>
      <c r="AY152" s="52">
        <f>+CC125</f>
        <v>8.5654551879976513</v>
      </c>
      <c r="AZ152" s="51">
        <f>+CD125</f>
        <v>1.0153845508301496</v>
      </c>
      <c r="BA152" s="52">
        <f>+CC126</f>
        <v>7.3171793408454278</v>
      </c>
      <c r="BB152" s="51">
        <f>+CD126</f>
        <v>-5.491916703403818E-2</v>
      </c>
      <c r="BC152" s="52">
        <f>+CC127</f>
        <v>5.9498753428282356</v>
      </c>
      <c r="BD152" s="51">
        <f>+CD127</f>
        <v>-0.85515633493597176</v>
      </c>
      <c r="BE152" s="52">
        <f>+CC128</f>
        <v>4.5105575419044515</v>
      </c>
      <c r="BF152" s="51">
        <f>+CD128</f>
        <v>-1.4360875976710545</v>
      </c>
      <c r="BG152" s="52">
        <f>+CC129</f>
        <v>3.027575645251392</v>
      </c>
      <c r="BH152" s="51">
        <f>+CD129</f>
        <v>-1.8308990238685714</v>
      </c>
      <c r="BI152" s="52">
        <f>+CC130</f>
        <v>1.519523695277962</v>
      </c>
      <c r="BJ152" s="51">
        <f>+CD130</f>
        <v>-2.0602774257475551</v>
      </c>
      <c r="BK152" s="52">
        <f>+CC131</f>
        <v>1.3081749948580787E-16</v>
      </c>
      <c r="BL152" s="51">
        <f>+CD131</f>
        <v>-2.1355371091834767</v>
      </c>
      <c r="BM152" s="52">
        <f>+CC132</f>
        <v>-1.5195236952779616</v>
      </c>
      <c r="BN152" s="51">
        <f>+CD132</f>
        <v>-2.0602774257475556</v>
      </c>
      <c r="BO152" s="52">
        <f>+CC133</f>
        <v>-3.0275756452513924</v>
      </c>
      <c r="BP152" s="51">
        <f>+CD133</f>
        <v>-1.830899023868571</v>
      </c>
      <c r="BQ152" s="52">
        <f>+CC134</f>
        <v>-4.5105575419044515</v>
      </c>
      <c r="BR152" s="51">
        <f>+CD134</f>
        <v>-1.4360875976710543</v>
      </c>
      <c r="BS152" s="52">
        <f>+CC135</f>
        <v>-5.9498753428282356</v>
      </c>
      <c r="BT152" s="51">
        <f>+CD135</f>
        <v>-0.85515633493597099</v>
      </c>
      <c r="BU152" s="52">
        <f>+CC136</f>
        <v>-7.3171793408454278</v>
      </c>
      <c r="BV152" s="51">
        <f>+CD136</f>
        <v>-5.4919167034038395E-2</v>
      </c>
      <c r="BW152" s="52">
        <f>+CC137</f>
        <v>-8.5654551879976513</v>
      </c>
      <c r="BX152" s="51">
        <f>+CD137</f>
        <v>1.0153845508301516</v>
      </c>
      <c r="BY152" s="52">
        <f>+CC138</f>
        <v>-9.6110676607095051</v>
      </c>
      <c r="BZ152" s="51">
        <f>+CD138</f>
        <v>2.4311903717266845</v>
      </c>
      <c r="CA152" s="52">
        <f>+CC139</f>
        <v>-10.295972415380142</v>
      </c>
      <c r="CB152" s="51">
        <f>+CD139</f>
        <v>4.298493715190598</v>
      </c>
      <c r="CC152" s="52">
        <f>+CC140</f>
        <v>-10.309232255931517</v>
      </c>
      <c r="CD152" s="51">
        <f>+CD140</f>
        <v>6.7389088643317328</v>
      </c>
      <c r="CE152" s="52">
        <f>+CC141</f>
        <v>-9.0552002792780879</v>
      </c>
      <c r="CF152" s="51">
        <f>+CD141</f>
        <v>9.7698144280131558</v>
      </c>
      <c r="CG152" s="52">
        <f>+CC142</f>
        <v>-5.658550992626556</v>
      </c>
      <c r="CH152" s="51">
        <f>+CD142</f>
        <v>12.855714896348138</v>
      </c>
      <c r="CI152" s="52" t="e">
        <f>+CC143</f>
        <v>#NUM!</v>
      </c>
      <c r="CJ152" s="51" t="e">
        <f>+CD143</f>
        <v>#NUM!</v>
      </c>
    </row>
    <row r="153" spans="1:88" x14ac:dyDescent="0.25">
      <c r="A153">
        <v>-6.1</v>
      </c>
      <c r="B153">
        <f t="shared" si="136"/>
        <v>6.6174013026262815</v>
      </c>
      <c r="C153">
        <f t="shared" si="137"/>
        <v>-6.6174013026262815</v>
      </c>
      <c r="D153">
        <f t="shared" si="145"/>
        <v>5.1759057178430137</v>
      </c>
      <c r="E153">
        <f t="shared" si="146"/>
        <v>-5.1759057178430137</v>
      </c>
      <c r="F153">
        <f t="shared" si="147"/>
        <v>3.4336569426778802</v>
      </c>
      <c r="G153">
        <f t="shared" si="148"/>
        <v>-3.4336569426778802</v>
      </c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44"/>
      <c r="X153" s="13"/>
      <c r="Y153" s="13"/>
      <c r="Z153" s="13"/>
      <c r="AA153" s="55">
        <v>0.75</v>
      </c>
      <c r="AB153" s="198">
        <f>IF(Isorreq!N22=-1,0,1)</f>
        <v>1</v>
      </c>
      <c r="AC153" s="55">
        <v>0.75</v>
      </c>
      <c r="AD153" s="198">
        <f>IF(Isorreq!M22=-1,0,1)</f>
        <v>1</v>
      </c>
      <c r="AE153" s="55">
        <v>0.75</v>
      </c>
      <c r="AF153" s="198">
        <f>IF(Isorreq!L22=-1,0,1)</f>
        <v>1</v>
      </c>
      <c r="AG153" s="55">
        <v>0.75</v>
      </c>
      <c r="AH153" s="198">
        <f>IF(Isorreq!K22=-1,0,1)</f>
        <v>1</v>
      </c>
      <c r="AI153" s="55">
        <v>0.75</v>
      </c>
      <c r="AJ153" s="198">
        <f>IF(Isorreq!J22=-1,0,1)</f>
        <v>1</v>
      </c>
      <c r="AK153" s="55">
        <v>0.75</v>
      </c>
      <c r="AL153" s="198">
        <f>IF(Isorreq!I22=-1,0,1)</f>
        <v>1</v>
      </c>
      <c r="AM153" s="13"/>
      <c r="AN153" t="s">
        <v>100</v>
      </c>
      <c r="AO153" s="50">
        <f>+CN120</f>
        <v>4.2577145669546779</v>
      </c>
      <c r="AP153" s="51">
        <f>+CO120</f>
        <v>12.370267239373771</v>
      </c>
      <c r="AQ153" s="16">
        <f>+CN121</f>
        <v>7.2303391408376463</v>
      </c>
      <c r="AR153" s="14">
        <f>+CO121</f>
        <v>10.171819557454349</v>
      </c>
      <c r="AS153" s="54">
        <f>+CN122</f>
        <v>8.685084566820418</v>
      </c>
      <c r="AT153" s="53">
        <f>+CO122</f>
        <v>7.6910110163344338</v>
      </c>
      <c r="AU153" s="52">
        <f>+CN123</f>
        <v>9.0145557821646758</v>
      </c>
      <c r="AV153" s="51">
        <f>+CO123</f>
        <v>5.4701227133954413</v>
      </c>
      <c r="AW153" s="52">
        <f>+CN124</f>
        <v>8.637016548902448</v>
      </c>
      <c r="AX153" s="51">
        <f>+CO124</f>
        <v>3.6508201910506766</v>
      </c>
      <c r="AY153" s="52">
        <f>+CN125</f>
        <v>7.8336727666422483</v>
      </c>
      <c r="AZ153" s="51">
        <f>+CO125</f>
        <v>2.2129946436748824</v>
      </c>
      <c r="BA153" s="52">
        <f>+CN126</f>
        <v>6.7724281322824265</v>
      </c>
      <c r="BB153" s="51">
        <f>+CO126</f>
        <v>1.0987026288314572</v>
      </c>
      <c r="BC153" s="52">
        <f>+CN127</f>
        <v>5.5520641812898193</v>
      </c>
      <c r="BD153" s="51">
        <f>+CO127</f>
        <v>0.25312143844983037</v>
      </c>
      <c r="BE153" s="52">
        <f>+CN128</f>
        <v>4.2322633019278983</v>
      </c>
      <c r="BF153" s="51">
        <f>+CO128</f>
        <v>-0.36616801105094599</v>
      </c>
      <c r="BG153" s="52">
        <f>+CN129</f>
        <v>2.8508896713723404</v>
      </c>
      <c r="BH153" s="51">
        <f>+CO129</f>
        <v>-0.78922270067773015</v>
      </c>
      <c r="BI153" s="52">
        <f>+CN130</f>
        <v>1.4336983739441382</v>
      </c>
      <c r="BJ153" s="51">
        <f>+CO130</f>
        <v>-1.0357074320385538</v>
      </c>
      <c r="BK153" s="52">
        <f>+CN131</f>
        <v>6.8405012524425953E-17</v>
      </c>
      <c r="BL153" s="51">
        <f>+CO131</f>
        <v>-1.1166812030061788</v>
      </c>
      <c r="BM153" s="52">
        <f>+CN132</f>
        <v>-1.4336983739441382</v>
      </c>
      <c r="BN153" s="51">
        <f>+CO132</f>
        <v>-1.035707432038554</v>
      </c>
      <c r="BO153" s="52">
        <f>+CN133</f>
        <v>-2.8508896713723404</v>
      </c>
      <c r="BP153" s="51">
        <f>+CO133</f>
        <v>-0.78922270067773104</v>
      </c>
      <c r="BQ153" s="52">
        <f>+CN134</f>
        <v>-4.2322633019278983</v>
      </c>
      <c r="BR153" s="51">
        <f>+CO134</f>
        <v>-0.3661680110509456</v>
      </c>
      <c r="BS153" s="52">
        <f>+CN135</f>
        <v>-5.5520641812898193</v>
      </c>
      <c r="BT153" s="51">
        <f>+CO135</f>
        <v>0.25312143844983048</v>
      </c>
      <c r="BU153" s="52">
        <f>+CN136</f>
        <v>-6.7724281322824265</v>
      </c>
      <c r="BV153" s="51">
        <f>+CO136</f>
        <v>1.0987026288314568</v>
      </c>
      <c r="BW153" s="52">
        <f>+CN137</f>
        <v>-7.8336727666422483</v>
      </c>
      <c r="BX153" s="51">
        <f>+CO137</f>
        <v>2.2129946436748833</v>
      </c>
      <c r="BY153" s="52">
        <f>+CN138</f>
        <v>-8.6370165489024497</v>
      </c>
      <c r="BZ153" s="51">
        <f>+CO138</f>
        <v>3.6508201910506748</v>
      </c>
      <c r="CA153" s="52">
        <f>+CN139</f>
        <v>-9.0145557821646776</v>
      </c>
      <c r="CB153" s="51">
        <f>+CO139</f>
        <v>5.4701227133954387</v>
      </c>
      <c r="CC153" s="52">
        <f>+CN140</f>
        <v>-8.6850845668204162</v>
      </c>
      <c r="CD153" s="51">
        <f>+CO140</f>
        <v>7.6910110163344347</v>
      </c>
      <c r="CE153" s="52">
        <f>+CN141</f>
        <v>-7.2303391408376463</v>
      </c>
      <c r="CF153" s="51">
        <f>+CO141</f>
        <v>10.171819557454349</v>
      </c>
      <c r="CG153" s="52">
        <f>+CN142</f>
        <v>-4.2577145669546788</v>
      </c>
      <c r="CH153" s="51">
        <f>+CO142</f>
        <v>12.370267239373771</v>
      </c>
      <c r="CI153" s="52">
        <f>+CN143</f>
        <v>8.1476545125475718E-16</v>
      </c>
      <c r="CJ153" s="51">
        <f>+CO143</f>
        <v>13.300681203006178</v>
      </c>
    </row>
    <row r="154" spans="1:88" x14ac:dyDescent="0.25">
      <c r="A154">
        <v>-6.2</v>
      </c>
      <c r="B154">
        <f t="shared" si="136"/>
        <v>6.5238025721200357</v>
      </c>
      <c r="C154">
        <f t="shared" si="137"/>
        <v>-6.5238025721200357</v>
      </c>
      <c r="D154">
        <f t="shared" si="145"/>
        <v>5.0556898639058145</v>
      </c>
      <c r="E154">
        <f t="shared" si="146"/>
        <v>-5.0556898639058145</v>
      </c>
      <c r="F154">
        <f t="shared" si="147"/>
        <v>3.2496153618543833</v>
      </c>
      <c r="G154">
        <f t="shared" si="148"/>
        <v>-3.2496153618543833</v>
      </c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44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44"/>
      <c r="AI154" s="13"/>
      <c r="AJ154" s="13"/>
      <c r="AK154" s="13"/>
      <c r="AL154" s="13"/>
      <c r="AM154" s="13"/>
      <c r="AN154" t="s">
        <v>99</v>
      </c>
      <c r="AO154" s="50">
        <f>+CY120</f>
        <v>3.6949575945570605</v>
      </c>
      <c r="AP154" s="51">
        <f>+CZ120</f>
        <v>12.029234755727893</v>
      </c>
      <c r="AQ154" s="16">
        <f>+CY121</f>
        <v>6.4125680267423535</v>
      </c>
      <c r="AR154" s="14">
        <f>+CZ121</f>
        <v>10.183822365768441</v>
      </c>
      <c r="AS154" s="54">
        <f>+CY122</f>
        <v>7.8779441448788878</v>
      </c>
      <c r="AT154" s="53">
        <f>+CZ122</f>
        <v>7.9860767802915333</v>
      </c>
      <c r="AU154" s="52">
        <f>+CY123</f>
        <v>8.3260008202575673</v>
      </c>
      <c r="AV154" s="51">
        <f>+CZ123</f>
        <v>5.9237118387523742</v>
      </c>
      <c r="AW154" s="52">
        <f>+CY124</f>
        <v>8.083722913717649</v>
      </c>
      <c r="AX154" s="51">
        <f>+CZ124</f>
        <v>4.1754972442028171</v>
      </c>
      <c r="AY154" s="52">
        <f>+CY125</f>
        <v>7.4013126754456309</v>
      </c>
      <c r="AZ154" s="51">
        <f>+CZ125</f>
        <v>2.7617048843911882</v>
      </c>
      <c r="BA154" s="52">
        <f>+CY126</f>
        <v>6.4413948054342534</v>
      </c>
      <c r="BB154" s="51">
        <f>+CZ126</f>
        <v>1.6494388712165591</v>
      </c>
      <c r="BC154" s="52">
        <f>+CY127</f>
        <v>5.3054101678542844</v>
      </c>
      <c r="BD154" s="51">
        <f>+CZ127</f>
        <v>0.79714818307256552</v>
      </c>
      <c r="BE154" s="52">
        <f>+CY128</f>
        <v>4.0572556384225589</v>
      </c>
      <c r="BF154" s="51">
        <f>+CZ128</f>
        <v>0.16904678632304351</v>
      </c>
      <c r="BG154" s="52">
        <f>+CY129</f>
        <v>2.7387301330387381</v>
      </c>
      <c r="BH154" s="51">
        <f>+CZ129</f>
        <v>-0.2616991103712919</v>
      </c>
      <c r="BI154" s="52">
        <f>+CY130</f>
        <v>1.3789227287883619</v>
      </c>
      <c r="BJ154" s="51">
        <f>+CZ130</f>
        <v>-0.51323313882258714</v>
      </c>
      <c r="BK154" s="52">
        <f>+CY131</f>
        <v>3.6506458382437044E-17</v>
      </c>
      <c r="BL154" s="51">
        <f>+CZ131</f>
        <v>-0.59595158833481854</v>
      </c>
      <c r="BM154" s="52">
        <f>+CY132</f>
        <v>-1.3789227287883621</v>
      </c>
      <c r="BN154" s="51">
        <f>+CZ132</f>
        <v>-0.51323313882258681</v>
      </c>
      <c r="BO154" s="52">
        <f>+CY133</f>
        <v>-2.7387301330387381</v>
      </c>
      <c r="BP154" s="51">
        <f>+CZ133</f>
        <v>-0.26169911037129179</v>
      </c>
      <c r="BQ154" s="52">
        <f>+CY134</f>
        <v>-4.0572556384225589</v>
      </c>
      <c r="BR154" s="51">
        <f>+CZ134</f>
        <v>0.16904678632304337</v>
      </c>
      <c r="BS154" s="52">
        <f>+CY135</f>
        <v>-5.3054101678542844</v>
      </c>
      <c r="BT154" s="51">
        <f>+CZ135</f>
        <v>0.79714818307256685</v>
      </c>
      <c r="BU154" s="52">
        <f>+CY136</f>
        <v>-6.4413948054342534</v>
      </c>
      <c r="BV154" s="51">
        <f>+CZ136</f>
        <v>1.6494388712165602</v>
      </c>
      <c r="BW154" s="52">
        <f>+CY137</f>
        <v>-7.40131267544563</v>
      </c>
      <c r="BX154" s="51">
        <f>+CZ137</f>
        <v>2.76170488439119</v>
      </c>
      <c r="BY154" s="52">
        <f>+CY138</f>
        <v>-8.083722913717649</v>
      </c>
      <c r="BZ154" s="51">
        <f>+CZ138</f>
        <v>4.1754972442028189</v>
      </c>
      <c r="CA154" s="52">
        <f>+CY139</f>
        <v>-8.326000820257569</v>
      </c>
      <c r="CB154" s="51">
        <f>+CZ139</f>
        <v>5.9237118387523715</v>
      </c>
      <c r="CC154" s="52">
        <f>+CY140</f>
        <v>-7.8779441448788878</v>
      </c>
      <c r="CD154" s="51">
        <f>+CZ140</f>
        <v>7.9860767802915342</v>
      </c>
      <c r="CE154" s="52">
        <f>+CY141</f>
        <v>-6.4125680267423553</v>
      </c>
      <c r="CF154" s="51">
        <f>+CZ141</f>
        <v>10.183822365768441</v>
      </c>
      <c r="CG154" s="52">
        <f>+CY142</f>
        <v>-3.6949575945570592</v>
      </c>
      <c r="CH154" s="51">
        <f>+CZ142</f>
        <v>12.029234755727893</v>
      </c>
      <c r="CI154" s="52">
        <f>+CY143</f>
        <v>7.828668971127683E-16</v>
      </c>
      <c r="CJ154" s="51">
        <f>+CZ143</f>
        <v>12.779951588334818</v>
      </c>
    </row>
    <row r="155" spans="1:88" x14ac:dyDescent="0.25">
      <c r="A155">
        <v>-6.3</v>
      </c>
      <c r="B155">
        <f t="shared" si="136"/>
        <v>6.4272855856885656</v>
      </c>
      <c r="C155">
        <f t="shared" si="137"/>
        <v>-6.4272855856885656</v>
      </c>
      <c r="D155">
        <f t="shared" si="145"/>
        <v>4.9305172142484199</v>
      </c>
      <c r="E155">
        <f t="shared" si="146"/>
        <v>-4.9305172142484199</v>
      </c>
      <c r="F155">
        <f t="shared" si="147"/>
        <v>3.0512292604784719</v>
      </c>
      <c r="G155">
        <f t="shared" si="148"/>
        <v>-3.0512292604784719</v>
      </c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44"/>
      <c r="X155" s="13"/>
      <c r="Y155" s="13"/>
      <c r="Z155" s="13"/>
      <c r="AA155" s="13" t="s">
        <v>237</v>
      </c>
      <c r="AB155" s="197">
        <f>SUM(AB141:AB153)</f>
        <v>7</v>
      </c>
      <c r="AC155" s="197"/>
      <c r="AD155" s="197">
        <f>SUM(AD141:AD153)</f>
        <v>8</v>
      </c>
      <c r="AE155" s="197"/>
      <c r="AF155" s="197">
        <f>SUM(AF141:AF153)</f>
        <v>9</v>
      </c>
      <c r="AG155" s="197"/>
      <c r="AH155" s="197">
        <f>SUM(AH141:AH153)</f>
        <v>13</v>
      </c>
      <c r="AI155" s="197"/>
      <c r="AJ155" s="197">
        <f>SUM(AJ141:AJ153)</f>
        <v>13</v>
      </c>
      <c r="AK155" s="197"/>
      <c r="AL155" s="197">
        <f>SUM(AL141:AL153)</f>
        <v>13</v>
      </c>
      <c r="AM155" s="13"/>
      <c r="AO155" s="92" t="s">
        <v>89</v>
      </c>
      <c r="AP155" s="91" t="s">
        <v>93</v>
      </c>
      <c r="AQ155" s="90" t="s">
        <v>89</v>
      </c>
      <c r="AR155" s="91" t="s">
        <v>93</v>
      </c>
      <c r="AS155" s="90" t="s">
        <v>89</v>
      </c>
      <c r="AT155" s="91" t="s">
        <v>93</v>
      </c>
      <c r="AU155" s="90" t="s">
        <v>89</v>
      </c>
      <c r="AV155" s="91" t="s">
        <v>93</v>
      </c>
      <c r="AW155" s="90" t="s">
        <v>89</v>
      </c>
      <c r="AX155" s="91" t="s">
        <v>93</v>
      </c>
      <c r="AY155" s="90" t="s">
        <v>89</v>
      </c>
      <c r="AZ155" s="91" t="s">
        <v>93</v>
      </c>
      <c r="BA155" s="90" t="s">
        <v>89</v>
      </c>
      <c r="BB155" s="91" t="s">
        <v>93</v>
      </c>
      <c r="BC155" s="90" t="s">
        <v>89</v>
      </c>
      <c r="BD155" s="91" t="s">
        <v>93</v>
      </c>
      <c r="BE155" s="90" t="s">
        <v>89</v>
      </c>
      <c r="BF155" s="91" t="s">
        <v>93</v>
      </c>
      <c r="BG155" s="90" t="s">
        <v>89</v>
      </c>
      <c r="BH155" s="91" t="s">
        <v>93</v>
      </c>
      <c r="BI155" s="90" t="s">
        <v>89</v>
      </c>
      <c r="BJ155" s="91" t="s">
        <v>93</v>
      </c>
      <c r="BK155" s="90" t="s">
        <v>89</v>
      </c>
      <c r="BL155" s="91" t="s">
        <v>93</v>
      </c>
      <c r="BM155" s="90" t="s">
        <v>89</v>
      </c>
      <c r="BN155" s="91" t="s">
        <v>93</v>
      </c>
      <c r="BO155" s="90" t="s">
        <v>89</v>
      </c>
      <c r="BP155" s="91" t="s">
        <v>93</v>
      </c>
      <c r="BQ155" s="90" t="s">
        <v>89</v>
      </c>
      <c r="BR155" s="91" t="s">
        <v>93</v>
      </c>
      <c r="BS155" s="90" t="s">
        <v>89</v>
      </c>
      <c r="BT155" s="91" t="s">
        <v>93</v>
      </c>
      <c r="BU155" s="90" t="s">
        <v>89</v>
      </c>
      <c r="BV155" s="91" t="s">
        <v>93</v>
      </c>
      <c r="BW155" s="90" t="s">
        <v>89</v>
      </c>
      <c r="BX155" s="91" t="s">
        <v>93</v>
      </c>
      <c r="BY155" s="90" t="s">
        <v>89</v>
      </c>
      <c r="BZ155" s="91" t="s">
        <v>93</v>
      </c>
      <c r="CA155" s="90" t="s">
        <v>89</v>
      </c>
      <c r="CB155" s="91" t="s">
        <v>93</v>
      </c>
      <c r="CC155" s="90" t="s">
        <v>89</v>
      </c>
      <c r="CD155" s="91" t="s">
        <v>93</v>
      </c>
      <c r="CE155" s="90" t="s">
        <v>89</v>
      </c>
      <c r="CF155" s="91" t="s">
        <v>93</v>
      </c>
      <c r="CG155" s="90" t="s">
        <v>89</v>
      </c>
      <c r="CH155" s="91" t="s">
        <v>93</v>
      </c>
      <c r="CI155" s="90" t="s">
        <v>89</v>
      </c>
      <c r="CJ155" s="91" t="s">
        <v>93</v>
      </c>
    </row>
    <row r="156" spans="1:88" x14ac:dyDescent="0.25">
      <c r="A156">
        <v>-6.4</v>
      </c>
      <c r="B156">
        <f t="shared" si="136"/>
        <v>6.327716807822549</v>
      </c>
      <c r="C156">
        <f t="shared" si="137"/>
        <v>-6.327716807822549</v>
      </c>
      <c r="D156">
        <f t="shared" si="145"/>
        <v>4.7999999999999989</v>
      </c>
      <c r="E156">
        <f t="shared" si="146"/>
        <v>-4.7999999999999989</v>
      </c>
      <c r="F156">
        <f t="shared" si="147"/>
        <v>2.8354893757515636</v>
      </c>
      <c r="G156">
        <f t="shared" si="148"/>
        <v>-2.8354893757515636</v>
      </c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44"/>
      <c r="X156" s="13"/>
      <c r="Y156" s="13"/>
      <c r="Z156" s="13"/>
      <c r="AA156" s="13" t="s">
        <v>223</v>
      </c>
      <c r="AB156" s="197">
        <f>13-AB155</f>
        <v>6</v>
      </c>
      <c r="AC156" s="197"/>
      <c r="AD156" s="197">
        <f>13-AD155</f>
        <v>5</v>
      </c>
      <c r="AE156" s="197"/>
      <c r="AF156" s="197">
        <f>13-AF155</f>
        <v>4</v>
      </c>
      <c r="AG156" s="197"/>
      <c r="AH156" s="197">
        <f>13-AH155</f>
        <v>0</v>
      </c>
      <c r="AI156" s="197"/>
      <c r="AJ156" s="197">
        <f>13-AJ155</f>
        <v>0</v>
      </c>
      <c r="AK156" s="197"/>
      <c r="AL156" s="197">
        <f>13-AL155</f>
        <v>0</v>
      </c>
      <c r="AM156" s="13"/>
      <c r="AN156" s="13" t="s">
        <v>105</v>
      </c>
      <c r="AO156" s="13">
        <f t="shared" ref="AO156:AO161" si="149">+IF(AO157=0,0,IF(SQRT((AO148^2)+(AP148^2))&gt;9,9,SQRT((AO148^2)+(AP148^2))))</f>
        <v>0</v>
      </c>
      <c r="AP156" s="14">
        <f t="shared" ref="AP156:AP161" si="150">+IF(SQRT((AO148^2)+(AP148^2))&gt;9,(9-AO157)*(DEGREES(ATAN2(AO148,AP148))-AP157)/(SQRT((AO148^2)+(AP148^2))-AO157)+AP157,DEGREES(ATAN2(AO148,AP148)))</f>
        <v>26.850580005862344</v>
      </c>
      <c r="AQ156" s="16">
        <f t="shared" ref="AQ156:AQ161" si="151">+IF(AQ157=0,0,IF(SQRT((AQ148^2)+(AR148^2))&gt;9,9,SQRT((AQ148^2)+(AR148^2))))</f>
        <v>0</v>
      </c>
      <c r="AR156" s="14">
        <f t="shared" ref="AR156:AR161" si="152">+IF(SQRT((AQ148^2)+(AR148^2))&gt;9,(9-AQ157)*(DEGREES(ATAN2(AQ148,AR148))-AR157)/(SQRT((AQ148^2)+(AR148^2))-AQ157)+AR157,DEGREES(ATAN2(AQ148,AR148)))</f>
        <v>9.3611848916407894</v>
      </c>
      <c r="AS156" s="16">
        <f t="shared" ref="AS156:AS161" si="153">+IF(AS157=0,0,IF(SQRT((AS148^2)+(AT148^2))&gt;9,9,SQRT((AS148^2)+(AT148^2))))</f>
        <v>0</v>
      </c>
      <c r="AT156" s="14">
        <f t="shared" ref="AT156:AT161" si="154">+IF(SQRT((AS148^2)+(AT148^2))&gt;9,(9-AS157)*(DEGREES(ATAN2(AS148,AT148))-AT157)/(SQRT((AS148^2)+(AT148^2))-AS157)+AT157,DEGREES(ATAN2(AS148,AT148)))</f>
        <v>-0.26738805373453278</v>
      </c>
      <c r="AU156" s="16">
        <f t="shared" ref="AU156:AU161" si="155">+IF(AU157=0,0,IF(SQRT((AU148^2)+(AV148^2))&gt;9,9,SQRT((AU148^2)+(AV148^2))))</f>
        <v>0</v>
      </c>
      <c r="AV156" s="14">
        <f t="shared" ref="AV156:AV161" si="156">+IF(SQRT((AU148^2)+(AV148^2))&gt;9,(9-AU157)*(DEGREES(ATAN2(AU148,AV148))-AV157)/(SQRT((AU148^2)+(AV148^2))-AU157)+AV157,DEGREES(ATAN2(AU148,AV148)))</f>
        <v>-7.5335246735277543</v>
      </c>
      <c r="AW156" s="16">
        <f t="shared" ref="AW156:AW161" si="157">+IF(AW157=0,0,IF(SQRT((AW148^2)+(AX148^2))&gt;9,9,SQRT((AW148^2)+(AX148^2))))</f>
        <v>0</v>
      </c>
      <c r="AX156" s="14">
        <f t="shared" ref="AX156:AX161" si="158">+IF(SQRT((AW148^2)+(AX148^2))&gt;9,(9-AW157)*(DEGREES(ATAN2(AW148,AX148))-AX157)/(SQRT((AW148^2)+(AX148^2))-AW157)+AX157,DEGREES(ATAN2(AW148,AX148)))</f>
        <v>-14.039797657877088</v>
      </c>
      <c r="AY156" s="16">
        <f t="shared" ref="AY156:AY161" si="159">+IF(AY157=0,0,IF(SQRT((AY148^2)+(AZ148^2))&gt;9,9,SQRT((AY148^2)+(AZ148^2))))</f>
        <v>9</v>
      </c>
      <c r="AZ156" s="14">
        <f t="shared" ref="AZ156:AZ161" si="160">+IF(SQRT((AY148^2)+(AZ148^2))&gt;9,(9-AY157)*(DEGREES(ATAN2(AY148,AZ148))-AZ157)/(SQRT((AY148^2)+(AZ148^2))-AY157)+AZ157,DEGREES(ATAN2(AY148,AZ148)))</f>
        <v>6.2804653433179425E-3</v>
      </c>
      <c r="BA156" s="16">
        <f t="shared" ref="BA156:BA161" si="161">+IF(BA157=0,0,IF(SQRT((BA148^2)+(BB148^2))&gt;9,9,SQRT((BA148^2)+(BB148^2))))</f>
        <v>8.9192220133856761</v>
      </c>
      <c r="BB156" s="14">
        <f t="shared" ref="BB156:BB161" si="162">+IF(SQRT((BA148^2)+(BB148^2))&gt;9,(9-BA157)*(DEGREES(ATAN2(BA148,BB148))-BB157)/(SQRT((BA148^2)+(BB148^2))-BA157)+BB157,DEGREES(ATAN2(BA148,BB148)))</f>
        <v>-27.59582673339338</v>
      </c>
      <c r="BC156" s="16">
        <f t="shared" ref="BC156:BC161" si="163">+IF(BC157=0,0,IF(SQRT((BC148^2)+(BD148^2))&gt;9,9,SQRT((BC148^2)+(BD148^2))))</f>
        <v>7.802600195614728</v>
      </c>
      <c r="BD156" s="14">
        <f t="shared" ref="BD156:BD161" si="164">+IF(SQRT((BC148^2)+(BD148^2))&gt;9,(9-BC157)*(DEGREES(ATAN2(BC148,BD148))-BD157)/(SQRT((BC148^2)+(BD148^2))-BC157)+BD157,DEGREES(ATAN2(BC148,BD148)))</f>
        <v>-35.691409005347353</v>
      </c>
      <c r="BE156" s="16">
        <f t="shared" ref="BE156:BE161" si="165">+IF(BE157=0,0,IF(SQRT((BE148^2)+(BF148^2))&gt;9,9,SQRT((BE148^2)+(BF148^2))))</f>
        <v>6.8067242388207188</v>
      </c>
      <c r="BF156" s="14">
        <f t="shared" ref="BF156:BF161" si="166">+IF(SQRT((BE148^2)+(BF148^2))&gt;9,(9-BE157)*(DEGREES(ATAN2(BE148,BF148))-BF157)/(SQRT((BE148^2)+(BF148^2))-BE157)+BF157,DEGREES(ATAN2(BE148,BF148)))</f>
        <v>-45.627435722185709</v>
      </c>
      <c r="BG156" s="16">
        <f t="shared" ref="BG156:BG161" si="167">+IF(BG157=0,0,IF(SQRT((BG148^2)+(BH148^2))&gt;9,9,SQRT((BG148^2)+(BH148^2))))</f>
        <v>5.9938243126838104</v>
      </c>
      <c r="BH156" s="14">
        <f t="shared" ref="BH156:BH161" si="168">+IF(SQRT((BG148^2)+(BH148^2))&gt;9,(9-BG157)*(DEGREES(ATAN2(BG148,BH148))-BH157)/(SQRT((BG148^2)+(BH148^2))-BG157)+BH157,DEGREES(ATAN2(BG148,BH148)))</f>
        <v>-57.994776292287042</v>
      </c>
      <c r="BI156" s="16">
        <f t="shared" ref="BI156:BI161" si="169">+IF(BI157=0,0,IF(SQRT((BI148^2)+(BJ148^2))&gt;9,9,SQRT((BI148^2)+(BJ148^2))))</f>
        <v>5.4477010666889978</v>
      </c>
      <c r="BJ156" s="14">
        <f t="shared" ref="BJ156:BJ161" si="170">+IF(SQRT((BI148^2)+(BJ148^2))&gt;9,(9-BI157)*(DEGREES(ATAN2(BI148,BJ148))-BJ157)/(SQRT((BI148^2)+(BJ148^2))-BI157)+BJ157,DEGREES(ATAN2(BI148,BJ148)))</f>
        <v>-73.037777093012437</v>
      </c>
      <c r="BK156" s="16">
        <f t="shared" ref="BK156:BK161" si="171">+IF(BK157=0,0,IF(SQRT((BK148^2)+(BL148^2))&gt;9,9,SQRT((BK148^2)+(BL148^2))))</f>
        <v>5.2529782846813662</v>
      </c>
      <c r="BL156" s="14">
        <f t="shared" ref="BL156:BL161" si="172">+IF(SQRT((BK148^2)+(BL148^2))&gt;9,(9-BK157)*(DEGREES(ATAN2(BK148,BL148))-BL157)/(SQRT((BK148^2)+(BL148^2))-BK157)+BL157,DEGREES(ATAN2(BK148,BL148)))</f>
        <v>-90</v>
      </c>
      <c r="BM156" s="16">
        <f t="shared" ref="BM156:BM161" si="173">+IF(BM157=0,0,IF(SQRT((BM148^2)+(BN148^2))&gt;9,9,SQRT((BM148^2)+(BN148^2))))</f>
        <v>5.4477010666889978</v>
      </c>
      <c r="BN156" s="14">
        <f t="shared" ref="BN156:BN161" si="174">+IF(SQRT((BM148^2)+(BN148^2))&gt;9,IF(DEGREES(ATAN2(BM148,BN148))&lt;0,(9-BM157)*(360+DEGREES(ATAN2(BM148,BN148))-BN157)/(SQRT((BM148^2)+(BN148^2))-BM157)+BN157,(9-BM157)*(DEGREES(ATAN2(BM148,BN148))-BN157)/(SQRT((BM148^2)+(BN148^2))-BM157)+BN157),IF(DEGREES(ATAN2(BM148,BN148))&lt;0,360+DEGREES(ATAN2(BM148,BN148)),DEGREES(ATAN2(BM148,BN148))))</f>
        <v>253.03777709301244</v>
      </c>
      <c r="BO156" s="16">
        <f t="shared" ref="BO156:BO161" si="175">+IF(BO157=0,0,IF(SQRT((BO148^2)+(BP148^2))&gt;9,9,SQRT((BO148^2)+(BP148^2))))</f>
        <v>5.9938243126838104</v>
      </c>
      <c r="BP156" s="14">
        <f t="shared" ref="BP156:BP161" si="176">+IF(SQRT((BO148^2)+(BP148^2))&gt;9,IF(DEGREES(ATAN2(BO148,BP148))&lt;0,(9-BO157)*(360+DEGREES(ATAN2(BO148,BP148))-BP157)/(SQRT((BO148^2)+(BP148^2))-BO157)+BP157,(9-BO157)*(DEGREES(ATAN2(BO148,BP148))-BP157)/(SQRT((BO148^2)+(BP148^2))-BO157)+BP157),IF(DEGREES(ATAN2(BO148,BP148))&lt;0,360+DEGREES(ATAN2(BO148,BP148)),DEGREES(ATAN2(BO148,BP148))))</f>
        <v>237.99477629228704</v>
      </c>
      <c r="BQ156" s="16">
        <f t="shared" ref="BQ156:BQ161" si="177">+IF(BQ157=0,0,IF(SQRT((BQ148^2)+(BR148^2))&gt;9,9,SQRT((BQ148^2)+(BR148^2))))</f>
        <v>6.8067242388207188</v>
      </c>
      <c r="BR156" s="14">
        <f t="shared" ref="BR156:BR161" si="178">+IF(SQRT((BQ148^2)+(BR148^2))&gt;9,IF(DEGREES(ATAN2(BQ148,BR148))&lt;0,(9-BQ157)*(360+DEGREES(ATAN2(BQ148,BR148))-BR157)/(SQRT((BQ148^2)+(BR148^2))-BQ157)+BR157,(9-BQ157)*(DEGREES(ATAN2(BQ148,BR148))-BR157)/(SQRT((BQ148^2)+(BR148^2))-BQ157)+BR157),IF(DEGREES(ATAN2(BQ148,BR148))&lt;0,360+DEGREES(ATAN2(BQ148,BR148)),DEGREES(ATAN2(BQ148,BR148))))</f>
        <v>225.62743572218574</v>
      </c>
      <c r="BS156" s="16">
        <f t="shared" ref="BS156:BS161" si="179">+IF(BS157=0,0,IF(SQRT((BS148^2)+(BT148^2))&gt;9,9,SQRT((BS148^2)+(BT148^2))))</f>
        <v>7.802600195614728</v>
      </c>
      <c r="BT156" s="14">
        <f t="shared" ref="BT156:BT161" si="180">+IF(SQRT((BS148^2)+(BT148^2))&gt;9,IF(DEGREES(ATAN2(BS148,BT148))&lt;0,(9-BS157)*(360+DEGREES(ATAN2(BS148,BT148))-BT157)/(SQRT((BS148^2)+(BT148^2))-BS157)+BT157,(9-BS157)*(DEGREES(ATAN2(BS148,BT148))-BT157)/(SQRT((BS148^2)+(BT148^2))-BS157)+BT157),IF(DEGREES(ATAN2(BS148,BT148))&lt;0,360+DEGREES(ATAN2(BS148,BT148)),DEGREES(ATAN2(BS148,BT148))))</f>
        <v>215.69140900534731</v>
      </c>
      <c r="BU156" s="16">
        <f t="shared" ref="BU156:BU161" si="181">+IF(BU157=0,0,IF(SQRT((BU148^2)+(BV148^2))&gt;9,9,SQRT((BU148^2)+(BV148^2))))</f>
        <v>8.9192220133856761</v>
      </c>
      <c r="BV156" s="14">
        <f t="shared" ref="BV156:BV161" si="182">+IF(SQRT((BU148^2)+(BV148^2))&gt;9,IF(DEGREES(ATAN2(BU148,BV148))&lt;0,(9-BU157)*(360+DEGREES(ATAN2(BU148,BV148))-BV157)/(SQRT((BU148^2)+(BV148^2))-BU157)+BV157,(9-BU157)*(DEGREES(ATAN2(BU148,BV148))-BV157)/(SQRT((BU148^2)+(BV148^2))-BU157)+BV157),IF(DEGREES(ATAN2(BU148,BV148))&lt;0,360+DEGREES(ATAN2(BU148,BV148)),DEGREES(ATAN2(BU148,BV148))))</f>
        <v>207.59582673339338</v>
      </c>
      <c r="BW156" s="16">
        <f t="shared" ref="BW156:BW161" si="183">+IF(BW157=0,0,IF(SQRT((BW148^2)+(BX148^2))&gt;9,9,SQRT((BW148^2)+(BX148^2))))</f>
        <v>9</v>
      </c>
      <c r="BX156" s="14">
        <f t="shared" ref="BX156:BX161" si="184">+IF(SQRT((BW148^2)+(BX148^2))&gt;9,IF(DEGREES(ATAN2(BW148,BX148))&lt;0,(9-BW157)*(360+DEGREES(ATAN2(BW148,BX148))-BX157)/(SQRT((BW148^2)+(BX148^2))-BW157)+BX157,(9-BW157)*(DEGREES(ATAN2(BW148,BX148))-BX157)/(SQRT((BW148^2)+(BX148^2))-BW157)+BX157),IF(DEGREES(ATAN2(BW148,BX148))&lt;0,360+DEGREES(ATAN2(BW148,BX148)),DEGREES(ATAN2(BW148,BX148))))</f>
        <v>179.99371953465666</v>
      </c>
      <c r="BY156" s="16">
        <f t="shared" ref="BY156:BY161" si="185">+IF(BY157=0,0,IF(SQRT((BY148^2)+(BZ148^2))&gt;9,9,SQRT((BY148^2)+(BZ148^2))))</f>
        <v>0</v>
      </c>
      <c r="BZ156" s="14">
        <f t="shared" ref="BZ156:BZ161" si="186">+IF(SQRT((BY148^2)+(BZ148^2))&gt;9,IF(DEGREES(ATAN2(BY148,BZ148))&lt;0,(9-BY157)*(360+DEGREES(ATAN2(BY148,BZ148))-BZ157)/(SQRT((BY148^2)+(BZ148^2))-BY157)+BZ157,(9-BY157)*(DEGREES(ATAN2(BY148,BZ148))-BZ157)/(SQRT((BY148^2)+(BZ148^2))-BY157)+BZ157),IF(DEGREES(ATAN2(BY148,BZ148))&lt;0,360+DEGREES(ATAN2(BY148,BZ148)),DEGREES(ATAN2(BY148,BZ148))))</f>
        <v>194.0397976578771</v>
      </c>
      <c r="CA156" s="16">
        <f t="shared" ref="CA156:CA161" si="187">+IF(CA157=0,0,IF(SQRT((CA148^2)+(CB148^2))&gt;9,9,SQRT((CA148^2)+(CB148^2))))</f>
        <v>0</v>
      </c>
      <c r="CB156" s="14">
        <f t="shared" ref="CB156:CB161" si="188">+IF(SQRT((CA148^2)+(CB148^2))&gt;9,IF(DEGREES(ATAN2(CA148,CB148))&lt;0,(9-CA157)*(360+DEGREES(ATAN2(CA148,CB148))-CB157)/(SQRT((CA148^2)+(CB148^2))-CA157)+CB157,(9-CA157)*(DEGREES(ATAN2(CA148,CB148))-CB157)/(SQRT((CA148^2)+(CB148^2))-CA157)+CB157),IF(DEGREES(ATAN2(CA148,CB148))&lt;0,360+DEGREES(ATAN2(CA148,CB148)),DEGREES(ATAN2(CA148,CB148))))</f>
        <v>187.53352467352778</v>
      </c>
      <c r="CC156" s="16">
        <f t="shared" ref="CC156:CC161" si="189">+IF(CC157=0,0,IF(SQRT((CC148^2)+(CD148^2))&gt;9,9,SQRT((CC148^2)+(CD148^2))))</f>
        <v>0</v>
      </c>
      <c r="CD156" s="14">
        <f t="shared" ref="CD156:CD161" si="190">+IF(SQRT((CC148^2)+(CD148^2))&gt;9,IF(DEGREES(ATAN2(CC148,CD148))&lt;0,(9-CC157)*(360+DEGREES(ATAN2(CC148,CD148))-CD157)/(SQRT((CC148^2)+(CD148^2))-CC157)+CD157,(9-CC157)*(DEGREES(ATAN2(CC148,CD148))-CD157)/(SQRT((CC148^2)+(CD148^2))-CC157)+CD157),IF(DEGREES(ATAN2(CC148,CD148))&lt;0,360+DEGREES(ATAN2(CC148,CD148)),DEGREES(ATAN2(CC148,CD148))))</f>
        <v>180.26738805373455</v>
      </c>
      <c r="CE156" s="16">
        <f t="shared" ref="CE156:CE161" si="191">+IF(CE157=0,0,IF(SQRT((CE148^2)+(CF148^2))&gt;9,9,SQRT((CE148^2)+(CF148^2))))</f>
        <v>0</v>
      </c>
      <c r="CF156" s="14">
        <f t="shared" ref="CF156:CF161" si="192">+IF(SQRT((CE148^2)+(CF148^2))&gt;9,IF(DEGREES(ATAN2(CE148,CF148))&lt;0,(9-CE157)*(360+DEGREES(ATAN2(CE148,CF148))-CF157)/(SQRT((CE148^2)+(CF148^2))-CE157)+CF157,(9-CE157)*(DEGREES(ATAN2(CE148,CF148))-CF157)/(SQRT((CE148^2)+(CF148^2))-CE157)+CF157),IF(DEGREES(ATAN2(CE148,CF148))&lt;0,360+DEGREES(ATAN2(CE148,CF148)),DEGREES(ATAN2(CE148,CF148))))</f>
        <v>170.63881510835921</v>
      </c>
      <c r="CG156" s="16">
        <f t="shared" ref="CG156:CG161" si="193">+IF(CG157=0,0,IF(SQRT((CG148^2)+(CH148^2))&gt;9,9,SQRT((CG148^2)+(CH148^2))))</f>
        <v>0</v>
      </c>
      <c r="CH156" s="14">
        <f t="shared" ref="CH156:CH161" si="194">+IF(SQRT((CG148^2)+(CH148^2))&gt;9,IF(DEGREES(ATAN2(CG148,CH148))&lt;0,(9-CG157)*(360+DEGREES(ATAN2(CG148,CH148))-CH157)/(SQRT((CG148^2)+(CH148^2))-CG157)+CH157,(9-CG157)*(DEGREES(ATAN2(CG148,CH148))-CH157)/(SQRT((CG148^2)+(CH148^2))-CG157)+CH157),IF(DEGREES(ATAN2(CG148,CH148))&lt;0,360+DEGREES(ATAN2(CG148,CH148)),DEGREES(ATAN2(CG148,CH148))))</f>
        <v>153.14941999413765</v>
      </c>
      <c r="CI156" s="16">
        <f t="shared" ref="CI156:CI161" si="195">+IF(CI157=0,0,IF(SQRT((CI148^2)+(CJ148^2))&gt;9,9,SQRT((CI148^2)+(CJ148^2))))</f>
        <v>0</v>
      </c>
      <c r="CJ156" s="14" t="e">
        <f t="shared" ref="CJ156:CJ161" si="196">+IF(SQRT((CI148^2)+(CJ148^2))&gt;9,IF(DEGREES(ATAN2(CI148,CJ148))&lt;0,(9-CI157)*(360+DEGREES(ATAN2(CI148,CJ148))-CJ157)/(SQRT((CI148^2)+(CJ148^2))-CI157)+CJ157,(9-CI157)*(DEGREES(ATAN2(CI148,CJ148))-CJ157)/(SQRT((CI148^2)+(CJ148^2))-CI157)+CJ157),IF(DEGREES(ATAN2(CI148,CJ148))&lt;0,360+DEGREES(ATAN2(CI148,CJ148)),DEGREES(ATAN2(CI148,CJ148))))</f>
        <v>#NUM!</v>
      </c>
    </row>
    <row r="157" spans="1:88" x14ac:dyDescent="0.25">
      <c r="A157">
        <v>-6.5</v>
      </c>
      <c r="B157">
        <f t="shared" si="136"/>
        <v>6.2249497989943663</v>
      </c>
      <c r="C157">
        <f t="shared" si="137"/>
        <v>-6.2249497989943663</v>
      </c>
      <c r="D157">
        <f t="shared" si="145"/>
        <v>4.6636895265444078</v>
      </c>
      <c r="E157">
        <f t="shared" si="146"/>
        <v>-4.6636895265444078</v>
      </c>
      <c r="F157">
        <f t="shared" si="147"/>
        <v>2.598076211353316</v>
      </c>
      <c r="G157">
        <f t="shared" si="148"/>
        <v>-2.598076211353316</v>
      </c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44"/>
      <c r="X157" s="50"/>
      <c r="Y157" s="50"/>
      <c r="Z157" s="13"/>
      <c r="AA157" s="13"/>
      <c r="AB157" s="13"/>
      <c r="AC157" s="13"/>
      <c r="AD157" s="13"/>
      <c r="AE157" s="13"/>
      <c r="AF157" s="13"/>
      <c r="AG157" s="13"/>
      <c r="AH157" s="44"/>
      <c r="AI157" s="50"/>
      <c r="AJ157" s="50"/>
      <c r="AK157" s="13"/>
      <c r="AL157" s="13"/>
      <c r="AM157" s="13"/>
      <c r="AN157" t="s">
        <v>104</v>
      </c>
      <c r="AO157" s="13">
        <f t="shared" si="149"/>
        <v>0</v>
      </c>
      <c r="AP157" s="14">
        <f t="shared" si="150"/>
        <v>35.919972026700158</v>
      </c>
      <c r="AQ157" s="16">
        <f t="shared" si="151"/>
        <v>0</v>
      </c>
      <c r="AR157" s="14">
        <f t="shared" si="152"/>
        <v>15.946006502601341</v>
      </c>
      <c r="AS157" s="16">
        <f t="shared" si="153"/>
        <v>0</v>
      </c>
      <c r="AT157" s="14">
        <f t="shared" si="154"/>
        <v>4.4601020618136324</v>
      </c>
      <c r="AU157" s="16">
        <f t="shared" si="155"/>
        <v>0</v>
      </c>
      <c r="AV157" s="14">
        <f t="shared" si="156"/>
        <v>-4.087469058715504</v>
      </c>
      <c r="AW157" s="16">
        <f t="shared" si="157"/>
        <v>0</v>
      </c>
      <c r="AX157" s="14">
        <f t="shared" si="158"/>
        <v>-11.549047860679782</v>
      </c>
      <c r="AY157" s="16">
        <f t="shared" si="159"/>
        <v>9</v>
      </c>
      <c r="AZ157" s="14">
        <f t="shared" si="160"/>
        <v>6.2804653433179425E-3</v>
      </c>
      <c r="BA157" s="16">
        <f t="shared" si="161"/>
        <v>8.847315606929163</v>
      </c>
      <c r="BB157" s="14">
        <f t="shared" si="162"/>
        <v>-26.462445850321306</v>
      </c>
      <c r="BC157" s="16">
        <f t="shared" si="163"/>
        <v>7.7177785389717872</v>
      </c>
      <c r="BD157" s="14">
        <f t="shared" si="164"/>
        <v>-34.626572477436156</v>
      </c>
      <c r="BE157" s="16">
        <f t="shared" si="165"/>
        <v>6.7069243574595294</v>
      </c>
      <c r="BF157" s="14">
        <f t="shared" si="166"/>
        <v>-44.656719612642007</v>
      </c>
      <c r="BG157" s="16">
        <f t="shared" si="167"/>
        <v>5.8782191316981223</v>
      </c>
      <c r="BH157" s="14">
        <f t="shared" si="168"/>
        <v>-57.202528775347758</v>
      </c>
      <c r="BI157" s="16">
        <f t="shared" si="169"/>
        <v>5.3188736639928305</v>
      </c>
      <c r="BJ157" s="14">
        <f t="shared" si="170"/>
        <v>-72.571952123854601</v>
      </c>
      <c r="BK157" s="16">
        <f t="shared" si="171"/>
        <v>5.1187748812505367</v>
      </c>
      <c r="BL157" s="14">
        <f t="shared" si="172"/>
        <v>-90</v>
      </c>
      <c r="BM157" s="16">
        <f t="shared" si="173"/>
        <v>5.3188736639928305</v>
      </c>
      <c r="BN157" s="14">
        <f t="shared" si="174"/>
        <v>252.5719521238546</v>
      </c>
      <c r="BO157" s="16">
        <f t="shared" si="175"/>
        <v>5.8782191316981214</v>
      </c>
      <c r="BP157" s="14">
        <f t="shared" si="176"/>
        <v>237.20252877534776</v>
      </c>
      <c r="BQ157" s="16">
        <f t="shared" si="177"/>
        <v>6.7069243574595294</v>
      </c>
      <c r="BR157" s="14">
        <f t="shared" si="178"/>
        <v>224.65671961264201</v>
      </c>
      <c r="BS157" s="16">
        <f t="shared" si="179"/>
        <v>7.7177785389717872</v>
      </c>
      <c r="BT157" s="14">
        <f t="shared" si="180"/>
        <v>214.62657247743616</v>
      </c>
      <c r="BU157" s="16">
        <f t="shared" si="181"/>
        <v>8.847315606929163</v>
      </c>
      <c r="BV157" s="14">
        <f t="shared" si="182"/>
        <v>206.4624458503213</v>
      </c>
      <c r="BW157" s="16">
        <f t="shared" si="183"/>
        <v>9</v>
      </c>
      <c r="BX157" s="14">
        <f t="shared" si="184"/>
        <v>179.99371953465666</v>
      </c>
      <c r="BY157" s="16">
        <f t="shared" si="185"/>
        <v>0</v>
      </c>
      <c r="BZ157" s="14">
        <f t="shared" si="186"/>
        <v>191.54904786067976</v>
      </c>
      <c r="CA157" s="16">
        <f t="shared" si="187"/>
        <v>0</v>
      </c>
      <c r="CB157" s="14">
        <f t="shared" si="188"/>
        <v>184.08746905871553</v>
      </c>
      <c r="CC157" s="16">
        <f t="shared" si="189"/>
        <v>0</v>
      </c>
      <c r="CD157" s="14">
        <f t="shared" si="190"/>
        <v>175.53989793818636</v>
      </c>
      <c r="CE157" s="16">
        <f t="shared" si="191"/>
        <v>0</v>
      </c>
      <c r="CF157" s="14">
        <f t="shared" si="192"/>
        <v>164.05399349739866</v>
      </c>
      <c r="CG157" s="16">
        <f t="shared" si="193"/>
        <v>0</v>
      </c>
      <c r="CH157" s="14">
        <f t="shared" si="194"/>
        <v>144.08002797329985</v>
      </c>
      <c r="CI157" s="16">
        <f t="shared" si="195"/>
        <v>0</v>
      </c>
      <c r="CJ157" s="14" t="e">
        <f t="shared" si="196"/>
        <v>#NUM!</v>
      </c>
    </row>
    <row r="158" spans="1:88" x14ac:dyDescent="0.25">
      <c r="A158">
        <v>-6.6</v>
      </c>
      <c r="B158">
        <f t="shared" si="136"/>
        <v>6.1188234163113426</v>
      </c>
      <c r="C158">
        <f t="shared" si="137"/>
        <v>-6.1188234163113426</v>
      </c>
      <c r="D158">
        <f t="shared" si="145"/>
        <v>4.5210618221829266</v>
      </c>
      <c r="E158">
        <f t="shared" si="146"/>
        <v>-4.5210618221829266</v>
      </c>
      <c r="F158">
        <f t="shared" si="147"/>
        <v>2.3323807579381213</v>
      </c>
      <c r="G158">
        <f t="shared" si="148"/>
        <v>-2.3323807579381213</v>
      </c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44"/>
      <c r="X158" s="50"/>
      <c r="Y158" s="50"/>
      <c r="Z158" s="13"/>
      <c r="AA158" s="197" t="s">
        <v>11</v>
      </c>
      <c r="AB158" s="197" t="s">
        <v>12</v>
      </c>
      <c r="AC158" s="197" t="s">
        <v>13</v>
      </c>
      <c r="AD158" s="47" t="s">
        <v>14</v>
      </c>
      <c r="AE158" s="47" t="s">
        <v>15</v>
      </c>
      <c r="AF158" s="47" t="s">
        <v>16</v>
      </c>
      <c r="AG158" s="13"/>
      <c r="AH158" s="44"/>
      <c r="AI158" s="50"/>
      <c r="AJ158" s="50"/>
      <c r="AK158" s="13"/>
      <c r="AL158" s="13"/>
      <c r="AM158" s="13"/>
      <c r="AN158" t="s">
        <v>103</v>
      </c>
      <c r="AO158" s="13">
        <f t="shared" si="149"/>
        <v>0</v>
      </c>
      <c r="AP158" s="14">
        <f t="shared" si="150"/>
        <v>50.434269393580166</v>
      </c>
      <c r="AQ158" s="16">
        <f t="shared" si="151"/>
        <v>0</v>
      </c>
      <c r="AR158" s="14">
        <f t="shared" si="152"/>
        <v>28.164866285697748</v>
      </c>
      <c r="AS158" s="16">
        <f t="shared" si="153"/>
        <v>0</v>
      </c>
      <c r="AT158" s="14">
        <f t="shared" si="154"/>
        <v>14.325619600426624</v>
      </c>
      <c r="AU158" s="16">
        <f t="shared" si="155"/>
        <v>0</v>
      </c>
      <c r="AV158" s="14">
        <f t="shared" si="156"/>
        <v>4.1155931719527956</v>
      </c>
      <c r="AW158" s="16">
        <f t="shared" si="157"/>
        <v>0</v>
      </c>
      <c r="AX158" s="14">
        <f t="shared" si="158"/>
        <v>-4.5373719891924473</v>
      </c>
      <c r="AY158" s="16">
        <f t="shared" si="159"/>
        <v>9</v>
      </c>
      <c r="AZ158" s="14">
        <f t="shared" si="160"/>
        <v>6.2804653433179425E-3</v>
      </c>
      <c r="BA158" s="16">
        <f t="shared" si="161"/>
        <v>8.4874323899386965</v>
      </c>
      <c r="BB158" s="14">
        <f t="shared" si="162"/>
        <v>-20.747967716396786</v>
      </c>
      <c r="BC158" s="16">
        <f t="shared" si="163"/>
        <v>7.2987125004663485</v>
      </c>
      <c r="BD158" s="14">
        <f t="shared" si="164"/>
        <v>-29.15629368068803</v>
      </c>
      <c r="BE158" s="16">
        <f t="shared" si="165"/>
        <v>6.2152628794071045</v>
      </c>
      <c r="BF158" s="14">
        <f t="shared" si="166"/>
        <v>-39.54363287993408</v>
      </c>
      <c r="BG158" s="16">
        <f t="shared" si="167"/>
        <v>5.3055554601771542</v>
      </c>
      <c r="BH158" s="14">
        <f t="shared" si="168"/>
        <v>-52.896647030046381</v>
      </c>
      <c r="BI158" s="16">
        <f t="shared" si="169"/>
        <v>4.6746490690290496</v>
      </c>
      <c r="BJ158" s="14">
        <f t="shared" si="170"/>
        <v>-69.960908386052893</v>
      </c>
      <c r="BK158" s="16">
        <f t="shared" si="171"/>
        <v>4.4443416576553023</v>
      </c>
      <c r="BL158" s="14">
        <f t="shared" si="172"/>
        <v>-90</v>
      </c>
      <c r="BM158" s="16">
        <f t="shared" si="173"/>
        <v>4.6746490690290496</v>
      </c>
      <c r="BN158" s="14">
        <f t="shared" si="174"/>
        <v>249.96090838605286</v>
      </c>
      <c r="BO158" s="16">
        <f t="shared" si="175"/>
        <v>5.3055554601771542</v>
      </c>
      <c r="BP158" s="14">
        <f t="shared" si="176"/>
        <v>232.89664703004638</v>
      </c>
      <c r="BQ158" s="16">
        <f t="shared" si="177"/>
        <v>6.2152628794071045</v>
      </c>
      <c r="BR158" s="14">
        <f t="shared" si="178"/>
        <v>219.54363287993408</v>
      </c>
      <c r="BS158" s="16">
        <f t="shared" si="179"/>
        <v>7.2987125004663485</v>
      </c>
      <c r="BT158" s="14">
        <f t="shared" si="180"/>
        <v>209.15629368068804</v>
      </c>
      <c r="BU158" s="16">
        <f t="shared" si="181"/>
        <v>8.4874323899386965</v>
      </c>
      <c r="BV158" s="14">
        <f t="shared" si="182"/>
        <v>200.74796771639677</v>
      </c>
      <c r="BW158" s="16">
        <f t="shared" si="183"/>
        <v>9</v>
      </c>
      <c r="BX158" s="14">
        <f t="shared" si="184"/>
        <v>179.99371953465666</v>
      </c>
      <c r="BY158" s="16">
        <f t="shared" si="185"/>
        <v>0</v>
      </c>
      <c r="BZ158" s="14">
        <f t="shared" si="186"/>
        <v>184.53737198919242</v>
      </c>
      <c r="CA158" s="16">
        <f t="shared" si="187"/>
        <v>0</v>
      </c>
      <c r="CB158" s="14">
        <f t="shared" si="188"/>
        <v>175.88440682804722</v>
      </c>
      <c r="CC158" s="16">
        <f t="shared" si="189"/>
        <v>0</v>
      </c>
      <c r="CD158" s="14">
        <f t="shared" si="190"/>
        <v>165.67438039957338</v>
      </c>
      <c r="CE158" s="16">
        <f t="shared" si="191"/>
        <v>0</v>
      </c>
      <c r="CF158" s="14">
        <f t="shared" si="192"/>
        <v>151.83513371430226</v>
      </c>
      <c r="CG158" s="16">
        <f t="shared" si="193"/>
        <v>0</v>
      </c>
      <c r="CH158" s="14">
        <f t="shared" si="194"/>
        <v>129.56573060641983</v>
      </c>
      <c r="CI158" s="16">
        <f t="shared" si="195"/>
        <v>0</v>
      </c>
      <c r="CJ158" s="14" t="e">
        <f t="shared" si="196"/>
        <v>#NUM!</v>
      </c>
    </row>
    <row r="159" spans="1:88" x14ac:dyDescent="0.25">
      <c r="A159">
        <v>-6.7</v>
      </c>
      <c r="B159">
        <f t="shared" si="136"/>
        <v>6.009159675029446</v>
      </c>
      <c r="C159">
        <f t="shared" si="137"/>
        <v>-6.009159675029446</v>
      </c>
      <c r="D159">
        <f t="shared" si="145"/>
        <v>4.3714985988788788</v>
      </c>
      <c r="E159">
        <f t="shared" si="146"/>
        <v>-4.3714985988788788</v>
      </c>
      <c r="F159">
        <f t="shared" si="147"/>
        <v>2.027313493271329</v>
      </c>
      <c r="G159">
        <f t="shared" si="148"/>
        <v>-2.027313493271329</v>
      </c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44"/>
      <c r="X159" s="13"/>
      <c r="Y159" s="92"/>
      <c r="Z159" s="13" t="s">
        <v>237</v>
      </c>
      <c r="AA159" s="197">
        <f>AL155</f>
        <v>13</v>
      </c>
      <c r="AB159" s="197">
        <f>AJ155</f>
        <v>13</v>
      </c>
      <c r="AC159" s="197">
        <f>AH155</f>
        <v>13</v>
      </c>
      <c r="AD159" s="197">
        <f>AF155</f>
        <v>9</v>
      </c>
      <c r="AE159" s="197">
        <f>AD155</f>
        <v>8</v>
      </c>
      <c r="AF159" s="197">
        <f>AB155</f>
        <v>7</v>
      </c>
      <c r="AG159" s="13"/>
      <c r="AH159" s="44"/>
      <c r="AI159" s="13"/>
      <c r="AJ159" s="197"/>
      <c r="AK159" s="13"/>
      <c r="AL159" s="13"/>
      <c r="AM159" s="13"/>
      <c r="AN159" t="s">
        <v>102</v>
      </c>
      <c r="AO159" s="13">
        <f t="shared" si="149"/>
        <v>0</v>
      </c>
      <c r="AP159" s="14">
        <f t="shared" si="150"/>
        <v>61.778930676927054</v>
      </c>
      <c r="AQ159" s="16">
        <f t="shared" si="151"/>
        <v>0</v>
      </c>
      <c r="AR159" s="14">
        <f t="shared" si="152"/>
        <v>40.770558230539841</v>
      </c>
      <c r="AS159" s="16">
        <f t="shared" si="153"/>
        <v>0</v>
      </c>
      <c r="AT159" s="14">
        <f t="shared" si="154"/>
        <v>25.942207195928887</v>
      </c>
      <c r="AU159" s="16">
        <f t="shared" si="155"/>
        <v>0</v>
      </c>
      <c r="AV159" s="14">
        <f t="shared" si="156"/>
        <v>14.697739275104038</v>
      </c>
      <c r="AW159" s="16">
        <f t="shared" si="157"/>
        <v>0</v>
      </c>
      <c r="AX159" s="14">
        <f t="shared" si="158"/>
        <v>5.2752053547224147</v>
      </c>
      <c r="AY159" s="16">
        <f t="shared" si="159"/>
        <v>9</v>
      </c>
      <c r="AZ159" s="14">
        <f t="shared" si="160"/>
        <v>6.2804653433179425E-3</v>
      </c>
      <c r="BA159" s="16">
        <f t="shared" si="161"/>
        <v>7.9055763281388662</v>
      </c>
      <c r="BB159" s="14">
        <f t="shared" si="162"/>
        <v>-11.140159572114145</v>
      </c>
      <c r="BC159" s="16">
        <f t="shared" si="163"/>
        <v>6.6417980360526299</v>
      </c>
      <c r="BD159" s="14">
        <f t="shared" si="164"/>
        <v>-19.544424483964164</v>
      </c>
      <c r="BE159" s="16">
        <f t="shared" si="165"/>
        <v>5.4509281508389078</v>
      </c>
      <c r="BF159" s="14">
        <f t="shared" si="166"/>
        <v>-29.990485731254758</v>
      </c>
      <c r="BG159" s="16">
        <f t="shared" si="167"/>
        <v>4.402134407025633</v>
      </c>
      <c r="BH159" s="14">
        <f t="shared" si="168"/>
        <v>-44.147079988971207</v>
      </c>
      <c r="BI159" s="16">
        <f t="shared" si="169"/>
        <v>3.6278348522392321</v>
      </c>
      <c r="BJ159" s="14">
        <f t="shared" si="170"/>
        <v>-64.136650346462858</v>
      </c>
      <c r="BK159" s="16">
        <f t="shared" si="171"/>
        <v>3.3295526435264406</v>
      </c>
      <c r="BL159" s="14">
        <f t="shared" si="172"/>
        <v>-90</v>
      </c>
      <c r="BM159" s="16">
        <f t="shared" si="173"/>
        <v>3.6278348522392321</v>
      </c>
      <c r="BN159" s="14">
        <f t="shared" si="174"/>
        <v>244.13665034646289</v>
      </c>
      <c r="BO159" s="16">
        <f t="shared" si="175"/>
        <v>4.402134407025633</v>
      </c>
      <c r="BP159" s="14">
        <f t="shared" si="176"/>
        <v>224.14707998897117</v>
      </c>
      <c r="BQ159" s="16">
        <f t="shared" si="177"/>
        <v>5.4509281508389078</v>
      </c>
      <c r="BR159" s="14">
        <f t="shared" si="178"/>
        <v>209.99048573125475</v>
      </c>
      <c r="BS159" s="16">
        <f t="shared" si="179"/>
        <v>6.6417980360526299</v>
      </c>
      <c r="BT159" s="14">
        <f t="shared" si="180"/>
        <v>199.54442448396418</v>
      </c>
      <c r="BU159" s="16">
        <f t="shared" si="181"/>
        <v>7.9055763281388653</v>
      </c>
      <c r="BV159" s="14">
        <f t="shared" si="182"/>
        <v>191.14015957211416</v>
      </c>
      <c r="BW159" s="16">
        <f t="shared" si="183"/>
        <v>9</v>
      </c>
      <c r="BX159" s="14">
        <f t="shared" si="184"/>
        <v>179.99371953465666</v>
      </c>
      <c r="BY159" s="16">
        <f t="shared" si="185"/>
        <v>0</v>
      </c>
      <c r="BZ159" s="14">
        <f t="shared" si="186"/>
        <v>174.7247946452776</v>
      </c>
      <c r="CA159" s="16">
        <f t="shared" si="187"/>
        <v>0</v>
      </c>
      <c r="CB159" s="14">
        <f t="shared" si="188"/>
        <v>165.30226072489597</v>
      </c>
      <c r="CC159" s="16">
        <f t="shared" si="189"/>
        <v>0</v>
      </c>
      <c r="CD159" s="14">
        <f t="shared" si="190"/>
        <v>154.05779280407111</v>
      </c>
      <c r="CE159" s="16">
        <f t="shared" si="191"/>
        <v>0</v>
      </c>
      <c r="CF159" s="14">
        <f t="shared" si="192"/>
        <v>139.22944176946015</v>
      </c>
      <c r="CG159" s="16">
        <f t="shared" si="193"/>
        <v>0</v>
      </c>
      <c r="CH159" s="14">
        <f t="shared" si="194"/>
        <v>118.22106932307295</v>
      </c>
      <c r="CI159" s="16">
        <f t="shared" si="195"/>
        <v>0</v>
      </c>
      <c r="CJ159" s="14" t="e">
        <f t="shared" si="196"/>
        <v>#NUM!</v>
      </c>
    </row>
    <row r="160" spans="1:88" x14ac:dyDescent="0.25">
      <c r="A160">
        <v>-6.8</v>
      </c>
      <c r="B160">
        <f t="shared" si="136"/>
        <v>5.89576118919347</v>
      </c>
      <c r="C160">
        <f t="shared" si="137"/>
        <v>-5.89576118919347</v>
      </c>
      <c r="D160">
        <f t="shared" si="145"/>
        <v>4.2142615011410962</v>
      </c>
      <c r="E160">
        <f t="shared" si="146"/>
        <v>-4.2142615011410962</v>
      </c>
      <c r="F160">
        <f t="shared" si="147"/>
        <v>1.6613247725836164</v>
      </c>
      <c r="G160">
        <f t="shared" si="148"/>
        <v>-1.6613247725836164</v>
      </c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13"/>
      <c r="U160" s="13"/>
      <c r="V160" s="13"/>
      <c r="W160" s="44"/>
      <c r="X160" s="50"/>
      <c r="Y160" s="50"/>
      <c r="Z160" s="13" t="s">
        <v>223</v>
      </c>
      <c r="AA160" s="197">
        <f>AL156</f>
        <v>0</v>
      </c>
      <c r="AB160" s="197">
        <f>AJ156</f>
        <v>0</v>
      </c>
      <c r="AC160" s="197">
        <f>AH156</f>
        <v>0</v>
      </c>
      <c r="AD160" s="197">
        <f>AF156</f>
        <v>4</v>
      </c>
      <c r="AE160" s="197">
        <f>AD156</f>
        <v>5</v>
      </c>
      <c r="AF160" s="197">
        <f>AB156</f>
        <v>6</v>
      </c>
      <c r="AG160" s="13"/>
      <c r="AH160" s="44"/>
      <c r="AI160" s="50"/>
      <c r="AJ160" s="50"/>
      <c r="AK160" s="13"/>
      <c r="AL160" s="50"/>
      <c r="AM160" s="13"/>
      <c r="AN160" t="s">
        <v>101</v>
      </c>
      <c r="AO160" s="13">
        <f t="shared" si="149"/>
        <v>0</v>
      </c>
      <c r="AP160" s="14">
        <f t="shared" si="150"/>
        <v>68.169409200354622</v>
      </c>
      <c r="AQ160" s="16">
        <f t="shared" si="151"/>
        <v>0</v>
      </c>
      <c r="AR160" s="14">
        <f t="shared" si="152"/>
        <v>49.870943846721964</v>
      </c>
      <c r="AS160" s="16">
        <f t="shared" si="153"/>
        <v>0</v>
      </c>
      <c r="AT160" s="14">
        <f t="shared" si="154"/>
        <v>35.654599383228962</v>
      </c>
      <c r="AU160" s="16">
        <f t="shared" si="155"/>
        <v>0</v>
      </c>
      <c r="AV160" s="14">
        <f t="shared" si="156"/>
        <v>24.439378587955403</v>
      </c>
      <c r="AW160" s="16">
        <f t="shared" si="157"/>
        <v>0</v>
      </c>
      <c r="AX160" s="14">
        <f t="shared" si="158"/>
        <v>15.015491718745759</v>
      </c>
      <c r="AY160" s="16">
        <f t="shared" si="159"/>
        <v>8.6254291698245602</v>
      </c>
      <c r="AZ160" s="14">
        <f t="shared" si="160"/>
        <v>6.7605290006867307</v>
      </c>
      <c r="BA160" s="16">
        <f t="shared" si="161"/>
        <v>7.3173854361378865</v>
      </c>
      <c r="BB160" s="14">
        <f t="shared" si="162"/>
        <v>-0.43002600519734813</v>
      </c>
      <c r="BC160" s="16">
        <f t="shared" si="163"/>
        <v>6.0110156340153154</v>
      </c>
      <c r="BD160" s="14">
        <f t="shared" si="164"/>
        <v>-8.1789255609557756</v>
      </c>
      <c r="BE160" s="16">
        <f t="shared" si="165"/>
        <v>4.733653655160647</v>
      </c>
      <c r="BF160" s="14">
        <f t="shared" si="166"/>
        <v>-17.660622571122676</v>
      </c>
      <c r="BG160" s="16">
        <f t="shared" si="167"/>
        <v>3.5381358825407299</v>
      </c>
      <c r="BH160" s="14">
        <f t="shared" si="168"/>
        <v>-31.163072226204516</v>
      </c>
      <c r="BI160" s="16">
        <f t="shared" si="169"/>
        <v>2.5600186193768524</v>
      </c>
      <c r="BJ160" s="14">
        <f t="shared" si="170"/>
        <v>-53.589980894530221</v>
      </c>
      <c r="BK160" s="16">
        <f t="shared" si="171"/>
        <v>2.1355371091834767</v>
      </c>
      <c r="BL160" s="14">
        <f t="shared" si="172"/>
        <v>-90</v>
      </c>
      <c r="BM160" s="16">
        <f t="shared" si="173"/>
        <v>2.5600186193768524</v>
      </c>
      <c r="BN160" s="14">
        <f t="shared" si="174"/>
        <v>233.58998089453024</v>
      </c>
      <c r="BO160" s="16">
        <f t="shared" si="175"/>
        <v>3.5381358825407303</v>
      </c>
      <c r="BP160" s="14">
        <f t="shared" si="176"/>
        <v>211.16307222620452</v>
      </c>
      <c r="BQ160" s="16">
        <f t="shared" si="177"/>
        <v>4.733653655160647</v>
      </c>
      <c r="BR160" s="14">
        <f t="shared" si="178"/>
        <v>197.66062257112267</v>
      </c>
      <c r="BS160" s="16">
        <f t="shared" si="179"/>
        <v>6.0110156340153154</v>
      </c>
      <c r="BT160" s="14">
        <f t="shared" si="180"/>
        <v>188.17892556095578</v>
      </c>
      <c r="BU160" s="16">
        <f t="shared" si="181"/>
        <v>7.3173854361378865</v>
      </c>
      <c r="BV160" s="14">
        <f t="shared" si="182"/>
        <v>180.43002600519736</v>
      </c>
      <c r="BW160" s="16">
        <f t="shared" si="183"/>
        <v>8.625429169824562</v>
      </c>
      <c r="BX160" s="14">
        <f t="shared" si="184"/>
        <v>173.23947099931326</v>
      </c>
      <c r="BY160" s="16">
        <f t="shared" si="185"/>
        <v>0</v>
      </c>
      <c r="BZ160" s="14">
        <f t="shared" si="186"/>
        <v>164.98450828125425</v>
      </c>
      <c r="CA160" s="16">
        <f t="shared" si="187"/>
        <v>0</v>
      </c>
      <c r="CB160" s="14">
        <f t="shared" si="188"/>
        <v>155.56062141204461</v>
      </c>
      <c r="CC160" s="16">
        <f t="shared" si="189"/>
        <v>0</v>
      </c>
      <c r="CD160" s="14">
        <f t="shared" si="190"/>
        <v>144.345400616771</v>
      </c>
      <c r="CE160" s="16">
        <f t="shared" si="191"/>
        <v>0</v>
      </c>
      <c r="CF160" s="14">
        <f t="shared" si="192"/>
        <v>130.12905615327804</v>
      </c>
      <c r="CG160" s="16">
        <f t="shared" si="193"/>
        <v>0</v>
      </c>
      <c r="CH160" s="14">
        <f t="shared" si="194"/>
        <v>111.83059079964536</v>
      </c>
      <c r="CI160" s="16">
        <f t="shared" si="195"/>
        <v>0</v>
      </c>
      <c r="CJ160" s="14" t="e">
        <f t="shared" si="196"/>
        <v>#NUM!</v>
      </c>
    </row>
    <row r="161" spans="1:88" x14ac:dyDescent="0.25">
      <c r="A161">
        <v>-6.9</v>
      </c>
      <c r="B161">
        <f t="shared" si="136"/>
        <v>5.7784080852774666</v>
      </c>
      <c r="C161">
        <f t="shared" si="137"/>
        <v>-5.7784080852774666</v>
      </c>
      <c r="D161">
        <f t="shared" si="145"/>
        <v>4.0484564959994316</v>
      </c>
      <c r="E161">
        <f t="shared" si="146"/>
        <v>-4.0484564959994316</v>
      </c>
      <c r="F161">
        <f t="shared" si="147"/>
        <v>1.1789826122551568</v>
      </c>
      <c r="G161">
        <f t="shared" si="148"/>
        <v>-1.1789826122551568</v>
      </c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13"/>
      <c r="U161" s="13"/>
      <c r="V161" s="13"/>
      <c r="W161" s="44"/>
      <c r="X161" s="50"/>
      <c r="Y161" s="50"/>
      <c r="Z161" s="13"/>
      <c r="AA161" s="50"/>
      <c r="AB161" s="50"/>
      <c r="AC161" s="50"/>
      <c r="AD161" s="50"/>
      <c r="AE161" s="13"/>
      <c r="AF161" s="13"/>
      <c r="AG161" s="13"/>
      <c r="AH161" s="44"/>
      <c r="AI161" s="50"/>
      <c r="AJ161" s="50"/>
      <c r="AK161" s="13"/>
      <c r="AL161" s="50"/>
      <c r="AM161" s="13"/>
      <c r="AN161" t="s">
        <v>100</v>
      </c>
      <c r="AO161" s="13">
        <f t="shared" si="149"/>
        <v>0</v>
      </c>
      <c r="AP161" s="14">
        <f t="shared" si="150"/>
        <v>71.605546649548558</v>
      </c>
      <c r="AQ161" s="16">
        <f t="shared" si="151"/>
        <v>0</v>
      </c>
      <c r="AR161" s="14">
        <f t="shared" si="152"/>
        <v>55.488523444090283</v>
      </c>
      <c r="AS161" s="16">
        <f t="shared" si="153"/>
        <v>0</v>
      </c>
      <c r="AT161" s="14">
        <f t="shared" si="154"/>
        <v>42.392633842146651</v>
      </c>
      <c r="AU161" s="16">
        <f t="shared" si="155"/>
        <v>0</v>
      </c>
      <c r="AV161" s="14">
        <f t="shared" si="156"/>
        <v>31.862168308774248</v>
      </c>
      <c r="AW161" s="16">
        <f t="shared" si="157"/>
        <v>0</v>
      </c>
      <c r="AX161" s="14">
        <f t="shared" si="158"/>
        <v>23.090551739404862</v>
      </c>
      <c r="AY161" s="16">
        <f t="shared" si="159"/>
        <v>8.1402564030727032</v>
      </c>
      <c r="AZ161" s="14">
        <f t="shared" si="160"/>
        <v>15.774864622796077</v>
      </c>
      <c r="BA161" s="16">
        <f t="shared" si="161"/>
        <v>6.8609715254861383</v>
      </c>
      <c r="BB161" s="14">
        <f t="shared" si="162"/>
        <v>9.2149094585863622</v>
      </c>
      <c r="BC161" s="16">
        <f t="shared" si="163"/>
        <v>5.5578311539452425</v>
      </c>
      <c r="BD161" s="14">
        <f t="shared" si="164"/>
        <v>2.6103362958478447</v>
      </c>
      <c r="BE161" s="16">
        <f t="shared" si="165"/>
        <v>4.2480738775547024</v>
      </c>
      <c r="BF161" s="14">
        <f t="shared" si="166"/>
        <v>-4.9448170719160922</v>
      </c>
      <c r="BG161" s="16">
        <f t="shared" si="167"/>
        <v>2.9581150061487707</v>
      </c>
      <c r="BH161" s="14">
        <f t="shared" si="168"/>
        <v>-15.473888677415843</v>
      </c>
      <c r="BI161" s="16">
        <f t="shared" si="169"/>
        <v>1.7686664219772934</v>
      </c>
      <c r="BJ161" s="14">
        <f t="shared" si="170"/>
        <v>-35.84444444383481</v>
      </c>
      <c r="BK161" s="16">
        <f t="shared" si="171"/>
        <v>1.1166812030061788</v>
      </c>
      <c r="BL161" s="14">
        <f t="shared" si="172"/>
        <v>-90</v>
      </c>
      <c r="BM161" s="16">
        <f t="shared" si="173"/>
        <v>1.7686664219772936</v>
      </c>
      <c r="BN161" s="14">
        <f t="shared" si="174"/>
        <v>215.84444444383482</v>
      </c>
      <c r="BO161" s="16">
        <f t="shared" si="175"/>
        <v>2.9581150061487707</v>
      </c>
      <c r="BP161" s="14">
        <f t="shared" si="176"/>
        <v>195.47388867741586</v>
      </c>
      <c r="BQ161" s="16">
        <f t="shared" si="177"/>
        <v>4.2480738775547024</v>
      </c>
      <c r="BR161" s="14">
        <f t="shared" si="178"/>
        <v>184.94481707191611</v>
      </c>
      <c r="BS161" s="16">
        <f t="shared" si="179"/>
        <v>5.5578311539452425</v>
      </c>
      <c r="BT161" s="14">
        <f t="shared" si="180"/>
        <v>177.38966370415216</v>
      </c>
      <c r="BU161" s="16">
        <f t="shared" si="181"/>
        <v>6.8609715254861383</v>
      </c>
      <c r="BV161" s="14">
        <f t="shared" si="182"/>
        <v>170.78509054141364</v>
      </c>
      <c r="BW161" s="16">
        <f t="shared" si="183"/>
        <v>8.1402564030727032</v>
      </c>
      <c r="BX161" s="14">
        <f t="shared" si="184"/>
        <v>164.22513537720391</v>
      </c>
      <c r="BY161" s="16">
        <f t="shared" si="185"/>
        <v>0</v>
      </c>
      <c r="BZ161" s="14">
        <f t="shared" si="186"/>
        <v>156.90944826059516</v>
      </c>
      <c r="CA161" s="16">
        <f t="shared" si="187"/>
        <v>0</v>
      </c>
      <c r="CB161" s="14">
        <f t="shared" si="188"/>
        <v>148.13783169122576</v>
      </c>
      <c r="CC161" s="16">
        <f t="shared" si="189"/>
        <v>0</v>
      </c>
      <c r="CD161" s="14">
        <f t="shared" si="190"/>
        <v>137.60736615785333</v>
      </c>
      <c r="CE161" s="16">
        <f t="shared" si="191"/>
        <v>0</v>
      </c>
      <c r="CF161" s="14">
        <f t="shared" si="192"/>
        <v>124.51147655590972</v>
      </c>
      <c r="CG161" s="16">
        <f t="shared" si="193"/>
        <v>0</v>
      </c>
      <c r="CH161" s="14">
        <f t="shared" si="194"/>
        <v>108.39445335045143</v>
      </c>
      <c r="CI161" s="16">
        <f t="shared" si="195"/>
        <v>0</v>
      </c>
      <c r="CJ161" s="14">
        <f t="shared" si="196"/>
        <v>90</v>
      </c>
    </row>
    <row r="162" spans="1:88" x14ac:dyDescent="0.25">
      <c r="A162">
        <v>-7</v>
      </c>
      <c r="B162">
        <f t="shared" si="136"/>
        <v>5.6568542494923806</v>
      </c>
      <c r="C162">
        <f t="shared" si="137"/>
        <v>-5.6568542494923806</v>
      </c>
      <c r="D162">
        <f t="shared" si="145"/>
        <v>3.872983346207417</v>
      </c>
      <c r="E162">
        <f t="shared" si="146"/>
        <v>-3.872983346207417</v>
      </c>
      <c r="F162">
        <f t="shared" si="147"/>
        <v>0</v>
      </c>
      <c r="G162">
        <f t="shared" si="148"/>
        <v>0</v>
      </c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92"/>
      <c r="S162" s="92"/>
      <c r="T162" s="13"/>
      <c r="U162" s="13"/>
      <c r="V162" s="13"/>
      <c r="W162" s="44"/>
      <c r="X162" s="13"/>
      <c r="Y162" s="13"/>
      <c r="Z162" s="13"/>
      <c r="AA162" s="13"/>
      <c r="AB162" s="13"/>
      <c r="AC162" s="92"/>
      <c r="AD162" s="92"/>
      <c r="AE162" s="13"/>
      <c r="AF162" s="13"/>
      <c r="AG162" s="13"/>
      <c r="AH162" s="44"/>
      <c r="AI162" s="13"/>
      <c r="AJ162" s="13"/>
      <c r="AK162" s="13"/>
      <c r="AL162" s="13"/>
      <c r="AM162" s="13"/>
      <c r="AN162" t="s">
        <v>99</v>
      </c>
      <c r="AO162" s="13">
        <f>+IF(SQRT((AO154^2)+(AP154^2))&gt;9,0,SQRT((AO154^2)+(AP154^2)))</f>
        <v>0</v>
      </c>
      <c r="AP162" s="14">
        <f>+DEGREES(ATAN2(AO154,AP154))</f>
        <v>72.924884658926999</v>
      </c>
      <c r="AQ162" s="16">
        <f>+IF(SQRT((AQ154^2)+(AR154^2))&gt;9,0,SQRT((AQ154^2)+(AR154^2)))</f>
        <v>0</v>
      </c>
      <c r="AR162" s="14">
        <f>+DEGREES(ATAN2(AQ154,AR154))</f>
        <v>57.802123834409798</v>
      </c>
      <c r="AS162" s="16">
        <f>+IF(SQRT((AS154^2)+(AT154^2))&gt;9,0,SQRT((AS154^2)+(AT154^2)))</f>
        <v>0</v>
      </c>
      <c r="AT162" s="14">
        <f>+DEGREES(ATAN2(AS154,AT154))</f>
        <v>45.390534513199547</v>
      </c>
      <c r="AU162" s="16">
        <f>+IF(SQRT((AU154^2)+(AV154^2))&gt;9,0,SQRT((AU154^2)+(AV154^2)))</f>
        <v>0</v>
      </c>
      <c r="AV162" s="14">
        <f>+DEGREES(ATAN2(AU154,AV154))</f>
        <v>35.430764789420337</v>
      </c>
      <c r="AW162" s="16">
        <f>+IF(SQRT((AW154^2)+(AX154^2))&gt;9,0,SQRT((AW154^2)+(AX154^2)))</f>
        <v>0</v>
      </c>
      <c r="AX162" s="14">
        <f>+DEGREES(ATAN2(AW154,AX154))</f>
        <v>27.317776686691133</v>
      </c>
      <c r="AY162" s="16">
        <f>+IF(SQRT((AY154^2)+(AZ154^2))&gt;9,0,SQRT((AY154^2)+(AZ154^2)))</f>
        <v>7.8997748821205223</v>
      </c>
      <c r="AZ162" s="14">
        <f>+DEGREES(ATAN2(AY154,AZ154))</f>
        <v>20.462414564252356</v>
      </c>
      <c r="BA162" s="16">
        <f>+IF(SQRT((BA154^2)+(BB154^2))&gt;9,0,SQRT((BA154^2)+(BB154^2)))</f>
        <v>6.6492266940867299</v>
      </c>
      <c r="BB162" s="14">
        <f>+DEGREES(ATAN2(BA154,BB154))</f>
        <v>14.363024571728461</v>
      </c>
      <c r="BC162" s="16">
        <f>+IF(SQRT((BC154^2)+(BD154^2))&gt;9,0,SQRT((BC154^2)+(BD154^2)))</f>
        <v>5.3649624672449967</v>
      </c>
      <c r="BD162" s="14">
        <f>+DEGREES(ATAN2(BC154,BD154))</f>
        <v>8.54488267962188</v>
      </c>
      <c r="BE162" s="16">
        <f>+IF(SQRT((BE154^2)+(BF154^2))&gt;9,0,SQRT((BE154^2)+(BF154^2)))</f>
        <v>4.060775804138637</v>
      </c>
      <c r="BF162" s="14">
        <f>+DEGREES(ATAN2(BE154,BF154))</f>
        <v>2.3858660447248354</v>
      </c>
      <c r="BG162" s="16">
        <f>+IF(SQRT((BG154^2)+(BH154^2))&gt;9,0,SQRT((BG154^2)+(BH154^2)))</f>
        <v>2.7512050388845086</v>
      </c>
      <c r="BH162" s="14">
        <f>+DEGREES(ATAN2(BG154,BH154))</f>
        <v>-5.4583204550478976</v>
      </c>
      <c r="BI162" s="16">
        <f>+IF(SQRT((BI154^2)+(BJ154^2))&gt;9,0,SQRT((BI154^2)+(BJ154^2)))</f>
        <v>1.4713382163033852</v>
      </c>
      <c r="BJ162" s="14">
        <f>+DEGREES(ATAN2(BI154,BJ154))</f>
        <v>-20.415197171987753</v>
      </c>
      <c r="BK162" s="16">
        <f>+IF(SQRT((BK154^2)+(BL154^2))&gt;9,0,SQRT((BK154^2)+(BL154^2)))</f>
        <v>0.59595158833481854</v>
      </c>
      <c r="BL162" s="14">
        <f>+DEGREES(ATAN2(BK154,BL154))</f>
        <v>-90</v>
      </c>
      <c r="BM162" s="16">
        <f>+IF(SQRT((BM154^2)+(BN154^2))&gt;9,0,SQRT((BM154^2)+(BN154^2)))</f>
        <v>1.4713382163033852</v>
      </c>
      <c r="BN162" s="14">
        <f>+IF(DEGREES(ATAN2(BM154,BN154))&lt;0,360+DEGREES(ATAN2(BM154,BN154)),DEGREES(ATAN2(BM154,BN154)))</f>
        <v>200.41519717198776</v>
      </c>
      <c r="BO162" s="16">
        <f>+IF(SQRT((BO154^2)+(BP154^2))&gt;9,0,SQRT((BO154^2)+(BP154^2)))</f>
        <v>2.7512050388845086</v>
      </c>
      <c r="BP162" s="14">
        <f>+IF(DEGREES(ATAN2(BO154,BP154))&lt;0,360+DEGREES(ATAN2(BO154,BP154)),DEGREES(ATAN2(BO154,BP154)))</f>
        <v>185.4583204550479</v>
      </c>
      <c r="BQ162" s="16">
        <f>+IF(SQRT((BQ154^2)+(BR154^2))&gt;9,0,SQRT((BQ154^2)+(BR154^2)))</f>
        <v>4.060775804138637</v>
      </c>
      <c r="BR162" s="14">
        <f>+IF(DEGREES(ATAN2(BQ154,BR154))&lt;0,360+DEGREES(ATAN2(BQ154,BR154)),DEGREES(ATAN2(BQ154,BR154)))</f>
        <v>177.61413395527518</v>
      </c>
      <c r="BS162" s="16">
        <f>+IF(SQRT((BS154^2)+(BT154^2))&gt;9,0,SQRT((BS154^2)+(BT154^2)))</f>
        <v>5.3649624672449967</v>
      </c>
      <c r="BT162" s="14">
        <f>+IF(DEGREES(ATAN2(BS154,BT154))&lt;0,360+DEGREES(ATAN2(BS154,BT154)),DEGREES(ATAN2(BS154,BT154)))</f>
        <v>171.45511732037812</v>
      </c>
      <c r="BU162" s="16">
        <f>+IF(SQRT((BU154^2)+(BV154^2))&gt;9,0,SQRT((BU154^2)+(BV154^2)))</f>
        <v>6.6492266940867299</v>
      </c>
      <c r="BV162" s="14">
        <f>+IF(DEGREES(ATAN2(BU154,BV154))&lt;0,360+DEGREES(ATAN2(BU154,BV154)),DEGREES(ATAN2(BU154,BV154)))</f>
        <v>165.63697542827154</v>
      </c>
      <c r="BW162" s="16">
        <f>+IF(SQRT((BW154^2)+(BX154^2))&gt;9,0,SQRT((BW154^2)+(BX154^2)))</f>
        <v>7.8997748821205223</v>
      </c>
      <c r="BX162" s="14">
        <f>+IF(DEGREES(ATAN2(BW154,BX154))&lt;0,360+DEGREES(ATAN2(BW154,BX154)),DEGREES(ATAN2(BW154,BX154)))</f>
        <v>159.53758543574764</v>
      </c>
      <c r="BY162" s="16">
        <f>+IF(SQRT((BY154^2)+(BZ154^2))&gt;9,0,SQRT((BY154^2)+(BZ154^2)))</f>
        <v>0</v>
      </c>
      <c r="BZ162" s="14">
        <f>+IF(DEGREES(ATAN2(BY154,BZ154))&lt;0,360+DEGREES(ATAN2(BY154,BZ154)),DEGREES(ATAN2(BY154,BZ154)))</f>
        <v>152.68222331330887</v>
      </c>
      <c r="CA162" s="16">
        <f>+IF(SQRT((CA154^2)+(CB154^2))&gt;9,0,SQRT((CA154^2)+(CB154^2)))</f>
        <v>0</v>
      </c>
      <c r="CB162" s="14">
        <f>+IF(DEGREES(ATAN2(CA154,CB154))&lt;0,360+DEGREES(ATAN2(CA154,CB154)),DEGREES(ATAN2(CA154,CB154)))</f>
        <v>144.56923521057968</v>
      </c>
      <c r="CC162" s="16">
        <f>+IF(SQRT((CC154^2)+(CD154^2))&gt;9,0,SQRT((CC154^2)+(CD154^2)))</f>
        <v>0</v>
      </c>
      <c r="CD162" s="14">
        <f>+IF(DEGREES(ATAN2(CC154,CD154))&lt;0,360+DEGREES(ATAN2(CC154,CD154)),DEGREES(ATAN2(CC154,CD154)))</f>
        <v>134.60946548680045</v>
      </c>
      <c r="CE162" s="16">
        <f>+IF(SQRT((CE154^2)+(CF154^2))&gt;9,0,SQRT((CE154^2)+(CF154^2)))</f>
        <v>0</v>
      </c>
      <c r="CF162" s="14">
        <f>+IF(DEGREES(ATAN2(CE154,CF154))&lt;0,360+DEGREES(ATAN2(CE154,CF154)),DEGREES(ATAN2(CE154,CF154)))</f>
        <v>122.19787616559019</v>
      </c>
      <c r="CG162" s="16">
        <f>+IF(SQRT((CG154^2)+(CH154^2))&gt;9,0,SQRT((CG154^2)+(CH154^2)))</f>
        <v>0</v>
      </c>
      <c r="CH162" s="14">
        <f>+IF(DEGREES(ATAN2(CG154,CH154))&lt;0,360+DEGREES(ATAN2(CG154,CH154)),DEGREES(ATAN2(CG154,CH154)))</f>
        <v>107.07511534107299</v>
      </c>
      <c r="CI162" s="16">
        <f>+IF(SQRT((CI154^2)+(CJ154^2))&gt;9,0,SQRT((CI154^2)+(CJ154^2)))</f>
        <v>0</v>
      </c>
      <c r="CJ162" s="14">
        <f>+IF(DEGREES(ATAN2(CI154,CJ154))&lt;0,360+DEGREES(ATAN2(CI154,CJ154)),DEGREES(ATAN2(CI154,CJ154)))</f>
        <v>90</v>
      </c>
    </row>
    <row r="163" spans="1:88" x14ac:dyDescent="0.25">
      <c r="A163">
        <v>-7.1</v>
      </c>
      <c r="B163">
        <f t="shared" si="136"/>
        <v>5.5308227236099334</v>
      </c>
      <c r="C163">
        <f t="shared" si="137"/>
        <v>-5.5308227236099334</v>
      </c>
      <c r="D163">
        <f t="shared" si="145"/>
        <v>3.6864617182333528</v>
      </c>
      <c r="E163">
        <f t="shared" si="146"/>
        <v>-3.6864617182333528</v>
      </c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92"/>
      <c r="S163" s="92"/>
      <c r="T163" s="13"/>
      <c r="U163" s="13"/>
      <c r="V163" s="13"/>
      <c r="W163" s="44"/>
      <c r="X163" s="13"/>
      <c r="Y163" s="13"/>
      <c r="Z163" s="13"/>
      <c r="AA163" s="13"/>
      <c r="AB163" s="13"/>
      <c r="AC163" s="92"/>
      <c r="AD163" s="92"/>
      <c r="AE163" s="13"/>
      <c r="AF163" s="13"/>
      <c r="AG163" s="13"/>
      <c r="AH163" s="44"/>
      <c r="AI163" s="13"/>
      <c r="AJ163" s="13"/>
      <c r="AK163" s="13"/>
      <c r="AL163" s="13"/>
      <c r="AM163" s="13"/>
      <c r="AN163" s="92"/>
      <c r="AO163" s="92" t="s">
        <v>89</v>
      </c>
      <c r="AP163" s="91" t="s">
        <v>93</v>
      </c>
      <c r="AQ163" s="90" t="s">
        <v>89</v>
      </c>
      <c r="AR163" s="91" t="s">
        <v>93</v>
      </c>
      <c r="AS163" s="90" t="s">
        <v>89</v>
      </c>
      <c r="AT163" s="91" t="s">
        <v>93</v>
      </c>
      <c r="AU163" s="90" t="s">
        <v>89</v>
      </c>
      <c r="AV163" s="91" t="s">
        <v>93</v>
      </c>
      <c r="AW163" s="90" t="s">
        <v>89</v>
      </c>
      <c r="AX163" s="91" t="s">
        <v>93</v>
      </c>
      <c r="AY163" s="90" t="s">
        <v>89</v>
      </c>
      <c r="AZ163" s="91" t="s">
        <v>93</v>
      </c>
      <c r="BA163" s="90" t="s">
        <v>89</v>
      </c>
      <c r="BB163" s="91" t="s">
        <v>93</v>
      </c>
      <c r="BC163" s="90" t="s">
        <v>89</v>
      </c>
      <c r="BD163" s="91" t="s">
        <v>93</v>
      </c>
      <c r="BE163" s="90" t="s">
        <v>89</v>
      </c>
      <c r="BF163" s="91" t="s">
        <v>93</v>
      </c>
      <c r="BG163" s="90" t="s">
        <v>89</v>
      </c>
      <c r="BH163" s="91" t="s">
        <v>93</v>
      </c>
      <c r="BI163" s="90" t="s">
        <v>89</v>
      </c>
      <c r="BJ163" s="91" t="s">
        <v>93</v>
      </c>
      <c r="BK163" s="90" t="s">
        <v>89</v>
      </c>
      <c r="BL163" s="91" t="s">
        <v>93</v>
      </c>
      <c r="BM163" s="90" t="s">
        <v>89</v>
      </c>
      <c r="BN163" s="91" t="s">
        <v>93</v>
      </c>
      <c r="BO163" s="90" t="s">
        <v>89</v>
      </c>
      <c r="BP163" s="91" t="s">
        <v>93</v>
      </c>
      <c r="BQ163" s="90" t="s">
        <v>89</v>
      </c>
      <c r="BR163" s="91" t="s">
        <v>93</v>
      </c>
      <c r="BS163" s="90" t="s">
        <v>89</v>
      </c>
      <c r="BT163" s="91" t="s">
        <v>93</v>
      </c>
      <c r="BU163" s="90" t="s">
        <v>89</v>
      </c>
      <c r="BV163" s="91" t="s">
        <v>93</v>
      </c>
      <c r="BW163" s="90" t="s">
        <v>89</v>
      </c>
      <c r="BX163" s="91" t="s">
        <v>93</v>
      </c>
      <c r="BY163" s="90" t="s">
        <v>89</v>
      </c>
      <c r="BZ163" s="91" t="s">
        <v>93</v>
      </c>
      <c r="CA163" s="90" t="s">
        <v>89</v>
      </c>
      <c r="CB163" s="91" t="s">
        <v>93</v>
      </c>
      <c r="CC163" s="90" t="s">
        <v>89</v>
      </c>
      <c r="CD163" s="91" t="s">
        <v>93</v>
      </c>
      <c r="CE163" s="90" t="s">
        <v>89</v>
      </c>
      <c r="CF163" s="91" t="s">
        <v>93</v>
      </c>
      <c r="CG163" s="90" t="s">
        <v>89</v>
      </c>
      <c r="CH163" s="91" t="s">
        <v>93</v>
      </c>
      <c r="CI163" s="90" t="s">
        <v>89</v>
      </c>
      <c r="CJ163" s="91" t="s">
        <v>93</v>
      </c>
    </row>
    <row r="164" spans="1:88" x14ac:dyDescent="0.25">
      <c r="A164">
        <v>-7.2</v>
      </c>
      <c r="B164">
        <f t="shared" si="136"/>
        <v>5.3999999999999995</v>
      </c>
      <c r="C164">
        <f t="shared" si="137"/>
        <v>-5.3999999999999995</v>
      </c>
      <c r="D164">
        <f t="shared" si="145"/>
        <v>3.4871191548325382</v>
      </c>
      <c r="E164">
        <f t="shared" si="146"/>
        <v>-3.4871191548325382</v>
      </c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92"/>
      <c r="S164" s="92"/>
      <c r="T164" s="13"/>
      <c r="U164" s="13"/>
      <c r="V164" s="13"/>
      <c r="W164" s="44"/>
      <c r="X164" s="13"/>
      <c r="Y164" s="13"/>
      <c r="Z164" s="13"/>
      <c r="AA164" s="13"/>
      <c r="AB164" s="13"/>
      <c r="AC164" s="92"/>
      <c r="AD164" s="92"/>
      <c r="AE164" s="13"/>
      <c r="AF164" s="13"/>
      <c r="AG164" s="13"/>
      <c r="AH164" s="44"/>
      <c r="AI164" s="13"/>
      <c r="AJ164" s="13"/>
      <c r="AK164" s="13"/>
      <c r="AL164" s="13"/>
      <c r="AM164" s="13"/>
      <c r="AN164" s="13" t="s">
        <v>105</v>
      </c>
      <c r="AO164" s="13">
        <f>+IF(SQRT((AO148^2)+(AP148^2))&gt;9,0,SQRT((AO148^2)+(AP148^2)))</f>
        <v>0</v>
      </c>
      <c r="AP164" s="14">
        <f>+DEGREES(ATAN2(AO148,AP148))</f>
        <v>19.249068609368905</v>
      </c>
      <c r="AQ164" s="16">
        <f>+IF(SQRT((AQ148^2)+(AR148^2))&gt;9,0,SQRT((AQ148^2)+(AR148^2)))</f>
        <v>0</v>
      </c>
      <c r="AR164" s="14">
        <f>+DEGREES(ATAN2(AQ148,AR148))</f>
        <v>4.7815800282462675</v>
      </c>
      <c r="AS164" s="16">
        <f>+IF(SQRT((AS148^2)+(AT148^2))&gt;9,0,SQRT((AS148^2)+(AT148^2)))</f>
        <v>0</v>
      </c>
      <c r="AT164" s="14">
        <f>+DEGREES(ATAN2(AS148,AT148))</f>
        <v>-2.8672252708378068</v>
      </c>
      <c r="AU164" s="16">
        <f>+IF(SQRT((AU148^2)+(AV148^2))&gt;9,0,SQRT((AU148^2)+(AV148^2)))</f>
        <v>0</v>
      </c>
      <c r="AV164" s="14">
        <f>+DEGREES(ATAN2(AU148,AV148))</f>
        <v>-8.9296505601242746</v>
      </c>
      <c r="AW164" s="16">
        <f>+IF(SQRT((AW148^2)+(AX148^2))&gt;9,0,SQRT((AW148^2)+(AX148^2)))</f>
        <v>0</v>
      </c>
      <c r="AX164" s="14">
        <f>+DEGREES(ATAN2(AW148,AX148))</f>
        <v>-14.69392403052011</v>
      </c>
      <c r="AY164" s="16">
        <f>+IF(SQRT((AY148^2)+(AZ148^2))&gt;9,0,SQRT((AY148^2)+(AZ148^2)))</f>
        <v>0</v>
      </c>
      <c r="AZ164" s="14">
        <f>+DEGREES(ATAN2(AY148,AZ148))</f>
        <v>-20.761233419723819</v>
      </c>
      <c r="BA164" s="16">
        <f>+IF(SQRT((BA148^2)+(BB148^2))&gt;9,0,SQRT((BA148^2)+(BB148^2)))</f>
        <v>8.9192220133856761</v>
      </c>
      <c r="BB164" s="14">
        <f>+DEGREES(ATAN2(BA148,BB148))</f>
        <v>-27.59582673339338</v>
      </c>
      <c r="BC164" s="16">
        <f>+IF(SQRT((BC148^2)+(BD148^2))&gt;9,0,SQRT((BC148^2)+(BD148^2)))</f>
        <v>7.802600195614728</v>
      </c>
      <c r="BD164" s="14">
        <f>+DEGREES(ATAN2(BC148,BD148))</f>
        <v>-35.691409005347353</v>
      </c>
      <c r="BE164" s="16">
        <f>+IF(SQRT((BE148^2)+(BF148^2))&gt;9,0,SQRT((BE148^2)+(BF148^2)))</f>
        <v>6.8067242388207188</v>
      </c>
      <c r="BF164" s="14">
        <f>+DEGREES(ATAN2(BE148,BF148))</f>
        <v>-45.627435722185709</v>
      </c>
      <c r="BG164" s="16">
        <f>+IF(SQRT((BG148^2)+(BH148^2))&gt;9,0,SQRT((BG148^2)+(BH148^2)))</f>
        <v>5.9938243126838104</v>
      </c>
      <c r="BH164" s="14">
        <f>+DEGREES(ATAN2(BG148,BH148))</f>
        <v>-57.994776292287042</v>
      </c>
      <c r="BI164" s="16">
        <f>+IF(SQRT((BI148^2)+(BJ148^2))&gt;9,0,SQRT((BI148^2)+(BJ148^2)))</f>
        <v>5.4477010666889978</v>
      </c>
      <c r="BJ164" s="14">
        <f>+DEGREES(ATAN2(BI148,BJ148))</f>
        <v>-73.037777093012437</v>
      </c>
      <c r="BK164" s="16">
        <f>+IF(SQRT((BK148^2)+(BL148^2))&gt;9,0,SQRT((BK148^2)+(BL148^2)))</f>
        <v>5.2529782846813662</v>
      </c>
      <c r="BL164" s="14">
        <f>+DEGREES(ATAN2(BK148,BL148))</f>
        <v>-90</v>
      </c>
      <c r="BM164" s="16">
        <f>+IF(SQRT((BM148^2)+(BN148^2))&gt;9,0,SQRT((BM148^2)+(BN148^2)))</f>
        <v>5.4477010666889978</v>
      </c>
      <c r="BN164" s="14">
        <f>+IF(DEGREES(ATAN2(BM148,BN148))&lt;0,360+DEGREES(ATAN2(BM148,BN148)),DEGREES(ATAN2(BM148,BN148)))</f>
        <v>253.03777709301244</v>
      </c>
      <c r="BO164" s="16">
        <f>+IF(SQRT((BO148^2)+(BP148^2))&gt;9,0,SQRT((BO148^2)+(BP148^2)))</f>
        <v>5.9938243126838104</v>
      </c>
      <c r="BP164" s="14">
        <f>+IF(DEGREES(ATAN2(BO148,BP148))&lt;0,360+DEGREES(ATAN2(BO148,BP148)),DEGREES(ATAN2(BO148,BP148)))</f>
        <v>237.99477629228704</v>
      </c>
      <c r="BQ164" s="16">
        <f>+IF(SQRT((BQ148^2)+(BR148^2))&gt;9,0,SQRT((BQ148^2)+(BR148^2)))</f>
        <v>6.8067242388207188</v>
      </c>
      <c r="BR164" s="14">
        <f>+IF(DEGREES(ATAN2(BQ148,BR148))&lt;0,360+DEGREES(ATAN2(BQ148,BR148)),DEGREES(ATAN2(BQ148,BR148)))</f>
        <v>225.62743572218574</v>
      </c>
      <c r="BS164" s="16">
        <f>+IF(SQRT((BS148^2)+(BT148^2))&gt;9,0,SQRT((BS148^2)+(BT148^2)))</f>
        <v>7.802600195614728</v>
      </c>
      <c r="BT164" s="14">
        <f>+IF(DEGREES(ATAN2(BS148,BT148))&lt;0,360+DEGREES(ATAN2(BS148,BT148)),DEGREES(ATAN2(BS148,BT148)))</f>
        <v>215.69140900534731</v>
      </c>
      <c r="BU164" s="16">
        <f>+IF(SQRT((BU148^2)+(BV148^2))&gt;9,0,SQRT((BU148^2)+(BV148^2)))</f>
        <v>8.9192220133856761</v>
      </c>
      <c r="BV164" s="14">
        <f>+IF(DEGREES(ATAN2(BU148,BV148))&lt;0,360+DEGREES(ATAN2(BU148,BV148)),DEGREES(ATAN2(BU148,BV148)))</f>
        <v>207.59582673339338</v>
      </c>
      <c r="BW164" s="16">
        <f>+IF(SQRT((BW148^2)+(BX148^2))&gt;9,0,SQRT((BW148^2)+(BX148^2)))</f>
        <v>0</v>
      </c>
      <c r="BX164" s="14">
        <f>+IF(DEGREES(ATAN2(BW148,BX148))&lt;0,360+DEGREES(ATAN2(BW148,BX148)),DEGREES(ATAN2(BW148,BX148)))</f>
        <v>200.76123341972382</v>
      </c>
      <c r="BY164" s="16">
        <f>+IF(SQRT((BY148^2)+(BZ148^2))&gt;9,0,SQRT((BY148^2)+(BZ148^2)))</f>
        <v>0</v>
      </c>
      <c r="BZ164" s="14">
        <f>+IF(DEGREES(ATAN2(BY148,BZ148))&lt;0,360+DEGREES(ATAN2(BY148,BZ148)),DEGREES(ATAN2(BY148,BZ148)))</f>
        <v>194.69392403052012</v>
      </c>
      <c r="CA164" s="16">
        <f>+IF(SQRT((CA148^2)+(CB148^2))&gt;9,0,SQRT((CA148^2)+(CB148^2)))</f>
        <v>0</v>
      </c>
      <c r="CB164" s="14">
        <f>+IF(DEGREES(ATAN2(CA148,CB148))&lt;0,360+DEGREES(ATAN2(CA148,CB148)),DEGREES(ATAN2(CA148,CB148)))</f>
        <v>188.92965056012429</v>
      </c>
      <c r="CC164" s="16">
        <f>+IF(SQRT((CC148^2)+(CD148^2))&gt;9,0,SQRT((CC148^2)+(CD148^2)))</f>
        <v>0</v>
      </c>
      <c r="CD164" s="14">
        <f>+IF(DEGREES(ATAN2(CC148,CD148))&lt;0,360+DEGREES(ATAN2(CC148,CD148)),DEGREES(ATAN2(CC148,CD148)))</f>
        <v>182.86722527083785</v>
      </c>
      <c r="CE164" s="16">
        <f>+IF(SQRT((CE148^2)+(CF148^2))&gt;9,0,SQRT((CE148^2)+(CF148^2)))</f>
        <v>0</v>
      </c>
      <c r="CF164" s="14">
        <f>+IF(DEGREES(ATAN2(CE148,CF148))&lt;0,360+DEGREES(ATAN2(CE148,CF148)),DEGREES(ATAN2(CE148,CF148)))</f>
        <v>175.21841997175375</v>
      </c>
      <c r="CG164" s="16">
        <f>+IF(SQRT((CG148^2)+(CH148^2))&gt;9,0,SQRT((CG148^2)+(CH148^2)))</f>
        <v>0</v>
      </c>
      <c r="CH164" s="14">
        <f>+IF(DEGREES(ATAN2(CG148,CH148))&lt;0,360+DEGREES(ATAN2(CG148,CH148)),DEGREES(ATAN2(CG148,CH148)))</f>
        <v>160.75093139063108</v>
      </c>
      <c r="CI164" s="16" t="e">
        <f>+IF(SQRT((CI148^2)+(CJ148^2))&gt;9,0,SQRT((CI148^2)+(CJ148^2)))</f>
        <v>#NUM!</v>
      </c>
      <c r="CJ164" s="14" t="e">
        <f>+IF(DEGREES(ATAN2(CI148,CJ148))&lt;0,360+DEGREES(ATAN2(CI148,CJ148)),DEGREES(ATAN2(CI148,CJ148)))</f>
        <v>#NUM!</v>
      </c>
    </row>
    <row r="165" spans="1:88" x14ac:dyDescent="0.25">
      <c r="A165">
        <v>-7.3</v>
      </c>
      <c r="B165">
        <f t="shared" si="136"/>
        <v>5.2640288753007427</v>
      </c>
      <c r="C165">
        <f t="shared" si="137"/>
        <v>-5.2640288753007427</v>
      </c>
      <c r="D165">
        <f t="shared" si="145"/>
        <v>3.2726136343907144</v>
      </c>
      <c r="E165">
        <f t="shared" si="146"/>
        <v>-3.2726136343907144</v>
      </c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92"/>
      <c r="S165" s="92"/>
      <c r="T165" s="13"/>
      <c r="U165" s="13"/>
      <c r="V165" s="13"/>
      <c r="W165" s="44"/>
      <c r="X165" s="13"/>
      <c r="Y165" s="13"/>
      <c r="Z165" s="13"/>
      <c r="AA165" s="13"/>
      <c r="AB165" s="13"/>
      <c r="AC165" s="92"/>
      <c r="AD165" s="92"/>
      <c r="AE165" s="13"/>
      <c r="AF165" s="13"/>
      <c r="AG165" s="13"/>
      <c r="AH165" s="44"/>
      <c r="AI165" s="13"/>
      <c r="AJ165" s="13"/>
      <c r="AK165" s="13"/>
      <c r="AL165" s="13"/>
      <c r="AM165" s="13"/>
      <c r="AN165" t="s">
        <v>104</v>
      </c>
      <c r="AO165" s="13">
        <f t="shared" ref="AO165:AO170" si="197">+IF(AO164=0,0,IF(SQRT((AO149^2)+(AP149^2))&gt;9,9,SQRT((AO149^2)+(AP149^2))))</f>
        <v>0</v>
      </c>
      <c r="AP165" s="14">
        <f t="shared" ref="AP165:AP170" si="198">+IF(SQRT((AO149^2)+(AP149^2))&gt;9,(9-AO164)*(DEGREES(ATAN2(AO149,AP149))-AP164)/(SQRT((AO149^2)+(AP149^2))-AO164)+AP164,DEGREES(ATAN2(AO149,AP149)))</f>
        <v>21.765543923319711</v>
      </c>
      <c r="AQ165" s="16">
        <f t="shared" ref="AQ165:AQ170" si="199">+IF(AQ164=0,0,IF(SQRT((AQ149^2)+(AR149^2))&gt;9,9,SQRT((AQ149^2)+(AR149^2))))</f>
        <v>0</v>
      </c>
      <c r="AR165" s="14">
        <f t="shared" ref="AR165:AR170" si="200">+IF(SQRT((AQ149^2)+(AR149^2))&gt;9,(9-AQ164)*(DEGREES(ATAN2(AQ149,AR149))-AR164)/(SQRT((AQ149^2)+(AR149^2))-AQ164)+AR164,DEGREES(ATAN2(AQ149,AR149)))</f>
        <v>6.3949521484724343</v>
      </c>
      <c r="AS165" s="16">
        <f t="shared" ref="AS165:AS170" si="201">+IF(AS164=0,0,IF(SQRT((AS149^2)+(AT149^2))&gt;9,9,SQRT((AS149^2)+(AT149^2))))</f>
        <v>0</v>
      </c>
      <c r="AT165" s="14">
        <f t="shared" ref="AT165:AT170" si="202">+IF(SQRT((AS149^2)+(AT149^2))&gt;9,(9-AS164)*(DEGREES(ATAN2(AS149,AT149))-AT164)/(SQRT((AS149^2)+(AT149^2))-AS164)+AT164,DEGREES(ATAN2(AS149,AT149)))</f>
        <v>-1.6058856455859511</v>
      </c>
      <c r="AU165" s="16">
        <f t="shared" ref="AU165:AU170" si="203">+IF(AU164=0,0,IF(SQRT((AU149^2)+(AV149^2))&gt;9,9,SQRT((AU149^2)+(AV149^2))))</f>
        <v>0</v>
      </c>
      <c r="AV165" s="14">
        <f t="shared" ref="AV165:AV170" si="204">+IF(SQRT((AU149^2)+(AV149^2))&gt;9,(9-AU164)*(DEGREES(ATAN2(AU149,AV149))-AV164)/(SQRT((AU149^2)+(AV149^2))-AU164)+AV164,DEGREES(ATAN2(AU149,AV149)))</f>
        <v>-7.8145554955717227</v>
      </c>
      <c r="AW165" s="16">
        <f t="shared" ref="AW165:AW170" si="205">+IF(AW164=0,0,IF(SQRT((AW149^2)+(AX149^2))&gt;9,9,SQRT((AW149^2)+(AX149^2))))</f>
        <v>0</v>
      </c>
      <c r="AX165" s="14">
        <f t="shared" ref="AX165:AX170" si="206">+IF(SQRT((AW149^2)+(AX149^2))&gt;9,(9-AW164)*(DEGREES(ATAN2(AW149,AX149))-AX164)/(SQRT((AW149^2)+(AX149^2))-AW164)+AX164,DEGREES(ATAN2(AW149,AX149)))</f>
        <v>-13.624098622727015</v>
      </c>
      <c r="AY165" s="16">
        <f t="shared" ref="AY165:AY170" si="207">+IF(AY164=0,0,IF(SQRT((AY149^2)+(AZ149^2))&gt;9,9,SQRT((AY149^2)+(AZ149^2))))</f>
        <v>0</v>
      </c>
      <c r="AZ165" s="14">
        <f t="shared" ref="AZ165:AZ170" si="208">+IF(SQRT((AY149^2)+(AZ149^2))&gt;9,(9-AY164)*(DEGREES(ATAN2(AY149,AZ149))-AZ164)/(SQRT((AY149^2)+(AZ149^2))-AY164)+AZ164,DEGREES(ATAN2(AY149,AZ149)))</f>
        <v>-19.672773023631812</v>
      </c>
      <c r="BA165" s="16">
        <f t="shared" ref="BA165:BA170" si="209">+IF(BA164=0,0,IF(SQRT((BA149^2)+(BB149^2))&gt;9,9,SQRT((BA149^2)+(BB149^2))))</f>
        <v>8.847315606929163</v>
      </c>
      <c r="BB165" s="14">
        <f t="shared" ref="BB165:BB170" si="210">+IF(SQRT((BA149^2)+(BB149^2))&gt;9,(9-BA164)*(DEGREES(ATAN2(BA149,BB149))-BB164)/(SQRT((BA149^2)+(BB149^2))-BA164)+BB164,DEGREES(ATAN2(BA149,BB149)))</f>
        <v>-26.462445850321306</v>
      </c>
      <c r="BC165" s="16">
        <f t="shared" ref="BC165:BC170" si="211">+IF(BC164=0,0,IF(SQRT((BC149^2)+(BD149^2))&gt;9,9,SQRT((BC149^2)+(BD149^2))))</f>
        <v>7.7177785389717872</v>
      </c>
      <c r="BD165" s="14">
        <f t="shared" ref="BD165:BD170" si="212">+IF(SQRT((BC149^2)+(BD149^2))&gt;9,(9-BC164)*(DEGREES(ATAN2(BC149,BD149))-BD164)/(SQRT((BC149^2)+(BD149^2))-BC164)+BD164,DEGREES(ATAN2(BC149,BD149)))</f>
        <v>-34.626572477436156</v>
      </c>
      <c r="BE165" s="16">
        <f t="shared" ref="BE165:BE170" si="213">+IF(BE164=0,0,IF(SQRT((BE149^2)+(BF149^2))&gt;9,9,SQRT((BE149^2)+(BF149^2))))</f>
        <v>6.7069243574595294</v>
      </c>
      <c r="BF165" s="14">
        <f t="shared" ref="BF165:BF170" si="214">+IF(SQRT((BE149^2)+(BF149^2))&gt;9,(9-BE164)*(DEGREES(ATAN2(BE149,BF149))-BF164)/(SQRT((BE149^2)+(BF149^2))-BE164)+BF164,DEGREES(ATAN2(BE149,BF149)))</f>
        <v>-44.656719612642007</v>
      </c>
      <c r="BG165" s="16">
        <f t="shared" ref="BG165:BG170" si="215">+IF(BG164=0,0,IF(SQRT((BG149^2)+(BH149^2))&gt;9,9,SQRT((BG149^2)+(BH149^2))))</f>
        <v>5.8782191316981223</v>
      </c>
      <c r="BH165" s="14">
        <f t="shared" ref="BH165:BH170" si="216">+IF(SQRT((BG149^2)+(BH149^2))&gt;9,(9-BG164)*(DEGREES(ATAN2(BG149,BH149))-BH164)/(SQRT((BG149^2)+(BH149^2))-BG164)+BH164,DEGREES(ATAN2(BG149,BH149)))</f>
        <v>-57.202528775347758</v>
      </c>
      <c r="BI165" s="16">
        <f t="shared" ref="BI165:BI170" si="217">+IF(BI164=0,0,IF(SQRT((BI149^2)+(BJ149^2))&gt;9,9,SQRT((BI149^2)+(BJ149^2))))</f>
        <v>5.3188736639928305</v>
      </c>
      <c r="BJ165" s="14">
        <f t="shared" ref="BJ165:BJ170" si="218">+IF(SQRT((BI149^2)+(BJ149^2))&gt;9,(9-BI164)*(DEGREES(ATAN2(BI149,BJ149))-BJ164)/(SQRT((BI149^2)+(BJ149^2))-BI164)+BJ164,DEGREES(ATAN2(BI149,BJ149)))</f>
        <v>-72.571952123854601</v>
      </c>
      <c r="BK165" s="16">
        <f t="shared" ref="BK165:BK170" si="219">+IF(BK164=0,0,IF(SQRT((BK149^2)+(BL149^2))&gt;9,9,SQRT((BK149^2)+(BL149^2))))</f>
        <v>5.1187748812505367</v>
      </c>
      <c r="BL165" s="14">
        <f t="shared" ref="BL165:BL170" si="220">+IF(SQRT((BK149^2)+(BL149^2))&gt;9,(9-BK164)*(DEGREES(ATAN2(BK149,BL149))-BL164)/(SQRT((BK149^2)+(BL149^2))-BK164)+BL164,DEGREES(ATAN2(BK149,BL149)))</f>
        <v>-90</v>
      </c>
      <c r="BM165" s="16">
        <f t="shared" ref="BM165:BM170" si="221">+IF(BM164=0,0,IF(SQRT((BM149^2)+(BN149^2))&gt;9,9,SQRT((BM149^2)+(BN149^2))))</f>
        <v>5.3188736639928305</v>
      </c>
      <c r="BN165" s="14">
        <f t="shared" ref="BN165:BN170" si="222">+IF(SQRT((BM149^2)+(BN149^2))&gt;9,IF(DEGREES(ATAN2(BM149,BN149))&lt;0,(9-BM164)*(360+DEGREES(ATAN2(BM149,BN149))-BN164)/(SQRT((BM149^2)+(BN149^2))-BM164)+BN164,(9-BM164)*(DEGREES(ATAN2(BM149,BN149))-BN164)/(SQRT((BM149^2)+(BN149^2))-BM164)+BN164),IF(DEGREES(ATAN2(BM149,BN149))&lt;0,360+DEGREES(ATAN2(BM149,BN149)),DEGREES(ATAN2(BM149,BN149))))</f>
        <v>252.5719521238546</v>
      </c>
      <c r="BO165" s="16">
        <f t="shared" ref="BO165:BO170" si="223">+IF(BO164=0,0,IF(SQRT((BO149^2)+(BP149^2))&gt;9,9,SQRT((BO149^2)+(BP149^2))))</f>
        <v>5.8782191316981214</v>
      </c>
      <c r="BP165" s="14">
        <f t="shared" ref="BP165:BP170" si="224">+IF(SQRT((BO149^2)+(BP149^2))&gt;9,IF(DEGREES(ATAN2(BO149,BP149))&lt;0,(9-BO164)*(360+DEGREES(ATAN2(BO149,BP149))-BP164)/(SQRT((BO149^2)+(BP149^2))-BO164)+BP164,(9-BO164)*(DEGREES(ATAN2(BO149,BP149))-BP164)/(SQRT((BO149^2)+(BP149^2))-BO164)+BP164),IF(DEGREES(ATAN2(BO149,BP149))&lt;0,360+DEGREES(ATAN2(BO149,BP149)),DEGREES(ATAN2(BO149,BP149))))</f>
        <v>237.20252877534776</v>
      </c>
      <c r="BQ165" s="16">
        <f t="shared" ref="BQ165:BQ170" si="225">+IF(BQ164=0,0,IF(SQRT((BQ149^2)+(BR149^2))&gt;9,9,SQRT((BQ149^2)+(BR149^2))))</f>
        <v>6.7069243574595294</v>
      </c>
      <c r="BR165" s="14">
        <f t="shared" ref="BR165:BR170" si="226">+IF(SQRT((BQ149^2)+(BR149^2))&gt;9,IF(DEGREES(ATAN2(BQ149,BR149))&lt;0,(9-BQ164)*(360+DEGREES(ATAN2(BQ149,BR149))-BR164)/(SQRT((BQ149^2)+(BR149^2))-BQ164)+BR164,(9-BQ164)*(DEGREES(ATAN2(BQ149,BR149))-BR164)/(SQRT((BQ149^2)+(BR149^2))-BQ164)+BR164),IF(DEGREES(ATAN2(BQ149,BR149))&lt;0,360+DEGREES(ATAN2(BQ149,BR149)),DEGREES(ATAN2(BQ149,BR149))))</f>
        <v>224.65671961264201</v>
      </c>
      <c r="BS165" s="16">
        <f t="shared" ref="BS165:BS170" si="227">+IF(BS164=0,0,IF(SQRT((BS149^2)+(BT149^2))&gt;9,9,SQRT((BS149^2)+(BT149^2))))</f>
        <v>7.7177785389717872</v>
      </c>
      <c r="BT165" s="14">
        <f t="shared" ref="BT165:BT170" si="228">+IF(SQRT((BS149^2)+(BT149^2))&gt;9,IF(DEGREES(ATAN2(BS149,BT149))&lt;0,(9-BS164)*(360+DEGREES(ATAN2(BS149,BT149))-BT164)/(SQRT((BS149^2)+(BT149^2))-BS164)+BT164,(9-BS164)*(DEGREES(ATAN2(BS149,BT149))-BT164)/(SQRT((BS149^2)+(BT149^2))-BS164)+BT164),IF(DEGREES(ATAN2(BS149,BT149))&lt;0,360+DEGREES(ATAN2(BS149,BT149)),DEGREES(ATAN2(BS149,BT149))))</f>
        <v>214.62657247743616</v>
      </c>
      <c r="BU165" s="16">
        <f t="shared" ref="BU165:BU170" si="229">+IF(BU164=0,0,IF(SQRT((BU149^2)+(BV149^2))&gt;9,9,SQRT((BU149^2)+(BV149^2))))</f>
        <v>8.847315606929163</v>
      </c>
      <c r="BV165" s="14">
        <f t="shared" ref="BV165:BV170" si="230">+IF(SQRT((BU149^2)+(BV149^2))&gt;9,IF(DEGREES(ATAN2(BU149,BV149))&lt;0,(9-BU164)*(360+DEGREES(ATAN2(BU149,BV149))-BV164)/(SQRT((BU149^2)+(BV149^2))-BU164)+BV164,(9-BU164)*(DEGREES(ATAN2(BU149,BV149))-BV164)/(SQRT((BU149^2)+(BV149^2))-BU164)+BV164),IF(DEGREES(ATAN2(BU149,BV149))&lt;0,360+DEGREES(ATAN2(BU149,BV149)),DEGREES(ATAN2(BU149,BV149))))</f>
        <v>206.4624458503213</v>
      </c>
      <c r="BW165" s="16">
        <f t="shared" ref="BW165:BW170" si="231">+IF(BW164=0,0,IF(SQRT((BW149^2)+(BX149^2))&gt;9,9,SQRT((BW149^2)+(BX149^2))))</f>
        <v>0</v>
      </c>
      <c r="BX165" s="14">
        <f t="shared" ref="BX165:BX170" si="232">+IF(SQRT((BW149^2)+(BX149^2))&gt;9,IF(DEGREES(ATAN2(BW149,BX149))&lt;0,(9-BW164)*(360+DEGREES(ATAN2(BW149,BX149))-BX164)/(SQRT((BW149^2)+(BX149^2))-BW164)+BX164,(9-BW164)*(DEGREES(ATAN2(BW149,BX149))-BX164)/(SQRT((BW149^2)+(BX149^2))-BW164)+BX164),IF(DEGREES(ATAN2(BW149,BX149))&lt;0,360+DEGREES(ATAN2(BW149,BX149)),DEGREES(ATAN2(BW149,BX149))))</f>
        <v>199.67277302363181</v>
      </c>
      <c r="BY165" s="16">
        <f t="shared" ref="BY165:BY170" si="233">+IF(BY164=0,0,IF(SQRT((BY149^2)+(BZ149^2))&gt;9,9,SQRT((BY149^2)+(BZ149^2))))</f>
        <v>0</v>
      </c>
      <c r="BZ165" s="14">
        <f t="shared" ref="BZ165:BZ170" si="234">+IF(SQRT((BY149^2)+(BZ149^2))&gt;9,IF(DEGREES(ATAN2(BY149,BZ149))&lt;0,(9-BY164)*(360+DEGREES(ATAN2(BY149,BZ149))-BZ164)/(SQRT((BY149^2)+(BZ149^2))-BY164)+BZ164,(9-BY164)*(DEGREES(ATAN2(BY149,BZ149))-BZ164)/(SQRT((BY149^2)+(BZ149^2))-BY164)+BZ164),IF(DEGREES(ATAN2(BY149,BZ149))&lt;0,360+DEGREES(ATAN2(BY149,BZ149)),DEGREES(ATAN2(BY149,BZ149))))</f>
        <v>193.62409862272702</v>
      </c>
      <c r="CA165" s="16">
        <f t="shared" ref="CA165:CA170" si="235">+IF(CA164=0,0,IF(SQRT((CA149^2)+(CB149^2))&gt;9,9,SQRT((CA149^2)+(CB149^2))))</f>
        <v>0</v>
      </c>
      <c r="CB165" s="14">
        <f t="shared" ref="CB165:CB170" si="236">+IF(SQRT((CA149^2)+(CB149^2))&gt;9,IF(DEGREES(ATAN2(CA149,CB149))&lt;0,(9-CA164)*(360+DEGREES(ATAN2(CA149,CB149))-CB164)/(SQRT((CA149^2)+(CB149^2))-CA164)+CB164,(9-CA164)*(DEGREES(ATAN2(CA149,CB149))-CB164)/(SQRT((CA149^2)+(CB149^2))-CA164)+CB164),IF(DEGREES(ATAN2(CA149,CB149))&lt;0,360+DEGREES(ATAN2(CA149,CB149)),DEGREES(ATAN2(CA149,CB149))))</f>
        <v>187.81455549557174</v>
      </c>
      <c r="CC165" s="16">
        <f t="shared" ref="CC165:CC170" si="237">+IF(CC164=0,0,IF(SQRT((CC149^2)+(CD149^2))&gt;9,9,SQRT((CC149^2)+(CD149^2))))</f>
        <v>0</v>
      </c>
      <c r="CD165" s="14">
        <f t="shared" ref="CD165:CD170" si="238">+IF(SQRT((CC149^2)+(CD149^2))&gt;9,IF(DEGREES(ATAN2(CC149,CD149))&lt;0,(9-CC164)*(360+DEGREES(ATAN2(CC149,CD149))-CD164)/(SQRT((CC149^2)+(CD149^2))-CC164)+CD164,(9-CC164)*(DEGREES(ATAN2(CC149,CD149))-CD164)/(SQRT((CC149^2)+(CD149^2))-CC164)+CD164),IF(DEGREES(ATAN2(CC149,CD149))&lt;0,360+DEGREES(ATAN2(CC149,CD149)),DEGREES(ATAN2(CC149,CD149))))</f>
        <v>181.60588564558597</v>
      </c>
      <c r="CE165" s="16">
        <f t="shared" ref="CE165:CE170" si="239">+IF(CE164=0,0,IF(SQRT((CE149^2)+(CF149^2))&gt;9,9,SQRT((CE149^2)+(CF149^2))))</f>
        <v>0</v>
      </c>
      <c r="CF165" s="14">
        <f t="shared" ref="CF165:CF170" si="240">+IF(SQRT((CE149^2)+(CF149^2))&gt;9,IF(DEGREES(ATAN2(CE149,CF149))&lt;0,(9-CE164)*(360+DEGREES(ATAN2(CE149,CF149))-CF164)/(SQRT((CE149^2)+(CF149^2))-CE164)+CF164,(9-CE164)*(DEGREES(ATAN2(CE149,CF149))-CF164)/(SQRT((CE149^2)+(CF149^2))-CE164)+CF164),IF(DEGREES(ATAN2(CE149,CF149))&lt;0,360+DEGREES(ATAN2(CE149,CF149)),DEGREES(ATAN2(CE149,CF149))))</f>
        <v>173.60504785152756</v>
      </c>
      <c r="CG165" s="16">
        <f t="shared" ref="CG165:CG170" si="241">+IF(CG164=0,0,IF(SQRT((CG149^2)+(CH149^2))&gt;9,9,SQRT((CG149^2)+(CH149^2))))</f>
        <v>0</v>
      </c>
      <c r="CH165" s="14">
        <f t="shared" ref="CH165:CH170" si="242">+IF(SQRT((CG149^2)+(CH149^2))&gt;9,IF(DEGREES(ATAN2(CG149,CH149))&lt;0,(9-CG164)*(360+DEGREES(ATAN2(CG149,CH149))-CH164)/(SQRT((CG149^2)+(CH149^2))-CG164)+CH164,(9-CG164)*(DEGREES(ATAN2(CG149,CH149))-CH164)/(SQRT((CG149^2)+(CH149^2))-CG164)+CH164),IF(DEGREES(ATAN2(CG149,CH149))&lt;0,360+DEGREES(ATAN2(CG149,CH149)),DEGREES(ATAN2(CG149,CH149))))</f>
        <v>158.23445607668029</v>
      </c>
      <c r="CI165" s="16" t="e">
        <f t="shared" ref="CI165:CI170" si="243">+IF(CI164=0,0,IF(SQRT((CI149^2)+(CJ149^2))&gt;9,9,SQRT((CI149^2)+(CJ149^2))))</f>
        <v>#NUM!</v>
      </c>
      <c r="CJ165" s="14" t="e">
        <f t="shared" ref="CJ165:CJ170" si="244">+IF(SQRT((CI149^2)+(CJ149^2))&gt;9,IF(DEGREES(ATAN2(CI149,CJ149))&lt;0,(9-CI164)*(360+DEGREES(ATAN2(CI149,CJ149))-CJ164)/(SQRT((CI149^2)+(CJ149^2))-CI164)+CJ164,(9-CI164)*(DEGREES(ATAN2(CI149,CJ149))-CJ164)/(SQRT((CI149^2)+(CJ149^2))-CI164)+CJ164),IF(DEGREES(ATAN2(CI149,CJ149))&lt;0,360+DEGREES(ATAN2(CI149,CJ149)),DEGREES(ATAN2(CI149,CJ149))))</f>
        <v>#NUM!</v>
      </c>
    </row>
    <row r="166" spans="1:88" x14ac:dyDescent="0.25">
      <c r="A166">
        <v>-7.4</v>
      </c>
      <c r="B166">
        <f t="shared" si="136"/>
        <v>5.1224993899462783</v>
      </c>
      <c r="C166">
        <f t="shared" si="137"/>
        <v>-5.1224993899462783</v>
      </c>
      <c r="D166">
        <f t="shared" si="145"/>
        <v>3.0397368307141317</v>
      </c>
      <c r="E166">
        <f t="shared" si="146"/>
        <v>-3.0397368307141317</v>
      </c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92"/>
      <c r="S166" s="92"/>
      <c r="T166" s="13"/>
      <c r="U166" s="13"/>
      <c r="V166" s="13"/>
      <c r="W166" s="44"/>
      <c r="X166" s="13"/>
      <c r="Y166" s="13"/>
      <c r="Z166" s="13"/>
      <c r="AA166" s="13"/>
      <c r="AB166" s="13"/>
      <c r="AC166" s="92"/>
      <c r="AD166" s="92"/>
      <c r="AE166" s="13"/>
      <c r="AF166" s="13"/>
      <c r="AG166" s="13"/>
      <c r="AH166" s="44"/>
      <c r="AI166" s="13"/>
      <c r="AJ166" s="13"/>
      <c r="AK166" s="13"/>
      <c r="AL166" s="13"/>
      <c r="AM166" s="13"/>
      <c r="AN166" t="s">
        <v>103</v>
      </c>
      <c r="AO166" s="13">
        <f t="shared" si="197"/>
        <v>0</v>
      </c>
      <c r="AP166" s="14">
        <f t="shared" si="198"/>
        <v>32.855310939318549</v>
      </c>
      <c r="AQ166" s="16">
        <f t="shared" si="199"/>
        <v>0</v>
      </c>
      <c r="AR166" s="14">
        <f t="shared" si="200"/>
        <v>14.531143204731219</v>
      </c>
      <c r="AS166" s="16">
        <f t="shared" si="201"/>
        <v>0</v>
      </c>
      <c r="AT166" s="14">
        <f t="shared" si="202"/>
        <v>4.9490593853961151</v>
      </c>
      <c r="AU166" s="16">
        <f t="shared" si="203"/>
        <v>0</v>
      </c>
      <c r="AV166" s="14">
        <f t="shared" si="204"/>
        <v>-1.9744356859082908</v>
      </c>
      <c r="AW166" s="16">
        <f t="shared" si="205"/>
        <v>0</v>
      </c>
      <c r="AX166" s="14">
        <f t="shared" si="206"/>
        <v>-8.0151814805749417</v>
      </c>
      <c r="AY166" s="16">
        <f t="shared" si="207"/>
        <v>0</v>
      </c>
      <c r="AZ166" s="14">
        <f t="shared" si="208"/>
        <v>-13.971127188677038</v>
      </c>
      <c r="BA166" s="16">
        <f t="shared" si="209"/>
        <v>8.4874323899386965</v>
      </c>
      <c r="BB166" s="14">
        <f t="shared" si="210"/>
        <v>-20.747967716396786</v>
      </c>
      <c r="BC166" s="16">
        <f t="shared" si="211"/>
        <v>7.2987125004663485</v>
      </c>
      <c r="BD166" s="14">
        <f t="shared" si="212"/>
        <v>-29.15629368068803</v>
      </c>
      <c r="BE166" s="16">
        <f t="shared" si="213"/>
        <v>6.2152628794071045</v>
      </c>
      <c r="BF166" s="14">
        <f t="shared" si="214"/>
        <v>-39.54363287993408</v>
      </c>
      <c r="BG166" s="16">
        <f t="shared" si="215"/>
        <v>5.3055554601771542</v>
      </c>
      <c r="BH166" s="14">
        <f t="shared" si="216"/>
        <v>-52.896647030046381</v>
      </c>
      <c r="BI166" s="16">
        <f t="shared" si="217"/>
        <v>4.6746490690290496</v>
      </c>
      <c r="BJ166" s="14">
        <f t="shared" si="218"/>
        <v>-69.960908386052893</v>
      </c>
      <c r="BK166" s="16">
        <f t="shared" si="219"/>
        <v>4.4443416576553023</v>
      </c>
      <c r="BL166" s="14">
        <f t="shared" si="220"/>
        <v>-90</v>
      </c>
      <c r="BM166" s="16">
        <f t="shared" si="221"/>
        <v>4.6746490690290496</v>
      </c>
      <c r="BN166" s="14">
        <f t="shared" si="222"/>
        <v>249.96090838605286</v>
      </c>
      <c r="BO166" s="16">
        <f t="shared" si="223"/>
        <v>5.3055554601771542</v>
      </c>
      <c r="BP166" s="14">
        <f t="shared" si="224"/>
        <v>232.89664703004638</v>
      </c>
      <c r="BQ166" s="16">
        <f t="shared" si="225"/>
        <v>6.2152628794071045</v>
      </c>
      <c r="BR166" s="14">
        <f t="shared" si="226"/>
        <v>219.54363287993408</v>
      </c>
      <c r="BS166" s="16">
        <f t="shared" si="227"/>
        <v>7.2987125004663485</v>
      </c>
      <c r="BT166" s="14">
        <f t="shared" si="228"/>
        <v>209.15629368068804</v>
      </c>
      <c r="BU166" s="16">
        <f t="shared" si="229"/>
        <v>8.4874323899386965</v>
      </c>
      <c r="BV166" s="14">
        <f t="shared" si="230"/>
        <v>200.74796771639677</v>
      </c>
      <c r="BW166" s="16">
        <f t="shared" si="231"/>
        <v>0</v>
      </c>
      <c r="BX166" s="14">
        <f t="shared" si="232"/>
        <v>193.97112718867706</v>
      </c>
      <c r="BY166" s="16">
        <f t="shared" si="233"/>
        <v>0</v>
      </c>
      <c r="BZ166" s="14">
        <f t="shared" si="234"/>
        <v>188.01518148057494</v>
      </c>
      <c r="CA166" s="16">
        <f t="shared" si="235"/>
        <v>0</v>
      </c>
      <c r="CB166" s="14">
        <f t="shared" si="236"/>
        <v>181.9744356859083</v>
      </c>
      <c r="CC166" s="16">
        <f t="shared" si="237"/>
        <v>0</v>
      </c>
      <c r="CD166" s="14">
        <f t="shared" si="238"/>
        <v>175.05094061460389</v>
      </c>
      <c r="CE166" s="16">
        <f t="shared" si="239"/>
        <v>0</v>
      </c>
      <c r="CF166" s="14">
        <f t="shared" si="240"/>
        <v>165.46885679526878</v>
      </c>
      <c r="CG166" s="16">
        <f t="shared" si="241"/>
        <v>0</v>
      </c>
      <c r="CH166" s="14">
        <f t="shared" si="242"/>
        <v>147.14468906068146</v>
      </c>
      <c r="CI166" s="16" t="e">
        <f t="shared" si="243"/>
        <v>#NUM!</v>
      </c>
      <c r="CJ166" s="14" t="e">
        <f t="shared" si="244"/>
        <v>#NUM!</v>
      </c>
    </row>
    <row r="167" spans="1:88" x14ac:dyDescent="0.25">
      <c r="A167">
        <v>-7.5</v>
      </c>
      <c r="B167">
        <f t="shared" si="136"/>
        <v>4.9749371855330997</v>
      </c>
      <c r="C167">
        <f t="shared" si="137"/>
        <v>-4.9749371855330997</v>
      </c>
      <c r="D167">
        <f t="shared" si="145"/>
        <v>2.7838821814150108</v>
      </c>
      <c r="E167">
        <f t="shared" si="146"/>
        <v>-2.7838821814150108</v>
      </c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92"/>
      <c r="S167" s="92"/>
      <c r="T167" s="13"/>
      <c r="U167" s="13"/>
      <c r="V167" s="13"/>
      <c r="W167" s="44"/>
      <c r="X167" s="13"/>
      <c r="Y167" s="13"/>
      <c r="Z167" s="13"/>
      <c r="AA167" s="13"/>
      <c r="AB167" s="13"/>
      <c r="AC167" s="92"/>
      <c r="AD167" s="92"/>
      <c r="AE167" s="13"/>
      <c r="AF167" s="13"/>
      <c r="AG167" s="13"/>
      <c r="AH167" s="44"/>
      <c r="AI167" s="13"/>
      <c r="AJ167" s="13"/>
      <c r="AK167" s="13"/>
      <c r="AL167" s="13"/>
      <c r="AM167" s="13"/>
      <c r="AN167" t="s">
        <v>102</v>
      </c>
      <c r="AO167" s="13">
        <f t="shared" si="197"/>
        <v>0</v>
      </c>
      <c r="AP167" s="14">
        <f t="shared" si="198"/>
        <v>47.463604502303326</v>
      </c>
      <c r="AQ167" s="16">
        <f t="shared" si="199"/>
        <v>0</v>
      </c>
      <c r="AR167" s="14">
        <f t="shared" si="200"/>
        <v>27.792122251873838</v>
      </c>
      <c r="AS167" s="16">
        <f t="shared" si="201"/>
        <v>0</v>
      </c>
      <c r="AT167" s="14">
        <f t="shared" si="202"/>
        <v>16.381385656962046</v>
      </c>
      <c r="AU167" s="16">
        <f t="shared" si="203"/>
        <v>0</v>
      </c>
      <c r="AV167" s="14">
        <f t="shared" si="204"/>
        <v>8.4074145189629945</v>
      </c>
      <c r="AW167" s="16">
        <f t="shared" si="205"/>
        <v>0</v>
      </c>
      <c r="AX167" s="14">
        <f t="shared" si="206"/>
        <v>1.9573795880779041</v>
      </c>
      <c r="AY167" s="16">
        <f t="shared" si="207"/>
        <v>0</v>
      </c>
      <c r="AZ167" s="14">
        <f t="shared" si="208"/>
        <v>-3.914479611308991</v>
      </c>
      <c r="BA167" s="16">
        <f t="shared" si="209"/>
        <v>7.9055763281388662</v>
      </c>
      <c r="BB167" s="14">
        <f t="shared" si="210"/>
        <v>-11.140159572114145</v>
      </c>
      <c r="BC167" s="16">
        <f t="shared" si="211"/>
        <v>6.6417980360526299</v>
      </c>
      <c r="BD167" s="14">
        <f t="shared" si="212"/>
        <v>-19.544424483964164</v>
      </c>
      <c r="BE167" s="16">
        <f t="shared" si="213"/>
        <v>5.4509281508389078</v>
      </c>
      <c r="BF167" s="14">
        <f t="shared" si="214"/>
        <v>-29.990485731254758</v>
      </c>
      <c r="BG167" s="16">
        <f t="shared" si="215"/>
        <v>4.402134407025633</v>
      </c>
      <c r="BH167" s="14">
        <f t="shared" si="216"/>
        <v>-44.147079988971207</v>
      </c>
      <c r="BI167" s="16">
        <f t="shared" si="217"/>
        <v>3.6278348522392321</v>
      </c>
      <c r="BJ167" s="14">
        <f t="shared" si="218"/>
        <v>-64.136650346462858</v>
      </c>
      <c r="BK167" s="16">
        <f t="shared" si="219"/>
        <v>3.3295526435264406</v>
      </c>
      <c r="BL167" s="14">
        <f t="shared" si="220"/>
        <v>-90</v>
      </c>
      <c r="BM167" s="16">
        <f t="shared" si="221"/>
        <v>3.6278348522392321</v>
      </c>
      <c r="BN167" s="14">
        <f t="shared" si="222"/>
        <v>244.13665034646289</v>
      </c>
      <c r="BO167" s="16">
        <f t="shared" si="223"/>
        <v>4.402134407025633</v>
      </c>
      <c r="BP167" s="14">
        <f t="shared" si="224"/>
        <v>224.14707998897117</v>
      </c>
      <c r="BQ167" s="16">
        <f t="shared" si="225"/>
        <v>5.4509281508389078</v>
      </c>
      <c r="BR167" s="14">
        <f t="shared" si="226"/>
        <v>209.99048573125475</v>
      </c>
      <c r="BS167" s="16">
        <f t="shared" si="227"/>
        <v>6.6417980360526299</v>
      </c>
      <c r="BT167" s="14">
        <f t="shared" si="228"/>
        <v>199.54442448396418</v>
      </c>
      <c r="BU167" s="16">
        <f t="shared" si="229"/>
        <v>7.9055763281388653</v>
      </c>
      <c r="BV167" s="14">
        <f t="shared" si="230"/>
        <v>191.14015957211416</v>
      </c>
      <c r="BW167" s="16">
        <f t="shared" si="231"/>
        <v>0</v>
      </c>
      <c r="BX167" s="14">
        <f t="shared" si="232"/>
        <v>183.91447961130899</v>
      </c>
      <c r="BY167" s="16">
        <f t="shared" si="233"/>
        <v>0</v>
      </c>
      <c r="BZ167" s="14">
        <f t="shared" si="234"/>
        <v>178.04262041192209</v>
      </c>
      <c r="CA167" s="16">
        <f t="shared" si="235"/>
        <v>0</v>
      </c>
      <c r="CB167" s="14">
        <f t="shared" si="236"/>
        <v>171.59258548103702</v>
      </c>
      <c r="CC167" s="16">
        <f t="shared" si="237"/>
        <v>0</v>
      </c>
      <c r="CD167" s="14">
        <f t="shared" si="238"/>
        <v>163.61861434303796</v>
      </c>
      <c r="CE167" s="16">
        <f t="shared" si="239"/>
        <v>0</v>
      </c>
      <c r="CF167" s="14">
        <f t="shared" si="240"/>
        <v>152.20787774812615</v>
      </c>
      <c r="CG167" s="16">
        <f t="shared" si="241"/>
        <v>0</v>
      </c>
      <c r="CH167" s="14">
        <f t="shared" si="242"/>
        <v>132.53639549769667</v>
      </c>
      <c r="CI167" s="16" t="e">
        <f t="shared" si="243"/>
        <v>#NUM!</v>
      </c>
      <c r="CJ167" s="14" t="e">
        <f t="shared" si="244"/>
        <v>#NUM!</v>
      </c>
    </row>
    <row r="168" spans="1:88" x14ac:dyDescent="0.25">
      <c r="A168">
        <v>-7.6</v>
      </c>
      <c r="B168">
        <f t="shared" si="136"/>
        <v>4.8207883172775805</v>
      </c>
      <c r="C168">
        <f t="shared" si="137"/>
        <v>-4.8207883172775805</v>
      </c>
      <c r="D168">
        <f t="shared" si="145"/>
        <v>2.4979991993593598</v>
      </c>
      <c r="E168">
        <f t="shared" si="146"/>
        <v>-2.4979991993593598</v>
      </c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92"/>
      <c r="S168" s="92"/>
      <c r="T168" s="13"/>
      <c r="U168" s="13"/>
      <c r="V168" s="13"/>
      <c r="W168" s="44"/>
      <c r="X168" s="13"/>
      <c r="Y168" s="13"/>
      <c r="Z168" s="13"/>
      <c r="AA168" s="13"/>
      <c r="AB168" s="13"/>
      <c r="AC168" s="92"/>
      <c r="AD168" s="92"/>
      <c r="AE168" s="13"/>
      <c r="AF168" s="13"/>
      <c r="AG168" s="13"/>
      <c r="AH168" s="44"/>
      <c r="AI168" s="13"/>
      <c r="AJ168" s="13"/>
      <c r="AK168" s="13"/>
      <c r="AL168" s="13"/>
      <c r="AM168" s="13"/>
      <c r="AN168" t="s">
        <v>101</v>
      </c>
      <c r="AO168" s="13">
        <f t="shared" si="197"/>
        <v>0</v>
      </c>
      <c r="AP168" s="14">
        <f t="shared" si="198"/>
        <v>59.496519556429732</v>
      </c>
      <c r="AQ168" s="16">
        <f t="shared" si="199"/>
        <v>0</v>
      </c>
      <c r="AR168" s="14">
        <f t="shared" si="200"/>
        <v>40.887086651450076</v>
      </c>
      <c r="AS168" s="16">
        <f t="shared" si="201"/>
        <v>0</v>
      </c>
      <c r="AT168" s="14">
        <f t="shared" si="202"/>
        <v>28.650663027465292</v>
      </c>
      <c r="AU168" s="16">
        <f t="shared" si="203"/>
        <v>0</v>
      </c>
      <c r="AV168" s="14">
        <f t="shared" si="204"/>
        <v>19.904420938637852</v>
      </c>
      <c r="AW168" s="16">
        <f t="shared" si="205"/>
        <v>0</v>
      </c>
      <c r="AX168" s="14">
        <f t="shared" si="206"/>
        <v>13.067563130888116</v>
      </c>
      <c r="AY168" s="16">
        <f t="shared" si="207"/>
        <v>0</v>
      </c>
      <c r="AZ168" s="14">
        <f t="shared" si="208"/>
        <v>6.7605290006867307</v>
      </c>
      <c r="BA168" s="16">
        <f t="shared" si="209"/>
        <v>7.3173854361378865</v>
      </c>
      <c r="BB168" s="14">
        <f t="shared" si="210"/>
        <v>-0.43002600519734813</v>
      </c>
      <c r="BC168" s="16">
        <f t="shared" si="211"/>
        <v>6.0110156340153154</v>
      </c>
      <c r="BD168" s="14">
        <f t="shared" si="212"/>
        <v>-8.1789255609557756</v>
      </c>
      <c r="BE168" s="16">
        <f t="shared" si="213"/>
        <v>4.733653655160647</v>
      </c>
      <c r="BF168" s="14">
        <f t="shared" si="214"/>
        <v>-17.660622571122676</v>
      </c>
      <c r="BG168" s="16">
        <f t="shared" si="215"/>
        <v>3.5381358825407299</v>
      </c>
      <c r="BH168" s="14">
        <f t="shared" si="216"/>
        <v>-31.163072226204516</v>
      </c>
      <c r="BI168" s="16">
        <f t="shared" si="217"/>
        <v>2.5600186193768524</v>
      </c>
      <c r="BJ168" s="14">
        <f t="shared" si="218"/>
        <v>-53.589980894530221</v>
      </c>
      <c r="BK168" s="16">
        <f t="shared" si="219"/>
        <v>2.1355371091834767</v>
      </c>
      <c r="BL168" s="14">
        <f t="shared" si="220"/>
        <v>-90</v>
      </c>
      <c r="BM168" s="16">
        <f t="shared" si="221"/>
        <v>2.5600186193768524</v>
      </c>
      <c r="BN168" s="14">
        <f t="shared" si="222"/>
        <v>233.58998089453024</v>
      </c>
      <c r="BO168" s="16">
        <f t="shared" si="223"/>
        <v>3.5381358825407303</v>
      </c>
      <c r="BP168" s="14">
        <f t="shared" si="224"/>
        <v>211.16307222620452</v>
      </c>
      <c r="BQ168" s="16">
        <f t="shared" si="225"/>
        <v>4.733653655160647</v>
      </c>
      <c r="BR168" s="14">
        <f t="shared" si="226"/>
        <v>197.66062257112267</v>
      </c>
      <c r="BS168" s="16">
        <f t="shared" si="227"/>
        <v>6.0110156340153154</v>
      </c>
      <c r="BT168" s="14">
        <f t="shared" si="228"/>
        <v>188.17892556095578</v>
      </c>
      <c r="BU168" s="16">
        <f t="shared" si="229"/>
        <v>7.3173854361378865</v>
      </c>
      <c r="BV168" s="14">
        <f t="shared" si="230"/>
        <v>180.43002600519736</v>
      </c>
      <c r="BW168" s="16">
        <f t="shared" si="231"/>
        <v>0</v>
      </c>
      <c r="BX168" s="14">
        <f t="shared" si="232"/>
        <v>173.23947099931326</v>
      </c>
      <c r="BY168" s="16">
        <f t="shared" si="233"/>
        <v>0</v>
      </c>
      <c r="BZ168" s="14">
        <f t="shared" si="234"/>
        <v>166.93243686911188</v>
      </c>
      <c r="CA168" s="16">
        <f t="shared" si="235"/>
        <v>0</v>
      </c>
      <c r="CB168" s="14">
        <f t="shared" si="236"/>
        <v>160.09557906136217</v>
      </c>
      <c r="CC168" s="16">
        <f t="shared" si="237"/>
        <v>0</v>
      </c>
      <c r="CD168" s="14">
        <f t="shared" si="238"/>
        <v>151.3493369725347</v>
      </c>
      <c r="CE168" s="16">
        <f t="shared" si="239"/>
        <v>0</v>
      </c>
      <c r="CF168" s="14">
        <f t="shared" si="240"/>
        <v>139.11291334854991</v>
      </c>
      <c r="CG168" s="16">
        <f t="shared" si="241"/>
        <v>0</v>
      </c>
      <c r="CH168" s="14">
        <f t="shared" si="242"/>
        <v>120.50348044357025</v>
      </c>
      <c r="CI168" s="16" t="e">
        <f t="shared" si="243"/>
        <v>#NUM!</v>
      </c>
      <c r="CJ168" s="14" t="e">
        <f t="shared" si="244"/>
        <v>#NUM!</v>
      </c>
    </row>
    <row r="169" spans="1:88" x14ac:dyDescent="0.25">
      <c r="A169">
        <v>-7.7</v>
      </c>
      <c r="B169">
        <f t="shared" si="136"/>
        <v>4.6593991028886972</v>
      </c>
      <c r="C169">
        <f t="shared" si="137"/>
        <v>-4.6593991028886972</v>
      </c>
      <c r="D169">
        <f t="shared" si="145"/>
        <v>2.1702534414210692</v>
      </c>
      <c r="E169">
        <f t="shared" si="146"/>
        <v>-2.1702534414210692</v>
      </c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92"/>
      <c r="S169" s="92"/>
      <c r="T169" s="13"/>
      <c r="U169" s="13"/>
      <c r="V169" s="13"/>
      <c r="W169" s="44"/>
      <c r="X169" s="13"/>
      <c r="Y169" s="13"/>
      <c r="Z169" s="13"/>
      <c r="AA169" s="13"/>
      <c r="AB169" s="13"/>
      <c r="AC169" s="92"/>
      <c r="AD169" s="92"/>
      <c r="AE169" s="13"/>
      <c r="AF169" s="13"/>
      <c r="AG169" s="13"/>
      <c r="AH169" s="44"/>
      <c r="AI169" s="13"/>
      <c r="AJ169" s="13"/>
      <c r="AK169" s="13"/>
      <c r="AL169" s="13"/>
      <c r="AM169" s="13"/>
      <c r="AN169" t="s">
        <v>100</v>
      </c>
      <c r="AO169" s="13">
        <f t="shared" si="197"/>
        <v>0</v>
      </c>
      <c r="AP169" s="14">
        <f t="shared" si="198"/>
        <v>67.415120999522316</v>
      </c>
      <c r="AQ169" s="16">
        <f t="shared" si="199"/>
        <v>0</v>
      </c>
      <c r="AR169" s="14">
        <f t="shared" si="200"/>
        <v>50.772092089706653</v>
      </c>
      <c r="AS169" s="16">
        <f t="shared" si="201"/>
        <v>0</v>
      </c>
      <c r="AT169" s="14">
        <f t="shared" si="202"/>
        <v>38.639515467440319</v>
      </c>
      <c r="AU169" s="16">
        <f t="shared" si="203"/>
        <v>0</v>
      </c>
      <c r="AV169" s="14">
        <f t="shared" si="204"/>
        <v>29.58807588338275</v>
      </c>
      <c r="AW169" s="16">
        <f t="shared" si="205"/>
        <v>0</v>
      </c>
      <c r="AX169" s="14">
        <f t="shared" si="206"/>
        <v>22.517748734505709</v>
      </c>
      <c r="AY169" s="16">
        <f t="shared" si="207"/>
        <v>0</v>
      </c>
      <c r="AZ169" s="14">
        <f t="shared" si="208"/>
        <v>15.774864622796077</v>
      </c>
      <c r="BA169" s="16">
        <f t="shared" si="209"/>
        <v>6.8609715254861383</v>
      </c>
      <c r="BB169" s="14">
        <f t="shared" si="210"/>
        <v>9.2149094585863622</v>
      </c>
      <c r="BC169" s="16">
        <f t="shared" si="211"/>
        <v>5.5578311539452425</v>
      </c>
      <c r="BD169" s="14">
        <f t="shared" si="212"/>
        <v>2.6103362958478447</v>
      </c>
      <c r="BE169" s="16">
        <f t="shared" si="213"/>
        <v>4.2480738775547024</v>
      </c>
      <c r="BF169" s="14">
        <f t="shared" si="214"/>
        <v>-4.9448170719160922</v>
      </c>
      <c r="BG169" s="16">
        <f t="shared" si="215"/>
        <v>2.9581150061487707</v>
      </c>
      <c r="BH169" s="14">
        <f t="shared" si="216"/>
        <v>-15.473888677415843</v>
      </c>
      <c r="BI169" s="16">
        <f t="shared" si="217"/>
        <v>1.7686664219772934</v>
      </c>
      <c r="BJ169" s="14">
        <f t="shared" si="218"/>
        <v>-35.84444444383481</v>
      </c>
      <c r="BK169" s="16">
        <f t="shared" si="219"/>
        <v>1.1166812030061788</v>
      </c>
      <c r="BL169" s="14">
        <f t="shared" si="220"/>
        <v>-90</v>
      </c>
      <c r="BM169" s="16">
        <f t="shared" si="221"/>
        <v>1.7686664219772936</v>
      </c>
      <c r="BN169" s="14">
        <f t="shared" si="222"/>
        <v>215.84444444383482</v>
      </c>
      <c r="BO169" s="16">
        <f t="shared" si="223"/>
        <v>2.9581150061487707</v>
      </c>
      <c r="BP169" s="14">
        <f t="shared" si="224"/>
        <v>195.47388867741586</v>
      </c>
      <c r="BQ169" s="16">
        <f t="shared" si="225"/>
        <v>4.2480738775547024</v>
      </c>
      <c r="BR169" s="14">
        <f t="shared" si="226"/>
        <v>184.94481707191611</v>
      </c>
      <c r="BS169" s="16">
        <f t="shared" si="227"/>
        <v>5.5578311539452425</v>
      </c>
      <c r="BT169" s="14">
        <f t="shared" si="228"/>
        <v>177.38966370415216</v>
      </c>
      <c r="BU169" s="16">
        <f t="shared" si="229"/>
        <v>6.8609715254861383</v>
      </c>
      <c r="BV169" s="14">
        <f t="shared" si="230"/>
        <v>170.78509054141364</v>
      </c>
      <c r="BW169" s="16">
        <f t="shared" si="231"/>
        <v>0</v>
      </c>
      <c r="BX169" s="14">
        <f t="shared" si="232"/>
        <v>164.22513537720391</v>
      </c>
      <c r="BY169" s="16">
        <f t="shared" si="233"/>
        <v>0</v>
      </c>
      <c r="BZ169" s="14">
        <f t="shared" si="234"/>
        <v>157.48225126549431</v>
      </c>
      <c r="CA169" s="16">
        <f t="shared" si="235"/>
        <v>0</v>
      </c>
      <c r="CB169" s="14">
        <f t="shared" si="236"/>
        <v>150.41192411661726</v>
      </c>
      <c r="CC169" s="16">
        <f t="shared" si="237"/>
        <v>0</v>
      </c>
      <c r="CD169" s="14">
        <f t="shared" si="238"/>
        <v>141.36048453255967</v>
      </c>
      <c r="CE169" s="16">
        <f t="shared" si="239"/>
        <v>0</v>
      </c>
      <c r="CF169" s="14">
        <f t="shared" si="240"/>
        <v>129.22790791029334</v>
      </c>
      <c r="CG169" s="16">
        <f t="shared" si="241"/>
        <v>0</v>
      </c>
      <c r="CH169" s="14">
        <f t="shared" si="242"/>
        <v>112.58487900047767</v>
      </c>
      <c r="CI169" s="16" t="e">
        <f t="shared" si="243"/>
        <v>#NUM!</v>
      </c>
      <c r="CJ169" s="14" t="e">
        <f t="shared" si="244"/>
        <v>#NUM!</v>
      </c>
    </row>
    <row r="170" spans="1:88" x14ac:dyDescent="0.25">
      <c r="A170">
        <v>-7.8</v>
      </c>
      <c r="B170">
        <f t="shared" si="136"/>
        <v>4.4899888641287298</v>
      </c>
      <c r="C170">
        <f t="shared" si="137"/>
        <v>-4.4899888641287298</v>
      </c>
      <c r="D170">
        <f t="shared" si="145"/>
        <v>1.7776388834631187</v>
      </c>
      <c r="E170">
        <f t="shared" si="146"/>
        <v>-1.7776388834631187</v>
      </c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92"/>
      <c r="S170" s="92"/>
      <c r="T170" s="13"/>
      <c r="U170" s="13"/>
      <c r="V170" s="13"/>
      <c r="W170" s="44"/>
      <c r="X170" s="13"/>
      <c r="Y170" s="13"/>
      <c r="Z170" s="13"/>
      <c r="AA170" s="13"/>
      <c r="AB170" s="13"/>
      <c r="AC170" s="92"/>
      <c r="AD170" s="92"/>
      <c r="AE170" s="13"/>
      <c r="AF170" s="13"/>
      <c r="AG170" s="13"/>
      <c r="AH170" s="44"/>
      <c r="AI170" s="13"/>
      <c r="AJ170" s="13"/>
      <c r="AK170" s="13"/>
      <c r="AL170" s="13"/>
      <c r="AM170" s="13"/>
      <c r="AN170" t="s">
        <v>99</v>
      </c>
      <c r="AO170" s="13">
        <f t="shared" si="197"/>
        <v>0</v>
      </c>
      <c r="AP170" s="14">
        <f t="shared" si="198"/>
        <v>71.355693429817961</v>
      </c>
      <c r="AQ170" s="16">
        <f t="shared" si="199"/>
        <v>0</v>
      </c>
      <c r="AR170" s="14">
        <f t="shared" si="200"/>
        <v>56.029463160560553</v>
      </c>
      <c r="AS170" s="16">
        <f t="shared" si="201"/>
        <v>0</v>
      </c>
      <c r="AT170" s="14">
        <f t="shared" si="202"/>
        <v>44.055825028349759</v>
      </c>
      <c r="AU170" s="16">
        <f t="shared" si="203"/>
        <v>0</v>
      </c>
      <c r="AV170" s="14">
        <f t="shared" si="204"/>
        <v>34.734181672977769</v>
      </c>
      <c r="AW170" s="16">
        <f t="shared" si="205"/>
        <v>0</v>
      </c>
      <c r="AX170" s="14">
        <f t="shared" si="206"/>
        <v>27.26585045766074</v>
      </c>
      <c r="AY170" s="16">
        <f t="shared" si="207"/>
        <v>0</v>
      </c>
      <c r="AZ170" s="14">
        <f t="shared" si="208"/>
        <v>20.462414564252356</v>
      </c>
      <c r="BA170" s="16">
        <f t="shared" si="209"/>
        <v>6.6492266940867299</v>
      </c>
      <c r="BB170" s="14">
        <f t="shared" si="210"/>
        <v>14.363024571728461</v>
      </c>
      <c r="BC170" s="16">
        <f t="shared" si="211"/>
        <v>5.3649624672449967</v>
      </c>
      <c r="BD170" s="14">
        <f t="shared" si="212"/>
        <v>8.54488267962188</v>
      </c>
      <c r="BE170" s="16">
        <f t="shared" si="213"/>
        <v>4.060775804138637</v>
      </c>
      <c r="BF170" s="14">
        <f t="shared" si="214"/>
        <v>2.3858660447248354</v>
      </c>
      <c r="BG170" s="16">
        <f t="shared" si="215"/>
        <v>2.7512050388845086</v>
      </c>
      <c r="BH170" s="14">
        <f t="shared" si="216"/>
        <v>-5.4583204550478976</v>
      </c>
      <c r="BI170" s="16">
        <f t="shared" si="217"/>
        <v>1.4713382163033852</v>
      </c>
      <c r="BJ170" s="14">
        <f t="shared" si="218"/>
        <v>-20.415197171987753</v>
      </c>
      <c r="BK170" s="16">
        <f t="shared" si="219"/>
        <v>0.59595158833481854</v>
      </c>
      <c r="BL170" s="14">
        <f t="shared" si="220"/>
        <v>-90</v>
      </c>
      <c r="BM170" s="16">
        <f t="shared" si="221"/>
        <v>1.4713382163033852</v>
      </c>
      <c r="BN170" s="14">
        <f t="shared" si="222"/>
        <v>200.41519717198776</v>
      </c>
      <c r="BO170" s="16">
        <f t="shared" si="223"/>
        <v>2.7512050388845086</v>
      </c>
      <c r="BP170" s="14">
        <f t="shared" si="224"/>
        <v>185.4583204550479</v>
      </c>
      <c r="BQ170" s="16">
        <f t="shared" si="225"/>
        <v>4.060775804138637</v>
      </c>
      <c r="BR170" s="14">
        <f t="shared" si="226"/>
        <v>177.61413395527518</v>
      </c>
      <c r="BS170" s="16">
        <f t="shared" si="227"/>
        <v>5.3649624672449967</v>
      </c>
      <c r="BT170" s="14">
        <f t="shared" si="228"/>
        <v>171.45511732037812</v>
      </c>
      <c r="BU170" s="16">
        <f t="shared" si="229"/>
        <v>6.6492266940867299</v>
      </c>
      <c r="BV170" s="14">
        <f t="shared" si="230"/>
        <v>165.63697542827154</v>
      </c>
      <c r="BW170" s="16">
        <f t="shared" si="231"/>
        <v>0</v>
      </c>
      <c r="BX170" s="14">
        <f t="shared" si="232"/>
        <v>159.53758543574764</v>
      </c>
      <c r="BY170" s="16">
        <f t="shared" si="233"/>
        <v>0</v>
      </c>
      <c r="BZ170" s="14">
        <f t="shared" si="234"/>
        <v>152.73414954233925</v>
      </c>
      <c r="CA170" s="16">
        <f t="shared" si="235"/>
        <v>0</v>
      </c>
      <c r="CB170" s="14">
        <f t="shared" si="236"/>
        <v>145.26581832702226</v>
      </c>
      <c r="CC170" s="16">
        <f t="shared" si="237"/>
        <v>0</v>
      </c>
      <c r="CD170" s="14">
        <f t="shared" si="238"/>
        <v>135.94417497165023</v>
      </c>
      <c r="CE170" s="16">
        <f t="shared" si="239"/>
        <v>0</v>
      </c>
      <c r="CF170" s="14">
        <f t="shared" si="240"/>
        <v>123.97053683943943</v>
      </c>
      <c r="CG170" s="16">
        <f t="shared" si="241"/>
        <v>0</v>
      </c>
      <c r="CH170" s="14">
        <f t="shared" si="242"/>
        <v>108.64430657018202</v>
      </c>
      <c r="CI170" s="16" t="e">
        <f t="shared" si="243"/>
        <v>#NUM!</v>
      </c>
      <c r="CJ170" s="14" t="e">
        <f t="shared" si="244"/>
        <v>#NUM!</v>
      </c>
    </row>
    <row r="171" spans="1:88" x14ac:dyDescent="0.25">
      <c r="A171">
        <v>-7.9</v>
      </c>
      <c r="B171">
        <f t="shared" si="136"/>
        <v>4.3116122274620192</v>
      </c>
      <c r="C171">
        <f t="shared" si="137"/>
        <v>-4.3116122274620192</v>
      </c>
      <c r="D171">
        <f t="shared" si="145"/>
        <v>1.2609520212918477</v>
      </c>
      <c r="E171">
        <f t="shared" si="146"/>
        <v>-1.2609520212918477</v>
      </c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92"/>
      <c r="S171" s="92"/>
      <c r="T171" s="13"/>
      <c r="U171" s="13"/>
      <c r="V171" s="13"/>
      <c r="W171" s="44"/>
      <c r="X171" s="13"/>
      <c r="Y171" s="13"/>
      <c r="Z171" s="13"/>
      <c r="AA171" s="13"/>
      <c r="AB171" s="13"/>
      <c r="AC171" s="92"/>
      <c r="AD171" s="92"/>
      <c r="AE171" s="13"/>
      <c r="AF171" s="13"/>
      <c r="AG171" s="13"/>
      <c r="AH171" s="44"/>
      <c r="AI171" s="13"/>
      <c r="AJ171" s="13"/>
      <c r="AK171" s="13"/>
      <c r="AL171" s="13"/>
      <c r="AM171" s="13"/>
      <c r="AN171" s="92"/>
      <c r="AO171" s="92" t="s">
        <v>42</v>
      </c>
      <c r="AP171" s="91" t="s">
        <v>43</v>
      </c>
      <c r="AQ171" s="90" t="s">
        <v>42</v>
      </c>
      <c r="AR171" s="91" t="s">
        <v>43</v>
      </c>
      <c r="AS171" s="90" t="s">
        <v>42</v>
      </c>
      <c r="AT171" s="91" t="s">
        <v>43</v>
      </c>
      <c r="AU171" s="90" t="s">
        <v>42</v>
      </c>
      <c r="AV171" s="91" t="s">
        <v>43</v>
      </c>
      <c r="AW171" s="90" t="s">
        <v>42</v>
      </c>
      <c r="AX171" s="91" t="s">
        <v>43</v>
      </c>
      <c r="AY171" s="90" t="s">
        <v>42</v>
      </c>
      <c r="AZ171" s="91" t="s">
        <v>43</v>
      </c>
      <c r="BA171" s="90" t="s">
        <v>42</v>
      </c>
      <c r="BB171" s="91" t="s">
        <v>43</v>
      </c>
      <c r="BC171" s="90" t="s">
        <v>42</v>
      </c>
      <c r="BD171" s="91" t="s">
        <v>43</v>
      </c>
      <c r="BE171" s="90" t="s">
        <v>42</v>
      </c>
      <c r="BF171" s="91" t="s">
        <v>43</v>
      </c>
      <c r="BG171" s="90" t="s">
        <v>42</v>
      </c>
      <c r="BH171" s="91" t="s">
        <v>43</v>
      </c>
      <c r="BI171" s="90" t="s">
        <v>42</v>
      </c>
      <c r="BJ171" s="91" t="s">
        <v>43</v>
      </c>
      <c r="BK171" s="90" t="s">
        <v>42</v>
      </c>
      <c r="BL171" s="91" t="s">
        <v>43</v>
      </c>
      <c r="BM171" s="90" t="s">
        <v>42</v>
      </c>
      <c r="BN171" s="91" t="s">
        <v>43</v>
      </c>
      <c r="BO171" s="90" t="s">
        <v>42</v>
      </c>
      <c r="BP171" s="91" t="s">
        <v>43</v>
      </c>
      <c r="BQ171" s="90" t="s">
        <v>42</v>
      </c>
      <c r="BR171" s="91" t="s">
        <v>43</v>
      </c>
      <c r="BS171" s="90" t="s">
        <v>42</v>
      </c>
      <c r="BT171" s="91" t="s">
        <v>43</v>
      </c>
      <c r="BU171" s="90" t="s">
        <v>42</v>
      </c>
      <c r="BV171" s="91" t="s">
        <v>43</v>
      </c>
      <c r="BW171" s="90" t="s">
        <v>42</v>
      </c>
      <c r="BX171" s="91" t="s">
        <v>43</v>
      </c>
      <c r="BY171" s="90" t="s">
        <v>42</v>
      </c>
      <c r="BZ171" s="91" t="s">
        <v>43</v>
      </c>
      <c r="CA171" s="90" t="s">
        <v>42</v>
      </c>
      <c r="CB171" s="91" t="s">
        <v>43</v>
      </c>
      <c r="CC171" s="90" t="s">
        <v>42</v>
      </c>
      <c r="CD171" s="91" t="s">
        <v>43</v>
      </c>
      <c r="CE171" s="90" t="s">
        <v>42</v>
      </c>
      <c r="CF171" s="91" t="s">
        <v>43</v>
      </c>
      <c r="CG171" s="90" t="s">
        <v>42</v>
      </c>
      <c r="CH171" s="91" t="s">
        <v>43</v>
      </c>
      <c r="CI171" s="90" t="s">
        <v>42</v>
      </c>
      <c r="CJ171" s="91" t="s">
        <v>43</v>
      </c>
    </row>
    <row r="172" spans="1:88" x14ac:dyDescent="0.25">
      <c r="A172">
        <v>-8</v>
      </c>
      <c r="B172">
        <f t="shared" si="136"/>
        <v>4.1231056256176606</v>
      </c>
      <c r="C172">
        <f t="shared" si="137"/>
        <v>-4.1231056256176606</v>
      </c>
      <c r="D172">
        <f t="shared" si="145"/>
        <v>0</v>
      </c>
      <c r="E172">
        <f>-D172</f>
        <v>0</v>
      </c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92"/>
      <c r="S172" s="92"/>
      <c r="T172" s="13"/>
      <c r="U172" s="13"/>
      <c r="V172" s="13"/>
      <c r="W172" s="44"/>
      <c r="X172" s="13"/>
      <c r="Y172" s="13"/>
      <c r="Z172" s="13"/>
      <c r="AA172" s="95" t="s">
        <v>92</v>
      </c>
      <c r="AB172" s="95">
        <v>21</v>
      </c>
      <c r="AC172" s="315"/>
      <c r="AD172" s="315"/>
      <c r="AE172" s="316"/>
      <c r="AG172" t="s">
        <v>106</v>
      </c>
      <c r="AH172">
        <f>+'Control Solar 2do Sem'!N14</f>
        <v>0</v>
      </c>
      <c r="AL172" s="13"/>
      <c r="AM172" s="13"/>
      <c r="AN172" s="13" t="s">
        <v>105</v>
      </c>
      <c r="AO172" s="92">
        <f>IF('Control Solar 2do Sem'!$H$4&lt;0,AO164*COS(RADIANS(AP164)),AO156*COS(RADIANS(AP156)))</f>
        <v>0</v>
      </c>
      <c r="AP172" s="49">
        <f>IF('Control Solar 2do Sem'!$H$4&lt;0,AO164*SIN(RADIANS(AP164)),AO156*SIN(RADIANS(AP156)))</f>
        <v>0</v>
      </c>
      <c r="AQ172" s="90">
        <f>IF('Control Solar 2do Sem'!$H$4&lt;0,AQ164*COS(RADIANS(AR164)),AQ156*COS(RADIANS(AR156)))</f>
        <v>0</v>
      </c>
      <c r="AR172" s="49">
        <f>IF('Control Solar 2do Sem'!$H$4&lt;0,AQ164*SIN(RADIANS(AR164)),AQ156*SIN(RADIANS(AR156)))</f>
        <v>0</v>
      </c>
      <c r="AS172" s="90">
        <f>IF('Control Solar 2do Sem'!$H$4&lt;0,AS164*COS(RADIANS(AT164)),AS156*COS(RADIANS(AT156)))</f>
        <v>0</v>
      </c>
      <c r="AT172" s="49">
        <f>IF('Control Solar 2do Sem'!$H$4&lt;0,AS164*SIN(RADIANS(AT164)),AS156*SIN(RADIANS(AT156)))</f>
        <v>0</v>
      </c>
      <c r="AU172" s="90">
        <f>IF('Control Solar 2do Sem'!$H$4&lt;0,AU164*COS(RADIANS(AV164)),AU156*COS(RADIANS(AV156)))</f>
        <v>0</v>
      </c>
      <c r="AV172" s="49">
        <f>IF('Control Solar 2do Sem'!$H$4&lt;0,AU164*SIN(RADIANS(AV164)),AU156*SIN(RADIANS(AV156)))</f>
        <v>0</v>
      </c>
      <c r="AW172" s="90">
        <f>IF('Control Solar 2do Sem'!$H$4&lt;0,AW164*COS(RADIANS(AX164)),AW156*COS(RADIANS(AX156)))</f>
        <v>0</v>
      </c>
      <c r="AX172" s="49">
        <f>IF('Control Solar 2do Sem'!$H$4&lt;0,AW164*SIN(RADIANS(AX164)),AW156*SIN(RADIANS(AX156)))</f>
        <v>0</v>
      </c>
      <c r="AY172" s="90">
        <f>IF('Control Solar 2do Sem'!$H$4&lt;0,AY164*COS(RADIANS(AZ164)),AY156*COS(RADIANS(AZ156)))</f>
        <v>8.9999999459306821</v>
      </c>
      <c r="AZ172" s="49">
        <f>IF('Control Solar 2do Sem'!$H$4&lt;0,AY164*SIN(RADIANS(AZ164)),AY156*SIN(RADIANS(AZ156)))</f>
        <v>9.8653318720904812E-4</v>
      </c>
      <c r="BA172" s="90">
        <f>IF('Control Solar 2do Sem'!$H$4&lt;0,BA164*COS(RADIANS(BB164)),BA156*COS(RADIANS(BB156)))</f>
        <v>7.9045474322355096</v>
      </c>
      <c r="BB172" s="49">
        <f>IF('Control Solar 2do Sem'!$H$4&lt;0,BA164*SIN(RADIANS(BB164)),BA156*SIN(RADIANS(BB156)))</f>
        <v>-4.1316644606747346</v>
      </c>
      <c r="BC172" s="90">
        <f>IF('Control Solar 2do Sem'!$H$4&lt;0,BC164*COS(RADIANS(BD164)),BC156*COS(RADIANS(BD156)))</f>
        <v>6.3370457173808656</v>
      </c>
      <c r="BD172" s="49">
        <f>IF('Control Solar 2do Sem'!$H$4&lt;0,BC164*SIN(RADIANS(BD164)),BC156*SIN(RADIANS(BD156)))</f>
        <v>-4.5521886371757292</v>
      </c>
      <c r="BE172" s="90">
        <f>IF('Control Solar 2do Sem'!$H$4&lt;0,BE164*COS(RADIANS(BF164)),BE156*COS(RADIANS(BF156)))</f>
        <v>4.7600861515158286</v>
      </c>
      <c r="BF172" s="49">
        <f>IF('Control Solar 2do Sem'!$H$4&lt;0,BE164*SIN(RADIANS(BF164)),BE156*SIN(RADIANS(BF156)))</f>
        <v>-4.8654984013456133</v>
      </c>
      <c r="BG172" s="90">
        <f>IF('Control Solar 2do Sem'!$H$4&lt;0,BG164*COS(RADIANS(BH164)),BG156*COS(RADIANS(BH156)))</f>
        <v>3.1767063828743427</v>
      </c>
      <c r="BH172" s="49">
        <f>IF('Control Solar 2do Sem'!$H$4&lt;0,BG164*SIN(RADIANS(BH164)),BG156*SIN(RADIANS(BH156)))</f>
        <v>-5.0827616950162993</v>
      </c>
      <c r="BI172" s="90">
        <f>IF('Control Solar 2do Sem'!$H$4&lt;0,BI164*COS(RADIANS(BJ164)),BI156*COS(RADIANS(BJ156)))</f>
        <v>1.5893183907474926</v>
      </c>
      <c r="BJ172" s="49">
        <f>IF('Control Solar 2do Sem'!$H$4&lt;0,BI164*SIN(RADIANS(BJ164)),BI156*SIN(RADIANS(BJ156)))</f>
        <v>-5.2107114643622561</v>
      </c>
      <c r="BK172" s="90">
        <f>IF('Control Solar 2do Sem'!$H$4&lt;0,BK164*COS(RADIANS(BL164)),BK156*COS(RADIANS(BL156)))</f>
        <v>3.2178391145729545E-16</v>
      </c>
      <c r="BL172" s="49">
        <f>IF('Control Solar 2do Sem'!$H$4&lt;0,BK164*SIN(RADIANS(BL164)),BK156*SIN(RADIANS(BL156)))</f>
        <v>-5.2529782846813662</v>
      </c>
      <c r="BM172" s="90">
        <f>IF('Control Solar 2do Sem'!$H$4&lt;0,BM164*COS(RADIANS(BN164)),BM156*COS(RADIANS(BN156)))</f>
        <v>-1.5893183907474944</v>
      </c>
      <c r="BN172" s="49">
        <f>IF('Control Solar 2do Sem'!$H$4&lt;0,BM164*SIN(RADIANS(BN164)),BM156*SIN(RADIANS(BN156)))</f>
        <v>-5.2107114643622552</v>
      </c>
      <c r="BO172" s="90">
        <f>IF('Control Solar 2do Sem'!$H$4&lt;0,BO164*COS(RADIANS(BP164)),BO156*COS(RADIANS(BP156)))</f>
        <v>-3.176706382874344</v>
      </c>
      <c r="BP172" s="49">
        <f>IF('Control Solar 2do Sem'!$H$4&lt;0,BO164*SIN(RADIANS(BP164)),BO156*SIN(RADIANS(BP156)))</f>
        <v>-5.0827616950162984</v>
      </c>
      <c r="BQ172" s="90">
        <f>IF('Control Solar 2do Sem'!$H$4&lt;0,BQ164*COS(RADIANS(BR164)),BQ156*COS(RADIANS(BR156)))</f>
        <v>-4.7600861515158259</v>
      </c>
      <c r="BR172" s="49">
        <f>IF('Control Solar 2do Sem'!$H$4&lt;0,BQ164*SIN(RADIANS(BR164)),BQ156*SIN(RADIANS(BR156)))</f>
        <v>-4.865498401345616</v>
      </c>
      <c r="BS172" s="90">
        <f>IF('Control Solar 2do Sem'!$H$4&lt;0,BS164*COS(RADIANS(BT164)),BS156*COS(RADIANS(BT156)))</f>
        <v>-6.3370457173808692</v>
      </c>
      <c r="BT172" s="49">
        <f>IF('Control Solar 2do Sem'!$H$4&lt;0,BS164*SIN(RADIANS(BT164)),BS156*SIN(RADIANS(BT156)))</f>
        <v>-4.5521886371757248</v>
      </c>
      <c r="BU172" s="90">
        <f>IF('Control Solar 2do Sem'!$H$4&lt;0,BU164*COS(RADIANS(BV164)),BU156*COS(RADIANS(BV156)))</f>
        <v>-7.9045474322355096</v>
      </c>
      <c r="BV172" s="49">
        <f>IF('Control Solar 2do Sem'!$H$4&lt;0,BU164*SIN(RADIANS(BV164)),BU156*SIN(RADIANS(BV156)))</f>
        <v>-4.1316644606747346</v>
      </c>
      <c r="BW172" s="90">
        <f>IF('Control Solar 2do Sem'!$H$4&lt;0,BW164*COS(RADIANS(BX164)),BW156*COS(RADIANS(BX156)))</f>
        <v>-8.9999999459306821</v>
      </c>
      <c r="BX172" s="49">
        <f>IF('Control Solar 2do Sem'!$H$4&lt;0,BW164*SIN(RADIANS(BX164)),BW156*SIN(RADIANS(BX156)))</f>
        <v>9.8653318721356924E-4</v>
      </c>
      <c r="BY172" s="90">
        <f>IF('Control Solar 2do Sem'!$H$4&lt;0,BY164*COS(RADIANS(BZ164)),BY156*COS(RADIANS(BZ156)))</f>
        <v>0</v>
      </c>
      <c r="BZ172" s="49">
        <f>IF('Control Solar 2do Sem'!$H$4&lt;0,BY164*SIN(RADIANS(BZ164)),BY156*SIN(RADIANS(BZ156)))</f>
        <v>0</v>
      </c>
      <c r="CA172" s="90">
        <f>IF('Control Solar 2do Sem'!$H$4&lt;0,CA164*COS(RADIANS(CB164)),CA156*COS(RADIANS(CB156)))</f>
        <v>0</v>
      </c>
      <c r="CB172" s="49">
        <f>IF('Control Solar 2do Sem'!$H$4&lt;0,CA164*SIN(RADIANS(CB164)),CA156*SIN(RADIANS(CB156)))</f>
        <v>0</v>
      </c>
      <c r="CC172" s="90">
        <f>IF('Control Solar 2do Sem'!$H$4&lt;0,CC164*COS(RADIANS(CD164)),CC156*COS(RADIANS(CD156)))</f>
        <v>0</v>
      </c>
      <c r="CD172" s="49">
        <f>IF('Control Solar 2do Sem'!$H$4&lt;0,CC164*SIN(RADIANS(CD164)),CC156*SIN(RADIANS(CD156)))</f>
        <v>0</v>
      </c>
      <c r="CE172" s="90">
        <f>IF('Control Solar 2do Sem'!$H$4&lt;0,CE164*COS(RADIANS(CF164)),CE156*COS(RADIANS(CF156)))</f>
        <v>0</v>
      </c>
      <c r="CF172" s="49">
        <f>IF('Control Solar 2do Sem'!$H$4&lt;0,CE164*SIN(RADIANS(CF164)),CE156*SIN(RADIANS(CF156)))</f>
        <v>0</v>
      </c>
      <c r="CG172" s="90">
        <f>IF('Control Solar 2do Sem'!$H$4&lt;0,CG164*COS(RADIANS(CH164)),CG156*COS(RADIANS(CH156)))</f>
        <v>0</v>
      </c>
      <c r="CH172" s="49">
        <f>IF('Control Solar 2do Sem'!$H$4&lt;0,CG164*SIN(RADIANS(CH164)),CG156*SIN(RADIANS(CH156)))</f>
        <v>0</v>
      </c>
      <c r="CI172" s="90" t="e">
        <f>IF('Control Solar 2do Sem'!$H$4&lt;0,CI164*COS(RADIANS(CJ164)),CI156*COS(RADIANS(CJ156)))</f>
        <v>#NUM!</v>
      </c>
      <c r="CJ172" s="49" t="e">
        <f>IF('Control Solar 2do Sem'!$H$4&lt;0,CI164*SIN(RADIANS(CJ164)),CI156*SIN(RADIANS(CJ156)))</f>
        <v>#NUM!</v>
      </c>
    </row>
    <row r="173" spans="1:88" x14ac:dyDescent="0.25">
      <c r="A173">
        <v>-8.1</v>
      </c>
      <c r="B173">
        <f t="shared" si="136"/>
        <v>3.9230090491866063</v>
      </c>
      <c r="C173">
        <f t="shared" si="137"/>
        <v>-3.9230090491866063</v>
      </c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92"/>
      <c r="S173" s="92"/>
      <c r="T173" s="13"/>
      <c r="U173" s="13"/>
      <c r="V173" s="13"/>
      <c r="W173" s="44"/>
      <c r="X173" s="13"/>
      <c r="Y173" s="13"/>
      <c r="Z173" s="13"/>
      <c r="AA173" s="95" t="s">
        <v>91</v>
      </c>
      <c r="AB173" s="95">
        <v>3</v>
      </c>
      <c r="AC173" s="315"/>
      <c r="AD173" s="315"/>
      <c r="AE173" s="316"/>
      <c r="AL173" s="13"/>
      <c r="AM173" s="13"/>
      <c r="AN173" t="s">
        <v>104</v>
      </c>
      <c r="AO173" s="92">
        <f>IF('Control Solar 2do Sem'!$H$4&lt;0,AO165*COS(RADIANS(AP165)),AO157*COS(RADIANS(AP157)))</f>
        <v>0</v>
      </c>
      <c r="AP173" s="49">
        <f>IF('Control Solar 2do Sem'!$H$4&lt;0,AO165*SIN(RADIANS(AP165)),AO157*SIN(RADIANS(AP157)))</f>
        <v>0</v>
      </c>
      <c r="AQ173" s="90">
        <f>IF('Control Solar 2do Sem'!$H$4&lt;0,AQ165*COS(RADIANS(AR165)),AQ157*COS(RADIANS(AR157)))</f>
        <v>0</v>
      </c>
      <c r="AR173" s="49">
        <f>IF('Control Solar 2do Sem'!$H$4&lt;0,AQ165*SIN(RADIANS(AR165)),AQ157*SIN(RADIANS(AR157)))</f>
        <v>0</v>
      </c>
      <c r="AS173" s="90">
        <f>IF('Control Solar 2do Sem'!$H$4&lt;0,AS165*COS(RADIANS(AT165)),AS157*COS(RADIANS(AT157)))</f>
        <v>0</v>
      </c>
      <c r="AT173" s="49">
        <f>IF('Control Solar 2do Sem'!$H$4&lt;0,AS165*SIN(RADIANS(AT165)),AS157*SIN(RADIANS(AT157)))</f>
        <v>0</v>
      </c>
      <c r="AU173" s="90">
        <f>IF('Control Solar 2do Sem'!$H$4&lt;0,AU165*COS(RADIANS(AV165)),AU157*COS(RADIANS(AV157)))</f>
        <v>0</v>
      </c>
      <c r="AV173" s="49">
        <f>IF('Control Solar 2do Sem'!$H$4&lt;0,AU165*SIN(RADIANS(AV165)),AU157*SIN(RADIANS(AV157)))</f>
        <v>0</v>
      </c>
      <c r="AW173" s="90">
        <f>IF('Control Solar 2do Sem'!$H$4&lt;0,AW165*COS(RADIANS(AX165)),AW157*COS(RADIANS(AX157)))</f>
        <v>0</v>
      </c>
      <c r="AX173" s="49">
        <f>IF('Control Solar 2do Sem'!$H$4&lt;0,AW165*SIN(RADIANS(AX165)),AW157*SIN(RADIANS(AX157)))</f>
        <v>0</v>
      </c>
      <c r="AY173" s="90">
        <f>IF('Control Solar 2do Sem'!$H$4&lt;0,AY165*COS(RADIANS(AZ165)),AY157*COS(RADIANS(AZ157)))</f>
        <v>8.9999999459306821</v>
      </c>
      <c r="AZ173" s="49">
        <f>IF('Control Solar 2do Sem'!$H$4&lt;0,AY165*SIN(RADIANS(AZ165)),AY157*SIN(RADIANS(AZ157)))</f>
        <v>9.8653318720904812E-4</v>
      </c>
      <c r="BA173" s="90">
        <f>IF('Control Solar 2do Sem'!$H$4&lt;0,BA165*COS(RADIANS(BB165)),BA157*COS(RADIANS(BB157)))</f>
        <v>7.9203525072857328</v>
      </c>
      <c r="BB173" s="49">
        <f>IF('Control Solar 2do Sem'!$H$4&lt;0,BA165*SIN(RADIANS(BB165)),BA157*SIN(RADIANS(BB157)))</f>
        <v>-3.9424623788877118</v>
      </c>
      <c r="BC173" s="90">
        <f>IF('Control Solar 2do Sem'!$H$4&lt;0,BC165*COS(RADIANS(BD165)),BC157*COS(RADIANS(BD157)))</f>
        <v>6.3507510164986245</v>
      </c>
      <c r="BD173" s="49">
        <f>IF('Control Solar 2do Sem'!$H$4&lt;0,BC165*SIN(RADIANS(BD165)),BC157*SIN(RADIANS(BD157)))</f>
        <v>-4.3854380742469941</v>
      </c>
      <c r="BE173" s="90">
        <f>IF('Control Solar 2do Sem'!$H$4&lt;0,BE165*COS(RADIANS(BF165)),BE157*COS(RADIANS(BF157)))</f>
        <v>4.770840561015433</v>
      </c>
      <c r="BF173" s="49">
        <f>IF('Control Solar 2do Sem'!$H$4&lt;0,BE165*SIN(RADIANS(BF165)),BE157*SIN(RADIANS(BF157)))</f>
        <v>-4.7140125878124115</v>
      </c>
      <c r="BG173" s="90">
        <f>IF('Control Solar 2do Sem'!$H$4&lt;0,BG165*COS(RADIANS(BH165)),BG157*COS(RADIANS(BH157)))</f>
        <v>3.1840614875621545</v>
      </c>
      <c r="BH173" s="49">
        <f>IF('Control Solar 2do Sem'!$H$4&lt;0,BG165*SIN(RADIANS(BH165)),BG157*SIN(RADIANS(BH157)))</f>
        <v>-4.9411752249525929</v>
      </c>
      <c r="BI173" s="90">
        <f>IF('Control Solar 2do Sem'!$H$4&lt;0,BI165*COS(RADIANS(BJ165)),BI157*COS(RADIANS(BJ157)))</f>
        <v>1.5930445940412605</v>
      </c>
      <c r="BJ173" s="49">
        <f>IF('Control Solar 2do Sem'!$H$4&lt;0,BI165*SIN(RADIANS(BJ165)),BI157*SIN(RADIANS(BJ157)))</f>
        <v>-5.0747045209462618</v>
      </c>
      <c r="BK173" s="90">
        <f>IF('Control Solar 2do Sem'!$H$4&lt;0,BK165*COS(RADIANS(BL165)),BK157*COS(RADIANS(BL157)))</f>
        <v>3.135629568394575E-16</v>
      </c>
      <c r="BL173" s="49">
        <f>IF('Control Solar 2do Sem'!$H$4&lt;0,BK165*SIN(RADIANS(BL165)),BK157*SIN(RADIANS(BL157)))</f>
        <v>-5.1187748812505367</v>
      </c>
      <c r="BM173" s="90">
        <f>IF('Control Solar 2do Sem'!$H$4&lt;0,BM165*COS(RADIANS(BN165)),BM157*COS(RADIANS(BN157)))</f>
        <v>-1.5930445940412599</v>
      </c>
      <c r="BN173" s="49">
        <f>IF('Control Solar 2do Sem'!$H$4&lt;0,BM165*SIN(RADIANS(BN165)),BM157*SIN(RADIANS(BN157)))</f>
        <v>-5.0747045209462627</v>
      </c>
      <c r="BO173" s="90">
        <f>IF('Control Solar 2do Sem'!$H$4&lt;0,BO165*COS(RADIANS(BP165)),BO157*COS(RADIANS(BP157)))</f>
        <v>-3.1840614875621549</v>
      </c>
      <c r="BP173" s="49">
        <f>IF('Control Solar 2do Sem'!$H$4&lt;0,BO165*SIN(RADIANS(BP165)),BO157*SIN(RADIANS(BP157)))</f>
        <v>-4.941175224952592</v>
      </c>
      <c r="BQ173" s="90">
        <f>IF('Control Solar 2do Sem'!$H$4&lt;0,BQ165*COS(RADIANS(BR165)),BQ157*COS(RADIANS(BR157)))</f>
        <v>-4.7708405610154339</v>
      </c>
      <c r="BR173" s="49">
        <f>IF('Control Solar 2do Sem'!$H$4&lt;0,BQ165*SIN(RADIANS(BR165)),BQ157*SIN(RADIANS(BR157)))</f>
        <v>-4.7140125878124106</v>
      </c>
      <c r="BS173" s="90">
        <f>IF('Control Solar 2do Sem'!$H$4&lt;0,BS165*COS(RADIANS(BT165)),BS157*COS(RADIANS(BT157)))</f>
        <v>-6.3507510164986254</v>
      </c>
      <c r="BT173" s="49">
        <f>IF('Control Solar 2do Sem'!$H$4&lt;0,BS165*SIN(RADIANS(BT165)),BS157*SIN(RADIANS(BT157)))</f>
        <v>-4.3854380742469932</v>
      </c>
      <c r="BU173" s="90">
        <f>IF('Control Solar 2do Sem'!$H$4&lt;0,BU165*COS(RADIANS(BV165)),BU157*COS(RADIANS(BV157)))</f>
        <v>-7.9203525072857337</v>
      </c>
      <c r="BV173" s="49">
        <f>IF('Control Solar 2do Sem'!$H$4&lt;0,BU165*SIN(RADIANS(BV165)),BU157*SIN(RADIANS(BV157)))</f>
        <v>-3.94246237888771</v>
      </c>
      <c r="BW173" s="90">
        <f>IF('Control Solar 2do Sem'!$H$4&lt;0,BW165*COS(RADIANS(BX165)),BW157*COS(RADIANS(BX157)))</f>
        <v>-8.9999999459306821</v>
      </c>
      <c r="BX173" s="49">
        <f>IF('Control Solar 2do Sem'!$H$4&lt;0,BW165*SIN(RADIANS(BX165)),BW157*SIN(RADIANS(BX157)))</f>
        <v>9.8653318721356924E-4</v>
      </c>
      <c r="BY173" s="90">
        <f>IF('Control Solar 2do Sem'!$H$4&lt;0,BY165*COS(RADIANS(BZ165)),BY157*COS(RADIANS(BZ157)))</f>
        <v>0</v>
      </c>
      <c r="BZ173" s="49">
        <f>IF('Control Solar 2do Sem'!$H$4&lt;0,BY165*SIN(RADIANS(BZ165)),BY157*SIN(RADIANS(BZ157)))</f>
        <v>0</v>
      </c>
      <c r="CA173" s="90">
        <f>IF('Control Solar 2do Sem'!$H$4&lt;0,CA165*COS(RADIANS(CB165)),CA157*COS(RADIANS(CB157)))</f>
        <v>0</v>
      </c>
      <c r="CB173" s="49">
        <f>IF('Control Solar 2do Sem'!$H$4&lt;0,CA165*SIN(RADIANS(CB165)),CA157*SIN(RADIANS(CB157)))</f>
        <v>0</v>
      </c>
      <c r="CC173" s="90">
        <f>IF('Control Solar 2do Sem'!$H$4&lt;0,CC165*COS(RADIANS(CD165)),CC157*COS(RADIANS(CD157)))</f>
        <v>0</v>
      </c>
      <c r="CD173" s="49">
        <f>IF('Control Solar 2do Sem'!$H$4&lt;0,CC165*SIN(RADIANS(CD165)),CC157*SIN(RADIANS(CD157)))</f>
        <v>0</v>
      </c>
      <c r="CE173" s="90">
        <f>IF('Control Solar 2do Sem'!$H$4&lt;0,CE165*COS(RADIANS(CF165)),CE157*COS(RADIANS(CF157)))</f>
        <v>0</v>
      </c>
      <c r="CF173" s="49">
        <f>IF('Control Solar 2do Sem'!$H$4&lt;0,CE165*SIN(RADIANS(CF165)),CE157*SIN(RADIANS(CF157)))</f>
        <v>0</v>
      </c>
      <c r="CG173" s="90">
        <f>IF('Control Solar 2do Sem'!$H$4&lt;0,CG165*COS(RADIANS(CH165)),CG157*COS(RADIANS(CH157)))</f>
        <v>0</v>
      </c>
      <c r="CH173" s="49">
        <f>IF('Control Solar 2do Sem'!$H$4&lt;0,CG165*SIN(RADIANS(CH165)),CG157*SIN(RADIANS(CH157)))</f>
        <v>0</v>
      </c>
      <c r="CI173" s="90" t="e">
        <f>IF('Control Solar 2do Sem'!$H$4&lt;0,CI165*COS(RADIANS(CJ165)),CI157*COS(RADIANS(CJ157)))</f>
        <v>#NUM!</v>
      </c>
      <c r="CJ173" s="49" t="e">
        <f>IF('Control Solar 2do Sem'!$H$4&lt;0,CI165*SIN(RADIANS(CJ165)),CI157*SIN(RADIANS(CJ157)))</f>
        <v>#NUM!</v>
      </c>
    </row>
    <row r="174" spans="1:88" x14ac:dyDescent="0.25">
      <c r="A174">
        <v>-8.1999999999999993</v>
      </c>
      <c r="B174">
        <f t="shared" si="136"/>
        <v>3.7094473981982823</v>
      </c>
      <c r="C174">
        <f t="shared" si="137"/>
        <v>-3.7094473981982823</v>
      </c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92"/>
      <c r="S174" s="92"/>
      <c r="T174" s="13"/>
      <c r="U174" s="13"/>
      <c r="V174" s="13"/>
      <c r="W174" s="44"/>
      <c r="X174" s="13"/>
      <c r="Y174" s="13"/>
      <c r="Z174" s="13"/>
      <c r="AC174" s="93">
        <f>+IF(AB173=$AI$63,AB172,IF(AB173=$AJ$63,$AI$64+AB172,IF(AB173=$AK$63,$AI$64+$AJ$64+AB172,IF(AB173=$AL$63,$AI$64+$AJ$64+$AK$64+AB172,IF(AB173=$AM$63,$AI$64+$AJ$64+$AK$64+$AL$64+AB172,IF(AB173=$AN$63,$AI$64+$AJ$64+$AK$64+$AL$64+$AM$64+AB172,IF(AB173=$AO$63,$AI$64+$AJ$64+$AK$64+$AL$64+$AM$64+$AN$64+AB172,IF(AB173=$AP$63,$AI$64+$AJ$64+$AK$64+$AL$64+$AM$64+$AN$64+$AO$64+AB172,IF(AB173=$AQ$63,$AI$64+$AJ$64+$AK$64+$AL$64+$AM$64+$AN$64+$AO$64+$AP$64+AB172,IF(AB173=$AR$63,$AI$64+$AJ$64+$AK$64+$AL$64+$AM$64+$AN$64+$AO$64+$AP$64+$AQ$64+AB172,IF(AB173=$AS$63,$AI$64+$AJ$64+$AK$64+$AL$64+$AM$64+$AN$64+$AO$64+$AP$64+$AQ$64+$AR$64+AB172,IF(AB173=$AT$63,$AI$64+$AJ$64+$AK$64+$AL$64+$AM$64+$AN$64+$AO$64+$AP$64+$AQ$64+$AR$64+$AS$64+AB172,"error"))))))))))))</f>
        <v>80</v>
      </c>
      <c r="AD174" s="38">
        <f>23.45*SIN(RADIANS(360*((284+AC174)/365)))</f>
        <v>-0.40365320185431652</v>
      </c>
      <c r="AE174" s="95">
        <f>IF('Control Solar 2do Sem'!N18&lt;0,-90-'Control Solar 2do Sem'!N18,90-'Control Solar 2do Sem'!N18)</f>
        <v>20</v>
      </c>
      <c r="AL174" s="13"/>
      <c r="AM174" s="13"/>
      <c r="AN174" t="s">
        <v>103</v>
      </c>
      <c r="AO174" s="92">
        <f>IF('Control Solar 2do Sem'!$H$4&lt;0,AO166*COS(RADIANS(AP166)),AO158*COS(RADIANS(AP158)))</f>
        <v>0</v>
      </c>
      <c r="AP174" s="49">
        <f>IF('Control Solar 2do Sem'!$H$4&lt;0,AO166*SIN(RADIANS(AP166)),AO158*SIN(RADIANS(AP158)))</f>
        <v>0</v>
      </c>
      <c r="AQ174" s="90">
        <f>IF('Control Solar 2do Sem'!$H$4&lt;0,AQ166*COS(RADIANS(AR166)),AQ158*COS(RADIANS(AR158)))</f>
        <v>0</v>
      </c>
      <c r="AR174" s="49">
        <f>IF('Control Solar 2do Sem'!$H$4&lt;0,AQ166*SIN(RADIANS(AR166)),AQ158*SIN(RADIANS(AR158)))</f>
        <v>0</v>
      </c>
      <c r="AS174" s="90">
        <f>IF('Control Solar 2do Sem'!$H$4&lt;0,AS166*COS(RADIANS(AT166)),AS158*COS(RADIANS(AT158)))</f>
        <v>0</v>
      </c>
      <c r="AT174" s="49">
        <f>IF('Control Solar 2do Sem'!$H$4&lt;0,AS166*SIN(RADIANS(AT166)),AS158*SIN(RADIANS(AT158)))</f>
        <v>0</v>
      </c>
      <c r="AU174" s="90">
        <f>IF('Control Solar 2do Sem'!$H$4&lt;0,AU166*COS(RADIANS(AV166)),AU158*COS(RADIANS(AV158)))</f>
        <v>0</v>
      </c>
      <c r="AV174" s="49">
        <f>IF('Control Solar 2do Sem'!$H$4&lt;0,AU166*SIN(RADIANS(AV166)),AU158*SIN(RADIANS(AV158)))</f>
        <v>0</v>
      </c>
      <c r="AW174" s="90">
        <f>IF('Control Solar 2do Sem'!$H$4&lt;0,AW166*COS(RADIANS(AX166)),AW158*COS(RADIANS(AX158)))</f>
        <v>0</v>
      </c>
      <c r="AX174" s="49">
        <f>IF('Control Solar 2do Sem'!$H$4&lt;0,AW166*SIN(RADIANS(AX166)),AW158*SIN(RADIANS(AX158)))</f>
        <v>0</v>
      </c>
      <c r="AY174" s="90">
        <f>IF('Control Solar 2do Sem'!$H$4&lt;0,AY166*COS(RADIANS(AZ166)),AY158*COS(RADIANS(AZ158)))</f>
        <v>8.9999999459306821</v>
      </c>
      <c r="AZ174" s="49">
        <f>IF('Control Solar 2do Sem'!$H$4&lt;0,AY166*SIN(RADIANS(AZ166)),AY158*SIN(RADIANS(AZ158)))</f>
        <v>9.8653318720904812E-4</v>
      </c>
      <c r="BA174" s="90">
        <f>IF('Control Solar 2do Sem'!$H$4&lt;0,BA166*COS(RADIANS(BB166)),BA158*COS(RADIANS(BB158)))</f>
        <v>7.9370035218323389</v>
      </c>
      <c r="BB174" s="49">
        <f>IF('Control Solar 2do Sem'!$H$4&lt;0,BA166*SIN(RADIANS(BB166)),BA158*SIN(RADIANS(BB158)))</f>
        <v>-3.0067397074242299</v>
      </c>
      <c r="BC174" s="90">
        <f>IF('Control Solar 2do Sem'!$H$4&lt;0,BC166*COS(RADIANS(BD166)),BC158*COS(RADIANS(BD158)))</f>
        <v>6.3739216297498276</v>
      </c>
      <c r="BD174" s="49">
        <f>IF('Control Solar 2do Sem'!$H$4&lt;0,BC166*SIN(RADIANS(BD166)),BC158*SIN(RADIANS(BD158)))</f>
        <v>-3.5558862780284515</v>
      </c>
      <c r="BE174" s="90">
        <f>IF('Control Solar 2do Sem'!$H$4&lt;0,BE166*COS(RADIANS(BF166)),BE158*COS(RADIANS(BF158)))</f>
        <v>4.792837582647314</v>
      </c>
      <c r="BF174" s="49">
        <f>IF('Control Solar 2do Sem'!$H$4&lt;0,BE166*SIN(RADIANS(BF166)),BE158*SIN(RADIANS(BF158)))</f>
        <v>-3.9570444231142194</v>
      </c>
      <c r="BG174" s="90">
        <f>IF('Control Solar 2do Sem'!$H$4&lt;0,BG166*COS(RADIANS(BH166)),BG158*COS(RADIANS(BH158)))</f>
        <v>3.2006010638105553</v>
      </c>
      <c r="BH174" s="49">
        <f>IF('Control Solar 2do Sem'!$H$4&lt;0,BG166*SIN(RADIANS(BH166)),BG158*SIN(RADIANS(BH158)))</f>
        <v>-4.2314384754301173</v>
      </c>
      <c r="BI174" s="90">
        <f>IF('Control Solar 2do Sem'!$H$4&lt;0,BI166*COS(RADIANS(BJ166)),BI158*COS(RADIANS(BJ158)))</f>
        <v>1.6018208347188778</v>
      </c>
      <c r="BJ174" s="49">
        <f>IF('Control Solar 2do Sem'!$H$4&lt;0,BI166*SIN(RADIANS(BJ166)),BI158*SIN(RADIANS(BJ158)))</f>
        <v>-4.3916413710632929</v>
      </c>
      <c r="BK174" s="90">
        <f>IF('Control Solar 2do Sem'!$H$4&lt;0,BK166*COS(RADIANS(BL166)),BK158*COS(RADIANS(BL158)))</f>
        <v>2.7224891574812041E-16</v>
      </c>
      <c r="BL174" s="49">
        <f>IF('Control Solar 2do Sem'!$H$4&lt;0,BK166*SIN(RADIANS(BL166)),BK158*SIN(RADIANS(BL158)))</f>
        <v>-4.4443416576553023</v>
      </c>
      <c r="BM174" s="90">
        <f>IF('Control Solar 2do Sem'!$H$4&lt;0,BM166*COS(RADIANS(BN166)),BM158*COS(RADIANS(BN158)))</f>
        <v>-1.6018208347188794</v>
      </c>
      <c r="BN174" s="49">
        <f>IF('Control Solar 2do Sem'!$H$4&lt;0,BM166*SIN(RADIANS(BN166)),BM158*SIN(RADIANS(BN158)))</f>
        <v>-4.391641371063292</v>
      </c>
      <c r="BO174" s="90">
        <f>IF('Control Solar 2do Sem'!$H$4&lt;0,BO166*COS(RADIANS(BP166)),BO158*COS(RADIANS(BP158)))</f>
        <v>-3.2006010638105553</v>
      </c>
      <c r="BP174" s="49">
        <f>IF('Control Solar 2do Sem'!$H$4&lt;0,BO166*SIN(RADIANS(BP166)),BO158*SIN(RADIANS(BP158)))</f>
        <v>-4.2314384754301173</v>
      </c>
      <c r="BQ174" s="90">
        <f>IF('Control Solar 2do Sem'!$H$4&lt;0,BQ166*COS(RADIANS(BR166)),BQ158*COS(RADIANS(BR158)))</f>
        <v>-4.792837582647314</v>
      </c>
      <c r="BR174" s="49">
        <f>IF('Control Solar 2do Sem'!$H$4&lt;0,BQ166*SIN(RADIANS(BR166)),BQ158*SIN(RADIANS(BR158)))</f>
        <v>-3.957044423114219</v>
      </c>
      <c r="BS174" s="90">
        <f>IF('Control Solar 2do Sem'!$H$4&lt;0,BS166*COS(RADIANS(BT166)),BS158*COS(RADIANS(BT158)))</f>
        <v>-6.3739216297498285</v>
      </c>
      <c r="BT174" s="49">
        <f>IF('Control Solar 2do Sem'!$H$4&lt;0,BS166*SIN(RADIANS(BT166)),BS158*SIN(RADIANS(BT158)))</f>
        <v>-3.5558862780284506</v>
      </c>
      <c r="BU174" s="90">
        <f>IF('Control Solar 2do Sem'!$H$4&lt;0,BU166*COS(RADIANS(BV166)),BU158*COS(RADIANS(BV158)))</f>
        <v>-7.9370035218323398</v>
      </c>
      <c r="BV174" s="49">
        <f>IF('Control Solar 2do Sem'!$H$4&lt;0,BU166*SIN(RADIANS(BV166)),BU158*SIN(RADIANS(BV158)))</f>
        <v>-3.0067397074242268</v>
      </c>
      <c r="BW174" s="90">
        <f>IF('Control Solar 2do Sem'!$H$4&lt;0,BW166*COS(RADIANS(BX166)),BW158*COS(RADIANS(BX158)))</f>
        <v>-8.9999999459306821</v>
      </c>
      <c r="BX174" s="49">
        <f>IF('Control Solar 2do Sem'!$H$4&lt;0,BW166*SIN(RADIANS(BX166)),BW158*SIN(RADIANS(BX158)))</f>
        <v>9.8653318721356924E-4</v>
      </c>
      <c r="BY174" s="90">
        <f>IF('Control Solar 2do Sem'!$H$4&lt;0,BY166*COS(RADIANS(BZ166)),BY158*COS(RADIANS(BZ158)))</f>
        <v>0</v>
      </c>
      <c r="BZ174" s="49">
        <f>IF('Control Solar 2do Sem'!$H$4&lt;0,BY166*SIN(RADIANS(BZ166)),BY158*SIN(RADIANS(BZ158)))</f>
        <v>0</v>
      </c>
      <c r="CA174" s="90">
        <f>IF('Control Solar 2do Sem'!$H$4&lt;0,CA166*COS(RADIANS(CB166)),CA158*COS(RADIANS(CB158)))</f>
        <v>0</v>
      </c>
      <c r="CB174" s="49">
        <f>IF('Control Solar 2do Sem'!$H$4&lt;0,CA166*SIN(RADIANS(CB166)),CA158*SIN(RADIANS(CB158)))</f>
        <v>0</v>
      </c>
      <c r="CC174" s="90">
        <f>IF('Control Solar 2do Sem'!$H$4&lt;0,CC166*COS(RADIANS(CD166)),CC158*COS(RADIANS(CD158)))</f>
        <v>0</v>
      </c>
      <c r="CD174" s="49">
        <f>IF('Control Solar 2do Sem'!$H$4&lt;0,CC166*SIN(RADIANS(CD166)),CC158*SIN(RADIANS(CD158)))</f>
        <v>0</v>
      </c>
      <c r="CE174" s="90">
        <f>IF('Control Solar 2do Sem'!$H$4&lt;0,CE166*COS(RADIANS(CF166)),CE158*COS(RADIANS(CF158)))</f>
        <v>0</v>
      </c>
      <c r="CF174" s="49">
        <f>IF('Control Solar 2do Sem'!$H$4&lt;0,CE166*SIN(RADIANS(CF166)),CE158*SIN(RADIANS(CF158)))</f>
        <v>0</v>
      </c>
      <c r="CG174" s="90">
        <f>IF('Control Solar 2do Sem'!$H$4&lt;0,CG166*COS(RADIANS(CH166)),CG158*COS(RADIANS(CH158)))</f>
        <v>0</v>
      </c>
      <c r="CH174" s="49">
        <f>IF('Control Solar 2do Sem'!$H$4&lt;0,CG166*SIN(RADIANS(CH166)),CG158*SIN(RADIANS(CH158)))</f>
        <v>0</v>
      </c>
      <c r="CI174" s="90" t="e">
        <f>IF('Control Solar 2do Sem'!$H$4&lt;0,CI166*COS(RADIANS(CJ166)),CI158*COS(RADIANS(CJ158)))</f>
        <v>#NUM!</v>
      </c>
      <c r="CJ174" s="49" t="e">
        <f>IF('Control Solar 2do Sem'!$H$4&lt;0,CI166*SIN(RADIANS(CJ166)),CI158*SIN(RADIANS(CJ158)))</f>
        <v>#NUM!</v>
      </c>
    </row>
    <row r="175" spans="1:88" x14ac:dyDescent="0.25">
      <c r="A175">
        <v>-8.3000000000000007</v>
      </c>
      <c r="B175">
        <f t="shared" si="136"/>
        <v>3.479942528261061</v>
      </c>
      <c r="C175">
        <f t="shared" si="137"/>
        <v>-3.479942528261061</v>
      </c>
      <c r="AB175" s="317" t="s">
        <v>90</v>
      </c>
      <c r="AC175" s="315"/>
      <c r="AD175" s="315"/>
      <c r="AE175" s="315"/>
      <c r="AG175" s="319" t="s">
        <v>89</v>
      </c>
      <c r="AH175" s="319"/>
      <c r="AI175" s="319" t="s">
        <v>42</v>
      </c>
      <c r="AJ175" s="319" t="s">
        <v>43</v>
      </c>
      <c r="AN175" t="s">
        <v>102</v>
      </c>
      <c r="AO175" s="92">
        <f>IF('Control Solar 2do Sem'!$H$4&lt;0,AO167*COS(RADIANS(AP167)),AO159*COS(RADIANS(AP159)))</f>
        <v>0</v>
      </c>
      <c r="AP175" s="49">
        <f>IF('Control Solar 2do Sem'!$H$4&lt;0,AO167*SIN(RADIANS(AP167)),AO159*SIN(RADIANS(AP159)))</f>
        <v>0</v>
      </c>
      <c r="AQ175" s="90">
        <f>IF('Control Solar 2do Sem'!$H$4&lt;0,AQ167*COS(RADIANS(AR167)),AQ159*COS(RADIANS(AR159)))</f>
        <v>0</v>
      </c>
      <c r="AR175" s="49">
        <f>IF('Control Solar 2do Sem'!$H$4&lt;0,AQ167*SIN(RADIANS(AR167)),AQ159*SIN(RADIANS(AR159)))</f>
        <v>0</v>
      </c>
      <c r="AS175" s="90">
        <f>IF('Control Solar 2do Sem'!$H$4&lt;0,AS167*COS(RADIANS(AT167)),AS159*COS(RADIANS(AT159)))</f>
        <v>0</v>
      </c>
      <c r="AT175" s="49">
        <f>IF('Control Solar 2do Sem'!$H$4&lt;0,AS167*SIN(RADIANS(AT167)),AS159*SIN(RADIANS(AT159)))</f>
        <v>0</v>
      </c>
      <c r="AU175" s="90">
        <f>IF('Control Solar 2do Sem'!$H$4&lt;0,AU167*COS(RADIANS(AV167)),AU159*COS(RADIANS(AV159)))</f>
        <v>0</v>
      </c>
      <c r="AV175" s="49">
        <f>IF('Control Solar 2do Sem'!$H$4&lt;0,AU167*SIN(RADIANS(AV167)),AU159*SIN(RADIANS(AV159)))</f>
        <v>0</v>
      </c>
      <c r="AW175" s="90">
        <f>IF('Control Solar 2do Sem'!$H$4&lt;0,AW167*COS(RADIANS(AX167)),AW159*COS(RADIANS(AX159)))</f>
        <v>0</v>
      </c>
      <c r="AX175" s="49">
        <f>IF('Control Solar 2do Sem'!$H$4&lt;0,AW167*SIN(RADIANS(AX167)),AW159*SIN(RADIANS(AX159)))</f>
        <v>0</v>
      </c>
      <c r="AY175" s="90">
        <f>IF('Control Solar 2do Sem'!$H$4&lt;0,AY167*COS(RADIANS(AZ167)),AY159*COS(RADIANS(AZ159)))</f>
        <v>8.9999999459306821</v>
      </c>
      <c r="AZ175" s="49">
        <f>IF('Control Solar 2do Sem'!$H$4&lt;0,AY167*SIN(RADIANS(AZ167)),AY159*SIN(RADIANS(AZ159)))</f>
        <v>9.8653318720904812E-4</v>
      </c>
      <c r="BA175" s="90">
        <f>IF('Control Solar 2do Sem'!$H$4&lt;0,BA167*COS(RADIANS(BB167)),BA159*COS(RADIANS(BB159)))</f>
        <v>7.7566153566303626</v>
      </c>
      <c r="BB175" s="49">
        <f>IF('Control Solar 2do Sem'!$H$4&lt;0,BA167*SIN(RADIANS(BB167)),BA159*SIN(RADIANS(BB159)))</f>
        <v>-1.5274342176721141</v>
      </c>
      <c r="BC175" s="90">
        <f>IF('Control Solar 2do Sem'!$H$4&lt;0,BC167*COS(RADIANS(BD167)),BC159*COS(RADIANS(BD159)))</f>
        <v>6.2591135034701519</v>
      </c>
      <c r="BD175" s="49">
        <f>IF('Control Solar 2do Sem'!$H$4&lt;0,BC167*SIN(RADIANS(BD167)),BC159*SIN(RADIANS(BD159)))</f>
        <v>-2.2219314351235444</v>
      </c>
      <c r="BE175" s="90">
        <f>IF('Control Solar 2do Sem'!$H$4&lt;0,BE167*COS(RADIANS(BF167)),BE159*COS(RADIANS(BF159)))</f>
        <v>4.7210947655407791</v>
      </c>
      <c r="BF175" s="49">
        <f>IF('Control Solar 2do Sem'!$H$4&lt;0,BE167*SIN(RADIANS(BF167)),BE159*SIN(RADIANS(BF159)))</f>
        <v>-2.7246801501078117</v>
      </c>
      <c r="BG175" s="90">
        <f>IF('Control Solar 2do Sem'!$H$4&lt;0,BG167*COS(RADIANS(BH167)),BG159*COS(RADIANS(BH159)))</f>
        <v>3.1587701351887114</v>
      </c>
      <c r="BH175" s="49">
        <f>IF('Control Solar 2do Sem'!$H$4&lt;0,BG167*SIN(RADIANS(BH167)),BG159*SIN(RADIANS(BH159)))</f>
        <v>-3.0660982649874113</v>
      </c>
      <c r="BI175" s="90">
        <f>IF('Control Solar 2do Sem'!$H$4&lt;0,BI167*COS(RADIANS(BJ167)),BI159*COS(RADIANS(BJ159)))</f>
        <v>1.5825569006738294</v>
      </c>
      <c r="BJ175" s="49">
        <f>IF('Control Solar 2do Sem'!$H$4&lt;0,BI167*SIN(RADIANS(BJ167)),BI159*SIN(RADIANS(BJ159)))</f>
        <v>-3.2644600428327033</v>
      </c>
      <c r="BK175" s="90">
        <f>IF('Control Solar 2do Sem'!$H$4&lt;0,BK167*COS(RADIANS(BL167)),BK159*COS(RADIANS(BL159)))</f>
        <v>2.0395981383766651E-16</v>
      </c>
      <c r="BL175" s="49">
        <f>IF('Control Solar 2do Sem'!$H$4&lt;0,BK167*SIN(RADIANS(BL167)),BK159*SIN(RADIANS(BL159)))</f>
        <v>-3.3295526435264406</v>
      </c>
      <c r="BM175" s="90">
        <f>IF('Control Solar 2do Sem'!$H$4&lt;0,BM167*COS(RADIANS(BN167)),BM159*COS(RADIANS(BN159)))</f>
        <v>-1.5825569006738291</v>
      </c>
      <c r="BN175" s="49">
        <f>IF('Control Solar 2do Sem'!$H$4&lt;0,BM167*SIN(RADIANS(BN167)),BM159*SIN(RADIANS(BN159)))</f>
        <v>-3.2644600428327033</v>
      </c>
      <c r="BO175" s="90">
        <f>IF('Control Solar 2do Sem'!$H$4&lt;0,BO167*COS(RADIANS(BP167)),BO159*COS(RADIANS(BP159)))</f>
        <v>-3.1587701351887141</v>
      </c>
      <c r="BP175" s="49">
        <f>IF('Control Solar 2do Sem'!$H$4&lt;0,BO167*SIN(RADIANS(BP167)),BO159*SIN(RADIANS(BP159)))</f>
        <v>-3.0660982649874082</v>
      </c>
      <c r="BQ175" s="90">
        <f>IF('Control Solar 2do Sem'!$H$4&lt;0,BQ167*COS(RADIANS(BR167)),BQ159*COS(RADIANS(BR159)))</f>
        <v>-4.7210947655407791</v>
      </c>
      <c r="BR175" s="49">
        <f>IF('Control Solar 2do Sem'!$H$4&lt;0,BQ167*SIN(RADIANS(BR167)),BQ159*SIN(RADIANS(BR159)))</f>
        <v>-2.7246801501078117</v>
      </c>
      <c r="BS175" s="90">
        <f>IF('Control Solar 2do Sem'!$H$4&lt;0,BS167*COS(RADIANS(BT167)),BS159*COS(RADIANS(BT159)))</f>
        <v>-6.2591135034701519</v>
      </c>
      <c r="BT175" s="49">
        <f>IF('Control Solar 2do Sem'!$H$4&lt;0,BS167*SIN(RADIANS(BT167)),BS159*SIN(RADIANS(BT159)))</f>
        <v>-2.2219314351235457</v>
      </c>
      <c r="BU175" s="90">
        <f>IF('Control Solar 2do Sem'!$H$4&lt;0,BU167*COS(RADIANS(BV167)),BU159*COS(RADIANS(BV159)))</f>
        <v>-7.7566153566303617</v>
      </c>
      <c r="BV175" s="49">
        <f>IF('Control Solar 2do Sem'!$H$4&lt;0,BU167*SIN(RADIANS(BV167)),BU159*SIN(RADIANS(BV159)))</f>
        <v>-1.5274342176721158</v>
      </c>
      <c r="BW175" s="90">
        <f>IF('Control Solar 2do Sem'!$H$4&lt;0,BW167*COS(RADIANS(BX167)),BW159*COS(RADIANS(BX159)))</f>
        <v>-8.9999999459306821</v>
      </c>
      <c r="BX175" s="49">
        <f>IF('Control Solar 2do Sem'!$H$4&lt;0,BW167*SIN(RADIANS(BX167)),BW159*SIN(RADIANS(BX159)))</f>
        <v>9.8653318721356924E-4</v>
      </c>
      <c r="BY175" s="90">
        <f>IF('Control Solar 2do Sem'!$H$4&lt;0,BY167*COS(RADIANS(BZ167)),BY159*COS(RADIANS(BZ159)))</f>
        <v>0</v>
      </c>
      <c r="BZ175" s="49">
        <f>IF('Control Solar 2do Sem'!$H$4&lt;0,BY167*SIN(RADIANS(BZ167)),BY159*SIN(RADIANS(BZ159)))</f>
        <v>0</v>
      </c>
      <c r="CA175" s="90">
        <f>IF('Control Solar 2do Sem'!$H$4&lt;0,CA167*COS(RADIANS(CB167)),CA159*COS(RADIANS(CB159)))</f>
        <v>0</v>
      </c>
      <c r="CB175" s="49">
        <f>IF('Control Solar 2do Sem'!$H$4&lt;0,CA167*SIN(RADIANS(CB167)),CA159*SIN(RADIANS(CB159)))</f>
        <v>0</v>
      </c>
      <c r="CC175" s="90">
        <f>IF('Control Solar 2do Sem'!$H$4&lt;0,CC167*COS(RADIANS(CD167)),CC159*COS(RADIANS(CD159)))</f>
        <v>0</v>
      </c>
      <c r="CD175" s="49">
        <f>IF('Control Solar 2do Sem'!$H$4&lt;0,CC167*SIN(RADIANS(CD167)),CC159*SIN(RADIANS(CD159)))</f>
        <v>0</v>
      </c>
      <c r="CE175" s="90">
        <f>IF('Control Solar 2do Sem'!$H$4&lt;0,CE167*COS(RADIANS(CF167)),CE159*COS(RADIANS(CF159)))</f>
        <v>0</v>
      </c>
      <c r="CF175" s="49">
        <f>IF('Control Solar 2do Sem'!$H$4&lt;0,CE167*SIN(RADIANS(CF167)),CE159*SIN(RADIANS(CF159)))</f>
        <v>0</v>
      </c>
      <c r="CG175" s="90">
        <f>IF('Control Solar 2do Sem'!$H$4&lt;0,CG167*COS(RADIANS(CH167)),CG159*COS(RADIANS(CH159)))</f>
        <v>0</v>
      </c>
      <c r="CH175" s="49">
        <f>IF('Control Solar 2do Sem'!$H$4&lt;0,CG167*SIN(RADIANS(CH167)),CG159*SIN(RADIANS(CH159)))</f>
        <v>0</v>
      </c>
      <c r="CI175" s="90" t="e">
        <f>IF('Control Solar 2do Sem'!$H$4&lt;0,CI167*COS(RADIANS(CJ167)),CI159*COS(RADIANS(CJ159)))</f>
        <v>#NUM!</v>
      </c>
      <c r="CJ175" s="49" t="e">
        <f>IF('Control Solar 2do Sem'!$H$4&lt;0,CI167*SIN(RADIANS(CJ167)),CI159*SIN(RADIANS(CJ159)))</f>
        <v>#NUM!</v>
      </c>
    </row>
    <row r="176" spans="1:88" x14ac:dyDescent="0.25">
      <c r="A176">
        <v>-8.4</v>
      </c>
      <c r="B176">
        <f t="shared" si="136"/>
        <v>3.2310988842807022</v>
      </c>
      <c r="C176">
        <f t="shared" si="137"/>
        <v>-3.2310988842807022</v>
      </c>
      <c r="AB176" s="318"/>
      <c r="AC176" s="315"/>
      <c r="AD176" s="315"/>
      <c r="AE176" s="315"/>
      <c r="AG176" s="319"/>
      <c r="AH176" s="319"/>
      <c r="AI176" s="319"/>
      <c r="AJ176" s="319"/>
      <c r="AK176" s="94"/>
      <c r="AL176" s="94"/>
      <c r="AN176" t="s">
        <v>101</v>
      </c>
      <c r="AO176" s="92">
        <f>IF('Control Solar 2do Sem'!$H$4&lt;0,AO168*COS(RADIANS(AP168)),AO160*COS(RADIANS(AP160)))</f>
        <v>0</v>
      </c>
      <c r="AP176" s="49">
        <f>IF('Control Solar 2do Sem'!$H$4&lt;0,AO168*SIN(RADIANS(AP168)),AO160*SIN(RADIANS(AP160)))</f>
        <v>0</v>
      </c>
      <c r="AQ176" s="90">
        <f>IF('Control Solar 2do Sem'!$H$4&lt;0,AQ168*COS(RADIANS(AR168)),AQ160*COS(RADIANS(AR160)))</f>
        <v>0</v>
      </c>
      <c r="AR176" s="49">
        <f>IF('Control Solar 2do Sem'!$H$4&lt;0,AQ168*SIN(RADIANS(AR168)),AQ160*SIN(RADIANS(AR160)))</f>
        <v>0</v>
      </c>
      <c r="AS176" s="90">
        <f>IF('Control Solar 2do Sem'!$H$4&lt;0,AS168*COS(RADIANS(AT168)),AS160*COS(RADIANS(AT160)))</f>
        <v>0</v>
      </c>
      <c r="AT176" s="49">
        <f>IF('Control Solar 2do Sem'!$H$4&lt;0,AS168*SIN(RADIANS(AT168)),AS160*SIN(RADIANS(AT160)))</f>
        <v>0</v>
      </c>
      <c r="AU176" s="90">
        <f>IF('Control Solar 2do Sem'!$H$4&lt;0,AU168*COS(RADIANS(AV168)),AU160*COS(RADIANS(AV160)))</f>
        <v>0</v>
      </c>
      <c r="AV176" s="49">
        <f>IF('Control Solar 2do Sem'!$H$4&lt;0,AU168*SIN(RADIANS(AV168)),AU160*SIN(RADIANS(AV160)))</f>
        <v>0</v>
      </c>
      <c r="AW176" s="90">
        <f>IF('Control Solar 2do Sem'!$H$4&lt;0,AW168*COS(RADIANS(AX168)),AW160*COS(RADIANS(AX160)))</f>
        <v>0</v>
      </c>
      <c r="AX176" s="49">
        <f>IF('Control Solar 2do Sem'!$H$4&lt;0,AW168*SIN(RADIANS(AX168)),AW160*SIN(RADIANS(AX160)))</f>
        <v>0</v>
      </c>
      <c r="AY176" s="90">
        <f>IF('Control Solar 2do Sem'!$H$4&lt;0,AY168*COS(RADIANS(AZ168)),AY160*COS(RADIANS(AZ160)))</f>
        <v>8.5654551879976495</v>
      </c>
      <c r="AZ176" s="49">
        <f>IF('Control Solar 2do Sem'!$H$4&lt;0,AY168*SIN(RADIANS(AZ168)),AY160*SIN(RADIANS(AZ160)))</f>
        <v>1.0153845508301493</v>
      </c>
      <c r="BA176" s="90">
        <f>IF('Control Solar 2do Sem'!$H$4&lt;0,BA168*COS(RADIANS(BB168)),BA160*COS(RADIANS(BB160)))</f>
        <v>7.3171793408454278</v>
      </c>
      <c r="BB176" s="49">
        <f>IF('Control Solar 2do Sem'!$H$4&lt;0,BA168*SIN(RADIANS(BB168)),BA160*SIN(RADIANS(BB160)))</f>
        <v>-5.491916703403818E-2</v>
      </c>
      <c r="BC176" s="90">
        <f>IF('Control Solar 2do Sem'!$H$4&lt;0,BC168*COS(RADIANS(BD168)),BC160*COS(RADIANS(BD160)))</f>
        <v>5.9498753428282356</v>
      </c>
      <c r="BD176" s="49">
        <f>IF('Control Solar 2do Sem'!$H$4&lt;0,BC168*SIN(RADIANS(BD168)),BC160*SIN(RADIANS(BD160)))</f>
        <v>-0.85515633493597176</v>
      </c>
      <c r="BE176" s="90">
        <f>IF('Control Solar 2do Sem'!$H$4&lt;0,BE168*COS(RADIANS(BF168)),BE160*COS(RADIANS(BF160)))</f>
        <v>4.5105575419044515</v>
      </c>
      <c r="BF176" s="49">
        <f>IF('Control Solar 2do Sem'!$H$4&lt;0,BE168*SIN(RADIANS(BF168)),BE160*SIN(RADIANS(BF160)))</f>
        <v>-1.436087597671055</v>
      </c>
      <c r="BG176" s="90">
        <f>IF('Control Solar 2do Sem'!$H$4&lt;0,BG168*COS(RADIANS(BH168)),BG160*COS(RADIANS(BH160)))</f>
        <v>3.027575645251392</v>
      </c>
      <c r="BH176" s="49">
        <f>IF('Control Solar 2do Sem'!$H$4&lt;0,BG168*SIN(RADIANS(BH168)),BG160*SIN(RADIANS(BH160)))</f>
        <v>-1.8308990238685714</v>
      </c>
      <c r="BI176" s="90">
        <f>IF('Control Solar 2do Sem'!$H$4&lt;0,BI168*COS(RADIANS(BJ168)),BI160*COS(RADIANS(BJ160)))</f>
        <v>1.5195236952779618</v>
      </c>
      <c r="BJ176" s="49">
        <f>IF('Control Solar 2do Sem'!$H$4&lt;0,BI168*SIN(RADIANS(BJ168)),BI160*SIN(RADIANS(BJ160)))</f>
        <v>-2.0602774257475551</v>
      </c>
      <c r="BK176" s="90">
        <f>IF('Control Solar 2do Sem'!$H$4&lt;0,BK168*COS(RADIANS(BL168)),BK160*COS(RADIANS(BL160)))</f>
        <v>1.3081749948580787E-16</v>
      </c>
      <c r="BL176" s="49">
        <f>IF('Control Solar 2do Sem'!$H$4&lt;0,BK168*SIN(RADIANS(BL168)),BK160*SIN(RADIANS(BL160)))</f>
        <v>-2.1355371091834767</v>
      </c>
      <c r="BM176" s="90">
        <f>IF('Control Solar 2do Sem'!$H$4&lt;0,BM168*COS(RADIANS(BN168)),BM160*COS(RADIANS(BN160)))</f>
        <v>-1.5195236952779616</v>
      </c>
      <c r="BN176" s="49">
        <f>IF('Control Solar 2do Sem'!$H$4&lt;0,BM168*SIN(RADIANS(BN168)),BM160*SIN(RADIANS(BN160)))</f>
        <v>-2.0602774257475556</v>
      </c>
      <c r="BO176" s="90">
        <f>IF('Control Solar 2do Sem'!$H$4&lt;0,BO168*COS(RADIANS(BP168)),BO160*COS(RADIANS(BP160)))</f>
        <v>-3.0275756452513929</v>
      </c>
      <c r="BP176" s="49">
        <f>IF('Control Solar 2do Sem'!$H$4&lt;0,BO168*SIN(RADIANS(BP168)),BO160*SIN(RADIANS(BP160)))</f>
        <v>-1.8308990238685712</v>
      </c>
      <c r="BQ176" s="90">
        <f>IF('Control Solar 2do Sem'!$H$4&lt;0,BQ168*COS(RADIANS(BR168)),BQ160*COS(RADIANS(BR160)))</f>
        <v>-4.5105575419044515</v>
      </c>
      <c r="BR176" s="49">
        <f>IF('Control Solar 2do Sem'!$H$4&lt;0,BQ168*SIN(RADIANS(BR168)),BQ160*SIN(RADIANS(BR160)))</f>
        <v>-1.4360875976710543</v>
      </c>
      <c r="BS176" s="90">
        <f>IF('Control Solar 2do Sem'!$H$4&lt;0,BS168*COS(RADIANS(BT168)),BS160*COS(RADIANS(BT160)))</f>
        <v>-5.9498753428282356</v>
      </c>
      <c r="BT176" s="49">
        <f>IF('Control Solar 2do Sem'!$H$4&lt;0,BS168*SIN(RADIANS(BT168)),BS160*SIN(RADIANS(BT160)))</f>
        <v>-0.85515633493597099</v>
      </c>
      <c r="BU176" s="90">
        <f>IF('Control Solar 2do Sem'!$H$4&lt;0,BU168*COS(RADIANS(BV168)),BU160*COS(RADIANS(BV160)))</f>
        <v>-7.3171793408454278</v>
      </c>
      <c r="BV176" s="49">
        <f>IF('Control Solar 2do Sem'!$H$4&lt;0,BU168*SIN(RADIANS(BV168)),BU160*SIN(RADIANS(BV160)))</f>
        <v>-5.4919167034038395E-2</v>
      </c>
      <c r="BW176" s="90">
        <f>IF('Control Solar 2do Sem'!$H$4&lt;0,BW168*COS(RADIANS(BX168)),BW160*COS(RADIANS(BX160)))</f>
        <v>-8.5654551879976513</v>
      </c>
      <c r="BX176" s="49">
        <f>IF('Control Solar 2do Sem'!$H$4&lt;0,BW168*SIN(RADIANS(BX168)),BW160*SIN(RADIANS(BX160)))</f>
        <v>1.0153845508301516</v>
      </c>
      <c r="BY176" s="90">
        <f>IF('Control Solar 2do Sem'!$H$4&lt;0,BY168*COS(RADIANS(BZ168)),BY160*COS(RADIANS(BZ160)))</f>
        <v>0</v>
      </c>
      <c r="BZ176" s="49">
        <f>IF('Control Solar 2do Sem'!$H$4&lt;0,BY168*SIN(RADIANS(BZ168)),BY160*SIN(RADIANS(BZ160)))</f>
        <v>0</v>
      </c>
      <c r="CA176" s="90">
        <f>IF('Control Solar 2do Sem'!$H$4&lt;0,CA168*COS(RADIANS(CB168)),CA160*COS(RADIANS(CB160)))</f>
        <v>0</v>
      </c>
      <c r="CB176" s="49">
        <f>IF('Control Solar 2do Sem'!$H$4&lt;0,CA168*SIN(RADIANS(CB168)),CA160*SIN(RADIANS(CB160)))</f>
        <v>0</v>
      </c>
      <c r="CC176" s="90">
        <f>IF('Control Solar 2do Sem'!$H$4&lt;0,CC168*COS(RADIANS(CD168)),CC160*COS(RADIANS(CD160)))</f>
        <v>0</v>
      </c>
      <c r="CD176" s="49">
        <f>IF('Control Solar 2do Sem'!$H$4&lt;0,CC168*SIN(RADIANS(CD168)),CC160*SIN(RADIANS(CD160)))</f>
        <v>0</v>
      </c>
      <c r="CE176" s="90">
        <f>IF('Control Solar 2do Sem'!$H$4&lt;0,CE168*COS(RADIANS(CF168)),CE160*COS(RADIANS(CF160)))</f>
        <v>0</v>
      </c>
      <c r="CF176" s="49">
        <f>IF('Control Solar 2do Sem'!$H$4&lt;0,CE168*SIN(RADIANS(CF168)),CE160*SIN(RADIANS(CF160)))</f>
        <v>0</v>
      </c>
      <c r="CG176" s="90">
        <f>IF('Control Solar 2do Sem'!$H$4&lt;0,CG168*COS(RADIANS(CH168)),CG160*COS(RADIANS(CH160)))</f>
        <v>0</v>
      </c>
      <c r="CH176" s="49">
        <f>IF('Control Solar 2do Sem'!$H$4&lt;0,CG168*SIN(RADIANS(CH168)),CG160*SIN(RADIANS(CH160)))</f>
        <v>0</v>
      </c>
      <c r="CI176" s="90" t="e">
        <f>IF('Control Solar 2do Sem'!$H$4&lt;0,CI168*COS(RADIANS(CJ168)),CI160*COS(RADIANS(CJ160)))</f>
        <v>#NUM!</v>
      </c>
      <c r="CJ176" s="49" t="e">
        <f>IF('Control Solar 2do Sem'!$H$4&lt;0,CI168*SIN(RADIANS(CJ168)),CI160*SIN(RADIANS(CJ160)))</f>
        <v>#NUM!</v>
      </c>
    </row>
    <row r="177" spans="1:88" x14ac:dyDescent="0.25">
      <c r="A177">
        <v>-8.5</v>
      </c>
      <c r="B177">
        <f t="shared" si="136"/>
        <v>2.9580398915498081</v>
      </c>
      <c r="C177">
        <f t="shared" si="137"/>
        <v>-2.9580398915498081</v>
      </c>
      <c r="AC177" s="38">
        <v>180</v>
      </c>
      <c r="AD177" s="38">
        <v>0</v>
      </c>
      <c r="AE177" s="38">
        <v>90</v>
      </c>
      <c r="AG177">
        <f t="shared" ref="AG177:AG182" si="245">IF((9-(AD177/10))&gt;9,9,9-(AD177/10))</f>
        <v>9</v>
      </c>
      <c r="AH177">
        <f t="shared" ref="AH177:AH182" si="246">IF((9-(AD177/10))&gt;9,90-(180-DEGREES(ACOS((((SIN(RADIANS(0)))*SIN(RADIANS($AE$174)))-SIN(RADIANS($AD$174)))/((COS(RADIANS(0)))*COS(RADIANS($AE$174))))))+$AH$172,90-AE177+$AH$172)</f>
        <v>0</v>
      </c>
      <c r="AI177" s="94">
        <f t="shared" ref="AI177:AI182" si="247">IF(AG177&gt;9,AI178,AG177*COS(RADIANS(AH177)))</f>
        <v>9</v>
      </c>
      <c r="AJ177" s="94">
        <f t="shared" ref="AJ177:AJ182" si="248">IF(AG177&gt;9,AJ178,AG177*SIN(RADIANS(AH177)))</f>
        <v>0</v>
      </c>
      <c r="AK177" s="42"/>
      <c r="AN177" t="s">
        <v>100</v>
      </c>
      <c r="AO177" s="92">
        <f>IF('Control Solar 2do Sem'!$H$4&lt;0,AO169*COS(RADIANS(AP169)),AO161*COS(RADIANS(AP161)))</f>
        <v>0</v>
      </c>
      <c r="AP177" s="49">
        <f>IF('Control Solar 2do Sem'!$H$4&lt;0,AO169*SIN(RADIANS(AP169)),AO161*SIN(RADIANS(AP161)))</f>
        <v>0</v>
      </c>
      <c r="AQ177" s="90">
        <f>IF('Control Solar 2do Sem'!$H$4&lt;0,AQ169*COS(RADIANS(AR169)),AQ161*COS(RADIANS(AR161)))</f>
        <v>0</v>
      </c>
      <c r="AR177" s="49">
        <f>IF('Control Solar 2do Sem'!$H$4&lt;0,AQ169*SIN(RADIANS(AR169)),AQ161*SIN(RADIANS(AR161)))</f>
        <v>0</v>
      </c>
      <c r="AS177" s="90">
        <f>IF('Control Solar 2do Sem'!$H$4&lt;0,AS169*COS(RADIANS(AT169)),AS161*COS(RADIANS(AT161)))</f>
        <v>0</v>
      </c>
      <c r="AT177" s="49">
        <f>IF('Control Solar 2do Sem'!$H$4&lt;0,AS169*SIN(RADIANS(AT169)),AS161*SIN(RADIANS(AT161)))</f>
        <v>0</v>
      </c>
      <c r="AU177" s="90">
        <f>IF('Control Solar 2do Sem'!$H$4&lt;0,AU169*COS(RADIANS(AV169)),AU161*COS(RADIANS(AV161)))</f>
        <v>0</v>
      </c>
      <c r="AV177" s="49">
        <f>IF('Control Solar 2do Sem'!$H$4&lt;0,AU169*SIN(RADIANS(AV169)),AU161*SIN(RADIANS(AV161)))</f>
        <v>0</v>
      </c>
      <c r="AW177" s="90">
        <f>IF('Control Solar 2do Sem'!$H$4&lt;0,AW169*COS(RADIANS(AX169)),AW161*COS(RADIANS(AX161)))</f>
        <v>0</v>
      </c>
      <c r="AX177" s="49">
        <f>IF('Control Solar 2do Sem'!$H$4&lt;0,AW169*SIN(RADIANS(AX169)),AW161*SIN(RADIANS(AX161)))</f>
        <v>0</v>
      </c>
      <c r="AY177" s="90">
        <f>IF('Control Solar 2do Sem'!$H$4&lt;0,AY169*COS(RADIANS(AZ169)),AY161*COS(RADIANS(AZ161)))</f>
        <v>7.8336727666422483</v>
      </c>
      <c r="AZ177" s="49">
        <f>IF('Control Solar 2do Sem'!$H$4&lt;0,AY169*SIN(RADIANS(AZ169)),AY161*SIN(RADIANS(AZ161)))</f>
        <v>2.2129946436748829</v>
      </c>
      <c r="BA177" s="90">
        <f>IF('Control Solar 2do Sem'!$H$4&lt;0,BA169*COS(RADIANS(BB169)),BA161*COS(RADIANS(BB161)))</f>
        <v>6.7724281322824265</v>
      </c>
      <c r="BB177" s="49">
        <f>IF('Control Solar 2do Sem'!$H$4&lt;0,BA169*SIN(RADIANS(BB169)),BA161*SIN(RADIANS(BB161)))</f>
        <v>1.0987026288314572</v>
      </c>
      <c r="BC177" s="90">
        <f>IF('Control Solar 2do Sem'!$H$4&lt;0,BC169*COS(RADIANS(BD169)),BC161*COS(RADIANS(BD161)))</f>
        <v>5.5520641812898193</v>
      </c>
      <c r="BD177" s="49">
        <f>IF('Control Solar 2do Sem'!$H$4&lt;0,BC169*SIN(RADIANS(BD169)),BC161*SIN(RADIANS(BD161)))</f>
        <v>0.25312143844983037</v>
      </c>
      <c r="BE177" s="90">
        <f>IF('Control Solar 2do Sem'!$H$4&lt;0,BE169*COS(RADIANS(BF169)),BE161*COS(RADIANS(BF161)))</f>
        <v>4.2322633019278983</v>
      </c>
      <c r="BF177" s="49">
        <f>IF('Control Solar 2do Sem'!$H$4&lt;0,BE169*SIN(RADIANS(BF169)),BE161*SIN(RADIANS(BF161)))</f>
        <v>-0.36616801105094604</v>
      </c>
      <c r="BG177" s="90">
        <f>IF('Control Solar 2do Sem'!$H$4&lt;0,BG169*COS(RADIANS(BH169)),BG161*COS(RADIANS(BH161)))</f>
        <v>2.8508896713723404</v>
      </c>
      <c r="BH177" s="49">
        <f>IF('Control Solar 2do Sem'!$H$4&lt;0,BG169*SIN(RADIANS(BH169)),BG161*SIN(RADIANS(BH161)))</f>
        <v>-0.78922270067773015</v>
      </c>
      <c r="BI177" s="90">
        <f>IF('Control Solar 2do Sem'!$H$4&lt;0,BI169*COS(RADIANS(BJ169)),BI161*COS(RADIANS(BJ161)))</f>
        <v>1.4336983739441382</v>
      </c>
      <c r="BJ177" s="49">
        <f>IF('Control Solar 2do Sem'!$H$4&lt;0,BI169*SIN(RADIANS(BJ169)),BI161*SIN(RADIANS(BJ161)))</f>
        <v>-1.0357074320385538</v>
      </c>
      <c r="BK177" s="90">
        <f>IF('Control Solar 2do Sem'!$H$4&lt;0,BK169*COS(RADIANS(BL169)),BK161*COS(RADIANS(BL161)))</f>
        <v>6.8405012524425953E-17</v>
      </c>
      <c r="BL177" s="49">
        <f>IF('Control Solar 2do Sem'!$H$4&lt;0,BK169*SIN(RADIANS(BL169)),BK161*SIN(RADIANS(BL161)))</f>
        <v>-1.1166812030061788</v>
      </c>
      <c r="BM177" s="90">
        <f>IF('Control Solar 2do Sem'!$H$4&lt;0,BM169*COS(RADIANS(BN169)),BM161*COS(RADIANS(BN161)))</f>
        <v>-1.4336983739441382</v>
      </c>
      <c r="BN177" s="49">
        <f>IF('Control Solar 2do Sem'!$H$4&lt;0,BM169*SIN(RADIANS(BN169)),BM161*SIN(RADIANS(BN161)))</f>
        <v>-1.035707432038554</v>
      </c>
      <c r="BO177" s="90">
        <f>IF('Control Solar 2do Sem'!$H$4&lt;0,BO169*COS(RADIANS(BP169)),BO161*COS(RADIANS(BP161)))</f>
        <v>-2.8508896713723404</v>
      </c>
      <c r="BP177" s="49">
        <f>IF('Control Solar 2do Sem'!$H$4&lt;0,BO169*SIN(RADIANS(BP169)),BO161*SIN(RADIANS(BP161)))</f>
        <v>-0.78922270067773104</v>
      </c>
      <c r="BQ177" s="90">
        <f>IF('Control Solar 2do Sem'!$H$4&lt;0,BQ169*COS(RADIANS(BR169)),BQ161*COS(RADIANS(BR161)))</f>
        <v>-4.2322633019278983</v>
      </c>
      <c r="BR177" s="49">
        <f>IF('Control Solar 2do Sem'!$H$4&lt;0,BQ169*SIN(RADIANS(BR169)),BQ161*SIN(RADIANS(BR161)))</f>
        <v>-0.36616801105094748</v>
      </c>
      <c r="BS177" s="90">
        <f>IF('Control Solar 2do Sem'!$H$4&lt;0,BS169*COS(RADIANS(BT169)),BS161*COS(RADIANS(BT161)))</f>
        <v>-5.5520641812898193</v>
      </c>
      <c r="BT177" s="49">
        <f>IF('Control Solar 2do Sem'!$H$4&lt;0,BS169*SIN(RADIANS(BT169)),BS161*SIN(RADIANS(BT161)))</f>
        <v>0.25312143844983048</v>
      </c>
      <c r="BU177" s="90">
        <f>IF('Control Solar 2do Sem'!$H$4&lt;0,BU169*COS(RADIANS(BV169)),BU161*COS(RADIANS(BV161)))</f>
        <v>-6.7724281322824265</v>
      </c>
      <c r="BV177" s="49">
        <f>IF('Control Solar 2do Sem'!$H$4&lt;0,BU169*SIN(RADIANS(BV169)),BU161*SIN(RADIANS(BV161)))</f>
        <v>1.0987026288314568</v>
      </c>
      <c r="BW177" s="90">
        <f>IF('Control Solar 2do Sem'!$H$4&lt;0,BW169*COS(RADIANS(BX169)),BW161*COS(RADIANS(BX161)))</f>
        <v>-7.8336727666422483</v>
      </c>
      <c r="BX177" s="49">
        <f>IF('Control Solar 2do Sem'!$H$4&lt;0,BW169*SIN(RADIANS(BX169)),BW161*SIN(RADIANS(BX161)))</f>
        <v>2.2129946436748833</v>
      </c>
      <c r="BY177" s="90">
        <f>IF('Control Solar 2do Sem'!$H$4&lt;0,BY169*COS(RADIANS(BZ169)),BY161*COS(RADIANS(BZ161)))</f>
        <v>0</v>
      </c>
      <c r="BZ177" s="49">
        <f>IF('Control Solar 2do Sem'!$H$4&lt;0,BY169*SIN(RADIANS(BZ169)),BY161*SIN(RADIANS(BZ161)))</f>
        <v>0</v>
      </c>
      <c r="CA177" s="90">
        <f>IF('Control Solar 2do Sem'!$H$4&lt;0,CA169*COS(RADIANS(CB169)),CA161*COS(RADIANS(CB161)))</f>
        <v>0</v>
      </c>
      <c r="CB177" s="49">
        <f>IF('Control Solar 2do Sem'!$H$4&lt;0,CA169*SIN(RADIANS(CB169)),CA161*SIN(RADIANS(CB161)))</f>
        <v>0</v>
      </c>
      <c r="CC177" s="90">
        <f>IF('Control Solar 2do Sem'!$H$4&lt;0,CC169*COS(RADIANS(CD169)),CC161*COS(RADIANS(CD161)))</f>
        <v>0</v>
      </c>
      <c r="CD177" s="49">
        <f>IF('Control Solar 2do Sem'!$H$4&lt;0,CC169*SIN(RADIANS(CD169)),CC161*SIN(RADIANS(CD161)))</f>
        <v>0</v>
      </c>
      <c r="CE177" s="90">
        <f>IF('Control Solar 2do Sem'!$H$4&lt;0,CE169*COS(RADIANS(CF169)),CE161*COS(RADIANS(CF161)))</f>
        <v>0</v>
      </c>
      <c r="CF177" s="49">
        <f>IF('Control Solar 2do Sem'!$H$4&lt;0,CE169*SIN(RADIANS(CF169)),CE161*SIN(RADIANS(CF161)))</f>
        <v>0</v>
      </c>
      <c r="CG177" s="90">
        <f>IF('Control Solar 2do Sem'!$H$4&lt;0,CG169*COS(RADIANS(CH169)),CG161*COS(RADIANS(CH161)))</f>
        <v>0</v>
      </c>
      <c r="CH177" s="49">
        <f>IF('Control Solar 2do Sem'!$H$4&lt;0,CG169*SIN(RADIANS(CH169)),CG161*SIN(RADIANS(CH161)))</f>
        <v>0</v>
      </c>
      <c r="CI177" s="90">
        <f>IF('Control Solar 2do Sem'!$H$4&lt;0,CI169*COS(RADIANS(CJ169)),CI161*COS(RADIANS(CJ161)))</f>
        <v>0</v>
      </c>
      <c r="CJ177" s="49">
        <f>IF('Control Solar 2do Sem'!$H$4&lt;0,CI169*SIN(RADIANS(CJ169)),CI161*SIN(RADIANS(CJ161)))</f>
        <v>0</v>
      </c>
    </row>
    <row r="178" spans="1:88" x14ac:dyDescent="0.25">
      <c r="A178">
        <v>-8.6</v>
      </c>
      <c r="B178">
        <f t="shared" si="136"/>
        <v>2.6532998322843211</v>
      </c>
      <c r="C178">
        <f t="shared" si="137"/>
        <v>-2.6532998322843211</v>
      </c>
      <c r="AB178" s="39">
        <v>4.1666666666666699E-2</v>
      </c>
      <c r="AC178" s="38">
        <v>165</v>
      </c>
      <c r="AD178" s="38">
        <f t="shared" ref="AD178:AD236" si="249">+DEGREES(ASIN(COS(RADIANS($AE$174))*COS(RADIANS($AD$174))*COS(RADIANS(AC178))+SIN(RADIANS($AE$174))*SIN(RADIANS($AD$174))))</f>
        <v>-65.513697539251424</v>
      </c>
      <c r="AE178" s="38">
        <f t="shared" ref="AE178:AE206" si="250">180-DEGREES(ACOS((((SIN(RADIANS(AD178)))*SIN(RADIANS($AE$174)))-SIN(RADIANS($AD$174)))/((COS(RADIANS(AD178)))*COS(RADIANS($AE$174)))))</f>
        <v>38.64064063903524</v>
      </c>
      <c r="AG178">
        <f t="shared" si="245"/>
        <v>9</v>
      </c>
      <c r="AH178">
        <f t="shared" si="246"/>
        <v>-0.4295592359458027</v>
      </c>
      <c r="AI178" s="94">
        <f t="shared" si="247"/>
        <v>8.9997470635975887</v>
      </c>
      <c r="AJ178" s="94">
        <f t="shared" si="248"/>
        <v>-6.747437488839339E-2</v>
      </c>
      <c r="AK178" s="43"/>
      <c r="AN178" t="s">
        <v>99</v>
      </c>
      <c r="AO178" s="92">
        <f>IF('Control Solar 2do Sem'!$H$4&lt;0,AO170*COS(RADIANS(AP170)),AO162*COS(RADIANS(AP162)))</f>
        <v>0</v>
      </c>
      <c r="AP178" s="49">
        <f>IF('Control Solar 2do Sem'!$H$4&lt;0,AO170*SIN(RADIANS(AP170)),AO162*SIN(RADIANS(AP162)))</f>
        <v>0</v>
      </c>
      <c r="AQ178" s="90">
        <f>IF('Control Solar 2do Sem'!$H$4&lt;0,AQ170*COS(RADIANS(AR170)),AQ162*COS(RADIANS(AR162)))</f>
        <v>0</v>
      </c>
      <c r="AR178" s="49">
        <f>IF('Control Solar 2do Sem'!$H$4&lt;0,AQ170*SIN(RADIANS(AR170)),AQ162*SIN(RADIANS(AR162)))</f>
        <v>0</v>
      </c>
      <c r="AS178" s="90">
        <f>IF('Control Solar 2do Sem'!$H$4&lt;0,AS170*COS(RADIANS(AT170)),AS162*COS(RADIANS(AT162)))</f>
        <v>0</v>
      </c>
      <c r="AT178" s="49">
        <f>IF('Control Solar 2do Sem'!$H$4&lt;0,AS170*SIN(RADIANS(AT170)),AS162*SIN(RADIANS(AT162)))</f>
        <v>0</v>
      </c>
      <c r="AU178" s="90">
        <f>IF('Control Solar 2do Sem'!$H$4&lt;0,AU170*COS(RADIANS(AV170)),AU162*COS(RADIANS(AV162)))</f>
        <v>0</v>
      </c>
      <c r="AV178" s="49">
        <f>IF('Control Solar 2do Sem'!$H$4&lt;0,AU170*SIN(RADIANS(AV170)),AU162*SIN(RADIANS(AV162)))</f>
        <v>0</v>
      </c>
      <c r="AW178" s="90">
        <f>IF('Control Solar 2do Sem'!$H$4&lt;0,AW170*COS(RADIANS(AX170)),AW162*COS(RADIANS(AX162)))</f>
        <v>0</v>
      </c>
      <c r="AX178" s="49">
        <f>IF('Control Solar 2do Sem'!$H$4&lt;0,AW170*SIN(RADIANS(AX170)),AW162*SIN(RADIANS(AX162)))</f>
        <v>0</v>
      </c>
      <c r="AY178" s="90">
        <f>IF('Control Solar 2do Sem'!$H$4&lt;0,AY170*COS(RADIANS(AZ170)),AY162*COS(RADIANS(AZ162)))</f>
        <v>7.4013126754456309</v>
      </c>
      <c r="AZ178" s="49">
        <f>IF('Control Solar 2do Sem'!$H$4&lt;0,AY170*SIN(RADIANS(AZ170)),AY162*SIN(RADIANS(AZ162)))</f>
        <v>2.7617048843911882</v>
      </c>
      <c r="BA178" s="90">
        <f>IF('Control Solar 2do Sem'!$H$4&lt;0,BA170*COS(RADIANS(BB170)),BA162*COS(RADIANS(BB162)))</f>
        <v>6.4413948054342534</v>
      </c>
      <c r="BB178" s="49">
        <f>IF('Control Solar 2do Sem'!$H$4&lt;0,BA170*SIN(RADIANS(BB170)),BA162*SIN(RADIANS(BB162)))</f>
        <v>1.6494388712165591</v>
      </c>
      <c r="BC178" s="90">
        <f>IF('Control Solar 2do Sem'!$H$4&lt;0,BC170*COS(RADIANS(BD170)),BC162*COS(RADIANS(BD162)))</f>
        <v>5.3054101678542844</v>
      </c>
      <c r="BD178" s="49">
        <f>IF('Control Solar 2do Sem'!$H$4&lt;0,BC170*SIN(RADIANS(BD170)),BC162*SIN(RADIANS(BD162)))</f>
        <v>0.79714818307256574</v>
      </c>
      <c r="BE178" s="90">
        <f>IF('Control Solar 2do Sem'!$H$4&lt;0,BE170*COS(RADIANS(BF170)),BE162*COS(RADIANS(BF162)))</f>
        <v>4.0572556384225589</v>
      </c>
      <c r="BF178" s="49">
        <f>IF('Control Solar 2do Sem'!$H$4&lt;0,BE170*SIN(RADIANS(BF170)),BE162*SIN(RADIANS(BF162)))</f>
        <v>0.16904678632304351</v>
      </c>
      <c r="BG178" s="90">
        <f>IF('Control Solar 2do Sem'!$H$4&lt;0,BG170*COS(RADIANS(BH170)),BG162*COS(RADIANS(BH162)))</f>
        <v>2.7387301330387381</v>
      </c>
      <c r="BH178" s="49">
        <f>IF('Control Solar 2do Sem'!$H$4&lt;0,BG170*SIN(RADIANS(BH170)),BG162*SIN(RADIANS(BH162)))</f>
        <v>-0.26169911037129195</v>
      </c>
      <c r="BI178" s="90">
        <f>IF('Control Solar 2do Sem'!$H$4&lt;0,BI170*COS(RADIANS(BJ170)),BI162*COS(RADIANS(BJ162)))</f>
        <v>1.3789227287883621</v>
      </c>
      <c r="BJ178" s="49">
        <f>IF('Control Solar 2do Sem'!$H$4&lt;0,BI170*SIN(RADIANS(BJ170)),BI162*SIN(RADIANS(BJ162)))</f>
        <v>-0.51323313882258703</v>
      </c>
      <c r="BK178" s="90">
        <f>IF('Control Solar 2do Sem'!$H$4&lt;0,BK170*COS(RADIANS(BL170)),BK162*COS(RADIANS(BL162)))</f>
        <v>3.6506458382437044E-17</v>
      </c>
      <c r="BL178" s="49">
        <f>IF('Control Solar 2do Sem'!$H$4&lt;0,BK170*SIN(RADIANS(BL170)),BK162*SIN(RADIANS(BL162)))</f>
        <v>-0.59595158833481854</v>
      </c>
      <c r="BM178" s="90">
        <f>IF('Control Solar 2do Sem'!$H$4&lt;0,BM170*COS(RADIANS(BN170)),BM162*COS(RADIANS(BN162)))</f>
        <v>-1.3789227287883621</v>
      </c>
      <c r="BN178" s="49">
        <f>IF('Control Solar 2do Sem'!$H$4&lt;0,BM170*SIN(RADIANS(BN170)),BM162*SIN(RADIANS(BN162)))</f>
        <v>-0.51323313882258681</v>
      </c>
      <c r="BO178" s="90">
        <f>IF('Control Solar 2do Sem'!$H$4&lt;0,BO170*COS(RADIANS(BP170)),BO162*COS(RADIANS(BP162)))</f>
        <v>-2.7387301330387381</v>
      </c>
      <c r="BP178" s="49">
        <f>IF('Control Solar 2do Sem'!$H$4&lt;0,BO170*SIN(RADIANS(BP170)),BO162*SIN(RADIANS(BP162)))</f>
        <v>-0.26169911037129179</v>
      </c>
      <c r="BQ178" s="90">
        <f>IF('Control Solar 2do Sem'!$H$4&lt;0,BQ170*COS(RADIANS(BR170)),BQ162*COS(RADIANS(BR162)))</f>
        <v>-4.0572556384225589</v>
      </c>
      <c r="BR178" s="49">
        <f>IF('Control Solar 2do Sem'!$H$4&lt;0,BQ170*SIN(RADIANS(BR170)),BQ162*SIN(RADIANS(BR162)))</f>
        <v>0.16904678632304337</v>
      </c>
      <c r="BS178" s="90">
        <f>IF('Control Solar 2do Sem'!$H$4&lt;0,BS170*COS(RADIANS(BT170)),BS162*COS(RADIANS(BT162)))</f>
        <v>-5.3054101678542844</v>
      </c>
      <c r="BT178" s="49">
        <f>IF('Control Solar 2do Sem'!$H$4&lt;0,BS170*SIN(RADIANS(BT170)),BS162*SIN(RADIANS(BT162)))</f>
        <v>0.79714818307256685</v>
      </c>
      <c r="BU178" s="90">
        <f>IF('Control Solar 2do Sem'!$H$4&lt;0,BU170*COS(RADIANS(BV170)),BU162*COS(RADIANS(BV162)))</f>
        <v>-6.4413948054342534</v>
      </c>
      <c r="BV178" s="49">
        <f>IF('Control Solar 2do Sem'!$H$4&lt;0,BU170*SIN(RADIANS(BV170)),BU162*SIN(RADIANS(BV162)))</f>
        <v>1.6494388712165602</v>
      </c>
      <c r="BW178" s="90">
        <f>IF('Control Solar 2do Sem'!$H$4&lt;0,BW170*COS(RADIANS(BX170)),BW162*COS(RADIANS(BX162)))</f>
        <v>-7.40131267544563</v>
      </c>
      <c r="BX178" s="49">
        <f>IF('Control Solar 2do Sem'!$H$4&lt;0,BW170*SIN(RADIANS(BX170)),BW162*SIN(RADIANS(BX162)))</f>
        <v>2.76170488439119</v>
      </c>
      <c r="BY178" s="90">
        <f>IF('Control Solar 2do Sem'!$H$4&lt;0,BY170*COS(RADIANS(BZ170)),BY162*COS(RADIANS(BZ162)))</f>
        <v>0</v>
      </c>
      <c r="BZ178" s="49">
        <f>IF('Control Solar 2do Sem'!$H$4&lt;0,BY170*SIN(RADIANS(BZ170)),BY162*SIN(RADIANS(BZ162)))</f>
        <v>0</v>
      </c>
      <c r="CA178" s="90">
        <f>IF('Control Solar 2do Sem'!$H$4&lt;0,CA170*COS(RADIANS(CB170)),CA162*COS(RADIANS(CB162)))</f>
        <v>0</v>
      </c>
      <c r="CB178" s="49">
        <f>IF('Control Solar 2do Sem'!$H$4&lt;0,CA170*SIN(RADIANS(CB170)),CA162*SIN(RADIANS(CB162)))</f>
        <v>0</v>
      </c>
      <c r="CC178" s="90">
        <f>IF('Control Solar 2do Sem'!$H$4&lt;0,CC170*COS(RADIANS(CD170)),CC162*COS(RADIANS(CD162)))</f>
        <v>0</v>
      </c>
      <c r="CD178" s="49">
        <f>IF('Control Solar 2do Sem'!$H$4&lt;0,CC170*SIN(RADIANS(CD170)),CC162*SIN(RADIANS(CD162)))</f>
        <v>0</v>
      </c>
      <c r="CE178" s="90">
        <f>IF('Control Solar 2do Sem'!$H$4&lt;0,CE170*COS(RADIANS(CF170)),CE162*COS(RADIANS(CF162)))</f>
        <v>0</v>
      </c>
      <c r="CF178" s="49">
        <f>IF('Control Solar 2do Sem'!$H$4&lt;0,CE170*SIN(RADIANS(CF170)),CE162*SIN(RADIANS(CF162)))</f>
        <v>0</v>
      </c>
      <c r="CG178" s="90">
        <f>IF('Control Solar 2do Sem'!$H$4&lt;0,CG170*COS(RADIANS(CH170)),CG162*COS(RADIANS(CH162)))</f>
        <v>0</v>
      </c>
      <c r="CH178" s="49">
        <f>IF('Control Solar 2do Sem'!$H$4&lt;0,CG170*SIN(RADIANS(CH170)),CG162*SIN(RADIANS(CH162)))</f>
        <v>0</v>
      </c>
      <c r="CI178" s="90">
        <f>IF('Control Solar 2do Sem'!$H$4&lt;0,CI170*COS(RADIANS(CJ170)),CI162*COS(RADIANS(CJ162)))</f>
        <v>0</v>
      </c>
      <c r="CJ178" s="49">
        <f>IF('Control Solar 2do Sem'!$H$4&lt;0,CI170*SIN(RADIANS(CJ170)),CI162*SIN(RADIANS(CJ162)))</f>
        <v>0</v>
      </c>
    </row>
    <row r="179" spans="1:88" x14ac:dyDescent="0.25">
      <c r="A179">
        <v>-8.6999999999999993</v>
      </c>
      <c r="B179">
        <f t="shared" si="136"/>
        <v>2.304343724360586</v>
      </c>
      <c r="C179">
        <f t="shared" si="137"/>
        <v>-2.304343724360586</v>
      </c>
      <c r="AB179" s="39">
        <v>8.3333333333333301E-2</v>
      </c>
      <c r="AC179" s="38">
        <v>150</v>
      </c>
      <c r="AD179" s="38">
        <f t="shared" si="249"/>
        <v>-54.704901794267855</v>
      </c>
      <c r="AE179" s="38">
        <f t="shared" si="250"/>
        <v>59.922480900261576</v>
      </c>
      <c r="AG179">
        <f t="shared" si="245"/>
        <v>9</v>
      </c>
      <c r="AH179">
        <f t="shared" si="246"/>
        <v>-0.4295592359458027</v>
      </c>
      <c r="AI179" s="94">
        <f t="shared" si="247"/>
        <v>8.9997470635975887</v>
      </c>
      <c r="AJ179" s="94">
        <f t="shared" si="248"/>
        <v>-6.747437488839339E-2</v>
      </c>
      <c r="AK179" s="43"/>
      <c r="AO179" s="326">
        <v>4.1666666666666664E-2</v>
      </c>
      <c r="AP179" s="292"/>
      <c r="AQ179" s="327">
        <v>8.3333333333333301E-2</v>
      </c>
      <c r="AR179" s="292"/>
      <c r="AS179" s="327">
        <v>0.125</v>
      </c>
      <c r="AT179" s="292"/>
      <c r="AU179" s="327">
        <v>0.16666666666666699</v>
      </c>
      <c r="AV179" s="292"/>
      <c r="AW179" s="327">
        <v>0.20833333333333301</v>
      </c>
      <c r="AX179" s="292"/>
      <c r="AY179" s="327">
        <v>0.25</v>
      </c>
      <c r="AZ179" s="292"/>
      <c r="BA179" s="327">
        <v>0.29166666666666702</v>
      </c>
      <c r="BB179" s="292"/>
      <c r="BC179" s="327">
        <v>0.33333333333333298</v>
      </c>
      <c r="BD179" s="292"/>
      <c r="BE179" s="327">
        <v>0.375</v>
      </c>
      <c r="BF179" s="292"/>
      <c r="BG179" s="327">
        <v>0.41666666666666702</v>
      </c>
      <c r="BH179" s="292"/>
      <c r="BI179" s="327">
        <v>0.45833333333333298</v>
      </c>
      <c r="BJ179" s="292"/>
      <c r="BK179" s="327">
        <v>0.5</v>
      </c>
      <c r="BL179" s="292"/>
      <c r="BM179" s="327">
        <v>0.54166666666666696</v>
      </c>
      <c r="BN179" s="292"/>
      <c r="BO179" s="327">
        <v>0.58333333333333304</v>
      </c>
      <c r="BP179" s="292"/>
      <c r="BQ179" s="327">
        <v>0.625</v>
      </c>
      <c r="BR179" s="292"/>
      <c r="BS179" s="327">
        <v>0.66666666666666696</v>
      </c>
      <c r="BT179" s="292"/>
      <c r="BU179" s="327">
        <v>0.70833333333333304</v>
      </c>
      <c r="BV179" s="292"/>
      <c r="BW179" s="327">
        <v>0.75</v>
      </c>
      <c r="BX179" s="292"/>
      <c r="BY179" s="327">
        <v>0.79166666666666696</v>
      </c>
      <c r="BZ179" s="292"/>
      <c r="CA179" s="327">
        <v>0.83333333333333304</v>
      </c>
      <c r="CB179" s="292"/>
      <c r="CC179" s="327">
        <v>0.875</v>
      </c>
      <c r="CD179" s="292"/>
      <c r="CE179" s="327">
        <v>0.91666666666666696</v>
      </c>
      <c r="CF179" s="292"/>
      <c r="CG179" s="327">
        <v>0.95833333333333304</v>
      </c>
      <c r="CH179" s="292"/>
      <c r="CI179" s="327">
        <v>1</v>
      </c>
      <c r="CJ179" s="292"/>
    </row>
    <row r="180" spans="1:88" x14ac:dyDescent="0.25">
      <c r="A180">
        <v>-8.8000000000000007</v>
      </c>
      <c r="B180">
        <f t="shared" si="136"/>
        <v>1.8867962264113176</v>
      </c>
      <c r="C180">
        <f t="shared" si="137"/>
        <v>-1.8867962264113176</v>
      </c>
      <c r="AB180" s="39">
        <v>0.125</v>
      </c>
      <c r="AC180" s="38">
        <v>135</v>
      </c>
      <c r="AD180" s="38">
        <f t="shared" si="249"/>
        <v>-41.824876300223799</v>
      </c>
      <c r="AE180" s="38">
        <f t="shared" si="250"/>
        <v>71.599903159615053</v>
      </c>
      <c r="AG180">
        <f t="shared" si="245"/>
        <v>9</v>
      </c>
      <c r="AH180">
        <f t="shared" si="246"/>
        <v>-0.4295592359458027</v>
      </c>
      <c r="AI180" s="94">
        <f t="shared" si="247"/>
        <v>8.9997470635975887</v>
      </c>
      <c r="AJ180" s="94">
        <f t="shared" si="248"/>
        <v>-6.747437488839339E-2</v>
      </c>
      <c r="AK180" s="4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47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</row>
    <row r="181" spans="1:88" x14ac:dyDescent="0.25">
      <c r="A181">
        <v>-8.9</v>
      </c>
      <c r="B181">
        <f t="shared" si="136"/>
        <v>1.3379088160259622</v>
      </c>
      <c r="C181">
        <f t="shared" si="137"/>
        <v>-1.3379088160259622</v>
      </c>
      <c r="AB181" s="39">
        <v>0.16666666666666699</v>
      </c>
      <c r="AC181" s="38">
        <v>120</v>
      </c>
      <c r="AD181" s="38">
        <f t="shared" si="249"/>
        <v>-28.180070576065805</v>
      </c>
      <c r="AE181" s="38">
        <f t="shared" si="250"/>
        <v>79.251935244487001</v>
      </c>
      <c r="AG181">
        <f t="shared" si="245"/>
        <v>9</v>
      </c>
      <c r="AH181">
        <f t="shared" si="246"/>
        <v>-0.4295592359458027</v>
      </c>
      <c r="AI181" s="94">
        <f t="shared" si="247"/>
        <v>8.9997470635975887</v>
      </c>
      <c r="AJ181" s="94">
        <f t="shared" si="248"/>
        <v>-6.747437488839339E-2</v>
      </c>
      <c r="AK181" s="43"/>
      <c r="AN181" s="322" t="s">
        <v>104</v>
      </c>
      <c r="AO181" s="46">
        <f t="shared" ref="AO181:AX181" si="251">+AO172</f>
        <v>0</v>
      </c>
      <c r="AP181" s="46">
        <f t="shared" si="251"/>
        <v>0</v>
      </c>
      <c r="AQ181" s="46">
        <f t="shared" si="251"/>
        <v>0</v>
      </c>
      <c r="AR181" s="46">
        <f t="shared" si="251"/>
        <v>0</v>
      </c>
      <c r="AS181" s="46">
        <f t="shared" si="251"/>
        <v>0</v>
      </c>
      <c r="AT181" s="46">
        <f t="shared" si="251"/>
        <v>0</v>
      </c>
      <c r="AU181" s="46">
        <f t="shared" si="251"/>
        <v>0</v>
      </c>
      <c r="AV181" s="46">
        <f t="shared" si="251"/>
        <v>0</v>
      </c>
      <c r="AW181" s="46">
        <f t="shared" si="251"/>
        <v>0</v>
      </c>
      <c r="AX181" s="46">
        <f t="shared" si="251"/>
        <v>0</v>
      </c>
      <c r="AY181" s="46">
        <f>IF($AB$125="si",IF(AY172&gt;=8.99,DJ93,AY172),0)</f>
        <v>0</v>
      </c>
      <c r="AZ181" s="46">
        <f>IF($AB$125="si",IF(AY172&gt;=8.99,DK93,AZ172),0)</f>
        <v>0</v>
      </c>
      <c r="BA181" s="46">
        <f>IF($AB$126="si",BA172,0)</f>
        <v>0</v>
      </c>
      <c r="BB181" s="46">
        <f>IF($AB$126="si",BB172,0)</f>
        <v>0</v>
      </c>
      <c r="BC181" s="46">
        <f>IF($AB$127="si",BC172,0)</f>
        <v>0</v>
      </c>
      <c r="BD181" s="46">
        <f>IF($AB$127="si",BD172,0)</f>
        <v>0</v>
      </c>
      <c r="BE181" s="46">
        <f>IF($AB$128="si",BE172,0)</f>
        <v>0</v>
      </c>
      <c r="BF181" s="46">
        <f>IF($AB$128="si",BF172,0)</f>
        <v>0</v>
      </c>
      <c r="BG181" s="46">
        <f>IF($AB$129="si",BG172,0)</f>
        <v>0</v>
      </c>
      <c r="BH181" s="46">
        <f>IF($AB$129="si",BH172,0)</f>
        <v>0</v>
      </c>
      <c r="BI181" s="46">
        <f>IF($AB$130="si",BI172,0)</f>
        <v>0</v>
      </c>
      <c r="BJ181" s="46">
        <f>IF($AB$130="si",BJ172,0)</f>
        <v>0</v>
      </c>
      <c r="BK181" s="46">
        <f>IF($AB$131="si",BK172,0)</f>
        <v>3.2178391145729545E-16</v>
      </c>
      <c r="BL181" s="46">
        <f>IF($AB$131="si",BL172,0)</f>
        <v>-5.2529782846813662</v>
      </c>
      <c r="BM181" s="46">
        <f>IF($AB$132="si",BM172,0)</f>
        <v>-1.5893183907474944</v>
      </c>
      <c r="BN181" s="46">
        <f>IF($AB$132="si",BN172,0)</f>
        <v>-5.2107114643622552</v>
      </c>
      <c r="BO181" s="46">
        <f>IF($AB$133="si",BO172,0)</f>
        <v>-3.176706382874344</v>
      </c>
      <c r="BP181" s="46">
        <f>IF($AB$133="si",BP172,0)</f>
        <v>-5.0827616950162984</v>
      </c>
      <c r="BQ181" s="46">
        <f>IF($AB$134="si",BQ172,0)</f>
        <v>-4.7600861515158259</v>
      </c>
      <c r="BR181" s="46">
        <f>IF($AB$134="si",BR172,0)</f>
        <v>-4.865498401345616</v>
      </c>
      <c r="BS181" s="46">
        <f>IF($AB$135="si",BS172,0)</f>
        <v>-6.3370457173808692</v>
      </c>
      <c r="BT181" s="46">
        <f>IF($AB$135="si",BT172,0)</f>
        <v>-4.5521886371757248</v>
      </c>
      <c r="BU181" s="46">
        <f>IF($AB$136="si",BU172,0)</f>
        <v>-7.9045474322355096</v>
      </c>
      <c r="BV181" s="46">
        <f>IF($AB$136="si",BV172,0)</f>
        <v>-4.1316644606747346</v>
      </c>
      <c r="BW181" s="46">
        <f t="shared" ref="BW181:CJ181" si="252">+BW172</f>
        <v>-8.9999999459306821</v>
      </c>
      <c r="BX181" s="46">
        <f t="shared" si="252"/>
        <v>9.8653318721356924E-4</v>
      </c>
      <c r="BY181" s="46">
        <f t="shared" si="252"/>
        <v>0</v>
      </c>
      <c r="BZ181" s="46">
        <f t="shared" si="252"/>
        <v>0</v>
      </c>
      <c r="CA181" s="46">
        <f t="shared" si="252"/>
        <v>0</v>
      </c>
      <c r="CB181" s="46">
        <f t="shared" si="252"/>
        <v>0</v>
      </c>
      <c r="CC181" s="46">
        <f t="shared" si="252"/>
        <v>0</v>
      </c>
      <c r="CD181" s="46">
        <f t="shared" si="252"/>
        <v>0</v>
      </c>
      <c r="CE181" s="46">
        <f t="shared" si="252"/>
        <v>0</v>
      </c>
      <c r="CF181" s="46">
        <f t="shared" si="252"/>
        <v>0</v>
      </c>
      <c r="CG181" s="46">
        <f t="shared" si="252"/>
        <v>0</v>
      </c>
      <c r="CH181" s="46">
        <f t="shared" si="252"/>
        <v>0</v>
      </c>
      <c r="CI181" s="46" t="e">
        <f t="shared" si="252"/>
        <v>#NUM!</v>
      </c>
      <c r="CJ181" s="46" t="e">
        <f t="shared" si="252"/>
        <v>#NUM!</v>
      </c>
    </row>
    <row r="182" spans="1:88" x14ac:dyDescent="0.25">
      <c r="A182">
        <v>-9</v>
      </c>
      <c r="B182">
        <f t="shared" si="136"/>
        <v>0</v>
      </c>
      <c r="C182">
        <f t="shared" si="137"/>
        <v>0</v>
      </c>
      <c r="AB182" s="39">
        <v>0.20833333333333334</v>
      </c>
      <c r="AC182" s="38">
        <v>105</v>
      </c>
      <c r="AD182" s="38">
        <f t="shared" si="249"/>
        <v>-14.218113225759542</v>
      </c>
      <c r="AE182" s="38">
        <f t="shared" si="250"/>
        <v>85.153473715583246</v>
      </c>
      <c r="AG182">
        <f t="shared" si="245"/>
        <v>9</v>
      </c>
      <c r="AH182">
        <f t="shared" si="246"/>
        <v>-0.4295592359458027</v>
      </c>
      <c r="AI182" s="94">
        <f t="shared" si="247"/>
        <v>8.9997470635975887</v>
      </c>
      <c r="AJ182" s="94">
        <f t="shared" si="248"/>
        <v>-6.747437488839339E-2</v>
      </c>
      <c r="AK182" s="43"/>
      <c r="AN182" s="323"/>
      <c r="AO182" s="13">
        <f t="shared" ref="AO182:AX182" si="253">+AQ173</f>
        <v>0</v>
      </c>
      <c r="AP182" s="13">
        <f t="shared" si="253"/>
        <v>0</v>
      </c>
      <c r="AQ182" s="13">
        <f t="shared" si="253"/>
        <v>0</v>
      </c>
      <c r="AR182" s="13">
        <f t="shared" si="253"/>
        <v>0</v>
      </c>
      <c r="AS182" s="13">
        <f t="shared" si="253"/>
        <v>0</v>
      </c>
      <c r="AT182" s="13">
        <f t="shared" si="253"/>
        <v>0</v>
      </c>
      <c r="AU182" s="13">
        <f t="shared" si="253"/>
        <v>0</v>
      </c>
      <c r="AV182" s="13">
        <f t="shared" si="253"/>
        <v>0</v>
      </c>
      <c r="AW182" s="13">
        <f t="shared" si="253"/>
        <v>8.9999999459306821</v>
      </c>
      <c r="AX182" s="13">
        <f t="shared" si="253"/>
        <v>9.8653318720904812E-4</v>
      </c>
      <c r="AY182" s="13">
        <f>IF($AB$125="si",BA173,0)</f>
        <v>0</v>
      </c>
      <c r="AZ182" s="13">
        <f>IF($AB$125="si",BB173,0)</f>
        <v>0</v>
      </c>
      <c r="BA182" s="13">
        <f>IF($AB$126="si",BC173,0)</f>
        <v>0</v>
      </c>
      <c r="BB182" s="13">
        <f>IF($AB$126="si",BD173,0)</f>
        <v>0</v>
      </c>
      <c r="BC182" s="13">
        <f>IF($AB$127="si",BE173,0)</f>
        <v>0</v>
      </c>
      <c r="BD182" s="13">
        <f>IF($AB$127="si",BF173,0)</f>
        <v>0</v>
      </c>
      <c r="BE182" s="13">
        <f>IF($AB$128="si",BG173,0)</f>
        <v>0</v>
      </c>
      <c r="BF182" s="13">
        <f>IF($AB$128="si",BH173,0)</f>
        <v>0</v>
      </c>
      <c r="BG182" s="13">
        <f>IF($AB$129="si",BI173,0)</f>
        <v>0</v>
      </c>
      <c r="BH182" s="13">
        <f>IF($AB$129="si",BJ173,0)</f>
        <v>0</v>
      </c>
      <c r="BI182" s="13">
        <f>IF($AB$130="si",BK173,0)</f>
        <v>0</v>
      </c>
      <c r="BJ182" s="13">
        <f>IF($AB$130="si",BL173,0)</f>
        <v>0</v>
      </c>
      <c r="BK182" s="13">
        <f>IF($AB$131="si",BM173,0)</f>
        <v>-1.5930445940412599</v>
      </c>
      <c r="BL182" s="13">
        <f>IF($AB$131="si",BN173,0)</f>
        <v>-5.0747045209462627</v>
      </c>
      <c r="BM182" s="13">
        <f>IF($AB$132="si",BO173,0)</f>
        <v>-3.1840614875621549</v>
      </c>
      <c r="BN182" s="13">
        <f>IF($AB$132="si",BP173,0)</f>
        <v>-4.941175224952592</v>
      </c>
      <c r="BO182" s="13">
        <f>IF($AB$133="si",BQ173,0)</f>
        <v>-4.7708405610154339</v>
      </c>
      <c r="BP182" s="13">
        <f>IF($AB$133="si",BR173,0)</f>
        <v>-4.7140125878124106</v>
      </c>
      <c r="BQ182" s="13">
        <f>IF($AB$134="si",BS173,0)</f>
        <v>-6.3507510164986254</v>
      </c>
      <c r="BR182" s="13">
        <f>IF($AB$134="si",BT173,0)</f>
        <v>-4.3854380742469932</v>
      </c>
      <c r="BS182" s="13">
        <f>IF($AB$135="si",IF(BU157=9,AV104,BU173),0)</f>
        <v>-7.9203525072857337</v>
      </c>
      <c r="BT182" s="13">
        <f>IF($AB$135="si",IF(BU157=9,AW104,BV173),0)</f>
        <v>-3.94246237888771</v>
      </c>
      <c r="BU182" s="13">
        <f>IF($AB$136="si",IF(BW173&lt;=-8.99,AV105,BW173),0)</f>
        <v>-8.1227376334839274</v>
      </c>
      <c r="BV182" s="13">
        <f>IF($AB$136="si",IF(BW173&lt;=-8.99,AW105,BX173),0)</f>
        <v>-3.8757106880653427</v>
      </c>
      <c r="BW182" s="13">
        <f t="shared" ref="BW182:CJ182" si="254">+BY173</f>
        <v>0</v>
      </c>
      <c r="BX182" s="13">
        <f t="shared" si="254"/>
        <v>0</v>
      </c>
      <c r="BY182" s="13">
        <f t="shared" si="254"/>
        <v>0</v>
      </c>
      <c r="BZ182" s="13">
        <f t="shared" si="254"/>
        <v>0</v>
      </c>
      <c r="CA182" s="13">
        <f t="shared" si="254"/>
        <v>0</v>
      </c>
      <c r="CB182" s="13">
        <f t="shared" si="254"/>
        <v>0</v>
      </c>
      <c r="CC182" s="13">
        <f t="shared" si="254"/>
        <v>0</v>
      </c>
      <c r="CD182" s="13">
        <f t="shared" si="254"/>
        <v>0</v>
      </c>
      <c r="CE182" s="13">
        <f t="shared" si="254"/>
        <v>0</v>
      </c>
      <c r="CF182" s="13">
        <f t="shared" si="254"/>
        <v>0</v>
      </c>
      <c r="CG182" s="13" t="e">
        <f t="shared" si="254"/>
        <v>#NUM!</v>
      </c>
      <c r="CH182" s="13" t="e">
        <f t="shared" si="254"/>
        <v>#NUM!</v>
      </c>
      <c r="CI182" s="13">
        <f t="shared" si="254"/>
        <v>0</v>
      </c>
      <c r="CJ182" s="13">
        <f t="shared" si="254"/>
        <v>0</v>
      </c>
    </row>
    <row r="183" spans="1:88" x14ac:dyDescent="0.25">
      <c r="AB183" s="39">
        <v>0.25</v>
      </c>
      <c r="AC183" s="38">
        <v>90</v>
      </c>
      <c r="AD183" s="38">
        <f t="shared" si="249"/>
        <v>-0.13805651750742945</v>
      </c>
      <c r="AE183" s="38">
        <f t="shared" si="250"/>
        <v>90.379310669221951</v>
      </c>
      <c r="AG183">
        <f t="shared" ref="AG183:AG231" si="255">IF($AF$110="si",9-(AD183/10),0)</f>
        <v>9.0138056517507437</v>
      </c>
      <c r="AH183">
        <f t="shared" ref="AH183:AH231" si="256">90-AE183+$AH$172</f>
        <v>-0.379310669221951</v>
      </c>
      <c r="AI183" s="94">
        <f t="shared" ref="AI183:AI238" si="257">+AG183*COS(RADIANS(AH183))</f>
        <v>9.0136081270281014</v>
      </c>
      <c r="AJ183" s="94">
        <f t="shared" ref="AJ183:AJ238" si="258">+AG183*SIN(RADIANS(AH183))</f>
        <v>-5.9672941159190536E-2</v>
      </c>
      <c r="AK183" s="43"/>
      <c r="AN183" s="323"/>
      <c r="AO183" s="13">
        <f t="shared" ref="AO183:AX183" si="259">+AO173</f>
        <v>0</v>
      </c>
      <c r="AP183" s="13">
        <f t="shared" si="259"/>
        <v>0</v>
      </c>
      <c r="AQ183" s="13">
        <f t="shared" si="259"/>
        <v>0</v>
      </c>
      <c r="AR183" s="13">
        <f t="shared" si="259"/>
        <v>0</v>
      </c>
      <c r="AS183" s="13">
        <f t="shared" si="259"/>
        <v>0</v>
      </c>
      <c r="AT183" s="13">
        <f t="shared" si="259"/>
        <v>0</v>
      </c>
      <c r="AU183" s="13">
        <f t="shared" si="259"/>
        <v>0</v>
      </c>
      <c r="AV183" s="13">
        <f t="shared" si="259"/>
        <v>0</v>
      </c>
      <c r="AW183" s="13">
        <f t="shared" si="259"/>
        <v>0</v>
      </c>
      <c r="AX183" s="13">
        <f t="shared" si="259"/>
        <v>0</v>
      </c>
      <c r="AY183" s="13">
        <f>IF($AB$125="si",IF(AY173&gt;=8.99,AV93,AY173),0)</f>
        <v>0</v>
      </c>
      <c r="AZ183" s="13">
        <f>IF($AB$125="si",IF(AY173&gt;=8.99,AW93,AZ173),0)</f>
        <v>0</v>
      </c>
      <c r="BA183" s="13">
        <f>IF($AB$126="si",BA173,0)</f>
        <v>0</v>
      </c>
      <c r="BB183" s="13">
        <f>IF($AB$126="si",BB173,0)</f>
        <v>0</v>
      </c>
      <c r="BC183" s="13">
        <f>IF($AB$127="si",BC173,0)</f>
        <v>0</v>
      </c>
      <c r="BD183" s="13">
        <f>IF($AB$127="si",BD173,0)</f>
        <v>0</v>
      </c>
      <c r="BE183" s="13">
        <f>IF($AB$128="si",BE173,0)</f>
        <v>0</v>
      </c>
      <c r="BF183" s="13">
        <f>IF($AB$128="si",BF173,0)</f>
        <v>0</v>
      </c>
      <c r="BG183" s="13">
        <f>IF($AB$129="si",BG173,0)</f>
        <v>0</v>
      </c>
      <c r="BH183" s="13">
        <f>IF($AB$129="si",BH173,0)</f>
        <v>0</v>
      </c>
      <c r="BI183" s="13">
        <f>IF($AB$130="si",BI173,0)</f>
        <v>0</v>
      </c>
      <c r="BJ183" s="13">
        <f>IF($AB$130="si",BJ173,0)</f>
        <v>0</v>
      </c>
      <c r="BK183" s="13">
        <f>IF($AB$131="si",BK173,0)</f>
        <v>3.135629568394575E-16</v>
      </c>
      <c r="BL183" s="13">
        <f>IF($AB$131="si",BL173,0)</f>
        <v>-5.1187748812505367</v>
      </c>
      <c r="BM183" s="13">
        <f>IF($AB$132="si",BM173,0)</f>
        <v>-1.5930445940412599</v>
      </c>
      <c r="BN183" s="13">
        <f>IF($AB$132="si",BN173,0)</f>
        <v>-5.0747045209462627</v>
      </c>
      <c r="BO183" s="13">
        <f>IF($AB$133="si",BO173,0)</f>
        <v>-3.1840614875621549</v>
      </c>
      <c r="BP183" s="13">
        <f>IF($AB$133="si",BP173,0)</f>
        <v>-4.941175224952592</v>
      </c>
      <c r="BQ183" s="13">
        <f>IF($AB$134="si",BQ173,0)</f>
        <v>-4.7708405610154339</v>
      </c>
      <c r="BR183" s="13">
        <f>IF($AB$134="si",BR173,0)</f>
        <v>-4.7140125878124106</v>
      </c>
      <c r="BS183" s="13">
        <f>IF($AB$135="si",BS173,0)</f>
        <v>-6.3507510164986254</v>
      </c>
      <c r="BT183" s="13">
        <f>IF($AB$135="si",BT173,0)</f>
        <v>-4.3854380742469932</v>
      </c>
      <c r="BU183" s="13">
        <f>IF($AB$136="si",BU173,0)</f>
        <v>-7.9203525072857337</v>
      </c>
      <c r="BV183" s="13">
        <f>IF($AB$136="si",BV173,0)</f>
        <v>-3.94246237888771</v>
      </c>
      <c r="BW183" s="13">
        <f t="shared" ref="BW183:CJ183" si="260">+BW173</f>
        <v>-8.9999999459306821</v>
      </c>
      <c r="BX183" s="13">
        <f t="shared" si="260"/>
        <v>9.8653318721356924E-4</v>
      </c>
      <c r="BY183" s="13">
        <f t="shared" si="260"/>
        <v>0</v>
      </c>
      <c r="BZ183" s="13">
        <f t="shared" si="260"/>
        <v>0</v>
      </c>
      <c r="CA183" s="13">
        <f t="shared" si="260"/>
        <v>0</v>
      </c>
      <c r="CB183" s="13">
        <f t="shared" si="260"/>
        <v>0</v>
      </c>
      <c r="CC183" s="13">
        <f t="shared" si="260"/>
        <v>0</v>
      </c>
      <c r="CD183" s="13">
        <f t="shared" si="260"/>
        <v>0</v>
      </c>
      <c r="CE183" s="13">
        <f t="shared" si="260"/>
        <v>0</v>
      </c>
      <c r="CF183" s="13">
        <f t="shared" si="260"/>
        <v>0</v>
      </c>
      <c r="CG183" s="13">
        <f t="shared" si="260"/>
        <v>0</v>
      </c>
      <c r="CH183" s="13">
        <f t="shared" si="260"/>
        <v>0</v>
      </c>
      <c r="CI183" s="13" t="e">
        <f t="shared" si="260"/>
        <v>#NUM!</v>
      </c>
      <c r="CJ183" s="13" t="e">
        <f t="shared" si="260"/>
        <v>#NUM!</v>
      </c>
    </row>
    <row r="184" spans="1:88" x14ac:dyDescent="0.25">
      <c r="A184" s="95" t="s">
        <v>92</v>
      </c>
      <c r="B184" s="95">
        <v>21</v>
      </c>
      <c r="C184" s="315"/>
      <c r="D184" s="315"/>
      <c r="E184" s="316"/>
      <c r="L184" s="95" t="s">
        <v>92</v>
      </c>
      <c r="M184" s="95">
        <v>21</v>
      </c>
      <c r="N184" s="315"/>
      <c r="O184" s="315"/>
      <c r="P184" s="316"/>
      <c r="AB184" s="39">
        <v>0.26041666666666669</v>
      </c>
      <c r="AC184">
        <f t="shared" ref="AC184:AC231" si="261">+AC183-3.75</f>
        <v>86.25</v>
      </c>
      <c r="AD184" s="38">
        <f t="shared" si="249"/>
        <v>3.3851573394341568</v>
      </c>
      <c r="AE184" s="38">
        <f t="shared" si="250"/>
        <v>91.664072106944801</v>
      </c>
      <c r="AG184">
        <f t="shared" si="255"/>
        <v>8.6614842660565845</v>
      </c>
      <c r="AH184">
        <f t="shared" si="256"/>
        <v>-1.6640721069448006</v>
      </c>
      <c r="AI184" s="94">
        <f t="shared" si="257"/>
        <v>8.6578314246765178</v>
      </c>
      <c r="AJ184" s="94">
        <f t="shared" si="258"/>
        <v>-0.25152477617433383</v>
      </c>
      <c r="AK184" s="43"/>
      <c r="AN184" s="324"/>
      <c r="AO184" s="45">
        <f t="shared" ref="AO184:AX184" si="262">+AQ172</f>
        <v>0</v>
      </c>
      <c r="AP184" s="45">
        <f t="shared" si="262"/>
        <v>0</v>
      </c>
      <c r="AQ184" s="45">
        <f t="shared" si="262"/>
        <v>0</v>
      </c>
      <c r="AR184" s="45">
        <f t="shared" si="262"/>
        <v>0</v>
      </c>
      <c r="AS184" s="45">
        <f t="shared" si="262"/>
        <v>0</v>
      </c>
      <c r="AT184" s="45">
        <f t="shared" si="262"/>
        <v>0</v>
      </c>
      <c r="AU184" s="45">
        <f t="shared" si="262"/>
        <v>0</v>
      </c>
      <c r="AV184" s="45">
        <f t="shared" si="262"/>
        <v>0</v>
      </c>
      <c r="AW184" s="45">
        <f t="shared" si="262"/>
        <v>8.9999999459306821</v>
      </c>
      <c r="AX184" s="45">
        <f t="shared" si="262"/>
        <v>9.8653318720904812E-4</v>
      </c>
      <c r="AY184" s="45">
        <f>IF($AB$125="si",BA172,0)</f>
        <v>0</v>
      </c>
      <c r="AZ184" s="45">
        <f>IF($AB$125="si",BB172,0)</f>
        <v>0</v>
      </c>
      <c r="BA184" s="45">
        <f>IF($AB$126="si",BC172,0)</f>
        <v>0</v>
      </c>
      <c r="BB184" s="45">
        <f>IF($AB$126="si",BD172,0)</f>
        <v>0</v>
      </c>
      <c r="BC184" s="45">
        <f>IF($AB$127="si",BE172,0)</f>
        <v>0</v>
      </c>
      <c r="BD184" s="45">
        <f>IF($AB$127="si",BF172,0)</f>
        <v>0</v>
      </c>
      <c r="BE184" s="45">
        <f>IF($AB$128="si",BG172,0)</f>
        <v>0</v>
      </c>
      <c r="BF184" s="45">
        <f>IF($AB$128="si",BH172,0)</f>
        <v>0</v>
      </c>
      <c r="BG184" s="45">
        <f>IF($AB$129="si",BI172,0)</f>
        <v>0</v>
      </c>
      <c r="BH184" s="45">
        <f>IF($AB$129="si",BJ172,0)</f>
        <v>0</v>
      </c>
      <c r="BI184" s="45">
        <f>IF($AB$130="si",BK172,0)</f>
        <v>0</v>
      </c>
      <c r="BJ184" s="45">
        <f>IF($AB$130="si",BL172,0)</f>
        <v>0</v>
      </c>
      <c r="BK184" s="45">
        <f>IF($AB$131="si",BM172,0)</f>
        <v>-1.5893183907474944</v>
      </c>
      <c r="BL184" s="45">
        <f>IF($AB$131="si",BN172,0)</f>
        <v>-5.2107114643622552</v>
      </c>
      <c r="BM184" s="45">
        <f>IF($AB$132="si",BO172,0)</f>
        <v>-3.176706382874344</v>
      </c>
      <c r="BN184" s="45">
        <f>IF($AB$132="si",BP172,0)</f>
        <v>-5.0827616950162984</v>
      </c>
      <c r="BO184" s="45">
        <f>IF($AB$133="si",BQ172,0)</f>
        <v>-4.7600861515158259</v>
      </c>
      <c r="BP184" s="45">
        <f>IF($AB$133="si",BR172,0)</f>
        <v>-4.865498401345616</v>
      </c>
      <c r="BQ184" s="45">
        <f>IF($AB$134="si",BS172,0)</f>
        <v>-6.3370457173808692</v>
      </c>
      <c r="BR184" s="45">
        <f>IF($AB$134="si",BT172,0)</f>
        <v>-4.5521886371757248</v>
      </c>
      <c r="BS184" s="45">
        <f>IF($AB$135="si",IF(BU156=9,DJ104,BU172),0)</f>
        <v>-7.9045474322355096</v>
      </c>
      <c r="BT184" s="45">
        <f>IF($AB$135="si",IF(BU156=9,DK104,BV172),0)</f>
        <v>-4.1316644606747346</v>
      </c>
      <c r="BU184" s="45">
        <f>IF($AB$136="si",IF(BW172&lt;=-8.99,DJ105,BW172),0)</f>
        <v>-8.0128353242451471</v>
      </c>
      <c r="BV184" s="45">
        <f>IF($AB$136="si",IF(BW172&lt;=-8.99,DK105,BX172),0)</f>
        <v>-4.098105668053126</v>
      </c>
      <c r="BW184" s="45">
        <f t="shared" ref="BW184:CJ184" si="263">+BY172</f>
        <v>0</v>
      </c>
      <c r="BX184" s="45">
        <f t="shared" si="263"/>
        <v>0</v>
      </c>
      <c r="BY184" s="45">
        <f t="shared" si="263"/>
        <v>0</v>
      </c>
      <c r="BZ184" s="45">
        <f t="shared" si="263"/>
        <v>0</v>
      </c>
      <c r="CA184" s="45">
        <f t="shared" si="263"/>
        <v>0</v>
      </c>
      <c r="CB184" s="45">
        <f t="shared" si="263"/>
        <v>0</v>
      </c>
      <c r="CC184" s="45">
        <f t="shared" si="263"/>
        <v>0</v>
      </c>
      <c r="CD184" s="45">
        <f t="shared" si="263"/>
        <v>0</v>
      </c>
      <c r="CE184" s="45">
        <f t="shared" si="263"/>
        <v>0</v>
      </c>
      <c r="CF184" s="45">
        <f t="shared" si="263"/>
        <v>0</v>
      </c>
      <c r="CG184" s="45" t="e">
        <f t="shared" si="263"/>
        <v>#NUM!</v>
      </c>
      <c r="CH184" s="45" t="e">
        <f t="shared" si="263"/>
        <v>#NUM!</v>
      </c>
      <c r="CI184" s="45">
        <f t="shared" si="263"/>
        <v>0</v>
      </c>
      <c r="CJ184" s="45">
        <f t="shared" si="263"/>
        <v>0</v>
      </c>
    </row>
    <row r="185" spans="1:88" x14ac:dyDescent="0.25">
      <c r="A185" s="95" t="s">
        <v>91</v>
      </c>
      <c r="B185" s="95">
        <v>3</v>
      </c>
      <c r="C185" s="315"/>
      <c r="D185" s="315"/>
      <c r="E185" s="316"/>
      <c r="L185" s="95" t="s">
        <v>91</v>
      </c>
      <c r="M185" s="95">
        <v>3</v>
      </c>
      <c r="N185" s="315"/>
      <c r="O185" s="315"/>
      <c r="P185" s="316"/>
      <c r="AB185" s="39">
        <v>0.27083333333333298</v>
      </c>
      <c r="AC185">
        <f t="shared" si="261"/>
        <v>82.5</v>
      </c>
      <c r="AD185" s="38">
        <f t="shared" si="249"/>
        <v>6.906064516999745</v>
      </c>
      <c r="AE185" s="38">
        <f t="shared" si="250"/>
        <v>92.959856783647226</v>
      </c>
      <c r="AG185">
        <f t="shared" si="255"/>
        <v>8.3093935483000259</v>
      </c>
      <c r="AH185">
        <f t="shared" si="256"/>
        <v>-2.9598567836472256</v>
      </c>
      <c r="AI185" s="94">
        <f t="shared" si="257"/>
        <v>8.2983084671054144</v>
      </c>
      <c r="AJ185" s="94">
        <f t="shared" si="258"/>
        <v>-0.42906610830579422</v>
      </c>
      <c r="AK185" s="4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</row>
    <row r="186" spans="1:88" x14ac:dyDescent="0.25">
      <c r="C186" s="93">
        <f>+IF(B185=$AI$63,B184,IF(B185=$AJ$63,$AI$64+B184,IF(B185=$AK$63,$AI$64+$AJ$64+B184,IF(B185=$AL$63,$AI$64+$AJ$64+$AK$64+B184,IF(B185=$AM$63,$AI$64+$AJ$64+$AK$64+$AL$64+B184,IF(B185=$AN$63,$AI$64+$AJ$64+$AK$64+$AL$64+$AM$64+B184,IF(B185=$AO$63,$AI$64+$AJ$64+$AK$64+$AL$64+$AM$64+$AN$64+B184,IF(B185=$AP$63,$AI$64+$AJ$64+$AK$64+$AL$64+$AM$64+$AN$64+$AO$64+B184,IF(B185=$AQ$63,$AI$64+$AJ$64+$AK$64+$AL$64+$AM$64+$AN$64+$AO$64+$AP$64+B184,IF(B185=$AR$63,$AI$64+$AJ$64+$AK$64+$AL$64+$AM$64+$AN$64+$AO$64+$AP$64+$AQ$64+B184,IF(B185=$AS$63,$AI$64+$AJ$64+$AK$64+$AL$64+$AM$64+$AN$64+$AO$64+$AP$64+$AQ$64+$AR$64+B184,IF(B185=$AT$63,$AI$64+$AJ$64+$AK$64+$AL$64+$AM$64+$AN$64+$AO$64+$AP$64+$AQ$64+$AR$64+$AS$64+B184,"error"))))))))))))</f>
        <v>80</v>
      </c>
      <c r="D186" s="38">
        <f>23.45*SIN(RADIANS(360*((284+C186)/365)))</f>
        <v>-0.40365320185431652</v>
      </c>
      <c r="E186" s="95">
        <v>5</v>
      </c>
      <c r="N186" s="93">
        <f>+IF(M185=$AI$63,M184,IF(M185=$AJ$63,$AI$64+M184,IF(M185=$AK$63,$AI$64+$AJ$64+M184,IF(M185=$AL$63,$AI$64+$AJ$64+$AK$64+M184,IF(M185=$AM$63,$AI$64+$AJ$64+$AK$64+$AL$64+M184,IF(M185=$AN$63,$AI$64+$AJ$64+$AK$64+$AL$64+$AM$64+M184,IF(M185=$AO$63,$AI$64+$AJ$64+$AK$64+$AL$64+$AM$64+$AN$64+M184,IF(M185=$AP$63,$AI$64+$AJ$64+$AK$64+$AL$64+$AM$64+$AN$64+$AO$64+M184,IF(M185=$AQ$63,$AI$64+$AJ$64+$AK$64+$AL$64+$AM$64+$AN$64+$AO$64+$AP$64+M184,IF(M185=$AR$63,$AI$64+$AJ$64+$AK$64+$AL$64+$AM$64+$AN$64+$AO$64+$AP$64+$AQ$64+M184,IF(M185=$AS$63,$AI$64+$AJ$64+$AK$64+$AL$64+$AM$64+$AN$64+$AO$64+$AP$64+$AQ$64+$AR$64+M184,IF(M185=$AT$63,$AI$64+$AJ$64+$AK$64+$AL$64+$AM$64+$AN$64+$AO$64+$AP$64+$AQ$64+$AR$64+$AS$64+M184,"error"))))))))))))</f>
        <v>80</v>
      </c>
      <c r="O186" s="38">
        <f>23.45*SIN(RADIANS(360*((284+N186)/365)))</f>
        <v>-0.40365320185431652</v>
      </c>
      <c r="P186" s="95">
        <v>10</v>
      </c>
      <c r="AB186" s="39">
        <v>0.28125</v>
      </c>
      <c r="AC186">
        <f t="shared" si="261"/>
        <v>78.75</v>
      </c>
      <c r="AD186" s="38">
        <f t="shared" si="249"/>
        <v>10.422818614788163</v>
      </c>
      <c r="AE186" s="38">
        <f t="shared" si="250"/>
        <v>94.276735524728338</v>
      </c>
      <c r="AG186">
        <f t="shared" si="255"/>
        <v>7.9577181385211837</v>
      </c>
      <c r="AH186">
        <f t="shared" si="256"/>
        <v>-4.2767355247283376</v>
      </c>
      <c r="AI186" s="94">
        <f t="shared" si="257"/>
        <v>7.9355598390257569</v>
      </c>
      <c r="AJ186" s="94">
        <f t="shared" si="258"/>
        <v>-0.59343745533170145</v>
      </c>
      <c r="AK186" s="43"/>
      <c r="AN186" s="322" t="s">
        <v>103</v>
      </c>
      <c r="AO186" s="46">
        <f t="shared" ref="AO186:AX186" si="264">+AO173</f>
        <v>0</v>
      </c>
      <c r="AP186" s="46">
        <f t="shared" si="264"/>
        <v>0</v>
      </c>
      <c r="AQ186" s="46">
        <f t="shared" si="264"/>
        <v>0</v>
      </c>
      <c r="AR186" s="46">
        <f t="shared" si="264"/>
        <v>0</v>
      </c>
      <c r="AS186" s="46">
        <f t="shared" si="264"/>
        <v>0</v>
      </c>
      <c r="AT186" s="46">
        <f t="shared" si="264"/>
        <v>0</v>
      </c>
      <c r="AU186" s="46">
        <f t="shared" si="264"/>
        <v>0</v>
      </c>
      <c r="AV186" s="46">
        <f t="shared" si="264"/>
        <v>0</v>
      </c>
      <c r="AW186" s="46">
        <f t="shared" si="264"/>
        <v>0</v>
      </c>
      <c r="AX186" s="46">
        <f t="shared" si="264"/>
        <v>0</v>
      </c>
      <c r="AY186" s="46">
        <f>IF($AD$125="si",IF(AY173&gt;=8.99,AV93,AY173),0)</f>
        <v>0</v>
      </c>
      <c r="AZ186" s="46">
        <f>IF($AD$125="si",IF(AY173&gt;=8.99,AW93,AZ173),0)</f>
        <v>0</v>
      </c>
      <c r="BA186" s="46">
        <f>IF($AD$126="si",BA173,0)</f>
        <v>0</v>
      </c>
      <c r="BB186" s="46">
        <f>IF($AD$126="si",BB173,0)</f>
        <v>0</v>
      </c>
      <c r="BC186" s="46">
        <f>IF($AD$127="si",BC173,0)</f>
        <v>0</v>
      </c>
      <c r="BD186" s="46">
        <f>IF($AD$127="si",BD173,0)</f>
        <v>0</v>
      </c>
      <c r="BE186" s="46">
        <f>IF($AD$128="si",BE173,0)</f>
        <v>0</v>
      </c>
      <c r="BF186" s="46">
        <f>IF($AD$128="si",BF173,0)</f>
        <v>0</v>
      </c>
      <c r="BG186" s="46">
        <f>IF($AD$129="si",BG173,0)</f>
        <v>0</v>
      </c>
      <c r="BH186" s="46">
        <f>IF($AD$129="si",BH173,0)</f>
        <v>0</v>
      </c>
      <c r="BI186" s="46">
        <f>IF($AD$130="si",BI173,0)</f>
        <v>1.5930445940412605</v>
      </c>
      <c r="BJ186" s="46">
        <f>IF($AD$130="si",BJ173,0)</f>
        <v>-5.0747045209462618</v>
      </c>
      <c r="BK186" s="46">
        <f>IF($AD$131="si",BK173,0)</f>
        <v>3.135629568394575E-16</v>
      </c>
      <c r="BL186" s="46">
        <f>IF($AD$131="si",BL173,0)</f>
        <v>-5.1187748812505367</v>
      </c>
      <c r="BM186" s="46">
        <f>IF($AD$132="si",BM173,0)</f>
        <v>-1.5930445940412599</v>
      </c>
      <c r="BN186" s="46">
        <f>IF($AD$132="si",BN173,0)</f>
        <v>-5.0747045209462627</v>
      </c>
      <c r="BO186" s="46">
        <f>IF($AD$133="si",BO173,0)</f>
        <v>-3.1840614875621549</v>
      </c>
      <c r="BP186" s="46">
        <f>IF($AD$133="si",BP173,0)</f>
        <v>-4.941175224952592</v>
      </c>
      <c r="BQ186" s="46">
        <f>IF($AD$134="si",BQ173,0)</f>
        <v>-4.7708405610154339</v>
      </c>
      <c r="BR186" s="46">
        <f>IF($AD$134="si",BR173,0)</f>
        <v>-4.7140125878124106</v>
      </c>
      <c r="BS186" s="46">
        <f>IF($AD$135="si",BS173,0)</f>
        <v>-6.3507510164986254</v>
      </c>
      <c r="BT186" s="46">
        <f>IF($AD$135="si",BT173,0)</f>
        <v>-4.3854380742469932</v>
      </c>
      <c r="BU186" s="46">
        <f>IF($AD$136="si",BU173,0)</f>
        <v>-7.9203525072857337</v>
      </c>
      <c r="BV186" s="46">
        <f>IF($AD$136="si",BV173,0)</f>
        <v>-3.94246237888771</v>
      </c>
      <c r="BW186" s="46">
        <f t="shared" ref="BW186:CJ186" si="265">+BW173</f>
        <v>-8.9999999459306821</v>
      </c>
      <c r="BX186" s="46">
        <f t="shared" si="265"/>
        <v>9.8653318721356924E-4</v>
      </c>
      <c r="BY186" s="46">
        <f t="shared" si="265"/>
        <v>0</v>
      </c>
      <c r="BZ186" s="46">
        <f t="shared" si="265"/>
        <v>0</v>
      </c>
      <c r="CA186" s="46">
        <f t="shared" si="265"/>
        <v>0</v>
      </c>
      <c r="CB186" s="46">
        <f t="shared" si="265"/>
        <v>0</v>
      </c>
      <c r="CC186" s="46">
        <f t="shared" si="265"/>
        <v>0</v>
      </c>
      <c r="CD186" s="46">
        <f t="shared" si="265"/>
        <v>0</v>
      </c>
      <c r="CE186" s="46">
        <f t="shared" si="265"/>
        <v>0</v>
      </c>
      <c r="CF186" s="46">
        <f t="shared" si="265"/>
        <v>0</v>
      </c>
      <c r="CG186" s="46">
        <f t="shared" si="265"/>
        <v>0</v>
      </c>
      <c r="CH186" s="46">
        <f t="shared" si="265"/>
        <v>0</v>
      </c>
      <c r="CI186" s="46" t="e">
        <f t="shared" si="265"/>
        <v>#NUM!</v>
      </c>
      <c r="CJ186" s="46" t="e">
        <f t="shared" si="265"/>
        <v>#NUM!</v>
      </c>
    </row>
    <row r="187" spans="1:88" x14ac:dyDescent="0.25">
      <c r="B187" s="317" t="s">
        <v>90</v>
      </c>
      <c r="C187" s="315"/>
      <c r="D187" s="315"/>
      <c r="E187" s="315"/>
      <c r="G187" s="319" t="s">
        <v>89</v>
      </c>
      <c r="H187" s="319"/>
      <c r="I187" s="319" t="s">
        <v>42</v>
      </c>
      <c r="J187" s="319" t="s">
        <v>43</v>
      </c>
      <c r="M187" s="317" t="s">
        <v>90</v>
      </c>
      <c r="N187" s="315"/>
      <c r="O187" s="315"/>
      <c r="P187" s="315"/>
      <c r="R187" s="319" t="s">
        <v>89</v>
      </c>
      <c r="S187" s="319"/>
      <c r="T187" s="319" t="s">
        <v>42</v>
      </c>
      <c r="U187" s="319" t="s">
        <v>43</v>
      </c>
      <c r="AB187" s="39">
        <v>0.29166666666666702</v>
      </c>
      <c r="AC187">
        <f t="shared" si="261"/>
        <v>75</v>
      </c>
      <c r="AD187" s="38">
        <f t="shared" si="249"/>
        <v>13.933453227779413</v>
      </c>
      <c r="AE187" s="38">
        <f t="shared" si="250"/>
        <v>95.62536737544977</v>
      </c>
      <c r="AG187">
        <f t="shared" si="255"/>
        <v>7.6066546772220587</v>
      </c>
      <c r="AH187">
        <f t="shared" si="256"/>
        <v>-5.6253673754497697</v>
      </c>
      <c r="AI187" s="94">
        <f t="shared" si="257"/>
        <v>7.5700217750763867</v>
      </c>
      <c r="AJ187" s="94">
        <f t="shared" si="258"/>
        <v>-0.74563107725843436</v>
      </c>
      <c r="AK187" s="43"/>
      <c r="AN187" s="323"/>
      <c r="AO187" s="13">
        <f t="shared" ref="AO187:AX187" si="266">+AQ174</f>
        <v>0</v>
      </c>
      <c r="AP187" s="13">
        <f t="shared" si="266"/>
        <v>0</v>
      </c>
      <c r="AQ187" s="13">
        <f t="shared" si="266"/>
        <v>0</v>
      </c>
      <c r="AR187" s="13">
        <f t="shared" si="266"/>
        <v>0</v>
      </c>
      <c r="AS187" s="13">
        <f t="shared" si="266"/>
        <v>0</v>
      </c>
      <c r="AT187" s="13">
        <f t="shared" si="266"/>
        <v>0</v>
      </c>
      <c r="AU187" s="13">
        <f t="shared" si="266"/>
        <v>0</v>
      </c>
      <c r="AV187" s="13">
        <f t="shared" si="266"/>
        <v>0</v>
      </c>
      <c r="AW187" s="13">
        <f t="shared" si="266"/>
        <v>8.9999999459306821</v>
      </c>
      <c r="AX187" s="13">
        <f t="shared" si="266"/>
        <v>9.8653318720904812E-4</v>
      </c>
      <c r="AY187" s="13">
        <f>IF($AD$125="si",BA174,0)</f>
        <v>0</v>
      </c>
      <c r="AZ187" s="13">
        <f>IF($AD$125="si",BB174,0)</f>
        <v>0</v>
      </c>
      <c r="BA187" s="13">
        <f>IF($AD$126="si",BC174,0)</f>
        <v>0</v>
      </c>
      <c r="BB187" s="13">
        <f>IF($AD$126="si",BD174,0)</f>
        <v>0</v>
      </c>
      <c r="BC187" s="13">
        <f>IF($AD$127="si",BE174,0)</f>
        <v>0</v>
      </c>
      <c r="BD187" s="13">
        <f>IF($AD$127="si",BF174,0)</f>
        <v>0</v>
      </c>
      <c r="BE187" s="13">
        <f>IF($AD$128="si",BG174,0)</f>
        <v>0</v>
      </c>
      <c r="BF187" s="13">
        <f>IF($AD$128="si",BH174,0)</f>
        <v>0</v>
      </c>
      <c r="BG187" s="13">
        <f>IF($AD$129="si",BI174,0)</f>
        <v>0</v>
      </c>
      <c r="BH187" s="13">
        <f>IF($AD$129="si",BJ174,0)</f>
        <v>0</v>
      </c>
      <c r="BI187" s="13">
        <f>IF($AD$130="si",BK174,0)</f>
        <v>2.7224891574812041E-16</v>
      </c>
      <c r="BJ187" s="13">
        <f>IF($AD$130="si",BL174,0)</f>
        <v>-4.4443416576553023</v>
      </c>
      <c r="BK187" s="13">
        <f>IF($AD$131="si",BM174,0)</f>
        <v>-1.6018208347188794</v>
      </c>
      <c r="BL187" s="13">
        <f>IF($AD$131="si",BN174,0)</f>
        <v>-4.391641371063292</v>
      </c>
      <c r="BM187" s="13">
        <f>IF($AD$132="si",BO174,0)</f>
        <v>-3.2006010638105553</v>
      </c>
      <c r="BN187" s="13">
        <f>IF($AD$132="si",BP174,0)</f>
        <v>-4.2314384754301173</v>
      </c>
      <c r="BO187" s="13">
        <f>IF($AD$133="si",BQ174,0)</f>
        <v>-4.792837582647314</v>
      </c>
      <c r="BP187" s="13">
        <f>IF($AD$133="si",BR174,0)</f>
        <v>-3.957044423114219</v>
      </c>
      <c r="BQ187" s="13">
        <f>IF($AD$134="si",BS174,0)</f>
        <v>-6.3739216297498285</v>
      </c>
      <c r="BR187" s="13">
        <f>IF($AD$134="si",BT174,0)</f>
        <v>-3.5558862780284506</v>
      </c>
      <c r="BS187" s="13">
        <f>IF($AD$135="si",BU174,0)</f>
        <v>-7.9370035218323398</v>
      </c>
      <c r="BT187" s="13">
        <f>IF($AD$135="si",BV174,0)</f>
        <v>-3.0067397074242268</v>
      </c>
      <c r="BU187" s="13">
        <f>IF($AD$136="si",IF(BW174&lt;=-8.99,BG105,BW174),0)</f>
        <v>-8.5764693111567532</v>
      </c>
      <c r="BV187" s="13">
        <f>IF($AD$136="si",IF(BW174&lt;=-8.99,BH105,BX174),0)</f>
        <v>-2.7284013918018726</v>
      </c>
      <c r="BW187" s="13">
        <f t="shared" ref="BW187:CJ187" si="267">+BY174</f>
        <v>0</v>
      </c>
      <c r="BX187" s="13">
        <f t="shared" si="267"/>
        <v>0</v>
      </c>
      <c r="BY187" s="13">
        <f t="shared" si="267"/>
        <v>0</v>
      </c>
      <c r="BZ187" s="13">
        <f t="shared" si="267"/>
        <v>0</v>
      </c>
      <c r="CA187" s="13">
        <f t="shared" si="267"/>
        <v>0</v>
      </c>
      <c r="CB187" s="13">
        <f t="shared" si="267"/>
        <v>0</v>
      </c>
      <c r="CC187" s="13">
        <f t="shared" si="267"/>
        <v>0</v>
      </c>
      <c r="CD187" s="13">
        <f t="shared" si="267"/>
        <v>0</v>
      </c>
      <c r="CE187" s="13">
        <f t="shared" si="267"/>
        <v>0</v>
      </c>
      <c r="CF187" s="13">
        <f t="shared" si="267"/>
        <v>0</v>
      </c>
      <c r="CG187" s="13" t="e">
        <f t="shared" si="267"/>
        <v>#NUM!</v>
      </c>
      <c r="CH187" s="13" t="e">
        <f t="shared" si="267"/>
        <v>#NUM!</v>
      </c>
      <c r="CI187" s="13">
        <f t="shared" si="267"/>
        <v>0</v>
      </c>
      <c r="CJ187" s="13">
        <f t="shared" si="267"/>
        <v>0</v>
      </c>
    </row>
    <row r="188" spans="1:88" x14ac:dyDescent="0.25">
      <c r="B188" s="318"/>
      <c r="C188" s="315"/>
      <c r="D188" s="315"/>
      <c r="E188" s="315"/>
      <c r="G188" s="319"/>
      <c r="H188" s="319"/>
      <c r="I188" s="319"/>
      <c r="J188" s="319"/>
      <c r="M188" s="318"/>
      <c r="N188" s="315"/>
      <c r="O188" s="315"/>
      <c r="P188" s="315"/>
      <c r="R188" s="319"/>
      <c r="S188" s="319"/>
      <c r="T188" s="319"/>
      <c r="U188" s="319"/>
      <c r="AB188" s="39">
        <v>0.30208333333333398</v>
      </c>
      <c r="AC188">
        <f t="shared" si="261"/>
        <v>71.25</v>
      </c>
      <c r="AD188" s="38">
        <f t="shared" si="249"/>
        <v>17.435817380434113</v>
      </c>
      <c r="AE188" s="38">
        <f t="shared" si="250"/>
        <v>97.017326785890148</v>
      </c>
      <c r="AG188">
        <f t="shared" si="255"/>
        <v>7.2564182619565889</v>
      </c>
      <c r="AH188">
        <f t="shared" si="256"/>
        <v>-7.0173267858901482</v>
      </c>
      <c r="AI188" s="94">
        <f t="shared" si="257"/>
        <v>7.2020622600263913</v>
      </c>
      <c r="AJ188" s="94">
        <f t="shared" si="258"/>
        <v>-0.88651294133849456</v>
      </c>
      <c r="AK188" s="43"/>
      <c r="AN188" s="323"/>
      <c r="AO188" s="13">
        <f t="shared" ref="AO188:AX188" si="268">+AO174</f>
        <v>0</v>
      </c>
      <c r="AP188" s="13">
        <f t="shared" si="268"/>
        <v>0</v>
      </c>
      <c r="AQ188" s="13">
        <f t="shared" si="268"/>
        <v>0</v>
      </c>
      <c r="AR188" s="13">
        <f t="shared" si="268"/>
        <v>0</v>
      </c>
      <c r="AS188" s="13">
        <f t="shared" si="268"/>
        <v>0</v>
      </c>
      <c r="AT188" s="13">
        <f t="shared" si="268"/>
        <v>0</v>
      </c>
      <c r="AU188" s="13">
        <f t="shared" si="268"/>
        <v>0</v>
      </c>
      <c r="AV188" s="13">
        <f t="shared" si="268"/>
        <v>0</v>
      </c>
      <c r="AW188" s="13">
        <f t="shared" si="268"/>
        <v>0</v>
      </c>
      <c r="AX188" s="13">
        <f t="shared" si="268"/>
        <v>0</v>
      </c>
      <c r="AY188" s="13">
        <f>IF($AD$125="si",IF(AY174&gt;=8.99,BG93,AY174),0)</f>
        <v>0</v>
      </c>
      <c r="AZ188" s="13">
        <f>IF($AD$125="si",IF(AY174&gt;=8.99,BH93,AZ174),0)</f>
        <v>0</v>
      </c>
      <c r="BA188" s="13">
        <f>IF($AD$126="si",BA174,0)</f>
        <v>0</v>
      </c>
      <c r="BB188" s="13">
        <f>IF($AD$126="si",BB174,0)</f>
        <v>0</v>
      </c>
      <c r="BC188" s="13">
        <f>IF($AD$127="si",BC174,0)</f>
        <v>0</v>
      </c>
      <c r="BD188" s="13">
        <f>IF($AD$127="si",BD174,0)</f>
        <v>0</v>
      </c>
      <c r="BE188" s="13">
        <f>IF($AD$128="si",BE174,0)</f>
        <v>0</v>
      </c>
      <c r="BF188" s="13">
        <f>IF($AD$128="si",BF174,0)</f>
        <v>0</v>
      </c>
      <c r="BG188" s="13">
        <f>IF($AD$129="si",BG174,0)</f>
        <v>0</v>
      </c>
      <c r="BH188" s="13">
        <f>IF($AD$129="si",BH174,0)</f>
        <v>0</v>
      </c>
      <c r="BI188" s="13">
        <f>IF($AD$130="si",BI174,0)</f>
        <v>1.6018208347188778</v>
      </c>
      <c r="BJ188" s="13">
        <f>IF($AD$130="si",BJ174,0)</f>
        <v>-4.3916413710632929</v>
      </c>
      <c r="BK188" s="13">
        <f>IF($AD$131="si",BK174,0)</f>
        <v>2.7224891574812041E-16</v>
      </c>
      <c r="BL188" s="13">
        <f>IF($AD$131="si",BL174,0)</f>
        <v>-4.4443416576553023</v>
      </c>
      <c r="BM188" s="13">
        <f>IF($AD$132="si",BM174,0)</f>
        <v>-1.6018208347188794</v>
      </c>
      <c r="BN188" s="13">
        <f>IF($AD$132="si",BN174,0)</f>
        <v>-4.391641371063292</v>
      </c>
      <c r="BO188" s="13">
        <f>IF($AD$133="si",BO174,0)</f>
        <v>-3.2006010638105553</v>
      </c>
      <c r="BP188" s="13">
        <f>IF($AD$133="si",BP174,0)</f>
        <v>-4.2314384754301173</v>
      </c>
      <c r="BQ188" s="13">
        <f>IF($AD$134="si",BQ174,0)</f>
        <v>-4.792837582647314</v>
      </c>
      <c r="BR188" s="13">
        <f>IF($AD$134="si",BR174,0)</f>
        <v>-3.957044423114219</v>
      </c>
      <c r="BS188" s="13">
        <f>IF($AD$135="si",BS174,0)</f>
        <v>-6.3739216297498285</v>
      </c>
      <c r="BT188" s="13">
        <f>IF($AD$135="si",BT174,0)</f>
        <v>-3.5558862780284506</v>
      </c>
      <c r="BU188" s="13">
        <f>IF($AD$136="si",BU174,0)</f>
        <v>-7.9370035218323398</v>
      </c>
      <c r="BV188" s="13">
        <f>IF($AD$136="si",BV174,0)</f>
        <v>-3.0067397074242268</v>
      </c>
      <c r="BW188" s="13">
        <f t="shared" ref="BW188:CJ188" si="269">+BW174</f>
        <v>-8.9999999459306821</v>
      </c>
      <c r="BX188" s="13">
        <f t="shared" si="269"/>
        <v>9.8653318721356924E-4</v>
      </c>
      <c r="BY188" s="13">
        <f t="shared" si="269"/>
        <v>0</v>
      </c>
      <c r="BZ188" s="13">
        <f t="shared" si="269"/>
        <v>0</v>
      </c>
      <c r="CA188" s="13">
        <f t="shared" si="269"/>
        <v>0</v>
      </c>
      <c r="CB188" s="13">
        <f t="shared" si="269"/>
        <v>0</v>
      </c>
      <c r="CC188" s="13">
        <f t="shared" si="269"/>
        <v>0</v>
      </c>
      <c r="CD188" s="13">
        <f t="shared" si="269"/>
        <v>0</v>
      </c>
      <c r="CE188" s="13">
        <f t="shared" si="269"/>
        <v>0</v>
      </c>
      <c r="CF188" s="13">
        <f t="shared" si="269"/>
        <v>0</v>
      </c>
      <c r="CG188" s="13">
        <f t="shared" si="269"/>
        <v>0</v>
      </c>
      <c r="CH188" s="13">
        <f t="shared" si="269"/>
        <v>0</v>
      </c>
      <c r="CI188" s="13" t="e">
        <f t="shared" si="269"/>
        <v>#NUM!</v>
      </c>
      <c r="CJ188" s="13" t="e">
        <f t="shared" si="269"/>
        <v>#NUM!</v>
      </c>
    </row>
    <row r="189" spans="1:88" x14ac:dyDescent="0.25">
      <c r="B189" s="39">
        <v>0.25</v>
      </c>
      <c r="C189" s="38">
        <v>90</v>
      </c>
      <c r="D189" s="38">
        <f>+DEGREES(ASIN(COS(RADIANS(E186))*COS(RADIANS(D186))*COS(RADIANS(C189))+SIN(RADIANS(E186))*SIN(RADIANS(D186))))</f>
        <v>-3.5180405810133208E-2</v>
      </c>
      <c r="E189" s="38">
        <f>180-DEGREES(ACOS((((SIN(RADIANS(D189)))*SIN(RADIANS(E186)))-SIN(RADIANS(D186)))/((COS(RADIANS(D189)))*COS(RADIANS(E186)))))</f>
        <v>90.402117230089857</v>
      </c>
      <c r="G189">
        <f t="shared" ref="G189:G201" si="270">9-(D189/10)</f>
        <v>9.0035180405810138</v>
      </c>
      <c r="H189">
        <f t="shared" ref="H189:H201" si="271">90-E189+$AH$172</f>
        <v>-0.402117230089857</v>
      </c>
      <c r="I189" s="94">
        <f t="shared" ref="I189:I201" si="272">IF($E$186&gt;=$AE$174,0,G189*COS(RADIANS(H189)))</f>
        <v>9.0032963023590984</v>
      </c>
      <c r="J189" s="94">
        <f t="shared" ref="J189:J201" si="273">IF($E$186&gt;=$AE$174,0,G189*SIN(RADIANS(H189)))</f>
        <v>-6.3188598613629257E-2</v>
      </c>
      <c r="M189" s="39">
        <v>0.25</v>
      </c>
      <c r="N189" s="38">
        <v>90</v>
      </c>
      <c r="O189" s="38">
        <f>+DEGREES(ASIN(COS(RADIANS(P186))*COS(RADIANS(O186))*COS(RADIANS(N189))+SIN(RADIANS(P186))*SIN(RADIANS(O186))))</f>
        <v>-7.0093080568731952E-2</v>
      </c>
      <c r="P189" s="38">
        <f>180-DEGREES(ACOS((((SIN(RADIANS(O189)))*SIN(RADIANS(P186)))-SIN(RADIANS(O186)))/((COS(RADIANS(O189)))*COS(RADIANS(P186)))))</f>
        <v>90.397521001025282</v>
      </c>
      <c r="R189">
        <f t="shared" ref="R189:R201" si="274">9-(O189/10)</f>
        <v>9.0070093080568725</v>
      </c>
      <c r="S189">
        <f t="shared" ref="S189:S201" si="275">90-P189+$AH$172</f>
        <v>-0.39752100102528232</v>
      </c>
      <c r="T189" s="94">
        <f t="shared" ref="T189:T201" si="276">IF($P$186&gt;=$AE$174,0,R189*COS(RADIANS(S189)))</f>
        <v>9.006792525784844</v>
      </c>
      <c r="U189" s="94">
        <f t="shared" ref="U189:U201" si="277">IF($P$186&gt;=$AE$174,0,R189*SIN(RADIANS(S189)))</f>
        <v>-6.2490582405822691E-2</v>
      </c>
      <c r="AB189" s="39">
        <v>0.312500000000001</v>
      </c>
      <c r="AC189">
        <f t="shared" si="261"/>
        <v>67.5</v>
      </c>
      <c r="AD189" s="38">
        <f t="shared" si="249"/>
        <v>20.92749943260166</v>
      </c>
      <c r="AE189" s="38">
        <f t="shared" si="250"/>
        <v>98.465482750639893</v>
      </c>
      <c r="AG189">
        <f t="shared" si="255"/>
        <v>6.9072500567398336</v>
      </c>
      <c r="AH189">
        <f t="shared" si="256"/>
        <v>-8.4654827506398931</v>
      </c>
      <c r="AI189" s="94">
        <f t="shared" si="257"/>
        <v>6.831993703332409</v>
      </c>
      <c r="AJ189" s="94">
        <f t="shared" si="258"/>
        <v>-1.0168408842875825</v>
      </c>
      <c r="AK189" s="43"/>
      <c r="AN189" s="324"/>
      <c r="AO189" s="45">
        <f t="shared" ref="AO189:AX189" si="278">+AQ173</f>
        <v>0</v>
      </c>
      <c r="AP189" s="45">
        <f t="shared" si="278"/>
        <v>0</v>
      </c>
      <c r="AQ189" s="45">
        <f t="shared" si="278"/>
        <v>0</v>
      </c>
      <c r="AR189" s="45">
        <f t="shared" si="278"/>
        <v>0</v>
      </c>
      <c r="AS189" s="45">
        <f t="shared" si="278"/>
        <v>0</v>
      </c>
      <c r="AT189" s="45">
        <f t="shared" si="278"/>
        <v>0</v>
      </c>
      <c r="AU189" s="45">
        <f t="shared" si="278"/>
        <v>0</v>
      </c>
      <c r="AV189" s="45">
        <f t="shared" si="278"/>
        <v>0</v>
      </c>
      <c r="AW189" s="45">
        <f t="shared" si="278"/>
        <v>8.9999999459306821</v>
      </c>
      <c r="AX189" s="45">
        <f t="shared" si="278"/>
        <v>9.8653318720904812E-4</v>
      </c>
      <c r="AY189" s="45">
        <f>IF($AD$125="si",BA173,0)</f>
        <v>0</v>
      </c>
      <c r="AZ189" s="45">
        <f>IF($AD$125="si",BB173,0)</f>
        <v>0</v>
      </c>
      <c r="BA189" s="45">
        <f>IF($AD$126="si",BC173,0)</f>
        <v>0</v>
      </c>
      <c r="BB189" s="45">
        <f>IF($AD$126="si",BD173,0)</f>
        <v>0</v>
      </c>
      <c r="BC189" s="45">
        <f>IF($AD$127="si",BE173,0)</f>
        <v>0</v>
      </c>
      <c r="BD189" s="45">
        <f>IF($AD$127="si",BF173,0)</f>
        <v>0</v>
      </c>
      <c r="BE189" s="45">
        <f>IF($AD$128="si",BG173,0)</f>
        <v>0</v>
      </c>
      <c r="BF189" s="45">
        <f>IF($AD$128="si",BH173,0)</f>
        <v>0</v>
      </c>
      <c r="BG189" s="45">
        <f>IF($AD$129="si",BI173,0)</f>
        <v>0</v>
      </c>
      <c r="BH189" s="45">
        <f>IF($AD$129="si",BJ173,0)</f>
        <v>0</v>
      </c>
      <c r="BI189" s="45">
        <f>IF($AD$130="si",BK173,0)</f>
        <v>3.135629568394575E-16</v>
      </c>
      <c r="BJ189" s="45">
        <f>IF($AD$130="si",BL173,0)</f>
        <v>-5.1187748812505367</v>
      </c>
      <c r="BK189" s="45">
        <f>IF($AD$131="si",BM173,0)</f>
        <v>-1.5930445940412599</v>
      </c>
      <c r="BL189" s="45">
        <f>IF($AD$131="si",BN173,0)</f>
        <v>-5.0747045209462627</v>
      </c>
      <c r="BM189" s="45">
        <f>IF($AD$132="si",BO173,0)</f>
        <v>-3.1840614875621549</v>
      </c>
      <c r="BN189" s="45">
        <f>IF($AD$132="si",BP173,0)</f>
        <v>-4.941175224952592</v>
      </c>
      <c r="BO189" s="45">
        <f>IF($AD$133="si",BQ173,0)</f>
        <v>-4.7708405610154339</v>
      </c>
      <c r="BP189" s="45">
        <f>IF($AD$133="si",BR173,0)</f>
        <v>-4.7140125878124106</v>
      </c>
      <c r="BQ189" s="45">
        <f>IF($AD$134="si",BS173,0)</f>
        <v>-6.3507510164986254</v>
      </c>
      <c r="BR189" s="45">
        <f>IF($AD$134="si",BT173,0)</f>
        <v>-4.3854380742469932</v>
      </c>
      <c r="BS189" s="45">
        <f>IF($AD$135="si",IF(BU157=9,AV104,BU173),0)</f>
        <v>-7.9203525072857337</v>
      </c>
      <c r="BT189" s="45">
        <f>IF($AD$135="si",IF(BU157=9,AW104,BV173),0)</f>
        <v>-3.94246237888771</v>
      </c>
      <c r="BU189" s="45">
        <f>IF($AD$136="si",IF(BW173&lt;=-8.99,AV105,BW173),0)</f>
        <v>-8.1227376334839274</v>
      </c>
      <c r="BV189" s="45">
        <f>IF($AD$136="si",IF(BW173&lt;=-8.99,AW105,BX173),0)</f>
        <v>-3.8757106880653427</v>
      </c>
      <c r="BW189" s="45">
        <f t="shared" ref="BW189:CJ189" si="279">+BY173</f>
        <v>0</v>
      </c>
      <c r="BX189" s="45">
        <f t="shared" si="279"/>
        <v>0</v>
      </c>
      <c r="BY189" s="45">
        <f t="shared" si="279"/>
        <v>0</v>
      </c>
      <c r="BZ189" s="45">
        <f t="shared" si="279"/>
        <v>0</v>
      </c>
      <c r="CA189" s="45">
        <f t="shared" si="279"/>
        <v>0</v>
      </c>
      <c r="CB189" s="45">
        <f t="shared" si="279"/>
        <v>0</v>
      </c>
      <c r="CC189" s="45">
        <f t="shared" si="279"/>
        <v>0</v>
      </c>
      <c r="CD189" s="45">
        <f t="shared" si="279"/>
        <v>0</v>
      </c>
      <c r="CE189" s="45">
        <f t="shared" si="279"/>
        <v>0</v>
      </c>
      <c r="CF189" s="45">
        <f t="shared" si="279"/>
        <v>0</v>
      </c>
      <c r="CG189" s="45" t="e">
        <f t="shared" si="279"/>
        <v>#NUM!</v>
      </c>
      <c r="CH189" s="45" t="e">
        <f t="shared" si="279"/>
        <v>#NUM!</v>
      </c>
      <c r="CI189" s="45">
        <f t="shared" si="279"/>
        <v>0</v>
      </c>
      <c r="CJ189" s="45">
        <f t="shared" si="279"/>
        <v>0</v>
      </c>
    </row>
    <row r="190" spans="1:88" x14ac:dyDescent="0.25">
      <c r="B190" s="39">
        <v>0.29166666666666669</v>
      </c>
      <c r="C190">
        <v>75</v>
      </c>
      <c r="D190" s="38">
        <f>+DEGREES(ASIN(COS(RADIANS(E186))*COS(RADIANS(D186))*COS(RADIANS(C190))+SIN(RADIANS(E186))*SIN(RADIANS(D186))))</f>
        <v>14.904799816556887</v>
      </c>
      <c r="E190" s="38">
        <f>180-DEGREES(ACOS((((SIN(RADIANS(D190)))*SIN(RADIANS(E186)))-SIN(RADIANS(D186)))/((COS(RADIANS(D190)))*COS(RADIANS(E186)))))</f>
        <v>91.753807425353287</v>
      </c>
      <c r="G190">
        <f t="shared" si="270"/>
        <v>7.5095200183443112</v>
      </c>
      <c r="H190">
        <f t="shared" si="271"/>
        <v>-1.7538074253532869</v>
      </c>
      <c r="I190" s="94">
        <f t="shared" si="272"/>
        <v>7.5060022533891617</v>
      </c>
      <c r="J190" s="94">
        <f t="shared" si="273"/>
        <v>-0.22982836646239974</v>
      </c>
      <c r="M190" s="39">
        <v>0.29166666666666669</v>
      </c>
      <c r="N190">
        <v>75</v>
      </c>
      <c r="O190" s="38">
        <f>+DEGREES(ASIN(COS(RADIANS(P186))*COS(RADIANS(O186))*COS(RADIANS(N190))+SIN(RADIANS(P186))*SIN(RADIANS(O186))))</f>
        <v>14.694039743431569</v>
      </c>
      <c r="P190" s="38">
        <f>180-DEGREES(ACOS((((SIN(RADIANS(O190)))*SIN(RADIANS(P186)))-SIN(RADIANS(O186)))/((COS(RADIANS(O190)))*COS(RADIANS(P186)))))</f>
        <v>93.07450525597902</v>
      </c>
      <c r="R190">
        <f t="shared" si="274"/>
        <v>7.5305960256568429</v>
      </c>
      <c r="S190">
        <f t="shared" si="275"/>
        <v>-3.0745052559790196</v>
      </c>
      <c r="T190" s="94">
        <f t="shared" si="276"/>
        <v>7.5197567475893017</v>
      </c>
      <c r="U190" s="94">
        <f t="shared" si="277"/>
        <v>-0.40389968893748579</v>
      </c>
      <c r="AB190" s="39">
        <v>0.32291666666666802</v>
      </c>
      <c r="AC190">
        <f t="shared" si="261"/>
        <v>63.75</v>
      </c>
      <c r="AD190" s="38">
        <f t="shared" si="249"/>
        <v>24.405733968163251</v>
      </c>
      <c r="AE190" s="38">
        <f t="shared" si="250"/>
        <v>99.98445380536613</v>
      </c>
      <c r="AG190">
        <f t="shared" si="255"/>
        <v>6.5594266031836748</v>
      </c>
      <c r="AH190">
        <f t="shared" si="256"/>
        <v>-9.9844538053661296</v>
      </c>
      <c r="AI190" s="94">
        <f t="shared" si="257"/>
        <v>6.4600829926194603</v>
      </c>
      <c r="AJ190" s="94">
        <f t="shared" si="258"/>
        <v>-1.1372796890046513</v>
      </c>
      <c r="AK190" s="43"/>
    </row>
    <row r="191" spans="1:88" x14ac:dyDescent="0.25">
      <c r="B191" s="39">
        <v>0.33333333333333298</v>
      </c>
      <c r="C191" s="38">
        <v>60</v>
      </c>
      <c r="D191" s="38">
        <f>+DEGREES(ASIN(COS(RADIANS(E186))*COS(RADIANS(D186))*COS(RADIANS(C191))+SIN(RADIANS(E186))*SIN(RADIANS(D186))))</f>
        <v>29.832821574407284</v>
      </c>
      <c r="E191" s="38">
        <f>180-DEGREES(ACOS((((SIN(RADIANS(D191)))*SIN(RADIANS(E186)))-SIN(RADIANS(D186)))/((COS(RADIANS(D191)))*COS(RADIANS(E186)))))</f>
        <v>93.34362055594309</v>
      </c>
      <c r="G191">
        <f t="shared" si="270"/>
        <v>6.016717842559272</v>
      </c>
      <c r="H191">
        <f t="shared" si="271"/>
        <v>-3.3436205559430903</v>
      </c>
      <c r="I191" s="94">
        <f t="shared" si="272"/>
        <v>6.0064755989035694</v>
      </c>
      <c r="J191" s="94">
        <f t="shared" si="273"/>
        <v>-0.35091947330849393</v>
      </c>
      <c r="M191" s="39">
        <v>0.33333333333333298</v>
      </c>
      <c r="N191" s="38">
        <v>60</v>
      </c>
      <c r="O191" s="38">
        <f>+DEGREES(ASIN(COS(RADIANS(P186))*COS(RADIANS(O186))*COS(RADIANS(N191))+SIN(RADIANS(P186))*SIN(RADIANS(O186))))</f>
        <v>29.417399639445083</v>
      </c>
      <c r="P191" s="38">
        <f>180-DEGREES(ACOS((((SIN(RADIANS(O191)))*SIN(RADIANS(P186)))-SIN(RADIANS(O186)))/((COS(RADIANS(O191)))*COS(RADIANS(P186)))))</f>
        <v>96.179191790944685</v>
      </c>
      <c r="R191">
        <f t="shared" si="274"/>
        <v>6.0582600360554917</v>
      </c>
      <c r="S191">
        <f t="shared" si="275"/>
        <v>-6.1791917909446852</v>
      </c>
      <c r="T191" s="94">
        <f t="shared" si="276"/>
        <v>6.0230622766376207</v>
      </c>
      <c r="U191" s="94">
        <f t="shared" si="277"/>
        <v>-0.65210081752129223</v>
      </c>
      <c r="AB191" s="39">
        <v>0.33333333333333298</v>
      </c>
      <c r="AC191">
        <f t="shared" si="261"/>
        <v>60</v>
      </c>
      <c r="AD191" s="38">
        <f t="shared" si="249"/>
        <v>27.867284381409078</v>
      </c>
      <c r="AE191" s="38">
        <f t="shared" si="250"/>
        <v>101.59116923367722</v>
      </c>
      <c r="AG191">
        <f t="shared" si="255"/>
        <v>6.2132715618590924</v>
      </c>
      <c r="AH191">
        <f t="shared" si="256"/>
        <v>-11.591169233677221</v>
      </c>
      <c r="AI191" s="94">
        <f t="shared" si="257"/>
        <v>6.0865595262650283</v>
      </c>
      <c r="AJ191" s="94">
        <f t="shared" si="258"/>
        <v>-1.2484136472497267</v>
      </c>
      <c r="AK191" s="43"/>
      <c r="AN191" s="322" t="s">
        <v>102</v>
      </c>
      <c r="AO191" s="46">
        <f t="shared" ref="AO191:AX191" si="280">+AO174</f>
        <v>0</v>
      </c>
      <c r="AP191" s="46">
        <f t="shared" si="280"/>
        <v>0</v>
      </c>
      <c r="AQ191" s="46">
        <f t="shared" si="280"/>
        <v>0</v>
      </c>
      <c r="AR191" s="46">
        <f t="shared" si="280"/>
        <v>0</v>
      </c>
      <c r="AS191" s="46">
        <f t="shared" si="280"/>
        <v>0</v>
      </c>
      <c r="AT191" s="46">
        <f t="shared" si="280"/>
        <v>0</v>
      </c>
      <c r="AU191" s="46">
        <f t="shared" si="280"/>
        <v>0</v>
      </c>
      <c r="AV191" s="46">
        <f t="shared" si="280"/>
        <v>0</v>
      </c>
      <c r="AW191" s="46">
        <f t="shared" si="280"/>
        <v>0</v>
      </c>
      <c r="AX191" s="46">
        <f t="shared" si="280"/>
        <v>0</v>
      </c>
      <c r="AY191" s="46">
        <f>IF($AF$125="si",IF(AY174&gt;=8.99,BG93,AY174),0)</f>
        <v>0</v>
      </c>
      <c r="AZ191" s="46">
        <f>IF($AF$125="si",IF(AY174&gt;=8.99,BH93,AZ174),0)</f>
        <v>0</v>
      </c>
      <c r="BA191" s="46">
        <f>IF($AF$126="si",BA174,0)</f>
        <v>0</v>
      </c>
      <c r="BB191" s="46">
        <f>IF($AF$126="si",BB174,0)</f>
        <v>0</v>
      </c>
      <c r="BC191" s="46">
        <f>IF($AF$127="si",BC174,0)</f>
        <v>0</v>
      </c>
      <c r="BD191" s="46">
        <f>IF($AF$127="si",BD174,0)</f>
        <v>0</v>
      </c>
      <c r="BE191" s="46">
        <f>IF($AF$128="si",BE174,0)</f>
        <v>0</v>
      </c>
      <c r="BF191" s="46">
        <f>IF($AF$128="si",BF174,0)</f>
        <v>0</v>
      </c>
      <c r="BG191" s="46">
        <f>IF($AF$129="si",BG174,0)</f>
        <v>3.2006010638105553</v>
      </c>
      <c r="BH191" s="46">
        <f>IF($AF$129="si",BH174,0)</f>
        <v>-4.2314384754301173</v>
      </c>
      <c r="BI191" s="46">
        <f>IF($AF$130="si",BI174,0)</f>
        <v>1.6018208347188778</v>
      </c>
      <c r="BJ191" s="46">
        <f>IF($AF$130="si",BJ174,0)</f>
        <v>-4.3916413710632929</v>
      </c>
      <c r="BK191" s="46">
        <f>IF($AF$131="si",BK174,0)</f>
        <v>2.7224891574812041E-16</v>
      </c>
      <c r="BL191" s="46">
        <f>IF($AF$131="si",BL174,0)</f>
        <v>-4.4443416576553023</v>
      </c>
      <c r="BM191" s="46">
        <f>IF($AF$132="si",BM174,0)</f>
        <v>-1.6018208347188794</v>
      </c>
      <c r="BN191" s="46">
        <f>IF($AF$132="si",BN174,0)</f>
        <v>-4.391641371063292</v>
      </c>
      <c r="BO191" s="46">
        <f>IF($AF$133="si",BO174,0)</f>
        <v>-3.2006010638105553</v>
      </c>
      <c r="BP191" s="46">
        <f>IF($AF$133="si",BP174,0)</f>
        <v>-4.2314384754301173</v>
      </c>
      <c r="BQ191" s="46">
        <f>IF($AF$134="si",BQ174,0)</f>
        <v>-4.792837582647314</v>
      </c>
      <c r="BR191" s="46">
        <f>IF($AF$134="si",BR174,0)</f>
        <v>-3.957044423114219</v>
      </c>
      <c r="BS191" s="46">
        <f>IF($AF$135="si",BS174,0)</f>
        <v>-6.3739216297498285</v>
      </c>
      <c r="BT191" s="46">
        <f>IF($AF$135="si",BT174,0)</f>
        <v>-3.5558862780284506</v>
      </c>
      <c r="BU191" s="46">
        <f>IF($AF$136="si",BU174,0)</f>
        <v>-7.9370035218323398</v>
      </c>
      <c r="BV191" s="46">
        <f>IF($AF$136="si",BV174,0)</f>
        <v>-3.0067397074242268</v>
      </c>
      <c r="BW191" s="46">
        <f t="shared" ref="BW191:CJ191" si="281">+BW174</f>
        <v>-8.9999999459306821</v>
      </c>
      <c r="BX191" s="46">
        <f t="shared" si="281"/>
        <v>9.8653318721356924E-4</v>
      </c>
      <c r="BY191" s="46">
        <f t="shared" si="281"/>
        <v>0</v>
      </c>
      <c r="BZ191" s="46">
        <f t="shared" si="281"/>
        <v>0</v>
      </c>
      <c r="CA191" s="46">
        <f t="shared" si="281"/>
        <v>0</v>
      </c>
      <c r="CB191" s="46">
        <f t="shared" si="281"/>
        <v>0</v>
      </c>
      <c r="CC191" s="46">
        <f t="shared" si="281"/>
        <v>0</v>
      </c>
      <c r="CD191" s="46">
        <f t="shared" si="281"/>
        <v>0</v>
      </c>
      <c r="CE191" s="46">
        <f t="shared" si="281"/>
        <v>0</v>
      </c>
      <c r="CF191" s="46">
        <f t="shared" si="281"/>
        <v>0</v>
      </c>
      <c r="CG191" s="46">
        <f t="shared" si="281"/>
        <v>0</v>
      </c>
      <c r="CH191" s="46">
        <f t="shared" si="281"/>
        <v>0</v>
      </c>
      <c r="CI191" s="46" t="e">
        <f t="shared" si="281"/>
        <v>#NUM!</v>
      </c>
      <c r="CJ191" s="46" t="e">
        <f t="shared" si="281"/>
        <v>#NUM!</v>
      </c>
    </row>
    <row r="192" spans="1:88" x14ac:dyDescent="0.25">
      <c r="B192" s="39">
        <v>0.375</v>
      </c>
      <c r="C192">
        <v>45</v>
      </c>
      <c r="D192" s="38">
        <f>+DEGREES(ASIN(COS(RADIANS(E186))*COS(RADIANS(D186))*COS(RADIANS(C192))+SIN(RADIANS(E186))*SIN(RADIANS(D186))))</f>
        <v>44.731431648789403</v>
      </c>
      <c r="E192" s="38">
        <f>180-DEGREES(ACOS((((SIN(RADIANS(D192)))*SIN(RADIANS(E186)))-SIN(RADIANS(D186)))/((COS(RADIANS(D192)))*COS(RADIANS(E186)))))</f>
        <v>95.544968751429025</v>
      </c>
      <c r="G192">
        <f t="shared" si="270"/>
        <v>4.5268568351210599</v>
      </c>
      <c r="H192">
        <f t="shared" si="271"/>
        <v>-5.5449687514290247</v>
      </c>
      <c r="I192" s="94">
        <f t="shared" si="272"/>
        <v>4.505674164506801</v>
      </c>
      <c r="J192" s="94">
        <f t="shared" si="273"/>
        <v>-0.43741642513536494</v>
      </c>
      <c r="M192" s="39">
        <v>0.375</v>
      </c>
      <c r="N192">
        <v>45</v>
      </c>
      <c r="O192" s="38">
        <f>+DEGREES(ASIN(COS(RADIANS(P186))*COS(RADIANS(O186))*COS(RADIANS(N192))+SIN(RADIANS(P186))*SIN(RADIANS(O186))))</f>
        <v>44.03706769238434</v>
      </c>
      <c r="P192" s="38">
        <f>180-DEGREES(ACOS((((SIN(RADIANS(O192)))*SIN(RADIANS(P186)))-SIN(RADIANS(O186)))/((COS(RADIANS(O192)))*COS(RADIANS(P186)))))</f>
        <v>100.39589131604674</v>
      </c>
      <c r="R192">
        <f t="shared" si="274"/>
        <v>4.5962932307615656</v>
      </c>
      <c r="S192">
        <f t="shared" si="275"/>
        <v>-10.395891316046743</v>
      </c>
      <c r="T192" s="94">
        <f t="shared" si="276"/>
        <v>4.5208423808423577</v>
      </c>
      <c r="U192" s="94">
        <f t="shared" si="277"/>
        <v>-0.8293947375792744</v>
      </c>
      <c r="AB192" s="39">
        <v>0.343750000000002</v>
      </c>
      <c r="AC192">
        <f t="shared" si="261"/>
        <v>56.25</v>
      </c>
      <c r="AD192" s="38">
        <f t="shared" si="249"/>
        <v>31.308291195700527</v>
      </c>
      <c r="AE192" s="38">
        <f t="shared" si="250"/>
        <v>103.30557587219218</v>
      </c>
      <c r="AG192">
        <f t="shared" si="255"/>
        <v>5.8691708804299472</v>
      </c>
      <c r="AH192">
        <f t="shared" si="256"/>
        <v>-13.305575872192179</v>
      </c>
      <c r="AI192" s="94">
        <f t="shared" si="257"/>
        <v>5.7116216765306671</v>
      </c>
      <c r="AJ192" s="94">
        <f t="shared" si="258"/>
        <v>-1.3507570647129175</v>
      </c>
      <c r="AK192" s="43"/>
      <c r="AN192" s="323"/>
      <c r="AO192" s="13">
        <f t="shared" ref="AO192:AX192" si="282">+AQ175</f>
        <v>0</v>
      </c>
      <c r="AP192" s="13">
        <f t="shared" si="282"/>
        <v>0</v>
      </c>
      <c r="AQ192" s="13">
        <f t="shared" si="282"/>
        <v>0</v>
      </c>
      <c r="AR192" s="13">
        <f t="shared" si="282"/>
        <v>0</v>
      </c>
      <c r="AS192" s="13">
        <f t="shared" si="282"/>
        <v>0</v>
      </c>
      <c r="AT192" s="13">
        <f t="shared" si="282"/>
        <v>0</v>
      </c>
      <c r="AU192" s="13">
        <f t="shared" si="282"/>
        <v>0</v>
      </c>
      <c r="AV192" s="13">
        <f t="shared" si="282"/>
        <v>0</v>
      </c>
      <c r="AW192" s="13">
        <f t="shared" si="282"/>
        <v>8.9999999459306821</v>
      </c>
      <c r="AX192" s="13">
        <f t="shared" si="282"/>
        <v>9.8653318720904812E-4</v>
      </c>
      <c r="AY192" s="13">
        <f>IF($AF$125="si",BA175,0)</f>
        <v>0</v>
      </c>
      <c r="AZ192" s="13">
        <f>IF($AF$125="si",BB175,0)</f>
        <v>0</v>
      </c>
      <c r="BA192" s="13">
        <f>IF($AF$126="si",BC175,0)</f>
        <v>0</v>
      </c>
      <c r="BB192" s="13">
        <f>IF($AF$126="si",BD175,0)</f>
        <v>0</v>
      </c>
      <c r="BC192" s="13">
        <f>IF($AF$127="si",+BE175,0)</f>
        <v>0</v>
      </c>
      <c r="BD192" s="13">
        <f>IF($AF$127="si",BF175,0)</f>
        <v>0</v>
      </c>
      <c r="BE192" s="13">
        <f>IF($AF$128="si",BG175,0)</f>
        <v>0</v>
      </c>
      <c r="BF192" s="13">
        <f>IF($AF$128="si",BH175,0)</f>
        <v>0</v>
      </c>
      <c r="BG192" s="13">
        <f>IF($AF$129="si",BI175,0)</f>
        <v>1.5825569006738294</v>
      </c>
      <c r="BH192" s="13">
        <f>IF($AF$129="si",BJ175,0)</f>
        <v>-3.2644600428327033</v>
      </c>
      <c r="BI192" s="13">
        <f>IF($AF$130="si",BK175,0)</f>
        <v>2.0395981383766651E-16</v>
      </c>
      <c r="BJ192" s="13">
        <f>IF($AF$130="si",BL175,0)</f>
        <v>-3.3295526435264406</v>
      </c>
      <c r="BK192" s="13">
        <f>IF($AF$131="si",BM175,0)</f>
        <v>-1.5825569006738291</v>
      </c>
      <c r="BL192" s="13">
        <f>IF($AF$131="si",BN175,0)</f>
        <v>-3.2644600428327033</v>
      </c>
      <c r="BM192" s="13">
        <f>IF($AF$132="si",BO175,0)</f>
        <v>-3.1587701351887141</v>
      </c>
      <c r="BN192" s="13">
        <f>IF($AF$132="si",BP175,0)</f>
        <v>-3.0660982649874082</v>
      </c>
      <c r="BO192" s="13">
        <f>IF($AF$133="si",BQ175,0)</f>
        <v>-4.7210947655407791</v>
      </c>
      <c r="BP192" s="13">
        <f>IF($AF$133="si",BR175,0)</f>
        <v>-2.7246801501078117</v>
      </c>
      <c r="BQ192" s="13">
        <f>IF($AF$134="si",BS175,0)</f>
        <v>-6.2591135034701519</v>
      </c>
      <c r="BR192" s="13">
        <f>IF($AF$134="si",BT175,0)</f>
        <v>-2.2219314351235457</v>
      </c>
      <c r="BS192" s="13">
        <f>IF($AF$135="si",BU175,0)</f>
        <v>-7.7566153566303617</v>
      </c>
      <c r="BT192" s="13">
        <f>IF($AF$135="si",BV175,0)</f>
        <v>-1.5274342176721158</v>
      </c>
      <c r="BU192" s="13">
        <f>IF($AF$136="si",IF(BW175&lt;=-8.99,BR105,BW175),0)</f>
        <v>-8.9681072395106511</v>
      </c>
      <c r="BV192" s="13">
        <f>IF($AF$136="si",IF(BW175&lt;=-8.99,BS105,BX175),0)</f>
        <v>-0.75700233859390975</v>
      </c>
      <c r="BW192" s="13">
        <f t="shared" ref="BW192:CJ192" si="283">+BY175</f>
        <v>0</v>
      </c>
      <c r="BX192" s="13">
        <f t="shared" si="283"/>
        <v>0</v>
      </c>
      <c r="BY192" s="13">
        <f t="shared" si="283"/>
        <v>0</v>
      </c>
      <c r="BZ192" s="13">
        <f t="shared" si="283"/>
        <v>0</v>
      </c>
      <c r="CA192" s="13">
        <f t="shared" si="283"/>
        <v>0</v>
      </c>
      <c r="CB192" s="13">
        <f t="shared" si="283"/>
        <v>0</v>
      </c>
      <c r="CC192" s="13">
        <f t="shared" si="283"/>
        <v>0</v>
      </c>
      <c r="CD192" s="13">
        <f t="shared" si="283"/>
        <v>0</v>
      </c>
      <c r="CE192" s="13">
        <f t="shared" si="283"/>
        <v>0</v>
      </c>
      <c r="CF192" s="13">
        <f t="shared" si="283"/>
        <v>0</v>
      </c>
      <c r="CG192" s="13" t="e">
        <f t="shared" si="283"/>
        <v>#NUM!</v>
      </c>
      <c r="CH192" s="13" t="e">
        <f t="shared" si="283"/>
        <v>#NUM!</v>
      </c>
      <c r="CI192" s="13">
        <f t="shared" si="283"/>
        <v>0</v>
      </c>
      <c r="CJ192" s="13">
        <f t="shared" si="283"/>
        <v>0</v>
      </c>
    </row>
    <row r="193" spans="1:88" x14ac:dyDescent="0.25">
      <c r="B193" s="39">
        <v>0.41666666666666702</v>
      </c>
      <c r="C193" s="38">
        <v>30</v>
      </c>
      <c r="D193" s="38">
        <f>+DEGREES(ASIN(COS(RADIANS(E186))*COS(RADIANS(D186))*COS(RADIANS(C193))+SIN(RADIANS(E186))*SIN(RADIANS(D186))))</f>
        <v>59.552572012755121</v>
      </c>
      <c r="E193" s="38">
        <f>180-DEGREES(ACOS((((SIN(RADIANS(D193)))*SIN(RADIANS(E186)))-SIN(RADIANS(D186)))/((COS(RADIANS(D193)))*COS(RADIANS(E186)))))</f>
        <v>99.36910310685964</v>
      </c>
      <c r="G193">
        <f t="shared" si="270"/>
        <v>3.0447427987244877</v>
      </c>
      <c r="H193">
        <f t="shared" si="271"/>
        <v>-9.3691031068596402</v>
      </c>
      <c r="I193" s="94">
        <f t="shared" si="272"/>
        <v>3.004126210192533</v>
      </c>
      <c r="J193" s="94">
        <f t="shared" si="273"/>
        <v>-0.49566563691552751</v>
      </c>
      <c r="M193" s="39">
        <v>0.41666666666666702</v>
      </c>
      <c r="N193" s="38">
        <v>30</v>
      </c>
      <c r="O193" s="38">
        <f>+DEGREES(ASIN(COS(RADIANS(P186))*COS(RADIANS(O186))*COS(RADIANS(N193))+SIN(RADIANS(P186))*SIN(RADIANS(O186))))</f>
        <v>58.388747672962069</v>
      </c>
      <c r="P193" s="38">
        <f>180-DEGREES(ACOS((((SIN(RADIANS(O193)))*SIN(RADIANS(P186)))-SIN(RADIANS(O186)))/((COS(RADIANS(O193)))*COS(RADIANS(P186)))))</f>
        <v>107.46585839239938</v>
      </c>
      <c r="R193">
        <f t="shared" si="274"/>
        <v>3.1611252327037933</v>
      </c>
      <c r="S193">
        <f t="shared" si="275"/>
        <v>-17.465858392399383</v>
      </c>
      <c r="T193" s="94">
        <f t="shared" si="276"/>
        <v>3.0153846107520401</v>
      </c>
      <c r="U193" s="94">
        <f t="shared" si="277"/>
        <v>-0.94877204115444957</v>
      </c>
      <c r="AB193" s="39">
        <v>0.35416666666666902</v>
      </c>
      <c r="AC193">
        <f t="shared" si="261"/>
        <v>52.5</v>
      </c>
      <c r="AD193" s="38">
        <f t="shared" si="249"/>
        <v>34.724072193918197</v>
      </c>
      <c r="AE193" s="38">
        <f t="shared" si="250"/>
        <v>105.15154205112152</v>
      </c>
      <c r="AG193">
        <f t="shared" si="255"/>
        <v>5.5275927806081802</v>
      </c>
      <c r="AH193">
        <f t="shared" si="256"/>
        <v>-15.151542051121524</v>
      </c>
      <c r="AI193" s="94">
        <f t="shared" si="257"/>
        <v>5.3354420255361141</v>
      </c>
      <c r="AJ193" s="94">
        <f t="shared" si="258"/>
        <v>-1.4447630741317976</v>
      </c>
      <c r="AK193" s="43"/>
      <c r="AN193" s="323"/>
      <c r="AO193" s="13">
        <f t="shared" ref="AO193:AX193" si="284">+AO175</f>
        <v>0</v>
      </c>
      <c r="AP193" s="13">
        <f t="shared" si="284"/>
        <v>0</v>
      </c>
      <c r="AQ193" s="13">
        <f t="shared" si="284"/>
        <v>0</v>
      </c>
      <c r="AR193" s="13">
        <f t="shared" si="284"/>
        <v>0</v>
      </c>
      <c r="AS193" s="13">
        <f t="shared" si="284"/>
        <v>0</v>
      </c>
      <c r="AT193" s="13">
        <f t="shared" si="284"/>
        <v>0</v>
      </c>
      <c r="AU193" s="13">
        <f t="shared" si="284"/>
        <v>0</v>
      </c>
      <c r="AV193" s="13">
        <f t="shared" si="284"/>
        <v>0</v>
      </c>
      <c r="AW193" s="13">
        <f t="shared" si="284"/>
        <v>0</v>
      </c>
      <c r="AX193" s="13">
        <f t="shared" si="284"/>
        <v>0</v>
      </c>
      <c r="AY193" s="13">
        <f>IF($AF$125="si",IF(AY175&gt;=8.99,BR93,AY175),0)</f>
        <v>0</v>
      </c>
      <c r="AZ193" s="13">
        <f>IF($AF$125="si",IF(AY175&gt;=8.99,BS93,AZ175),0)</f>
        <v>0</v>
      </c>
      <c r="BA193" s="13">
        <f>IF($AF$126="si",BA175,0)</f>
        <v>0</v>
      </c>
      <c r="BB193" s="13">
        <f>IF($AF$126="si",BB175,0)</f>
        <v>0</v>
      </c>
      <c r="BC193" s="13">
        <f>IF($AF$127="si",BC175,0)</f>
        <v>0</v>
      </c>
      <c r="BD193" s="13">
        <f>IF($AF$127="si",BD175,0)</f>
        <v>0</v>
      </c>
      <c r="BE193" s="13">
        <f>IF($AF$128="si",BE175,0)</f>
        <v>0</v>
      </c>
      <c r="BF193" s="13">
        <f>IF($AF$128="si",BF175,0)</f>
        <v>0</v>
      </c>
      <c r="BG193" s="13">
        <f>IF($AF$129="si",BG175,0)</f>
        <v>3.1587701351887114</v>
      </c>
      <c r="BH193" s="13">
        <f>IF($AF$129="si",BH175,0)</f>
        <v>-3.0660982649874113</v>
      </c>
      <c r="BI193" s="13">
        <f>IF($AF$130="si",BI175,0)</f>
        <v>1.5825569006738294</v>
      </c>
      <c r="BJ193" s="13">
        <f>IF($AF$130="si",BJ175,0)</f>
        <v>-3.2644600428327033</v>
      </c>
      <c r="BK193" s="13">
        <f>IF($AF$131="si",BK175,0)</f>
        <v>2.0395981383766651E-16</v>
      </c>
      <c r="BL193" s="13">
        <f>IF($AF$131="si",BL175,0)</f>
        <v>-3.3295526435264406</v>
      </c>
      <c r="BM193" s="13">
        <f>IF($AF$132="si",BM175,0)</f>
        <v>-1.5825569006738291</v>
      </c>
      <c r="BN193" s="13">
        <f>IF($AF$132="si",BN175,0)</f>
        <v>-3.2644600428327033</v>
      </c>
      <c r="BO193" s="13">
        <f>IF($AF$133="si",BO175,0)</f>
        <v>-3.1587701351887141</v>
      </c>
      <c r="BP193" s="13">
        <f>IF($AF$133="si",BP175,0)</f>
        <v>-3.0660982649874082</v>
      </c>
      <c r="BQ193" s="13">
        <f>IF($AF$134="si",BQ175,0)</f>
        <v>-4.7210947655407791</v>
      </c>
      <c r="BR193" s="13">
        <f>IF($AF$134="si",BR175,0)</f>
        <v>-2.7246801501078117</v>
      </c>
      <c r="BS193" s="13">
        <f>IF($AF$135="si",BS175,0)</f>
        <v>-6.2591135034701519</v>
      </c>
      <c r="BT193" s="13">
        <f>IF($AF$135="si",BT175,0)</f>
        <v>-2.2219314351235457</v>
      </c>
      <c r="BU193" s="13">
        <f>IF($AF$136="si",BU175,0)</f>
        <v>-7.7566153566303617</v>
      </c>
      <c r="BV193" s="13">
        <f>IF($AF$136="si",BV175,0)</f>
        <v>-1.5274342176721158</v>
      </c>
      <c r="BW193" s="13">
        <f t="shared" ref="BW193:CJ193" si="285">+BW175</f>
        <v>-8.9999999459306821</v>
      </c>
      <c r="BX193" s="13">
        <f t="shared" si="285"/>
        <v>9.8653318721356924E-4</v>
      </c>
      <c r="BY193" s="13">
        <f t="shared" si="285"/>
        <v>0</v>
      </c>
      <c r="BZ193" s="13">
        <f t="shared" si="285"/>
        <v>0</v>
      </c>
      <c r="CA193" s="13">
        <f t="shared" si="285"/>
        <v>0</v>
      </c>
      <c r="CB193" s="13">
        <f t="shared" si="285"/>
        <v>0</v>
      </c>
      <c r="CC193" s="13">
        <f t="shared" si="285"/>
        <v>0</v>
      </c>
      <c r="CD193" s="13">
        <f t="shared" si="285"/>
        <v>0</v>
      </c>
      <c r="CE193" s="13">
        <f t="shared" si="285"/>
        <v>0</v>
      </c>
      <c r="CF193" s="13">
        <f t="shared" si="285"/>
        <v>0</v>
      </c>
      <c r="CG193" s="13">
        <f t="shared" si="285"/>
        <v>0</v>
      </c>
      <c r="CH193" s="13">
        <f t="shared" si="285"/>
        <v>0</v>
      </c>
      <c r="CI193" s="13" t="e">
        <f t="shared" si="285"/>
        <v>#NUM!</v>
      </c>
      <c r="CJ193" s="13" t="e">
        <f t="shared" si="285"/>
        <v>#NUM!</v>
      </c>
    </row>
    <row r="194" spans="1:88" x14ac:dyDescent="0.25">
      <c r="B194" s="39">
        <v>0.45833333333333298</v>
      </c>
      <c r="C194">
        <v>15</v>
      </c>
      <c r="D194" s="38">
        <f>+DEGREES(ASIN(COS(RADIANS(E186))*COS(RADIANS(D186))*COS(RADIANS(C194))+SIN(RADIANS(E186))*SIN(RADIANS(D186))))</f>
        <v>74.073039849887181</v>
      </c>
      <c r="E194" s="38">
        <f>180-DEGREES(ACOS((((SIN(RADIANS(D194)))*SIN(RADIANS(E186)))-SIN(RADIANS(D186)))/((COS(RADIANS(D194)))*COS(RADIANS(E186)))))</f>
        <v>109.41177556484027</v>
      </c>
      <c r="G194">
        <f t="shared" si="270"/>
        <v>1.5926960150112821</v>
      </c>
      <c r="H194">
        <f t="shared" si="271"/>
        <v>-19.411775564840269</v>
      </c>
      <c r="I194" s="94">
        <f t="shared" si="272"/>
        <v>1.5021582089996295</v>
      </c>
      <c r="J194" s="94">
        <f t="shared" si="273"/>
        <v>-0.52934044939702429</v>
      </c>
      <c r="M194" s="39">
        <v>0.45833333333333298</v>
      </c>
      <c r="N194">
        <v>15</v>
      </c>
      <c r="O194" s="38">
        <f>+DEGREES(ASIN(COS(RADIANS(P186))*COS(RADIANS(O186))*COS(RADIANS(N194))+SIN(RADIANS(P186))*SIN(RADIANS(O186))))</f>
        <v>71.805913239559928</v>
      </c>
      <c r="P194" s="38">
        <f>180-DEGREES(ACOS((((SIN(RADIANS(O194)))*SIN(RADIANS(P186)))-SIN(RADIANS(O186)))/((COS(RADIANS(O194)))*COS(RADIANS(P186)))))</f>
        <v>124.01426493967799</v>
      </c>
      <c r="R194">
        <f t="shared" si="274"/>
        <v>1.8194086760440076</v>
      </c>
      <c r="S194">
        <f t="shared" si="275"/>
        <v>-34.014264939677986</v>
      </c>
      <c r="T194" s="94">
        <f t="shared" si="276"/>
        <v>1.5081048031766149</v>
      </c>
      <c r="U194" s="94">
        <f t="shared" si="277"/>
        <v>-1.0177759247986915</v>
      </c>
      <c r="AB194" s="39">
        <v>0.36458333333333598</v>
      </c>
      <c r="AC194">
        <f t="shared" si="261"/>
        <v>48.75</v>
      </c>
      <c r="AD194" s="38">
        <f t="shared" si="249"/>
        <v>38.108854634942766</v>
      </c>
      <c r="AE194" s="38">
        <f t="shared" si="250"/>
        <v>107.15802574421382</v>
      </c>
      <c r="AG194">
        <f t="shared" si="255"/>
        <v>5.1891145365057234</v>
      </c>
      <c r="AH194">
        <f t="shared" si="256"/>
        <v>-17.158025744213816</v>
      </c>
      <c r="AI194" s="94">
        <f t="shared" si="257"/>
        <v>4.9581716356242307</v>
      </c>
      <c r="AJ194" s="94">
        <f t="shared" si="258"/>
        <v>-1.5308310503338871</v>
      </c>
      <c r="AK194" s="43"/>
      <c r="AN194" s="324"/>
      <c r="AO194" s="45">
        <f t="shared" ref="AO194:AX194" si="286">+AQ174</f>
        <v>0</v>
      </c>
      <c r="AP194" s="45">
        <f t="shared" si="286"/>
        <v>0</v>
      </c>
      <c r="AQ194" s="45">
        <f t="shared" si="286"/>
        <v>0</v>
      </c>
      <c r="AR194" s="45">
        <f t="shared" si="286"/>
        <v>0</v>
      </c>
      <c r="AS194" s="45">
        <f t="shared" si="286"/>
        <v>0</v>
      </c>
      <c r="AT194" s="45">
        <f t="shared" si="286"/>
        <v>0</v>
      </c>
      <c r="AU194" s="45">
        <f t="shared" si="286"/>
        <v>0</v>
      </c>
      <c r="AV194" s="45">
        <f t="shared" si="286"/>
        <v>0</v>
      </c>
      <c r="AW194" s="45">
        <f t="shared" si="286"/>
        <v>8.9999999459306821</v>
      </c>
      <c r="AX194" s="45">
        <f t="shared" si="286"/>
        <v>9.8653318720904812E-4</v>
      </c>
      <c r="AY194" s="45">
        <f>IF($AF$125="si",BA174,0)</f>
        <v>0</v>
      </c>
      <c r="AZ194" s="45">
        <f>IF($AF$125="si",BB174,0)</f>
        <v>0</v>
      </c>
      <c r="BA194" s="45">
        <f>IF($AF$126="si",BC174,0)</f>
        <v>0</v>
      </c>
      <c r="BB194" s="45">
        <f>IF($AF$126="si",BD174,0)</f>
        <v>0</v>
      </c>
      <c r="BC194" s="45">
        <f>IF($AF$127="si",BE174,0)</f>
        <v>0</v>
      </c>
      <c r="BD194" s="45">
        <f>IF($AF$127="si",BF174,0)</f>
        <v>0</v>
      </c>
      <c r="BE194" s="45">
        <f>IF($AF$128="si",BG174,0)</f>
        <v>0</v>
      </c>
      <c r="BF194" s="45">
        <f>IF($AF$128="si",BH174,0)</f>
        <v>0</v>
      </c>
      <c r="BG194" s="45">
        <f>IF($AF$129="si",BI174,0)</f>
        <v>1.6018208347188778</v>
      </c>
      <c r="BH194" s="45">
        <f>IF($AF$129="si",BJ174,0)</f>
        <v>-4.3916413710632929</v>
      </c>
      <c r="BI194" s="45">
        <f>IF($AF$130="si",BK174,0)</f>
        <v>2.7224891574812041E-16</v>
      </c>
      <c r="BJ194" s="45">
        <f>IF($AF$130="si",BL174,0)</f>
        <v>-4.4443416576553023</v>
      </c>
      <c r="BK194" s="45">
        <f>IF($AF$131="si",BM174,0)</f>
        <v>-1.6018208347188794</v>
      </c>
      <c r="BL194" s="45">
        <f>IF($AF$131="si",BN174,0)</f>
        <v>-4.391641371063292</v>
      </c>
      <c r="BM194" s="45">
        <f>IF($AF$132="si",BO174,0)</f>
        <v>-3.2006010638105553</v>
      </c>
      <c r="BN194" s="45">
        <f>IF($AF$132="si",BP174,0)</f>
        <v>-4.2314384754301173</v>
      </c>
      <c r="BO194" s="45">
        <f>IF($AF$133="si",BQ174,0)</f>
        <v>-4.792837582647314</v>
      </c>
      <c r="BP194" s="45">
        <f>IF($AF$133="si",BR174,0)</f>
        <v>-3.957044423114219</v>
      </c>
      <c r="BQ194" s="45">
        <f>IF($AF$134="si",BS174,0)</f>
        <v>-6.3739216297498285</v>
      </c>
      <c r="BR194" s="45">
        <f>IF($AF$134="si",BT174,0)</f>
        <v>-3.5558862780284506</v>
      </c>
      <c r="BS194" s="45">
        <f>IF($AF$135="si",BU174,0)</f>
        <v>-7.9370035218323398</v>
      </c>
      <c r="BT194" s="45">
        <f>IF($AF$135="si",BV174,0)</f>
        <v>-3.0067397074242268</v>
      </c>
      <c r="BU194" s="45">
        <f>IF($AF$136="si",IF(BW174&lt;=-8.99,BG105,BW174),0)</f>
        <v>-8.5764693111567532</v>
      </c>
      <c r="BV194" s="45">
        <f>IF($AF$136="si",IF(BW174&lt;=-8.99,BH105,BX174),0)</f>
        <v>-2.7284013918018726</v>
      </c>
      <c r="BW194" s="45">
        <f t="shared" ref="BW194:CJ194" si="287">+BY174</f>
        <v>0</v>
      </c>
      <c r="BX194" s="45">
        <f t="shared" si="287"/>
        <v>0</v>
      </c>
      <c r="BY194" s="45">
        <f t="shared" si="287"/>
        <v>0</v>
      </c>
      <c r="BZ194" s="45">
        <f t="shared" si="287"/>
        <v>0</v>
      </c>
      <c r="CA194" s="45">
        <f t="shared" si="287"/>
        <v>0</v>
      </c>
      <c r="CB194" s="45">
        <f t="shared" si="287"/>
        <v>0</v>
      </c>
      <c r="CC194" s="45">
        <f t="shared" si="287"/>
        <v>0</v>
      </c>
      <c r="CD194" s="45">
        <f t="shared" si="287"/>
        <v>0</v>
      </c>
      <c r="CE194" s="45">
        <f t="shared" si="287"/>
        <v>0</v>
      </c>
      <c r="CF194" s="45">
        <f t="shared" si="287"/>
        <v>0</v>
      </c>
      <c r="CG194" s="45" t="e">
        <f t="shared" si="287"/>
        <v>#NUM!</v>
      </c>
      <c r="CH194" s="45" t="e">
        <f t="shared" si="287"/>
        <v>#NUM!</v>
      </c>
      <c r="CI194" s="45">
        <f t="shared" si="287"/>
        <v>0</v>
      </c>
      <c r="CJ194" s="45">
        <f t="shared" si="287"/>
        <v>0</v>
      </c>
    </row>
    <row r="195" spans="1:88" x14ac:dyDescent="0.25">
      <c r="B195" s="39">
        <v>0.5</v>
      </c>
      <c r="C195" s="38">
        <v>0</v>
      </c>
      <c r="D195" s="38">
        <f>+DEGREES(ASIN(COS(RADIANS(E186))*COS(RADIANS(D186))*COS(RADIANS(C195))+SIN(RADIANS(E186))*SIN(RADIANS(D186))))</f>
        <v>84.596346798145674</v>
      </c>
      <c r="E195" s="38">
        <f>+IF(E186&gt;=0,180,0)</f>
        <v>180</v>
      </c>
      <c r="G195">
        <f t="shared" si="270"/>
        <v>0.54036532018543326</v>
      </c>
      <c r="H195">
        <f t="shared" si="271"/>
        <v>-90</v>
      </c>
      <c r="I195" s="94">
        <f t="shared" si="272"/>
        <v>3.3101386855569266E-17</v>
      </c>
      <c r="J195" s="94">
        <f t="shared" si="273"/>
        <v>-0.54036532018543326</v>
      </c>
      <c r="M195" s="39">
        <v>0.5</v>
      </c>
      <c r="N195" s="38">
        <v>0</v>
      </c>
      <c r="O195" s="38">
        <f>+DEGREES(ASIN(COS(RADIANS(P186))*COS(RADIANS(O186))*COS(RADIANS(N195))+SIN(RADIANS(P186))*SIN(RADIANS(O186))))</f>
        <v>79.59634679814566</v>
      </c>
      <c r="P195" s="38">
        <f>+IF(P186&gt;=0,180,0)</f>
        <v>180</v>
      </c>
      <c r="R195">
        <f t="shared" si="274"/>
        <v>1.0403653201854342</v>
      </c>
      <c r="S195">
        <f t="shared" si="275"/>
        <v>-90</v>
      </c>
      <c r="T195" s="94">
        <f t="shared" si="276"/>
        <v>6.3730098228284816E-17</v>
      </c>
      <c r="U195" s="94">
        <f t="shared" si="277"/>
        <v>-1.0403653201854342</v>
      </c>
      <c r="AB195" s="39">
        <v>0.375000000000003</v>
      </c>
      <c r="AC195">
        <f t="shared" si="261"/>
        <v>45</v>
      </c>
      <c r="AD195" s="38">
        <f t="shared" si="249"/>
        <v>41.455411356106673</v>
      </c>
      <c r="AE195" s="38">
        <f t="shared" si="250"/>
        <v>109.36059218001047</v>
      </c>
      <c r="AG195">
        <f t="shared" si="255"/>
        <v>4.8544588643893327</v>
      </c>
      <c r="AH195">
        <f t="shared" si="256"/>
        <v>-19.360592180010471</v>
      </c>
      <c r="AI195" s="94">
        <f t="shared" si="257"/>
        <v>4.5799435554700727</v>
      </c>
      <c r="AJ195" s="94">
        <f t="shared" si="258"/>
        <v>-1.6093128641616943</v>
      </c>
      <c r="AK195" s="43"/>
    </row>
    <row r="196" spans="1:88" x14ac:dyDescent="0.25">
      <c r="B196" s="39">
        <v>0.54166666666666696</v>
      </c>
      <c r="C196">
        <v>-15</v>
      </c>
      <c r="D196" s="38">
        <f>+DEGREES(ASIN(COS(RADIANS(E186))*COS(RADIANS(D186))*COS(RADIANS(C196))+SIN(RADIANS(E186))*SIN(RADIANS(D186))))</f>
        <v>74.073039849887181</v>
      </c>
      <c r="E196" s="38">
        <f>-(180-DEGREES(ACOS((((SIN(RADIANS(D196)))*SIN(RADIANS(E186)))-SIN(RADIANS(D186)))/((COS(RADIANS(D196)))*COS(RADIANS(E186))))))</f>
        <v>-109.41177556484027</v>
      </c>
      <c r="G196">
        <f t="shared" si="270"/>
        <v>1.5926960150112821</v>
      </c>
      <c r="H196">
        <f t="shared" si="271"/>
        <v>199.41177556484027</v>
      </c>
      <c r="I196" s="94">
        <f t="shared" si="272"/>
        <v>-1.5021582089996297</v>
      </c>
      <c r="J196" s="94">
        <f t="shared" si="273"/>
        <v>-0.52934044939702385</v>
      </c>
      <c r="M196" s="39">
        <v>0.54166666666666696</v>
      </c>
      <c r="N196">
        <v>-15</v>
      </c>
      <c r="O196" s="38">
        <f>+DEGREES(ASIN(COS(RADIANS(P186))*COS(RADIANS(O186))*COS(RADIANS(N196))+SIN(RADIANS(P186))*SIN(RADIANS(O186))))</f>
        <v>71.805913239559928</v>
      </c>
      <c r="P196" s="38">
        <f>-(180-DEGREES(ACOS((((SIN(RADIANS(O196)))*SIN(RADIANS(P186)))-SIN(RADIANS(O186)))/((COS(RADIANS(O196)))*COS(RADIANS(P186))))))</f>
        <v>-124.01426493967799</v>
      </c>
      <c r="R196">
        <f t="shared" si="274"/>
        <v>1.8194086760440076</v>
      </c>
      <c r="S196">
        <f t="shared" si="275"/>
        <v>214.01426493967799</v>
      </c>
      <c r="T196" s="94">
        <f t="shared" si="276"/>
        <v>-1.5081048031766149</v>
      </c>
      <c r="U196" s="94">
        <f t="shared" si="277"/>
        <v>-1.0177759247986917</v>
      </c>
      <c r="AB196" s="39">
        <v>0.38541666666667002</v>
      </c>
      <c r="AC196">
        <f t="shared" si="261"/>
        <v>41.25</v>
      </c>
      <c r="AD196" s="38">
        <f t="shared" si="249"/>
        <v>44.754560331192728</v>
      </c>
      <c r="AE196" s="38">
        <f t="shared" si="250"/>
        <v>111.80338334950471</v>
      </c>
      <c r="AG196">
        <f t="shared" si="255"/>
        <v>4.524543966880727</v>
      </c>
      <c r="AH196">
        <f t="shared" si="256"/>
        <v>-21.803383349504713</v>
      </c>
      <c r="AI196" s="94">
        <f t="shared" si="257"/>
        <v>4.2008757180856104</v>
      </c>
      <c r="AJ196" s="94">
        <f t="shared" si="258"/>
        <v>-1.6805181669459854</v>
      </c>
      <c r="AK196" s="43"/>
      <c r="AN196" s="322" t="s">
        <v>101</v>
      </c>
      <c r="AO196" s="46">
        <f t="shared" ref="AO196:AX196" si="288">+AO175</f>
        <v>0</v>
      </c>
      <c r="AP196" s="46">
        <f t="shared" si="288"/>
        <v>0</v>
      </c>
      <c r="AQ196" s="46">
        <f t="shared" si="288"/>
        <v>0</v>
      </c>
      <c r="AR196" s="46">
        <f t="shared" si="288"/>
        <v>0</v>
      </c>
      <c r="AS196" s="46">
        <f t="shared" si="288"/>
        <v>0</v>
      </c>
      <c r="AT196" s="46">
        <f t="shared" si="288"/>
        <v>0</v>
      </c>
      <c r="AU196" s="46">
        <f t="shared" si="288"/>
        <v>0</v>
      </c>
      <c r="AV196" s="46">
        <f t="shared" si="288"/>
        <v>0</v>
      </c>
      <c r="AW196" s="46">
        <f t="shared" si="288"/>
        <v>0</v>
      </c>
      <c r="AX196" s="46">
        <f t="shared" si="288"/>
        <v>0</v>
      </c>
      <c r="AY196" s="46">
        <f>IF($AH$125="si",AY175,0)</f>
        <v>8.9999999459306821</v>
      </c>
      <c r="AZ196" s="46">
        <f>IF($AH$125="si",AZ175,0)</f>
        <v>9.8653318720904812E-4</v>
      </c>
      <c r="BA196" s="46">
        <f>IF($AH$126="si",BA175,0)</f>
        <v>7.7566153566303626</v>
      </c>
      <c r="BB196" s="46">
        <f>IF($AH$126="si",BB175,0)</f>
        <v>-1.5274342176721141</v>
      </c>
      <c r="BC196" s="46">
        <f>IF($AH$127="si",BC175,0)</f>
        <v>6.2591135034701519</v>
      </c>
      <c r="BD196" s="46">
        <f>IF($AH$127="si",BD175,0)</f>
        <v>-2.2219314351235444</v>
      </c>
      <c r="BE196" s="46">
        <f>IF($AH$128="si",BE175,0)</f>
        <v>4.7210947655407791</v>
      </c>
      <c r="BF196" s="46">
        <f>IF($AH$128="si",BF175,0)</f>
        <v>-2.7246801501078117</v>
      </c>
      <c r="BG196" s="46">
        <f>IF($AH$129="si",BG175,0)</f>
        <v>3.1587701351887114</v>
      </c>
      <c r="BH196" s="46">
        <f>IF($AH$129="si",BH175,0)</f>
        <v>-3.0660982649874113</v>
      </c>
      <c r="BI196" s="46">
        <f>IF($AH$130="si",BI175,0)</f>
        <v>1.5825569006738294</v>
      </c>
      <c r="BJ196" s="46">
        <f>IF($AH$130="si",BJ175,0)</f>
        <v>-3.2644600428327033</v>
      </c>
      <c r="BK196" s="46">
        <f>IF($AH$131="si",BK175,0)</f>
        <v>2.0395981383766651E-16</v>
      </c>
      <c r="BL196" s="46">
        <f>IF($AH$131="si",BL175,0)</f>
        <v>-3.3295526435264406</v>
      </c>
      <c r="BM196" s="46">
        <f>IF($AH$132="si",BM175,0)</f>
        <v>-1.5825569006738291</v>
      </c>
      <c r="BN196" s="46">
        <f>IF($AH$132="si",BN175,0)</f>
        <v>-3.2644600428327033</v>
      </c>
      <c r="BO196" s="46">
        <f>IF($AH$133="si",BO175,0)</f>
        <v>-3.1587701351887141</v>
      </c>
      <c r="BP196" s="46">
        <f>IF($AH$133="si",BP175,0)</f>
        <v>-3.0660982649874082</v>
      </c>
      <c r="BQ196" s="46">
        <f>IF($AH$134="si",BQ175,0)</f>
        <v>-4.7210947655407791</v>
      </c>
      <c r="BR196" s="46">
        <f>IF($AH$134="si",BR175,0)</f>
        <v>-2.7246801501078117</v>
      </c>
      <c r="BS196" s="46">
        <f>IF($AH$135="si",BS175,0)</f>
        <v>-6.2591135034701519</v>
      </c>
      <c r="BT196" s="46">
        <f>IF($AH$135="si",BT175,0)</f>
        <v>-2.2219314351235457</v>
      </c>
      <c r="BU196" s="46">
        <f>IF($AH$136="si",BU175,0)</f>
        <v>-7.7566153566303617</v>
      </c>
      <c r="BV196" s="46">
        <f>IF($AH$136="si",BV175,0)</f>
        <v>-1.5274342176721158</v>
      </c>
      <c r="BW196" s="46">
        <f t="shared" ref="BW196:CJ196" si="289">+BW175</f>
        <v>-8.9999999459306821</v>
      </c>
      <c r="BX196" s="46">
        <f t="shared" si="289"/>
        <v>9.8653318721356924E-4</v>
      </c>
      <c r="BY196" s="46">
        <f t="shared" si="289"/>
        <v>0</v>
      </c>
      <c r="BZ196" s="46">
        <f t="shared" si="289"/>
        <v>0</v>
      </c>
      <c r="CA196" s="46">
        <f t="shared" si="289"/>
        <v>0</v>
      </c>
      <c r="CB196" s="46">
        <f t="shared" si="289"/>
        <v>0</v>
      </c>
      <c r="CC196" s="46">
        <f t="shared" si="289"/>
        <v>0</v>
      </c>
      <c r="CD196" s="46">
        <f t="shared" si="289"/>
        <v>0</v>
      </c>
      <c r="CE196" s="46">
        <f t="shared" si="289"/>
        <v>0</v>
      </c>
      <c r="CF196" s="46">
        <f t="shared" si="289"/>
        <v>0</v>
      </c>
      <c r="CG196" s="46">
        <f t="shared" si="289"/>
        <v>0</v>
      </c>
      <c r="CH196" s="46">
        <f t="shared" si="289"/>
        <v>0</v>
      </c>
      <c r="CI196" s="46" t="e">
        <f t="shared" si="289"/>
        <v>#NUM!</v>
      </c>
      <c r="CJ196" s="46" t="e">
        <f t="shared" si="289"/>
        <v>#NUM!</v>
      </c>
    </row>
    <row r="197" spans="1:88" x14ac:dyDescent="0.25">
      <c r="B197" s="39">
        <v>0.58333333333333304</v>
      </c>
      <c r="C197" s="38">
        <v>-30</v>
      </c>
      <c r="D197" s="38">
        <f>+DEGREES(ASIN(COS(RADIANS(E186))*COS(RADIANS(D186))*COS(RADIANS(C197))+SIN(RADIANS(E186))*SIN(RADIANS(D186))))</f>
        <v>59.552572012755121</v>
      </c>
      <c r="E197" s="38">
        <f>-(180-DEGREES(ACOS((((SIN(RADIANS(D197)))*SIN(RADIANS(E186)))-SIN(RADIANS(D186)))/((COS(RADIANS(D197)))*COS(RADIANS(E186))))))</f>
        <v>-99.36910310685964</v>
      </c>
      <c r="G197">
        <f t="shared" si="270"/>
        <v>3.0447427987244877</v>
      </c>
      <c r="H197">
        <f t="shared" si="271"/>
        <v>189.36910310685965</v>
      </c>
      <c r="I197" s="94">
        <f t="shared" si="272"/>
        <v>-3.004126210192533</v>
      </c>
      <c r="J197" s="94">
        <f t="shared" si="273"/>
        <v>-0.49566563691552801</v>
      </c>
      <c r="M197" s="39">
        <v>0.58333333333333304</v>
      </c>
      <c r="N197" s="38">
        <v>-30</v>
      </c>
      <c r="O197" s="38">
        <f>+DEGREES(ASIN(COS(RADIANS(P186))*COS(RADIANS(O186))*COS(RADIANS(N197))+SIN(RADIANS(P186))*SIN(RADIANS(O186))))</f>
        <v>58.388747672962069</v>
      </c>
      <c r="P197" s="38">
        <f>-(180-DEGREES(ACOS((((SIN(RADIANS(O197)))*SIN(RADIANS(P186)))-SIN(RADIANS(O186)))/((COS(RADIANS(O197)))*COS(RADIANS(P186))))))</f>
        <v>-107.46585839239938</v>
      </c>
      <c r="R197">
        <f t="shared" si="274"/>
        <v>3.1611252327037933</v>
      </c>
      <c r="S197">
        <f t="shared" si="275"/>
        <v>197.46585839239938</v>
      </c>
      <c r="T197" s="94">
        <f t="shared" si="276"/>
        <v>-3.0153846107520397</v>
      </c>
      <c r="U197" s="94">
        <f t="shared" si="277"/>
        <v>-0.94877204115445013</v>
      </c>
      <c r="AB197" s="39">
        <v>0.39583333333333698</v>
      </c>
      <c r="AC197">
        <f t="shared" si="261"/>
        <v>37.5</v>
      </c>
      <c r="AD197" s="38">
        <f t="shared" si="249"/>
        <v>47.994470041861177</v>
      </c>
      <c r="AE197" s="38">
        <f t="shared" si="250"/>
        <v>114.54164709260195</v>
      </c>
      <c r="AG197">
        <f t="shared" si="255"/>
        <v>4.2005529958138821</v>
      </c>
      <c r="AH197">
        <f t="shared" si="256"/>
        <v>-24.541647092601949</v>
      </c>
      <c r="AI197" s="94">
        <f t="shared" si="257"/>
        <v>3.8210733526956546</v>
      </c>
      <c r="AJ197" s="94">
        <f t="shared" si="258"/>
        <v>-1.7447188610088931</v>
      </c>
      <c r="AK197" s="43"/>
      <c r="AN197" s="323"/>
      <c r="AO197" s="13">
        <f t="shared" ref="AO197:AX197" si="290">+AQ176</f>
        <v>0</v>
      </c>
      <c r="AP197" s="13">
        <f t="shared" si="290"/>
        <v>0</v>
      </c>
      <c r="AQ197" s="13">
        <f t="shared" si="290"/>
        <v>0</v>
      </c>
      <c r="AR197" s="13">
        <f t="shared" si="290"/>
        <v>0</v>
      </c>
      <c r="AS197" s="13">
        <f t="shared" si="290"/>
        <v>0</v>
      </c>
      <c r="AT197" s="13">
        <f t="shared" si="290"/>
        <v>0</v>
      </c>
      <c r="AU197" s="13">
        <f t="shared" si="290"/>
        <v>0</v>
      </c>
      <c r="AV197" s="13">
        <f t="shared" si="290"/>
        <v>0</v>
      </c>
      <c r="AW197" s="13">
        <f t="shared" si="290"/>
        <v>8.5654551879976495</v>
      </c>
      <c r="AX197" s="13">
        <f t="shared" si="290"/>
        <v>1.0153845508301493</v>
      </c>
      <c r="AY197" s="13">
        <f>IF($AH$125="si",BA176,0)</f>
        <v>7.3171793408454278</v>
      </c>
      <c r="AZ197" s="13">
        <f>IF($AH$125="si",BB176,0)</f>
        <v>-5.491916703403818E-2</v>
      </c>
      <c r="BA197" s="13">
        <f>IF($AH$126="si",BC176,0)</f>
        <v>5.9498753428282356</v>
      </c>
      <c r="BB197" s="13">
        <f>IF($AH$126="si",BD176,0)</f>
        <v>-0.85515633493597176</v>
      </c>
      <c r="BC197" s="13">
        <f>IF($AH$127="si",BE176,0)</f>
        <v>4.5105575419044515</v>
      </c>
      <c r="BD197" s="13">
        <f>IF($AH$127="si",BF176,0)</f>
        <v>-1.436087597671055</v>
      </c>
      <c r="BE197" s="13">
        <f>IF($AH$128="si",BG176,0)</f>
        <v>3.027575645251392</v>
      </c>
      <c r="BF197" s="13">
        <f>IF($AH$128="si",BH176,0)</f>
        <v>-1.8308990238685714</v>
      </c>
      <c r="BG197" s="13">
        <f>IF($AH$129="si",BI176,0)</f>
        <v>1.5195236952779618</v>
      </c>
      <c r="BH197" s="13">
        <f>IF($AH$129="si",BJ176,0)</f>
        <v>-2.0602774257475551</v>
      </c>
      <c r="BI197" s="13">
        <f>IF($AH$130="si",BK176,0)</f>
        <v>1.3081749948580787E-16</v>
      </c>
      <c r="BJ197" s="13">
        <f>IF($AH$130="si",BL176,0)</f>
        <v>-2.1355371091834767</v>
      </c>
      <c r="BK197" s="13">
        <f>IF($AH$131="si",BM176,0)</f>
        <v>-1.5195236952779616</v>
      </c>
      <c r="BL197" s="13">
        <f>IF($AH$131="si",BN176,0)</f>
        <v>-2.0602774257475556</v>
      </c>
      <c r="BM197" s="13">
        <f>IF($AH$132="si",BO176,0)</f>
        <v>-3.0275756452513929</v>
      </c>
      <c r="BN197" s="13">
        <f>IF($AH$132="si",BP176,0)</f>
        <v>-1.8308990238685712</v>
      </c>
      <c r="BO197" s="13">
        <f>IF($AH$133="si",BQ176,0)</f>
        <v>-4.5105575419044515</v>
      </c>
      <c r="BP197" s="13">
        <f>IF($AH$133="si",BR176,0)</f>
        <v>-1.4360875976710543</v>
      </c>
      <c r="BQ197" s="13">
        <f>IF($AH$134="si",BS176,0)</f>
        <v>-5.9498753428282356</v>
      </c>
      <c r="BR197" s="13">
        <f>IF($AH$134="si",BT176,0)</f>
        <v>-0.85515633493597099</v>
      </c>
      <c r="BS197" s="13">
        <f>IF($AH$135="si",BU176,0)</f>
        <v>-7.3171793408454278</v>
      </c>
      <c r="BT197" s="13">
        <f>IF($AH$135="si",BV176,0)</f>
        <v>-5.4919167034038395E-2</v>
      </c>
      <c r="BU197" s="13">
        <f>IF($AH$136="si",IF(BW176&lt;=-8.99,CC105,BW176),0)</f>
        <v>-8.5654551879976513</v>
      </c>
      <c r="BV197" s="13">
        <f>IF($AH$136="si",IF(BW176&lt;=-8.99,CD105,BX176),0)</f>
        <v>1.0153845508301516</v>
      </c>
      <c r="BW197" s="13">
        <f t="shared" ref="BW197:CJ197" si="291">+BY176</f>
        <v>0</v>
      </c>
      <c r="BX197" s="13">
        <f t="shared" si="291"/>
        <v>0</v>
      </c>
      <c r="BY197" s="13">
        <f t="shared" si="291"/>
        <v>0</v>
      </c>
      <c r="BZ197" s="13">
        <f t="shared" si="291"/>
        <v>0</v>
      </c>
      <c r="CA197" s="13">
        <f t="shared" si="291"/>
        <v>0</v>
      </c>
      <c r="CB197" s="13">
        <f t="shared" si="291"/>
        <v>0</v>
      </c>
      <c r="CC197" s="13">
        <f t="shared" si="291"/>
        <v>0</v>
      </c>
      <c r="CD197" s="13">
        <f t="shared" si="291"/>
        <v>0</v>
      </c>
      <c r="CE197" s="13">
        <f t="shared" si="291"/>
        <v>0</v>
      </c>
      <c r="CF197" s="13">
        <f t="shared" si="291"/>
        <v>0</v>
      </c>
      <c r="CG197" s="13" t="e">
        <f t="shared" si="291"/>
        <v>#NUM!</v>
      </c>
      <c r="CH197" s="13" t="e">
        <f t="shared" si="291"/>
        <v>#NUM!</v>
      </c>
      <c r="CI197" s="13">
        <f t="shared" si="291"/>
        <v>0</v>
      </c>
      <c r="CJ197" s="13">
        <f t="shared" si="291"/>
        <v>0</v>
      </c>
    </row>
    <row r="198" spans="1:88" x14ac:dyDescent="0.25">
      <c r="B198" s="39">
        <v>0.625</v>
      </c>
      <c r="C198">
        <v>-45</v>
      </c>
      <c r="D198" s="38">
        <f>+DEGREES(ASIN(COS(RADIANS(E186))*COS(RADIANS(D186))*COS(RADIANS(C198))+SIN(RADIANS(E186))*SIN(RADIANS(D186))))</f>
        <v>44.731431648789403</v>
      </c>
      <c r="E198" s="38">
        <f>-(180-DEGREES(ACOS((((SIN(RADIANS(D198)))*SIN(RADIANS(E186)))-SIN(RADIANS(D186)))/((COS(RADIANS(D198)))*COS(RADIANS(E186))))))</f>
        <v>-95.544968751429025</v>
      </c>
      <c r="G198">
        <f t="shared" si="270"/>
        <v>4.5268568351210599</v>
      </c>
      <c r="H198">
        <f t="shared" si="271"/>
        <v>185.54496875142902</v>
      </c>
      <c r="I198" s="94">
        <f t="shared" si="272"/>
        <v>-4.505674164506801</v>
      </c>
      <c r="J198" s="94">
        <f t="shared" si="273"/>
        <v>-0.43741642513536499</v>
      </c>
      <c r="M198" s="39">
        <v>0.625</v>
      </c>
      <c r="N198">
        <v>-45</v>
      </c>
      <c r="O198" s="38">
        <f>+DEGREES(ASIN(COS(RADIANS(P186))*COS(RADIANS(O186))*COS(RADIANS(N198))+SIN(RADIANS(P186))*SIN(RADIANS(O186))))</f>
        <v>44.03706769238434</v>
      </c>
      <c r="P198" s="38">
        <f>-(180-DEGREES(ACOS((((SIN(RADIANS(O198)))*SIN(RADIANS(P186)))-SIN(RADIANS(O186)))/((COS(RADIANS(O198)))*COS(RADIANS(P186))))))</f>
        <v>-100.39589131604674</v>
      </c>
      <c r="R198">
        <f t="shared" si="274"/>
        <v>4.5962932307615656</v>
      </c>
      <c r="S198">
        <f t="shared" si="275"/>
        <v>190.39589131604674</v>
      </c>
      <c r="T198" s="94">
        <f t="shared" si="276"/>
        <v>-4.5208423808423577</v>
      </c>
      <c r="U198" s="94">
        <f t="shared" si="277"/>
        <v>-0.82939473757927484</v>
      </c>
      <c r="AB198" s="39">
        <v>0.406250000000004</v>
      </c>
      <c r="AC198">
        <f t="shared" si="261"/>
        <v>33.75</v>
      </c>
      <c r="AD198" s="38">
        <f t="shared" si="249"/>
        <v>51.159690095211495</v>
      </c>
      <c r="AE198" s="38">
        <f t="shared" si="250"/>
        <v>117.64489852090301</v>
      </c>
      <c r="AG198">
        <f t="shared" si="255"/>
        <v>3.8840309904788501</v>
      </c>
      <c r="AH198">
        <f t="shared" si="256"/>
        <v>-27.644898520903013</v>
      </c>
      <c r="AI198" s="94">
        <f t="shared" si="257"/>
        <v>3.4406310064569174</v>
      </c>
      <c r="AJ198" s="94">
        <f t="shared" si="258"/>
        <v>-1.8021528826399207</v>
      </c>
      <c r="AK198" s="43"/>
      <c r="AN198" s="323"/>
      <c r="AO198" s="13">
        <f t="shared" ref="AO198:AX198" si="292">+AO176</f>
        <v>0</v>
      </c>
      <c r="AP198" s="13">
        <f t="shared" si="292"/>
        <v>0</v>
      </c>
      <c r="AQ198" s="13">
        <f t="shared" si="292"/>
        <v>0</v>
      </c>
      <c r="AR198" s="13">
        <f t="shared" si="292"/>
        <v>0</v>
      </c>
      <c r="AS198" s="13">
        <f t="shared" si="292"/>
        <v>0</v>
      </c>
      <c r="AT198" s="13">
        <f t="shared" si="292"/>
        <v>0</v>
      </c>
      <c r="AU198" s="13">
        <f t="shared" si="292"/>
        <v>0</v>
      </c>
      <c r="AV198" s="13">
        <f t="shared" si="292"/>
        <v>0</v>
      </c>
      <c r="AW198" s="13">
        <f t="shared" si="292"/>
        <v>0</v>
      </c>
      <c r="AX198" s="13">
        <f t="shared" si="292"/>
        <v>0</v>
      </c>
      <c r="AY198" s="13">
        <f>IF($AH$125="si",AY176,0)</f>
        <v>8.5654551879976495</v>
      </c>
      <c r="AZ198" s="13">
        <f>IF($AH$125="si",AZ176,0)</f>
        <v>1.0153845508301493</v>
      </c>
      <c r="BA198" s="13">
        <f>IF($AH$126="si",BA176,0)</f>
        <v>7.3171793408454278</v>
      </c>
      <c r="BB198" s="13">
        <f>IF($AH$126="si",BB176,0)</f>
        <v>-5.491916703403818E-2</v>
      </c>
      <c r="BC198" s="13">
        <f>IF($AH$127="si",BC176,0)</f>
        <v>5.9498753428282356</v>
      </c>
      <c r="BD198" s="13">
        <f>IF($AH$127="si",BD176,0)</f>
        <v>-0.85515633493597176</v>
      </c>
      <c r="BE198" s="13">
        <f>IF($AH$128="si",BE176,0)</f>
        <v>4.5105575419044515</v>
      </c>
      <c r="BF198" s="13">
        <f>IF($AH$128="si",BF176,0)</f>
        <v>-1.436087597671055</v>
      </c>
      <c r="BG198" s="13">
        <f>IF($AH$129="si",BG176,0)</f>
        <v>3.027575645251392</v>
      </c>
      <c r="BH198" s="13">
        <f>IF($AH$129="si",BH176,0)</f>
        <v>-1.8308990238685714</v>
      </c>
      <c r="BI198" s="13">
        <f>IF($AH$130="si",BI176,0)</f>
        <v>1.5195236952779618</v>
      </c>
      <c r="BJ198" s="13">
        <f>IF($AH$130="si",BJ176,0)</f>
        <v>-2.0602774257475551</v>
      </c>
      <c r="BK198" s="13">
        <f>IF($AH$131="si",BK176,0)</f>
        <v>1.3081749948580787E-16</v>
      </c>
      <c r="BL198" s="13">
        <f>IF($AH$131="si",BL176,0)</f>
        <v>-2.1355371091834767</v>
      </c>
      <c r="BM198" s="13">
        <f>IF($AH$132="si",BM176,0)</f>
        <v>-1.5195236952779616</v>
      </c>
      <c r="BN198" s="13">
        <f>IF($AH$132="si",BN176,0)</f>
        <v>-2.0602774257475556</v>
      </c>
      <c r="BO198" s="13">
        <f>IF($AH$133="si",BO176,0)</f>
        <v>-3.0275756452513929</v>
      </c>
      <c r="BP198" s="13">
        <f>IF($AH$133="si",BP176,0)</f>
        <v>-1.8308990238685712</v>
      </c>
      <c r="BQ198" s="13">
        <f>IF($AH$134="si",BQ176,0)</f>
        <v>-4.5105575419044515</v>
      </c>
      <c r="BR198" s="13">
        <f>IF($AH$134="si",BR176,0)</f>
        <v>-1.4360875976710543</v>
      </c>
      <c r="BS198" s="13">
        <f>IF($AH$135="si",BS176,0)</f>
        <v>-5.9498753428282356</v>
      </c>
      <c r="BT198" s="13">
        <f>IF($AH$135="si",BT176,0)</f>
        <v>-0.85515633493597099</v>
      </c>
      <c r="BU198" s="13">
        <f>IF($AH$136="si",BU176,0)</f>
        <v>-7.3171793408454278</v>
      </c>
      <c r="BV198" s="13">
        <f>IF($AH$136="si",BV176,0)</f>
        <v>-5.4919167034038395E-2</v>
      </c>
      <c r="BW198" s="13">
        <f t="shared" ref="BW198:CJ198" si="293">+BW176</f>
        <v>-8.5654551879976513</v>
      </c>
      <c r="BX198" s="13">
        <f t="shared" si="293"/>
        <v>1.0153845508301516</v>
      </c>
      <c r="BY198" s="13">
        <f t="shared" si="293"/>
        <v>0</v>
      </c>
      <c r="BZ198" s="13">
        <f t="shared" si="293"/>
        <v>0</v>
      </c>
      <c r="CA198" s="13">
        <f t="shared" si="293"/>
        <v>0</v>
      </c>
      <c r="CB198" s="13">
        <f t="shared" si="293"/>
        <v>0</v>
      </c>
      <c r="CC198" s="13">
        <f t="shared" si="293"/>
        <v>0</v>
      </c>
      <c r="CD198" s="13">
        <f t="shared" si="293"/>
        <v>0</v>
      </c>
      <c r="CE198" s="13">
        <f t="shared" si="293"/>
        <v>0</v>
      </c>
      <c r="CF198" s="13">
        <f t="shared" si="293"/>
        <v>0</v>
      </c>
      <c r="CG198" s="13">
        <f t="shared" si="293"/>
        <v>0</v>
      </c>
      <c r="CH198" s="13">
        <f t="shared" si="293"/>
        <v>0</v>
      </c>
      <c r="CI198" s="13" t="e">
        <f t="shared" si="293"/>
        <v>#NUM!</v>
      </c>
      <c r="CJ198" s="13" t="e">
        <f t="shared" si="293"/>
        <v>#NUM!</v>
      </c>
    </row>
    <row r="199" spans="1:88" x14ac:dyDescent="0.25">
      <c r="B199" s="39">
        <v>0.66666666666666696</v>
      </c>
      <c r="C199" s="38">
        <v>-60</v>
      </c>
      <c r="D199" s="38">
        <f>+DEGREES(ASIN(COS(RADIANS(E186))*COS(RADIANS(D186))*COS(RADIANS(C199))+SIN(RADIANS(E186))*SIN(RADIANS(D186))))</f>
        <v>29.832821574407284</v>
      </c>
      <c r="E199" s="38">
        <f>-(180-DEGREES(ACOS((((SIN(RADIANS(D199)))*SIN(RADIANS(E186)))-SIN(RADIANS(D186)))/((COS(RADIANS(D199)))*COS(RADIANS(E186))))))</f>
        <v>-93.34362055594309</v>
      </c>
      <c r="G199">
        <f t="shared" si="270"/>
        <v>6.016717842559272</v>
      </c>
      <c r="H199">
        <f t="shared" si="271"/>
        <v>183.34362055594309</v>
      </c>
      <c r="I199" s="94">
        <f t="shared" si="272"/>
        <v>-6.0064755989035694</v>
      </c>
      <c r="J199" s="94">
        <f t="shared" si="273"/>
        <v>-0.35091947330849477</v>
      </c>
      <c r="M199" s="39">
        <v>0.66666666666666696</v>
      </c>
      <c r="N199" s="38">
        <v>-60</v>
      </c>
      <c r="O199" s="38">
        <f>+DEGREES(ASIN(COS(RADIANS(P186))*COS(RADIANS(O186))*COS(RADIANS(N199))+SIN(RADIANS(P186))*SIN(RADIANS(O186))))</f>
        <v>29.417399639445083</v>
      </c>
      <c r="P199" s="38">
        <f>-(180-DEGREES(ACOS((((SIN(RADIANS(O199)))*SIN(RADIANS(P186)))-SIN(RADIANS(O186)))/((COS(RADIANS(O199)))*COS(RADIANS(P186))))))</f>
        <v>-96.179191790944685</v>
      </c>
      <c r="R199">
        <f t="shared" si="274"/>
        <v>6.0582600360554917</v>
      </c>
      <c r="S199">
        <f t="shared" si="275"/>
        <v>186.17919179094469</v>
      </c>
      <c r="T199" s="94">
        <f t="shared" si="276"/>
        <v>-6.0230622766376198</v>
      </c>
      <c r="U199" s="94">
        <f t="shared" si="277"/>
        <v>-0.65210081752129245</v>
      </c>
      <c r="AB199" s="39">
        <v>0.41666666666667102</v>
      </c>
      <c r="AC199">
        <f t="shared" si="261"/>
        <v>30</v>
      </c>
      <c r="AD199" s="38">
        <f t="shared" si="249"/>
        <v>54.229799687692569</v>
      </c>
      <c r="AE199" s="38">
        <f t="shared" si="250"/>
        <v>121.20064439621024</v>
      </c>
      <c r="AG199">
        <f t="shared" si="255"/>
        <v>3.5770200312307434</v>
      </c>
      <c r="AH199">
        <f t="shared" si="256"/>
        <v>-31.200644396210237</v>
      </c>
      <c r="AI199" s="94">
        <f t="shared" si="257"/>
        <v>3.0596342520920516</v>
      </c>
      <c r="AJ199" s="94">
        <f t="shared" si="258"/>
        <v>-1.8530274005667327</v>
      </c>
      <c r="AK199" s="43"/>
      <c r="AN199" s="324"/>
      <c r="AO199" s="45">
        <f t="shared" ref="AO199:AX199" si="294">+AQ175</f>
        <v>0</v>
      </c>
      <c r="AP199" s="45">
        <f t="shared" si="294"/>
        <v>0</v>
      </c>
      <c r="AQ199" s="45">
        <f t="shared" si="294"/>
        <v>0</v>
      </c>
      <c r="AR199" s="45">
        <f t="shared" si="294"/>
        <v>0</v>
      </c>
      <c r="AS199" s="45">
        <f t="shared" si="294"/>
        <v>0</v>
      </c>
      <c r="AT199" s="45">
        <f t="shared" si="294"/>
        <v>0</v>
      </c>
      <c r="AU199" s="45">
        <f t="shared" si="294"/>
        <v>0</v>
      </c>
      <c r="AV199" s="45">
        <f t="shared" si="294"/>
        <v>0</v>
      </c>
      <c r="AW199" s="45">
        <f t="shared" si="294"/>
        <v>8.9999999459306821</v>
      </c>
      <c r="AX199" s="45">
        <f t="shared" si="294"/>
        <v>9.8653318720904812E-4</v>
      </c>
      <c r="AY199" s="45">
        <f>IF($AH$125="si",BA175,0)</f>
        <v>7.7566153566303626</v>
      </c>
      <c r="AZ199" s="45">
        <f>IF($AH$125="si",BB175,0)</f>
        <v>-1.5274342176721141</v>
      </c>
      <c r="BA199" s="45">
        <f>IF($AH$126="si",BC175,0)</f>
        <v>6.2591135034701519</v>
      </c>
      <c r="BB199" s="45">
        <f>IF($AH$126="si",BD175,0)</f>
        <v>-2.2219314351235444</v>
      </c>
      <c r="BC199" s="45">
        <f>IF($AH$127="si",BE175,0)</f>
        <v>4.7210947655407791</v>
      </c>
      <c r="BD199" s="45">
        <f>IF($AH$127="si",BF175,0)</f>
        <v>-2.7246801501078117</v>
      </c>
      <c r="BE199" s="45">
        <f>IF($AH$128="si",BG175,0)</f>
        <v>3.1587701351887114</v>
      </c>
      <c r="BF199" s="45">
        <f>IF($AH$128="si",BH175,0)</f>
        <v>-3.0660982649874113</v>
      </c>
      <c r="BG199" s="45">
        <f>IF($AH$129="si",BI175,0)</f>
        <v>1.5825569006738294</v>
      </c>
      <c r="BH199" s="45">
        <f>IF($AH$129="si",BJ175,0)</f>
        <v>-3.2644600428327033</v>
      </c>
      <c r="BI199" s="45">
        <f>IF($AH$130="si",BK175,0)</f>
        <v>2.0395981383766651E-16</v>
      </c>
      <c r="BJ199" s="45">
        <f>IF($AH$130="si",BL175,0)</f>
        <v>-3.3295526435264406</v>
      </c>
      <c r="BK199" s="45">
        <f>IF($AH$131="si",BM175,0)</f>
        <v>-1.5825569006738291</v>
      </c>
      <c r="BL199" s="45">
        <f>IF($AH$131="si",BN175,0)</f>
        <v>-3.2644600428327033</v>
      </c>
      <c r="BM199" s="45">
        <f>IF($AH$132="si",BO175,0)</f>
        <v>-3.1587701351887141</v>
      </c>
      <c r="BN199" s="45">
        <f>IF($AH$132="si",BP175,0)</f>
        <v>-3.0660982649874082</v>
      </c>
      <c r="BO199" s="45">
        <f>IF($AH$133="si",BQ175,0)</f>
        <v>-4.7210947655407791</v>
      </c>
      <c r="BP199" s="45">
        <f>IF($AH$133="si",BR175,0)</f>
        <v>-2.7246801501078117</v>
      </c>
      <c r="BQ199" s="45">
        <f>IF($AH$134="si",BS175,0)</f>
        <v>-6.2591135034701519</v>
      </c>
      <c r="BR199" s="45">
        <f>IF($AH$134="si",BT175,0)</f>
        <v>-2.2219314351235457</v>
      </c>
      <c r="BS199" s="45">
        <f>IF($AH$135="si",BU175,0)</f>
        <v>-7.7566153566303617</v>
      </c>
      <c r="BT199" s="45">
        <f>IF($AH$135="si",BV175,0)</f>
        <v>-1.5274342176721158</v>
      </c>
      <c r="BU199" s="45">
        <f>IF($AH$136="si",IF(BW175&lt;=-8.99,BR105,BW175),0)</f>
        <v>-8.9681072395106511</v>
      </c>
      <c r="BV199" s="45">
        <f>IF($AH$136="si",IF(BW175&lt;=-8.99,BS105,BX175),0)</f>
        <v>-0.75700233859390975</v>
      </c>
      <c r="BW199" s="45">
        <f t="shared" ref="BW199:CJ199" si="295">+BY175</f>
        <v>0</v>
      </c>
      <c r="BX199" s="45">
        <f t="shared" si="295"/>
        <v>0</v>
      </c>
      <c r="BY199" s="45">
        <f t="shared" si="295"/>
        <v>0</v>
      </c>
      <c r="BZ199" s="45">
        <f t="shared" si="295"/>
        <v>0</v>
      </c>
      <c r="CA199" s="45">
        <f t="shared" si="295"/>
        <v>0</v>
      </c>
      <c r="CB199" s="45">
        <f t="shared" si="295"/>
        <v>0</v>
      </c>
      <c r="CC199" s="45">
        <f t="shared" si="295"/>
        <v>0</v>
      </c>
      <c r="CD199" s="45">
        <f t="shared" si="295"/>
        <v>0</v>
      </c>
      <c r="CE199" s="45">
        <f t="shared" si="295"/>
        <v>0</v>
      </c>
      <c r="CF199" s="45">
        <f t="shared" si="295"/>
        <v>0</v>
      </c>
      <c r="CG199" s="45" t="e">
        <f t="shared" si="295"/>
        <v>#NUM!</v>
      </c>
      <c r="CH199" s="45" t="e">
        <f t="shared" si="295"/>
        <v>#NUM!</v>
      </c>
      <c r="CI199" s="45">
        <f t="shared" si="295"/>
        <v>0</v>
      </c>
      <c r="CJ199" s="45">
        <f t="shared" si="295"/>
        <v>0</v>
      </c>
    </row>
    <row r="200" spans="1:88" x14ac:dyDescent="0.25">
      <c r="B200" s="39">
        <v>0.70833333333333404</v>
      </c>
      <c r="C200">
        <v>-75</v>
      </c>
      <c r="D200" s="38">
        <f>+DEGREES(ASIN(COS(RADIANS(E186))*COS(RADIANS(D186))*COS(RADIANS(C200))+SIN(RADIANS(E186))*SIN(RADIANS(D186))))</f>
        <v>14.904799816556887</v>
      </c>
      <c r="E200" s="38">
        <f>-(180-DEGREES(ACOS((((SIN(RADIANS(D200)))*SIN(RADIANS(E186)))-SIN(RADIANS(D186)))/((COS(RADIANS(D200)))*COS(RADIANS(E186))))))</f>
        <v>-91.753807425353287</v>
      </c>
      <c r="G200">
        <f t="shared" si="270"/>
        <v>7.5095200183443112</v>
      </c>
      <c r="H200">
        <f t="shared" si="271"/>
        <v>181.75380742535327</v>
      </c>
      <c r="I200" s="94">
        <f t="shared" si="272"/>
        <v>-7.5060022533891617</v>
      </c>
      <c r="J200" s="94">
        <f t="shared" si="273"/>
        <v>-0.22982836646239652</v>
      </c>
      <c r="M200" s="39">
        <v>0.70833333333333404</v>
      </c>
      <c r="N200">
        <v>-75</v>
      </c>
      <c r="O200" s="38">
        <f>+DEGREES(ASIN(COS(RADIANS(P186))*COS(RADIANS(O186))*COS(RADIANS(N200))+SIN(RADIANS(P186))*SIN(RADIANS(O186))))</f>
        <v>14.694039743431569</v>
      </c>
      <c r="P200" s="38">
        <f>-(180-DEGREES(ACOS((((SIN(RADIANS(O200)))*SIN(RADIANS(P186)))-SIN(RADIANS(O186)))/((COS(RADIANS(O200)))*COS(RADIANS(P186))))))</f>
        <v>-93.07450525597902</v>
      </c>
      <c r="R200">
        <f t="shared" si="274"/>
        <v>7.5305960256568429</v>
      </c>
      <c r="S200">
        <f t="shared" si="275"/>
        <v>183.07450525597903</v>
      </c>
      <c r="T200" s="94">
        <f t="shared" si="276"/>
        <v>-7.5197567475893017</v>
      </c>
      <c r="U200" s="94">
        <f t="shared" si="277"/>
        <v>-0.40389968893748818</v>
      </c>
      <c r="AB200" s="39">
        <v>0.42708333333333798</v>
      </c>
      <c r="AC200">
        <f t="shared" si="261"/>
        <v>26.25</v>
      </c>
      <c r="AD200" s="38">
        <f t="shared" si="249"/>
        <v>57.177545796356952</v>
      </c>
      <c r="AE200" s="38">
        <f t="shared" si="250"/>
        <v>125.31820340704058</v>
      </c>
      <c r="AG200">
        <f t="shared" si="255"/>
        <v>3.2822454203643048</v>
      </c>
      <c r="AH200">
        <f t="shared" si="256"/>
        <v>-35.318203407040585</v>
      </c>
      <c r="AI200" s="94">
        <f t="shared" si="257"/>
        <v>2.6781611422049059</v>
      </c>
      <c r="AJ200" s="94">
        <f t="shared" si="258"/>
        <v>-1.8975215139455375</v>
      </c>
      <c r="AK200" s="43"/>
    </row>
    <row r="201" spans="1:88" x14ac:dyDescent="0.25">
      <c r="B201" s="39">
        <v>0.75</v>
      </c>
      <c r="C201" s="38">
        <v>-90</v>
      </c>
      <c r="D201" s="38">
        <f>+DEGREES(ASIN(COS(RADIANS(E186))*COS(RADIANS(D186))*COS(RADIANS(C201))+SIN(RADIANS(E186))*SIN(RADIANS(D186))))</f>
        <v>-3.5180405810133208E-2</v>
      </c>
      <c r="E201" s="38">
        <f>-(180-DEGREES(ACOS((((SIN(RADIANS(D201)))*SIN(RADIANS(E186)))-SIN(RADIANS(D186)))/((COS(RADIANS(D201)))*COS(RADIANS(E186))))))</f>
        <v>-90.402117230089857</v>
      </c>
      <c r="G201">
        <f t="shared" si="270"/>
        <v>9.0035180405810138</v>
      </c>
      <c r="H201">
        <f t="shared" si="271"/>
        <v>180.40211723008986</v>
      </c>
      <c r="I201" s="94">
        <f t="shared" si="272"/>
        <v>-9.0032963023590984</v>
      </c>
      <c r="J201" s="94">
        <f t="shared" si="273"/>
        <v>-6.3188598613626967E-2</v>
      </c>
      <c r="M201" s="39">
        <v>0.75</v>
      </c>
      <c r="N201" s="38">
        <v>-90</v>
      </c>
      <c r="O201" s="38">
        <f>+DEGREES(ASIN(COS(RADIANS(P186))*COS(RADIANS(O186))*COS(RADIANS(N201))+SIN(RADIANS(P186))*SIN(RADIANS(O186))))</f>
        <v>-7.0093080568731952E-2</v>
      </c>
      <c r="P201" s="38">
        <f>-(180-DEGREES(ACOS((((SIN(RADIANS(O201)))*SIN(RADIANS(P186)))-SIN(RADIANS(O186)))/((COS(RADIANS(O201)))*COS(RADIANS(P186))))))</f>
        <v>-90.397521001025282</v>
      </c>
      <c r="R201">
        <f t="shared" si="274"/>
        <v>9.0070093080568725</v>
      </c>
      <c r="S201">
        <f t="shared" si="275"/>
        <v>180.39752100102527</v>
      </c>
      <c r="T201" s="94">
        <f t="shared" si="276"/>
        <v>-9.006792525784844</v>
      </c>
      <c r="U201" s="94">
        <f t="shared" si="277"/>
        <v>-6.2490582405820956E-2</v>
      </c>
      <c r="AB201" s="39">
        <v>0.437500000000005</v>
      </c>
      <c r="AC201">
        <f t="shared" si="261"/>
        <v>22.5</v>
      </c>
      <c r="AD201" s="38">
        <f t="shared" si="249"/>
        <v>59.966360671695597</v>
      </c>
      <c r="AE201" s="38">
        <f t="shared" si="250"/>
        <v>130.13120321923606</v>
      </c>
      <c r="AG201">
        <f t="shared" si="255"/>
        <v>3.0033639328304407</v>
      </c>
      <c r="AH201">
        <f t="shared" si="256"/>
        <v>-40.131203219236056</v>
      </c>
      <c r="AI201" s="94">
        <f t="shared" si="257"/>
        <v>2.2962834592229857</v>
      </c>
      <c r="AJ201" s="94">
        <f t="shared" si="258"/>
        <v>-1.935788518388734</v>
      </c>
      <c r="AK201" s="43"/>
      <c r="AN201" s="322" t="s">
        <v>100</v>
      </c>
      <c r="AO201" s="46">
        <f t="shared" ref="AO201:AX201" si="296">+AO176</f>
        <v>0</v>
      </c>
      <c r="AP201" s="46">
        <f t="shared" si="296"/>
        <v>0</v>
      </c>
      <c r="AQ201" s="46">
        <f t="shared" si="296"/>
        <v>0</v>
      </c>
      <c r="AR201" s="46">
        <f t="shared" si="296"/>
        <v>0</v>
      </c>
      <c r="AS201" s="46">
        <f t="shared" si="296"/>
        <v>0</v>
      </c>
      <c r="AT201" s="46">
        <f t="shared" si="296"/>
        <v>0</v>
      </c>
      <c r="AU201" s="46">
        <f t="shared" si="296"/>
        <v>0</v>
      </c>
      <c r="AV201" s="46">
        <f t="shared" si="296"/>
        <v>0</v>
      </c>
      <c r="AW201" s="46">
        <f t="shared" si="296"/>
        <v>0</v>
      </c>
      <c r="AX201" s="46">
        <f t="shared" si="296"/>
        <v>0</v>
      </c>
      <c r="AY201" s="46">
        <f>IF($AJ$125="si",AY176,0)</f>
        <v>8.5654551879976495</v>
      </c>
      <c r="AZ201" s="46">
        <f>IF($AJ$125="si",AZ176,0)</f>
        <v>1.0153845508301493</v>
      </c>
      <c r="BA201" s="46">
        <f>IF($AJ$126="si",BA176,0)</f>
        <v>7.3171793408454278</v>
      </c>
      <c r="BB201" s="46">
        <f>IF($AJ$126="si",BB176,0)</f>
        <v>-5.491916703403818E-2</v>
      </c>
      <c r="BC201" s="46">
        <f>IF($AJ$127="si",BC176,0)</f>
        <v>5.9498753428282356</v>
      </c>
      <c r="BD201" s="46">
        <f>IF($AJ$127="si",BD176,0)</f>
        <v>-0.85515633493597176</v>
      </c>
      <c r="BE201" s="46">
        <f>IF($AJ$128="si",BE176,0)</f>
        <v>4.5105575419044515</v>
      </c>
      <c r="BF201" s="46">
        <f>IF($AJ$128="si",BF176,0)</f>
        <v>-1.436087597671055</v>
      </c>
      <c r="BG201" s="46">
        <f>IF($AJ$129="si",BG176,0)</f>
        <v>3.027575645251392</v>
      </c>
      <c r="BH201" s="46">
        <f>IF($AJ$129="si",BH176,0)</f>
        <v>-1.8308990238685714</v>
      </c>
      <c r="BI201" s="46">
        <f>IF($AJ$130="si",BI176,0)</f>
        <v>1.5195236952779618</v>
      </c>
      <c r="BJ201" s="46">
        <f>IF($AJ$130="si",BJ176,0)</f>
        <v>-2.0602774257475551</v>
      </c>
      <c r="BK201" s="46">
        <f>IF($AJ$131="si",BK176,0)</f>
        <v>1.3081749948580787E-16</v>
      </c>
      <c r="BL201" s="46">
        <f>IF($AJ$131="si",BL176,0)</f>
        <v>-2.1355371091834767</v>
      </c>
      <c r="BM201" s="46">
        <f>IF($AJ$132="si",BM176,0)</f>
        <v>-1.5195236952779616</v>
      </c>
      <c r="BN201" s="46">
        <f>IF($AJ$132="si",BN176,0)</f>
        <v>-2.0602774257475556</v>
      </c>
      <c r="BO201" s="46">
        <f>IF($AJ$133="si",BO176,0)</f>
        <v>-3.0275756452513929</v>
      </c>
      <c r="BP201" s="46">
        <f>IF($AJ$133="si",BP176,0)</f>
        <v>-1.8308990238685712</v>
      </c>
      <c r="BQ201" s="46">
        <f>IF($AJ$134="si",BQ176,0)</f>
        <v>-4.5105575419044515</v>
      </c>
      <c r="BR201" s="46">
        <f>IF($AJ$134="si",BR176,0)</f>
        <v>-1.4360875976710543</v>
      </c>
      <c r="BS201" s="46">
        <f>IF($AJ$135="si",BS176,0)</f>
        <v>-5.9498753428282356</v>
      </c>
      <c r="BT201" s="46">
        <f>IF($AJ$135="si",BT176,0)</f>
        <v>-0.85515633493597099</v>
      </c>
      <c r="BU201" s="46">
        <f>IF($AJ$136="si",BU176,0)</f>
        <v>-7.3171793408454278</v>
      </c>
      <c r="BV201" s="46">
        <f>IF($AJ$136="si",BV176,0)</f>
        <v>-5.4919167034038395E-2</v>
      </c>
      <c r="BW201" s="46">
        <f t="shared" ref="BW201:CJ201" si="297">+BW176</f>
        <v>-8.5654551879976513</v>
      </c>
      <c r="BX201" s="46">
        <f t="shared" si="297"/>
        <v>1.0153845508301516</v>
      </c>
      <c r="BY201" s="46">
        <f t="shared" si="297"/>
        <v>0</v>
      </c>
      <c r="BZ201" s="46">
        <f t="shared" si="297"/>
        <v>0</v>
      </c>
      <c r="CA201" s="46">
        <f t="shared" si="297"/>
        <v>0</v>
      </c>
      <c r="CB201" s="46">
        <f t="shared" si="297"/>
        <v>0</v>
      </c>
      <c r="CC201" s="46">
        <f t="shared" si="297"/>
        <v>0</v>
      </c>
      <c r="CD201" s="46">
        <f t="shared" si="297"/>
        <v>0</v>
      </c>
      <c r="CE201" s="46">
        <f t="shared" si="297"/>
        <v>0</v>
      </c>
      <c r="CF201" s="46">
        <f t="shared" si="297"/>
        <v>0</v>
      </c>
      <c r="CG201" s="46">
        <f t="shared" si="297"/>
        <v>0</v>
      </c>
      <c r="CH201" s="46">
        <f t="shared" si="297"/>
        <v>0</v>
      </c>
      <c r="CI201" s="46" t="e">
        <f t="shared" si="297"/>
        <v>#NUM!</v>
      </c>
      <c r="CJ201" s="46" t="e">
        <f t="shared" si="297"/>
        <v>#NUM!</v>
      </c>
    </row>
    <row r="202" spans="1:88" x14ac:dyDescent="0.25">
      <c r="AB202" s="39">
        <v>0.44791666666667201</v>
      </c>
      <c r="AC202">
        <f t="shared" si="261"/>
        <v>18.75</v>
      </c>
      <c r="AD202" s="38">
        <f t="shared" si="249"/>
        <v>62.547288964594912</v>
      </c>
      <c r="AE202" s="38">
        <f t="shared" si="250"/>
        <v>135.79532472939275</v>
      </c>
      <c r="AG202">
        <f t="shared" si="255"/>
        <v>2.7452711035405084</v>
      </c>
      <c r="AH202">
        <f t="shared" si="256"/>
        <v>-45.795324729392746</v>
      </c>
      <c r="AI202" s="94">
        <f t="shared" si="257"/>
        <v>1.9140678007591194</v>
      </c>
      <c r="AJ202" s="94">
        <f t="shared" si="258"/>
        <v>-1.967957795795344</v>
      </c>
      <c r="AK202" s="43"/>
      <c r="AN202" s="323"/>
      <c r="AO202" s="13">
        <f t="shared" ref="AO202:AX202" si="298">+AQ177</f>
        <v>0</v>
      </c>
      <c r="AP202" s="13">
        <f t="shared" si="298"/>
        <v>0</v>
      </c>
      <c r="AQ202" s="13">
        <f t="shared" si="298"/>
        <v>0</v>
      </c>
      <c r="AR202" s="13">
        <f t="shared" si="298"/>
        <v>0</v>
      </c>
      <c r="AS202" s="13">
        <f t="shared" si="298"/>
        <v>0</v>
      </c>
      <c r="AT202" s="13">
        <f t="shared" si="298"/>
        <v>0</v>
      </c>
      <c r="AU202" s="13">
        <f t="shared" si="298"/>
        <v>0</v>
      </c>
      <c r="AV202" s="13">
        <f t="shared" si="298"/>
        <v>0</v>
      </c>
      <c r="AW202" s="13">
        <f t="shared" si="298"/>
        <v>7.8336727666422483</v>
      </c>
      <c r="AX202" s="13">
        <f t="shared" si="298"/>
        <v>2.2129946436748829</v>
      </c>
      <c r="AY202" s="13">
        <f>IF($AJ$125="si",BA177,0)</f>
        <v>6.7724281322824265</v>
      </c>
      <c r="AZ202" s="13">
        <f>IF($AJ$125="si",BB177,0)</f>
        <v>1.0987026288314572</v>
      </c>
      <c r="BA202" s="13">
        <f>IF($AJ$126="si",BC177,0)</f>
        <v>5.5520641812898193</v>
      </c>
      <c r="BB202" s="13">
        <f>IF($AJ$126="si",BD177,0)</f>
        <v>0.25312143844983037</v>
      </c>
      <c r="BC202" s="13">
        <f>IF($AJ$127="si",BE177,0)</f>
        <v>4.2322633019278983</v>
      </c>
      <c r="BD202" s="13">
        <f>IF($AJ$127="si",BF177,0)</f>
        <v>-0.36616801105094604</v>
      </c>
      <c r="BE202" s="13">
        <f>IF($AJ$128="si",BG177,0)</f>
        <v>2.8508896713723404</v>
      </c>
      <c r="BF202" s="13">
        <f>IF($AJ$128="si",BH177,0)</f>
        <v>-0.78922270067773015</v>
      </c>
      <c r="BG202" s="13">
        <f>IF($AJ$129="si",BI177,0)</f>
        <v>1.4336983739441382</v>
      </c>
      <c r="BH202" s="13">
        <f>IF($AJ$129="si",BJ177,0)</f>
        <v>-1.0357074320385538</v>
      </c>
      <c r="BI202" s="13">
        <f>IF($AJ$130="si",BK177,0)</f>
        <v>6.8405012524425953E-17</v>
      </c>
      <c r="BJ202" s="13">
        <f>IF($AJ$130="si",BL177,0)</f>
        <v>-1.1166812030061788</v>
      </c>
      <c r="BK202" s="13">
        <f>IF($AJ$131="si",BM177,0)</f>
        <v>-1.4336983739441382</v>
      </c>
      <c r="BL202" s="13">
        <f>IF($AJ$131="si",BN177,0)</f>
        <v>-1.035707432038554</v>
      </c>
      <c r="BM202" s="13">
        <f>IF($AJ$132="si",BO177,0)</f>
        <v>-2.8508896713723404</v>
      </c>
      <c r="BN202" s="13">
        <f>IF($AJ$132="si",BP177,0)</f>
        <v>-0.78922270067773104</v>
      </c>
      <c r="BO202" s="13">
        <f>IF($AJ$133="si",BQ177,0)</f>
        <v>-4.2322633019278983</v>
      </c>
      <c r="BP202" s="13">
        <f>IF($AJ$133="si",BR177,0)</f>
        <v>-0.36616801105094748</v>
      </c>
      <c r="BQ202" s="13">
        <f>IF($AJ$134="si",BS177,0)</f>
        <v>-5.5520641812898193</v>
      </c>
      <c r="BR202" s="13">
        <f>IF($AJ$134="si",BT177,0)</f>
        <v>0.25312143844983048</v>
      </c>
      <c r="BS202" s="13">
        <f>IF($AJ$135="si",IF(BU169=9,CN104,BU177),0)</f>
        <v>-6.7724281322824265</v>
      </c>
      <c r="BT202" s="13">
        <f>IF($AJ$135="si",IF(BU169=9,CO104,BV177),0)</f>
        <v>1.0987026288314568</v>
      </c>
      <c r="BU202" s="13">
        <f>IF($AJ$136="si",IF(BW177&lt;=-8.99,CN105,BW177),0)</f>
        <v>-7.8336727666422483</v>
      </c>
      <c r="BV202" s="13">
        <f>IF($AJ$136="si",IF(BW177&lt;=-8.99,CO105,BX177),0)</f>
        <v>2.2129946436748833</v>
      </c>
      <c r="BW202" s="13">
        <f t="shared" ref="BW202:CJ202" si="299">+BY177</f>
        <v>0</v>
      </c>
      <c r="BX202" s="13">
        <f t="shared" si="299"/>
        <v>0</v>
      </c>
      <c r="BY202" s="13">
        <f t="shared" si="299"/>
        <v>0</v>
      </c>
      <c r="BZ202" s="13">
        <f t="shared" si="299"/>
        <v>0</v>
      </c>
      <c r="CA202" s="13">
        <f t="shared" si="299"/>
        <v>0</v>
      </c>
      <c r="CB202" s="13">
        <f t="shared" si="299"/>
        <v>0</v>
      </c>
      <c r="CC202" s="13">
        <f t="shared" si="299"/>
        <v>0</v>
      </c>
      <c r="CD202" s="13">
        <f t="shared" si="299"/>
        <v>0</v>
      </c>
      <c r="CE202" s="13">
        <f t="shared" si="299"/>
        <v>0</v>
      </c>
      <c r="CF202" s="13">
        <f t="shared" si="299"/>
        <v>0</v>
      </c>
      <c r="CG202" s="13">
        <f t="shared" si="299"/>
        <v>0</v>
      </c>
      <c r="CH202" s="13">
        <f t="shared" si="299"/>
        <v>0</v>
      </c>
      <c r="CI202" s="13">
        <f t="shared" si="299"/>
        <v>0</v>
      </c>
      <c r="CJ202" s="13">
        <f t="shared" si="299"/>
        <v>0</v>
      </c>
    </row>
    <row r="203" spans="1:88" x14ac:dyDescent="0.25">
      <c r="D203" s="44"/>
      <c r="E203" s="13"/>
      <c r="F203" s="13"/>
      <c r="G203" s="13"/>
      <c r="H203" s="13"/>
      <c r="I203" s="13"/>
      <c r="J203" s="13"/>
      <c r="K203" s="92"/>
      <c r="L203" s="92"/>
      <c r="AB203" s="39">
        <v>0.45833333333333898</v>
      </c>
      <c r="AC203">
        <f t="shared" si="261"/>
        <v>15</v>
      </c>
      <c r="AD203" s="38">
        <f t="shared" si="249"/>
        <v>64.855802753889463</v>
      </c>
      <c r="AE203" s="38">
        <f t="shared" si="250"/>
        <v>142.4742952535257</v>
      </c>
      <c r="AG203">
        <f t="shared" si="255"/>
        <v>2.514419724611054</v>
      </c>
      <c r="AH203">
        <f t="shared" si="256"/>
        <v>-52.474295253525696</v>
      </c>
      <c r="AI203" s="94">
        <f t="shared" si="257"/>
        <v>1.5315765330883693</v>
      </c>
      <c r="AJ203" s="94">
        <f t="shared" si="258"/>
        <v>-1.9941363731716393</v>
      </c>
      <c r="AK203" s="43"/>
      <c r="AN203" s="323"/>
      <c r="AO203" s="13">
        <f t="shared" ref="AO203:AX203" si="300">+AO177</f>
        <v>0</v>
      </c>
      <c r="AP203" s="13">
        <f t="shared" si="300"/>
        <v>0</v>
      </c>
      <c r="AQ203" s="13">
        <f t="shared" si="300"/>
        <v>0</v>
      </c>
      <c r="AR203" s="13">
        <f t="shared" si="300"/>
        <v>0</v>
      </c>
      <c r="AS203" s="13">
        <f t="shared" si="300"/>
        <v>0</v>
      </c>
      <c r="AT203" s="13">
        <f t="shared" si="300"/>
        <v>0</v>
      </c>
      <c r="AU203" s="13">
        <f t="shared" si="300"/>
        <v>0</v>
      </c>
      <c r="AV203" s="13">
        <f t="shared" si="300"/>
        <v>0</v>
      </c>
      <c r="AW203" s="13">
        <f t="shared" si="300"/>
        <v>0</v>
      </c>
      <c r="AX203" s="13">
        <f t="shared" si="300"/>
        <v>0</v>
      </c>
      <c r="AY203" s="13">
        <f>IF($AJ$125="si",AY177,0)</f>
        <v>7.8336727666422483</v>
      </c>
      <c r="AZ203" s="13">
        <f>IF($AJ$125="si",AZ177,0)</f>
        <v>2.2129946436748829</v>
      </c>
      <c r="BA203" s="13">
        <f>IF($AJ$126="si",BA177,0)</f>
        <v>6.7724281322824265</v>
      </c>
      <c r="BB203" s="13">
        <f>IF($AJ$126="si",BB177,0)</f>
        <v>1.0987026288314572</v>
      </c>
      <c r="BC203" s="13">
        <f>IF($AJ$127="si",BC177,0)</f>
        <v>5.5520641812898193</v>
      </c>
      <c r="BD203" s="13">
        <f>IF($AJ$127="si",BD177,0)</f>
        <v>0.25312143844983037</v>
      </c>
      <c r="BE203" s="13">
        <f>IF($AJ$128="si",BE177,0)</f>
        <v>4.2322633019278983</v>
      </c>
      <c r="BF203" s="13">
        <f>IF($AJ$128="si",BF177,0)</f>
        <v>-0.36616801105094604</v>
      </c>
      <c r="BG203" s="13">
        <f>IF($AJ$129="si",BG177,0)</f>
        <v>2.8508896713723404</v>
      </c>
      <c r="BH203" s="13">
        <f>IF($AJ$129="si",BH177,0)</f>
        <v>-0.78922270067773015</v>
      </c>
      <c r="BI203" s="13">
        <f>IF($AJ$130="si",BI177,0)</f>
        <v>1.4336983739441382</v>
      </c>
      <c r="BJ203" s="13">
        <f>IF($AJ$130="si",BJ177,0)</f>
        <v>-1.0357074320385538</v>
      </c>
      <c r="BK203" s="13">
        <f>IF($AJ$131="si",BK177,0)</f>
        <v>6.8405012524425953E-17</v>
      </c>
      <c r="BL203" s="13">
        <f>IF($AJ$131="si",BL177,0)</f>
        <v>-1.1166812030061788</v>
      </c>
      <c r="BM203" s="13">
        <f>IF($AJ$132="si",BM177,0)</f>
        <v>-1.4336983739441382</v>
      </c>
      <c r="BN203" s="13">
        <f>IF($AJ$132="si",BN177,0)</f>
        <v>-1.035707432038554</v>
      </c>
      <c r="BO203" s="13">
        <f>IF($AJ$133="si",BO177,0)</f>
        <v>-2.8508896713723404</v>
      </c>
      <c r="BP203" s="13">
        <f>IF($AJ$133="si",BP177,0)</f>
        <v>-0.78922270067773104</v>
      </c>
      <c r="BQ203" s="13">
        <f>IF($AJ$134="si",BQ177,0)</f>
        <v>-4.2322633019278983</v>
      </c>
      <c r="BR203" s="13">
        <f>IF($AJ$134="si",BR177,0)</f>
        <v>-0.36616801105094748</v>
      </c>
      <c r="BS203" s="13">
        <f>IF($AJ$135="si",BS177,0)</f>
        <v>-5.5520641812898193</v>
      </c>
      <c r="BT203" s="13">
        <f>IF($AJ$135="si",BT177,0)</f>
        <v>0.25312143844983048</v>
      </c>
      <c r="BU203" s="13">
        <f>IF($AJ$136="si",BU177,0)</f>
        <v>-6.7724281322824265</v>
      </c>
      <c r="BV203" s="13">
        <f>IF($AJ$136="si",BV177,0)</f>
        <v>1.0987026288314568</v>
      </c>
      <c r="BW203" s="13">
        <f t="shared" ref="BW203:CJ203" si="301">+BW177</f>
        <v>-7.8336727666422483</v>
      </c>
      <c r="BX203" s="13">
        <f t="shared" si="301"/>
        <v>2.2129946436748833</v>
      </c>
      <c r="BY203" s="13">
        <f t="shared" si="301"/>
        <v>0</v>
      </c>
      <c r="BZ203" s="13">
        <f t="shared" si="301"/>
        <v>0</v>
      </c>
      <c r="CA203" s="13">
        <f t="shared" si="301"/>
        <v>0</v>
      </c>
      <c r="CB203" s="13">
        <f t="shared" si="301"/>
        <v>0</v>
      </c>
      <c r="CC203" s="13">
        <f t="shared" si="301"/>
        <v>0</v>
      </c>
      <c r="CD203" s="13">
        <f t="shared" si="301"/>
        <v>0</v>
      </c>
      <c r="CE203" s="13">
        <f t="shared" si="301"/>
        <v>0</v>
      </c>
      <c r="CF203" s="13">
        <f t="shared" si="301"/>
        <v>0</v>
      </c>
      <c r="CG203" s="13">
        <f t="shared" si="301"/>
        <v>0</v>
      </c>
      <c r="CH203" s="13">
        <f t="shared" si="301"/>
        <v>0</v>
      </c>
      <c r="CI203" s="13">
        <f t="shared" si="301"/>
        <v>0</v>
      </c>
      <c r="CJ203" s="13">
        <f t="shared" si="301"/>
        <v>0</v>
      </c>
    </row>
    <row r="204" spans="1:88" x14ac:dyDescent="0.25">
      <c r="A204" s="95" t="s">
        <v>92</v>
      </c>
      <c r="B204" s="95">
        <v>21</v>
      </c>
      <c r="C204" s="315"/>
      <c r="D204" s="315"/>
      <c r="E204" s="316"/>
      <c r="K204" s="92"/>
      <c r="L204" s="95" t="s">
        <v>92</v>
      </c>
      <c r="M204" s="95">
        <v>21</v>
      </c>
      <c r="N204" s="315"/>
      <c r="O204" s="315"/>
      <c r="P204" s="316"/>
      <c r="AB204" s="39">
        <v>0.468750000000006</v>
      </c>
      <c r="AC204">
        <f t="shared" si="261"/>
        <v>11.25</v>
      </c>
      <c r="AD204" s="38">
        <f t="shared" si="249"/>
        <v>66.810028994450263</v>
      </c>
      <c r="AE204" s="38">
        <f t="shared" si="250"/>
        <v>150.3028038203704</v>
      </c>
      <c r="AG204">
        <f t="shared" si="255"/>
        <v>2.3189971005549737</v>
      </c>
      <c r="AH204">
        <f t="shared" si="256"/>
        <v>-60.3028038203704</v>
      </c>
      <c r="AI204" s="94">
        <f t="shared" si="257"/>
        <v>1.1488686399456187</v>
      </c>
      <c r="AJ204" s="94">
        <f t="shared" si="258"/>
        <v>-2.0144101867623383</v>
      </c>
      <c r="AK204" s="43"/>
      <c r="AN204" s="324"/>
      <c r="AO204" s="45">
        <f t="shared" ref="AO204:AX204" si="302">+AQ176</f>
        <v>0</v>
      </c>
      <c r="AP204" s="45">
        <f t="shared" si="302"/>
        <v>0</v>
      </c>
      <c r="AQ204" s="45">
        <f t="shared" si="302"/>
        <v>0</v>
      </c>
      <c r="AR204" s="45">
        <f t="shared" si="302"/>
        <v>0</v>
      </c>
      <c r="AS204" s="45">
        <f t="shared" si="302"/>
        <v>0</v>
      </c>
      <c r="AT204" s="45">
        <f t="shared" si="302"/>
        <v>0</v>
      </c>
      <c r="AU204" s="45">
        <f t="shared" si="302"/>
        <v>0</v>
      </c>
      <c r="AV204" s="45">
        <f t="shared" si="302"/>
        <v>0</v>
      </c>
      <c r="AW204" s="45">
        <f t="shared" si="302"/>
        <v>8.5654551879976495</v>
      </c>
      <c r="AX204" s="45">
        <f t="shared" si="302"/>
        <v>1.0153845508301493</v>
      </c>
      <c r="AY204" s="45">
        <f>IF($AJ$125="si",BA176,0)</f>
        <v>7.3171793408454278</v>
      </c>
      <c r="AZ204" s="45">
        <f>IF($AJ$125="si",BB176,0)</f>
        <v>-5.491916703403818E-2</v>
      </c>
      <c r="BA204" s="45">
        <f>IF($AJ$126="si",BC176,0)</f>
        <v>5.9498753428282356</v>
      </c>
      <c r="BB204" s="45">
        <f>IF($AJ$126="si",BD176,0)</f>
        <v>-0.85515633493597176</v>
      </c>
      <c r="BC204" s="45">
        <f>IF($AJ$127="si",BE176,0)</f>
        <v>4.5105575419044515</v>
      </c>
      <c r="BD204" s="45">
        <f>IF($AJ$127="si",BF176,0)</f>
        <v>-1.436087597671055</v>
      </c>
      <c r="BE204" s="45">
        <f>IF($AJ$128="si",BG176,0)</f>
        <v>3.027575645251392</v>
      </c>
      <c r="BF204" s="45">
        <f>IF($AJ$128="si",BH176,0)</f>
        <v>-1.8308990238685714</v>
      </c>
      <c r="BG204" s="45">
        <f>IF($AJ$129="si",BI176,0)</f>
        <v>1.5195236952779618</v>
      </c>
      <c r="BH204" s="45">
        <f>IF($AJ$129="si",BJ176,0)</f>
        <v>-2.0602774257475551</v>
      </c>
      <c r="BI204" s="45">
        <f>IF($AJ$130="si",BK176,0)</f>
        <v>1.3081749948580787E-16</v>
      </c>
      <c r="BJ204" s="45">
        <f>IF($AJ$130="si",BL176,0)</f>
        <v>-2.1355371091834767</v>
      </c>
      <c r="BK204" s="45">
        <f>IF($AJ$131="si",BM176,0)</f>
        <v>-1.5195236952779616</v>
      </c>
      <c r="BL204" s="45">
        <f>IF($AJ$131="si",BN176,0)</f>
        <v>-2.0602774257475556</v>
      </c>
      <c r="BM204" s="45">
        <f>IF($AJ$132="si",BO176,0)</f>
        <v>-3.0275756452513929</v>
      </c>
      <c r="BN204" s="45">
        <f>IF($AJ$132="si",BP176,0)</f>
        <v>-1.8308990238685712</v>
      </c>
      <c r="BO204" s="45">
        <f>IF($AJ$133="si",BQ176,0)</f>
        <v>-4.5105575419044515</v>
      </c>
      <c r="BP204" s="45">
        <f>IF($AJ$133="si",BR176,0)</f>
        <v>-1.4360875976710543</v>
      </c>
      <c r="BQ204" s="45">
        <f>IF($AJ$134="si",BS176,0)</f>
        <v>-5.9498753428282356</v>
      </c>
      <c r="BR204" s="45">
        <f>IF($AJ$134="si",BT176,0)</f>
        <v>-0.85515633493597099</v>
      </c>
      <c r="BS204" s="45">
        <f>IF($AJ$135="si",BU176,0)</f>
        <v>-7.3171793408454278</v>
      </c>
      <c r="BT204" s="45">
        <f>IF($AJ$135="si",BV176,0)</f>
        <v>-5.4919167034038395E-2</v>
      </c>
      <c r="BU204" s="45">
        <f>IF($AJ$136="si",IF(BW176&lt;=-8.99,CC105,BW176),0)</f>
        <v>-8.5654551879976513</v>
      </c>
      <c r="BV204" s="45">
        <f>IF($AJ$136="si",IF(BW176&lt;=-8.99,CD105,BX176),0)</f>
        <v>1.0153845508301516</v>
      </c>
      <c r="BW204" s="45">
        <f t="shared" ref="BW204:CJ204" si="303">+BY176</f>
        <v>0</v>
      </c>
      <c r="BX204" s="45">
        <f t="shared" si="303"/>
        <v>0</v>
      </c>
      <c r="BY204" s="45">
        <f t="shared" si="303"/>
        <v>0</v>
      </c>
      <c r="BZ204" s="45">
        <f t="shared" si="303"/>
        <v>0</v>
      </c>
      <c r="CA204" s="45">
        <f t="shared" si="303"/>
        <v>0</v>
      </c>
      <c r="CB204" s="45">
        <f t="shared" si="303"/>
        <v>0</v>
      </c>
      <c r="CC204" s="45">
        <f t="shared" si="303"/>
        <v>0</v>
      </c>
      <c r="CD204" s="45">
        <f t="shared" si="303"/>
        <v>0</v>
      </c>
      <c r="CE204" s="45">
        <f t="shared" si="303"/>
        <v>0</v>
      </c>
      <c r="CF204" s="45">
        <f t="shared" si="303"/>
        <v>0</v>
      </c>
      <c r="CG204" s="45" t="e">
        <f t="shared" si="303"/>
        <v>#NUM!</v>
      </c>
      <c r="CH204" s="45" t="e">
        <f t="shared" si="303"/>
        <v>#NUM!</v>
      </c>
      <c r="CI204" s="45">
        <f t="shared" si="303"/>
        <v>0</v>
      </c>
      <c r="CJ204" s="45">
        <f t="shared" si="303"/>
        <v>0</v>
      </c>
    </row>
    <row r="205" spans="1:88" x14ac:dyDescent="0.25">
      <c r="A205" s="95" t="s">
        <v>91</v>
      </c>
      <c r="B205" s="95">
        <v>3</v>
      </c>
      <c r="C205" s="315"/>
      <c r="D205" s="315"/>
      <c r="E205" s="316"/>
      <c r="K205" s="92"/>
      <c r="L205" s="95" t="s">
        <v>91</v>
      </c>
      <c r="M205" s="95">
        <v>3</v>
      </c>
      <c r="N205" s="315"/>
      <c r="O205" s="315"/>
      <c r="P205" s="316"/>
      <c r="AB205" s="39">
        <v>0.47916666666667301</v>
      </c>
      <c r="AC205">
        <f t="shared" si="261"/>
        <v>7.5</v>
      </c>
      <c r="AD205" s="38">
        <f t="shared" si="249"/>
        <v>68.313669951088244</v>
      </c>
      <c r="AE205" s="38">
        <f t="shared" si="250"/>
        <v>159.31572299977344</v>
      </c>
      <c r="AG205">
        <f t="shared" si="255"/>
        <v>2.1686330048911753</v>
      </c>
      <c r="AH205">
        <f t="shared" si="256"/>
        <v>-69.315722999773442</v>
      </c>
      <c r="AI205" s="94">
        <f t="shared" si="257"/>
        <v>0.76600048962617229</v>
      </c>
      <c r="AJ205" s="94">
        <f t="shared" si="258"/>
        <v>-2.028845080284789</v>
      </c>
      <c r="AK205" s="43"/>
    </row>
    <row r="206" spans="1:88" x14ac:dyDescent="0.25">
      <c r="C206" s="93">
        <f>+IF(B205=$AI$63,B204,IF(B205=$AJ$63,$AI$64+B204,IF(B205=$AK$63,$AI$64+$AJ$64+B204,IF(B205=$AL$63,$AI$64+$AJ$64+$AK$64+B204,IF(B205=$AM$63,$AI$64+$AJ$64+$AK$64+$AL$64+B204,IF(B205=$AN$63,$AI$64+$AJ$64+$AK$64+$AL$64+$AM$64+B204,IF(B205=$AO$63,$AI$64+$AJ$64+$AK$64+$AL$64+$AM$64+$AN$64+B204,IF(B205=$AP$63,$AI$64+$AJ$64+$AK$64+$AL$64+$AM$64+$AN$64+$AO$64+B204,IF(B205=$AQ$63,$AI$64+$AJ$64+$AK$64+$AL$64+$AM$64+$AN$64+$AO$64+$AP$64+B204,IF(B205=$AR$63,$AI$64+$AJ$64+$AK$64+$AL$64+$AM$64+$AN$64+$AO$64+$AP$64+$AQ$64+B204,IF(B205=$AS$63,$AI$64+$AJ$64+$AK$64+$AL$64+$AM$64+$AN$64+$AO$64+$AP$64+$AQ$64+$AR$64+B204,IF(B205=$AT$63,$AI$64+$AJ$64+$AK$64+$AL$64+$AM$64+$AN$64+$AO$64+$AP$64+$AQ$64+$AR$64+$AS$64+B204,"error"))))))))))))</f>
        <v>80</v>
      </c>
      <c r="D206" s="38">
        <f>23.45*SIN(RADIANS(360*((284+C206)/365)))</f>
        <v>-0.40365320185431652</v>
      </c>
      <c r="E206" s="95">
        <v>15</v>
      </c>
      <c r="K206" s="92"/>
      <c r="N206" s="93">
        <f>+IF(M205=$AI$63,M204,IF(M205=$AJ$63,$AI$64+M204,IF(M205=$AK$63,$AI$64+$AJ$64+M204,IF(M205=$AL$63,$AI$64+$AJ$64+$AK$64+M204,IF(M205=$AM$63,$AI$64+$AJ$64+$AK$64+$AL$64+M204,IF(M205=$AN$63,$AI$64+$AJ$64+$AK$64+$AL$64+$AM$64+M204,IF(M205=$AO$63,$AI$64+$AJ$64+$AK$64+$AL$64+$AM$64+$AN$64+M204,IF(M205=$AP$63,$AI$64+$AJ$64+$AK$64+$AL$64+$AM$64+$AN$64+$AO$64+M204,IF(M205=$AQ$63,$AI$64+$AJ$64+$AK$64+$AL$64+$AM$64+$AN$64+$AO$64+$AP$64+M204,IF(M205=$AR$63,$AI$64+$AJ$64+$AK$64+$AL$64+$AM$64+$AN$64+$AO$64+$AP$64+$AQ$64+M204,IF(M205=$AS$63,$AI$64+$AJ$64+$AK$64+$AL$64+$AM$64+$AN$64+$AO$64+$AP$64+$AQ$64+$AR$64+M204,IF(M205=$AT$63,$AI$64+$AJ$64+$AK$64+$AL$64+$AM$64+$AN$64+$AO$64+$AP$64+$AQ$64+$AR$64+$AS$64+M204,"error"))))))))))))</f>
        <v>80</v>
      </c>
      <c r="O206" s="38">
        <f>23.45*SIN(RADIANS(360*((284+N206)/365)))</f>
        <v>-0.40365320185431652</v>
      </c>
      <c r="P206" s="95">
        <v>20</v>
      </c>
      <c r="AB206" s="39">
        <v>0.48958333333333998</v>
      </c>
      <c r="AC206">
        <f t="shared" si="261"/>
        <v>3.75</v>
      </c>
      <c r="AD206" s="38">
        <f t="shared" si="249"/>
        <v>69.268225146260022</v>
      </c>
      <c r="AE206" s="38">
        <f t="shared" si="250"/>
        <v>169.35324595543619</v>
      </c>
      <c r="AG206">
        <f t="shared" si="255"/>
        <v>2.0731774853739982</v>
      </c>
      <c r="AH206">
        <f t="shared" si="256"/>
        <v>-79.353245955436194</v>
      </c>
      <c r="AI206" s="94">
        <f t="shared" si="257"/>
        <v>0.38302654016551518</v>
      </c>
      <c r="AJ206" s="94">
        <f t="shared" si="258"/>
        <v>-2.0374875595670492</v>
      </c>
      <c r="AK206" s="43"/>
      <c r="AN206" s="322" t="s">
        <v>99</v>
      </c>
      <c r="AO206" s="46">
        <f t="shared" ref="AO206:AX206" si="304">+AO177</f>
        <v>0</v>
      </c>
      <c r="AP206" s="46">
        <f t="shared" si="304"/>
        <v>0</v>
      </c>
      <c r="AQ206" s="46">
        <f t="shared" si="304"/>
        <v>0</v>
      </c>
      <c r="AR206" s="46">
        <f t="shared" si="304"/>
        <v>0</v>
      </c>
      <c r="AS206" s="46">
        <f t="shared" si="304"/>
        <v>0</v>
      </c>
      <c r="AT206" s="46">
        <f t="shared" si="304"/>
        <v>0</v>
      </c>
      <c r="AU206" s="46">
        <f t="shared" si="304"/>
        <v>0</v>
      </c>
      <c r="AV206" s="46">
        <f t="shared" si="304"/>
        <v>0</v>
      </c>
      <c r="AW206" s="46">
        <f t="shared" si="304"/>
        <v>0</v>
      </c>
      <c r="AX206" s="46">
        <f t="shared" si="304"/>
        <v>0</v>
      </c>
      <c r="AY206" s="46">
        <f>IF($AL$125="si",AY177,0)</f>
        <v>7.8336727666422483</v>
      </c>
      <c r="AZ206" s="46">
        <f>IF($AL$125="si",AZ177,0)</f>
        <v>2.2129946436748829</v>
      </c>
      <c r="BA206" s="46">
        <f>IF($AL$126="si",BA177,0)</f>
        <v>6.7724281322824265</v>
      </c>
      <c r="BB206" s="46">
        <f>IF($AL$126="si",BB177,0)</f>
        <v>1.0987026288314572</v>
      </c>
      <c r="BC206" s="46">
        <f>IF($AL$127="si",BC177,0)</f>
        <v>5.5520641812898193</v>
      </c>
      <c r="BD206" s="46">
        <f>IF($AL$127="si",BD177,0)</f>
        <v>0.25312143844983037</v>
      </c>
      <c r="BE206" s="46">
        <f>IF($AL$128="si",BE177,0)</f>
        <v>4.2322633019278983</v>
      </c>
      <c r="BF206" s="46">
        <f>IF($AL$128="si",BF177,0)</f>
        <v>-0.36616801105094604</v>
      </c>
      <c r="BG206" s="46">
        <f>IF($AL$129="si",BG177,0)</f>
        <v>2.8508896713723404</v>
      </c>
      <c r="BH206" s="46">
        <f>IF($AL$129="si",BH177,0)</f>
        <v>-0.78922270067773015</v>
      </c>
      <c r="BI206" s="46">
        <f>IF($AL$130="si",BI177,0)</f>
        <v>1.4336983739441382</v>
      </c>
      <c r="BJ206" s="46">
        <f>IF($AL$130="si",BJ177,0)</f>
        <v>-1.0357074320385538</v>
      </c>
      <c r="BK206" s="46">
        <f>IF($AL$131="si",BK177,0)</f>
        <v>6.8405012524425953E-17</v>
      </c>
      <c r="BL206" s="46">
        <f>IF($AL$131="si",BL177,0)</f>
        <v>-1.1166812030061788</v>
      </c>
      <c r="BM206" s="46">
        <f>IF($AL$132="si",BM177,0)</f>
        <v>-1.4336983739441382</v>
      </c>
      <c r="BN206" s="46">
        <f>IF($AL$132="si",BN177,0)</f>
        <v>-1.035707432038554</v>
      </c>
      <c r="BO206" s="46">
        <f>IF($AL$133="si",BO177,0)</f>
        <v>-2.8508896713723404</v>
      </c>
      <c r="BP206" s="46">
        <f>IF($AL$133="si",BP177,0)</f>
        <v>-0.78922270067773104</v>
      </c>
      <c r="BQ206" s="46">
        <f>IF($AL$134="si",BQ177,0)</f>
        <v>-4.2322633019278983</v>
      </c>
      <c r="BR206" s="46">
        <f>IF($AL$134="si",BR177,0)</f>
        <v>-0.36616801105094748</v>
      </c>
      <c r="BS206" s="46">
        <f>IF($AL$135="si",BS177,0)</f>
        <v>-5.5520641812898193</v>
      </c>
      <c r="BT206" s="46">
        <f>IF($AL$135="si",BT177,0)</f>
        <v>0.25312143844983048</v>
      </c>
      <c r="BU206" s="46">
        <f>IF($AL$136="si",BU177,0)</f>
        <v>-6.7724281322824265</v>
      </c>
      <c r="BV206" s="46">
        <f>IF($AL$136="si",BV177,0)</f>
        <v>1.0987026288314568</v>
      </c>
      <c r="BW206" s="46">
        <f t="shared" ref="BW206:CJ206" si="305">+BW177</f>
        <v>-7.8336727666422483</v>
      </c>
      <c r="BX206" s="46">
        <f t="shared" si="305"/>
        <v>2.2129946436748833</v>
      </c>
      <c r="BY206" s="46">
        <f t="shared" si="305"/>
        <v>0</v>
      </c>
      <c r="BZ206" s="46">
        <f t="shared" si="305"/>
        <v>0</v>
      </c>
      <c r="CA206" s="46">
        <f t="shared" si="305"/>
        <v>0</v>
      </c>
      <c r="CB206" s="46">
        <f t="shared" si="305"/>
        <v>0</v>
      </c>
      <c r="CC206" s="46">
        <f t="shared" si="305"/>
        <v>0</v>
      </c>
      <c r="CD206" s="46">
        <f t="shared" si="305"/>
        <v>0</v>
      </c>
      <c r="CE206" s="46">
        <f t="shared" si="305"/>
        <v>0</v>
      </c>
      <c r="CF206" s="46">
        <f t="shared" si="305"/>
        <v>0</v>
      </c>
      <c r="CG206" s="46">
        <f t="shared" si="305"/>
        <v>0</v>
      </c>
      <c r="CH206" s="46">
        <f t="shared" si="305"/>
        <v>0</v>
      </c>
      <c r="CI206" s="46">
        <f t="shared" si="305"/>
        <v>0</v>
      </c>
      <c r="CJ206" s="46">
        <f t="shared" si="305"/>
        <v>0</v>
      </c>
    </row>
    <row r="207" spans="1:88" x14ac:dyDescent="0.25">
      <c r="B207" s="317" t="s">
        <v>90</v>
      </c>
      <c r="C207" s="315"/>
      <c r="D207" s="315"/>
      <c r="E207" s="315"/>
      <c r="G207" s="319" t="s">
        <v>89</v>
      </c>
      <c r="H207" s="319"/>
      <c r="I207" s="319" t="s">
        <v>42</v>
      </c>
      <c r="J207" s="319" t="s">
        <v>43</v>
      </c>
      <c r="K207" s="92"/>
      <c r="M207" s="317" t="s">
        <v>90</v>
      </c>
      <c r="N207" s="315"/>
      <c r="O207" s="315"/>
      <c r="P207" s="315"/>
      <c r="R207" s="319" t="s">
        <v>89</v>
      </c>
      <c r="S207" s="319"/>
      <c r="T207" s="319" t="s">
        <v>42</v>
      </c>
      <c r="U207" s="319" t="s">
        <v>43</v>
      </c>
      <c r="AB207" s="39">
        <v>0.50000000000000699</v>
      </c>
      <c r="AC207">
        <f t="shared" si="261"/>
        <v>0</v>
      </c>
      <c r="AD207" s="38">
        <f t="shared" si="249"/>
        <v>69.596346798145689</v>
      </c>
      <c r="AE207" s="38">
        <f>+IF(AE174&gt;=0,180,0)</f>
        <v>180</v>
      </c>
      <c r="AG207">
        <f t="shared" si="255"/>
        <v>2.0403653201854315</v>
      </c>
      <c r="AH207">
        <f t="shared" si="256"/>
        <v>-90</v>
      </c>
      <c r="AI207" s="94">
        <f t="shared" si="257"/>
        <v>1.2498752097371566E-16</v>
      </c>
      <c r="AJ207" s="94">
        <f t="shared" si="258"/>
        <v>-2.0403653201854315</v>
      </c>
      <c r="AK207" s="43"/>
      <c r="AN207" s="323"/>
      <c r="AO207" s="13">
        <f t="shared" ref="AO207:AX207" si="306">+AQ178</f>
        <v>0</v>
      </c>
      <c r="AP207" s="13">
        <f t="shared" si="306"/>
        <v>0</v>
      </c>
      <c r="AQ207" s="13">
        <f t="shared" si="306"/>
        <v>0</v>
      </c>
      <c r="AR207" s="13">
        <f t="shared" si="306"/>
        <v>0</v>
      </c>
      <c r="AS207" s="13">
        <f t="shared" si="306"/>
        <v>0</v>
      </c>
      <c r="AT207" s="13">
        <f t="shared" si="306"/>
        <v>0</v>
      </c>
      <c r="AU207" s="13">
        <f t="shared" si="306"/>
        <v>0</v>
      </c>
      <c r="AV207" s="13">
        <f t="shared" si="306"/>
        <v>0</v>
      </c>
      <c r="AW207" s="13">
        <f t="shared" si="306"/>
        <v>7.4013126754456309</v>
      </c>
      <c r="AX207" s="13">
        <f t="shared" si="306"/>
        <v>2.7617048843911882</v>
      </c>
      <c r="AY207" s="13">
        <f>IF($AL$125="si",BA178,0)</f>
        <v>6.4413948054342534</v>
      </c>
      <c r="AZ207" s="13">
        <f>IF($AL$125="si",BB178,0)</f>
        <v>1.6494388712165591</v>
      </c>
      <c r="BA207" s="13">
        <f>IF($AL$126="si",BC178,0)</f>
        <v>5.3054101678542844</v>
      </c>
      <c r="BB207" s="13">
        <f>IF($AL$126="si",BD178,0)</f>
        <v>0.79714818307256574</v>
      </c>
      <c r="BC207" s="13">
        <f>IF($AL$127="si",BE178,0)</f>
        <v>4.0572556384225589</v>
      </c>
      <c r="BD207" s="13">
        <f>IF($AL$127="si",BF178,0)</f>
        <v>0.16904678632304351</v>
      </c>
      <c r="BE207" s="13">
        <f>IF($AL$128="si",BG178,0)</f>
        <v>2.7387301330387381</v>
      </c>
      <c r="BF207" s="13">
        <f>IF($AL$128="si",BH178,0)</f>
        <v>-0.26169911037129195</v>
      </c>
      <c r="BG207" s="13">
        <f>IF($AL$129="si",BI178,0)</f>
        <v>1.3789227287883621</v>
      </c>
      <c r="BH207" s="13">
        <f>IF($AL$129="si",BJ178,0)</f>
        <v>-0.51323313882258703</v>
      </c>
      <c r="BI207" s="13">
        <f>IF($AL$130="si",BK178,0)</f>
        <v>3.6506458382437044E-17</v>
      </c>
      <c r="BJ207" s="13">
        <f>IF($AL$130="si",BL178,0)</f>
        <v>-0.59595158833481854</v>
      </c>
      <c r="BK207" s="13">
        <f>IF($AL$131="si",BM178,0)</f>
        <v>-1.3789227287883621</v>
      </c>
      <c r="BL207" s="13">
        <f>IF($AL$131="si",BN178,0)</f>
        <v>-0.51323313882258681</v>
      </c>
      <c r="BM207" s="13">
        <f>IF($AL$132="si",BO178,0)</f>
        <v>-2.7387301330387381</v>
      </c>
      <c r="BN207" s="13">
        <f>IF($AL$132="si",BP178,0)</f>
        <v>-0.26169911037129179</v>
      </c>
      <c r="BO207" s="13">
        <f>IF($AL$133="si",BQ178,0)</f>
        <v>-4.0572556384225589</v>
      </c>
      <c r="BP207" s="13">
        <f>IF($AL$133="si",BR178,0)</f>
        <v>0.16904678632304337</v>
      </c>
      <c r="BQ207" s="13">
        <f>IF($AL$134="si",BS178,)</f>
        <v>-5.3054101678542844</v>
      </c>
      <c r="BR207" s="13">
        <f>IF($AL$134="si",BT178,)</f>
        <v>0.79714818307256685</v>
      </c>
      <c r="BS207" s="13">
        <f>IF($AL$135="si",IF(BU170=9,CY104,BU178),0)</f>
        <v>-6.4413948054342534</v>
      </c>
      <c r="BT207" s="13">
        <f>IF($AL$135="si",IF(BU170=9,CZ104,BV178),0)</f>
        <v>1.6494388712165602</v>
      </c>
      <c r="BU207" s="13">
        <f>IF($AL$136="si",IF(BW178&lt;=-8.99,CY105,BW178),0)</f>
        <v>-7.40131267544563</v>
      </c>
      <c r="BV207" s="13">
        <f>IF($AL$136="si",IF(BW178&lt;=-8.99,CZ105,BX178),0)</f>
        <v>2.76170488439119</v>
      </c>
      <c r="BW207" s="13">
        <f t="shared" ref="BW207:CJ207" si="307">+BY178</f>
        <v>0</v>
      </c>
      <c r="BX207" s="13">
        <f t="shared" si="307"/>
        <v>0</v>
      </c>
      <c r="BY207" s="13">
        <f t="shared" si="307"/>
        <v>0</v>
      </c>
      <c r="BZ207" s="13">
        <f t="shared" si="307"/>
        <v>0</v>
      </c>
      <c r="CA207" s="13">
        <f t="shared" si="307"/>
        <v>0</v>
      </c>
      <c r="CB207" s="13">
        <f t="shared" si="307"/>
        <v>0</v>
      </c>
      <c r="CC207" s="13">
        <f t="shared" si="307"/>
        <v>0</v>
      </c>
      <c r="CD207" s="13">
        <f t="shared" si="307"/>
        <v>0</v>
      </c>
      <c r="CE207" s="13">
        <f t="shared" si="307"/>
        <v>0</v>
      </c>
      <c r="CF207" s="13">
        <f t="shared" si="307"/>
        <v>0</v>
      </c>
      <c r="CG207" s="13">
        <f t="shared" si="307"/>
        <v>0</v>
      </c>
      <c r="CH207" s="13">
        <f t="shared" si="307"/>
        <v>0</v>
      </c>
      <c r="CI207" s="13">
        <f t="shared" si="307"/>
        <v>0</v>
      </c>
      <c r="CJ207" s="13">
        <f t="shared" si="307"/>
        <v>0</v>
      </c>
    </row>
    <row r="208" spans="1:88" x14ac:dyDescent="0.25">
      <c r="B208" s="318"/>
      <c r="C208" s="315"/>
      <c r="D208" s="315"/>
      <c r="E208" s="315"/>
      <c r="G208" s="319"/>
      <c r="H208" s="319"/>
      <c r="I208" s="319"/>
      <c r="J208" s="319"/>
      <c r="K208" s="92"/>
      <c r="M208" s="318"/>
      <c r="N208" s="315"/>
      <c r="O208" s="315"/>
      <c r="P208" s="315"/>
      <c r="R208" s="319"/>
      <c r="S208" s="319"/>
      <c r="T208" s="319"/>
      <c r="U208" s="319"/>
      <c r="AB208" s="39">
        <v>0.51041666666667396</v>
      </c>
      <c r="AC208">
        <f t="shared" si="261"/>
        <v>-3.75</v>
      </c>
      <c r="AD208" s="38">
        <f t="shared" si="249"/>
        <v>69.268225146260022</v>
      </c>
      <c r="AE208" s="38">
        <f t="shared" ref="AE208:AE236" si="308">-(180-DEGREES(ACOS((((SIN(RADIANS(AD208)))*SIN(RADIANS($AE$174)))-SIN(RADIANS($AD$174)))/((COS(RADIANS(AD208)))*COS(RADIANS($AE$174))))))</f>
        <v>-169.35324595543619</v>
      </c>
      <c r="AG208">
        <f t="shared" si="255"/>
        <v>2.0731774853739982</v>
      </c>
      <c r="AH208">
        <f t="shared" si="256"/>
        <v>259.35324595543619</v>
      </c>
      <c r="AI208" s="94">
        <f t="shared" si="257"/>
        <v>-0.38302654016551446</v>
      </c>
      <c r="AJ208" s="94">
        <f t="shared" si="258"/>
        <v>-2.0374875595670492</v>
      </c>
      <c r="AK208" s="43"/>
      <c r="AN208" s="323"/>
      <c r="AO208" s="13">
        <f t="shared" ref="AO208:AX208" si="309">+AO178</f>
        <v>0</v>
      </c>
      <c r="AP208" s="13">
        <f t="shared" si="309"/>
        <v>0</v>
      </c>
      <c r="AQ208" s="13">
        <f t="shared" si="309"/>
        <v>0</v>
      </c>
      <c r="AR208" s="13">
        <f t="shared" si="309"/>
        <v>0</v>
      </c>
      <c r="AS208" s="13">
        <f t="shared" si="309"/>
        <v>0</v>
      </c>
      <c r="AT208" s="13">
        <f t="shared" si="309"/>
        <v>0</v>
      </c>
      <c r="AU208" s="13">
        <f t="shared" si="309"/>
        <v>0</v>
      </c>
      <c r="AV208" s="13">
        <f t="shared" si="309"/>
        <v>0</v>
      </c>
      <c r="AW208" s="13">
        <f t="shared" si="309"/>
        <v>0</v>
      </c>
      <c r="AX208" s="13">
        <f t="shared" si="309"/>
        <v>0</v>
      </c>
      <c r="AY208" s="13">
        <f>IF($AL$125="si",AY178,0)</f>
        <v>7.4013126754456309</v>
      </c>
      <c r="AZ208" s="13">
        <f>IF($AL$125="si",AZ178,0)</f>
        <v>2.7617048843911882</v>
      </c>
      <c r="BA208" s="13">
        <f>IF($AL$126="si",BA178,0)</f>
        <v>6.4413948054342534</v>
      </c>
      <c r="BB208" s="13">
        <f>IF($AL$126="si",BB178,0)</f>
        <v>1.6494388712165591</v>
      </c>
      <c r="BC208" s="13">
        <f>IF($AL$127="si",BC178,0)</f>
        <v>5.3054101678542844</v>
      </c>
      <c r="BD208" s="13">
        <f>IF($AL$127="si",BD178,0)</f>
        <v>0.79714818307256574</v>
      </c>
      <c r="BE208" s="13">
        <f>IF($AL$128="si",BE178,0)</f>
        <v>4.0572556384225589</v>
      </c>
      <c r="BF208" s="13">
        <f>IF($AL$128="si",BF178,0)</f>
        <v>0.16904678632304351</v>
      </c>
      <c r="BG208" s="13">
        <f>IF($AL$129="si",BG178,0)</f>
        <v>2.7387301330387381</v>
      </c>
      <c r="BH208" s="13">
        <f>IF($AL$129="si",BH178,0)</f>
        <v>-0.26169911037129195</v>
      </c>
      <c r="BI208" s="13">
        <f>IF($AL$130="si",BI178,0)</f>
        <v>1.3789227287883621</v>
      </c>
      <c r="BJ208" s="13">
        <f>IF($AL$130="si",BJ178,0)</f>
        <v>-0.51323313882258703</v>
      </c>
      <c r="BK208" s="13">
        <f>IF($AL$131="si",BK178,0)</f>
        <v>3.6506458382437044E-17</v>
      </c>
      <c r="BL208" s="13">
        <f>IF($AL$131="si",BL178,0)</f>
        <v>-0.59595158833481854</v>
      </c>
      <c r="BM208" s="13">
        <f>IF($AL$132="si",BM178,0)</f>
        <v>-1.3789227287883621</v>
      </c>
      <c r="BN208" s="13">
        <f>IF($AL$132="si",BN178,0)</f>
        <v>-0.51323313882258681</v>
      </c>
      <c r="BO208" s="13">
        <f>IF($AL$133="si",BO178,0)</f>
        <v>-2.7387301330387381</v>
      </c>
      <c r="BP208" s="13">
        <f>IF($AL$133="si",BP178,0)</f>
        <v>-0.26169911037129179</v>
      </c>
      <c r="BQ208" s="13">
        <f>IF($AL$134="si",BQ178,0)</f>
        <v>-4.0572556384225589</v>
      </c>
      <c r="BR208" s="13">
        <f>IF($AL$134="si",BR178,0)</f>
        <v>0.16904678632304337</v>
      </c>
      <c r="BS208" s="13">
        <f>IF($AL$135="si",BS178,0)</f>
        <v>-5.3054101678542844</v>
      </c>
      <c r="BT208" s="13">
        <f>IF($AL$135="si",BT178,0)</f>
        <v>0.79714818307256685</v>
      </c>
      <c r="BU208" s="13">
        <f>IF($AL$136="si",BU178,0)</f>
        <v>-6.4413948054342534</v>
      </c>
      <c r="BV208" s="13">
        <f>IF($AL$136="si",BV178,0)</f>
        <v>1.6494388712165602</v>
      </c>
      <c r="BW208" s="13">
        <f t="shared" ref="BW208:CJ208" si="310">+BW178</f>
        <v>-7.40131267544563</v>
      </c>
      <c r="BX208" s="13">
        <f t="shared" si="310"/>
        <v>2.76170488439119</v>
      </c>
      <c r="BY208" s="13">
        <f t="shared" si="310"/>
        <v>0</v>
      </c>
      <c r="BZ208" s="13">
        <f t="shared" si="310"/>
        <v>0</v>
      </c>
      <c r="CA208" s="13">
        <f t="shared" si="310"/>
        <v>0</v>
      </c>
      <c r="CB208" s="13">
        <f t="shared" si="310"/>
        <v>0</v>
      </c>
      <c r="CC208" s="13">
        <f t="shared" si="310"/>
        <v>0</v>
      </c>
      <c r="CD208" s="13">
        <f t="shared" si="310"/>
        <v>0</v>
      </c>
      <c r="CE208" s="13">
        <f t="shared" si="310"/>
        <v>0</v>
      </c>
      <c r="CF208" s="13">
        <f t="shared" si="310"/>
        <v>0</v>
      </c>
      <c r="CG208" s="13">
        <f t="shared" si="310"/>
        <v>0</v>
      </c>
      <c r="CH208" s="13">
        <f t="shared" si="310"/>
        <v>0</v>
      </c>
      <c r="CI208" s="13">
        <f t="shared" si="310"/>
        <v>0</v>
      </c>
      <c r="CJ208" s="13">
        <f t="shared" si="310"/>
        <v>0</v>
      </c>
    </row>
    <row r="209" spans="1:88" x14ac:dyDescent="0.25">
      <c r="B209" s="39">
        <v>0.25</v>
      </c>
      <c r="C209" s="38">
        <v>90</v>
      </c>
      <c r="D209" s="38">
        <f>+DEGREES(ASIN(COS(RADIANS(E206))*COS(RADIANS(D206))*COS(RADIANS(C209))+SIN(RADIANS(E206))*SIN(RADIANS(D206))))</f>
        <v>-0.10447232992793457</v>
      </c>
      <c r="E209" s="38">
        <f>180-DEGREES(ACOS((((SIN(RADIANS(D209)))*SIN(RADIANS(E206)))-SIN(RADIANS(D206)))/((COS(RADIANS(D209)))*COS(RADIANS(E206)))))</f>
        <v>90.389899484642541</v>
      </c>
      <c r="G209">
        <f t="shared" ref="G209:G221" si="311">9-(D209/10)</f>
        <v>9.010447232992794</v>
      </c>
      <c r="H209">
        <f t="shared" ref="H209:H221" si="312">90-E209+$AH$172</f>
        <v>-0.38989948464254098</v>
      </c>
      <c r="I209" s="94">
        <f t="shared" ref="I209:I221" si="313">IF($E$206&gt;=$AE$174,0,G209*COS(RADIANS(H209)))</f>
        <v>9.0102386039653393</v>
      </c>
      <c r="J209" s="94">
        <f t="shared" ref="J209:J221" si="314">IF($E$206&gt;=$AE$174,0,G209*SIN(RADIANS(H209)))</f>
        <v>-6.1315888318008875E-2</v>
      </c>
      <c r="K209" s="92"/>
      <c r="M209" s="39">
        <v>0.25</v>
      </c>
      <c r="N209" s="38">
        <v>90</v>
      </c>
      <c r="O209" s="38">
        <f>+DEGREES(ASIN(COS(RADIANS(P206))*COS(RADIANS(O206))*COS(RADIANS(N209))+SIN(RADIANS(P206))*SIN(RADIANS(O206))))</f>
        <v>-0.13805651750742945</v>
      </c>
      <c r="P209" s="38">
        <f>180-DEGREES(ACOS((((SIN(RADIANS(O209)))*SIN(RADIANS(P206)))-SIN(RADIANS(O206)))/((COS(RADIANS(O209)))*COS(RADIANS(P206)))))</f>
        <v>90.379310669221951</v>
      </c>
      <c r="R209">
        <f t="shared" ref="R209:R221" si="315">9-(O209/10)</f>
        <v>9.0138056517507437</v>
      </c>
      <c r="S209">
        <f t="shared" ref="S209:S221" si="316">90-P209+$AH$172</f>
        <v>-0.379310669221951</v>
      </c>
      <c r="T209" s="94">
        <f t="shared" ref="T209:T221" si="317">IF($P$206&gt;=$AE$174,0,R209*COS(RADIANS(S209)))</f>
        <v>0</v>
      </c>
      <c r="U209" s="94">
        <f t="shared" ref="U209:U221" si="318">IF($P$206&gt;=$AE$174,0,R209*SIN(RADIANS(S209)))</f>
        <v>0</v>
      </c>
      <c r="AB209" s="39">
        <v>0.52083333333334103</v>
      </c>
      <c r="AC209">
        <f t="shared" si="261"/>
        <v>-7.5</v>
      </c>
      <c r="AD209" s="38">
        <f t="shared" si="249"/>
        <v>68.313669951088244</v>
      </c>
      <c r="AE209" s="38">
        <f t="shared" si="308"/>
        <v>-159.31572299977344</v>
      </c>
      <c r="AG209">
        <f t="shared" si="255"/>
        <v>2.1686330048911753</v>
      </c>
      <c r="AH209">
        <f t="shared" si="256"/>
        <v>249.31572299977344</v>
      </c>
      <c r="AI209" s="94">
        <f t="shared" si="257"/>
        <v>-0.76600048962617173</v>
      </c>
      <c r="AJ209" s="94">
        <f t="shared" si="258"/>
        <v>-2.0288450802847895</v>
      </c>
      <c r="AK209" s="43"/>
      <c r="AN209" s="324"/>
      <c r="AO209" s="45">
        <f t="shared" ref="AO209:AX209" si="319">+AQ177</f>
        <v>0</v>
      </c>
      <c r="AP209" s="45">
        <f t="shared" si="319"/>
        <v>0</v>
      </c>
      <c r="AQ209" s="45">
        <f t="shared" si="319"/>
        <v>0</v>
      </c>
      <c r="AR209" s="45">
        <f t="shared" si="319"/>
        <v>0</v>
      </c>
      <c r="AS209" s="45">
        <f t="shared" si="319"/>
        <v>0</v>
      </c>
      <c r="AT209" s="45">
        <f t="shared" si="319"/>
        <v>0</v>
      </c>
      <c r="AU209" s="45">
        <f t="shared" si="319"/>
        <v>0</v>
      </c>
      <c r="AV209" s="45">
        <f t="shared" si="319"/>
        <v>0</v>
      </c>
      <c r="AW209" s="45">
        <f t="shared" si="319"/>
        <v>7.8336727666422483</v>
      </c>
      <c r="AX209" s="45">
        <f t="shared" si="319"/>
        <v>2.2129946436748829</v>
      </c>
      <c r="AY209" s="45">
        <f>IF($AL$125="si",BA177,0)</f>
        <v>6.7724281322824265</v>
      </c>
      <c r="AZ209" s="45">
        <f>IF($AL$125="si",BB177,0)</f>
        <v>1.0987026288314572</v>
      </c>
      <c r="BA209" s="45">
        <f>IF($AL$126="si",BC177,0)</f>
        <v>5.5520641812898193</v>
      </c>
      <c r="BB209" s="45">
        <f>IF($AL$126="si",BD177,0)</f>
        <v>0.25312143844983037</v>
      </c>
      <c r="BC209" s="45">
        <f>IF($AL$127="si",BE177,0)</f>
        <v>4.2322633019278983</v>
      </c>
      <c r="BD209" s="45">
        <f>IF($AL$127="si",BF177,0)</f>
        <v>-0.36616801105094604</v>
      </c>
      <c r="BE209" s="45">
        <f>IF($AL$128="si",BG177,0)</f>
        <v>2.8508896713723404</v>
      </c>
      <c r="BF209" s="45">
        <f>IF($AL$128="si",BH177,0)</f>
        <v>-0.78922270067773015</v>
      </c>
      <c r="BG209" s="45">
        <f>IF($AL$129="si",BI177,0)</f>
        <v>1.4336983739441382</v>
      </c>
      <c r="BH209" s="45">
        <f>IF($AL$129="si",BJ177,0)</f>
        <v>-1.0357074320385538</v>
      </c>
      <c r="BI209" s="45">
        <f>IF($AL$130="si",BK177,0)</f>
        <v>6.8405012524425953E-17</v>
      </c>
      <c r="BJ209" s="45">
        <f>IF($AL$130="si",BL177,0)</f>
        <v>-1.1166812030061788</v>
      </c>
      <c r="BK209" s="45">
        <f>IF($AL$131="si",BM177,0)</f>
        <v>-1.4336983739441382</v>
      </c>
      <c r="BL209" s="45">
        <f>IF($AL$131="si",BN177,0)</f>
        <v>-1.035707432038554</v>
      </c>
      <c r="BM209" s="45">
        <f>IF($AL$132="si",BO177,0)</f>
        <v>-2.8508896713723404</v>
      </c>
      <c r="BN209" s="45">
        <f>IF($AL$132="si",BP177,0)</f>
        <v>-0.78922270067773104</v>
      </c>
      <c r="BO209" s="45">
        <f>IF($AL$133="si",BQ177,0)</f>
        <v>-4.2322633019278983</v>
      </c>
      <c r="BP209" s="45">
        <f>IF($AL$133="si",BR177,0)</f>
        <v>-0.36616801105094748</v>
      </c>
      <c r="BQ209" s="45">
        <f>IF($AL$134="si",BS177,0)</f>
        <v>-5.5520641812898193</v>
      </c>
      <c r="BR209" s="45">
        <f>IF($AL$134="si",BT177,0)</f>
        <v>0.25312143844983048</v>
      </c>
      <c r="BS209" s="45">
        <f>IF($AL$135="si",IF(BU169=9,CN104,BU177),0)</f>
        <v>-6.7724281322824265</v>
      </c>
      <c r="BT209" s="45">
        <f>IF($AL$135="si",IF(BU169=9,CO104,BV177),0)</f>
        <v>1.0987026288314568</v>
      </c>
      <c r="BU209" s="45">
        <f>IF($AL$136="si",IF(BW177&lt;=-8.99,CN105,BW177),0)</f>
        <v>-7.8336727666422483</v>
      </c>
      <c r="BV209" s="45">
        <f>IF($AL$136="si",IF(BW177&lt;=-8.99,CO105,BX177),0)</f>
        <v>2.2129946436748833</v>
      </c>
      <c r="BW209" s="45">
        <f t="shared" ref="BW209:CJ209" si="320">+BY177</f>
        <v>0</v>
      </c>
      <c r="BX209" s="45">
        <f t="shared" si="320"/>
        <v>0</v>
      </c>
      <c r="BY209" s="45">
        <f t="shared" si="320"/>
        <v>0</v>
      </c>
      <c r="BZ209" s="45">
        <f t="shared" si="320"/>
        <v>0</v>
      </c>
      <c r="CA209" s="45">
        <f t="shared" si="320"/>
        <v>0</v>
      </c>
      <c r="CB209" s="45">
        <f t="shared" si="320"/>
        <v>0</v>
      </c>
      <c r="CC209" s="45">
        <f t="shared" si="320"/>
        <v>0</v>
      </c>
      <c r="CD209" s="45">
        <f t="shared" si="320"/>
        <v>0</v>
      </c>
      <c r="CE209" s="45">
        <f t="shared" si="320"/>
        <v>0</v>
      </c>
      <c r="CF209" s="45">
        <f t="shared" si="320"/>
        <v>0</v>
      </c>
      <c r="CG209" s="45">
        <f t="shared" si="320"/>
        <v>0</v>
      </c>
      <c r="CH209" s="45">
        <f t="shared" si="320"/>
        <v>0</v>
      </c>
      <c r="CI209" s="45">
        <f t="shared" si="320"/>
        <v>0</v>
      </c>
      <c r="CJ209" s="45">
        <f t="shared" si="320"/>
        <v>0</v>
      </c>
    </row>
    <row r="210" spans="1:88" x14ac:dyDescent="0.25">
      <c r="B210" s="39">
        <v>0.29166666666666669</v>
      </c>
      <c r="C210">
        <v>75</v>
      </c>
      <c r="D210" s="38">
        <f>+DEGREES(ASIN(COS(RADIANS(E206))*COS(RADIANS(D206))*COS(RADIANS(C210))+SIN(RADIANS(E206))*SIN(RADIANS(D206))))</f>
        <v>14.369272893621556</v>
      </c>
      <c r="E210" s="38">
        <f>180-DEGREES(ACOS((((SIN(RADIANS(D210)))*SIN(RADIANS(E206)))-SIN(RADIANS(D206)))/((COS(RADIANS(D210)))*COS(RADIANS(E206)))))</f>
        <v>94.368656764923699</v>
      </c>
      <c r="G210">
        <f t="shared" si="311"/>
        <v>7.5630727106378446</v>
      </c>
      <c r="H210">
        <f t="shared" si="312"/>
        <v>-4.3686567649236991</v>
      </c>
      <c r="I210" s="94">
        <f t="shared" si="313"/>
        <v>7.5410987445327518</v>
      </c>
      <c r="J210" s="94">
        <f t="shared" si="314"/>
        <v>-0.57610637177645341</v>
      </c>
      <c r="K210" s="92"/>
      <c r="M210" s="39">
        <v>0.29166666666666669</v>
      </c>
      <c r="N210">
        <v>75</v>
      </c>
      <c r="O210" s="38">
        <f>+DEGREES(ASIN(COS(RADIANS(P206))*COS(RADIANS(O206))*COS(RADIANS(N210))+SIN(RADIANS(P206))*SIN(RADIANS(O206))))</f>
        <v>13.933453227779413</v>
      </c>
      <c r="P210" s="38">
        <f>180-DEGREES(ACOS((((SIN(RADIANS(O210)))*SIN(RADIANS(P206)))-SIN(RADIANS(O206)))/((COS(RADIANS(O210)))*COS(RADIANS(P206)))))</f>
        <v>95.62536737544977</v>
      </c>
      <c r="R210">
        <f t="shared" si="315"/>
        <v>7.6066546772220587</v>
      </c>
      <c r="S210">
        <f t="shared" si="316"/>
        <v>-5.6253673754497697</v>
      </c>
      <c r="T210" s="94">
        <f t="shared" si="317"/>
        <v>0</v>
      </c>
      <c r="U210" s="94">
        <f t="shared" si="318"/>
        <v>0</v>
      </c>
      <c r="AB210" s="39">
        <v>0.53125000000000799</v>
      </c>
      <c r="AC210">
        <f t="shared" si="261"/>
        <v>-11.25</v>
      </c>
      <c r="AD210" s="38">
        <f t="shared" si="249"/>
        <v>66.810028994450263</v>
      </c>
      <c r="AE210" s="38">
        <f t="shared" si="308"/>
        <v>-150.3028038203704</v>
      </c>
      <c r="AG210">
        <f t="shared" si="255"/>
        <v>2.3189971005549737</v>
      </c>
      <c r="AH210">
        <f t="shared" si="256"/>
        <v>240.3028038203704</v>
      </c>
      <c r="AI210" s="94">
        <f t="shared" si="257"/>
        <v>-1.1488686399456181</v>
      </c>
      <c r="AJ210" s="94">
        <f t="shared" si="258"/>
        <v>-2.0144101867623387</v>
      </c>
      <c r="AK210" s="43"/>
    </row>
    <row r="211" spans="1:88" x14ac:dyDescent="0.25">
      <c r="B211" s="39">
        <v>0.33333333333333298</v>
      </c>
      <c r="C211" s="38">
        <v>60</v>
      </c>
      <c r="D211" s="38">
        <f>+DEGREES(ASIN(COS(RADIANS(E206))*COS(RADIANS(D206))*COS(RADIANS(C211))+SIN(RADIANS(E206))*SIN(RADIANS(D206))))</f>
        <v>28.759069520289422</v>
      </c>
      <c r="E211" s="38">
        <f>180-DEGREES(ACOS((((SIN(RADIANS(D211)))*SIN(RADIANS(E206)))-SIN(RADIANS(D206)))/((COS(RADIANS(D211)))*COS(RADIANS(E206)))))</f>
        <v>98.93865739925937</v>
      </c>
      <c r="G211">
        <f t="shared" si="311"/>
        <v>6.1240930479710576</v>
      </c>
      <c r="H211">
        <f t="shared" si="312"/>
        <v>-8.9386573992593696</v>
      </c>
      <c r="I211" s="94">
        <f t="shared" si="313"/>
        <v>6.0497175178056715</v>
      </c>
      <c r="J211" s="94">
        <f t="shared" si="314"/>
        <v>-0.95154275519422782</v>
      </c>
      <c r="K211" s="92"/>
      <c r="M211" s="39">
        <v>0.33333333333333298</v>
      </c>
      <c r="N211" s="38">
        <v>60</v>
      </c>
      <c r="O211" s="38">
        <f>+DEGREES(ASIN(COS(RADIANS(P206))*COS(RADIANS(O206))*COS(RADIANS(N211))+SIN(RADIANS(P206))*SIN(RADIANS(O206))))</f>
        <v>27.867284381409078</v>
      </c>
      <c r="P211" s="38">
        <f>180-DEGREES(ACOS((((SIN(RADIANS(O211)))*SIN(RADIANS(P206)))-SIN(RADIANS(O206)))/((COS(RADIANS(O211)))*COS(RADIANS(P206)))))</f>
        <v>101.59116923367722</v>
      </c>
      <c r="R211">
        <f t="shared" si="315"/>
        <v>6.2132715618590924</v>
      </c>
      <c r="S211">
        <f t="shared" si="316"/>
        <v>-11.591169233677221</v>
      </c>
      <c r="T211" s="94">
        <f t="shared" si="317"/>
        <v>0</v>
      </c>
      <c r="U211" s="94">
        <f t="shared" si="318"/>
        <v>0</v>
      </c>
      <c r="AB211" s="39">
        <v>0.54166666666667496</v>
      </c>
      <c r="AC211">
        <f t="shared" si="261"/>
        <v>-15</v>
      </c>
      <c r="AD211" s="38">
        <f t="shared" si="249"/>
        <v>64.855802753889463</v>
      </c>
      <c r="AE211" s="38">
        <f t="shared" si="308"/>
        <v>-142.4742952535257</v>
      </c>
      <c r="AG211">
        <f t="shared" si="255"/>
        <v>2.514419724611054</v>
      </c>
      <c r="AH211">
        <f t="shared" si="256"/>
        <v>232.4742952535257</v>
      </c>
      <c r="AI211" s="94">
        <f t="shared" si="257"/>
        <v>-1.5315765330883702</v>
      </c>
      <c r="AJ211" s="94">
        <f t="shared" si="258"/>
        <v>-1.9941363731716391</v>
      </c>
      <c r="AK211" s="43"/>
      <c r="AQ211" s="325" t="s">
        <v>53</v>
      </c>
      <c r="AR211" s="325"/>
      <c r="AT211" s="325" t="s">
        <v>57</v>
      </c>
      <c r="AU211" s="325"/>
      <c r="AW211" s="325" t="s">
        <v>58</v>
      </c>
      <c r="AX211" s="325"/>
      <c r="AZ211" s="325" t="s">
        <v>59</v>
      </c>
      <c r="BA211" s="325"/>
      <c r="BC211" s="325" t="s">
        <v>60</v>
      </c>
      <c r="BD211" s="325"/>
      <c r="BF211" s="325" t="s">
        <v>61</v>
      </c>
      <c r="BG211" s="325"/>
      <c r="BI211" s="325" t="s">
        <v>67</v>
      </c>
      <c r="BJ211" s="325"/>
    </row>
    <row r="212" spans="1:88" x14ac:dyDescent="0.25">
      <c r="B212" s="39">
        <v>0.375</v>
      </c>
      <c r="C212">
        <v>45</v>
      </c>
      <c r="D212" s="38">
        <f>+DEGREES(ASIN(COS(RADIANS(E206))*COS(RADIANS(D206))*COS(RADIANS(C212))+SIN(RADIANS(E206))*SIN(RADIANS(D206))))</f>
        <v>42.935323986604324</v>
      </c>
      <c r="E212" s="38">
        <f>180-DEGREES(ACOS((((SIN(RADIANS(D212)))*SIN(RADIANS(E206)))-SIN(RADIANS(D206)))/((COS(RADIANS(D212)))*COS(RADIANS(E206)))))</f>
        <v>105.02639236235854</v>
      </c>
      <c r="G212">
        <f t="shared" si="311"/>
        <v>4.7064676013395674</v>
      </c>
      <c r="H212">
        <f t="shared" si="312"/>
        <v>-15.026392362358536</v>
      </c>
      <c r="I212" s="94">
        <f t="shared" si="313"/>
        <v>4.5455370158281161</v>
      </c>
      <c r="J212" s="94">
        <f t="shared" si="314"/>
        <v>-1.2202174069383884</v>
      </c>
      <c r="K212" s="92"/>
      <c r="M212" s="39">
        <v>0.375</v>
      </c>
      <c r="N212">
        <v>45</v>
      </c>
      <c r="O212" s="38">
        <f>+DEGREES(ASIN(COS(RADIANS(P206))*COS(RADIANS(O206))*COS(RADIANS(N212))+SIN(RADIANS(P206))*SIN(RADIANS(O206))))</f>
        <v>41.455411356106673</v>
      </c>
      <c r="P212" s="38">
        <f>180-DEGREES(ACOS((((SIN(RADIANS(O212)))*SIN(RADIANS(P206)))-SIN(RADIANS(O206)))/((COS(RADIANS(O212)))*COS(RADIANS(P206)))))</f>
        <v>109.36059218001047</v>
      </c>
      <c r="R212">
        <f t="shared" si="315"/>
        <v>4.8544588643893327</v>
      </c>
      <c r="S212">
        <f t="shared" si="316"/>
        <v>-19.360592180010471</v>
      </c>
      <c r="T212" s="94">
        <f t="shared" si="317"/>
        <v>0</v>
      </c>
      <c r="U212" s="94">
        <f t="shared" si="318"/>
        <v>0</v>
      </c>
      <c r="AB212" s="39">
        <v>0.55208333333334203</v>
      </c>
      <c r="AC212">
        <f t="shared" si="261"/>
        <v>-18.75</v>
      </c>
      <c r="AD212" s="38">
        <f t="shared" si="249"/>
        <v>62.547288964594912</v>
      </c>
      <c r="AE212" s="38">
        <f t="shared" si="308"/>
        <v>-135.79532472939275</v>
      </c>
      <c r="AG212">
        <f t="shared" si="255"/>
        <v>2.7452711035405084</v>
      </c>
      <c r="AH212">
        <f t="shared" si="256"/>
        <v>225.79532472939275</v>
      </c>
      <c r="AI212" s="94">
        <f t="shared" si="257"/>
        <v>-1.9140678007591199</v>
      </c>
      <c r="AJ212" s="94">
        <f t="shared" si="258"/>
        <v>-1.9679577957953436</v>
      </c>
      <c r="AK212" s="43"/>
      <c r="AP212" s="317" t="s">
        <v>90</v>
      </c>
      <c r="AQ212" s="315"/>
      <c r="AR212" s="315"/>
      <c r="AT212" s="315"/>
      <c r="AU212" s="315"/>
      <c r="AW212" s="315"/>
      <c r="AX212" s="315"/>
      <c r="AZ212" s="315"/>
      <c r="BA212" s="315"/>
      <c r="BC212" s="315"/>
      <c r="BD212" s="315"/>
      <c r="BF212" s="315"/>
      <c r="BG212" s="315"/>
      <c r="BI212" s="315"/>
      <c r="BJ212" s="315"/>
    </row>
    <row r="213" spans="1:88" x14ac:dyDescent="0.25">
      <c r="B213" s="39">
        <v>0.41666666666666702</v>
      </c>
      <c r="C213" s="38">
        <v>30</v>
      </c>
      <c r="D213" s="38">
        <f>+DEGREES(ASIN(COS(RADIANS(E206))*COS(RADIANS(D206))*COS(RADIANS(C213))+SIN(RADIANS(E206))*SIN(RADIANS(D206))))</f>
        <v>56.581716592822332</v>
      </c>
      <c r="E213" s="38">
        <f>180-DEGREES(ACOS((((SIN(RADIANS(D213)))*SIN(RADIANS(E206)))-SIN(RADIANS(D206)))/((COS(RADIANS(D213)))*COS(RADIANS(E206)))))</f>
        <v>114.79212098330166</v>
      </c>
      <c r="G213">
        <f t="shared" si="311"/>
        <v>3.3418283407177665</v>
      </c>
      <c r="H213">
        <f t="shared" si="312"/>
        <v>-24.792120983301658</v>
      </c>
      <c r="I213" s="94">
        <f t="shared" si="313"/>
        <v>3.0338292356824281</v>
      </c>
      <c r="J213" s="94">
        <f t="shared" si="314"/>
        <v>-1.4013196735731053</v>
      </c>
      <c r="K213" s="92"/>
      <c r="M213" s="39">
        <v>0.41666666666666702</v>
      </c>
      <c r="N213" s="38">
        <v>30</v>
      </c>
      <c r="O213" s="38">
        <f>+DEGREES(ASIN(COS(RADIANS(P206))*COS(RADIANS(O206))*COS(RADIANS(N213))+SIN(RADIANS(P206))*SIN(RADIANS(O206))))</f>
        <v>54.229799687692569</v>
      </c>
      <c r="P213" s="38">
        <f>180-DEGREES(ACOS((((SIN(RADIANS(O213)))*SIN(RADIANS(P206)))-SIN(RADIANS(O206)))/((COS(RADIANS(O213)))*COS(RADIANS(P206)))))</f>
        <v>121.20064439621024</v>
      </c>
      <c r="R213">
        <f t="shared" si="315"/>
        <v>3.5770200312307434</v>
      </c>
      <c r="S213">
        <f t="shared" si="316"/>
        <v>-31.200644396210237</v>
      </c>
      <c r="T213" s="94">
        <f t="shared" si="317"/>
        <v>0</v>
      </c>
      <c r="U213" s="94">
        <f t="shared" si="318"/>
        <v>0</v>
      </c>
      <c r="AB213" s="39">
        <v>0.56250000000000899</v>
      </c>
      <c r="AC213">
        <f t="shared" si="261"/>
        <v>-22.5</v>
      </c>
      <c r="AD213" s="38">
        <f t="shared" si="249"/>
        <v>59.966360671695597</v>
      </c>
      <c r="AE213" s="38">
        <f t="shared" si="308"/>
        <v>-130.13120321923606</v>
      </c>
      <c r="AG213">
        <f t="shared" si="255"/>
        <v>3.0033639328304407</v>
      </c>
      <c r="AH213">
        <f t="shared" si="256"/>
        <v>220.13120321923606</v>
      </c>
      <c r="AI213" s="94">
        <f t="shared" si="257"/>
        <v>-2.2962834592229857</v>
      </c>
      <c r="AJ213" s="94">
        <f t="shared" si="258"/>
        <v>-1.935788518388734</v>
      </c>
      <c r="AK213" s="43"/>
      <c r="AP213" s="318"/>
      <c r="AQ213" s="315"/>
      <c r="AR213" s="315"/>
      <c r="AT213" s="315"/>
      <c r="AU213" s="315"/>
      <c r="AW213" s="315"/>
      <c r="AX213" s="315"/>
      <c r="AZ213" s="315"/>
      <c r="BA213" s="315"/>
      <c r="BC213" s="315"/>
      <c r="BD213" s="315"/>
      <c r="BF213" s="315"/>
      <c r="BG213" s="315"/>
      <c r="BI213" s="315"/>
      <c r="BJ213" s="315"/>
    </row>
    <row r="214" spans="1:88" x14ac:dyDescent="0.25">
      <c r="B214" s="39">
        <v>0.45833333333333298</v>
      </c>
      <c r="C214">
        <v>15</v>
      </c>
      <c r="D214" s="38">
        <f>+DEGREES(ASIN(COS(RADIANS(E206))*COS(RADIANS(D206))*COS(RADIANS(C214))+SIN(RADIANS(E206))*SIN(RADIANS(D206))))</f>
        <v>68.617334206518535</v>
      </c>
      <c r="E214" s="38">
        <f>180-DEGREES(ACOS((((SIN(RADIANS(D214)))*SIN(RADIANS(E206)))-SIN(RADIANS(D206)))/((COS(RADIANS(D214)))*COS(RADIANS(E206)))))</f>
        <v>134.77621690727344</v>
      </c>
      <c r="G214">
        <f t="shared" si="311"/>
        <v>2.1382665793481461</v>
      </c>
      <c r="H214">
        <f t="shared" si="312"/>
        <v>-44.776216907273437</v>
      </c>
      <c r="I214" s="94">
        <f t="shared" si="313"/>
        <v>1.5178766801740677</v>
      </c>
      <c r="J214" s="94">
        <f t="shared" si="314"/>
        <v>-1.5060658511967437</v>
      </c>
      <c r="K214" s="92"/>
      <c r="M214" s="39">
        <v>0.45833333333333298</v>
      </c>
      <c r="N214">
        <v>15</v>
      </c>
      <c r="O214" s="38">
        <f>+DEGREES(ASIN(COS(RADIANS(P206))*COS(RADIANS(O206))*COS(RADIANS(N214))+SIN(RADIANS(P206))*SIN(RADIANS(O206))))</f>
        <v>64.855802753889463</v>
      </c>
      <c r="P214" s="38">
        <f>180-DEGREES(ACOS((((SIN(RADIANS(O214)))*SIN(RADIANS(P206)))-SIN(RADIANS(O206)))/((COS(RADIANS(O214)))*COS(RADIANS(P206)))))</f>
        <v>142.4742952535257</v>
      </c>
      <c r="R214">
        <f t="shared" si="315"/>
        <v>2.514419724611054</v>
      </c>
      <c r="S214">
        <f t="shared" si="316"/>
        <v>-52.474295253525696</v>
      </c>
      <c r="T214" s="94">
        <f t="shared" si="317"/>
        <v>0</v>
      </c>
      <c r="U214" s="94">
        <f t="shared" si="318"/>
        <v>0</v>
      </c>
      <c r="AB214" s="39">
        <v>0.57291666666667596</v>
      </c>
      <c r="AC214">
        <f t="shared" si="261"/>
        <v>-26.25</v>
      </c>
      <c r="AD214" s="38">
        <f t="shared" si="249"/>
        <v>57.177545796356952</v>
      </c>
      <c r="AE214" s="38">
        <f t="shared" si="308"/>
        <v>-125.31820340704058</v>
      </c>
      <c r="AG214">
        <f t="shared" si="255"/>
        <v>3.2822454203643048</v>
      </c>
      <c r="AH214">
        <f t="shared" si="256"/>
        <v>215.31820340704058</v>
      </c>
      <c r="AI214" s="94">
        <f t="shared" si="257"/>
        <v>-2.6781611422049063</v>
      </c>
      <c r="AJ214" s="94">
        <f t="shared" si="258"/>
        <v>-1.897521513945537</v>
      </c>
      <c r="AK214" s="43"/>
      <c r="AP214" s="39">
        <v>4.1666666666666664E-2</v>
      </c>
      <c r="AQ214">
        <f t="shared" ref="AQ214:AQ225" si="321">IF(AQ88&lt;0,0,AQ88)</f>
        <v>0</v>
      </c>
      <c r="AR214">
        <f t="shared" ref="AR214:AR224" si="322">180-DEGREES(ACOS((((SIN(RADIANS(AQ214)))*SIN(RADIANS($AR$85)))-SIN(RADIANS($AQ$85)))/((COS(RADIANS(AQ214)))*COS(RADIANS($AR$85)))))</f>
        <v>115.50783517093154</v>
      </c>
      <c r="AT214">
        <f t="shared" ref="AT214:AT225" si="323">IF(BB88&lt;0,0,BB88)</f>
        <v>0</v>
      </c>
      <c r="AU214" s="38">
        <f t="shared" ref="AU214:AU224" si="324">180-DEGREES(ACOS((((SIN(RADIANS(AT214)))*SIN(RADIANS($BC$85)))-SIN(RADIANS($BB$85)))/((COS(RADIANS(AT214)))*COS(RADIANS($BC$85)))))</f>
        <v>107.64724136881426</v>
      </c>
      <c r="AW214">
        <f t="shared" ref="AW214:AW225" si="325">IF(BM88&lt;0,0,BM88)</f>
        <v>0</v>
      </c>
      <c r="AX214" s="38">
        <f t="shared" ref="AX214:AX224" si="326">180-DEGREES(ACOS((((SIN(RADIANS(AW214)))*SIN(RADIANS($BN$85)))-SIN(RADIANS($BM$85)))/((COS(RADIANS(AW214)))*COS(RADIANS($BN$85)))))</f>
        <v>94.824927180727116</v>
      </c>
      <c r="AZ214">
        <f t="shared" ref="AZ214:AZ225" si="327">IF(BX88&lt;0,0,BX88)</f>
        <v>0</v>
      </c>
      <c r="BA214" s="38">
        <f t="shared" ref="BA214:BA224" si="328">180-DEGREES(ACOS((((SIN(RADIANS(AZ214)))*SIN(RADIANS($BY$85)))-SIN(RADIANS($BX$85)))/((COS(RADIANS(AZ214)))*COS(RADIANS($BY$85)))))</f>
        <v>81.15280091256507</v>
      </c>
      <c r="BC214">
        <f t="shared" ref="BC214:BC225" si="329">IF(CI88&lt;0,0,CI88)</f>
        <v>0</v>
      </c>
      <c r="BD214" s="38">
        <f t="shared" ref="BD214:BD224" si="330">180-DEGREES(ACOS((((SIN(RADIANS(BC214)))*SIN(RADIANS($CJ$85)))-SIN(RADIANS($CI$85)))/((COS(RADIANS(BC214)))*COS(RADIANS($CJ$85)))))</f>
        <v>69.393943570339999</v>
      </c>
      <c r="BF214">
        <f t="shared" ref="BF214:BF225" si="331">IF(CT88&lt;0,0,CT88)</f>
        <v>0</v>
      </c>
      <c r="BG214" s="38">
        <f t="shared" ref="BG214:BG224" si="332">180-DEGREES(ACOS((((SIN(RADIANS(BF214)))*SIN(RADIANS($CU$85)))-SIN(RADIANS($CT$85)))/((COS(RADIANS(BF214)))*COS(RADIANS($CU$85)))))</f>
        <v>63.300937297586074</v>
      </c>
      <c r="BI214">
        <f t="shared" ref="BI214:BI225" si="333">IF(DE88&lt;0,0,DE88)</f>
        <v>0</v>
      </c>
      <c r="BJ214" s="38">
        <f t="shared" ref="BJ214:BJ224" si="334">180-DEGREES(ACOS((((SIN(RADIANS(BI214)))*SIN(RADIANS($DF$85)))-SIN(RADIANS($DE$85)))/((COS(RADIANS(BI214)))*COS(RADIANS($DF$85)))))</f>
        <v>117.0871391084072</v>
      </c>
      <c r="BK214" s="39">
        <v>4.1666666666666664E-2</v>
      </c>
    </row>
    <row r="215" spans="1:88" x14ac:dyDescent="0.25">
      <c r="B215" s="39">
        <v>0.5</v>
      </c>
      <c r="C215" s="38">
        <v>0</v>
      </c>
      <c r="D215" s="38">
        <f>+DEGREES(ASIN(COS(RADIANS(E206))*COS(RADIANS(D206))*COS(RADIANS(C215))+SIN(RADIANS(E206))*SIN(RADIANS(D206))))</f>
        <v>74.596346798145689</v>
      </c>
      <c r="E215" s="38">
        <f>+IF(E206&gt;=0,180,0)</f>
        <v>180</v>
      </c>
      <c r="G215">
        <f t="shared" si="311"/>
        <v>1.5403653201854315</v>
      </c>
      <c r="H215">
        <f t="shared" si="312"/>
        <v>-90</v>
      </c>
      <c r="I215" s="94">
        <f t="shared" si="313"/>
        <v>9.4358809601000156E-17</v>
      </c>
      <c r="J215" s="94">
        <f t="shared" si="314"/>
        <v>-1.5403653201854315</v>
      </c>
      <c r="K215" s="92"/>
      <c r="M215" s="39">
        <v>0.5</v>
      </c>
      <c r="N215" s="38">
        <v>0</v>
      </c>
      <c r="O215" s="38">
        <f>+DEGREES(ASIN(COS(RADIANS(P206))*COS(RADIANS(O206))*COS(RADIANS(N215))+SIN(RADIANS(P206))*SIN(RADIANS(O206))))</f>
        <v>69.596346798145689</v>
      </c>
      <c r="P215" s="38">
        <f>+IF(P206&gt;=0,180,0)</f>
        <v>180</v>
      </c>
      <c r="R215">
        <f t="shared" si="315"/>
        <v>2.0403653201854315</v>
      </c>
      <c r="S215">
        <f t="shared" si="316"/>
        <v>-90</v>
      </c>
      <c r="T215" s="94">
        <f t="shared" si="317"/>
        <v>0</v>
      </c>
      <c r="U215" s="94">
        <f t="shared" si="318"/>
        <v>0</v>
      </c>
      <c r="AB215" s="39">
        <v>0.58333333333334303</v>
      </c>
      <c r="AC215">
        <f t="shared" si="261"/>
        <v>-30</v>
      </c>
      <c r="AD215" s="38">
        <f t="shared" si="249"/>
        <v>54.229799687692569</v>
      </c>
      <c r="AE215" s="38">
        <f t="shared" si="308"/>
        <v>-121.20064439621024</v>
      </c>
      <c r="AG215">
        <f t="shared" si="255"/>
        <v>3.5770200312307434</v>
      </c>
      <c r="AH215">
        <f t="shared" si="256"/>
        <v>211.20064439621024</v>
      </c>
      <c r="AI215" s="94">
        <f t="shared" si="257"/>
        <v>-3.0596342520920516</v>
      </c>
      <c r="AJ215" s="94">
        <f t="shared" si="258"/>
        <v>-1.8530274005667327</v>
      </c>
      <c r="AK215" s="43"/>
      <c r="AP215" s="39">
        <v>8.3333333333333301E-2</v>
      </c>
      <c r="AQ215">
        <f t="shared" si="321"/>
        <v>0</v>
      </c>
      <c r="AR215">
        <f t="shared" si="322"/>
        <v>115.50783517093154</v>
      </c>
      <c r="AT215">
        <f t="shared" si="323"/>
        <v>0</v>
      </c>
      <c r="AU215" s="38">
        <f t="shared" si="324"/>
        <v>107.64724136881426</v>
      </c>
      <c r="AW215">
        <f t="shared" si="325"/>
        <v>0</v>
      </c>
      <c r="AX215" s="38">
        <f t="shared" si="326"/>
        <v>94.824927180727116</v>
      </c>
      <c r="AZ215">
        <f t="shared" si="327"/>
        <v>0</v>
      </c>
      <c r="BA215" s="38">
        <f t="shared" si="328"/>
        <v>81.15280091256507</v>
      </c>
      <c r="BC215">
        <f t="shared" si="329"/>
        <v>0</v>
      </c>
      <c r="BD215" s="38">
        <f t="shared" si="330"/>
        <v>69.393943570339999</v>
      </c>
      <c r="BF215">
        <f t="shared" si="331"/>
        <v>0</v>
      </c>
      <c r="BG215" s="38">
        <f t="shared" si="332"/>
        <v>63.300937297586074</v>
      </c>
      <c r="BI215">
        <f t="shared" si="333"/>
        <v>0</v>
      </c>
      <c r="BJ215" s="38">
        <f t="shared" si="334"/>
        <v>117.0871391084072</v>
      </c>
      <c r="BK215" s="39">
        <v>8.3333333333333301E-2</v>
      </c>
    </row>
    <row r="216" spans="1:88" x14ac:dyDescent="0.25">
      <c r="B216" s="39">
        <v>0.54166666666666696</v>
      </c>
      <c r="C216">
        <v>-15</v>
      </c>
      <c r="D216" s="38">
        <f>+DEGREES(ASIN(COS(RADIANS(E206))*COS(RADIANS(D206))*COS(RADIANS(C216))+SIN(RADIANS(E206))*SIN(RADIANS(D206))))</f>
        <v>68.617334206518535</v>
      </c>
      <c r="E216" s="38">
        <f>-(180-DEGREES(ACOS((((SIN(RADIANS(D216)))*SIN(RADIANS(E206)))-SIN(RADIANS(D206)))/((COS(RADIANS(D216)))*COS(RADIANS(E206))))))</f>
        <v>-134.77621690727344</v>
      </c>
      <c r="G216">
        <f t="shared" si="311"/>
        <v>2.1382665793481461</v>
      </c>
      <c r="H216">
        <f t="shared" si="312"/>
        <v>224.77621690727344</v>
      </c>
      <c r="I216" s="94">
        <f t="shared" si="313"/>
        <v>-1.517876680174068</v>
      </c>
      <c r="J216" s="94">
        <f t="shared" si="314"/>
        <v>-1.5060658511967435</v>
      </c>
      <c r="K216" s="92"/>
      <c r="M216" s="39">
        <v>0.54166666666666696</v>
      </c>
      <c r="N216">
        <v>-15</v>
      </c>
      <c r="O216" s="38">
        <f>+DEGREES(ASIN(COS(RADIANS(P206))*COS(RADIANS(O206))*COS(RADIANS(N216))+SIN(RADIANS(P206))*SIN(RADIANS(O206))))</f>
        <v>64.855802753889463</v>
      </c>
      <c r="P216" s="38">
        <f>-(180-DEGREES(ACOS((((SIN(RADIANS(O216)))*SIN(RADIANS(P206)))-SIN(RADIANS(O206)))/((COS(RADIANS(O216)))*COS(RADIANS(P206))))))</f>
        <v>-142.4742952535257</v>
      </c>
      <c r="R216">
        <f t="shared" si="315"/>
        <v>2.514419724611054</v>
      </c>
      <c r="S216">
        <f t="shared" si="316"/>
        <v>232.4742952535257</v>
      </c>
      <c r="T216" s="94">
        <f t="shared" si="317"/>
        <v>0</v>
      </c>
      <c r="U216" s="94">
        <f t="shared" si="318"/>
        <v>0</v>
      </c>
      <c r="AB216" s="39">
        <v>0.59375000000000999</v>
      </c>
      <c r="AC216">
        <f t="shared" si="261"/>
        <v>-33.75</v>
      </c>
      <c r="AD216" s="38">
        <f t="shared" si="249"/>
        <v>51.159690095211495</v>
      </c>
      <c r="AE216" s="38">
        <f t="shared" si="308"/>
        <v>-117.64489852090301</v>
      </c>
      <c r="AG216">
        <f t="shared" si="255"/>
        <v>3.8840309904788501</v>
      </c>
      <c r="AH216">
        <f t="shared" si="256"/>
        <v>207.64489852090301</v>
      </c>
      <c r="AI216" s="94">
        <f t="shared" si="257"/>
        <v>-3.4406310064569179</v>
      </c>
      <c r="AJ216" s="94">
        <f t="shared" si="258"/>
        <v>-1.8021528826399205</v>
      </c>
      <c r="AK216" s="43"/>
      <c r="AP216" s="39">
        <v>0.125</v>
      </c>
      <c r="AQ216">
        <f t="shared" si="321"/>
        <v>0</v>
      </c>
      <c r="AR216">
        <f t="shared" si="322"/>
        <v>115.50783517093154</v>
      </c>
      <c r="AT216">
        <f t="shared" si="323"/>
        <v>0</v>
      </c>
      <c r="AU216" s="38">
        <f t="shared" si="324"/>
        <v>107.64724136881426</v>
      </c>
      <c r="AW216">
        <f t="shared" si="325"/>
        <v>0</v>
      </c>
      <c r="AX216" s="38">
        <f t="shared" si="326"/>
        <v>94.824927180727116</v>
      </c>
      <c r="AZ216">
        <f t="shared" si="327"/>
        <v>0</v>
      </c>
      <c r="BA216" s="38">
        <f t="shared" si="328"/>
        <v>81.15280091256507</v>
      </c>
      <c r="BC216">
        <f t="shared" si="329"/>
        <v>0</v>
      </c>
      <c r="BD216" s="38">
        <f t="shared" si="330"/>
        <v>69.393943570339999</v>
      </c>
      <c r="BF216">
        <f t="shared" si="331"/>
        <v>0</v>
      </c>
      <c r="BG216" s="38">
        <f t="shared" si="332"/>
        <v>63.300937297586074</v>
      </c>
      <c r="BI216">
        <f t="shared" si="333"/>
        <v>0</v>
      </c>
      <c r="BJ216" s="38">
        <f t="shared" si="334"/>
        <v>117.0871391084072</v>
      </c>
      <c r="BK216" s="39">
        <v>0.125</v>
      </c>
    </row>
    <row r="217" spans="1:88" x14ac:dyDescent="0.25">
      <c r="B217" s="39">
        <v>0.58333333333333304</v>
      </c>
      <c r="C217" s="38">
        <v>-30</v>
      </c>
      <c r="D217" s="38">
        <f>+DEGREES(ASIN(COS(RADIANS(E206))*COS(RADIANS(D206))*COS(RADIANS(C217))+SIN(RADIANS(E206))*SIN(RADIANS(D206))))</f>
        <v>56.581716592822332</v>
      </c>
      <c r="E217" s="38">
        <f>-(180-DEGREES(ACOS((((SIN(RADIANS(D217)))*SIN(RADIANS(E206)))-SIN(RADIANS(D206)))/((COS(RADIANS(D217)))*COS(RADIANS(E206))))))</f>
        <v>-114.79212098330166</v>
      </c>
      <c r="G217">
        <f t="shared" si="311"/>
        <v>3.3418283407177665</v>
      </c>
      <c r="H217">
        <f t="shared" si="312"/>
        <v>204.79212098330166</v>
      </c>
      <c r="I217" s="94">
        <f t="shared" si="313"/>
        <v>-3.0338292356824281</v>
      </c>
      <c r="J217" s="94">
        <f t="shared" si="314"/>
        <v>-1.4013196735731048</v>
      </c>
      <c r="K217" s="92"/>
      <c r="M217" s="39">
        <v>0.58333333333333304</v>
      </c>
      <c r="N217" s="38">
        <v>-30</v>
      </c>
      <c r="O217" s="38">
        <f>+DEGREES(ASIN(COS(RADIANS(P206))*COS(RADIANS(O206))*COS(RADIANS(N217))+SIN(RADIANS(P206))*SIN(RADIANS(O206))))</f>
        <v>54.229799687692569</v>
      </c>
      <c r="P217" s="38">
        <f>-(180-DEGREES(ACOS((((SIN(RADIANS(O217)))*SIN(RADIANS(P206)))-SIN(RADIANS(O206)))/((COS(RADIANS(O217)))*COS(RADIANS(P206))))))</f>
        <v>-121.20064439621024</v>
      </c>
      <c r="R217">
        <f t="shared" si="315"/>
        <v>3.5770200312307434</v>
      </c>
      <c r="S217">
        <f t="shared" si="316"/>
        <v>211.20064439621024</v>
      </c>
      <c r="T217" s="94">
        <f t="shared" si="317"/>
        <v>0</v>
      </c>
      <c r="U217" s="94">
        <f t="shared" si="318"/>
        <v>0</v>
      </c>
      <c r="AB217" s="39">
        <v>0.60416666666667795</v>
      </c>
      <c r="AC217">
        <f t="shared" si="261"/>
        <v>-37.5</v>
      </c>
      <c r="AD217" s="38">
        <f t="shared" si="249"/>
        <v>47.994470041861177</v>
      </c>
      <c r="AE217" s="38">
        <f t="shared" si="308"/>
        <v>-114.54164709260195</v>
      </c>
      <c r="AG217">
        <f t="shared" si="255"/>
        <v>4.2005529958138821</v>
      </c>
      <c r="AH217">
        <f t="shared" si="256"/>
        <v>204.54164709260195</v>
      </c>
      <c r="AI217" s="94">
        <f t="shared" si="257"/>
        <v>-3.8210733526956551</v>
      </c>
      <c r="AJ217" s="94">
        <f t="shared" si="258"/>
        <v>-1.7447188610088924</v>
      </c>
      <c r="AK217" s="43"/>
      <c r="AP217" s="39">
        <v>0.16666666666666699</v>
      </c>
      <c r="AQ217">
        <f t="shared" si="321"/>
        <v>0</v>
      </c>
      <c r="AR217">
        <f t="shared" si="322"/>
        <v>115.50783517093154</v>
      </c>
      <c r="AT217">
        <f t="shared" si="323"/>
        <v>0</v>
      </c>
      <c r="AU217" s="38">
        <f t="shared" si="324"/>
        <v>107.64724136881426</v>
      </c>
      <c r="AW217">
        <f t="shared" si="325"/>
        <v>0</v>
      </c>
      <c r="AX217" s="38">
        <f t="shared" si="326"/>
        <v>94.824927180727116</v>
      </c>
      <c r="AZ217">
        <f t="shared" si="327"/>
        <v>0</v>
      </c>
      <c r="BA217" s="38">
        <f t="shared" si="328"/>
        <v>81.15280091256507</v>
      </c>
      <c r="BC217">
        <f t="shared" si="329"/>
        <v>0</v>
      </c>
      <c r="BD217" s="38">
        <f t="shared" si="330"/>
        <v>69.393943570339999</v>
      </c>
      <c r="BF217">
        <f t="shared" si="331"/>
        <v>0</v>
      </c>
      <c r="BG217" s="38">
        <f t="shared" si="332"/>
        <v>63.300937297586074</v>
      </c>
      <c r="BI217">
        <f t="shared" si="333"/>
        <v>0</v>
      </c>
      <c r="BJ217" s="38">
        <f t="shared" si="334"/>
        <v>117.0871391084072</v>
      </c>
      <c r="BK217" s="39">
        <v>0.16666666666666699</v>
      </c>
    </row>
    <row r="218" spans="1:88" x14ac:dyDescent="0.25">
      <c r="B218" s="39">
        <v>0.625</v>
      </c>
      <c r="C218">
        <v>-45</v>
      </c>
      <c r="D218" s="38">
        <f>+DEGREES(ASIN(COS(RADIANS(E206))*COS(RADIANS(D206))*COS(RADIANS(C218))+SIN(RADIANS(E206))*SIN(RADIANS(D206))))</f>
        <v>42.935323986604324</v>
      </c>
      <c r="E218" s="38">
        <f>-(180-DEGREES(ACOS((((SIN(RADIANS(D218)))*SIN(RADIANS(E206)))-SIN(RADIANS(D206)))/((COS(RADIANS(D218)))*COS(RADIANS(E206))))))</f>
        <v>-105.02639236235854</v>
      </c>
      <c r="G218">
        <f t="shared" si="311"/>
        <v>4.7064676013395674</v>
      </c>
      <c r="H218">
        <f t="shared" si="312"/>
        <v>195.02639236235854</v>
      </c>
      <c r="I218" s="94">
        <f t="shared" si="313"/>
        <v>-4.5455370158281161</v>
      </c>
      <c r="J218" s="94">
        <f t="shared" si="314"/>
        <v>-1.2202174069383891</v>
      </c>
      <c r="K218" s="92"/>
      <c r="M218" s="39">
        <v>0.625</v>
      </c>
      <c r="N218">
        <v>-45</v>
      </c>
      <c r="O218" s="38">
        <f>+DEGREES(ASIN(COS(RADIANS(P206))*COS(RADIANS(O206))*COS(RADIANS(N218))+SIN(RADIANS(P206))*SIN(RADIANS(O206))))</f>
        <v>41.455411356106673</v>
      </c>
      <c r="P218" s="38">
        <f>-(180-DEGREES(ACOS((((SIN(RADIANS(O218)))*SIN(RADIANS(P206)))-SIN(RADIANS(O206)))/((COS(RADIANS(O218)))*COS(RADIANS(P206))))))</f>
        <v>-109.36059218001047</v>
      </c>
      <c r="R218">
        <f t="shared" si="315"/>
        <v>4.8544588643893327</v>
      </c>
      <c r="S218">
        <f t="shared" si="316"/>
        <v>199.36059218001049</v>
      </c>
      <c r="T218" s="94">
        <f t="shared" si="317"/>
        <v>0</v>
      </c>
      <c r="U218" s="94">
        <f t="shared" si="318"/>
        <v>0</v>
      </c>
      <c r="AB218" s="39">
        <v>0.61458333333334503</v>
      </c>
      <c r="AC218">
        <f t="shared" si="261"/>
        <v>-41.25</v>
      </c>
      <c r="AD218" s="38">
        <f t="shared" si="249"/>
        <v>44.754560331192728</v>
      </c>
      <c r="AE218" s="38">
        <f t="shared" si="308"/>
        <v>-111.80338334950471</v>
      </c>
      <c r="AG218">
        <f t="shared" si="255"/>
        <v>4.524543966880727</v>
      </c>
      <c r="AH218">
        <f t="shared" si="256"/>
        <v>201.80338334950471</v>
      </c>
      <c r="AI218" s="94">
        <f t="shared" si="257"/>
        <v>-4.2008757180856096</v>
      </c>
      <c r="AJ218" s="94">
        <f t="shared" si="258"/>
        <v>-1.6805181669459861</v>
      </c>
      <c r="AK218" s="43"/>
      <c r="AP218" s="39">
        <v>0.20833333333333334</v>
      </c>
      <c r="AQ218">
        <f t="shared" si="321"/>
        <v>0</v>
      </c>
      <c r="AR218">
        <f t="shared" si="322"/>
        <v>115.50783517093154</v>
      </c>
      <c r="AT218">
        <f t="shared" si="323"/>
        <v>0</v>
      </c>
      <c r="AU218" s="38">
        <f t="shared" si="324"/>
        <v>107.64724136881426</v>
      </c>
      <c r="AW218">
        <f t="shared" si="325"/>
        <v>0</v>
      </c>
      <c r="AX218" s="38">
        <f t="shared" si="326"/>
        <v>94.824927180727116</v>
      </c>
      <c r="AZ218">
        <f t="shared" si="327"/>
        <v>0</v>
      </c>
      <c r="BA218" s="38">
        <f t="shared" si="328"/>
        <v>81.15280091256507</v>
      </c>
      <c r="BC218">
        <f t="shared" si="329"/>
        <v>0</v>
      </c>
      <c r="BD218" s="38">
        <f t="shared" si="330"/>
        <v>69.393943570339999</v>
      </c>
      <c r="BF218">
        <f t="shared" si="331"/>
        <v>0</v>
      </c>
      <c r="BG218" s="38">
        <f t="shared" si="332"/>
        <v>63.300937297586074</v>
      </c>
      <c r="BI218">
        <f t="shared" si="333"/>
        <v>0</v>
      </c>
      <c r="BJ218" s="38">
        <f t="shared" si="334"/>
        <v>117.0871391084072</v>
      </c>
      <c r="BK218" s="39">
        <v>0.20833333333333334</v>
      </c>
    </row>
    <row r="219" spans="1:88" x14ac:dyDescent="0.25">
      <c r="B219" s="39">
        <v>0.66666666666666696</v>
      </c>
      <c r="C219" s="38">
        <v>-60</v>
      </c>
      <c r="D219" s="38">
        <f>+DEGREES(ASIN(COS(RADIANS(E206))*COS(RADIANS(D206))*COS(RADIANS(C219))+SIN(RADIANS(E206))*SIN(RADIANS(D206))))</f>
        <v>28.759069520289422</v>
      </c>
      <c r="E219" s="38">
        <f>-(180-DEGREES(ACOS((((SIN(RADIANS(D219)))*SIN(RADIANS(E206)))-SIN(RADIANS(D206)))/((COS(RADIANS(D219)))*COS(RADIANS(E206))))))</f>
        <v>-98.93865739925937</v>
      </c>
      <c r="G219">
        <f t="shared" si="311"/>
        <v>6.1240930479710576</v>
      </c>
      <c r="H219">
        <f t="shared" si="312"/>
        <v>188.93865739925937</v>
      </c>
      <c r="I219" s="94">
        <f t="shared" si="313"/>
        <v>-6.0497175178056715</v>
      </c>
      <c r="J219" s="94">
        <f t="shared" si="314"/>
        <v>-0.9515427551942266</v>
      </c>
      <c r="K219" s="92"/>
      <c r="M219" s="39">
        <v>0.66666666666666696</v>
      </c>
      <c r="N219" s="38">
        <v>-60</v>
      </c>
      <c r="O219" s="38">
        <f>+DEGREES(ASIN(COS(RADIANS(P206))*COS(RADIANS(O206))*COS(RADIANS(N219))+SIN(RADIANS(P206))*SIN(RADIANS(O206))))</f>
        <v>27.867284381409078</v>
      </c>
      <c r="P219" s="38">
        <f>-(180-DEGREES(ACOS((((SIN(RADIANS(O219)))*SIN(RADIANS(P206)))-SIN(RADIANS(O206)))/((COS(RADIANS(O219)))*COS(RADIANS(P206))))))</f>
        <v>-101.59116923367722</v>
      </c>
      <c r="R219">
        <f t="shared" si="315"/>
        <v>6.2132715618590924</v>
      </c>
      <c r="S219">
        <f t="shared" si="316"/>
        <v>191.59116923367722</v>
      </c>
      <c r="T219" s="94">
        <f t="shared" si="317"/>
        <v>0</v>
      </c>
      <c r="U219" s="94">
        <f t="shared" si="318"/>
        <v>0</v>
      </c>
      <c r="AB219" s="39">
        <v>0.62500000000001199</v>
      </c>
      <c r="AC219">
        <f t="shared" si="261"/>
        <v>-45</v>
      </c>
      <c r="AD219" s="38">
        <f t="shared" si="249"/>
        <v>41.455411356106673</v>
      </c>
      <c r="AE219" s="38">
        <f t="shared" si="308"/>
        <v>-109.36059218001047</v>
      </c>
      <c r="AG219">
        <f t="shared" si="255"/>
        <v>4.8544588643893327</v>
      </c>
      <c r="AH219">
        <f t="shared" si="256"/>
        <v>199.36059218001049</v>
      </c>
      <c r="AI219" s="94">
        <f t="shared" si="257"/>
        <v>-4.5799435554700727</v>
      </c>
      <c r="AJ219" s="94">
        <f t="shared" si="258"/>
        <v>-1.6093128641616945</v>
      </c>
      <c r="AK219" s="43"/>
      <c r="AP219" s="39">
        <v>0.25</v>
      </c>
      <c r="AQ219">
        <f t="shared" si="321"/>
        <v>0</v>
      </c>
      <c r="AR219">
        <f t="shared" si="322"/>
        <v>115.50783517093154</v>
      </c>
      <c r="AT219">
        <f t="shared" si="323"/>
        <v>0</v>
      </c>
      <c r="AU219" s="38">
        <f t="shared" si="324"/>
        <v>107.64724136881426</v>
      </c>
      <c r="AW219">
        <f t="shared" si="325"/>
        <v>0</v>
      </c>
      <c r="AX219" s="38">
        <f t="shared" si="326"/>
        <v>94.824927180727116</v>
      </c>
      <c r="AZ219">
        <f t="shared" si="327"/>
        <v>3.7457083017543744</v>
      </c>
      <c r="BA219" s="38">
        <f t="shared" si="328"/>
        <v>83.239470999313269</v>
      </c>
      <c r="BC219">
        <f t="shared" si="329"/>
        <v>8.5974359692729667</v>
      </c>
      <c r="BD219" s="38">
        <f t="shared" si="330"/>
        <v>74.225135377203927</v>
      </c>
      <c r="BF219">
        <f t="shared" si="331"/>
        <v>11.002251178794777</v>
      </c>
      <c r="BG219" s="38">
        <f t="shared" si="332"/>
        <v>69.537585435747644</v>
      </c>
      <c r="BI219">
        <f t="shared" si="333"/>
        <v>0</v>
      </c>
      <c r="BJ219" s="38">
        <f t="shared" si="334"/>
        <v>117.0871391084072</v>
      </c>
      <c r="BK219" s="39">
        <v>0.25</v>
      </c>
    </row>
    <row r="220" spans="1:88" x14ac:dyDescent="0.25">
      <c r="B220" s="39">
        <v>0.70833333333333404</v>
      </c>
      <c r="C220">
        <v>-75</v>
      </c>
      <c r="D220" s="38">
        <f>+DEGREES(ASIN(COS(RADIANS(E206))*COS(RADIANS(D206))*COS(RADIANS(C220))+SIN(RADIANS(E206))*SIN(RADIANS(D206))))</f>
        <v>14.369272893621556</v>
      </c>
      <c r="E220" s="38">
        <f>-(180-DEGREES(ACOS((((SIN(RADIANS(D220)))*SIN(RADIANS(E206)))-SIN(RADIANS(D206)))/((COS(RADIANS(D220)))*COS(RADIANS(E206))))))</f>
        <v>-94.368656764923699</v>
      </c>
      <c r="G220">
        <f t="shared" si="311"/>
        <v>7.5630727106378446</v>
      </c>
      <c r="H220">
        <f t="shared" si="312"/>
        <v>184.36865676492368</v>
      </c>
      <c r="I220" s="94">
        <f t="shared" si="313"/>
        <v>-7.5410987445327518</v>
      </c>
      <c r="J220" s="94">
        <f t="shared" si="314"/>
        <v>-0.57610637177645163</v>
      </c>
      <c r="K220" s="92"/>
      <c r="M220" s="39">
        <v>0.70833333333333404</v>
      </c>
      <c r="N220">
        <v>-75</v>
      </c>
      <c r="O220" s="38">
        <f>+DEGREES(ASIN(COS(RADIANS(P206))*COS(RADIANS(O206))*COS(RADIANS(N220))+SIN(RADIANS(P206))*SIN(RADIANS(O206))))</f>
        <v>13.933453227779413</v>
      </c>
      <c r="P220" s="38">
        <f>-(180-DEGREES(ACOS((((SIN(RADIANS(O220)))*SIN(RADIANS(P206)))-SIN(RADIANS(O206)))/((COS(RADIANS(O220)))*COS(RADIANS(P206))))))</f>
        <v>-95.62536737544977</v>
      </c>
      <c r="R220">
        <f t="shared" si="315"/>
        <v>7.6066546772220587</v>
      </c>
      <c r="S220">
        <f t="shared" si="316"/>
        <v>185.62536737544977</v>
      </c>
      <c r="T220" s="94">
        <f t="shared" si="317"/>
        <v>0</v>
      </c>
      <c r="U220" s="94">
        <f t="shared" si="318"/>
        <v>0</v>
      </c>
      <c r="AB220" s="39">
        <v>0.63541666666667895</v>
      </c>
      <c r="AC220">
        <f t="shared" si="261"/>
        <v>-48.75</v>
      </c>
      <c r="AD220" s="38">
        <f t="shared" si="249"/>
        <v>38.108854634942766</v>
      </c>
      <c r="AE220" s="38">
        <f t="shared" si="308"/>
        <v>-107.15802574421382</v>
      </c>
      <c r="AG220">
        <f t="shared" si="255"/>
        <v>5.1891145365057234</v>
      </c>
      <c r="AH220">
        <f t="shared" si="256"/>
        <v>197.15802574421383</v>
      </c>
      <c r="AI220" s="94">
        <f t="shared" si="257"/>
        <v>-4.9581716356242298</v>
      </c>
      <c r="AJ220" s="94">
        <f t="shared" si="258"/>
        <v>-1.5308310503338891</v>
      </c>
      <c r="AK220" s="43"/>
      <c r="AP220" s="39">
        <v>0.29166666666666702</v>
      </c>
      <c r="AQ220">
        <f t="shared" si="321"/>
        <v>1.5268439307083672</v>
      </c>
      <c r="AR220">
        <f t="shared" si="322"/>
        <v>116.4624458503213</v>
      </c>
      <c r="AT220">
        <f t="shared" si="323"/>
        <v>5.1256761006130356</v>
      </c>
      <c r="AU220" s="38">
        <f t="shared" si="324"/>
        <v>110.74796771639679</v>
      </c>
      <c r="AW220">
        <f t="shared" si="325"/>
        <v>10.944236718611343</v>
      </c>
      <c r="AX220" s="38">
        <f t="shared" si="326"/>
        <v>101.14015957211414</v>
      </c>
      <c r="AZ220">
        <f t="shared" si="327"/>
        <v>16.826145638621131</v>
      </c>
      <c r="BA220" s="38">
        <f t="shared" si="328"/>
        <v>90.430026005197348</v>
      </c>
      <c r="BC220">
        <f t="shared" si="329"/>
        <v>21.390284745138615</v>
      </c>
      <c r="BD220" s="38">
        <f t="shared" si="330"/>
        <v>80.785090541413638</v>
      </c>
      <c r="BF220">
        <f t="shared" si="331"/>
        <v>23.507733059132701</v>
      </c>
      <c r="BG220" s="38">
        <f t="shared" si="332"/>
        <v>75.636975428271541</v>
      </c>
      <c r="BI220">
        <f t="shared" si="333"/>
        <v>0.80777986614324049</v>
      </c>
      <c r="BJ220" s="38">
        <f t="shared" si="334"/>
        <v>117.59582673339338</v>
      </c>
      <c r="BK220" s="39">
        <v>0.29166666666666702</v>
      </c>
    </row>
    <row r="221" spans="1:88" x14ac:dyDescent="0.25">
      <c r="B221" s="39">
        <v>0.75</v>
      </c>
      <c r="C221" s="38">
        <v>-90</v>
      </c>
      <c r="D221" s="38">
        <f>+DEGREES(ASIN(COS(RADIANS(E206))*COS(RADIANS(D206))*COS(RADIANS(C221))+SIN(RADIANS(E206))*SIN(RADIANS(D206))))</f>
        <v>-0.10447232992793457</v>
      </c>
      <c r="E221" s="38">
        <f>-(180-DEGREES(ACOS((((SIN(RADIANS(D221)))*SIN(RADIANS(E206)))-SIN(RADIANS(D206)))/((COS(RADIANS(D221)))*COS(RADIANS(E206))))))</f>
        <v>-90.389899484642541</v>
      </c>
      <c r="G221">
        <f t="shared" si="311"/>
        <v>9.010447232992794</v>
      </c>
      <c r="H221">
        <f t="shared" si="312"/>
        <v>180.38989948464254</v>
      </c>
      <c r="I221" s="94">
        <f t="shared" si="313"/>
        <v>-9.0102386039653393</v>
      </c>
      <c r="J221" s="94">
        <f t="shared" si="314"/>
        <v>-6.1315888318009173E-2</v>
      </c>
      <c r="K221" s="92"/>
      <c r="M221" s="39">
        <v>0.75</v>
      </c>
      <c r="N221" s="38">
        <v>-90</v>
      </c>
      <c r="O221" s="38">
        <f>+DEGREES(ASIN(COS(RADIANS(P206))*COS(RADIANS(O206))*COS(RADIANS(N221))+SIN(RADIANS(P206))*SIN(RADIANS(O206))))</f>
        <v>-0.13805651750742945</v>
      </c>
      <c r="P221" s="38">
        <f>-(180-DEGREES(ACOS((((SIN(RADIANS(O221)))*SIN(RADIANS(P206)))-SIN(RADIANS(O206)))/((COS(RADIANS(O221)))*COS(RADIANS(P206))))))</f>
        <v>-90.379310669221951</v>
      </c>
      <c r="R221">
        <f t="shared" si="315"/>
        <v>9.0138056517507437</v>
      </c>
      <c r="S221">
        <f t="shared" si="316"/>
        <v>180.37931066922195</v>
      </c>
      <c r="T221" s="94">
        <f t="shared" si="317"/>
        <v>0</v>
      </c>
      <c r="U221" s="94">
        <f t="shared" si="318"/>
        <v>0</v>
      </c>
      <c r="AB221" s="39">
        <v>0.64583333333334603</v>
      </c>
      <c r="AC221">
        <f t="shared" si="261"/>
        <v>-52.5</v>
      </c>
      <c r="AD221" s="38">
        <f t="shared" si="249"/>
        <v>34.724072193918197</v>
      </c>
      <c r="AE221" s="38">
        <f t="shared" si="308"/>
        <v>-105.15154205112152</v>
      </c>
      <c r="AG221">
        <f t="shared" si="255"/>
        <v>5.5275927806081802</v>
      </c>
      <c r="AH221">
        <f t="shared" si="256"/>
        <v>195.15154205112151</v>
      </c>
      <c r="AI221" s="94">
        <f t="shared" si="257"/>
        <v>-5.335442025536115</v>
      </c>
      <c r="AJ221" s="94">
        <f t="shared" si="258"/>
        <v>-1.4447630741317947</v>
      </c>
      <c r="AK221" s="43"/>
      <c r="AP221" s="39">
        <v>0.33333333333333298</v>
      </c>
      <c r="AQ221">
        <f t="shared" si="321"/>
        <v>12.822214610282128</v>
      </c>
      <c r="AR221">
        <f t="shared" si="322"/>
        <v>124.62657247743616</v>
      </c>
      <c r="AT221">
        <f t="shared" si="323"/>
        <v>17.012874995336517</v>
      </c>
      <c r="AU221" s="38">
        <f t="shared" si="324"/>
        <v>119.15629368068804</v>
      </c>
      <c r="AW221">
        <f t="shared" si="325"/>
        <v>23.5820196394737</v>
      </c>
      <c r="AX221" s="38">
        <f t="shared" si="326"/>
        <v>109.54442448396416</v>
      </c>
      <c r="AZ221">
        <f t="shared" si="327"/>
        <v>29.88984365984685</v>
      </c>
      <c r="BA221" s="38">
        <f t="shared" si="328"/>
        <v>98.178925560955776</v>
      </c>
      <c r="BC221">
        <f t="shared" si="329"/>
        <v>34.421688460547578</v>
      </c>
      <c r="BD221" s="38">
        <f t="shared" si="330"/>
        <v>87.389663704152156</v>
      </c>
      <c r="BF221">
        <f t="shared" si="331"/>
        <v>36.350375327550033</v>
      </c>
      <c r="BG221" s="38">
        <f t="shared" si="332"/>
        <v>81.455117320378122</v>
      </c>
      <c r="BI221">
        <f t="shared" si="333"/>
        <v>11.973998043852726</v>
      </c>
      <c r="BJ221" s="38">
        <f t="shared" si="334"/>
        <v>125.69140900534735</v>
      </c>
      <c r="BK221" s="39">
        <v>0.33333333333333298</v>
      </c>
    </row>
    <row r="222" spans="1:88" x14ac:dyDescent="0.25">
      <c r="K222" s="92"/>
      <c r="L222" s="92"/>
      <c r="AB222" s="39">
        <v>0.65625000000001299</v>
      </c>
      <c r="AC222">
        <f t="shared" si="261"/>
        <v>-56.25</v>
      </c>
      <c r="AD222" s="38">
        <f t="shared" si="249"/>
        <v>31.308291195700527</v>
      </c>
      <c r="AE222" s="38">
        <f t="shared" si="308"/>
        <v>-103.30557587219218</v>
      </c>
      <c r="AG222">
        <f t="shared" si="255"/>
        <v>5.8691708804299472</v>
      </c>
      <c r="AH222">
        <f t="shared" si="256"/>
        <v>193.30557587219218</v>
      </c>
      <c r="AI222" s="94">
        <f t="shared" si="257"/>
        <v>-5.7116216765306671</v>
      </c>
      <c r="AJ222" s="94">
        <f t="shared" si="258"/>
        <v>-1.3507570647129172</v>
      </c>
      <c r="AK222" s="43"/>
      <c r="AP222" s="39">
        <v>0.375</v>
      </c>
      <c r="AQ222">
        <f t="shared" si="321"/>
        <v>22.930756425404709</v>
      </c>
      <c r="AR222">
        <f t="shared" si="322"/>
        <v>134.65671961264201</v>
      </c>
      <c r="AT222">
        <f t="shared" si="323"/>
        <v>27.847371205928958</v>
      </c>
      <c r="AU222" s="38">
        <f t="shared" si="324"/>
        <v>129.54363287993408</v>
      </c>
      <c r="AW222">
        <f t="shared" si="325"/>
        <v>35.49071849161092</v>
      </c>
      <c r="AX222" s="38">
        <f t="shared" si="326"/>
        <v>119.99048573125475</v>
      </c>
      <c r="AZ222">
        <f t="shared" si="327"/>
        <v>42.663463448393529</v>
      </c>
      <c r="BA222" s="38">
        <f t="shared" si="328"/>
        <v>107.66062257112267</v>
      </c>
      <c r="BC222">
        <f t="shared" si="329"/>
        <v>47.519261224452976</v>
      </c>
      <c r="BD222" s="38">
        <f t="shared" si="330"/>
        <v>94.944817071916091</v>
      </c>
      <c r="BF222">
        <f t="shared" si="331"/>
        <v>49.392241958613631</v>
      </c>
      <c r="BG222" s="38">
        <f t="shared" si="332"/>
        <v>87.614133955275165</v>
      </c>
      <c r="BI222">
        <f t="shared" si="333"/>
        <v>21.932757611792816</v>
      </c>
      <c r="BJ222" s="38">
        <f t="shared" si="334"/>
        <v>135.62743572218571</v>
      </c>
      <c r="BK222" s="39">
        <v>0.375</v>
      </c>
    </row>
    <row r="223" spans="1:88" x14ac:dyDescent="0.25">
      <c r="D223" s="44"/>
      <c r="E223" s="13"/>
      <c r="F223" s="13"/>
      <c r="G223" s="13"/>
      <c r="H223" s="13"/>
      <c r="I223" s="13"/>
      <c r="J223" s="13"/>
      <c r="K223" s="92"/>
      <c r="L223" s="92"/>
      <c r="AB223" s="39">
        <v>0.66666666666667995</v>
      </c>
      <c r="AC223">
        <f t="shared" si="261"/>
        <v>-60</v>
      </c>
      <c r="AD223" s="38">
        <f t="shared" si="249"/>
        <v>27.867284381409078</v>
      </c>
      <c r="AE223" s="38">
        <f t="shared" si="308"/>
        <v>-101.59116923367722</v>
      </c>
      <c r="AG223">
        <f t="shared" si="255"/>
        <v>6.2132715618590924</v>
      </c>
      <c r="AH223">
        <f t="shared" si="256"/>
        <v>191.59116923367722</v>
      </c>
      <c r="AI223" s="94">
        <f t="shared" si="257"/>
        <v>-6.0865595262650283</v>
      </c>
      <c r="AJ223" s="94">
        <f t="shared" si="258"/>
        <v>-1.2484136472497258</v>
      </c>
      <c r="AK223" s="43"/>
      <c r="AP223" s="39">
        <v>0.41666666666666602</v>
      </c>
      <c r="AQ223">
        <f t="shared" si="321"/>
        <v>31.217808683018777</v>
      </c>
      <c r="AR223">
        <f t="shared" si="322"/>
        <v>147.20252877534776</v>
      </c>
      <c r="AT223">
        <f t="shared" si="323"/>
        <v>36.94444539822846</v>
      </c>
      <c r="AU223" s="38">
        <f t="shared" si="324"/>
        <v>142.89664703004638</v>
      </c>
      <c r="AW223">
        <f t="shared" si="325"/>
        <v>45.978655929743674</v>
      </c>
      <c r="AX223" s="38">
        <f t="shared" si="326"/>
        <v>134.1470799889712</v>
      </c>
      <c r="AZ223">
        <f t="shared" si="327"/>
        <v>54.618641174592703</v>
      </c>
      <c r="BA223" s="38">
        <f t="shared" si="328"/>
        <v>121.16307222620452</v>
      </c>
      <c r="BC223">
        <f t="shared" si="329"/>
        <v>60.418849938512295</v>
      </c>
      <c r="BD223" s="38">
        <f t="shared" si="330"/>
        <v>105.47388867741584</v>
      </c>
      <c r="BF223">
        <f t="shared" si="331"/>
        <v>62.487949611154917</v>
      </c>
      <c r="BG223" s="38">
        <f t="shared" si="332"/>
        <v>95.458320455047897</v>
      </c>
      <c r="BI223">
        <f t="shared" si="333"/>
        <v>30.061756873161897</v>
      </c>
      <c r="BJ223" s="38">
        <f t="shared" si="334"/>
        <v>147.99477629228704</v>
      </c>
      <c r="BK223" s="39">
        <v>0.41666666666666602</v>
      </c>
    </row>
    <row r="224" spans="1:88" x14ac:dyDescent="0.25">
      <c r="A224" s="95" t="s">
        <v>92</v>
      </c>
      <c r="B224" s="95">
        <v>21</v>
      </c>
      <c r="C224" s="315"/>
      <c r="D224" s="315"/>
      <c r="E224" s="316"/>
      <c r="K224" s="92"/>
      <c r="L224" s="95" t="s">
        <v>92</v>
      </c>
      <c r="M224" s="95">
        <v>21</v>
      </c>
      <c r="N224" s="315"/>
      <c r="O224" s="315"/>
      <c r="P224" s="316"/>
      <c r="AB224" s="39">
        <v>0.67708333333334703</v>
      </c>
      <c r="AC224">
        <f t="shared" si="261"/>
        <v>-63.75</v>
      </c>
      <c r="AD224" s="38">
        <f t="shared" si="249"/>
        <v>24.405733968163251</v>
      </c>
      <c r="AE224" s="38">
        <f t="shared" si="308"/>
        <v>-99.98445380536613</v>
      </c>
      <c r="AG224">
        <f t="shared" si="255"/>
        <v>6.5594266031836748</v>
      </c>
      <c r="AH224">
        <f t="shared" si="256"/>
        <v>189.98445380536612</v>
      </c>
      <c r="AI224" s="94">
        <f t="shared" si="257"/>
        <v>-6.4600829926194603</v>
      </c>
      <c r="AJ224" s="94">
        <f t="shared" si="258"/>
        <v>-1.1372796890046504</v>
      </c>
      <c r="AK224" s="43"/>
      <c r="AP224" s="39">
        <v>0.45833333333333298</v>
      </c>
      <c r="AQ224">
        <f t="shared" si="321"/>
        <v>36.811263360071692</v>
      </c>
      <c r="AR224">
        <f t="shared" si="322"/>
        <v>162.5719521238546</v>
      </c>
      <c r="AT224">
        <f t="shared" si="323"/>
        <v>43.2535093097095</v>
      </c>
      <c r="AU224" s="38">
        <f t="shared" si="324"/>
        <v>159.96090838605289</v>
      </c>
      <c r="AW224">
        <f t="shared" si="325"/>
        <v>53.721651477607679</v>
      </c>
      <c r="AX224" s="38">
        <f t="shared" si="326"/>
        <v>154.13665034646286</v>
      </c>
      <c r="AZ224">
        <f t="shared" si="327"/>
        <v>64.399813806231478</v>
      </c>
      <c r="BA224" s="38">
        <f t="shared" si="328"/>
        <v>143.58998089453021</v>
      </c>
      <c r="BC224">
        <f t="shared" si="329"/>
        <v>72.313335780227064</v>
      </c>
      <c r="BD224" s="38">
        <f t="shared" si="330"/>
        <v>125.84444444383482</v>
      </c>
      <c r="BF224">
        <f t="shared" si="331"/>
        <v>75.286617836966144</v>
      </c>
      <c r="BG224" s="38">
        <f t="shared" si="332"/>
        <v>110.41519717198776</v>
      </c>
      <c r="BI224">
        <f t="shared" si="333"/>
        <v>35.522989333110019</v>
      </c>
      <c r="BJ224" s="38">
        <f t="shared" si="334"/>
        <v>163.03777709301244</v>
      </c>
      <c r="BK224" s="39">
        <v>0.45833333333333298</v>
      </c>
    </row>
    <row r="225" spans="1:90" x14ac:dyDescent="0.25">
      <c r="A225" s="95" t="s">
        <v>91</v>
      </c>
      <c r="B225" s="95">
        <v>3</v>
      </c>
      <c r="C225" s="315"/>
      <c r="D225" s="315"/>
      <c r="E225" s="316"/>
      <c r="K225" s="92"/>
      <c r="L225" s="95" t="s">
        <v>91</v>
      </c>
      <c r="M225" s="95">
        <v>3</v>
      </c>
      <c r="N225" s="315"/>
      <c r="O225" s="315"/>
      <c r="P225" s="316"/>
      <c r="AB225" s="39">
        <v>0.68750000000001399</v>
      </c>
      <c r="AC225">
        <f t="shared" si="261"/>
        <v>-67.5</v>
      </c>
      <c r="AD225" s="38">
        <f t="shared" si="249"/>
        <v>20.92749943260166</v>
      </c>
      <c r="AE225" s="38">
        <f t="shared" si="308"/>
        <v>-98.465482750639893</v>
      </c>
      <c r="AG225">
        <f t="shared" si="255"/>
        <v>6.9072500567398336</v>
      </c>
      <c r="AH225">
        <f t="shared" si="256"/>
        <v>188.46548275063989</v>
      </c>
      <c r="AI225" s="94">
        <f t="shared" si="257"/>
        <v>-6.831993703332409</v>
      </c>
      <c r="AJ225" s="94">
        <f t="shared" si="258"/>
        <v>-1.0168408842875816</v>
      </c>
      <c r="AK225" s="43"/>
      <c r="AP225" s="39">
        <v>0.5</v>
      </c>
      <c r="AQ225">
        <f t="shared" si="321"/>
        <v>38.812251187494631</v>
      </c>
      <c r="AR225">
        <f>+AR99</f>
        <v>180</v>
      </c>
      <c r="AT225">
        <f t="shared" si="323"/>
        <v>45.556583423446973</v>
      </c>
      <c r="AU225">
        <f>+BC99</f>
        <v>180</v>
      </c>
      <c r="AW225">
        <f t="shared" si="325"/>
        <v>56.704473564735594</v>
      </c>
      <c r="AX225">
        <f>+BN99</f>
        <v>180</v>
      </c>
      <c r="AZ225">
        <f t="shared" si="327"/>
        <v>68.644628908165231</v>
      </c>
      <c r="BA225">
        <f>+BY99</f>
        <v>180</v>
      </c>
      <c r="BC225">
        <f t="shared" si="329"/>
        <v>78.833187969938209</v>
      </c>
      <c r="BD225">
        <f>+CJ99</f>
        <v>180</v>
      </c>
      <c r="BF225">
        <f t="shared" si="331"/>
        <v>84.040484116651811</v>
      </c>
      <c r="BG225">
        <f>+CU99</f>
        <v>180</v>
      </c>
      <c r="BI225">
        <f t="shared" si="333"/>
        <v>37.47021715318634</v>
      </c>
      <c r="BJ225">
        <f>+DF99</f>
        <v>180</v>
      </c>
      <c r="BK225" s="39">
        <v>0.5</v>
      </c>
    </row>
    <row r="226" spans="1:90" x14ac:dyDescent="0.25">
      <c r="C226" s="93">
        <f>+IF(B225=$AI$63,B224,IF(B225=$AJ$63,$AI$64+B224,IF(B225=$AK$63,$AI$64+$AJ$64+B224,IF(B225=$AL$63,$AI$64+$AJ$64+$AK$64+B224,IF(B225=$AM$63,$AI$64+$AJ$64+$AK$64+$AL$64+B224,IF(B225=$AN$63,$AI$64+$AJ$64+$AK$64+$AL$64+$AM$64+B224,IF(B225=$AO$63,$AI$64+$AJ$64+$AK$64+$AL$64+$AM$64+$AN$64+B224,IF(B225=$AP$63,$AI$64+$AJ$64+$AK$64+$AL$64+$AM$64+$AN$64+$AO$64+B224,IF(B225=$AQ$63,$AI$64+$AJ$64+$AK$64+$AL$64+$AM$64+$AN$64+$AO$64+$AP$64+B224,IF(B225=$AR$63,$AI$64+$AJ$64+$AK$64+$AL$64+$AM$64+$AN$64+$AO$64+$AP$64+$AQ$64+B224,IF(B225=$AS$63,$AI$64+$AJ$64+$AK$64+$AL$64+$AM$64+$AN$64+$AO$64+$AP$64+$AQ$64+$AR$64+B224,IF(B225=$AT$63,$AI$64+$AJ$64+$AK$64+$AL$64+$AM$64+$AN$64+$AO$64+$AP$64+$AQ$64+$AR$64+$AS$64+B224,"error"))))))))))))</f>
        <v>80</v>
      </c>
      <c r="D226" s="38">
        <f>23.45*SIN(RADIANS(360*((284+C226)/365)))</f>
        <v>-0.40365320185431652</v>
      </c>
      <c r="E226" s="95">
        <v>25</v>
      </c>
      <c r="K226" s="92"/>
      <c r="N226" s="93">
        <f>+IF(M225=$AI$63,M224,IF(M225=$AJ$63,$AI$64+M224,IF(M225=$AK$63,$AI$64+$AJ$64+M224,IF(M225=$AL$63,$AI$64+$AJ$64+$AK$64+M224,IF(M225=$AM$63,$AI$64+$AJ$64+$AK$64+$AL$64+M224,IF(M225=$AN$63,$AI$64+$AJ$64+$AK$64+$AL$64+$AM$64+M224,IF(M225=$AO$63,$AI$64+$AJ$64+$AK$64+$AL$64+$AM$64+$AN$64+M224,IF(M225=$AP$63,$AI$64+$AJ$64+$AK$64+$AL$64+$AM$64+$AN$64+$AO$64+M224,IF(M225=$AQ$63,$AI$64+$AJ$64+$AK$64+$AL$64+$AM$64+$AN$64+$AO$64+$AP$64+M224,IF(M225=$AR$63,$AI$64+$AJ$64+$AK$64+$AL$64+$AM$64+$AN$64+$AO$64+$AP$64+$AQ$64+M224,IF(M225=$AS$63,$AI$64+$AJ$64+$AK$64+$AL$64+$AM$64+$AN$64+$AO$64+$AP$64+$AQ$64+$AR$64+M224,IF(M225=$AT$63,$AI$64+$AJ$64+$AK$64+$AL$64+$AM$64+$AN$64+$AO$64+$AP$64+$AQ$64+$AR$64+$AS$64+M224,"error"))))))))))))</f>
        <v>80</v>
      </c>
      <c r="O226" s="38">
        <f>23.45*SIN(RADIANS(360*((284+N226)/365)))</f>
        <v>-0.40365320185431652</v>
      </c>
      <c r="P226" s="95">
        <v>30</v>
      </c>
      <c r="AB226" s="39">
        <v>0.69791666666668095</v>
      </c>
      <c r="AC226">
        <f t="shared" si="261"/>
        <v>-71.25</v>
      </c>
      <c r="AD226" s="38">
        <f t="shared" si="249"/>
        <v>17.435817380434113</v>
      </c>
      <c r="AE226" s="38">
        <f t="shared" si="308"/>
        <v>-97.017326785890148</v>
      </c>
      <c r="AG226">
        <f t="shared" si="255"/>
        <v>7.2564182619565889</v>
      </c>
      <c r="AH226">
        <f t="shared" si="256"/>
        <v>187.01732678589013</v>
      </c>
      <c r="AI226" s="94">
        <f t="shared" si="257"/>
        <v>-7.2020622600263922</v>
      </c>
      <c r="AJ226" s="94">
        <f t="shared" si="258"/>
        <v>-0.8865129413384919</v>
      </c>
      <c r="AK226" s="43"/>
      <c r="AP226" s="39"/>
      <c r="AQ226">
        <f>+AQ225</f>
        <v>38.812251187494631</v>
      </c>
      <c r="AR226">
        <f>+IF(AR225=0,360,AR225)</f>
        <v>180</v>
      </c>
      <c r="AT226">
        <f>+AT225</f>
        <v>45.556583423446973</v>
      </c>
      <c r="AU226">
        <f>+IF(AU225=0,360,AU225)</f>
        <v>180</v>
      </c>
      <c r="AW226">
        <f>+AW225</f>
        <v>56.704473564735594</v>
      </c>
      <c r="AX226">
        <f>+IF(AX225=0,360,AX225)</f>
        <v>180</v>
      </c>
      <c r="AZ226">
        <f>+AZ225</f>
        <v>68.644628908165231</v>
      </c>
      <c r="BA226">
        <f>+IF(BA225=0,360,BA225)</f>
        <v>180</v>
      </c>
      <c r="BC226">
        <f>+BC225</f>
        <v>78.833187969938209</v>
      </c>
      <c r="BD226">
        <f>+IF(BD225=0,360,BD225)</f>
        <v>180</v>
      </c>
      <c r="BF226">
        <f>+BF225</f>
        <v>84.040484116651811</v>
      </c>
      <c r="BG226">
        <f>+IF(BG225=0,360,BG225)</f>
        <v>180</v>
      </c>
      <c r="BI226">
        <f>+BI225</f>
        <v>37.47021715318634</v>
      </c>
      <c r="BJ226">
        <f>+IF(BJ225=0,360,BJ225)</f>
        <v>180</v>
      </c>
      <c r="BK226" s="39"/>
    </row>
    <row r="227" spans="1:90" x14ac:dyDescent="0.25">
      <c r="B227" s="317" t="s">
        <v>90</v>
      </c>
      <c r="C227" s="315"/>
      <c r="D227" s="315"/>
      <c r="E227" s="315"/>
      <c r="G227" s="319" t="s">
        <v>89</v>
      </c>
      <c r="H227" s="319"/>
      <c r="I227" s="319" t="s">
        <v>42</v>
      </c>
      <c r="J227" s="319" t="s">
        <v>43</v>
      </c>
      <c r="K227" s="92"/>
      <c r="M227" s="317" t="s">
        <v>90</v>
      </c>
      <c r="N227" s="315"/>
      <c r="O227" s="315"/>
      <c r="P227" s="315"/>
      <c r="R227" s="319" t="s">
        <v>89</v>
      </c>
      <c r="S227" s="319"/>
      <c r="T227" s="319" t="s">
        <v>42</v>
      </c>
      <c r="U227" s="319" t="s">
        <v>43</v>
      </c>
      <c r="AB227" s="39">
        <v>0.70833333333334803</v>
      </c>
      <c r="AC227">
        <f t="shared" si="261"/>
        <v>-75</v>
      </c>
      <c r="AD227" s="38">
        <f t="shared" si="249"/>
        <v>13.933453227779413</v>
      </c>
      <c r="AE227" s="38">
        <f t="shared" si="308"/>
        <v>-95.62536737544977</v>
      </c>
      <c r="AG227">
        <f t="shared" si="255"/>
        <v>7.6066546772220587</v>
      </c>
      <c r="AH227">
        <f t="shared" si="256"/>
        <v>185.62536737544977</v>
      </c>
      <c r="AI227" s="94">
        <f t="shared" si="257"/>
        <v>-7.5700217750763859</v>
      </c>
      <c r="AJ227" s="94">
        <f t="shared" si="258"/>
        <v>-0.7456310772584348</v>
      </c>
      <c r="AK227" s="43"/>
      <c r="AP227" s="39">
        <v>0.54166666666666596</v>
      </c>
      <c r="AQ227">
        <f t="shared" ref="AQ227:AQ237" si="335">IF(AQ100&lt;0,0,AQ100)</f>
        <v>36.811263360071692</v>
      </c>
      <c r="AR227">
        <f t="shared" ref="AR227:AR237" si="336">360-(180-DEGREES(ACOS((((SIN(RADIANS(AQ227)))*SIN(RADIANS($AR$85)))-SIN(RADIANS($AQ$85)))/((COS(RADIANS(AQ227)))*COS(RADIANS($AR$85))))))</f>
        <v>197.4280478761454</v>
      </c>
      <c r="AT227">
        <f t="shared" ref="AT227:AT237" si="337">IF(BB100&lt;0,0,BB100)</f>
        <v>43.2535093097095</v>
      </c>
      <c r="AU227" s="38">
        <f t="shared" ref="AU227:AU237" si="338">360-(180-DEGREES(ACOS((((SIN(RADIANS(AT227)))*SIN(RADIANS($BC$85)))-SIN(RADIANS($BB$85)))/((COS(RADIANS(AT227)))*COS(RADIANS($BC$85))))))</f>
        <v>200.03909161394711</v>
      </c>
      <c r="AW227">
        <f t="shared" ref="AW227:AW237" si="339">IF(BM100&lt;0,0,BM100)</f>
        <v>53.721651477607679</v>
      </c>
      <c r="AX227" s="38">
        <f t="shared" ref="AX227:AX237" si="340">360-(180-DEGREES(ACOS((((SIN(RADIANS(AW227)))*SIN(RADIANS($BN$85)))-SIN(RADIANS($BM$85)))/((COS(RADIANS(AW227)))*COS(RADIANS($BN$85))))))</f>
        <v>205.86334965353714</v>
      </c>
      <c r="AZ227">
        <f t="shared" ref="AZ227:AZ237" si="341">IF(BX100&lt;0,0,BX100)</f>
        <v>64.399813806231478</v>
      </c>
      <c r="BA227" s="38">
        <f t="shared" ref="BA227:BA237" si="342">360-(180-DEGREES(ACOS((((SIN(RADIANS(AZ227)))*SIN(RADIANS($BY$85)))-SIN(RADIANS($BX$85)))/((COS(RADIANS(AZ227)))*COS(RADIANS($BY$85))))))</f>
        <v>216.41001910546979</v>
      </c>
      <c r="BC227">
        <f t="shared" ref="BC227:BC237" si="343">IF(CI100&lt;0,0,CI100)</f>
        <v>72.313335780227064</v>
      </c>
      <c r="BD227" s="38">
        <f t="shared" ref="BD227:BD237" si="344">360-(180-DEGREES(ACOS((((SIN(RADIANS(BC227)))*SIN(RADIANS($CJ$85)))-SIN(RADIANS($CI$85)))/((COS(RADIANS(BC227)))*COS(RADIANS($CJ$85))))))</f>
        <v>234.15555555616518</v>
      </c>
      <c r="BF227">
        <f t="shared" ref="BF227:BF237" si="345">IF(CT100&lt;0,0,CT100)</f>
        <v>75.286617836966144</v>
      </c>
      <c r="BG227" s="38">
        <f t="shared" ref="BG227:BG237" si="346">360-(180-DEGREES(ACOS((((SIN(RADIANS(BF227)))*SIN(RADIANS($CU$85)))-SIN(RADIANS($CT$85)))/((COS(RADIANS(BF227)))*COS(RADIANS($CU$85))))))</f>
        <v>249.58480282801224</v>
      </c>
      <c r="BI227">
        <f t="shared" ref="BI227:BI237" si="347">IF(DE100&lt;0,0,DE100)</f>
        <v>35.522989333110019</v>
      </c>
      <c r="BJ227" s="38">
        <f t="shared" ref="BJ227:BJ237" si="348">360-(180-DEGREES(ACOS((((SIN(RADIANS(BI227)))*SIN(RADIANS($DF$85)))-SIN(RADIANS($DE$85)))/((COS(RADIANS(BI227)))*COS(RADIANS($DF$85))))))</f>
        <v>196.96222290698756</v>
      </c>
      <c r="BK227" s="39">
        <v>0.54166666666666596</v>
      </c>
    </row>
    <row r="228" spans="1:90" x14ac:dyDescent="0.25">
      <c r="B228" s="318"/>
      <c r="C228" s="315"/>
      <c r="D228" s="315"/>
      <c r="E228" s="315"/>
      <c r="G228" s="319"/>
      <c r="H228" s="319"/>
      <c r="I228" s="319"/>
      <c r="J228" s="319"/>
      <c r="K228" s="92"/>
      <c r="M228" s="318"/>
      <c r="N228" s="315"/>
      <c r="O228" s="315"/>
      <c r="P228" s="315"/>
      <c r="R228" s="319"/>
      <c r="S228" s="319"/>
      <c r="T228" s="319"/>
      <c r="U228" s="319"/>
      <c r="AB228" s="39">
        <v>0.71875000000001499</v>
      </c>
      <c r="AC228">
        <f t="shared" si="261"/>
        <v>-78.75</v>
      </c>
      <c r="AD228" s="38">
        <f t="shared" si="249"/>
        <v>10.422818614788163</v>
      </c>
      <c r="AE228" s="38">
        <f t="shared" si="308"/>
        <v>-94.276735524728338</v>
      </c>
      <c r="AG228">
        <f t="shared" si="255"/>
        <v>7.9577181385211837</v>
      </c>
      <c r="AH228">
        <f t="shared" si="256"/>
        <v>184.27673552472834</v>
      </c>
      <c r="AI228" s="94">
        <f t="shared" si="257"/>
        <v>-7.9355598390257569</v>
      </c>
      <c r="AJ228" s="94">
        <f t="shared" si="258"/>
        <v>-0.59343745533170189</v>
      </c>
      <c r="AK228" s="43"/>
      <c r="AP228" s="39">
        <v>0.58333333333333304</v>
      </c>
      <c r="AQ228">
        <f t="shared" si="335"/>
        <v>31.217808683018777</v>
      </c>
      <c r="AR228">
        <f t="shared" si="336"/>
        <v>212.79747122465224</v>
      </c>
      <c r="AT228">
        <f t="shared" si="337"/>
        <v>36.94444539822846</v>
      </c>
      <c r="AU228" s="38">
        <f t="shared" si="338"/>
        <v>217.10335296995362</v>
      </c>
      <c r="AW228">
        <f t="shared" si="339"/>
        <v>45.978655929743674</v>
      </c>
      <c r="AX228" s="38">
        <f t="shared" si="340"/>
        <v>225.8529200110288</v>
      </c>
      <c r="AZ228">
        <f t="shared" si="341"/>
        <v>54.618641174592703</v>
      </c>
      <c r="BA228" s="38">
        <f t="shared" si="342"/>
        <v>238.83692777379548</v>
      </c>
      <c r="BC228">
        <f t="shared" si="343"/>
        <v>60.418849938512295</v>
      </c>
      <c r="BD228" s="38">
        <f t="shared" si="344"/>
        <v>254.52611132258414</v>
      </c>
      <c r="BF228">
        <f t="shared" si="345"/>
        <v>62.487949611154917</v>
      </c>
      <c r="BG228" s="38">
        <f t="shared" si="346"/>
        <v>264.5416795449521</v>
      </c>
      <c r="BI228">
        <f t="shared" si="347"/>
        <v>30.061756873161897</v>
      </c>
      <c r="BJ228" s="38">
        <f t="shared" si="348"/>
        <v>212.00522370771296</v>
      </c>
      <c r="BK228" s="39">
        <v>0.58333333333333304</v>
      </c>
    </row>
    <row r="229" spans="1:90" x14ac:dyDescent="0.25">
      <c r="B229" s="39">
        <v>0.25</v>
      </c>
      <c r="C229" s="38">
        <v>90</v>
      </c>
      <c r="D229" s="38">
        <f>+DEGREES(ASIN(COS(RADIANS(E226))*COS(RADIANS(D226))*COS(RADIANS(C229))+SIN(RADIANS(E226))*SIN(RADIANS(D226))))</f>
        <v>-0.17059005539206051</v>
      </c>
      <c r="E229" s="38">
        <f>180-DEGREES(ACOS((((SIN(RADIANS(D229)))*SIN(RADIANS(E226)))-SIN(RADIANS(D226)))/((COS(RADIANS(D229)))*COS(RADIANS(E226)))))</f>
        <v>90.365835121110862</v>
      </c>
      <c r="G229">
        <f t="shared" ref="G229:G241" si="349">9-(D229/10)</f>
        <v>9.0170590055392061</v>
      </c>
      <c r="H229">
        <f t="shared" ref="H229:H241" si="350">90-E229+$AH$172</f>
        <v>-0.36583512111086236</v>
      </c>
      <c r="I229" s="94">
        <f t="shared" ref="I229:I241" si="351">IF($E$226&gt;=$AE$174,0,G229*COS(RADIANS(H229)))</f>
        <v>0</v>
      </c>
      <c r="J229" s="94">
        <f t="shared" ref="J229:J241" si="352">IF($E$226&gt;=$AE$174,0,G229*SIN(RADIANS(H229)))</f>
        <v>0</v>
      </c>
      <c r="K229" s="92"/>
      <c r="M229" s="39">
        <v>0.25</v>
      </c>
      <c r="N229" s="38">
        <v>90</v>
      </c>
      <c r="O229" s="38">
        <f>+DEGREES(ASIN(COS(RADIANS(P226))*COS(RADIANS(O226))*COS(RADIANS(N229))+SIN(RADIANS(P226))*SIN(RADIANS(O226))))</f>
        <v>-0.20182534876289174</v>
      </c>
      <c r="P229" s="38">
        <f>180-DEGREES(ACOS((((SIN(RADIANS(O229)))*SIN(RADIANS(P226)))-SIN(RADIANS(O226)))/((COS(RADIANS(O229)))*COS(RADIANS(P226)))))</f>
        <v>90.349575372991453</v>
      </c>
      <c r="R229">
        <f t="shared" ref="R229:R241" si="353">9-(O229/10)</f>
        <v>9.0201825348762892</v>
      </c>
      <c r="S229">
        <f t="shared" ref="S229:S241" si="354">90-P229+$AH$172</f>
        <v>-0.34957537299145258</v>
      </c>
      <c r="T229" s="94">
        <f t="shared" ref="T229:T241" si="355">IF($P$226&gt;=$AE$174,0,R229*COS(RADIANS(S229)))</f>
        <v>0</v>
      </c>
      <c r="U229" s="94">
        <f t="shared" ref="U229:U241" si="356">IF($P$226&gt;=$AE$174,0,R229*SIN(RADIANS(S229)))</f>
        <v>0</v>
      </c>
      <c r="AB229" s="39">
        <v>0.72916666666668195</v>
      </c>
      <c r="AC229">
        <f t="shared" si="261"/>
        <v>-82.5</v>
      </c>
      <c r="AD229" s="38">
        <f t="shared" si="249"/>
        <v>6.906064516999745</v>
      </c>
      <c r="AE229" s="38">
        <f t="shared" si="308"/>
        <v>-92.959856783647226</v>
      </c>
      <c r="AG229">
        <f t="shared" si="255"/>
        <v>8.3093935483000259</v>
      </c>
      <c r="AH229">
        <f t="shared" si="256"/>
        <v>182.95985678364724</v>
      </c>
      <c r="AI229" s="94">
        <f t="shared" si="257"/>
        <v>-8.2983084671054144</v>
      </c>
      <c r="AJ229" s="94">
        <f t="shared" si="258"/>
        <v>-0.42906610830579445</v>
      </c>
      <c r="AK229" s="43"/>
      <c r="AP229" s="39">
        <v>0.625</v>
      </c>
      <c r="AQ229">
        <f t="shared" si="335"/>
        <v>22.930756425404709</v>
      </c>
      <c r="AR229">
        <f t="shared" si="336"/>
        <v>225.34328038735799</v>
      </c>
      <c r="AT229">
        <f t="shared" si="337"/>
        <v>27.847371205928958</v>
      </c>
      <c r="AU229" s="38">
        <f t="shared" si="338"/>
        <v>230.45636712006592</v>
      </c>
      <c r="AW229">
        <f t="shared" si="339"/>
        <v>35.49071849161092</v>
      </c>
      <c r="AX229" s="38">
        <f t="shared" si="340"/>
        <v>240.00951426874525</v>
      </c>
      <c r="AZ229">
        <f t="shared" si="341"/>
        <v>42.663463448393529</v>
      </c>
      <c r="BA229" s="38">
        <f t="shared" si="342"/>
        <v>252.33937742887733</v>
      </c>
      <c r="BC229">
        <f t="shared" si="343"/>
        <v>47.519261224452976</v>
      </c>
      <c r="BD229" s="38">
        <f t="shared" si="344"/>
        <v>265.05518292808392</v>
      </c>
      <c r="BF229">
        <f t="shared" si="345"/>
        <v>49.392241958613631</v>
      </c>
      <c r="BG229" s="38">
        <f t="shared" si="346"/>
        <v>272.38586604472482</v>
      </c>
      <c r="BI229">
        <f t="shared" si="347"/>
        <v>21.932757611792816</v>
      </c>
      <c r="BJ229" s="38">
        <f t="shared" si="348"/>
        <v>224.37256427781429</v>
      </c>
      <c r="BK229" s="39">
        <v>0.625</v>
      </c>
    </row>
    <row r="230" spans="1:90" x14ac:dyDescent="0.25">
      <c r="B230" s="39">
        <v>0.29166666666666669</v>
      </c>
      <c r="C230">
        <v>75</v>
      </c>
      <c r="D230" s="38">
        <f>+DEGREES(ASIN(COS(RADIANS(E226))*COS(RADIANS(D226))*COS(RADIANS(C230))+SIN(RADIANS(E226))*SIN(RADIANS(D226))))</f>
        <v>13.390496061053557</v>
      </c>
      <c r="E230" s="38">
        <f>180-DEGREES(ACOS((((SIN(RADIANS(D230)))*SIN(RADIANS(E226)))-SIN(RADIANS(D226)))/((COS(RADIANS(D230)))*COS(RADIANS(E226)))))</f>
        <v>96.834333575565424</v>
      </c>
      <c r="G230">
        <f t="shared" si="349"/>
        <v>7.6609503938946446</v>
      </c>
      <c r="H230">
        <f t="shared" si="350"/>
        <v>-6.8343335755654238</v>
      </c>
      <c r="I230" s="94">
        <f t="shared" si="351"/>
        <v>0</v>
      </c>
      <c r="J230" s="94">
        <f t="shared" si="352"/>
        <v>0</v>
      </c>
      <c r="K230" s="92"/>
      <c r="M230" s="39">
        <v>0.29166666666666669</v>
      </c>
      <c r="N230">
        <v>75</v>
      </c>
      <c r="O230" s="38">
        <f>+DEGREES(ASIN(COS(RADIANS(P226))*COS(RADIANS(O226))*COS(RADIANS(N230))+SIN(RADIANS(P226))*SIN(RADIANS(O226))))</f>
        <v>12.745204221314955</v>
      </c>
      <c r="P230" s="38">
        <f>180-DEGREES(ACOS((((SIN(RADIANS(O230)))*SIN(RADIANS(P226)))-SIN(RADIANS(O226)))/((COS(RADIANS(O230)))*COS(RADIANS(P226)))))</f>
        <v>97.985970411644061</v>
      </c>
      <c r="R230">
        <f t="shared" si="353"/>
        <v>7.725479577868505</v>
      </c>
      <c r="S230">
        <f t="shared" si="354"/>
        <v>-7.9859704116440611</v>
      </c>
      <c r="T230" s="94">
        <f t="shared" si="355"/>
        <v>0</v>
      </c>
      <c r="U230" s="94">
        <f t="shared" si="356"/>
        <v>0</v>
      </c>
      <c r="AB230" s="39">
        <v>0.73958333333334902</v>
      </c>
      <c r="AC230">
        <f t="shared" si="261"/>
        <v>-86.25</v>
      </c>
      <c r="AD230" s="38">
        <f t="shared" si="249"/>
        <v>3.3851573394341568</v>
      </c>
      <c r="AE230" s="38">
        <f t="shared" si="308"/>
        <v>-91.664072106944801</v>
      </c>
      <c r="AG230">
        <f t="shared" si="255"/>
        <v>8.6614842660565845</v>
      </c>
      <c r="AH230">
        <f t="shared" si="256"/>
        <v>181.66407210694479</v>
      </c>
      <c r="AI230" s="94">
        <f t="shared" si="257"/>
        <v>-8.6578314246765178</v>
      </c>
      <c r="AJ230" s="94">
        <f t="shared" si="258"/>
        <v>-0.251524776174332</v>
      </c>
      <c r="AK230" s="43"/>
      <c r="AP230" s="39">
        <v>0.66666666666666596</v>
      </c>
      <c r="AQ230">
        <f t="shared" si="335"/>
        <v>12.822214610282128</v>
      </c>
      <c r="AR230">
        <f t="shared" si="336"/>
        <v>235.37342752256384</v>
      </c>
      <c r="AT230">
        <f t="shared" si="337"/>
        <v>17.012874995336517</v>
      </c>
      <c r="AU230" s="38">
        <f t="shared" si="338"/>
        <v>240.84370631931196</v>
      </c>
      <c r="AW230">
        <f t="shared" si="339"/>
        <v>23.5820196394737</v>
      </c>
      <c r="AX230" s="38">
        <f t="shared" si="340"/>
        <v>250.45557551603582</v>
      </c>
      <c r="AZ230">
        <f t="shared" si="341"/>
        <v>29.88984365984685</v>
      </c>
      <c r="BA230" s="38">
        <f t="shared" si="342"/>
        <v>261.8210744390442</v>
      </c>
      <c r="BC230">
        <f t="shared" si="343"/>
        <v>34.421688460547578</v>
      </c>
      <c r="BD230" s="38">
        <f t="shared" si="344"/>
        <v>272.61033629584784</v>
      </c>
      <c r="BF230">
        <f t="shared" si="345"/>
        <v>36.350375327550033</v>
      </c>
      <c r="BG230" s="38">
        <f t="shared" si="346"/>
        <v>278.54488267962188</v>
      </c>
      <c r="BI230">
        <f t="shared" si="347"/>
        <v>11.973998043852726</v>
      </c>
      <c r="BJ230" s="38">
        <f t="shared" si="348"/>
        <v>234.30859099465266</v>
      </c>
      <c r="BK230" s="39">
        <v>0.66666666666666596</v>
      </c>
    </row>
    <row r="231" spans="1:90" x14ac:dyDescent="0.25">
      <c r="B231" s="39">
        <v>0.33333333333333298</v>
      </c>
      <c r="C231" s="38">
        <v>60</v>
      </c>
      <c r="D231" s="38">
        <f>+DEGREES(ASIN(COS(RADIANS(E226))*COS(RADIANS(D226))*COS(RADIANS(C231))+SIN(RADIANS(E226))*SIN(RADIANS(D226))))</f>
        <v>26.754289542312229</v>
      </c>
      <c r="E231" s="38">
        <f>180-DEGREES(ACOS((((SIN(RADIANS(D231)))*SIN(RADIANS(E226)))-SIN(RADIANS(D226)))/((COS(RADIANS(D231)))*COS(RADIANS(E226)))))</f>
        <v>104.11018703457104</v>
      </c>
      <c r="G231">
        <f t="shared" si="349"/>
        <v>6.3245710457687769</v>
      </c>
      <c r="H231">
        <f t="shared" si="350"/>
        <v>-14.110187034571041</v>
      </c>
      <c r="I231" s="94">
        <f t="shared" si="351"/>
        <v>0</v>
      </c>
      <c r="J231" s="94">
        <f t="shared" si="352"/>
        <v>0</v>
      </c>
      <c r="K231" s="92"/>
      <c r="M231" s="39">
        <v>0.33333333333333298</v>
      </c>
      <c r="N231" s="38">
        <v>60</v>
      </c>
      <c r="O231" s="38">
        <f>+DEGREES(ASIN(COS(RADIANS(P226))*COS(RADIANS(O226))*COS(RADIANS(N231))+SIN(RADIANS(P226))*SIN(RADIANS(O226))))</f>
        <v>25.434529047364645</v>
      </c>
      <c r="P231" s="38">
        <f>180-DEGREES(ACOS((((SIN(RADIANS(O231)))*SIN(RADIANS(P226)))-SIN(RADIANS(O226)))/((COS(RADIANS(O231)))*COS(RADIANS(P226)))))</f>
        <v>106.4740194500216</v>
      </c>
      <c r="R231">
        <f t="shared" si="353"/>
        <v>6.4565470952635353</v>
      </c>
      <c r="S231">
        <f t="shared" si="354"/>
        <v>-16.474019450021601</v>
      </c>
      <c r="T231" s="94">
        <f t="shared" si="355"/>
        <v>0</v>
      </c>
      <c r="U231" s="94">
        <f t="shared" si="356"/>
        <v>0</v>
      </c>
      <c r="AB231" s="39">
        <v>0.75000000000001599</v>
      </c>
      <c r="AC231">
        <f t="shared" si="261"/>
        <v>-90</v>
      </c>
      <c r="AD231" s="38">
        <f t="shared" si="249"/>
        <v>-0.13805651750742945</v>
      </c>
      <c r="AE231" s="38">
        <f t="shared" si="308"/>
        <v>-90.379310669221951</v>
      </c>
      <c r="AG231">
        <f t="shared" si="255"/>
        <v>9.0138056517507437</v>
      </c>
      <c r="AH231">
        <f t="shared" si="256"/>
        <v>180.37931066922195</v>
      </c>
      <c r="AI231" s="94">
        <f t="shared" si="257"/>
        <v>-9.0136081270281014</v>
      </c>
      <c r="AJ231" s="94">
        <f t="shared" si="258"/>
        <v>-5.9672941159190362E-2</v>
      </c>
      <c r="AK231" s="43"/>
      <c r="AP231" s="39">
        <v>0.70833333333333304</v>
      </c>
      <c r="AQ231">
        <f t="shared" si="335"/>
        <v>1.5268439307083672</v>
      </c>
      <c r="AR231">
        <f t="shared" si="336"/>
        <v>243.5375541496787</v>
      </c>
      <c r="AT231">
        <f t="shared" si="337"/>
        <v>5.1256761006130356</v>
      </c>
      <c r="AU231" s="38">
        <f t="shared" si="338"/>
        <v>249.25203228360323</v>
      </c>
      <c r="AW231">
        <f t="shared" si="339"/>
        <v>10.944236718611343</v>
      </c>
      <c r="AX231" s="38">
        <f t="shared" si="340"/>
        <v>258.85984042788584</v>
      </c>
      <c r="AZ231">
        <f t="shared" si="341"/>
        <v>16.826145638621131</v>
      </c>
      <c r="BA231" s="38">
        <f t="shared" si="342"/>
        <v>269.56997399480264</v>
      </c>
      <c r="BC231">
        <f t="shared" si="343"/>
        <v>21.390284745138615</v>
      </c>
      <c r="BD231" s="38">
        <f t="shared" si="344"/>
        <v>279.21490945858636</v>
      </c>
      <c r="BF231">
        <f t="shared" si="345"/>
        <v>23.507733059132701</v>
      </c>
      <c r="BG231" s="38">
        <f t="shared" si="346"/>
        <v>284.36302457172849</v>
      </c>
      <c r="BI231">
        <f t="shared" si="347"/>
        <v>0.80777986614324049</v>
      </c>
      <c r="BJ231" s="38">
        <f t="shared" si="348"/>
        <v>242.40417326660662</v>
      </c>
      <c r="BK231" s="39">
        <v>0.70833333333333304</v>
      </c>
    </row>
    <row r="232" spans="1:90" x14ac:dyDescent="0.25">
      <c r="B232" s="39">
        <v>0.375</v>
      </c>
      <c r="C232">
        <v>45</v>
      </c>
      <c r="D232" s="38">
        <f>+DEGREES(ASIN(COS(RADIANS(E226))*COS(RADIANS(D226))*COS(RADIANS(C232))+SIN(RADIANS(E226))*SIN(RADIANS(D226))))</f>
        <v>39.632662002345647</v>
      </c>
      <c r="E232" s="38">
        <f>180-DEGREES(ACOS((((SIN(RADIANS(D232)))*SIN(RADIANS(E226)))-SIN(RADIANS(D226)))/((COS(RADIANS(D232)))*COS(RADIANS(E226)))))</f>
        <v>113.34735462280341</v>
      </c>
      <c r="G232">
        <f t="shared" si="349"/>
        <v>5.0367337997654351</v>
      </c>
      <c r="H232">
        <f t="shared" si="350"/>
        <v>-23.347354622803408</v>
      </c>
      <c r="I232" s="94">
        <f t="shared" si="351"/>
        <v>0</v>
      </c>
      <c r="J232" s="94">
        <f t="shared" si="352"/>
        <v>0</v>
      </c>
      <c r="K232" s="92"/>
      <c r="M232" s="39">
        <v>0.375</v>
      </c>
      <c r="N232">
        <v>45</v>
      </c>
      <c r="O232" s="38">
        <f>+DEGREES(ASIN(COS(RADIANS(P226))*COS(RADIANS(O226))*COS(RADIANS(N232))+SIN(RADIANS(P226))*SIN(RADIANS(O226))))</f>
        <v>37.505293910382669</v>
      </c>
      <c r="P232" s="38">
        <f>180-DEGREES(ACOS((((SIN(RADIANS(O232)))*SIN(RADIANS(P226)))-SIN(RADIANS(O226)))/((COS(RADIANS(O232)))*COS(RADIANS(P226)))))</f>
        <v>116.9591888957782</v>
      </c>
      <c r="R232">
        <f t="shared" si="353"/>
        <v>5.2494706089617331</v>
      </c>
      <c r="S232">
        <f t="shared" si="354"/>
        <v>-26.959188895778198</v>
      </c>
      <c r="T232" s="94">
        <f t="shared" si="355"/>
        <v>0</v>
      </c>
      <c r="U232" s="94">
        <f t="shared" si="356"/>
        <v>0</v>
      </c>
      <c r="AB232" s="39">
        <v>0.79166666666666663</v>
      </c>
      <c r="AC232" s="38">
        <v>-105</v>
      </c>
      <c r="AD232" s="38">
        <f t="shared" si="249"/>
        <v>-14.218113225759542</v>
      </c>
      <c r="AE232" s="38">
        <f t="shared" si="308"/>
        <v>-85.153473715583246</v>
      </c>
      <c r="AG232">
        <f t="shared" ref="AG232:AG238" si="357">IF((9-(AD232/10))&gt;9,9,9-(AD232/10))</f>
        <v>9</v>
      </c>
      <c r="AH232">
        <f t="shared" ref="AH232:AH238" si="358">IF((9-(AD232/10))&gt;9,90+(180-DEGREES(ACOS((((SIN(RADIANS(0)))*SIN(RADIANS($AE$174)))-SIN(RADIANS($AD$174)))/((COS(RADIANS(0)))*COS(RADIANS($AE$174))))))+$AH$172,90-AE232+$AH$172)</f>
        <v>180.42955923594582</v>
      </c>
      <c r="AI232" s="94">
        <f t="shared" si="257"/>
        <v>-8.9997470635975887</v>
      </c>
      <c r="AJ232" s="94">
        <f t="shared" si="258"/>
        <v>-6.7474374888395194E-2</v>
      </c>
      <c r="AK232" s="43"/>
      <c r="AP232" s="39">
        <v>0.75</v>
      </c>
      <c r="AQ232">
        <f t="shared" si="335"/>
        <v>0</v>
      </c>
      <c r="AR232">
        <f t="shared" si="336"/>
        <v>244.49216482906846</v>
      </c>
      <c r="AT232">
        <f t="shared" si="337"/>
        <v>0</v>
      </c>
      <c r="AU232" s="38">
        <f t="shared" si="338"/>
        <v>252.35275863118574</v>
      </c>
      <c r="AW232">
        <f t="shared" si="339"/>
        <v>0</v>
      </c>
      <c r="AX232" s="38">
        <f t="shared" si="340"/>
        <v>265.17507281927288</v>
      </c>
      <c r="AZ232">
        <f t="shared" si="341"/>
        <v>3.7457083017543744</v>
      </c>
      <c r="BA232" s="38">
        <f t="shared" si="342"/>
        <v>276.76052900068674</v>
      </c>
      <c r="BC232">
        <f t="shared" si="343"/>
        <v>8.5974359692729667</v>
      </c>
      <c r="BD232" s="38">
        <f t="shared" si="344"/>
        <v>285.77486462279609</v>
      </c>
      <c r="BF232">
        <f t="shared" si="345"/>
        <v>11.002251178794777</v>
      </c>
      <c r="BG232" s="38">
        <f t="shared" si="346"/>
        <v>290.46241456425236</v>
      </c>
      <c r="BI232">
        <f t="shared" si="347"/>
        <v>0</v>
      </c>
      <c r="BJ232" s="38">
        <f t="shared" si="348"/>
        <v>242.9128608915928</v>
      </c>
      <c r="BK232" s="39">
        <v>0.75</v>
      </c>
    </row>
    <row r="233" spans="1:90" x14ac:dyDescent="0.25">
      <c r="B233" s="39">
        <v>0.41666666666666702</v>
      </c>
      <c r="C233" s="38">
        <v>30</v>
      </c>
      <c r="D233" s="38">
        <f>+DEGREES(ASIN(COS(RADIANS(E226))*COS(RADIANS(D226))*COS(RADIANS(C233))+SIN(RADIANS(E226))*SIN(RADIANS(D226))))</f>
        <v>51.433833007078441</v>
      </c>
      <c r="E233" s="38">
        <f>180-DEGREES(ACOS((((SIN(RADIANS(D233)))*SIN(RADIANS(E226)))-SIN(RADIANS(D226)))/((COS(RADIANS(D233)))*COS(RADIANS(E226)))))</f>
        <v>126.67750738894603</v>
      </c>
      <c r="G233">
        <f t="shared" si="349"/>
        <v>3.8566166992921556</v>
      </c>
      <c r="H233">
        <f t="shared" si="350"/>
        <v>-36.677507388946026</v>
      </c>
      <c r="I233" s="94">
        <f t="shared" si="351"/>
        <v>0</v>
      </c>
      <c r="J233" s="94">
        <f t="shared" si="352"/>
        <v>0</v>
      </c>
      <c r="K233" s="92"/>
      <c r="M233" s="39">
        <v>0.41666666666666702</v>
      </c>
      <c r="N233" s="38">
        <v>30</v>
      </c>
      <c r="O233" s="38">
        <f>+DEGREES(ASIN(COS(RADIANS(P226))*COS(RADIANS(O226))*COS(RADIANS(N233))+SIN(RADIANS(P226))*SIN(RADIANS(O226))))</f>
        <v>48.284559002731697</v>
      </c>
      <c r="P233" s="38">
        <f>180-DEGREES(ACOS((((SIN(RADIANS(O233)))*SIN(RADIANS(P226)))-SIN(RADIANS(O226)))/((COS(RADIANS(O233)))*COS(RADIANS(P226)))))</f>
        <v>131.29050984657982</v>
      </c>
      <c r="R233">
        <f t="shared" si="353"/>
        <v>4.1715440997268303</v>
      </c>
      <c r="S233">
        <f t="shared" si="354"/>
        <v>-41.290509846579823</v>
      </c>
      <c r="T233" s="94">
        <f t="shared" si="355"/>
        <v>0</v>
      </c>
      <c r="U233" s="94">
        <f t="shared" si="356"/>
        <v>0</v>
      </c>
      <c r="AB233" s="39">
        <v>0.83333333333333304</v>
      </c>
      <c r="AC233" s="38">
        <v>-120</v>
      </c>
      <c r="AD233" s="38">
        <f t="shared" si="249"/>
        <v>-28.180070576065805</v>
      </c>
      <c r="AE233" s="38">
        <f t="shared" si="308"/>
        <v>-79.251935244487001</v>
      </c>
      <c r="AG233">
        <f t="shared" si="357"/>
        <v>9</v>
      </c>
      <c r="AH233">
        <f t="shared" si="358"/>
        <v>180.42955923594582</v>
      </c>
      <c r="AI233" s="94">
        <f t="shared" si="257"/>
        <v>-8.9997470635975887</v>
      </c>
      <c r="AJ233" s="94">
        <f t="shared" si="258"/>
        <v>-6.7474374888395194E-2</v>
      </c>
      <c r="AK233" s="43"/>
      <c r="AP233" s="39">
        <v>0.79166666666666663</v>
      </c>
      <c r="AQ233">
        <f t="shared" si="335"/>
        <v>0</v>
      </c>
      <c r="AR233">
        <f t="shared" si="336"/>
        <v>244.49216482906846</v>
      </c>
      <c r="AT233">
        <f t="shared" si="337"/>
        <v>0</v>
      </c>
      <c r="AU233" s="38">
        <f t="shared" si="338"/>
        <v>252.35275863118574</v>
      </c>
      <c r="AW233">
        <f t="shared" si="339"/>
        <v>0</v>
      </c>
      <c r="AX233" s="38">
        <f t="shared" si="340"/>
        <v>265.17507281927288</v>
      </c>
      <c r="AZ233">
        <f t="shared" si="341"/>
        <v>0</v>
      </c>
      <c r="BA233" s="38">
        <f t="shared" si="342"/>
        <v>278.84719908743494</v>
      </c>
      <c r="BC233">
        <f t="shared" si="343"/>
        <v>0</v>
      </c>
      <c r="BD233" s="38">
        <f t="shared" si="344"/>
        <v>290.60605642965999</v>
      </c>
      <c r="BF233">
        <f t="shared" si="345"/>
        <v>0</v>
      </c>
      <c r="BG233" s="38">
        <f t="shared" si="346"/>
        <v>296.69906270241393</v>
      </c>
      <c r="BI233">
        <f t="shared" si="347"/>
        <v>0</v>
      </c>
      <c r="BJ233" s="38">
        <f t="shared" si="348"/>
        <v>242.9128608915928</v>
      </c>
      <c r="BK233" s="39">
        <v>0.79166666666666663</v>
      </c>
    </row>
    <row r="234" spans="1:90" x14ac:dyDescent="0.25">
      <c r="B234" s="39">
        <v>0.45833333333333298</v>
      </c>
      <c r="C234">
        <v>15</v>
      </c>
      <c r="D234" s="38">
        <f>+DEGREES(ASIN(COS(RADIANS(E226))*COS(RADIANS(D226))*COS(RADIANS(C234))+SIN(RADIANS(E226))*SIN(RADIANS(D226))))</f>
        <v>60.74191151210858</v>
      </c>
      <c r="E234" s="38">
        <f>180-DEGREES(ACOS((((SIN(RADIANS(D234)))*SIN(RADIANS(E226)))-SIN(RADIANS(D226)))/((COS(RADIANS(D234)))*COS(RADIANS(E226)))))</f>
        <v>148.02521829510778</v>
      </c>
      <c r="G234">
        <f t="shared" si="349"/>
        <v>2.925808848789142</v>
      </c>
      <c r="H234">
        <f t="shared" si="350"/>
        <v>-58.025218295107777</v>
      </c>
      <c r="I234" s="94">
        <f t="shared" si="351"/>
        <v>0</v>
      </c>
      <c r="J234" s="94">
        <f t="shared" si="352"/>
        <v>0</v>
      </c>
      <c r="K234" s="92"/>
      <c r="M234" s="39">
        <v>0.45833333333333298</v>
      </c>
      <c r="N234">
        <v>15</v>
      </c>
      <c r="O234" s="38">
        <f>+DEGREES(ASIN(COS(RADIANS(P226))*COS(RADIANS(O226))*COS(RADIANS(N234))+SIN(RADIANS(P226))*SIN(RADIANS(O226))))</f>
        <v>56.40536291527436</v>
      </c>
      <c r="P234" s="38">
        <f>180-DEGREES(ACOS((((SIN(RADIANS(O234)))*SIN(RADIANS(P226)))-SIN(RADIANS(O226)))/((COS(RADIANS(O234)))*COS(RADIANS(P226)))))</f>
        <v>152.11163440142451</v>
      </c>
      <c r="R234">
        <f t="shared" si="353"/>
        <v>3.359463708472564</v>
      </c>
      <c r="S234">
        <f t="shared" si="354"/>
        <v>-62.11163440142451</v>
      </c>
      <c r="T234" s="94">
        <f t="shared" si="355"/>
        <v>0</v>
      </c>
      <c r="U234" s="94">
        <f t="shared" si="356"/>
        <v>0</v>
      </c>
      <c r="AB234" s="39">
        <v>0.875</v>
      </c>
      <c r="AC234" s="38">
        <v>-135</v>
      </c>
      <c r="AD234" s="38">
        <f t="shared" si="249"/>
        <v>-41.824876300223799</v>
      </c>
      <c r="AE234" s="38">
        <f t="shared" si="308"/>
        <v>-71.599903159615053</v>
      </c>
      <c r="AG234">
        <f t="shared" si="357"/>
        <v>9</v>
      </c>
      <c r="AH234">
        <f t="shared" si="358"/>
        <v>180.42955923594582</v>
      </c>
      <c r="AI234" s="94">
        <f t="shared" si="257"/>
        <v>-8.9997470635975887</v>
      </c>
      <c r="AJ234" s="94">
        <f t="shared" si="258"/>
        <v>-6.7474374888395194E-2</v>
      </c>
      <c r="AK234" s="43"/>
      <c r="AP234" s="39">
        <v>0.83333333333333304</v>
      </c>
      <c r="AQ234">
        <f t="shared" si="335"/>
        <v>0</v>
      </c>
      <c r="AR234">
        <f t="shared" si="336"/>
        <v>244.49216482906846</v>
      </c>
      <c r="AT234">
        <f t="shared" si="337"/>
        <v>0</v>
      </c>
      <c r="AU234" s="38">
        <f t="shared" si="338"/>
        <v>252.35275863118574</v>
      </c>
      <c r="AW234">
        <f t="shared" si="339"/>
        <v>0</v>
      </c>
      <c r="AX234" s="38">
        <f t="shared" si="340"/>
        <v>265.17507281927288</v>
      </c>
      <c r="AZ234">
        <f t="shared" si="341"/>
        <v>0</v>
      </c>
      <c r="BA234" s="38">
        <f t="shared" si="342"/>
        <v>278.84719908743494</v>
      </c>
      <c r="BC234">
        <f t="shared" si="343"/>
        <v>0</v>
      </c>
      <c r="BD234" s="38">
        <f t="shared" si="344"/>
        <v>290.60605642965999</v>
      </c>
      <c r="BF234">
        <f t="shared" si="345"/>
        <v>0</v>
      </c>
      <c r="BG234" s="38">
        <f t="shared" si="346"/>
        <v>296.69906270241393</v>
      </c>
      <c r="BI234">
        <f t="shared" si="347"/>
        <v>0</v>
      </c>
      <c r="BJ234" s="38">
        <f t="shared" si="348"/>
        <v>242.9128608915928</v>
      </c>
      <c r="BK234" s="39">
        <v>0.83333333333333304</v>
      </c>
    </row>
    <row r="235" spans="1:90" x14ac:dyDescent="0.25">
      <c r="B235" s="39">
        <v>0.5</v>
      </c>
      <c r="C235" s="38">
        <v>0</v>
      </c>
      <c r="D235" s="38">
        <f>+DEGREES(ASIN(COS(RADIANS(E226))*COS(RADIANS(D226))*COS(RADIANS(C235))+SIN(RADIANS(E226))*SIN(RADIANS(D226))))</f>
        <v>64.596346798145674</v>
      </c>
      <c r="E235" s="38">
        <f>+IF(E226&gt;=0,180,0)</f>
        <v>180</v>
      </c>
      <c r="G235">
        <f t="shared" si="349"/>
        <v>2.5403653201854324</v>
      </c>
      <c r="H235">
        <f t="shared" si="350"/>
        <v>-90</v>
      </c>
      <c r="I235" s="94">
        <f t="shared" si="351"/>
        <v>0</v>
      </c>
      <c r="J235" s="94">
        <f t="shared" si="352"/>
        <v>0</v>
      </c>
      <c r="K235" s="92"/>
      <c r="M235" s="39">
        <v>0.5</v>
      </c>
      <c r="N235" s="38">
        <v>0</v>
      </c>
      <c r="O235" s="38">
        <f>+DEGREES(ASIN(COS(RADIANS(P226))*COS(RADIANS(O226))*COS(RADIANS(N235))+SIN(RADIANS(P226))*SIN(RADIANS(O226))))</f>
        <v>59.596346798145696</v>
      </c>
      <c r="P235" s="38">
        <f>+IF(P226&gt;=0,180,0)</f>
        <v>180</v>
      </c>
      <c r="R235">
        <f t="shared" si="353"/>
        <v>3.0403653201854306</v>
      </c>
      <c r="S235">
        <f t="shared" si="354"/>
        <v>-90</v>
      </c>
      <c r="T235" s="94">
        <f t="shared" si="355"/>
        <v>0</v>
      </c>
      <c r="U235" s="94">
        <f t="shared" si="356"/>
        <v>0</v>
      </c>
      <c r="AB235" s="39">
        <v>0.91666666666666696</v>
      </c>
      <c r="AC235" s="38">
        <v>-150</v>
      </c>
      <c r="AD235" s="38">
        <f t="shared" si="249"/>
        <v>-54.704901794267855</v>
      </c>
      <c r="AE235" s="38">
        <f t="shared" si="308"/>
        <v>-59.922480900261576</v>
      </c>
      <c r="AG235">
        <f t="shared" si="357"/>
        <v>9</v>
      </c>
      <c r="AH235">
        <f t="shared" si="358"/>
        <v>180.42955923594582</v>
      </c>
      <c r="AI235" s="94">
        <f t="shared" si="257"/>
        <v>-8.9997470635975887</v>
      </c>
      <c r="AJ235" s="94">
        <f t="shared" si="258"/>
        <v>-6.7474374888395194E-2</v>
      </c>
      <c r="AK235" s="43"/>
      <c r="AP235" s="39">
        <v>0.875</v>
      </c>
      <c r="AQ235">
        <f t="shared" si="335"/>
        <v>0</v>
      </c>
      <c r="AR235">
        <f t="shared" si="336"/>
        <v>244.49216482906846</v>
      </c>
      <c r="AT235">
        <f t="shared" si="337"/>
        <v>0</v>
      </c>
      <c r="AU235" s="38">
        <f t="shared" si="338"/>
        <v>252.35275863118574</v>
      </c>
      <c r="AW235">
        <f t="shared" si="339"/>
        <v>0</v>
      </c>
      <c r="AX235" s="38">
        <f t="shared" si="340"/>
        <v>265.17507281927288</v>
      </c>
      <c r="AZ235">
        <f t="shared" si="341"/>
        <v>0</v>
      </c>
      <c r="BA235" s="38">
        <f t="shared" si="342"/>
        <v>278.84719908743494</v>
      </c>
      <c r="BC235">
        <f t="shared" si="343"/>
        <v>0</v>
      </c>
      <c r="BD235" s="38">
        <f t="shared" si="344"/>
        <v>290.60605642965999</v>
      </c>
      <c r="BF235">
        <f t="shared" si="345"/>
        <v>0</v>
      </c>
      <c r="BG235" s="38">
        <f t="shared" si="346"/>
        <v>296.69906270241393</v>
      </c>
      <c r="BI235">
        <f t="shared" si="347"/>
        <v>0</v>
      </c>
      <c r="BJ235" s="38">
        <f t="shared" si="348"/>
        <v>242.9128608915928</v>
      </c>
      <c r="BK235" s="39">
        <v>0.875</v>
      </c>
    </row>
    <row r="236" spans="1:90" x14ac:dyDescent="0.25">
      <c r="B236" s="39">
        <v>0.54166666666666696</v>
      </c>
      <c r="C236">
        <v>-15</v>
      </c>
      <c r="D236" s="38">
        <f>+DEGREES(ASIN(COS(RADIANS(E226))*COS(RADIANS(D226))*COS(RADIANS(C236))+SIN(RADIANS(E226))*SIN(RADIANS(D226))))</f>
        <v>60.74191151210858</v>
      </c>
      <c r="E236" s="38">
        <f>-(180-DEGREES(ACOS((((SIN(RADIANS(D236)))*SIN(RADIANS(E226)))-SIN(RADIANS(D226)))/((COS(RADIANS(D236)))*COS(RADIANS(E226))))))</f>
        <v>-148.02521829510778</v>
      </c>
      <c r="G236">
        <f t="shared" si="349"/>
        <v>2.925808848789142</v>
      </c>
      <c r="H236">
        <f t="shared" si="350"/>
        <v>238.02521829510778</v>
      </c>
      <c r="I236" s="94">
        <f t="shared" si="351"/>
        <v>0</v>
      </c>
      <c r="J236" s="94">
        <f t="shared" si="352"/>
        <v>0</v>
      </c>
      <c r="K236" s="92"/>
      <c r="M236" s="39">
        <v>0.54166666666666696</v>
      </c>
      <c r="N236">
        <v>-15</v>
      </c>
      <c r="O236" s="38">
        <f>+DEGREES(ASIN(COS(RADIANS(P226))*COS(RADIANS(O226))*COS(RADIANS(N236))+SIN(RADIANS(P226))*SIN(RADIANS(O226))))</f>
        <v>56.40536291527436</v>
      </c>
      <c r="P236" s="38">
        <f>-(180-DEGREES(ACOS((((SIN(RADIANS(O236)))*SIN(RADIANS(P226)))-SIN(RADIANS(O226)))/((COS(RADIANS(O236)))*COS(RADIANS(P226))))))</f>
        <v>-152.11163440142451</v>
      </c>
      <c r="R236">
        <f t="shared" si="353"/>
        <v>3.359463708472564</v>
      </c>
      <c r="S236">
        <f t="shared" si="354"/>
        <v>242.11163440142451</v>
      </c>
      <c r="T236" s="94">
        <f t="shared" si="355"/>
        <v>0</v>
      </c>
      <c r="U236" s="94">
        <f t="shared" si="356"/>
        <v>0</v>
      </c>
      <c r="AB236" s="39">
        <v>0.95833333333333304</v>
      </c>
      <c r="AC236" s="38">
        <v>-165</v>
      </c>
      <c r="AD236" s="38">
        <f t="shared" si="249"/>
        <v>-65.513697539251424</v>
      </c>
      <c r="AE236" s="38">
        <f t="shared" si="308"/>
        <v>-38.64064063903524</v>
      </c>
      <c r="AG236">
        <f t="shared" si="357"/>
        <v>9</v>
      </c>
      <c r="AH236">
        <f t="shared" si="358"/>
        <v>180.42955923594582</v>
      </c>
      <c r="AI236" s="94">
        <f t="shared" si="257"/>
        <v>-8.9997470635975887</v>
      </c>
      <c r="AJ236" s="94">
        <f t="shared" si="258"/>
        <v>-6.7474374888395194E-2</v>
      </c>
      <c r="AK236" s="43"/>
      <c r="AP236" s="39">
        <v>0.91666666666666696</v>
      </c>
      <c r="AQ236">
        <f t="shared" si="335"/>
        <v>0</v>
      </c>
      <c r="AR236">
        <f t="shared" si="336"/>
        <v>244.49216482906846</v>
      </c>
      <c r="AT236">
        <f t="shared" si="337"/>
        <v>0</v>
      </c>
      <c r="AU236" s="38">
        <f t="shared" si="338"/>
        <v>252.35275863118574</v>
      </c>
      <c r="AW236">
        <f t="shared" si="339"/>
        <v>0</v>
      </c>
      <c r="AX236" s="38">
        <f t="shared" si="340"/>
        <v>265.17507281927288</v>
      </c>
      <c r="AZ236">
        <f t="shared" si="341"/>
        <v>0</v>
      </c>
      <c r="BA236" s="38">
        <f t="shared" si="342"/>
        <v>278.84719908743494</v>
      </c>
      <c r="BC236">
        <f t="shared" si="343"/>
        <v>0</v>
      </c>
      <c r="BD236" s="38">
        <f t="shared" si="344"/>
        <v>290.60605642965999</v>
      </c>
      <c r="BF236">
        <f t="shared" si="345"/>
        <v>0</v>
      </c>
      <c r="BG236" s="38">
        <f t="shared" si="346"/>
        <v>296.69906270241393</v>
      </c>
      <c r="BI236">
        <f t="shared" si="347"/>
        <v>0</v>
      </c>
      <c r="BJ236" s="38">
        <f t="shared" si="348"/>
        <v>242.9128608915928</v>
      </c>
      <c r="BK236" s="39">
        <v>0.91666666666666696</v>
      </c>
    </row>
    <row r="237" spans="1:90" x14ac:dyDescent="0.25">
      <c r="B237" s="39">
        <v>0.58333333333333304</v>
      </c>
      <c r="C237" s="38">
        <v>-30</v>
      </c>
      <c r="D237" s="38">
        <f>+DEGREES(ASIN(COS(RADIANS(E226))*COS(RADIANS(D226))*COS(RADIANS(C237))+SIN(RADIANS(E226))*SIN(RADIANS(D226))))</f>
        <v>51.433833007078441</v>
      </c>
      <c r="E237" s="38">
        <f>-(180-DEGREES(ACOS((((SIN(RADIANS(D237)))*SIN(RADIANS(E226)))-SIN(RADIANS(D226)))/((COS(RADIANS(D237)))*COS(RADIANS(E226))))))</f>
        <v>-126.67750738894603</v>
      </c>
      <c r="G237">
        <f t="shared" si="349"/>
        <v>3.8566166992921556</v>
      </c>
      <c r="H237">
        <f t="shared" si="350"/>
        <v>216.67750738894603</v>
      </c>
      <c r="I237" s="94">
        <f t="shared" si="351"/>
        <v>0</v>
      </c>
      <c r="J237" s="94">
        <f t="shared" si="352"/>
        <v>0</v>
      </c>
      <c r="K237" s="92"/>
      <c r="M237" s="39">
        <v>0.58333333333333304</v>
      </c>
      <c r="N237" s="38">
        <v>-30</v>
      </c>
      <c r="O237" s="38">
        <f>+DEGREES(ASIN(COS(RADIANS(P226))*COS(RADIANS(O226))*COS(RADIANS(N237))+SIN(RADIANS(P226))*SIN(RADIANS(O226))))</f>
        <v>48.284559002731697</v>
      </c>
      <c r="P237" s="38">
        <f>-(180-DEGREES(ACOS((((SIN(RADIANS(O237)))*SIN(RADIANS(P226)))-SIN(RADIANS(O226)))/((COS(RADIANS(O237)))*COS(RADIANS(P226))))))</f>
        <v>-131.29050984657982</v>
      </c>
      <c r="R237">
        <f t="shared" si="353"/>
        <v>4.1715440997268303</v>
      </c>
      <c r="S237">
        <f t="shared" si="354"/>
        <v>221.29050984657982</v>
      </c>
      <c r="T237" s="94">
        <f t="shared" si="355"/>
        <v>0</v>
      </c>
      <c r="U237" s="94">
        <f t="shared" si="356"/>
        <v>0</v>
      </c>
      <c r="AB237" s="39">
        <v>1</v>
      </c>
      <c r="AC237" s="38">
        <v>-180</v>
      </c>
      <c r="AD237" s="38">
        <v>0</v>
      </c>
      <c r="AE237" s="38">
        <v>-90</v>
      </c>
      <c r="AG237">
        <f t="shared" si="357"/>
        <v>9</v>
      </c>
      <c r="AH237">
        <f t="shared" si="358"/>
        <v>180</v>
      </c>
      <c r="AI237" s="94">
        <f t="shared" si="257"/>
        <v>-9</v>
      </c>
      <c r="AJ237" s="94">
        <f t="shared" si="258"/>
        <v>1.102633609417758E-15</v>
      </c>
      <c r="AK237" s="43"/>
      <c r="AP237" s="39">
        <v>0.95833333333333304</v>
      </c>
      <c r="AQ237">
        <f t="shared" si="335"/>
        <v>0</v>
      </c>
      <c r="AR237">
        <f t="shared" si="336"/>
        <v>244.49216482906846</v>
      </c>
      <c r="AT237">
        <f t="shared" si="337"/>
        <v>0</v>
      </c>
      <c r="AU237" s="38">
        <f t="shared" si="338"/>
        <v>252.35275863118574</v>
      </c>
      <c r="AW237">
        <f t="shared" si="339"/>
        <v>0</v>
      </c>
      <c r="AX237" s="38">
        <f t="shared" si="340"/>
        <v>265.17507281927288</v>
      </c>
      <c r="AZ237">
        <f t="shared" si="341"/>
        <v>0</v>
      </c>
      <c r="BA237" s="38">
        <f t="shared" si="342"/>
        <v>278.84719908743494</v>
      </c>
      <c r="BC237">
        <f t="shared" si="343"/>
        <v>0</v>
      </c>
      <c r="BD237" s="38">
        <f t="shared" si="344"/>
        <v>290.60605642965999</v>
      </c>
      <c r="BF237">
        <f t="shared" si="345"/>
        <v>0</v>
      </c>
      <c r="BG237" s="38">
        <f t="shared" si="346"/>
        <v>296.69906270241393</v>
      </c>
      <c r="BI237">
        <f t="shared" si="347"/>
        <v>0</v>
      </c>
      <c r="BJ237" s="38">
        <f t="shared" si="348"/>
        <v>242.9128608915928</v>
      </c>
      <c r="BK237" s="39">
        <v>0.95833333333333304</v>
      </c>
    </row>
    <row r="238" spans="1:90" x14ac:dyDescent="0.25">
      <c r="B238" s="39">
        <v>0.625</v>
      </c>
      <c r="C238">
        <v>-45</v>
      </c>
      <c r="D238" s="38">
        <f>+DEGREES(ASIN(COS(RADIANS(E226))*COS(RADIANS(D226))*COS(RADIANS(C238))+SIN(RADIANS(E226))*SIN(RADIANS(D226))))</f>
        <v>39.632662002345647</v>
      </c>
      <c r="E238" s="38">
        <f>-(180-DEGREES(ACOS((((SIN(RADIANS(D238)))*SIN(RADIANS(E226)))-SIN(RADIANS(D226)))/((COS(RADIANS(D238)))*COS(RADIANS(E226))))))</f>
        <v>-113.34735462280341</v>
      </c>
      <c r="G238">
        <f t="shared" si="349"/>
        <v>5.0367337997654351</v>
      </c>
      <c r="H238">
        <f t="shared" si="350"/>
        <v>203.34735462280341</v>
      </c>
      <c r="I238" s="94">
        <f t="shared" si="351"/>
        <v>0</v>
      </c>
      <c r="J238" s="94">
        <f t="shared" si="352"/>
        <v>0</v>
      </c>
      <c r="K238" s="92"/>
      <c r="M238" s="39">
        <v>0.625</v>
      </c>
      <c r="N238">
        <v>-45</v>
      </c>
      <c r="O238" s="38">
        <f>+DEGREES(ASIN(COS(RADIANS(P226))*COS(RADIANS(O226))*COS(RADIANS(N238))+SIN(RADIANS(P226))*SIN(RADIANS(O226))))</f>
        <v>37.505293910382669</v>
      </c>
      <c r="P238" s="38">
        <f>-(180-DEGREES(ACOS((((SIN(RADIANS(O238)))*SIN(RADIANS(P226)))-SIN(RADIANS(O226)))/((COS(RADIANS(O238)))*COS(RADIANS(P226))))))</f>
        <v>-116.9591888957782</v>
      </c>
      <c r="R238">
        <f t="shared" si="353"/>
        <v>5.2494706089617331</v>
      </c>
      <c r="S238">
        <f t="shared" si="354"/>
        <v>206.9591888957782</v>
      </c>
      <c r="T238" s="94">
        <f t="shared" si="355"/>
        <v>0</v>
      </c>
      <c r="U238" s="94">
        <f t="shared" si="356"/>
        <v>0</v>
      </c>
      <c r="AB238" s="39">
        <v>1.0416666666666701</v>
      </c>
      <c r="AC238" s="38">
        <v>-195</v>
      </c>
      <c r="AD238" s="38">
        <f>+DEGREES(ASIN(COS(RADIANS($AE$174))*COS(RADIANS($AD$174))*COS(RADIANS(AC238))+SIN(RADIANS($AE$174))*SIN(RADIANS($AD$174))))</f>
        <v>-65.513697539251453</v>
      </c>
      <c r="AE238" s="38">
        <f>-(180-DEGREES(ACOS((((SIN(RADIANS(AD238)))*SIN(RADIANS($AE$174)))-SIN(RADIANS($AD$174)))/((COS(RADIANS(AD238)))*COS(RADIANS($AE$174))))))</f>
        <v>-38.640640639035183</v>
      </c>
      <c r="AG238">
        <f t="shared" si="357"/>
        <v>9</v>
      </c>
      <c r="AH238">
        <f t="shared" si="358"/>
        <v>180.42955923594582</v>
      </c>
      <c r="AI238" s="94">
        <f t="shared" si="257"/>
        <v>-8.9997470635975887</v>
      </c>
      <c r="AJ238" s="94">
        <f t="shared" si="258"/>
        <v>-6.7474374888395194E-2</v>
      </c>
      <c r="AK238" s="43"/>
    </row>
    <row r="239" spans="1:90" x14ac:dyDescent="0.25">
      <c r="B239" s="39">
        <v>0.66666666666666696</v>
      </c>
      <c r="C239" s="38">
        <v>-60</v>
      </c>
      <c r="D239" s="38">
        <f>+DEGREES(ASIN(COS(RADIANS(E226))*COS(RADIANS(D226))*COS(RADIANS(C239))+SIN(RADIANS(E226))*SIN(RADIANS(D226))))</f>
        <v>26.754289542312229</v>
      </c>
      <c r="E239" s="38">
        <f>-(180-DEGREES(ACOS((((SIN(RADIANS(D239)))*SIN(RADIANS(E226)))-SIN(RADIANS(D226)))/((COS(RADIANS(D239)))*COS(RADIANS(E226))))))</f>
        <v>-104.11018703457104</v>
      </c>
      <c r="G239">
        <f t="shared" si="349"/>
        <v>6.3245710457687769</v>
      </c>
      <c r="H239">
        <f t="shared" si="350"/>
        <v>194.11018703457103</v>
      </c>
      <c r="I239" s="94">
        <f t="shared" si="351"/>
        <v>0</v>
      </c>
      <c r="J239" s="94">
        <f t="shared" si="352"/>
        <v>0</v>
      </c>
      <c r="M239" s="39">
        <v>0.66666666666666696</v>
      </c>
      <c r="N239" s="38">
        <v>-60</v>
      </c>
      <c r="O239" s="38">
        <f>+DEGREES(ASIN(COS(RADIANS(P226))*COS(RADIANS(O226))*COS(RADIANS(N239))+SIN(RADIANS(P226))*SIN(RADIANS(O226))))</f>
        <v>25.434529047364645</v>
      </c>
      <c r="P239" s="38">
        <f>-(180-DEGREES(ACOS((((SIN(RADIANS(O239)))*SIN(RADIANS(P226)))-SIN(RADIANS(O226)))/((COS(RADIANS(O239)))*COS(RADIANS(P226))))))</f>
        <v>-106.4740194500216</v>
      </c>
      <c r="R239">
        <f t="shared" si="353"/>
        <v>6.4565470952635353</v>
      </c>
      <c r="S239">
        <f t="shared" si="354"/>
        <v>196.47401945002161</v>
      </c>
      <c r="T239" s="94">
        <f t="shared" si="355"/>
        <v>0</v>
      </c>
      <c r="U239" s="94">
        <f t="shared" si="356"/>
        <v>0</v>
      </c>
      <c r="AC239" s="319" t="s">
        <v>89</v>
      </c>
      <c r="AD239" s="319"/>
      <c r="AE239" s="319" t="s">
        <v>98</v>
      </c>
      <c r="AF239" s="319" t="s">
        <v>97</v>
      </c>
      <c r="AG239" s="319" t="s">
        <v>96</v>
      </c>
      <c r="AH239" s="319" t="s">
        <v>95</v>
      </c>
      <c r="AQ239" s="320">
        <v>4.1666666666666664E-2</v>
      </c>
      <c r="AR239" s="321"/>
      <c r="AS239" s="320">
        <v>8.3333333333333301E-2</v>
      </c>
      <c r="AT239" s="321"/>
      <c r="AU239" s="320">
        <v>0.125</v>
      </c>
      <c r="AV239" s="321"/>
      <c r="AW239" s="320">
        <v>0.16666666666666699</v>
      </c>
      <c r="AX239" s="321"/>
      <c r="AY239" s="320">
        <v>0.20833333333333301</v>
      </c>
      <c r="AZ239" s="321"/>
      <c r="BA239" s="320">
        <v>0.25</v>
      </c>
      <c r="BB239" s="321"/>
      <c r="BC239" s="320">
        <v>0.29166666666666702</v>
      </c>
      <c r="BD239" s="321"/>
      <c r="BE239" s="320">
        <v>0.33333333333333298</v>
      </c>
      <c r="BF239" s="321"/>
      <c r="BG239" s="320">
        <v>0.375</v>
      </c>
      <c r="BH239" s="321"/>
      <c r="BI239" s="320">
        <v>0.41666666666666702</v>
      </c>
      <c r="BJ239" s="321"/>
      <c r="BK239" s="320">
        <v>0.45833333333333298</v>
      </c>
      <c r="BL239" s="321"/>
      <c r="BM239" s="320">
        <v>0.5</v>
      </c>
      <c r="BN239" s="321"/>
      <c r="BO239" s="320">
        <v>0.5</v>
      </c>
      <c r="BP239" s="321"/>
      <c r="BQ239" s="320">
        <v>0.54166666666666696</v>
      </c>
      <c r="BR239" s="321"/>
      <c r="BS239" s="320">
        <v>0.58333333333333404</v>
      </c>
      <c r="BT239" s="321"/>
      <c r="BU239" s="320">
        <v>0.625000000000001</v>
      </c>
      <c r="BV239" s="321"/>
      <c r="BW239" s="320">
        <v>0.66666666666666796</v>
      </c>
      <c r="BX239" s="321"/>
      <c r="BY239" s="320">
        <v>0.70833333333333504</v>
      </c>
      <c r="BZ239" s="321"/>
      <c r="CA239" s="320">
        <v>0.750000000000002</v>
      </c>
      <c r="CB239" s="321"/>
      <c r="CC239" s="320">
        <v>0.79166666666666896</v>
      </c>
      <c r="CD239" s="321"/>
      <c r="CE239" s="320">
        <v>0.83333333333333703</v>
      </c>
      <c r="CF239" s="321"/>
      <c r="CG239" s="320">
        <v>0.875000000000004</v>
      </c>
      <c r="CH239" s="321"/>
      <c r="CI239" s="320">
        <v>0.91666666666666996</v>
      </c>
      <c r="CJ239" s="321"/>
      <c r="CK239" s="320">
        <v>0.95833333333333703</v>
      </c>
      <c r="CL239" s="321"/>
    </row>
    <row r="240" spans="1:90" x14ac:dyDescent="0.25">
      <c r="B240" s="39">
        <v>0.70833333333333404</v>
      </c>
      <c r="C240">
        <v>-75</v>
      </c>
      <c r="D240" s="38">
        <f>+DEGREES(ASIN(COS(RADIANS(E226))*COS(RADIANS(D226))*COS(RADIANS(C240))+SIN(RADIANS(E226))*SIN(RADIANS(D226))))</f>
        <v>13.390496061053557</v>
      </c>
      <c r="E240" s="38">
        <f>-(180-DEGREES(ACOS((((SIN(RADIANS(D240)))*SIN(RADIANS(E226)))-SIN(RADIANS(D226)))/((COS(RADIANS(D240)))*COS(RADIANS(E226))))))</f>
        <v>-96.834333575565424</v>
      </c>
      <c r="G240">
        <f t="shared" si="349"/>
        <v>7.6609503938946446</v>
      </c>
      <c r="H240">
        <f t="shared" si="350"/>
        <v>186.83433357556544</v>
      </c>
      <c r="I240" s="94">
        <f t="shared" si="351"/>
        <v>0</v>
      </c>
      <c r="J240" s="94">
        <f t="shared" si="352"/>
        <v>0</v>
      </c>
      <c r="M240" s="39">
        <v>0.70833333333333404</v>
      </c>
      <c r="N240">
        <v>-75</v>
      </c>
      <c r="O240" s="38">
        <f>+DEGREES(ASIN(COS(RADIANS(P226))*COS(RADIANS(O226))*COS(RADIANS(N240))+SIN(RADIANS(P226))*SIN(RADIANS(O226))))</f>
        <v>12.745204221314955</v>
      </c>
      <c r="P240" s="38">
        <f>-(180-DEGREES(ACOS((((SIN(RADIANS(O240)))*SIN(RADIANS(P226)))-SIN(RADIANS(O226)))/((COS(RADIANS(O240)))*COS(RADIANS(P226))))))</f>
        <v>-97.985970411644061</v>
      </c>
      <c r="R240">
        <f t="shared" si="353"/>
        <v>7.725479577868505</v>
      </c>
      <c r="S240">
        <f t="shared" si="354"/>
        <v>187.98597041164408</v>
      </c>
      <c r="T240" s="94">
        <f t="shared" si="355"/>
        <v>0</v>
      </c>
      <c r="U240" s="94">
        <f t="shared" si="356"/>
        <v>0</v>
      </c>
      <c r="AC240" s="319"/>
      <c r="AD240" s="319"/>
      <c r="AE240" s="319"/>
      <c r="AF240" s="319"/>
      <c r="AG240" s="319"/>
      <c r="AH240" s="319"/>
      <c r="AQ240" s="315"/>
      <c r="AR240" s="315"/>
      <c r="AS240" s="315"/>
      <c r="AT240" s="315"/>
      <c r="AU240" s="315"/>
      <c r="AV240" s="315"/>
      <c r="AW240" s="315"/>
      <c r="AX240" s="315"/>
      <c r="AY240" s="315"/>
      <c r="AZ240" s="315"/>
      <c r="BA240" s="315"/>
      <c r="BB240" s="315"/>
      <c r="BC240" s="315"/>
      <c r="BD240" s="315"/>
      <c r="BE240" s="315"/>
      <c r="BF240" s="315"/>
      <c r="BG240" s="315"/>
      <c r="BH240" s="315"/>
      <c r="BI240" s="315"/>
      <c r="BJ240" s="315"/>
      <c r="BK240" s="315"/>
      <c r="BL240" s="315"/>
      <c r="BM240" s="315"/>
      <c r="BN240" s="315"/>
      <c r="BO240" s="315"/>
      <c r="BP240" s="315"/>
      <c r="BQ240" s="315"/>
      <c r="BR240" s="315"/>
      <c r="BS240" s="315"/>
      <c r="BT240" s="315"/>
      <c r="BU240" s="315"/>
      <c r="BV240" s="315"/>
      <c r="BW240" s="315"/>
      <c r="BX240" s="315"/>
      <c r="BY240" s="315"/>
      <c r="BZ240" s="315"/>
      <c r="CA240" s="315"/>
      <c r="CB240" s="315"/>
      <c r="CC240" s="315"/>
      <c r="CD240" s="315"/>
      <c r="CE240" s="315"/>
      <c r="CF240" s="315"/>
      <c r="CG240" s="315"/>
      <c r="CH240" s="315"/>
      <c r="CI240" s="315"/>
      <c r="CJ240" s="315"/>
      <c r="CK240" s="315"/>
      <c r="CL240" s="315"/>
    </row>
    <row r="241" spans="1:90" x14ac:dyDescent="0.25">
      <c r="B241" s="39">
        <v>0.75</v>
      </c>
      <c r="C241" s="38">
        <v>-90</v>
      </c>
      <c r="D241" s="38">
        <f>+DEGREES(ASIN(COS(RADIANS(E226))*COS(RADIANS(D226))*COS(RADIANS(C241))+SIN(RADIANS(E226))*SIN(RADIANS(D226))))</f>
        <v>-0.17059005539206051</v>
      </c>
      <c r="E241" s="38">
        <f>-(180-DEGREES(ACOS((((SIN(RADIANS(D241)))*SIN(RADIANS(E226)))-SIN(RADIANS(D226)))/((COS(RADIANS(D241)))*COS(RADIANS(E226))))))</f>
        <v>-90.365835121110862</v>
      </c>
      <c r="G241">
        <f t="shared" si="349"/>
        <v>9.0170590055392061</v>
      </c>
      <c r="H241">
        <f t="shared" si="350"/>
        <v>180.36583512111088</v>
      </c>
      <c r="I241" s="94">
        <f t="shared" si="351"/>
        <v>0</v>
      </c>
      <c r="J241" s="94">
        <f t="shared" si="352"/>
        <v>0</v>
      </c>
      <c r="M241" s="39">
        <v>0.75</v>
      </c>
      <c r="N241" s="38">
        <v>-90</v>
      </c>
      <c r="O241" s="38">
        <f>+DEGREES(ASIN(COS(RADIANS(P226))*COS(RADIANS(O226))*COS(RADIANS(N241))+SIN(RADIANS(P226))*SIN(RADIANS(O226))))</f>
        <v>-0.20182534876289174</v>
      </c>
      <c r="P241" s="38">
        <f>-(180-DEGREES(ACOS((((SIN(RADIANS(O241)))*SIN(RADIANS(P226)))-SIN(RADIANS(O226)))/((COS(RADIANS(O241)))*COS(RADIANS(P226))))))</f>
        <v>-90.349575372991453</v>
      </c>
      <c r="R241">
        <f t="shared" si="353"/>
        <v>9.0201825348762892</v>
      </c>
      <c r="S241">
        <f t="shared" si="354"/>
        <v>180.34957537299147</v>
      </c>
      <c r="T241" s="94">
        <f t="shared" si="355"/>
        <v>0</v>
      </c>
      <c r="U241" s="94">
        <f t="shared" si="356"/>
        <v>0</v>
      </c>
      <c r="Z241" s="42"/>
      <c r="AB241" s="39">
        <v>0.25</v>
      </c>
      <c r="AC241">
        <v>9</v>
      </c>
      <c r="AD241">
        <f t="shared" ref="AD241:AD265" si="359">+$AH$172</f>
        <v>0</v>
      </c>
      <c r="AE241" s="94">
        <f t="shared" ref="AE241:AE289" si="360">+AF241</f>
        <v>9.0136081270281014</v>
      </c>
      <c r="AF241">
        <f t="shared" ref="AF241:AF289" si="361">+AI183</f>
        <v>9.0136081270281014</v>
      </c>
      <c r="AG241" s="94">
        <f t="shared" ref="AG241:AG289" si="362">+AC241*SIN(RADIANS(AD241))</f>
        <v>0</v>
      </c>
      <c r="AH241">
        <f t="shared" ref="AH241:AH289" si="363">+AJ183</f>
        <v>-5.9672941159190536E-2</v>
      </c>
      <c r="AQ241" s="315"/>
      <c r="AR241" s="315"/>
      <c r="AS241" s="315"/>
      <c r="AT241" s="315"/>
      <c r="AU241" s="315"/>
      <c r="AV241" s="315"/>
      <c r="AW241" s="315"/>
      <c r="AX241" s="315"/>
      <c r="AY241" s="315"/>
      <c r="AZ241" s="315"/>
      <c r="BA241" s="315"/>
      <c r="BB241" s="315"/>
      <c r="BC241" s="315"/>
      <c r="BD241" s="315"/>
      <c r="BE241" s="315"/>
      <c r="BF241" s="315"/>
      <c r="BG241" s="315"/>
      <c r="BH241" s="315"/>
      <c r="BI241" s="315"/>
      <c r="BJ241" s="315"/>
      <c r="BK241" s="315"/>
      <c r="BL241" s="315"/>
      <c r="BM241" s="315"/>
      <c r="BN241" s="315"/>
      <c r="BO241" s="315"/>
      <c r="BP241" s="315"/>
      <c r="BQ241" s="315"/>
      <c r="BR241" s="315"/>
      <c r="BS241" s="315"/>
      <c r="BT241" s="315"/>
      <c r="BU241" s="315"/>
      <c r="BV241" s="315"/>
      <c r="BW241" s="315"/>
      <c r="BX241" s="315"/>
      <c r="BY241" s="315"/>
      <c r="BZ241" s="315"/>
      <c r="CA241" s="315"/>
      <c r="CB241" s="315"/>
      <c r="CC241" s="315"/>
      <c r="CD241" s="315"/>
      <c r="CE241" s="315"/>
      <c r="CF241" s="315"/>
      <c r="CG241" s="315"/>
      <c r="CH241" s="315"/>
      <c r="CI241" s="315"/>
      <c r="CJ241" s="315"/>
      <c r="CK241" s="315"/>
      <c r="CL241" s="315"/>
    </row>
    <row r="242" spans="1:90" x14ac:dyDescent="0.25">
      <c r="AA242">
        <v>1</v>
      </c>
      <c r="AB242" s="39">
        <v>0.26041666666666669</v>
      </c>
      <c r="AC242">
        <f t="shared" ref="AC242:AC265" si="364">+AC241-9/24</f>
        <v>8.625</v>
      </c>
      <c r="AD242">
        <f t="shared" si="359"/>
        <v>0</v>
      </c>
      <c r="AE242" s="94">
        <f t="shared" si="360"/>
        <v>8.6578314246765178</v>
      </c>
      <c r="AF242">
        <f t="shared" si="361"/>
        <v>8.6578314246765178</v>
      </c>
      <c r="AG242" s="94">
        <f t="shared" si="362"/>
        <v>0</v>
      </c>
      <c r="AH242">
        <f t="shared" si="363"/>
        <v>-0.25152477617433383</v>
      </c>
      <c r="AI242">
        <v>1</v>
      </c>
      <c r="AP242" t="s">
        <v>67</v>
      </c>
      <c r="AQ242">
        <f>+BI214</f>
        <v>0</v>
      </c>
      <c r="AR242">
        <f>+BJ214</f>
        <v>117.0871391084072</v>
      </c>
      <c r="AS242">
        <f>+BI215</f>
        <v>0</v>
      </c>
      <c r="AT242">
        <f>+BJ215</f>
        <v>117.0871391084072</v>
      </c>
      <c r="AU242">
        <f>+BI216</f>
        <v>0</v>
      </c>
      <c r="AV242">
        <f>+BJ216</f>
        <v>117.0871391084072</v>
      </c>
      <c r="AW242">
        <f>+BI217</f>
        <v>0</v>
      </c>
      <c r="AX242">
        <f>+BJ217</f>
        <v>117.0871391084072</v>
      </c>
      <c r="AY242">
        <f>+BI218</f>
        <v>0</v>
      </c>
      <c r="AZ242">
        <f>+BJ218</f>
        <v>117.0871391084072</v>
      </c>
      <c r="BA242">
        <f>+BI219</f>
        <v>0</v>
      </c>
      <c r="BB242">
        <f>+BJ219</f>
        <v>117.0871391084072</v>
      </c>
      <c r="BC242">
        <f>+BI220</f>
        <v>0.80777986614324049</v>
      </c>
      <c r="BD242">
        <f>+BJ220</f>
        <v>117.59582673339338</v>
      </c>
      <c r="BE242">
        <f>+BI221</f>
        <v>11.973998043852726</v>
      </c>
      <c r="BF242">
        <f>+BJ221</f>
        <v>125.69140900534735</v>
      </c>
      <c r="BG242">
        <f>+BI222</f>
        <v>21.932757611792816</v>
      </c>
      <c r="BH242">
        <f>+BJ222</f>
        <v>135.62743572218571</v>
      </c>
      <c r="BI242">
        <f>+BI223</f>
        <v>30.061756873161897</v>
      </c>
      <c r="BJ242">
        <f>+BJ223</f>
        <v>147.99477629228704</v>
      </c>
      <c r="BK242">
        <f>+BI224</f>
        <v>35.522989333110019</v>
      </c>
      <c r="BL242">
        <f>+BJ224</f>
        <v>163.03777709301244</v>
      </c>
      <c r="BM242">
        <f>+BI225</f>
        <v>37.47021715318634</v>
      </c>
      <c r="BN242">
        <f>+BJ225</f>
        <v>180</v>
      </c>
      <c r="BO242">
        <f>+BI226</f>
        <v>37.47021715318634</v>
      </c>
      <c r="BP242">
        <f>+BJ226</f>
        <v>180</v>
      </c>
      <c r="BQ242">
        <f>+BI227</f>
        <v>35.522989333110019</v>
      </c>
      <c r="BR242">
        <f>+BJ227</f>
        <v>196.96222290698756</v>
      </c>
      <c r="BS242">
        <f>+BI228</f>
        <v>30.061756873161897</v>
      </c>
      <c r="BT242">
        <f>+BJ228</f>
        <v>212.00522370771296</v>
      </c>
      <c r="BU242">
        <f>+BI229</f>
        <v>21.932757611792816</v>
      </c>
      <c r="BV242">
        <f>+BJ229</f>
        <v>224.37256427781429</v>
      </c>
      <c r="BW242">
        <f>+BI230</f>
        <v>11.973998043852726</v>
      </c>
      <c r="BX242">
        <f>+BJ230</f>
        <v>234.30859099465266</v>
      </c>
      <c r="BY242">
        <f>+BI231</f>
        <v>0.80777986614324049</v>
      </c>
      <c r="BZ242">
        <f>+BJ231</f>
        <v>242.40417326660662</v>
      </c>
      <c r="CA242">
        <f>+BI232</f>
        <v>0</v>
      </c>
      <c r="CB242">
        <f>+BJ232</f>
        <v>242.9128608915928</v>
      </c>
      <c r="CC242">
        <f>+BI233</f>
        <v>0</v>
      </c>
      <c r="CD242">
        <f>+BJ233</f>
        <v>242.9128608915928</v>
      </c>
      <c r="CE242">
        <f>+BI234</f>
        <v>0</v>
      </c>
      <c r="CF242">
        <f>+BJ234</f>
        <v>242.9128608915928</v>
      </c>
      <c r="CG242">
        <f>+BI235</f>
        <v>0</v>
      </c>
      <c r="CH242">
        <f>+BJ235</f>
        <v>242.9128608915928</v>
      </c>
      <c r="CI242">
        <f>+BI236</f>
        <v>0</v>
      </c>
      <c r="CJ242">
        <f>+BJ236</f>
        <v>242.9128608915928</v>
      </c>
      <c r="CK242">
        <f>+BI237</f>
        <v>0</v>
      </c>
      <c r="CL242">
        <f>+BJ237</f>
        <v>242.9128608915928</v>
      </c>
    </row>
    <row r="243" spans="1:90" x14ac:dyDescent="0.25">
      <c r="AB243" s="39">
        <v>0.27083333333333298</v>
      </c>
      <c r="AC243">
        <f t="shared" si="364"/>
        <v>8.25</v>
      </c>
      <c r="AD243">
        <f t="shared" si="359"/>
        <v>0</v>
      </c>
      <c r="AE243" s="94">
        <f t="shared" si="360"/>
        <v>8.2983084671054144</v>
      </c>
      <c r="AF243">
        <f t="shared" si="361"/>
        <v>8.2983084671054144</v>
      </c>
      <c r="AG243" s="94">
        <f t="shared" si="362"/>
        <v>0</v>
      </c>
      <c r="AH243">
        <f t="shared" si="363"/>
        <v>-0.42906610830579422</v>
      </c>
      <c r="AP243" t="s">
        <v>53</v>
      </c>
      <c r="AQ243">
        <f>+AQ214</f>
        <v>0</v>
      </c>
      <c r="AR243">
        <f>+AR214</f>
        <v>115.50783517093154</v>
      </c>
      <c r="AS243">
        <f>+AQ215</f>
        <v>0</v>
      </c>
      <c r="AT243">
        <f>+AR215</f>
        <v>115.50783517093154</v>
      </c>
      <c r="AU243">
        <f>+AQ216</f>
        <v>0</v>
      </c>
      <c r="AV243">
        <f>+AR216</f>
        <v>115.50783517093154</v>
      </c>
      <c r="AW243">
        <f>+AQ217</f>
        <v>0</v>
      </c>
      <c r="AX243">
        <f>+AR217</f>
        <v>115.50783517093154</v>
      </c>
      <c r="AY243">
        <f>+AQ218</f>
        <v>0</v>
      </c>
      <c r="AZ243">
        <f>+AR218</f>
        <v>115.50783517093154</v>
      </c>
      <c r="BA243">
        <f>+AQ219</f>
        <v>0</v>
      </c>
      <c r="BB243">
        <f>+AR219</f>
        <v>115.50783517093154</v>
      </c>
      <c r="BC243">
        <f>+AQ220</f>
        <v>1.5268439307083672</v>
      </c>
      <c r="BD243">
        <f>+AR220</f>
        <v>116.4624458503213</v>
      </c>
      <c r="BE243">
        <f>+AQ221</f>
        <v>12.822214610282128</v>
      </c>
      <c r="BF243">
        <f>+AR221</f>
        <v>124.62657247743616</v>
      </c>
      <c r="BG243">
        <f>+AQ222</f>
        <v>22.930756425404709</v>
      </c>
      <c r="BH243">
        <f>+AR222</f>
        <v>134.65671961264201</v>
      </c>
      <c r="BI243">
        <f>+AQ223</f>
        <v>31.217808683018777</v>
      </c>
      <c r="BJ243">
        <f>+AR223</f>
        <v>147.20252877534776</v>
      </c>
      <c r="BK243">
        <f>+AQ224</f>
        <v>36.811263360071692</v>
      </c>
      <c r="BL243">
        <f>+AR224</f>
        <v>162.5719521238546</v>
      </c>
      <c r="BM243">
        <f>+AQ225</f>
        <v>38.812251187494631</v>
      </c>
      <c r="BN243">
        <f>+AR225</f>
        <v>180</v>
      </c>
      <c r="BO243">
        <f>+AQ226</f>
        <v>38.812251187494631</v>
      </c>
      <c r="BP243">
        <f>+AR226</f>
        <v>180</v>
      </c>
      <c r="BQ243">
        <f>+AQ227</f>
        <v>36.811263360071692</v>
      </c>
      <c r="BR243">
        <f>+AR227</f>
        <v>197.4280478761454</v>
      </c>
      <c r="BS243">
        <f>+AQ228</f>
        <v>31.217808683018777</v>
      </c>
      <c r="BT243">
        <f>+AR228</f>
        <v>212.79747122465224</v>
      </c>
      <c r="BU243">
        <f>+AQ229</f>
        <v>22.930756425404709</v>
      </c>
      <c r="BV243">
        <f>+AR229</f>
        <v>225.34328038735799</v>
      </c>
      <c r="BW243">
        <f>+AQ230</f>
        <v>12.822214610282128</v>
      </c>
      <c r="BX243">
        <f>+AR230</f>
        <v>235.37342752256384</v>
      </c>
      <c r="BY243">
        <f>+AQ231</f>
        <v>1.5268439307083672</v>
      </c>
      <c r="BZ243">
        <f>+AR231</f>
        <v>243.5375541496787</v>
      </c>
      <c r="CA243">
        <f>+AQ232</f>
        <v>0</v>
      </c>
      <c r="CB243">
        <f>+AR232</f>
        <v>244.49216482906846</v>
      </c>
      <c r="CC243">
        <f>+AQ233</f>
        <v>0</v>
      </c>
      <c r="CD243">
        <f>+AR233</f>
        <v>244.49216482906846</v>
      </c>
      <c r="CE243">
        <f>+AQ234</f>
        <v>0</v>
      </c>
      <c r="CF243">
        <f>+AR234</f>
        <v>244.49216482906846</v>
      </c>
      <c r="CG243">
        <f>+AQ235</f>
        <v>0</v>
      </c>
      <c r="CH243">
        <f>+AR235</f>
        <v>244.49216482906846</v>
      </c>
      <c r="CI243">
        <f>+AQ236</f>
        <v>0</v>
      </c>
      <c r="CJ243">
        <f>+AR236</f>
        <v>244.49216482906846</v>
      </c>
      <c r="CK243">
        <f>+AQ237</f>
        <v>0</v>
      </c>
      <c r="CL243">
        <f>+AR237</f>
        <v>244.49216482906846</v>
      </c>
    </row>
    <row r="244" spans="1:90" x14ac:dyDescent="0.25">
      <c r="A244" s="95" t="s">
        <v>92</v>
      </c>
      <c r="B244" s="95">
        <v>21</v>
      </c>
      <c r="C244" s="315"/>
      <c r="D244" s="315"/>
      <c r="E244" s="316"/>
      <c r="L244" s="95" t="s">
        <v>92</v>
      </c>
      <c r="M244" s="95">
        <v>21</v>
      </c>
      <c r="N244" s="315"/>
      <c r="O244" s="315"/>
      <c r="P244" s="316"/>
      <c r="AA244">
        <v>2</v>
      </c>
      <c r="AB244" s="39">
        <v>0.28125</v>
      </c>
      <c r="AC244">
        <f t="shared" si="364"/>
        <v>7.875</v>
      </c>
      <c r="AD244">
        <f t="shared" si="359"/>
        <v>0</v>
      </c>
      <c r="AE244" s="94">
        <f t="shared" si="360"/>
        <v>7.9355598390257569</v>
      </c>
      <c r="AF244">
        <f t="shared" si="361"/>
        <v>7.9355598390257569</v>
      </c>
      <c r="AG244" s="94">
        <f t="shared" si="362"/>
        <v>0</v>
      </c>
      <c r="AH244">
        <f t="shared" si="363"/>
        <v>-0.59343745533170145</v>
      </c>
      <c r="AI244">
        <v>2</v>
      </c>
      <c r="AP244" t="s">
        <v>57</v>
      </c>
      <c r="AQ244">
        <f>+AT214</f>
        <v>0</v>
      </c>
      <c r="AR244">
        <f>+AU214</f>
        <v>107.64724136881426</v>
      </c>
      <c r="AS244">
        <f>+AT215</f>
        <v>0</v>
      </c>
      <c r="AT244">
        <f>+AU215</f>
        <v>107.64724136881426</v>
      </c>
      <c r="AU244">
        <f>+AT216</f>
        <v>0</v>
      </c>
      <c r="AV244">
        <f>+AU216</f>
        <v>107.64724136881426</v>
      </c>
      <c r="AW244">
        <f>+AT217</f>
        <v>0</v>
      </c>
      <c r="AX244">
        <f>+AU217</f>
        <v>107.64724136881426</v>
      </c>
      <c r="AY244">
        <f>+AT218</f>
        <v>0</v>
      </c>
      <c r="AZ244">
        <f>+AU218</f>
        <v>107.64724136881426</v>
      </c>
      <c r="BA244">
        <f>+AT219</f>
        <v>0</v>
      </c>
      <c r="BB244">
        <f>+AU219</f>
        <v>107.64724136881426</v>
      </c>
      <c r="BC244">
        <f>+AT220</f>
        <v>5.1256761006130356</v>
      </c>
      <c r="BD244">
        <f>+AU220</f>
        <v>110.74796771639679</v>
      </c>
      <c r="BE244">
        <f>+AT221</f>
        <v>17.012874995336517</v>
      </c>
      <c r="BF244">
        <f>+AU221</f>
        <v>119.15629368068804</v>
      </c>
      <c r="BG244">
        <f>+AT222</f>
        <v>27.847371205928958</v>
      </c>
      <c r="BH244">
        <f>+AU222</f>
        <v>129.54363287993408</v>
      </c>
      <c r="BI244">
        <f>+AT223</f>
        <v>36.94444539822846</v>
      </c>
      <c r="BJ244">
        <f>+AU223</f>
        <v>142.89664703004638</v>
      </c>
      <c r="BK244">
        <f>+AT224</f>
        <v>43.2535093097095</v>
      </c>
      <c r="BL244">
        <f>+AU224</f>
        <v>159.96090838605289</v>
      </c>
      <c r="BM244">
        <f>+AT225</f>
        <v>45.556583423446973</v>
      </c>
      <c r="BN244">
        <f>+AU225</f>
        <v>180</v>
      </c>
      <c r="BO244">
        <f>+AT226</f>
        <v>45.556583423446973</v>
      </c>
      <c r="BP244">
        <f>+AU226</f>
        <v>180</v>
      </c>
      <c r="BQ244">
        <f>+AT227</f>
        <v>43.2535093097095</v>
      </c>
      <c r="BR244">
        <f>+AU227</f>
        <v>200.03909161394711</v>
      </c>
      <c r="BS244">
        <f>+AT228</f>
        <v>36.94444539822846</v>
      </c>
      <c r="BT244">
        <f>+AU228</f>
        <v>217.10335296995362</v>
      </c>
      <c r="BU244">
        <f>+AT229</f>
        <v>27.847371205928958</v>
      </c>
      <c r="BV244">
        <f>+AU229</f>
        <v>230.45636712006592</v>
      </c>
      <c r="BW244">
        <f>+AT230</f>
        <v>17.012874995336517</v>
      </c>
      <c r="BX244">
        <f>+AU230</f>
        <v>240.84370631931196</v>
      </c>
      <c r="BY244">
        <f>+AT231</f>
        <v>5.1256761006130356</v>
      </c>
      <c r="BZ244">
        <f>+AU231</f>
        <v>249.25203228360323</v>
      </c>
      <c r="CA244">
        <f>+AT232</f>
        <v>0</v>
      </c>
      <c r="CB244">
        <f>+AU232</f>
        <v>252.35275863118574</v>
      </c>
      <c r="CC244">
        <f>+AT233</f>
        <v>0</v>
      </c>
      <c r="CD244">
        <f>+AU233</f>
        <v>252.35275863118574</v>
      </c>
      <c r="CE244">
        <f>+AT234</f>
        <v>0</v>
      </c>
      <c r="CF244">
        <f>+AU234</f>
        <v>252.35275863118574</v>
      </c>
      <c r="CG244">
        <f>+AT235</f>
        <v>0</v>
      </c>
      <c r="CH244">
        <f>+AU235</f>
        <v>252.35275863118574</v>
      </c>
      <c r="CI244">
        <f>+AT236</f>
        <v>0</v>
      </c>
      <c r="CJ244">
        <f>+AU236</f>
        <v>252.35275863118574</v>
      </c>
      <c r="CK244">
        <f>+AT237</f>
        <v>0</v>
      </c>
      <c r="CL244">
        <f>+AU237</f>
        <v>252.35275863118574</v>
      </c>
    </row>
    <row r="245" spans="1:90" x14ac:dyDescent="0.25">
      <c r="A245" s="95" t="s">
        <v>91</v>
      </c>
      <c r="B245" s="95">
        <v>3</v>
      </c>
      <c r="C245" s="315"/>
      <c r="D245" s="315"/>
      <c r="E245" s="316"/>
      <c r="K245" s="92"/>
      <c r="L245" s="95" t="s">
        <v>91</v>
      </c>
      <c r="M245" s="95">
        <v>3</v>
      </c>
      <c r="N245" s="315"/>
      <c r="O245" s="315"/>
      <c r="P245" s="316"/>
      <c r="AB245" s="39">
        <v>0.29166666666666702</v>
      </c>
      <c r="AC245">
        <f t="shared" si="364"/>
        <v>7.5</v>
      </c>
      <c r="AD245">
        <f t="shared" si="359"/>
        <v>0</v>
      </c>
      <c r="AE245" s="94">
        <f t="shared" si="360"/>
        <v>7.5700217750763867</v>
      </c>
      <c r="AF245">
        <f t="shared" si="361"/>
        <v>7.5700217750763867</v>
      </c>
      <c r="AG245" s="94">
        <f t="shared" si="362"/>
        <v>0</v>
      </c>
      <c r="AH245">
        <f t="shared" si="363"/>
        <v>-0.74563107725843436</v>
      </c>
      <c r="AP245" t="s">
        <v>58</v>
      </c>
      <c r="AQ245">
        <f>+AW214</f>
        <v>0</v>
      </c>
      <c r="AR245">
        <f>+AX214</f>
        <v>94.824927180727116</v>
      </c>
      <c r="AS245">
        <f>+AW215</f>
        <v>0</v>
      </c>
      <c r="AT245">
        <f>+AX215</f>
        <v>94.824927180727116</v>
      </c>
      <c r="AU245">
        <f>+AW216</f>
        <v>0</v>
      </c>
      <c r="AV245">
        <f>+AX216</f>
        <v>94.824927180727116</v>
      </c>
      <c r="AW245">
        <f>+AW217</f>
        <v>0</v>
      </c>
      <c r="AX245">
        <f>+AX217</f>
        <v>94.824927180727116</v>
      </c>
      <c r="AY245">
        <f>+AW218</f>
        <v>0</v>
      </c>
      <c r="AZ245">
        <f>+AX218</f>
        <v>94.824927180727116</v>
      </c>
      <c r="BA245">
        <f>+AW219</f>
        <v>0</v>
      </c>
      <c r="BB245">
        <f>+AX219</f>
        <v>94.824927180727116</v>
      </c>
      <c r="BC245">
        <f>+AW220</f>
        <v>10.944236718611343</v>
      </c>
      <c r="BD245">
        <f>+AX220</f>
        <v>101.14015957211414</v>
      </c>
      <c r="BE245">
        <f>+AW221</f>
        <v>23.5820196394737</v>
      </c>
      <c r="BF245">
        <f>+AX221</f>
        <v>109.54442448396416</v>
      </c>
      <c r="BG245">
        <f>+AW222</f>
        <v>35.49071849161092</v>
      </c>
      <c r="BH245">
        <f>+AX222</f>
        <v>119.99048573125475</v>
      </c>
      <c r="BI245">
        <f>+AW223</f>
        <v>45.978655929743674</v>
      </c>
      <c r="BJ245">
        <f>+AX223</f>
        <v>134.1470799889712</v>
      </c>
      <c r="BK245">
        <f>+AW224</f>
        <v>53.721651477607679</v>
      </c>
      <c r="BL245">
        <f>+AX224</f>
        <v>154.13665034646286</v>
      </c>
      <c r="BM245">
        <f>+AW225</f>
        <v>56.704473564735594</v>
      </c>
      <c r="BN245">
        <f>+AX225</f>
        <v>180</v>
      </c>
      <c r="BO245">
        <f>+AW226</f>
        <v>56.704473564735594</v>
      </c>
      <c r="BP245">
        <f>+AX226</f>
        <v>180</v>
      </c>
      <c r="BQ245">
        <f>+AW227</f>
        <v>53.721651477607679</v>
      </c>
      <c r="BR245">
        <f>+AX227</f>
        <v>205.86334965353714</v>
      </c>
      <c r="BS245">
        <f>+AW228</f>
        <v>45.978655929743674</v>
      </c>
      <c r="BT245">
        <f>+AX228</f>
        <v>225.8529200110288</v>
      </c>
      <c r="BU245">
        <f>+AW229</f>
        <v>35.49071849161092</v>
      </c>
      <c r="BV245">
        <f>+AX229</f>
        <v>240.00951426874525</v>
      </c>
      <c r="BW245">
        <f>+AW230</f>
        <v>23.5820196394737</v>
      </c>
      <c r="BX245">
        <f>+AX230</f>
        <v>250.45557551603582</v>
      </c>
      <c r="BY245">
        <f>+AW231</f>
        <v>10.944236718611343</v>
      </c>
      <c r="BZ245">
        <f>+AX231</f>
        <v>258.85984042788584</v>
      </c>
      <c r="CA245">
        <f>+AW232</f>
        <v>0</v>
      </c>
      <c r="CB245">
        <f>+AX232</f>
        <v>265.17507281927288</v>
      </c>
      <c r="CC245">
        <f>+AW233</f>
        <v>0</v>
      </c>
      <c r="CD245">
        <f>+AX233</f>
        <v>265.17507281927288</v>
      </c>
      <c r="CE245">
        <f>+AW234</f>
        <v>0</v>
      </c>
      <c r="CF245">
        <f>+AX234</f>
        <v>265.17507281927288</v>
      </c>
      <c r="CG245">
        <f>+AW235</f>
        <v>0</v>
      </c>
      <c r="CH245">
        <f>+AX235</f>
        <v>265.17507281927288</v>
      </c>
      <c r="CI245">
        <f>+AW236</f>
        <v>0</v>
      </c>
      <c r="CJ245">
        <f>+AX236</f>
        <v>265.17507281927288</v>
      </c>
      <c r="CK245">
        <f>+AW237</f>
        <v>0</v>
      </c>
      <c r="CL245">
        <f>+AX237</f>
        <v>265.17507281927288</v>
      </c>
    </row>
    <row r="246" spans="1:90" x14ac:dyDescent="0.25">
      <c r="C246" s="93">
        <f>+IF(B245=$AI$63,B244,IF(B245=$AJ$63,$AI$64+B244,IF(B245=$AK$63,$AI$64+$AJ$64+B244,IF(B245=$AL$63,$AI$64+$AJ$64+$AK$64+B244,IF(B245=$AM$63,$AI$64+$AJ$64+$AK$64+$AL$64+B244,IF(B245=$AN$63,$AI$64+$AJ$64+$AK$64+$AL$64+$AM$64+B244,IF(B245=$AO$63,$AI$64+$AJ$64+$AK$64+$AL$64+$AM$64+$AN$64+B244,IF(B245=$AP$63,$AI$64+$AJ$64+$AK$64+$AL$64+$AM$64+$AN$64+$AO$64+B244,IF(B245=$AQ$63,$AI$64+$AJ$64+$AK$64+$AL$64+$AM$64+$AN$64+$AO$64+$AP$64+B244,IF(B245=$AR$63,$AI$64+$AJ$64+$AK$64+$AL$64+$AM$64+$AN$64+$AO$64+$AP$64+$AQ$64+B244,IF(B245=$AS$63,$AI$64+$AJ$64+$AK$64+$AL$64+$AM$64+$AN$64+$AO$64+$AP$64+$AQ$64+$AR$64+B244,IF(B245=$AT$63,$AI$64+$AJ$64+$AK$64+$AL$64+$AM$64+$AN$64+$AO$64+$AP$64+$AQ$64+$AR$64+$AS$64+B244,"error"))))))))))))</f>
        <v>80</v>
      </c>
      <c r="D246" s="38">
        <f>23.45*SIN(RADIANS(360*((284+C246)/365)))</f>
        <v>-0.40365320185431652</v>
      </c>
      <c r="E246" s="95">
        <v>35</v>
      </c>
      <c r="K246" s="92"/>
      <c r="N246" s="93">
        <f>+IF(M245=$AI$63,M244,IF(M245=$AJ$63,$AI$64+M244,IF(M245=$AK$63,$AI$64+$AJ$64+M244,IF(M245=$AL$63,$AI$64+$AJ$64+$AK$64+M244,IF(M245=$AM$63,$AI$64+$AJ$64+$AK$64+$AL$64+M244,IF(M245=$AN$63,$AI$64+$AJ$64+$AK$64+$AL$64+$AM$64+M244,IF(M245=$AO$63,$AI$64+$AJ$64+$AK$64+$AL$64+$AM$64+$AN$64+M244,IF(M245=$AP$63,$AI$64+$AJ$64+$AK$64+$AL$64+$AM$64+$AN$64+$AO$64+M244,IF(M245=$AQ$63,$AI$64+$AJ$64+$AK$64+$AL$64+$AM$64+$AN$64+$AO$64+$AP$64+M244,IF(M245=$AR$63,$AI$64+$AJ$64+$AK$64+$AL$64+$AM$64+$AN$64+$AO$64+$AP$64+$AQ$64+M244,IF(M245=$AS$63,$AI$64+$AJ$64+$AK$64+$AL$64+$AM$64+$AN$64+$AO$64+$AP$64+$AQ$64+$AR$64+M244,IF(M245=$AT$63,$AI$64+$AJ$64+$AK$64+$AL$64+$AM$64+$AN$64+$AO$64+$AP$64+$AQ$64+$AR$64+$AS$64+M244,"error"))))))))))))</f>
        <v>80</v>
      </c>
      <c r="O246" s="38">
        <f>23.45*SIN(RADIANS(360*((284+N246)/365)))</f>
        <v>-0.40365320185431652</v>
      </c>
      <c r="P246" s="95">
        <v>40</v>
      </c>
      <c r="AA246">
        <v>3</v>
      </c>
      <c r="AB246" s="39">
        <v>0.30208333333333398</v>
      </c>
      <c r="AC246">
        <f t="shared" si="364"/>
        <v>7.125</v>
      </c>
      <c r="AD246">
        <f t="shared" si="359"/>
        <v>0</v>
      </c>
      <c r="AE246" s="94">
        <f t="shared" si="360"/>
        <v>7.2020622600263913</v>
      </c>
      <c r="AF246">
        <f t="shared" si="361"/>
        <v>7.2020622600263913</v>
      </c>
      <c r="AG246" s="94">
        <f t="shared" si="362"/>
        <v>0</v>
      </c>
      <c r="AH246">
        <f t="shared" si="363"/>
        <v>-0.88651294133849456</v>
      </c>
      <c r="AI246">
        <v>3</v>
      </c>
      <c r="AP246" t="s">
        <v>59</v>
      </c>
      <c r="AQ246">
        <f>+AZ214</f>
        <v>0</v>
      </c>
      <c r="AR246">
        <f>+BA214</f>
        <v>81.15280091256507</v>
      </c>
      <c r="AS246">
        <f>+AZ215</f>
        <v>0</v>
      </c>
      <c r="AT246">
        <f>+BA215</f>
        <v>81.15280091256507</v>
      </c>
      <c r="AU246">
        <f>+AZ216</f>
        <v>0</v>
      </c>
      <c r="AV246">
        <f>+BA216</f>
        <v>81.15280091256507</v>
      </c>
      <c r="AW246">
        <f>+AZ217</f>
        <v>0</v>
      </c>
      <c r="AX246">
        <f>+BA217</f>
        <v>81.15280091256507</v>
      </c>
      <c r="AY246">
        <f>+AZ218</f>
        <v>0</v>
      </c>
      <c r="AZ246">
        <f>+BA218</f>
        <v>81.15280091256507</v>
      </c>
      <c r="BA246">
        <f>+AZ219</f>
        <v>3.7457083017543744</v>
      </c>
      <c r="BB246">
        <f>+BA219</f>
        <v>83.239470999313269</v>
      </c>
      <c r="BC246">
        <f>+AZ220</f>
        <v>16.826145638621131</v>
      </c>
      <c r="BD246">
        <f>+BA220</f>
        <v>90.430026005197348</v>
      </c>
      <c r="BE246">
        <f>+AZ221</f>
        <v>29.88984365984685</v>
      </c>
      <c r="BF246">
        <f>+BA221</f>
        <v>98.178925560955776</v>
      </c>
      <c r="BG246">
        <f>+AZ222</f>
        <v>42.663463448393529</v>
      </c>
      <c r="BH246">
        <f>+BA222</f>
        <v>107.66062257112267</v>
      </c>
      <c r="BI246">
        <f>+AZ223</f>
        <v>54.618641174592703</v>
      </c>
      <c r="BJ246">
        <f>+BA223</f>
        <v>121.16307222620452</v>
      </c>
      <c r="BK246">
        <f>+AZ224</f>
        <v>64.399813806231478</v>
      </c>
      <c r="BL246">
        <f>+BA224</f>
        <v>143.58998089453021</v>
      </c>
      <c r="BM246">
        <f>+AZ225</f>
        <v>68.644628908165231</v>
      </c>
      <c r="BN246">
        <f>+BA225</f>
        <v>180</v>
      </c>
      <c r="BO246">
        <f>+AZ226</f>
        <v>68.644628908165231</v>
      </c>
      <c r="BP246">
        <f>+BA226</f>
        <v>180</v>
      </c>
      <c r="BQ246">
        <f>+AZ227</f>
        <v>64.399813806231478</v>
      </c>
      <c r="BR246">
        <f>+BA227</f>
        <v>216.41001910546979</v>
      </c>
      <c r="BS246">
        <f>+AZ228</f>
        <v>54.618641174592703</v>
      </c>
      <c r="BT246">
        <f>+BA228</f>
        <v>238.83692777379548</v>
      </c>
      <c r="BU246">
        <f>+AZ229</f>
        <v>42.663463448393529</v>
      </c>
      <c r="BV246">
        <f>+BA229</f>
        <v>252.33937742887733</v>
      </c>
      <c r="BW246">
        <f>+AZ230</f>
        <v>29.88984365984685</v>
      </c>
      <c r="BX246">
        <f>+BA230</f>
        <v>261.8210744390442</v>
      </c>
      <c r="BY246">
        <f>+AZ231</f>
        <v>16.826145638621131</v>
      </c>
      <c r="BZ246">
        <f>+BA231</f>
        <v>269.56997399480264</v>
      </c>
      <c r="CA246">
        <f>+AZ232</f>
        <v>3.7457083017543744</v>
      </c>
      <c r="CB246">
        <f>+BA232</f>
        <v>276.76052900068674</v>
      </c>
      <c r="CC246">
        <f>+AZ233</f>
        <v>0</v>
      </c>
      <c r="CD246">
        <f>+BA233</f>
        <v>278.84719908743494</v>
      </c>
      <c r="CE246">
        <f>+AZ234</f>
        <v>0</v>
      </c>
      <c r="CF246">
        <f>+BA234</f>
        <v>278.84719908743494</v>
      </c>
      <c r="CG246">
        <f>+AZ235</f>
        <v>0</v>
      </c>
      <c r="CH246">
        <f>+BA235</f>
        <v>278.84719908743494</v>
      </c>
      <c r="CI246">
        <f>+AZ236</f>
        <v>0</v>
      </c>
      <c r="CJ246">
        <f>+BA236</f>
        <v>278.84719908743494</v>
      </c>
      <c r="CK246">
        <f>+AZ237</f>
        <v>0</v>
      </c>
      <c r="CL246">
        <f>+BA237</f>
        <v>278.84719908743494</v>
      </c>
    </row>
    <row r="247" spans="1:90" x14ac:dyDescent="0.25">
      <c r="B247" s="317" t="s">
        <v>90</v>
      </c>
      <c r="C247" s="315"/>
      <c r="D247" s="315"/>
      <c r="E247" s="315"/>
      <c r="G247" s="319" t="s">
        <v>89</v>
      </c>
      <c r="H247" s="319"/>
      <c r="I247" s="319" t="s">
        <v>42</v>
      </c>
      <c r="J247" s="319" t="s">
        <v>43</v>
      </c>
      <c r="K247" s="92"/>
      <c r="M247" s="317" t="s">
        <v>90</v>
      </c>
      <c r="N247" s="315"/>
      <c r="O247" s="315"/>
      <c r="P247" s="315"/>
      <c r="R247" s="319" t="s">
        <v>89</v>
      </c>
      <c r="S247" s="319"/>
      <c r="T247" s="319" t="s">
        <v>42</v>
      </c>
      <c r="U247" s="319" t="s">
        <v>43</v>
      </c>
      <c r="AB247" s="39">
        <v>0.312500000000001</v>
      </c>
      <c r="AC247">
        <f t="shared" si="364"/>
        <v>6.75</v>
      </c>
      <c r="AD247">
        <f t="shared" si="359"/>
        <v>0</v>
      </c>
      <c r="AE247" s="94">
        <f t="shared" si="360"/>
        <v>6.831993703332409</v>
      </c>
      <c r="AF247">
        <f t="shared" si="361"/>
        <v>6.831993703332409</v>
      </c>
      <c r="AG247" s="94">
        <f t="shared" si="362"/>
        <v>0</v>
      </c>
      <c r="AH247">
        <f t="shared" si="363"/>
        <v>-1.0168408842875825</v>
      </c>
      <c r="AP247" t="s">
        <v>60</v>
      </c>
      <c r="AQ247">
        <f>+BC214</f>
        <v>0</v>
      </c>
      <c r="AR247">
        <f>+BD214</f>
        <v>69.393943570339999</v>
      </c>
      <c r="AS247">
        <f>+BC215</f>
        <v>0</v>
      </c>
      <c r="AT247">
        <f>+BD215</f>
        <v>69.393943570339999</v>
      </c>
      <c r="AU247">
        <f>+BC216</f>
        <v>0</v>
      </c>
      <c r="AV247">
        <f>+BD216</f>
        <v>69.393943570339999</v>
      </c>
      <c r="AW247">
        <f>+BC217</f>
        <v>0</v>
      </c>
      <c r="AX247">
        <f>+BD217</f>
        <v>69.393943570339999</v>
      </c>
      <c r="AY247">
        <f>+BC218</f>
        <v>0</v>
      </c>
      <c r="AZ247">
        <f>+BD218</f>
        <v>69.393943570339999</v>
      </c>
      <c r="BA247">
        <f>+BC219</f>
        <v>8.5974359692729667</v>
      </c>
      <c r="BB247">
        <f>+BD219</f>
        <v>74.225135377203927</v>
      </c>
      <c r="BC247">
        <f>+BC220</f>
        <v>21.390284745138615</v>
      </c>
      <c r="BD247">
        <f>+BD220</f>
        <v>80.785090541413638</v>
      </c>
      <c r="BE247">
        <f>+BC221</f>
        <v>34.421688460547578</v>
      </c>
      <c r="BF247">
        <f>+BD221</f>
        <v>87.389663704152156</v>
      </c>
      <c r="BG247">
        <f>+BC222</f>
        <v>47.519261224452976</v>
      </c>
      <c r="BH247">
        <f>+BD222</f>
        <v>94.944817071916091</v>
      </c>
      <c r="BI247">
        <f>+BC223</f>
        <v>60.418849938512295</v>
      </c>
      <c r="BJ247">
        <f>+BD223</f>
        <v>105.47388867741584</v>
      </c>
      <c r="BK247">
        <f>+BC224</f>
        <v>72.313335780227064</v>
      </c>
      <c r="BL247">
        <f>+BD224</f>
        <v>125.84444444383482</v>
      </c>
      <c r="BM247">
        <f>+BC225</f>
        <v>78.833187969938209</v>
      </c>
      <c r="BN247">
        <f>+BD225</f>
        <v>180</v>
      </c>
      <c r="BO247">
        <f>+BC226</f>
        <v>78.833187969938209</v>
      </c>
      <c r="BP247">
        <f>+BD226</f>
        <v>180</v>
      </c>
      <c r="BQ247">
        <f>+BC227</f>
        <v>72.313335780227064</v>
      </c>
      <c r="BR247">
        <f>+BD227</f>
        <v>234.15555555616518</v>
      </c>
      <c r="BS247">
        <f>+BC228</f>
        <v>60.418849938512295</v>
      </c>
      <c r="BT247">
        <f>+BD228</f>
        <v>254.52611132258414</v>
      </c>
      <c r="BU247">
        <f>+BC229</f>
        <v>47.519261224452976</v>
      </c>
      <c r="BV247">
        <f>+BD229</f>
        <v>265.05518292808392</v>
      </c>
      <c r="BW247">
        <f>+BC230</f>
        <v>34.421688460547578</v>
      </c>
      <c r="BX247">
        <f>+BD230</f>
        <v>272.61033629584784</v>
      </c>
      <c r="BY247">
        <f>+BC231</f>
        <v>21.390284745138615</v>
      </c>
      <c r="BZ247">
        <f>+BD231</f>
        <v>279.21490945858636</v>
      </c>
      <c r="CA247">
        <f>+BC232</f>
        <v>8.5974359692729667</v>
      </c>
      <c r="CB247">
        <f>+BD232</f>
        <v>285.77486462279609</v>
      </c>
      <c r="CC247">
        <f>+BC233</f>
        <v>0</v>
      </c>
      <c r="CD247">
        <f>+BD233</f>
        <v>290.60605642965999</v>
      </c>
      <c r="CE247">
        <f>+BC234</f>
        <v>0</v>
      </c>
      <c r="CF247">
        <f>+BD234</f>
        <v>290.60605642965999</v>
      </c>
      <c r="CG247">
        <f>+BC235</f>
        <v>0</v>
      </c>
      <c r="CH247">
        <f>+BD235</f>
        <v>290.60605642965999</v>
      </c>
      <c r="CI247">
        <f>+BC236</f>
        <v>0</v>
      </c>
      <c r="CJ247">
        <f>+BD236</f>
        <v>290.60605642965999</v>
      </c>
      <c r="CK247">
        <f>+BC237</f>
        <v>0</v>
      </c>
      <c r="CL247">
        <f>+BD237</f>
        <v>290.60605642965999</v>
      </c>
    </row>
    <row r="248" spans="1:90" x14ac:dyDescent="0.25">
      <c r="B248" s="318"/>
      <c r="C248" s="315"/>
      <c r="D248" s="315"/>
      <c r="E248" s="315"/>
      <c r="G248" s="319"/>
      <c r="H248" s="319"/>
      <c r="I248" s="319"/>
      <c r="J248" s="319"/>
      <c r="K248" s="92"/>
      <c r="M248" s="318"/>
      <c r="N248" s="315"/>
      <c r="O248" s="315"/>
      <c r="P248" s="315"/>
      <c r="R248" s="319"/>
      <c r="S248" s="319"/>
      <c r="T248" s="319"/>
      <c r="U248" s="319"/>
      <c r="AA248">
        <v>4</v>
      </c>
      <c r="AB248" s="39">
        <v>0.32291666666666802</v>
      </c>
      <c r="AC248">
        <f t="shared" si="364"/>
        <v>6.375</v>
      </c>
      <c r="AD248">
        <f t="shared" si="359"/>
        <v>0</v>
      </c>
      <c r="AE248" s="94">
        <f t="shared" si="360"/>
        <v>6.4600829926194603</v>
      </c>
      <c r="AF248">
        <f t="shared" si="361"/>
        <v>6.4600829926194603</v>
      </c>
      <c r="AG248" s="94">
        <f t="shared" si="362"/>
        <v>0</v>
      </c>
      <c r="AH248">
        <f t="shared" si="363"/>
        <v>-1.1372796890046513</v>
      </c>
      <c r="AI248">
        <v>4</v>
      </c>
      <c r="AP248" t="s">
        <v>61</v>
      </c>
      <c r="AQ248">
        <f>+BF214</f>
        <v>0</v>
      </c>
      <c r="AR248">
        <f>+BG214</f>
        <v>63.300937297586074</v>
      </c>
      <c r="AS248">
        <f>+BF215</f>
        <v>0</v>
      </c>
      <c r="AT248">
        <f>+BG215</f>
        <v>63.300937297586074</v>
      </c>
      <c r="AU248">
        <f>+BF216</f>
        <v>0</v>
      </c>
      <c r="AV248">
        <f>+BG216</f>
        <v>63.300937297586074</v>
      </c>
      <c r="AW248">
        <f>+BF217</f>
        <v>0</v>
      </c>
      <c r="AX248">
        <f>+BG217</f>
        <v>63.300937297586074</v>
      </c>
      <c r="AY248">
        <f>+BF218</f>
        <v>0</v>
      </c>
      <c r="AZ248">
        <f>+BG218</f>
        <v>63.300937297586074</v>
      </c>
      <c r="BA248">
        <f>+BF219</f>
        <v>11.002251178794777</v>
      </c>
      <c r="BB248">
        <f>+BG219</f>
        <v>69.537585435747644</v>
      </c>
      <c r="BC248">
        <f>+BF220</f>
        <v>23.507733059132701</v>
      </c>
      <c r="BD248">
        <f>+BG220</f>
        <v>75.636975428271541</v>
      </c>
      <c r="BE248">
        <f>+BF221</f>
        <v>36.350375327550033</v>
      </c>
      <c r="BF248">
        <f>+BG221</f>
        <v>81.455117320378122</v>
      </c>
      <c r="BG248">
        <f>+BF222</f>
        <v>49.392241958613631</v>
      </c>
      <c r="BH248">
        <f>+BG222</f>
        <v>87.614133955275165</v>
      </c>
      <c r="BI248">
        <f>+BF223</f>
        <v>62.487949611154917</v>
      </c>
      <c r="BJ248">
        <f>+BG223</f>
        <v>95.458320455047897</v>
      </c>
      <c r="BK248">
        <f>+BF224</f>
        <v>75.286617836966144</v>
      </c>
      <c r="BL248">
        <f>+BG224</f>
        <v>110.41519717198776</v>
      </c>
      <c r="BM248">
        <f>+BF225</f>
        <v>84.040484116651811</v>
      </c>
      <c r="BN248">
        <f>BG225</f>
        <v>180</v>
      </c>
      <c r="BO248">
        <f>+BF226</f>
        <v>84.040484116651811</v>
      </c>
      <c r="BP248">
        <f>BG226</f>
        <v>180</v>
      </c>
      <c r="BQ248">
        <f>+BF227</f>
        <v>75.286617836966144</v>
      </c>
      <c r="BR248">
        <f>+BG227</f>
        <v>249.58480282801224</v>
      </c>
      <c r="BS248">
        <f>+BF228</f>
        <v>62.487949611154917</v>
      </c>
      <c r="BT248">
        <f>+BG228</f>
        <v>264.5416795449521</v>
      </c>
      <c r="BU248">
        <f>+BF229</f>
        <v>49.392241958613631</v>
      </c>
      <c r="BV248">
        <f>+BG229</f>
        <v>272.38586604472482</v>
      </c>
      <c r="BW248">
        <f>+BF230</f>
        <v>36.350375327550033</v>
      </c>
      <c r="BX248">
        <f>+BG230</f>
        <v>278.54488267962188</v>
      </c>
      <c r="BY248">
        <f>+BF231</f>
        <v>23.507733059132701</v>
      </c>
      <c r="BZ248">
        <f>+BG231</f>
        <v>284.36302457172849</v>
      </c>
      <c r="CA248">
        <f>+BF232</f>
        <v>11.002251178794777</v>
      </c>
      <c r="CB248">
        <f>+BG232</f>
        <v>290.46241456425236</v>
      </c>
      <c r="CC248">
        <f>+BF233</f>
        <v>0</v>
      </c>
      <c r="CD248">
        <f>+BG233</f>
        <v>296.69906270241393</v>
      </c>
      <c r="CE248">
        <f>+BF234</f>
        <v>0</v>
      </c>
      <c r="CF248">
        <f>+BG234</f>
        <v>296.69906270241393</v>
      </c>
      <c r="CG248">
        <f>+BF235</f>
        <v>0</v>
      </c>
      <c r="CH248">
        <f>+BG235</f>
        <v>296.69906270241393</v>
      </c>
      <c r="CI248">
        <f>+BF236</f>
        <v>0</v>
      </c>
      <c r="CJ248">
        <f>+BG236</f>
        <v>296.69906270241393</v>
      </c>
      <c r="CK248">
        <f>+BF237</f>
        <v>0</v>
      </c>
      <c r="CL248">
        <f>+BG237</f>
        <v>296.69906270241393</v>
      </c>
    </row>
    <row r="249" spans="1:90" x14ac:dyDescent="0.25">
      <c r="B249" s="39">
        <v>0.25</v>
      </c>
      <c r="C249" s="38">
        <v>90</v>
      </c>
      <c r="D249" s="38">
        <f>+DEGREES(ASIN(COS(RADIANS(E246))*COS(RADIANS(D246))*COS(RADIANS(C249))+SIN(RADIANS(E246))*SIN(RADIANS(D246))))</f>
        <v>-0.23152467989920697</v>
      </c>
      <c r="E249" s="38">
        <f>180-DEGREES(ACOS((((SIN(RADIANS(D249)))*SIN(RADIANS(E246)))-SIN(RADIANS(D246)))/((COS(RADIANS(D249)))*COS(RADIANS(E246)))))</f>
        <v>90.330655145206109</v>
      </c>
      <c r="G249">
        <f t="shared" ref="G249:G261" si="365">9-(D249/10)</f>
        <v>9.0231524679899202</v>
      </c>
      <c r="H249">
        <f t="shared" ref="H249:H261" si="366">90-E249+$AH$172</f>
        <v>-0.33065514520610861</v>
      </c>
      <c r="I249" s="94">
        <f t="shared" ref="I249:I261" si="367">IF($E$246&gt;=$AE$174,0,G249*COS(RADIANS(H249)))</f>
        <v>0</v>
      </c>
      <c r="J249" s="94">
        <f t="shared" ref="J249:J261" si="368">IF($E$246&gt;=$AE$174,0,G249*SIN(RADIANS(H249)))</f>
        <v>0</v>
      </c>
      <c r="K249" s="92"/>
      <c r="M249" s="39">
        <v>0.25</v>
      </c>
      <c r="N249" s="38">
        <v>90</v>
      </c>
      <c r="O249" s="38">
        <f>+DEGREES(ASIN(COS(RADIANS(P246))*COS(RADIANS(O246))*COS(RADIANS(N249))+SIN(RADIANS(P246))*SIN(RADIANS(O246))))</f>
        <v>-0.25946201723650403</v>
      </c>
      <c r="P249" s="38">
        <f>180-DEGREES(ACOS((((SIN(RADIANS(O249)))*SIN(RADIANS(P246)))-SIN(RADIANS(O246)))/((COS(RADIANS(O249)))*COS(RADIANS(P246)))))</f>
        <v>90.309218405953629</v>
      </c>
      <c r="R249">
        <f t="shared" ref="R249:R261" si="369">9-(O249/10)</f>
        <v>9.0259462017236505</v>
      </c>
      <c r="S249">
        <f t="shared" ref="S249:S261" si="370">90-P249+$AH$172</f>
        <v>-0.30921840595362937</v>
      </c>
      <c r="T249" s="94">
        <f t="shared" ref="T249:T261" si="371">IF($P$246&gt;=$AE$174,0,R249*COS(RADIANS(S249)))</f>
        <v>0</v>
      </c>
      <c r="U249" s="94">
        <f t="shared" ref="U249:U261" si="372">IF($P$246&gt;=$AE$174,0,R249*SIN(RADIANS(S249)))</f>
        <v>0</v>
      </c>
      <c r="AB249" s="39">
        <v>0.33333333333333298</v>
      </c>
      <c r="AC249">
        <f t="shared" si="364"/>
        <v>6</v>
      </c>
      <c r="AD249">
        <f t="shared" si="359"/>
        <v>0</v>
      </c>
      <c r="AE249" s="94">
        <f t="shared" si="360"/>
        <v>6.0865595262650283</v>
      </c>
      <c r="AF249">
        <f t="shared" si="361"/>
        <v>6.0865595262650283</v>
      </c>
      <c r="AG249" s="94">
        <f t="shared" si="362"/>
        <v>0</v>
      </c>
      <c r="AH249">
        <f t="shared" si="363"/>
        <v>-1.2484136472497267</v>
      </c>
    </row>
    <row r="250" spans="1:90" x14ac:dyDescent="0.25">
      <c r="B250" s="39">
        <v>0.29166666666666669</v>
      </c>
      <c r="C250">
        <v>75</v>
      </c>
      <c r="D250" s="38">
        <f>+DEGREES(ASIN(COS(RADIANS(E246))*COS(RADIANS(D246))*COS(RADIANS(C250))+SIN(RADIANS(E246))*SIN(RADIANS(D246))))</f>
        <v>12.003183070128085</v>
      </c>
      <c r="E250" s="38">
        <f>180-DEGREES(ACOS((((SIN(RADIANS(D250)))*SIN(RADIANS(E246)))-SIN(RADIANS(D246)))/((COS(RADIANS(D250)))*COS(RADIANS(E246)))))</f>
        <v>99.071505636599269</v>
      </c>
      <c r="G250">
        <f t="shared" si="365"/>
        <v>7.7996816929871917</v>
      </c>
      <c r="H250">
        <f t="shared" si="366"/>
        <v>-9.0715056365992695</v>
      </c>
      <c r="I250" s="94">
        <f t="shared" si="367"/>
        <v>0</v>
      </c>
      <c r="J250" s="94">
        <f t="shared" si="368"/>
        <v>0</v>
      </c>
      <c r="K250" s="92"/>
      <c r="M250" s="39">
        <v>0.29166666666666669</v>
      </c>
      <c r="N250">
        <v>75</v>
      </c>
      <c r="O250" s="38">
        <f>+DEGREES(ASIN(COS(RADIANS(P246))*COS(RADIANS(O246))*COS(RADIANS(N250))+SIN(RADIANS(P246))*SIN(RADIANS(O246))))</f>
        <v>11.170748849463411</v>
      </c>
      <c r="P250" s="38">
        <f>180-DEGREES(ACOS((((SIN(RADIANS(O250)))*SIN(RADIANS(P246)))-SIN(RADIANS(O246)))/((COS(RADIANS(O250)))*COS(RADIANS(P246)))))</f>
        <v>100.08303941337513</v>
      </c>
      <c r="R250">
        <f t="shared" si="369"/>
        <v>7.8829251150536592</v>
      </c>
      <c r="S250">
        <f t="shared" si="370"/>
        <v>-10.083039413375133</v>
      </c>
      <c r="T250" s="94">
        <f t="shared" si="371"/>
        <v>0</v>
      </c>
      <c r="U250" s="94">
        <f t="shared" si="372"/>
        <v>0</v>
      </c>
      <c r="AA250">
        <v>5</v>
      </c>
      <c r="AB250" s="39">
        <v>0.343750000000002</v>
      </c>
      <c r="AC250">
        <f t="shared" si="364"/>
        <v>5.625</v>
      </c>
      <c r="AD250">
        <f t="shared" si="359"/>
        <v>0</v>
      </c>
      <c r="AE250" s="94">
        <f t="shared" si="360"/>
        <v>5.7116216765306671</v>
      </c>
      <c r="AF250">
        <f t="shared" si="361"/>
        <v>5.7116216765306671</v>
      </c>
      <c r="AG250" s="94">
        <f t="shared" si="362"/>
        <v>0</v>
      </c>
      <c r="AH250">
        <f t="shared" si="363"/>
        <v>-1.3507570647129175</v>
      </c>
      <c r="AI250">
        <v>5</v>
      </c>
      <c r="AQ250" s="320">
        <v>4.1666666666666664E-2</v>
      </c>
      <c r="AR250" s="321"/>
      <c r="AS250" s="320">
        <v>8.3333333333333301E-2</v>
      </c>
      <c r="AT250" s="321"/>
      <c r="AU250" s="320">
        <v>0.125</v>
      </c>
      <c r="AV250" s="321"/>
      <c r="AW250" s="320">
        <v>0.16666666666666699</v>
      </c>
      <c r="AX250" s="321"/>
      <c r="AY250" s="320">
        <v>0.20833333333333301</v>
      </c>
      <c r="AZ250" s="321"/>
      <c r="BA250" s="320">
        <v>0.25</v>
      </c>
      <c r="BB250" s="321"/>
      <c r="BC250" s="320">
        <v>0.29166666666666702</v>
      </c>
      <c r="BD250" s="321"/>
      <c r="BE250" s="320">
        <v>0.33333333333333298</v>
      </c>
      <c r="BF250" s="321"/>
      <c r="BG250" s="320">
        <v>0.375</v>
      </c>
      <c r="BH250" s="321"/>
      <c r="BI250" s="320">
        <v>0.41666666666666702</v>
      </c>
      <c r="BJ250" s="321"/>
      <c r="BK250" s="320">
        <v>0.45833333333333298</v>
      </c>
      <c r="BL250" s="321"/>
      <c r="BM250" s="320">
        <v>0.5</v>
      </c>
      <c r="BN250" s="321"/>
      <c r="BO250" s="320">
        <v>0.5</v>
      </c>
      <c r="BP250" s="321"/>
      <c r="BQ250" s="320">
        <v>0.54166666666666696</v>
      </c>
      <c r="BR250" s="321"/>
      <c r="BS250" s="320">
        <v>0.58333333333333404</v>
      </c>
      <c r="BT250" s="321"/>
      <c r="BU250" s="320">
        <v>0.625000000000001</v>
      </c>
      <c r="BV250" s="321"/>
      <c r="BW250" s="320">
        <v>0.66666666666666796</v>
      </c>
      <c r="BX250" s="321"/>
      <c r="BY250" s="320">
        <v>0.70833333333333504</v>
      </c>
      <c r="BZ250" s="321"/>
      <c r="CA250" s="320">
        <v>0.750000000000002</v>
      </c>
      <c r="CB250" s="321"/>
      <c r="CC250" s="320">
        <v>0.79166666666666896</v>
      </c>
      <c r="CD250" s="321"/>
      <c r="CE250" s="320">
        <v>0.83333333333333703</v>
      </c>
      <c r="CF250" s="321"/>
      <c r="CG250" s="320">
        <v>0.875000000000004</v>
      </c>
      <c r="CH250" s="321"/>
      <c r="CI250" s="320">
        <v>0.91666666666666996</v>
      </c>
      <c r="CJ250" s="321"/>
      <c r="CK250" s="320">
        <v>0.95833333333333703</v>
      </c>
      <c r="CL250" s="321"/>
    </row>
    <row r="251" spans="1:90" x14ac:dyDescent="0.25">
      <c r="B251" s="39">
        <v>0.33333333333333298</v>
      </c>
      <c r="C251" s="38">
        <v>60</v>
      </c>
      <c r="D251" s="38">
        <f>+DEGREES(ASIN(COS(RADIANS(E246))*COS(RADIANS(D246))*COS(RADIANS(C251))+SIN(RADIANS(E246))*SIN(RADIANS(D246))))</f>
        <v>23.924030583709875</v>
      </c>
      <c r="E251" s="38">
        <f>180-DEGREES(ACOS((((SIN(RADIANS(D251)))*SIN(RADIANS(E246)))-SIN(RADIANS(D246)))/((COS(RADIANS(D251)))*COS(RADIANS(E246)))))</f>
        <v>108.66591387786362</v>
      </c>
      <c r="G251">
        <f t="shared" si="365"/>
        <v>6.6075969416290121</v>
      </c>
      <c r="H251">
        <f t="shared" si="366"/>
        <v>-18.665913877863616</v>
      </c>
      <c r="I251" s="94">
        <f t="shared" si="367"/>
        <v>0</v>
      </c>
      <c r="J251" s="94">
        <f t="shared" si="368"/>
        <v>0</v>
      </c>
      <c r="K251" s="92"/>
      <c r="M251" s="39">
        <v>0.33333333333333298</v>
      </c>
      <c r="N251" s="38">
        <v>60</v>
      </c>
      <c r="O251" s="38">
        <f>+DEGREES(ASIN(COS(RADIANS(P246))*COS(RADIANS(O246))*COS(RADIANS(N251))+SIN(RADIANS(P246))*SIN(RADIANS(O246))))</f>
        <v>22.23982612103455</v>
      </c>
      <c r="P251" s="38">
        <f>180-DEGREES(ACOS((((SIN(RADIANS(O251)))*SIN(RADIANS(P246)))-SIN(RADIANS(O246)))/((COS(RADIANS(O251)))*COS(RADIANS(P246)))))</f>
        <v>110.67377019183745</v>
      </c>
      <c r="R251">
        <f t="shared" si="369"/>
        <v>6.7760173878965446</v>
      </c>
      <c r="S251">
        <f t="shared" si="370"/>
        <v>-20.673770191837448</v>
      </c>
      <c r="T251" s="94">
        <f t="shared" si="371"/>
        <v>0</v>
      </c>
      <c r="U251" s="94">
        <f t="shared" si="372"/>
        <v>0</v>
      </c>
      <c r="AB251" s="39">
        <v>0.35416666666666902</v>
      </c>
      <c r="AC251">
        <f t="shared" si="364"/>
        <v>5.25</v>
      </c>
      <c r="AD251">
        <f t="shared" si="359"/>
        <v>0</v>
      </c>
      <c r="AE251" s="94">
        <f t="shared" si="360"/>
        <v>5.3354420255361141</v>
      </c>
      <c r="AF251">
        <f t="shared" si="361"/>
        <v>5.3354420255361141</v>
      </c>
      <c r="AG251" s="94">
        <f t="shared" si="362"/>
        <v>0</v>
      </c>
      <c r="AH251">
        <f t="shared" si="363"/>
        <v>-1.4447630741317976</v>
      </c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315"/>
      <c r="BD251" s="315"/>
      <c r="BE251" s="315"/>
      <c r="BF251" s="315"/>
      <c r="BG251" s="315"/>
      <c r="BH251" s="315"/>
      <c r="BI251" s="315"/>
      <c r="BJ251" s="315"/>
      <c r="BK251" s="315"/>
      <c r="BL251" s="315"/>
      <c r="BM251" s="315"/>
      <c r="BN251" s="315"/>
      <c r="BO251" s="315"/>
      <c r="BP251" s="315"/>
      <c r="BQ251" s="315"/>
      <c r="BR251" s="315"/>
      <c r="BS251" s="315"/>
      <c r="BT251" s="315"/>
      <c r="BU251" s="315"/>
      <c r="BV251" s="315"/>
      <c r="BW251" s="315"/>
      <c r="BX251" s="315"/>
      <c r="BY251" s="315"/>
      <c r="BZ251" s="315"/>
      <c r="CA251" s="315"/>
      <c r="CB251" s="315"/>
      <c r="CC251" s="315"/>
      <c r="CD251" s="315"/>
      <c r="CE251" s="315"/>
      <c r="CF251" s="315"/>
      <c r="CG251" s="315"/>
      <c r="CH251" s="315"/>
      <c r="CI251" s="315"/>
      <c r="CJ251" s="315"/>
      <c r="CK251" s="315"/>
      <c r="CL251" s="315"/>
    </row>
    <row r="252" spans="1:90" x14ac:dyDescent="0.25">
      <c r="B252" s="39">
        <v>0.375</v>
      </c>
      <c r="C252">
        <v>45</v>
      </c>
      <c r="D252" s="38">
        <f>+DEGREES(ASIN(COS(RADIANS(E246))*COS(RADIANS(D246))*COS(RADIANS(C252))+SIN(RADIANS(E246))*SIN(RADIANS(D246))))</f>
        <v>35.111729759019639</v>
      </c>
      <c r="E252" s="38">
        <f>180-DEGREES(ACOS((((SIN(RADIANS(D252)))*SIN(RADIANS(E246)))-SIN(RADIANS(D246)))/((COS(RADIANS(D252)))*COS(RADIANS(E246)))))</f>
        <v>120.18818988919975</v>
      </c>
      <c r="G252">
        <f t="shared" si="365"/>
        <v>5.4888270240980361</v>
      </c>
      <c r="H252">
        <f t="shared" si="366"/>
        <v>-30.188189889199748</v>
      </c>
      <c r="I252" s="94">
        <f t="shared" si="367"/>
        <v>0</v>
      </c>
      <c r="J252" s="94">
        <f t="shared" si="368"/>
        <v>0</v>
      </c>
      <c r="M252" s="39">
        <v>0.375</v>
      </c>
      <c r="N252">
        <v>45</v>
      </c>
      <c r="O252" s="38">
        <f>+DEGREES(ASIN(COS(RADIANS(P246))*COS(RADIANS(O246))*COS(RADIANS(N252))+SIN(RADIANS(P246))*SIN(RADIANS(O246))))</f>
        <v>32.488704386447722</v>
      </c>
      <c r="P252" s="38">
        <f>180-DEGREES(ACOS((((SIN(RADIANS(O252)))*SIN(RADIANS(P246)))-SIN(RADIANS(O246)))/((COS(RADIANS(O252)))*COS(RADIANS(P246)))))</f>
        <v>123.04078211842585</v>
      </c>
      <c r="R252">
        <f t="shared" si="369"/>
        <v>5.7511295613552278</v>
      </c>
      <c r="S252">
        <f t="shared" si="370"/>
        <v>-33.040782118425852</v>
      </c>
      <c r="T252" s="94">
        <f t="shared" si="371"/>
        <v>0</v>
      </c>
      <c r="U252" s="94">
        <f t="shared" si="372"/>
        <v>0</v>
      </c>
      <c r="AA252">
        <v>6</v>
      </c>
      <c r="AB252" s="39">
        <v>0.36458333333333598</v>
      </c>
      <c r="AC252">
        <f t="shared" si="364"/>
        <v>4.875</v>
      </c>
      <c r="AD252">
        <f t="shared" si="359"/>
        <v>0</v>
      </c>
      <c r="AE252" s="94">
        <f t="shared" si="360"/>
        <v>4.9581716356242307</v>
      </c>
      <c r="AF252">
        <f t="shared" si="361"/>
        <v>4.9581716356242307</v>
      </c>
      <c r="AG252" s="94">
        <f t="shared" si="362"/>
        <v>0</v>
      </c>
      <c r="AH252">
        <f t="shared" si="363"/>
        <v>-1.5308310503338871</v>
      </c>
      <c r="AI252">
        <v>6</v>
      </c>
      <c r="AQ252" s="315"/>
      <c r="AR252" s="315"/>
      <c r="AS252" s="315"/>
      <c r="AT252" s="315"/>
      <c r="AU252" s="315"/>
      <c r="AV252" s="315"/>
      <c r="AW252" s="315"/>
      <c r="AX252" s="315"/>
      <c r="AY252" s="315"/>
      <c r="AZ252" s="315"/>
      <c r="BA252" s="315"/>
      <c r="BB252" s="315"/>
      <c r="BC252" s="315"/>
      <c r="BD252" s="315"/>
      <c r="BE252" s="315"/>
      <c r="BF252" s="315"/>
      <c r="BG252" s="315"/>
      <c r="BH252" s="315"/>
      <c r="BI252" s="315"/>
      <c r="BJ252" s="315"/>
      <c r="BK252" s="315"/>
      <c r="BL252" s="315"/>
      <c r="BM252" s="315"/>
      <c r="BN252" s="315"/>
      <c r="BO252" s="315"/>
      <c r="BP252" s="315"/>
      <c r="BQ252" s="315"/>
      <c r="BR252" s="315"/>
      <c r="BS252" s="315"/>
      <c r="BT252" s="315"/>
      <c r="BU252" s="315"/>
      <c r="BV252" s="315"/>
      <c r="BW252" s="315"/>
      <c r="BX252" s="315"/>
      <c r="BY252" s="315"/>
      <c r="BZ252" s="315"/>
      <c r="CA252" s="315"/>
      <c r="CB252" s="315"/>
      <c r="CC252" s="315"/>
      <c r="CD252" s="315"/>
      <c r="CE252" s="315"/>
      <c r="CF252" s="315"/>
      <c r="CG252" s="315"/>
      <c r="CH252" s="315"/>
      <c r="CI252" s="315"/>
      <c r="CJ252" s="315"/>
      <c r="CK252" s="315"/>
      <c r="CL252" s="315"/>
    </row>
    <row r="253" spans="1:90" x14ac:dyDescent="0.25">
      <c r="B253" s="39">
        <v>0.41666666666666702</v>
      </c>
      <c r="C253" s="38">
        <v>30</v>
      </c>
      <c r="D253" s="38">
        <f>+DEGREES(ASIN(COS(RADIANS(E246))*COS(RADIANS(D246))*COS(RADIANS(C253))+SIN(RADIANS(E246))*SIN(RADIANS(D246))))</f>
        <v>44.857666756708923</v>
      </c>
      <c r="E253" s="38">
        <f>180-DEGREES(ACOS((((SIN(RADIANS(D253)))*SIN(RADIANS(E246)))-SIN(RADIANS(D246)))/((COS(RADIANS(D253)))*COS(RADIANS(E246)))))</f>
        <v>135.1430444212443</v>
      </c>
      <c r="G253">
        <f t="shared" si="365"/>
        <v>4.5142333243291075</v>
      </c>
      <c r="H253">
        <f t="shared" si="366"/>
        <v>-45.143044421244298</v>
      </c>
      <c r="I253" s="94">
        <f t="shared" si="367"/>
        <v>0</v>
      </c>
      <c r="J253" s="94">
        <f t="shared" si="368"/>
        <v>0</v>
      </c>
      <c r="M253" s="39">
        <v>0.41666666666666702</v>
      </c>
      <c r="N253" s="38">
        <v>30</v>
      </c>
      <c r="O253" s="38">
        <f>+DEGREES(ASIN(COS(RADIANS(P246))*COS(RADIANS(O246))*COS(RADIANS(N253))+SIN(RADIANS(P246))*SIN(RADIANS(O246))))</f>
        <v>41.213675801003689</v>
      </c>
      <c r="P253" s="38">
        <f>180-DEGREES(ACOS((((SIN(RADIANS(O253)))*SIN(RADIANS(P246)))-SIN(RADIANS(O246)))/((COS(RADIANS(O253)))*COS(RADIANS(P246)))))</f>
        <v>138.34456757188187</v>
      </c>
      <c r="R253">
        <f t="shared" si="369"/>
        <v>4.8786324198996311</v>
      </c>
      <c r="S253">
        <f t="shared" si="370"/>
        <v>-48.344567571881868</v>
      </c>
      <c r="T253" s="94">
        <f t="shared" si="371"/>
        <v>0</v>
      </c>
      <c r="U253" s="94">
        <f t="shared" si="372"/>
        <v>0</v>
      </c>
      <c r="AB253" s="39">
        <v>0.375000000000003</v>
      </c>
      <c r="AC253">
        <f t="shared" si="364"/>
        <v>4.5</v>
      </c>
      <c r="AD253">
        <f t="shared" si="359"/>
        <v>0</v>
      </c>
      <c r="AE253" s="94">
        <f t="shared" si="360"/>
        <v>4.5799435554700727</v>
      </c>
      <c r="AF253">
        <f t="shared" si="361"/>
        <v>4.5799435554700727</v>
      </c>
      <c r="AG253" s="94">
        <f t="shared" si="362"/>
        <v>0</v>
      </c>
      <c r="AH253">
        <f t="shared" si="363"/>
        <v>-1.6093128641616943</v>
      </c>
      <c r="AP253" t="s">
        <v>67</v>
      </c>
      <c r="AQ253">
        <f t="shared" ref="AQ253:AQ258" si="373">IF(AQ242=0,AQ254,AQ242)</f>
        <v>0</v>
      </c>
      <c r="AR253">
        <f t="shared" ref="AR253:AR258" si="374">IF(AQ242=0,AR254,AR242)</f>
        <v>63.300937297586074</v>
      </c>
      <c r="AS253">
        <f t="shared" ref="AS253:AS258" si="375">IF(AS242=0,AS254,AS242)</f>
        <v>0</v>
      </c>
      <c r="AT253">
        <f t="shared" ref="AT253:AT258" si="376">IF(AS242=0,AT254,AT242)</f>
        <v>63.300937297586074</v>
      </c>
      <c r="AU253">
        <f t="shared" ref="AU253:AU258" si="377">IF(AU242=0,AU254,AU242)</f>
        <v>0</v>
      </c>
      <c r="AV253">
        <f t="shared" ref="AV253:AV258" si="378">IF(AU242=0,AV254,AV242)</f>
        <v>63.300937297586074</v>
      </c>
      <c r="AW253">
        <f t="shared" ref="AW253:AW258" si="379">IF(AW242=0,AW254,AW242)</f>
        <v>0</v>
      </c>
      <c r="AX253">
        <f t="shared" ref="AX253:AX258" si="380">IF(AW242=0,AX254,AX242)</f>
        <v>63.300937297586074</v>
      </c>
      <c r="AY253">
        <f t="shared" ref="AY253:AY258" si="381">IF(AY242=0,AY254,AY242)</f>
        <v>0</v>
      </c>
      <c r="AZ253">
        <f t="shared" ref="AZ253:AZ258" si="382">IF(AY242=0,AZ254,AZ242)</f>
        <v>63.300937297586074</v>
      </c>
      <c r="BA253">
        <f t="shared" ref="BA253:BA258" si="383">IF(BA242=0,BA254,BA242)</f>
        <v>3.7457083017543744</v>
      </c>
      <c r="BB253">
        <f t="shared" ref="BB253:BB258" si="384">IF(BA242=0,BB254,BB242)</f>
        <v>83.239470999313269</v>
      </c>
      <c r="BC253">
        <f t="shared" ref="BC253:BC258" si="385">IF(BC242=0,BC254,BC242)</f>
        <v>0.80777986614324049</v>
      </c>
      <c r="BD253">
        <f t="shared" ref="BD253:BD258" si="386">IF(BC242=0,BD254,BD242)</f>
        <v>117.59582673339338</v>
      </c>
      <c r="BE253">
        <f t="shared" ref="BE253:BE258" si="387">IF(BE242=0,BE254,BE242)</f>
        <v>11.973998043852726</v>
      </c>
      <c r="BF253">
        <f t="shared" ref="BF253:BF258" si="388">IF(BE242=0,BF254,BF242)</f>
        <v>125.69140900534735</v>
      </c>
      <c r="BG253">
        <f t="shared" ref="BG253:BG258" si="389">IF(BG242=0,BG254,BG242)</f>
        <v>21.932757611792816</v>
      </c>
      <c r="BH253">
        <f t="shared" ref="BH253:BH258" si="390">IF(BG242=0,BH254,BH242)</f>
        <v>135.62743572218571</v>
      </c>
      <c r="BI253">
        <f t="shared" ref="BI253:BI258" si="391">IF(BI242=0,BI254,BI242)</f>
        <v>30.061756873161897</v>
      </c>
      <c r="BJ253">
        <f t="shared" ref="BJ253:BJ258" si="392">IF(BI242=0,BJ254,BJ242)</f>
        <v>147.99477629228704</v>
      </c>
      <c r="BK253">
        <f t="shared" ref="BK253:BK258" si="393">IF(BK242=0,BK254,BK242)</f>
        <v>35.522989333110019</v>
      </c>
      <c r="BL253">
        <f t="shared" ref="BL253:BL258" si="394">IF(BK242=0,BL254,BL242)</f>
        <v>163.03777709301244</v>
      </c>
      <c r="BM253">
        <f t="shared" ref="BM253:BM258" si="395">IF(BM242=0,BM254,BM242)</f>
        <v>37.47021715318634</v>
      </c>
      <c r="BN253">
        <f t="shared" ref="BN253:BN258" si="396">IF(BM242=0,BN254,BN242)</f>
        <v>180</v>
      </c>
      <c r="BO253">
        <f t="shared" ref="BO253:BO258" si="397">IF(BO242=0,BO254,BO242)</f>
        <v>37.47021715318634</v>
      </c>
      <c r="BP253">
        <f t="shared" ref="BP253:BP258" si="398">IF(BO242=0,BP254,BP242)</f>
        <v>180</v>
      </c>
      <c r="BQ253">
        <f t="shared" ref="BQ253:BQ258" si="399">IF(BQ242=0,BQ254,BQ242)</f>
        <v>35.522989333110019</v>
      </c>
      <c r="BR253">
        <f t="shared" ref="BR253:BR258" si="400">IF(BQ242=0,BR254,BR242)</f>
        <v>196.96222290698756</v>
      </c>
      <c r="BS253">
        <f t="shared" ref="BS253:BS258" si="401">IF(BS242=0,BS254,BS242)</f>
        <v>30.061756873161897</v>
      </c>
      <c r="BT253">
        <f t="shared" ref="BT253:BT258" si="402">IF(BS242=0,BT254,BT242)</f>
        <v>212.00522370771296</v>
      </c>
      <c r="BU253">
        <f t="shared" ref="BU253:BU258" si="403">IF(BU242=0,BU254,BU242)</f>
        <v>21.932757611792816</v>
      </c>
      <c r="BV253">
        <f t="shared" ref="BV253:BV258" si="404">IF(BU242=0,BV254,BV242)</f>
        <v>224.37256427781429</v>
      </c>
      <c r="BW253">
        <f t="shared" ref="BW253:BW258" si="405">IF(BW242=0,BW254,BW242)</f>
        <v>11.973998043852726</v>
      </c>
      <c r="BX253">
        <f t="shared" ref="BX253:BX258" si="406">IF(BW242=0,BX254,BX242)</f>
        <v>234.30859099465266</v>
      </c>
      <c r="BY253">
        <f t="shared" ref="BY253:BY258" si="407">IF(BY242=0,BY254,BY242)</f>
        <v>0.80777986614324049</v>
      </c>
      <c r="BZ253">
        <f t="shared" ref="BZ253:BZ258" si="408">IF(BY242=0,BZ254,BZ242)</f>
        <v>242.40417326660662</v>
      </c>
      <c r="CA253">
        <f t="shared" ref="CA253:CA258" si="409">IF(CA242=0,CA254,CA242)</f>
        <v>3.7457083017543744</v>
      </c>
      <c r="CB253">
        <f t="shared" ref="CB253:CB258" si="410">IF(CA242=0,CB254,CB242)</f>
        <v>276.76052900068674</v>
      </c>
      <c r="CC253">
        <f t="shared" ref="CC253:CC258" si="411">IF(CC242=0,CC254,CC242)</f>
        <v>0</v>
      </c>
      <c r="CD253">
        <f t="shared" ref="CD253:CD258" si="412">IF(CC242=0,CD254,CD242)</f>
        <v>296.69906270241393</v>
      </c>
      <c r="CE253">
        <f t="shared" ref="CE253:CE258" si="413">IF(CE242=0,CE254,CE242)</f>
        <v>0</v>
      </c>
      <c r="CF253">
        <f t="shared" ref="CF253:CF258" si="414">IF(CE242=0,CF254,CF242)</f>
        <v>296.69906270241393</v>
      </c>
      <c r="CG253">
        <f t="shared" ref="CG253:CG258" si="415">IF(CG242=0,CG254,CG242)</f>
        <v>0</v>
      </c>
      <c r="CH253">
        <f t="shared" ref="CH253:CH258" si="416">IF(CG242=0,CH254,CH242)</f>
        <v>296.69906270241393</v>
      </c>
      <c r="CI253">
        <f t="shared" ref="CI253:CI258" si="417">IF(CI242=0,CI254,CI242)</f>
        <v>0</v>
      </c>
      <c r="CJ253">
        <f t="shared" ref="CJ253:CJ258" si="418">IF(CI242=0,CJ254,CJ242)</f>
        <v>296.69906270241393</v>
      </c>
      <c r="CK253">
        <f t="shared" ref="CK253:CK258" si="419">IF(CK242=0,CK254,CK242)</f>
        <v>0</v>
      </c>
      <c r="CL253">
        <f t="shared" ref="CL253:CL258" si="420">IF(CK242=0,CL254,CL242)</f>
        <v>296.69906270241393</v>
      </c>
    </row>
    <row r="254" spans="1:90" x14ac:dyDescent="0.25">
      <c r="B254" s="39">
        <v>0.45833333333333298</v>
      </c>
      <c r="C254">
        <v>15</v>
      </c>
      <c r="D254" s="38">
        <f>+DEGREES(ASIN(COS(RADIANS(E246))*COS(RADIANS(D246))*COS(RADIANS(C254))+SIN(RADIANS(E246))*SIN(RADIANS(D246))))</f>
        <v>51.922718489418457</v>
      </c>
      <c r="E254" s="38">
        <f>180-DEGREES(ACOS((((SIN(RADIANS(D254)))*SIN(RADIANS(E246)))-SIN(RADIANS(D246)))/((COS(RADIANS(D254)))*COS(RADIANS(E246)))))</f>
        <v>155.18704889162387</v>
      </c>
      <c r="G254">
        <f t="shared" si="365"/>
        <v>3.8077281510581544</v>
      </c>
      <c r="H254">
        <f t="shared" si="366"/>
        <v>-65.187048891623874</v>
      </c>
      <c r="I254" s="94">
        <f t="shared" si="367"/>
        <v>0</v>
      </c>
      <c r="J254" s="94">
        <f t="shared" si="368"/>
        <v>0</v>
      </c>
      <c r="M254" s="39">
        <v>0.45833333333333298</v>
      </c>
      <c r="N254">
        <v>15</v>
      </c>
      <c r="O254" s="38">
        <f>+DEGREES(ASIN(COS(RADIANS(P246))*COS(RADIANS(O246))*COS(RADIANS(N254))+SIN(RADIANS(P246))*SIN(RADIANS(O246))))</f>
        <v>47.340628824570132</v>
      </c>
      <c r="P254" s="38">
        <f>180-DEGREES(ACOS((((SIN(RADIANS(O254)))*SIN(RADIANS(P246)))-SIN(RADIANS(O246)))/((COS(RADIANS(O254)))*COS(RADIANS(P246)))))</f>
        <v>157.54651601054096</v>
      </c>
      <c r="R254">
        <f t="shared" si="369"/>
        <v>4.265937117542987</v>
      </c>
      <c r="S254">
        <f t="shared" si="370"/>
        <v>-67.546516010540955</v>
      </c>
      <c r="T254" s="94">
        <f t="shared" si="371"/>
        <v>0</v>
      </c>
      <c r="U254" s="94">
        <f t="shared" si="372"/>
        <v>0</v>
      </c>
      <c r="AA254">
        <v>7</v>
      </c>
      <c r="AB254" s="39">
        <v>0.38541666666667002</v>
      </c>
      <c r="AC254">
        <f t="shared" si="364"/>
        <v>4.125</v>
      </c>
      <c r="AD254">
        <f t="shared" si="359"/>
        <v>0</v>
      </c>
      <c r="AE254" s="94">
        <f t="shared" si="360"/>
        <v>4.2008757180856104</v>
      </c>
      <c r="AF254">
        <f t="shared" si="361"/>
        <v>4.2008757180856104</v>
      </c>
      <c r="AG254" s="94">
        <f t="shared" si="362"/>
        <v>0</v>
      </c>
      <c r="AH254">
        <f t="shared" si="363"/>
        <v>-1.6805181669459854</v>
      </c>
      <c r="AI254">
        <v>7</v>
      </c>
      <c r="AP254" t="s">
        <v>53</v>
      </c>
      <c r="AQ254">
        <f t="shared" si="373"/>
        <v>0</v>
      </c>
      <c r="AR254">
        <f t="shared" si="374"/>
        <v>63.300937297586074</v>
      </c>
      <c r="AS254">
        <f t="shared" si="375"/>
        <v>0</v>
      </c>
      <c r="AT254">
        <f t="shared" si="376"/>
        <v>63.300937297586074</v>
      </c>
      <c r="AU254">
        <f t="shared" si="377"/>
        <v>0</v>
      </c>
      <c r="AV254">
        <f t="shared" si="378"/>
        <v>63.300937297586074</v>
      </c>
      <c r="AW254">
        <f t="shared" si="379"/>
        <v>0</v>
      </c>
      <c r="AX254">
        <f t="shared" si="380"/>
        <v>63.300937297586074</v>
      </c>
      <c r="AY254">
        <f t="shared" si="381"/>
        <v>0</v>
      </c>
      <c r="AZ254">
        <f t="shared" si="382"/>
        <v>63.300937297586074</v>
      </c>
      <c r="BA254">
        <f t="shared" si="383"/>
        <v>3.7457083017543744</v>
      </c>
      <c r="BB254">
        <f t="shared" si="384"/>
        <v>83.239470999313269</v>
      </c>
      <c r="BC254">
        <f t="shared" si="385"/>
        <v>1.5268439307083672</v>
      </c>
      <c r="BD254">
        <f t="shared" si="386"/>
        <v>116.4624458503213</v>
      </c>
      <c r="BE254">
        <f t="shared" si="387"/>
        <v>12.822214610282128</v>
      </c>
      <c r="BF254">
        <f t="shared" si="388"/>
        <v>124.62657247743616</v>
      </c>
      <c r="BG254">
        <f t="shared" si="389"/>
        <v>22.930756425404709</v>
      </c>
      <c r="BH254">
        <f t="shared" si="390"/>
        <v>134.65671961264201</v>
      </c>
      <c r="BI254">
        <f t="shared" si="391"/>
        <v>31.217808683018777</v>
      </c>
      <c r="BJ254">
        <f t="shared" si="392"/>
        <v>147.20252877534776</v>
      </c>
      <c r="BK254">
        <f t="shared" si="393"/>
        <v>36.811263360071692</v>
      </c>
      <c r="BL254">
        <f t="shared" si="394"/>
        <v>162.5719521238546</v>
      </c>
      <c r="BM254">
        <f t="shared" si="395"/>
        <v>38.812251187494631</v>
      </c>
      <c r="BN254">
        <f t="shared" si="396"/>
        <v>180</v>
      </c>
      <c r="BO254">
        <f t="shared" si="397"/>
        <v>38.812251187494631</v>
      </c>
      <c r="BP254">
        <f t="shared" si="398"/>
        <v>180</v>
      </c>
      <c r="BQ254">
        <f t="shared" si="399"/>
        <v>36.811263360071692</v>
      </c>
      <c r="BR254">
        <f t="shared" si="400"/>
        <v>197.4280478761454</v>
      </c>
      <c r="BS254">
        <f t="shared" si="401"/>
        <v>31.217808683018777</v>
      </c>
      <c r="BT254">
        <f t="shared" si="402"/>
        <v>212.79747122465224</v>
      </c>
      <c r="BU254">
        <f t="shared" si="403"/>
        <v>22.930756425404709</v>
      </c>
      <c r="BV254">
        <f t="shared" si="404"/>
        <v>225.34328038735799</v>
      </c>
      <c r="BW254">
        <f t="shared" si="405"/>
        <v>12.822214610282128</v>
      </c>
      <c r="BX254">
        <f t="shared" si="406"/>
        <v>235.37342752256384</v>
      </c>
      <c r="BY254">
        <f t="shared" si="407"/>
        <v>1.5268439307083672</v>
      </c>
      <c r="BZ254">
        <f t="shared" si="408"/>
        <v>243.5375541496787</v>
      </c>
      <c r="CA254">
        <f t="shared" si="409"/>
        <v>3.7457083017543744</v>
      </c>
      <c r="CB254">
        <f t="shared" si="410"/>
        <v>276.76052900068674</v>
      </c>
      <c r="CC254">
        <f t="shared" si="411"/>
        <v>0</v>
      </c>
      <c r="CD254">
        <f t="shared" si="412"/>
        <v>296.69906270241393</v>
      </c>
      <c r="CE254">
        <f t="shared" si="413"/>
        <v>0</v>
      </c>
      <c r="CF254">
        <f t="shared" si="414"/>
        <v>296.69906270241393</v>
      </c>
      <c r="CG254">
        <f t="shared" si="415"/>
        <v>0</v>
      </c>
      <c r="CH254">
        <f t="shared" si="416"/>
        <v>296.69906270241393</v>
      </c>
      <c r="CI254">
        <f t="shared" si="417"/>
        <v>0</v>
      </c>
      <c r="CJ254">
        <f t="shared" si="418"/>
        <v>296.69906270241393</v>
      </c>
      <c r="CK254">
        <f t="shared" si="419"/>
        <v>0</v>
      </c>
      <c r="CL254">
        <f t="shared" si="420"/>
        <v>296.69906270241393</v>
      </c>
    </row>
    <row r="255" spans="1:90" x14ac:dyDescent="0.25">
      <c r="B255" s="39">
        <v>0.5</v>
      </c>
      <c r="C255" s="38">
        <v>0</v>
      </c>
      <c r="D255" s="38">
        <f>+DEGREES(ASIN(COS(RADIANS(E246))*COS(RADIANS(D246))*COS(RADIANS(C255))+SIN(RADIANS(E246))*SIN(RADIANS(D246))))</f>
        <v>54.596346798145682</v>
      </c>
      <c r="E255" s="38">
        <f>+IF(E246&gt;=0,180,0)</f>
        <v>180</v>
      </c>
      <c r="G255">
        <f t="shared" si="365"/>
        <v>3.5403653201854315</v>
      </c>
      <c r="H255">
        <f t="shared" si="366"/>
        <v>-90</v>
      </c>
      <c r="I255" s="94">
        <f t="shared" si="367"/>
        <v>0</v>
      </c>
      <c r="J255" s="94">
        <f t="shared" si="368"/>
        <v>0</v>
      </c>
      <c r="M255" s="39">
        <v>0.5</v>
      </c>
      <c r="N255" s="38">
        <v>0</v>
      </c>
      <c r="O255" s="38">
        <f>+DEGREES(ASIN(COS(RADIANS(P246))*COS(RADIANS(O246))*COS(RADIANS(N255))+SIN(RADIANS(P246))*SIN(RADIANS(O246))))</f>
        <v>49.596346798145674</v>
      </c>
      <c r="P255" s="38">
        <f>+IF(P246&gt;=0,180,0)</f>
        <v>180</v>
      </c>
      <c r="R255">
        <f t="shared" si="369"/>
        <v>4.0403653201854324</v>
      </c>
      <c r="S255">
        <f t="shared" si="370"/>
        <v>-90</v>
      </c>
      <c r="T255" s="94">
        <f t="shared" si="371"/>
        <v>0</v>
      </c>
      <c r="U255" s="94">
        <f t="shared" si="372"/>
        <v>0</v>
      </c>
      <c r="AB255" s="39">
        <v>0.39583333333333698</v>
      </c>
      <c r="AC255">
        <f t="shared" si="364"/>
        <v>3.75</v>
      </c>
      <c r="AD255">
        <f t="shared" si="359"/>
        <v>0</v>
      </c>
      <c r="AE255" s="94">
        <f t="shared" si="360"/>
        <v>3.8210733526956546</v>
      </c>
      <c r="AF255">
        <f t="shared" si="361"/>
        <v>3.8210733526956546</v>
      </c>
      <c r="AG255" s="94">
        <f t="shared" si="362"/>
        <v>0</v>
      </c>
      <c r="AH255">
        <f t="shared" si="363"/>
        <v>-1.7447188610088931</v>
      </c>
      <c r="AP255" t="s">
        <v>57</v>
      </c>
      <c r="AQ255">
        <f t="shared" si="373"/>
        <v>0</v>
      </c>
      <c r="AR255">
        <f t="shared" si="374"/>
        <v>63.300937297586074</v>
      </c>
      <c r="AS255">
        <f t="shared" si="375"/>
        <v>0</v>
      </c>
      <c r="AT255">
        <f t="shared" si="376"/>
        <v>63.300937297586074</v>
      </c>
      <c r="AU255">
        <f t="shared" si="377"/>
        <v>0</v>
      </c>
      <c r="AV255">
        <f t="shared" si="378"/>
        <v>63.300937297586074</v>
      </c>
      <c r="AW255">
        <f t="shared" si="379"/>
        <v>0</v>
      </c>
      <c r="AX255">
        <f t="shared" si="380"/>
        <v>63.300937297586074</v>
      </c>
      <c r="AY255">
        <f t="shared" si="381"/>
        <v>0</v>
      </c>
      <c r="AZ255">
        <f t="shared" si="382"/>
        <v>63.300937297586074</v>
      </c>
      <c r="BA255">
        <f t="shared" si="383"/>
        <v>3.7457083017543744</v>
      </c>
      <c r="BB255">
        <f t="shared" si="384"/>
        <v>83.239470999313269</v>
      </c>
      <c r="BC255">
        <f t="shared" si="385"/>
        <v>5.1256761006130356</v>
      </c>
      <c r="BD255">
        <f t="shared" si="386"/>
        <v>110.74796771639679</v>
      </c>
      <c r="BE255">
        <f t="shared" si="387"/>
        <v>17.012874995336517</v>
      </c>
      <c r="BF255">
        <f t="shared" si="388"/>
        <v>119.15629368068804</v>
      </c>
      <c r="BG255">
        <f t="shared" si="389"/>
        <v>27.847371205928958</v>
      </c>
      <c r="BH255">
        <f t="shared" si="390"/>
        <v>129.54363287993408</v>
      </c>
      <c r="BI255">
        <f t="shared" si="391"/>
        <v>36.94444539822846</v>
      </c>
      <c r="BJ255">
        <f t="shared" si="392"/>
        <v>142.89664703004638</v>
      </c>
      <c r="BK255">
        <f t="shared" si="393"/>
        <v>43.2535093097095</v>
      </c>
      <c r="BL255">
        <f t="shared" si="394"/>
        <v>159.96090838605289</v>
      </c>
      <c r="BM255">
        <f t="shared" si="395"/>
        <v>45.556583423446973</v>
      </c>
      <c r="BN255">
        <f t="shared" si="396"/>
        <v>180</v>
      </c>
      <c r="BO255">
        <f t="shared" si="397"/>
        <v>45.556583423446973</v>
      </c>
      <c r="BP255">
        <f t="shared" si="398"/>
        <v>180</v>
      </c>
      <c r="BQ255">
        <f t="shared" si="399"/>
        <v>43.2535093097095</v>
      </c>
      <c r="BR255">
        <f t="shared" si="400"/>
        <v>200.03909161394711</v>
      </c>
      <c r="BS255">
        <f t="shared" si="401"/>
        <v>36.94444539822846</v>
      </c>
      <c r="BT255">
        <f t="shared" si="402"/>
        <v>217.10335296995362</v>
      </c>
      <c r="BU255">
        <f t="shared" si="403"/>
        <v>27.847371205928958</v>
      </c>
      <c r="BV255">
        <f t="shared" si="404"/>
        <v>230.45636712006592</v>
      </c>
      <c r="BW255">
        <f t="shared" si="405"/>
        <v>17.012874995336517</v>
      </c>
      <c r="BX255">
        <f t="shared" si="406"/>
        <v>240.84370631931196</v>
      </c>
      <c r="BY255">
        <f t="shared" si="407"/>
        <v>5.1256761006130356</v>
      </c>
      <c r="BZ255">
        <f t="shared" si="408"/>
        <v>249.25203228360323</v>
      </c>
      <c r="CA255">
        <f t="shared" si="409"/>
        <v>3.7457083017543744</v>
      </c>
      <c r="CB255">
        <f t="shared" si="410"/>
        <v>276.76052900068674</v>
      </c>
      <c r="CC255">
        <f t="shared" si="411"/>
        <v>0</v>
      </c>
      <c r="CD255">
        <f t="shared" si="412"/>
        <v>296.69906270241393</v>
      </c>
      <c r="CE255">
        <f t="shared" si="413"/>
        <v>0</v>
      </c>
      <c r="CF255">
        <f t="shared" si="414"/>
        <v>296.69906270241393</v>
      </c>
      <c r="CG255">
        <f t="shared" si="415"/>
        <v>0</v>
      </c>
      <c r="CH255">
        <f t="shared" si="416"/>
        <v>296.69906270241393</v>
      </c>
      <c r="CI255">
        <f t="shared" si="417"/>
        <v>0</v>
      </c>
      <c r="CJ255">
        <f t="shared" si="418"/>
        <v>296.69906270241393</v>
      </c>
      <c r="CK255">
        <f t="shared" si="419"/>
        <v>0</v>
      </c>
      <c r="CL255">
        <f t="shared" si="420"/>
        <v>296.69906270241393</v>
      </c>
    </row>
    <row r="256" spans="1:90" x14ac:dyDescent="0.25">
      <c r="B256" s="39">
        <v>0.54166666666666696</v>
      </c>
      <c r="C256">
        <v>-15</v>
      </c>
      <c r="D256" s="38">
        <f>+DEGREES(ASIN(COS(RADIANS(E246))*COS(RADIANS(D246))*COS(RADIANS(C256))+SIN(RADIANS(E246))*SIN(RADIANS(D246))))</f>
        <v>51.922718489418457</v>
      </c>
      <c r="E256" s="38">
        <f>-(180-DEGREES(ACOS((((SIN(RADIANS(D256)))*SIN(RADIANS(E246)))-SIN(RADIANS(D246)))/((COS(RADIANS(D256)))*COS(RADIANS(E246))))))</f>
        <v>-155.18704889162387</v>
      </c>
      <c r="G256">
        <f t="shared" si="365"/>
        <v>3.8077281510581544</v>
      </c>
      <c r="H256">
        <f t="shared" si="366"/>
        <v>245.18704889162387</v>
      </c>
      <c r="I256" s="94">
        <f t="shared" si="367"/>
        <v>0</v>
      </c>
      <c r="J256" s="94">
        <f t="shared" si="368"/>
        <v>0</v>
      </c>
      <c r="M256" s="39">
        <v>0.54166666666666696</v>
      </c>
      <c r="N256">
        <v>-15</v>
      </c>
      <c r="O256" s="38">
        <f>+DEGREES(ASIN(COS(RADIANS(P246))*COS(RADIANS(O246))*COS(RADIANS(N256))+SIN(RADIANS(P246))*SIN(RADIANS(O246))))</f>
        <v>47.340628824570132</v>
      </c>
      <c r="P256" s="38">
        <f>-(180-DEGREES(ACOS((((SIN(RADIANS(O256)))*SIN(RADIANS(P246)))-SIN(RADIANS(O246)))/((COS(RADIANS(O256)))*COS(RADIANS(P246))))))</f>
        <v>-157.54651601054096</v>
      </c>
      <c r="R256">
        <f t="shared" si="369"/>
        <v>4.265937117542987</v>
      </c>
      <c r="S256">
        <f t="shared" si="370"/>
        <v>247.54651601054096</v>
      </c>
      <c r="T256" s="94">
        <f t="shared" si="371"/>
        <v>0</v>
      </c>
      <c r="U256" s="94">
        <f t="shared" si="372"/>
        <v>0</v>
      </c>
      <c r="AA256">
        <v>8</v>
      </c>
      <c r="AB256" s="39">
        <v>0.406250000000004</v>
      </c>
      <c r="AC256">
        <f t="shared" si="364"/>
        <v>3.375</v>
      </c>
      <c r="AD256">
        <f t="shared" si="359"/>
        <v>0</v>
      </c>
      <c r="AE256" s="94">
        <f t="shared" si="360"/>
        <v>3.4406310064569174</v>
      </c>
      <c r="AF256">
        <f t="shared" si="361"/>
        <v>3.4406310064569174</v>
      </c>
      <c r="AG256" s="94">
        <f t="shared" si="362"/>
        <v>0</v>
      </c>
      <c r="AH256">
        <f t="shared" si="363"/>
        <v>-1.8021528826399207</v>
      </c>
      <c r="AI256">
        <v>8</v>
      </c>
      <c r="AP256" t="s">
        <v>58</v>
      </c>
      <c r="AQ256">
        <f t="shared" si="373"/>
        <v>0</v>
      </c>
      <c r="AR256">
        <f t="shared" si="374"/>
        <v>63.300937297586074</v>
      </c>
      <c r="AS256">
        <f t="shared" si="375"/>
        <v>0</v>
      </c>
      <c r="AT256">
        <f t="shared" si="376"/>
        <v>63.300937297586074</v>
      </c>
      <c r="AU256">
        <f t="shared" si="377"/>
        <v>0</v>
      </c>
      <c r="AV256">
        <f t="shared" si="378"/>
        <v>63.300937297586074</v>
      </c>
      <c r="AW256">
        <f t="shared" si="379"/>
        <v>0</v>
      </c>
      <c r="AX256">
        <f t="shared" si="380"/>
        <v>63.300937297586074</v>
      </c>
      <c r="AY256">
        <f t="shared" si="381"/>
        <v>0</v>
      </c>
      <c r="AZ256">
        <f t="shared" si="382"/>
        <v>63.300937297586074</v>
      </c>
      <c r="BA256">
        <f t="shared" si="383"/>
        <v>3.7457083017543744</v>
      </c>
      <c r="BB256">
        <f t="shared" si="384"/>
        <v>83.239470999313269</v>
      </c>
      <c r="BC256">
        <f t="shared" si="385"/>
        <v>10.944236718611343</v>
      </c>
      <c r="BD256">
        <f t="shared" si="386"/>
        <v>101.14015957211414</v>
      </c>
      <c r="BE256">
        <f t="shared" si="387"/>
        <v>23.5820196394737</v>
      </c>
      <c r="BF256">
        <f t="shared" si="388"/>
        <v>109.54442448396416</v>
      </c>
      <c r="BG256">
        <f t="shared" si="389"/>
        <v>35.49071849161092</v>
      </c>
      <c r="BH256">
        <f t="shared" si="390"/>
        <v>119.99048573125475</v>
      </c>
      <c r="BI256">
        <f t="shared" si="391"/>
        <v>45.978655929743674</v>
      </c>
      <c r="BJ256">
        <f t="shared" si="392"/>
        <v>134.1470799889712</v>
      </c>
      <c r="BK256">
        <f t="shared" si="393"/>
        <v>53.721651477607679</v>
      </c>
      <c r="BL256">
        <f t="shared" si="394"/>
        <v>154.13665034646286</v>
      </c>
      <c r="BM256">
        <f t="shared" si="395"/>
        <v>56.704473564735594</v>
      </c>
      <c r="BN256">
        <f t="shared" si="396"/>
        <v>180</v>
      </c>
      <c r="BO256">
        <f t="shared" si="397"/>
        <v>56.704473564735594</v>
      </c>
      <c r="BP256">
        <f t="shared" si="398"/>
        <v>180</v>
      </c>
      <c r="BQ256">
        <f t="shared" si="399"/>
        <v>53.721651477607679</v>
      </c>
      <c r="BR256">
        <f t="shared" si="400"/>
        <v>205.86334965353714</v>
      </c>
      <c r="BS256">
        <f t="shared" si="401"/>
        <v>45.978655929743674</v>
      </c>
      <c r="BT256">
        <f t="shared" si="402"/>
        <v>225.8529200110288</v>
      </c>
      <c r="BU256">
        <f t="shared" si="403"/>
        <v>35.49071849161092</v>
      </c>
      <c r="BV256">
        <f t="shared" si="404"/>
        <v>240.00951426874525</v>
      </c>
      <c r="BW256">
        <f t="shared" si="405"/>
        <v>23.5820196394737</v>
      </c>
      <c r="BX256">
        <f t="shared" si="406"/>
        <v>250.45557551603582</v>
      </c>
      <c r="BY256">
        <f t="shared" si="407"/>
        <v>10.944236718611343</v>
      </c>
      <c r="BZ256">
        <f t="shared" si="408"/>
        <v>258.85984042788584</v>
      </c>
      <c r="CA256">
        <f t="shared" si="409"/>
        <v>3.7457083017543744</v>
      </c>
      <c r="CB256">
        <f t="shared" si="410"/>
        <v>276.76052900068674</v>
      </c>
      <c r="CC256">
        <f t="shared" si="411"/>
        <v>0</v>
      </c>
      <c r="CD256">
        <f t="shared" si="412"/>
        <v>296.69906270241393</v>
      </c>
      <c r="CE256">
        <f t="shared" si="413"/>
        <v>0</v>
      </c>
      <c r="CF256">
        <f t="shared" si="414"/>
        <v>296.69906270241393</v>
      </c>
      <c r="CG256">
        <f t="shared" si="415"/>
        <v>0</v>
      </c>
      <c r="CH256">
        <f t="shared" si="416"/>
        <v>296.69906270241393</v>
      </c>
      <c r="CI256">
        <f t="shared" si="417"/>
        <v>0</v>
      </c>
      <c r="CJ256">
        <f t="shared" si="418"/>
        <v>296.69906270241393</v>
      </c>
      <c r="CK256">
        <f t="shared" si="419"/>
        <v>0</v>
      </c>
      <c r="CL256">
        <f t="shared" si="420"/>
        <v>296.69906270241393</v>
      </c>
    </row>
    <row r="257" spans="1:90" x14ac:dyDescent="0.25">
      <c r="B257" s="39">
        <v>0.58333333333333304</v>
      </c>
      <c r="C257" s="38">
        <v>-30</v>
      </c>
      <c r="D257" s="38">
        <f>+DEGREES(ASIN(COS(RADIANS(E246))*COS(RADIANS(D246))*COS(RADIANS(C257))+SIN(RADIANS(E246))*SIN(RADIANS(D246))))</f>
        <v>44.857666756708923</v>
      </c>
      <c r="E257" s="38">
        <f>-(180-DEGREES(ACOS((((SIN(RADIANS(D257)))*SIN(RADIANS(E246)))-SIN(RADIANS(D246)))/((COS(RADIANS(D257)))*COS(RADIANS(E246))))))</f>
        <v>-135.1430444212443</v>
      </c>
      <c r="G257">
        <f t="shared" si="365"/>
        <v>4.5142333243291075</v>
      </c>
      <c r="H257">
        <f t="shared" si="366"/>
        <v>225.1430444212443</v>
      </c>
      <c r="I257" s="94">
        <f t="shared" si="367"/>
        <v>0</v>
      </c>
      <c r="J257" s="94">
        <f t="shared" si="368"/>
        <v>0</v>
      </c>
      <c r="M257" s="39">
        <v>0.58333333333333304</v>
      </c>
      <c r="N257" s="38">
        <v>-30</v>
      </c>
      <c r="O257" s="38">
        <f>+DEGREES(ASIN(COS(RADIANS(P246))*COS(RADIANS(O246))*COS(RADIANS(N257))+SIN(RADIANS(P246))*SIN(RADIANS(O246))))</f>
        <v>41.213675801003689</v>
      </c>
      <c r="P257" s="38">
        <f>-(180-DEGREES(ACOS((((SIN(RADIANS(O257)))*SIN(RADIANS(P246)))-SIN(RADIANS(O246)))/((COS(RADIANS(O257)))*COS(RADIANS(P246))))))</f>
        <v>-138.34456757188187</v>
      </c>
      <c r="R257">
        <f t="shared" si="369"/>
        <v>4.8786324198996311</v>
      </c>
      <c r="S257">
        <f t="shared" si="370"/>
        <v>228.34456757188187</v>
      </c>
      <c r="T257" s="94">
        <f t="shared" si="371"/>
        <v>0</v>
      </c>
      <c r="U257" s="94">
        <f t="shared" si="372"/>
        <v>0</v>
      </c>
      <c r="AB257" s="39">
        <v>0.41666666666667102</v>
      </c>
      <c r="AC257">
        <f t="shared" si="364"/>
        <v>3</v>
      </c>
      <c r="AD257">
        <f t="shared" si="359"/>
        <v>0</v>
      </c>
      <c r="AE257" s="94">
        <f t="shared" si="360"/>
        <v>3.0596342520920516</v>
      </c>
      <c r="AF257">
        <f t="shared" si="361"/>
        <v>3.0596342520920516</v>
      </c>
      <c r="AG257" s="94">
        <f t="shared" si="362"/>
        <v>0</v>
      </c>
      <c r="AH257">
        <f t="shared" si="363"/>
        <v>-1.8530274005667327</v>
      </c>
      <c r="AP257" t="s">
        <v>59</v>
      </c>
      <c r="AQ257">
        <f t="shared" si="373"/>
        <v>0</v>
      </c>
      <c r="AR257">
        <f t="shared" si="374"/>
        <v>63.300937297586074</v>
      </c>
      <c r="AS257">
        <f t="shared" si="375"/>
        <v>0</v>
      </c>
      <c r="AT257">
        <f t="shared" si="376"/>
        <v>63.300937297586074</v>
      </c>
      <c r="AU257">
        <f t="shared" si="377"/>
        <v>0</v>
      </c>
      <c r="AV257">
        <f t="shared" si="378"/>
        <v>63.300937297586074</v>
      </c>
      <c r="AW257">
        <f t="shared" si="379"/>
        <v>0</v>
      </c>
      <c r="AX257">
        <f t="shared" si="380"/>
        <v>63.300937297586074</v>
      </c>
      <c r="AY257">
        <f t="shared" si="381"/>
        <v>0</v>
      </c>
      <c r="AZ257">
        <f t="shared" si="382"/>
        <v>63.300937297586074</v>
      </c>
      <c r="BA257">
        <f t="shared" si="383"/>
        <v>3.7457083017543744</v>
      </c>
      <c r="BB257">
        <f t="shared" si="384"/>
        <v>83.239470999313269</v>
      </c>
      <c r="BC257">
        <f t="shared" si="385"/>
        <v>16.826145638621131</v>
      </c>
      <c r="BD257">
        <f t="shared" si="386"/>
        <v>90.430026005197348</v>
      </c>
      <c r="BE257">
        <f t="shared" si="387"/>
        <v>29.88984365984685</v>
      </c>
      <c r="BF257">
        <f t="shared" si="388"/>
        <v>98.178925560955776</v>
      </c>
      <c r="BG257">
        <f t="shared" si="389"/>
        <v>42.663463448393529</v>
      </c>
      <c r="BH257">
        <f t="shared" si="390"/>
        <v>107.66062257112267</v>
      </c>
      <c r="BI257">
        <f t="shared" si="391"/>
        <v>54.618641174592703</v>
      </c>
      <c r="BJ257">
        <f t="shared" si="392"/>
        <v>121.16307222620452</v>
      </c>
      <c r="BK257">
        <f t="shared" si="393"/>
        <v>64.399813806231478</v>
      </c>
      <c r="BL257">
        <f t="shared" si="394"/>
        <v>143.58998089453021</v>
      </c>
      <c r="BM257">
        <f t="shared" si="395"/>
        <v>68.644628908165231</v>
      </c>
      <c r="BN257">
        <f t="shared" si="396"/>
        <v>180</v>
      </c>
      <c r="BO257">
        <f t="shared" si="397"/>
        <v>68.644628908165231</v>
      </c>
      <c r="BP257">
        <f t="shared" si="398"/>
        <v>180</v>
      </c>
      <c r="BQ257">
        <f t="shared" si="399"/>
        <v>64.399813806231478</v>
      </c>
      <c r="BR257">
        <f t="shared" si="400"/>
        <v>216.41001910546979</v>
      </c>
      <c r="BS257">
        <f t="shared" si="401"/>
        <v>54.618641174592703</v>
      </c>
      <c r="BT257">
        <f t="shared" si="402"/>
        <v>238.83692777379548</v>
      </c>
      <c r="BU257">
        <f t="shared" si="403"/>
        <v>42.663463448393529</v>
      </c>
      <c r="BV257">
        <f t="shared" si="404"/>
        <v>252.33937742887733</v>
      </c>
      <c r="BW257">
        <f t="shared" si="405"/>
        <v>29.88984365984685</v>
      </c>
      <c r="BX257">
        <f t="shared" si="406"/>
        <v>261.8210744390442</v>
      </c>
      <c r="BY257">
        <f t="shared" si="407"/>
        <v>16.826145638621131</v>
      </c>
      <c r="BZ257">
        <f t="shared" si="408"/>
        <v>269.56997399480264</v>
      </c>
      <c r="CA257">
        <f t="shared" si="409"/>
        <v>3.7457083017543744</v>
      </c>
      <c r="CB257">
        <f t="shared" si="410"/>
        <v>276.76052900068674</v>
      </c>
      <c r="CC257">
        <f t="shared" si="411"/>
        <v>0</v>
      </c>
      <c r="CD257">
        <f t="shared" si="412"/>
        <v>296.69906270241393</v>
      </c>
      <c r="CE257">
        <f t="shared" si="413"/>
        <v>0</v>
      </c>
      <c r="CF257">
        <f t="shared" si="414"/>
        <v>296.69906270241393</v>
      </c>
      <c r="CG257">
        <f t="shared" si="415"/>
        <v>0</v>
      </c>
      <c r="CH257">
        <f t="shared" si="416"/>
        <v>296.69906270241393</v>
      </c>
      <c r="CI257">
        <f t="shared" si="417"/>
        <v>0</v>
      </c>
      <c r="CJ257">
        <f t="shared" si="418"/>
        <v>296.69906270241393</v>
      </c>
      <c r="CK257">
        <f t="shared" si="419"/>
        <v>0</v>
      </c>
      <c r="CL257">
        <f t="shared" si="420"/>
        <v>296.69906270241393</v>
      </c>
    </row>
    <row r="258" spans="1:90" x14ac:dyDescent="0.25">
      <c r="B258" s="39">
        <v>0.625</v>
      </c>
      <c r="C258">
        <v>-45</v>
      </c>
      <c r="D258" s="38">
        <f>+DEGREES(ASIN(COS(RADIANS(E246))*COS(RADIANS(D246))*COS(RADIANS(C258))+SIN(RADIANS(E246))*SIN(RADIANS(D246))))</f>
        <v>35.111729759019639</v>
      </c>
      <c r="E258" s="38">
        <f>-(180-DEGREES(ACOS((((SIN(RADIANS(D258)))*SIN(RADIANS(E246)))-SIN(RADIANS(D246)))/((COS(RADIANS(D258)))*COS(RADIANS(E246))))))</f>
        <v>-120.18818988919975</v>
      </c>
      <c r="G258">
        <f t="shared" si="365"/>
        <v>5.4888270240980361</v>
      </c>
      <c r="H258">
        <f t="shared" si="366"/>
        <v>210.18818988919975</v>
      </c>
      <c r="I258" s="94">
        <f t="shared" si="367"/>
        <v>0</v>
      </c>
      <c r="J258" s="94">
        <f t="shared" si="368"/>
        <v>0</v>
      </c>
      <c r="M258" s="39">
        <v>0.625</v>
      </c>
      <c r="N258">
        <v>-45</v>
      </c>
      <c r="O258" s="38">
        <f>+DEGREES(ASIN(COS(RADIANS(P246))*COS(RADIANS(O246))*COS(RADIANS(N258))+SIN(RADIANS(P246))*SIN(RADIANS(O246))))</f>
        <v>32.488704386447722</v>
      </c>
      <c r="P258" s="38">
        <f>-(180-DEGREES(ACOS((((SIN(RADIANS(O258)))*SIN(RADIANS(P246)))-SIN(RADIANS(O246)))/((COS(RADIANS(O258)))*COS(RADIANS(P246))))))</f>
        <v>-123.04078211842585</v>
      </c>
      <c r="R258">
        <f t="shared" si="369"/>
        <v>5.7511295613552278</v>
      </c>
      <c r="S258">
        <f t="shared" si="370"/>
        <v>213.04078211842585</v>
      </c>
      <c r="T258" s="94">
        <f t="shared" si="371"/>
        <v>0</v>
      </c>
      <c r="U258" s="94">
        <f t="shared" si="372"/>
        <v>0</v>
      </c>
      <c r="AA258">
        <v>9</v>
      </c>
      <c r="AB258" s="39">
        <v>0.42708333333333798</v>
      </c>
      <c r="AC258">
        <f t="shared" si="364"/>
        <v>2.625</v>
      </c>
      <c r="AD258">
        <f t="shared" si="359"/>
        <v>0</v>
      </c>
      <c r="AE258" s="94">
        <f t="shared" si="360"/>
        <v>2.6781611422049059</v>
      </c>
      <c r="AF258">
        <f t="shared" si="361"/>
        <v>2.6781611422049059</v>
      </c>
      <c r="AG258" s="94">
        <f t="shared" si="362"/>
        <v>0</v>
      </c>
      <c r="AH258">
        <f t="shared" si="363"/>
        <v>-1.8975215139455375</v>
      </c>
      <c r="AI258">
        <v>9</v>
      </c>
      <c r="AP258" t="s">
        <v>60</v>
      </c>
      <c r="AQ258">
        <f t="shared" si="373"/>
        <v>0</v>
      </c>
      <c r="AR258">
        <f t="shared" si="374"/>
        <v>63.300937297586074</v>
      </c>
      <c r="AS258">
        <f t="shared" si="375"/>
        <v>0</v>
      </c>
      <c r="AT258">
        <f t="shared" si="376"/>
        <v>63.300937297586074</v>
      </c>
      <c r="AU258">
        <f t="shared" si="377"/>
        <v>0</v>
      </c>
      <c r="AV258">
        <f t="shared" si="378"/>
        <v>63.300937297586074</v>
      </c>
      <c r="AW258">
        <f t="shared" si="379"/>
        <v>0</v>
      </c>
      <c r="AX258">
        <f t="shared" si="380"/>
        <v>63.300937297586074</v>
      </c>
      <c r="AY258">
        <f t="shared" si="381"/>
        <v>0</v>
      </c>
      <c r="AZ258">
        <f t="shared" si="382"/>
        <v>63.300937297586074</v>
      </c>
      <c r="BA258">
        <f t="shared" si="383"/>
        <v>8.5974359692729667</v>
      </c>
      <c r="BB258">
        <f t="shared" si="384"/>
        <v>74.225135377203927</v>
      </c>
      <c r="BC258">
        <f t="shared" si="385"/>
        <v>21.390284745138615</v>
      </c>
      <c r="BD258">
        <f t="shared" si="386"/>
        <v>80.785090541413638</v>
      </c>
      <c r="BE258">
        <f t="shared" si="387"/>
        <v>34.421688460547578</v>
      </c>
      <c r="BF258">
        <f t="shared" si="388"/>
        <v>87.389663704152156</v>
      </c>
      <c r="BG258">
        <f t="shared" si="389"/>
        <v>47.519261224452976</v>
      </c>
      <c r="BH258">
        <f t="shared" si="390"/>
        <v>94.944817071916091</v>
      </c>
      <c r="BI258">
        <f t="shared" si="391"/>
        <v>60.418849938512295</v>
      </c>
      <c r="BJ258">
        <f t="shared" si="392"/>
        <v>105.47388867741584</v>
      </c>
      <c r="BK258">
        <f t="shared" si="393"/>
        <v>72.313335780227064</v>
      </c>
      <c r="BL258">
        <f t="shared" si="394"/>
        <v>125.84444444383482</v>
      </c>
      <c r="BM258">
        <f t="shared" si="395"/>
        <v>78.833187969938209</v>
      </c>
      <c r="BN258">
        <f t="shared" si="396"/>
        <v>180</v>
      </c>
      <c r="BO258">
        <f t="shared" si="397"/>
        <v>78.833187969938209</v>
      </c>
      <c r="BP258">
        <f t="shared" si="398"/>
        <v>180</v>
      </c>
      <c r="BQ258">
        <f t="shared" si="399"/>
        <v>72.313335780227064</v>
      </c>
      <c r="BR258">
        <f t="shared" si="400"/>
        <v>234.15555555616518</v>
      </c>
      <c r="BS258">
        <f t="shared" si="401"/>
        <v>60.418849938512295</v>
      </c>
      <c r="BT258">
        <f t="shared" si="402"/>
        <v>254.52611132258414</v>
      </c>
      <c r="BU258">
        <f t="shared" si="403"/>
        <v>47.519261224452976</v>
      </c>
      <c r="BV258">
        <f t="shared" si="404"/>
        <v>265.05518292808392</v>
      </c>
      <c r="BW258">
        <f t="shared" si="405"/>
        <v>34.421688460547578</v>
      </c>
      <c r="BX258">
        <f t="shared" si="406"/>
        <v>272.61033629584784</v>
      </c>
      <c r="BY258">
        <f t="shared" si="407"/>
        <v>21.390284745138615</v>
      </c>
      <c r="BZ258">
        <f t="shared" si="408"/>
        <v>279.21490945858636</v>
      </c>
      <c r="CA258">
        <f t="shared" si="409"/>
        <v>8.5974359692729667</v>
      </c>
      <c r="CB258">
        <f t="shared" si="410"/>
        <v>285.77486462279609</v>
      </c>
      <c r="CC258">
        <f t="shared" si="411"/>
        <v>0</v>
      </c>
      <c r="CD258">
        <f t="shared" si="412"/>
        <v>296.69906270241393</v>
      </c>
      <c r="CE258">
        <f t="shared" si="413"/>
        <v>0</v>
      </c>
      <c r="CF258">
        <f t="shared" si="414"/>
        <v>296.69906270241393</v>
      </c>
      <c r="CG258">
        <f t="shared" si="415"/>
        <v>0</v>
      </c>
      <c r="CH258">
        <f t="shared" si="416"/>
        <v>296.69906270241393</v>
      </c>
      <c r="CI258">
        <f t="shared" si="417"/>
        <v>0</v>
      </c>
      <c r="CJ258">
        <f t="shared" si="418"/>
        <v>296.69906270241393</v>
      </c>
      <c r="CK258">
        <f t="shared" si="419"/>
        <v>0</v>
      </c>
      <c r="CL258">
        <f t="shared" si="420"/>
        <v>296.69906270241393</v>
      </c>
    </row>
    <row r="259" spans="1:90" x14ac:dyDescent="0.25">
      <c r="B259" s="39">
        <v>0.66666666666666696</v>
      </c>
      <c r="C259" s="38">
        <v>-60</v>
      </c>
      <c r="D259" s="38">
        <f>+DEGREES(ASIN(COS(RADIANS(E246))*COS(RADIANS(D246))*COS(RADIANS(C259))+SIN(RADIANS(E246))*SIN(RADIANS(D246))))</f>
        <v>23.924030583709875</v>
      </c>
      <c r="E259" s="38">
        <f>-(180-DEGREES(ACOS((((SIN(RADIANS(D259)))*SIN(RADIANS(E246)))-SIN(RADIANS(D246)))/((COS(RADIANS(D259)))*COS(RADIANS(E246))))))</f>
        <v>-108.66591387786362</v>
      </c>
      <c r="G259">
        <f t="shared" si="365"/>
        <v>6.6075969416290121</v>
      </c>
      <c r="H259">
        <f t="shared" si="366"/>
        <v>198.6659138778636</v>
      </c>
      <c r="I259" s="94">
        <f t="shared" si="367"/>
        <v>0</v>
      </c>
      <c r="J259" s="94">
        <f t="shared" si="368"/>
        <v>0</v>
      </c>
      <c r="M259" s="39">
        <v>0.66666666666666696</v>
      </c>
      <c r="N259" s="38">
        <v>-60</v>
      </c>
      <c r="O259" s="38">
        <f>+DEGREES(ASIN(COS(RADIANS(P246))*COS(RADIANS(O246))*COS(RADIANS(N259))+SIN(RADIANS(P246))*SIN(RADIANS(O246))))</f>
        <v>22.23982612103455</v>
      </c>
      <c r="P259" s="38">
        <f>-(180-DEGREES(ACOS((((SIN(RADIANS(O259)))*SIN(RADIANS(P246)))-SIN(RADIANS(O246)))/((COS(RADIANS(O259)))*COS(RADIANS(P246))))))</f>
        <v>-110.67377019183745</v>
      </c>
      <c r="R259">
        <f t="shared" si="369"/>
        <v>6.7760173878965446</v>
      </c>
      <c r="S259">
        <f t="shared" si="370"/>
        <v>200.67377019183743</v>
      </c>
      <c r="T259" s="94">
        <f t="shared" si="371"/>
        <v>0</v>
      </c>
      <c r="U259" s="94">
        <f t="shared" si="372"/>
        <v>0</v>
      </c>
      <c r="AB259" s="39">
        <v>0.437500000000005</v>
      </c>
      <c r="AC259">
        <f t="shared" si="364"/>
        <v>2.25</v>
      </c>
      <c r="AD259">
        <f t="shared" si="359"/>
        <v>0</v>
      </c>
      <c r="AE259" s="94">
        <f t="shared" si="360"/>
        <v>2.2962834592229857</v>
      </c>
      <c r="AF259">
        <f t="shared" si="361"/>
        <v>2.2962834592229857</v>
      </c>
      <c r="AG259" s="94">
        <f t="shared" si="362"/>
        <v>0</v>
      </c>
      <c r="AH259">
        <f t="shared" si="363"/>
        <v>-1.935788518388734</v>
      </c>
      <c r="AP259" t="s">
        <v>61</v>
      </c>
      <c r="AQ259">
        <f t="shared" ref="AQ259:BM259" si="421">+AQ248</f>
        <v>0</v>
      </c>
      <c r="AR259">
        <f t="shared" si="421"/>
        <v>63.300937297586074</v>
      </c>
      <c r="AS259">
        <f t="shared" si="421"/>
        <v>0</v>
      </c>
      <c r="AT259">
        <f t="shared" si="421"/>
        <v>63.300937297586074</v>
      </c>
      <c r="AU259">
        <f t="shared" si="421"/>
        <v>0</v>
      </c>
      <c r="AV259">
        <f t="shared" si="421"/>
        <v>63.300937297586074</v>
      </c>
      <c r="AW259">
        <f t="shared" si="421"/>
        <v>0</v>
      </c>
      <c r="AX259">
        <f t="shared" si="421"/>
        <v>63.300937297586074</v>
      </c>
      <c r="AY259">
        <f t="shared" si="421"/>
        <v>0</v>
      </c>
      <c r="AZ259">
        <f t="shared" si="421"/>
        <v>63.300937297586074</v>
      </c>
      <c r="BA259">
        <f t="shared" si="421"/>
        <v>11.002251178794777</v>
      </c>
      <c r="BB259">
        <f t="shared" si="421"/>
        <v>69.537585435747644</v>
      </c>
      <c r="BC259">
        <f t="shared" si="421"/>
        <v>23.507733059132701</v>
      </c>
      <c r="BD259">
        <f t="shared" si="421"/>
        <v>75.636975428271541</v>
      </c>
      <c r="BE259">
        <f t="shared" si="421"/>
        <v>36.350375327550033</v>
      </c>
      <c r="BF259">
        <f t="shared" si="421"/>
        <v>81.455117320378122</v>
      </c>
      <c r="BG259">
        <f t="shared" si="421"/>
        <v>49.392241958613631</v>
      </c>
      <c r="BH259">
        <f t="shared" si="421"/>
        <v>87.614133955275165</v>
      </c>
      <c r="BI259">
        <f t="shared" si="421"/>
        <v>62.487949611154917</v>
      </c>
      <c r="BJ259">
        <f t="shared" si="421"/>
        <v>95.458320455047897</v>
      </c>
      <c r="BK259">
        <f t="shared" si="421"/>
        <v>75.286617836966144</v>
      </c>
      <c r="BL259">
        <f t="shared" si="421"/>
        <v>110.41519717198776</v>
      </c>
      <c r="BM259">
        <f t="shared" si="421"/>
        <v>84.040484116651811</v>
      </c>
      <c r="BN259">
        <f>IF(BN248=0,180,BN248)</f>
        <v>180</v>
      </c>
      <c r="BO259">
        <f>+BO248</f>
        <v>84.040484116651811</v>
      </c>
      <c r="BP259">
        <f>IF(BP248=360,180,BP248)</f>
        <v>180</v>
      </c>
      <c r="BQ259">
        <f t="shared" ref="BQ259:CL259" si="422">+BQ248</f>
        <v>75.286617836966144</v>
      </c>
      <c r="BR259">
        <f t="shared" si="422"/>
        <v>249.58480282801224</v>
      </c>
      <c r="BS259">
        <f t="shared" si="422"/>
        <v>62.487949611154917</v>
      </c>
      <c r="BT259">
        <f t="shared" si="422"/>
        <v>264.5416795449521</v>
      </c>
      <c r="BU259">
        <f t="shared" si="422"/>
        <v>49.392241958613631</v>
      </c>
      <c r="BV259">
        <f t="shared" si="422"/>
        <v>272.38586604472482</v>
      </c>
      <c r="BW259">
        <f t="shared" si="422"/>
        <v>36.350375327550033</v>
      </c>
      <c r="BX259">
        <f t="shared" si="422"/>
        <v>278.54488267962188</v>
      </c>
      <c r="BY259">
        <f t="shared" si="422"/>
        <v>23.507733059132701</v>
      </c>
      <c r="BZ259">
        <f t="shared" si="422"/>
        <v>284.36302457172849</v>
      </c>
      <c r="CA259">
        <f t="shared" si="422"/>
        <v>11.002251178794777</v>
      </c>
      <c r="CB259">
        <f t="shared" si="422"/>
        <v>290.46241456425236</v>
      </c>
      <c r="CC259">
        <f t="shared" si="422"/>
        <v>0</v>
      </c>
      <c r="CD259">
        <f t="shared" si="422"/>
        <v>296.69906270241393</v>
      </c>
      <c r="CE259">
        <f t="shared" si="422"/>
        <v>0</v>
      </c>
      <c r="CF259">
        <f t="shared" si="422"/>
        <v>296.69906270241393</v>
      </c>
      <c r="CG259">
        <f t="shared" si="422"/>
        <v>0</v>
      </c>
      <c r="CH259">
        <f t="shared" si="422"/>
        <v>296.69906270241393</v>
      </c>
      <c r="CI259">
        <f t="shared" si="422"/>
        <v>0</v>
      </c>
      <c r="CJ259">
        <f t="shared" si="422"/>
        <v>296.69906270241393</v>
      </c>
      <c r="CK259">
        <f t="shared" si="422"/>
        <v>0</v>
      </c>
      <c r="CL259">
        <f t="shared" si="422"/>
        <v>296.69906270241393</v>
      </c>
    </row>
    <row r="260" spans="1:90" x14ac:dyDescent="0.25">
      <c r="B260" s="39">
        <v>0.70833333333333404</v>
      </c>
      <c r="C260">
        <v>-75</v>
      </c>
      <c r="D260" s="38">
        <f>+DEGREES(ASIN(COS(RADIANS(E246))*COS(RADIANS(D246))*COS(RADIANS(C260))+SIN(RADIANS(E246))*SIN(RADIANS(D246))))</f>
        <v>12.003183070128085</v>
      </c>
      <c r="E260" s="38">
        <f>-(180-DEGREES(ACOS((((SIN(RADIANS(D260)))*SIN(RADIANS(E246)))-SIN(RADIANS(D246)))/((COS(RADIANS(D260)))*COS(RADIANS(E246))))))</f>
        <v>-99.071505636599269</v>
      </c>
      <c r="G260">
        <f t="shared" si="365"/>
        <v>7.7996816929871917</v>
      </c>
      <c r="H260">
        <f t="shared" si="366"/>
        <v>189.07150563659928</v>
      </c>
      <c r="I260" s="94">
        <f t="shared" si="367"/>
        <v>0</v>
      </c>
      <c r="J260" s="94">
        <f t="shared" si="368"/>
        <v>0</v>
      </c>
      <c r="M260" s="39">
        <v>0.70833333333333404</v>
      </c>
      <c r="N260">
        <v>-75</v>
      </c>
      <c r="O260" s="38">
        <f>+DEGREES(ASIN(COS(RADIANS(P246))*COS(RADIANS(O246))*COS(RADIANS(N260))+SIN(RADIANS(P246))*SIN(RADIANS(O246))))</f>
        <v>11.170748849463411</v>
      </c>
      <c r="P260" s="38">
        <f>-(180-DEGREES(ACOS((((SIN(RADIANS(O260)))*SIN(RADIANS(P246)))-SIN(RADIANS(O246)))/((COS(RADIANS(O260)))*COS(RADIANS(P246))))))</f>
        <v>-100.08303941337513</v>
      </c>
      <c r="R260">
        <f t="shared" si="369"/>
        <v>7.8829251150536592</v>
      </c>
      <c r="S260">
        <f t="shared" si="370"/>
        <v>190.08303941337513</v>
      </c>
      <c r="T260" s="94">
        <f t="shared" si="371"/>
        <v>0</v>
      </c>
      <c r="U260" s="94">
        <f t="shared" si="372"/>
        <v>0</v>
      </c>
      <c r="AA260">
        <v>10</v>
      </c>
      <c r="AB260" s="39">
        <v>0.44791666666667201</v>
      </c>
      <c r="AC260">
        <f t="shared" si="364"/>
        <v>1.875</v>
      </c>
      <c r="AD260">
        <f t="shared" si="359"/>
        <v>0</v>
      </c>
      <c r="AE260" s="94">
        <f t="shared" si="360"/>
        <v>1.9140678007591194</v>
      </c>
      <c r="AF260">
        <f t="shared" si="361"/>
        <v>1.9140678007591194</v>
      </c>
      <c r="AG260" s="94">
        <f t="shared" si="362"/>
        <v>0</v>
      </c>
      <c r="AH260">
        <f t="shared" si="363"/>
        <v>-1.967957795795344</v>
      </c>
      <c r="AI260">
        <v>10</v>
      </c>
    </row>
    <row r="261" spans="1:90" x14ac:dyDescent="0.25">
      <c r="B261" s="39">
        <v>0.75</v>
      </c>
      <c r="C261" s="38">
        <v>-90</v>
      </c>
      <c r="D261" s="38">
        <f>+DEGREES(ASIN(COS(RADIANS(E246))*COS(RADIANS(D246))*COS(RADIANS(C261))+SIN(RADIANS(E246))*SIN(RADIANS(D246))))</f>
        <v>-0.23152467989920697</v>
      </c>
      <c r="E261" s="38">
        <f>-(180-DEGREES(ACOS((((SIN(RADIANS(D261)))*SIN(RADIANS(E246)))-SIN(RADIANS(D246)))/((COS(RADIANS(D261)))*COS(RADIANS(E246))))))</f>
        <v>-90.330655145206109</v>
      </c>
      <c r="G261">
        <f t="shared" si="365"/>
        <v>9.0231524679899202</v>
      </c>
      <c r="H261">
        <f t="shared" si="366"/>
        <v>180.33065514520609</v>
      </c>
      <c r="I261" s="94">
        <f t="shared" si="367"/>
        <v>0</v>
      </c>
      <c r="J261" s="94">
        <f t="shared" si="368"/>
        <v>0</v>
      </c>
      <c r="M261" s="39">
        <v>0.75</v>
      </c>
      <c r="N261" s="38">
        <v>-90</v>
      </c>
      <c r="O261" s="38">
        <f>+DEGREES(ASIN(COS(RADIANS(P246))*COS(RADIANS(O246))*COS(RADIANS(N261))+SIN(RADIANS(P246))*SIN(RADIANS(O246))))</f>
        <v>-0.25946201723650403</v>
      </c>
      <c r="P261" s="38">
        <f>-(180-DEGREES(ACOS((((SIN(RADIANS(O261)))*SIN(RADIANS(P246)))-SIN(RADIANS(O246)))/((COS(RADIANS(O261)))*COS(RADIANS(P246))))))</f>
        <v>-90.309218405953629</v>
      </c>
      <c r="R261">
        <f t="shared" si="369"/>
        <v>9.0259462017236505</v>
      </c>
      <c r="S261">
        <f t="shared" si="370"/>
        <v>180.30921840595363</v>
      </c>
      <c r="T261" s="94">
        <f t="shared" si="371"/>
        <v>0</v>
      </c>
      <c r="U261" s="94">
        <f t="shared" si="372"/>
        <v>0</v>
      </c>
      <c r="AB261" s="39">
        <v>0.45833333333333898</v>
      </c>
      <c r="AC261">
        <f t="shared" si="364"/>
        <v>1.5</v>
      </c>
      <c r="AD261">
        <f t="shared" si="359"/>
        <v>0</v>
      </c>
      <c r="AE261" s="94">
        <f t="shared" si="360"/>
        <v>1.5315765330883693</v>
      </c>
      <c r="AF261">
        <f t="shared" si="361"/>
        <v>1.5315765330883693</v>
      </c>
      <c r="AG261" s="94">
        <f t="shared" si="362"/>
        <v>0</v>
      </c>
      <c r="AH261">
        <f t="shared" si="363"/>
        <v>-1.9941363731716393</v>
      </c>
    </row>
    <row r="262" spans="1:90" x14ac:dyDescent="0.25">
      <c r="AA262">
        <v>11</v>
      </c>
      <c r="AB262" s="39">
        <v>0.468750000000006</v>
      </c>
      <c r="AC262">
        <f t="shared" si="364"/>
        <v>1.125</v>
      </c>
      <c r="AD262">
        <f t="shared" si="359"/>
        <v>0</v>
      </c>
      <c r="AE262" s="94">
        <f t="shared" si="360"/>
        <v>1.1488686399456187</v>
      </c>
      <c r="AF262">
        <f t="shared" si="361"/>
        <v>1.1488686399456187</v>
      </c>
      <c r="AG262" s="94">
        <f t="shared" si="362"/>
        <v>0</v>
      </c>
      <c r="AH262">
        <f t="shared" si="363"/>
        <v>-2.0144101867623383</v>
      </c>
      <c r="AI262">
        <v>11</v>
      </c>
    </row>
    <row r="263" spans="1:90" x14ac:dyDescent="0.25">
      <c r="AB263" s="39">
        <v>0.47916666666667301</v>
      </c>
      <c r="AC263">
        <f t="shared" si="364"/>
        <v>0.75</v>
      </c>
      <c r="AD263">
        <f t="shared" si="359"/>
        <v>0</v>
      </c>
      <c r="AE263" s="94">
        <f t="shared" si="360"/>
        <v>0.76600048962617229</v>
      </c>
      <c r="AF263">
        <f t="shared" si="361"/>
        <v>0.76600048962617229</v>
      </c>
      <c r="AG263" s="94">
        <f t="shared" si="362"/>
        <v>0</v>
      </c>
      <c r="AH263">
        <f t="shared" si="363"/>
        <v>-2.028845080284789</v>
      </c>
    </row>
    <row r="264" spans="1:90" x14ac:dyDescent="0.25">
      <c r="A264" s="95" t="s">
        <v>92</v>
      </c>
      <c r="B264" s="95">
        <v>21</v>
      </c>
      <c r="C264" s="315"/>
      <c r="D264" s="315"/>
      <c r="E264" s="316"/>
      <c r="L264" s="95" t="s">
        <v>92</v>
      </c>
      <c r="M264" s="95">
        <v>21</v>
      </c>
      <c r="N264" s="315"/>
      <c r="O264" s="315"/>
      <c r="P264" s="316"/>
      <c r="AA264">
        <v>12</v>
      </c>
      <c r="AB264" s="39">
        <v>0.48958333333333998</v>
      </c>
      <c r="AC264">
        <f t="shared" si="364"/>
        <v>0.375</v>
      </c>
      <c r="AD264">
        <f t="shared" si="359"/>
        <v>0</v>
      </c>
      <c r="AE264" s="94">
        <f t="shared" si="360"/>
        <v>0.38302654016551518</v>
      </c>
      <c r="AF264">
        <f t="shared" si="361"/>
        <v>0.38302654016551518</v>
      </c>
      <c r="AG264" s="94">
        <f t="shared" si="362"/>
        <v>0</v>
      </c>
      <c r="AH264">
        <f t="shared" si="363"/>
        <v>-2.0374875595670492</v>
      </c>
      <c r="AI264">
        <v>12</v>
      </c>
    </row>
    <row r="265" spans="1:90" x14ac:dyDescent="0.25">
      <c r="A265" s="95" t="s">
        <v>91</v>
      </c>
      <c r="B265" s="95">
        <v>3</v>
      </c>
      <c r="C265" s="315"/>
      <c r="D265" s="315"/>
      <c r="E265" s="316"/>
      <c r="L265" s="95" t="s">
        <v>91</v>
      </c>
      <c r="M265" s="95">
        <v>3</v>
      </c>
      <c r="N265" s="315"/>
      <c r="O265" s="315"/>
      <c r="P265" s="316"/>
      <c r="AB265" s="39">
        <v>0.50000000000000699</v>
      </c>
      <c r="AC265">
        <f t="shared" si="364"/>
        <v>0</v>
      </c>
      <c r="AD265">
        <f t="shared" si="359"/>
        <v>0</v>
      </c>
      <c r="AE265" s="94">
        <f t="shared" si="360"/>
        <v>1.2498752097371566E-16</v>
      </c>
      <c r="AF265">
        <f t="shared" si="361"/>
        <v>1.2498752097371566E-16</v>
      </c>
      <c r="AG265" s="94">
        <f t="shared" si="362"/>
        <v>0</v>
      </c>
      <c r="AH265">
        <f t="shared" si="363"/>
        <v>-2.0403653201854315</v>
      </c>
    </row>
    <row r="266" spans="1:90" x14ac:dyDescent="0.25">
      <c r="C266" s="93">
        <f>+IF(B265=$AI$63,B264,IF(B265=$AJ$63,$AI$64+B264,IF(B265=$AK$63,$AI$64+$AJ$64+B264,IF(B265=$AL$63,$AI$64+$AJ$64+$AK$64+B264,IF(B265=$AM$63,$AI$64+$AJ$64+$AK$64+$AL$64+B264,IF(B265=$AN$63,$AI$64+$AJ$64+$AK$64+$AL$64+$AM$64+B264,IF(B265=$AO$63,$AI$64+$AJ$64+$AK$64+$AL$64+$AM$64+$AN$64+B264,IF(B265=$AP$63,$AI$64+$AJ$64+$AK$64+$AL$64+$AM$64+$AN$64+$AO$64+B264,IF(B265=$AQ$63,$AI$64+$AJ$64+$AK$64+$AL$64+$AM$64+$AN$64+$AO$64+$AP$64+B264,IF(B265=$AR$63,$AI$64+$AJ$64+$AK$64+$AL$64+$AM$64+$AN$64+$AO$64+$AP$64+$AQ$64+B264,IF(B265=$AS$63,$AI$64+$AJ$64+$AK$64+$AL$64+$AM$64+$AN$64+$AO$64+$AP$64+$AQ$64+$AR$64+B264,IF(B265=$AT$63,$AI$64+$AJ$64+$AK$64+$AL$64+$AM$64+$AN$64+$AO$64+$AP$64+$AQ$64+$AR$64+$AS$64+B264,"error"))))))))))))</f>
        <v>80</v>
      </c>
      <c r="D266" s="38">
        <f>23.45*SIN(RADIANS(360*((284+C266)/365)))</f>
        <v>-0.40365320185431652</v>
      </c>
      <c r="E266" s="95">
        <v>45</v>
      </c>
      <c r="N266" s="93">
        <f>+IF(M265=$AI$63,M264,IF(M265=$AJ$63,$AI$64+M264,IF(M265=$AK$63,$AI$64+$AJ$64+M264,IF(M265=$AL$63,$AI$64+$AJ$64+$AK$64+M264,IF(M265=$AM$63,$AI$64+$AJ$64+$AK$64+$AL$64+M264,IF(M265=$AN$63,$AI$64+$AJ$64+$AK$64+$AL$64+$AM$64+M264,IF(M265=$AO$63,$AI$64+$AJ$64+$AK$64+$AL$64+$AM$64+$AN$64+M264,IF(M265=$AP$63,$AI$64+$AJ$64+$AK$64+$AL$64+$AM$64+$AN$64+$AO$64+M264,IF(M265=$AQ$63,$AI$64+$AJ$64+$AK$64+$AL$64+$AM$64+$AN$64+$AO$64+$AP$64+M264,IF(M265=$AR$63,$AI$64+$AJ$64+$AK$64+$AL$64+$AM$64+$AN$64+$AO$64+$AP$64+$AQ$64+M264,IF(M265=$AS$63,$AI$64+$AJ$64+$AK$64+$AL$64+$AM$64+$AN$64+$AO$64+$AP$64+$AQ$64+$AR$64+M264,IF(M265=$AT$63,$AI$64+$AJ$64+$AK$64+$AL$64+$AM$64+$AN$64+$AO$64+$AP$64+$AQ$64+$AR$64+$AS$64+M264,"error"))))))))))))</f>
        <v>80</v>
      </c>
      <c r="O266" s="38">
        <f>23.45*SIN(RADIANS(360*((284+N266)/365)))</f>
        <v>-0.40365320185431652</v>
      </c>
      <c r="P266" s="95">
        <v>50</v>
      </c>
      <c r="AA266">
        <v>13</v>
      </c>
      <c r="AB266" s="39">
        <v>0.51041666666667396</v>
      </c>
      <c r="AC266">
        <f t="shared" ref="AC266:AC289" si="423">+AC265+9/24</f>
        <v>0.375</v>
      </c>
      <c r="AD266">
        <f t="shared" ref="AD266:AD289" si="424">+$AH$172+180</f>
        <v>180</v>
      </c>
      <c r="AE266" s="94">
        <f t="shared" si="360"/>
        <v>-0.38302654016551446</v>
      </c>
      <c r="AF266">
        <f t="shared" si="361"/>
        <v>-0.38302654016551446</v>
      </c>
      <c r="AG266" s="94">
        <f t="shared" si="362"/>
        <v>4.594306705907325E-17</v>
      </c>
      <c r="AH266">
        <f t="shared" si="363"/>
        <v>-2.0374875595670492</v>
      </c>
      <c r="AI266">
        <v>13</v>
      </c>
    </row>
    <row r="267" spans="1:90" x14ac:dyDescent="0.25">
      <c r="B267" s="317" t="s">
        <v>90</v>
      </c>
      <c r="C267" s="315"/>
      <c r="D267" s="315"/>
      <c r="E267" s="315"/>
      <c r="G267" s="319" t="s">
        <v>89</v>
      </c>
      <c r="H267" s="319"/>
      <c r="I267" s="319" t="s">
        <v>42</v>
      </c>
      <c r="J267" s="319" t="s">
        <v>43</v>
      </c>
      <c r="M267" s="317" t="s">
        <v>90</v>
      </c>
      <c r="N267" s="315"/>
      <c r="O267" s="315"/>
      <c r="P267" s="315"/>
      <c r="R267" s="319" t="s">
        <v>89</v>
      </c>
      <c r="S267" s="319"/>
      <c r="T267" s="319" t="s">
        <v>42</v>
      </c>
      <c r="U267" s="319" t="s">
        <v>43</v>
      </c>
      <c r="AB267" s="39">
        <v>0.52083333333334103</v>
      </c>
      <c r="AC267">
        <f t="shared" si="423"/>
        <v>0.75</v>
      </c>
      <c r="AD267">
        <f t="shared" si="424"/>
        <v>180</v>
      </c>
      <c r="AE267" s="94">
        <f t="shared" si="360"/>
        <v>-0.76600048962617173</v>
      </c>
      <c r="AF267">
        <f t="shared" si="361"/>
        <v>-0.76600048962617173</v>
      </c>
      <c r="AG267" s="94">
        <f t="shared" si="362"/>
        <v>9.1886134118146501E-17</v>
      </c>
      <c r="AH267">
        <f t="shared" si="363"/>
        <v>-2.0288450802847895</v>
      </c>
    </row>
    <row r="268" spans="1:90" x14ac:dyDescent="0.25">
      <c r="B268" s="318"/>
      <c r="C268" s="315"/>
      <c r="D268" s="315"/>
      <c r="E268" s="315"/>
      <c r="G268" s="319"/>
      <c r="H268" s="319"/>
      <c r="I268" s="319"/>
      <c r="J268" s="319"/>
      <c r="M268" s="318"/>
      <c r="N268" s="315"/>
      <c r="O268" s="315"/>
      <c r="P268" s="315"/>
      <c r="R268" s="319"/>
      <c r="S268" s="319"/>
      <c r="T268" s="319"/>
      <c r="U268" s="319"/>
      <c r="AA268">
        <v>14</v>
      </c>
      <c r="AB268" s="39">
        <v>0.53125000000000799</v>
      </c>
      <c r="AC268">
        <f t="shared" si="423"/>
        <v>1.125</v>
      </c>
      <c r="AD268">
        <f t="shared" si="424"/>
        <v>180</v>
      </c>
      <c r="AE268" s="94">
        <f t="shared" si="360"/>
        <v>-1.1488686399456181</v>
      </c>
      <c r="AF268">
        <f t="shared" si="361"/>
        <v>-1.1488686399456181</v>
      </c>
      <c r="AG268" s="94">
        <f t="shared" si="362"/>
        <v>1.3782920117721975E-16</v>
      </c>
      <c r="AH268">
        <f t="shared" si="363"/>
        <v>-2.0144101867623387</v>
      </c>
      <c r="AI268">
        <v>14</v>
      </c>
    </row>
    <row r="269" spans="1:90" x14ac:dyDescent="0.25">
      <c r="B269" s="39">
        <v>0.25</v>
      </c>
      <c r="C269" s="38">
        <v>90</v>
      </c>
      <c r="D269" s="38">
        <f>+DEGREES(ASIN(COS(RADIANS(E266))*COS(RADIANS(D266))*COS(RADIANS(C269))+SIN(RADIANS(E266))*SIN(RADIANS(D266))))</f>
        <v>-0.28542473572046595</v>
      </c>
      <c r="E269" s="38">
        <f>180-DEGREES(ACOS((((SIN(RADIANS(D269)))*SIN(RADIANS(E266)))-SIN(RADIANS(D266)))/((COS(RADIANS(D269)))*COS(RADIANS(E266)))))</f>
        <v>90.285428277386828</v>
      </c>
      <c r="G269">
        <f t="shared" ref="G269:G281" si="425">9-(D269/10)</f>
        <v>9.0285424735720472</v>
      </c>
      <c r="H269">
        <f t="shared" ref="H269:H281" si="426">90-E269+$AH$172</f>
        <v>-0.28542827738682774</v>
      </c>
      <c r="I269" s="94">
        <f t="shared" ref="I269:I281" si="427">IF($E$266&gt;=$AE$174,0,G269*COS(RADIANS(H269)))</f>
        <v>0</v>
      </c>
      <c r="J269" s="94">
        <f t="shared" ref="J269:J281" si="428">IF($E$266&gt;=$AE$174,0,G269*SIN(RADIANS(H269)))</f>
        <v>0</v>
      </c>
      <c r="M269" s="39">
        <v>0.25</v>
      </c>
      <c r="N269" s="38">
        <v>90</v>
      </c>
      <c r="O269" s="38">
        <f>+DEGREES(ASIN(COS(RADIANS(P266))*COS(RADIANS(O266))*COS(RADIANS(N269))+SIN(RADIANS(P266))*SIN(RADIANS(O266))))</f>
        <v>-0.30921523535599088</v>
      </c>
      <c r="P269" s="38">
        <f>180-DEGREES(ACOS((((SIN(RADIANS(O269)))*SIN(RADIANS(P266)))-SIN(RADIANS(O266)))/((COS(RADIANS(O269)))*COS(RADIANS(P266)))))</f>
        <v>90.259465795815785</v>
      </c>
      <c r="R269">
        <f t="shared" ref="R269:R281" si="429">9-(O269/10)</f>
        <v>9.0309215235356</v>
      </c>
      <c r="S269">
        <f t="shared" ref="S269:S281" si="430">90-P269+$AH$172</f>
        <v>-0.25946579581578533</v>
      </c>
      <c r="T269" s="94">
        <f t="shared" ref="T269:T281" si="431">IF($P$266&gt;=$AE$174,0,R269*COS(RADIANS(S269)))</f>
        <v>0</v>
      </c>
      <c r="U269" s="94">
        <f t="shared" ref="U269:U281" si="432">IF($P$266&gt;=$AE$174,0,R269*SIN(RADIANS(S269)))</f>
        <v>0</v>
      </c>
      <c r="AB269" s="39">
        <v>0.54166666666667496</v>
      </c>
      <c r="AC269">
        <f t="shared" si="423"/>
        <v>1.5</v>
      </c>
      <c r="AD269">
        <f t="shared" si="424"/>
        <v>180</v>
      </c>
      <c r="AE269" s="94">
        <f t="shared" si="360"/>
        <v>-1.5315765330883702</v>
      </c>
      <c r="AF269">
        <f t="shared" si="361"/>
        <v>-1.5315765330883702</v>
      </c>
      <c r="AG269" s="94">
        <f t="shared" si="362"/>
        <v>1.83772268236293E-16</v>
      </c>
      <c r="AH269">
        <f t="shared" si="363"/>
        <v>-1.9941363731716391</v>
      </c>
    </row>
    <row r="270" spans="1:90" x14ac:dyDescent="0.25">
      <c r="B270" s="39">
        <v>0.29166666666666669</v>
      </c>
      <c r="C270">
        <v>75</v>
      </c>
      <c r="D270" s="38">
        <f>+DEGREES(ASIN(COS(RADIANS(E266))*COS(RADIANS(D266))*COS(RADIANS(C270))+SIN(RADIANS(E266))*SIN(RADIANS(D266))))</f>
        <v>10.254834686033501</v>
      </c>
      <c r="E270" s="38">
        <f>180-DEGREES(ACOS((((SIN(RADIANS(D270)))*SIN(RADIANS(E266)))-SIN(RADIANS(D266)))/((COS(RADIANS(D270)))*COS(RADIANS(E266)))))</f>
        <v>101.01357113388949</v>
      </c>
      <c r="G270">
        <f t="shared" si="425"/>
        <v>7.9745165313966497</v>
      </c>
      <c r="H270">
        <f t="shared" si="426"/>
        <v>-11.013571133889485</v>
      </c>
      <c r="I270" s="94">
        <f t="shared" si="427"/>
        <v>0</v>
      </c>
      <c r="J270" s="94">
        <f t="shared" si="428"/>
        <v>0</v>
      </c>
      <c r="M270" s="39">
        <v>0.29166666666666669</v>
      </c>
      <c r="N270">
        <v>75</v>
      </c>
      <c r="O270" s="38">
        <f>+DEGREES(ASIN(COS(RADIANS(P266))*COS(RADIANS(O266))*COS(RADIANS(N270))+SIN(RADIANS(P266))*SIN(RADIANS(O266))))</f>
        <v>9.2628981256937379</v>
      </c>
      <c r="P270" s="38">
        <f>180-DEGREES(ACOS((((SIN(RADIANS(O270)))*SIN(RADIANS(P266)))-SIN(RADIANS(O266)))/((COS(RADIANS(O270)))*COS(RADIANS(P266)))))</f>
        <v>101.85699709517048</v>
      </c>
      <c r="R270">
        <f t="shared" si="429"/>
        <v>8.0737101874306259</v>
      </c>
      <c r="S270">
        <f t="shared" si="430"/>
        <v>-11.856997095170485</v>
      </c>
      <c r="T270" s="94">
        <f t="shared" si="431"/>
        <v>0</v>
      </c>
      <c r="U270" s="94">
        <f t="shared" si="432"/>
        <v>0</v>
      </c>
      <c r="AA270">
        <v>15</v>
      </c>
      <c r="AB270" s="39">
        <v>0.55208333333334203</v>
      </c>
      <c r="AC270">
        <f t="shared" si="423"/>
        <v>1.875</v>
      </c>
      <c r="AD270">
        <f t="shared" si="424"/>
        <v>180</v>
      </c>
      <c r="AE270" s="94">
        <f t="shared" si="360"/>
        <v>-1.9140678007591199</v>
      </c>
      <c r="AF270">
        <f t="shared" si="361"/>
        <v>-1.9140678007591199</v>
      </c>
      <c r="AG270" s="94">
        <f t="shared" si="362"/>
        <v>2.2971533529536625E-16</v>
      </c>
      <c r="AH270">
        <f t="shared" si="363"/>
        <v>-1.9679577957953436</v>
      </c>
      <c r="AI270">
        <v>15</v>
      </c>
    </row>
    <row r="271" spans="1:90" x14ac:dyDescent="0.25">
      <c r="B271" s="39">
        <v>0.33333333333333298</v>
      </c>
      <c r="C271" s="38">
        <v>60</v>
      </c>
      <c r="D271" s="38">
        <f>+DEGREES(ASIN(COS(RADIANS(E266))*COS(RADIANS(D266))*COS(RADIANS(C271))+SIN(RADIANS(E266))*SIN(RADIANS(D266))))</f>
        <v>20.399449132331466</v>
      </c>
      <c r="E271" s="38">
        <f>180-DEGREES(ACOS((((SIN(RADIANS(D271)))*SIN(RADIANS(E266)))-SIN(RADIANS(D266)))/((COS(RADIANS(D271)))*COS(RADIANS(E266)))))</f>
        <v>112.48958757892173</v>
      </c>
      <c r="G271">
        <f t="shared" si="425"/>
        <v>6.9600550867668538</v>
      </c>
      <c r="H271">
        <f t="shared" si="426"/>
        <v>-22.489587578921729</v>
      </c>
      <c r="I271" s="94">
        <f t="shared" si="427"/>
        <v>0</v>
      </c>
      <c r="J271" s="94">
        <f t="shared" si="428"/>
        <v>0</v>
      </c>
      <c r="M271" s="39">
        <v>0.33333333333333298</v>
      </c>
      <c r="N271" s="38">
        <v>60</v>
      </c>
      <c r="O271" s="38">
        <f>+DEGREES(ASIN(COS(RADIANS(P266))*COS(RADIANS(O266))*COS(RADIANS(N271))+SIN(RADIANS(P266))*SIN(RADIANS(O266))))</f>
        <v>18.420531027081928</v>
      </c>
      <c r="P271" s="38">
        <f>180-DEGREES(ACOS((((SIN(RADIANS(O271)))*SIN(RADIANS(P266)))-SIN(RADIANS(O266)))/((COS(RADIANS(O271)))*COS(RADIANS(P266)))))</f>
        <v>114.10875935604233</v>
      </c>
      <c r="R271">
        <f t="shared" si="429"/>
        <v>7.157946897291807</v>
      </c>
      <c r="S271">
        <f t="shared" si="430"/>
        <v>-24.108759356042327</v>
      </c>
      <c r="T271" s="94">
        <f t="shared" si="431"/>
        <v>0</v>
      </c>
      <c r="U271" s="94">
        <f t="shared" si="432"/>
        <v>0</v>
      </c>
      <c r="AB271" s="39">
        <v>0.56250000000000899</v>
      </c>
      <c r="AC271">
        <f t="shared" si="423"/>
        <v>2.25</v>
      </c>
      <c r="AD271">
        <f t="shared" si="424"/>
        <v>180</v>
      </c>
      <c r="AE271" s="94">
        <f t="shared" si="360"/>
        <v>-2.2962834592229857</v>
      </c>
      <c r="AF271">
        <f t="shared" si="361"/>
        <v>-2.2962834592229857</v>
      </c>
      <c r="AG271" s="94">
        <f t="shared" si="362"/>
        <v>2.756584023544395E-16</v>
      </c>
      <c r="AH271">
        <f t="shared" si="363"/>
        <v>-1.935788518388734</v>
      </c>
    </row>
    <row r="272" spans="1:90" x14ac:dyDescent="0.25">
      <c r="B272" s="39">
        <v>0.375</v>
      </c>
      <c r="C272">
        <v>45</v>
      </c>
      <c r="D272" s="38">
        <f>+DEGREES(ASIN(COS(RADIANS(E266))*COS(RADIANS(D266))*COS(RADIANS(C272))+SIN(RADIANS(E266))*SIN(RADIANS(D266))))</f>
        <v>29.670146708409685</v>
      </c>
      <c r="E272" s="38">
        <f>180-DEGREES(ACOS((((SIN(RADIANS(D272)))*SIN(RADIANS(E266)))-SIN(RADIANS(D266)))/((COS(RADIANS(D272)))*COS(RADIANS(E266)))))</f>
        <v>125.53260352908467</v>
      </c>
      <c r="G272">
        <f t="shared" si="425"/>
        <v>6.0329853291590316</v>
      </c>
      <c r="H272">
        <f t="shared" si="426"/>
        <v>-35.532603529084668</v>
      </c>
      <c r="I272" s="94">
        <f t="shared" si="427"/>
        <v>0</v>
      </c>
      <c r="J272" s="94">
        <f t="shared" si="428"/>
        <v>0</v>
      </c>
      <c r="M272" s="39">
        <v>0.375</v>
      </c>
      <c r="N272">
        <v>45</v>
      </c>
      <c r="O272" s="38">
        <f>+DEGREES(ASIN(COS(RADIANS(P266))*COS(RADIANS(O266))*COS(RADIANS(N272))+SIN(RADIANS(P266))*SIN(RADIANS(O266))))</f>
        <v>26.686686601386512</v>
      </c>
      <c r="P272" s="38">
        <f>180-DEGREES(ACOS((((SIN(RADIANS(O272)))*SIN(RADIANS(P266)))-SIN(RADIANS(O266)))/((COS(RADIANS(O272)))*COS(RADIANS(P266)))))</f>
        <v>127.68424894987101</v>
      </c>
      <c r="R272">
        <f t="shared" si="429"/>
        <v>6.3313313398613484</v>
      </c>
      <c r="S272">
        <f t="shared" si="430"/>
        <v>-37.684248949871005</v>
      </c>
      <c r="T272" s="94">
        <f t="shared" si="431"/>
        <v>0</v>
      </c>
      <c r="U272" s="94">
        <f t="shared" si="432"/>
        <v>0</v>
      </c>
      <c r="AA272">
        <v>16</v>
      </c>
      <c r="AB272" s="39">
        <v>0.57291666666667596</v>
      </c>
      <c r="AC272">
        <f t="shared" si="423"/>
        <v>2.625</v>
      </c>
      <c r="AD272">
        <f t="shared" si="424"/>
        <v>180</v>
      </c>
      <c r="AE272" s="94">
        <f t="shared" si="360"/>
        <v>-2.6781611422049063</v>
      </c>
      <c r="AF272">
        <f t="shared" si="361"/>
        <v>-2.6781611422049063</v>
      </c>
      <c r="AG272" s="94">
        <f t="shared" si="362"/>
        <v>3.2160146941351275E-16</v>
      </c>
      <c r="AH272">
        <f t="shared" si="363"/>
        <v>-1.897521513945537</v>
      </c>
      <c r="AI272">
        <v>16</v>
      </c>
    </row>
    <row r="273" spans="1:35" x14ac:dyDescent="0.25">
      <c r="B273" s="39">
        <v>0.41666666666666702</v>
      </c>
      <c r="C273" s="38">
        <v>30</v>
      </c>
      <c r="D273" s="38">
        <f>+DEGREES(ASIN(COS(RADIANS(E266))*COS(RADIANS(D266))*COS(RADIANS(C273))+SIN(RADIANS(E266))*SIN(RADIANS(D266))))</f>
        <v>37.399986892217491</v>
      </c>
      <c r="E273" s="38">
        <f>180-DEGREES(ACOS((((SIN(RADIANS(D273)))*SIN(RADIANS(E266)))-SIN(RADIANS(D266)))/((COS(RADIANS(D273)))*COS(RADIANS(E266)))))</f>
        <v>140.99571368788412</v>
      </c>
      <c r="G273">
        <f t="shared" si="425"/>
        <v>5.2600013107782511</v>
      </c>
      <c r="H273">
        <f t="shared" si="426"/>
        <v>-50.99571368788412</v>
      </c>
      <c r="I273" s="94">
        <f t="shared" si="427"/>
        <v>0</v>
      </c>
      <c r="J273" s="94">
        <f t="shared" si="428"/>
        <v>0</v>
      </c>
      <c r="M273" s="39">
        <v>0.41666666666666702</v>
      </c>
      <c r="N273" s="38">
        <v>30</v>
      </c>
      <c r="O273" s="38">
        <f>+DEGREES(ASIN(COS(RADIANS(P266))*COS(RADIANS(O266))*COS(RADIANS(N273))+SIN(RADIANS(P266))*SIN(RADIANS(O266))))</f>
        <v>33.45348260796375</v>
      </c>
      <c r="P273" s="38">
        <f>180-DEGREES(ACOS((((SIN(RADIANS(O273)))*SIN(RADIANS(P266)))-SIN(RADIANS(O266)))/((COS(RADIANS(O273)))*COS(RADIANS(P266)))))</f>
        <v>143.18267033344449</v>
      </c>
      <c r="R273">
        <f t="shared" si="429"/>
        <v>5.6546517392036248</v>
      </c>
      <c r="S273">
        <f t="shared" si="430"/>
        <v>-53.182670333444491</v>
      </c>
      <c r="T273" s="94">
        <f t="shared" si="431"/>
        <v>0</v>
      </c>
      <c r="U273" s="94">
        <f t="shared" si="432"/>
        <v>0</v>
      </c>
      <c r="AB273" s="39">
        <v>0.58333333333334303</v>
      </c>
      <c r="AC273">
        <f t="shared" si="423"/>
        <v>3</v>
      </c>
      <c r="AD273">
        <f t="shared" si="424"/>
        <v>180</v>
      </c>
      <c r="AE273" s="94">
        <f t="shared" si="360"/>
        <v>-3.0596342520920516</v>
      </c>
      <c r="AF273">
        <f t="shared" si="361"/>
        <v>-3.0596342520920516</v>
      </c>
      <c r="AG273" s="94">
        <f t="shared" si="362"/>
        <v>3.67544536472586E-16</v>
      </c>
      <c r="AH273">
        <f t="shared" si="363"/>
        <v>-1.8530274005667327</v>
      </c>
    </row>
    <row r="274" spans="1:35" x14ac:dyDescent="0.25">
      <c r="B274" s="39">
        <v>0.45833333333333298</v>
      </c>
      <c r="C274">
        <v>15</v>
      </c>
      <c r="D274" s="38">
        <f>+DEGREES(ASIN(COS(RADIANS(E266))*COS(RADIANS(D266))*COS(RADIANS(C274))+SIN(RADIANS(E266))*SIN(RADIANS(D266))))</f>
        <v>42.688657591036346</v>
      </c>
      <c r="E274" s="38">
        <f>180-DEGREES(ACOS((((SIN(RADIANS(D274)))*SIN(RADIANS(E266)))-SIN(RADIANS(D266)))/((COS(RADIANS(D274)))*COS(RADIANS(E266)))))</f>
        <v>159.38402496323141</v>
      </c>
      <c r="G274">
        <f t="shared" si="425"/>
        <v>4.731134240896365</v>
      </c>
      <c r="H274">
        <f t="shared" si="426"/>
        <v>-69.384024963231411</v>
      </c>
      <c r="I274" s="94">
        <f t="shared" si="427"/>
        <v>0</v>
      </c>
      <c r="J274" s="94">
        <f t="shared" si="428"/>
        <v>0</v>
      </c>
      <c r="M274" s="39">
        <v>0.45833333333333298</v>
      </c>
      <c r="N274">
        <v>15</v>
      </c>
      <c r="O274" s="38">
        <f>+DEGREES(ASIN(COS(RADIANS(P266))*COS(RADIANS(O266))*COS(RADIANS(N274))+SIN(RADIANS(P266))*SIN(RADIANS(O266))))</f>
        <v>37.986293508121015</v>
      </c>
      <c r="P274" s="38">
        <f>180-DEGREES(ACOS((((SIN(RADIANS(O274)))*SIN(RADIANS(P266)))-SIN(RADIANS(O266)))/((COS(RADIANS(O274)))*COS(RADIANS(P266)))))</f>
        <v>160.82973069452325</v>
      </c>
      <c r="R274">
        <f t="shared" si="429"/>
        <v>5.2013706491878988</v>
      </c>
      <c r="S274">
        <f t="shared" si="430"/>
        <v>-70.829730694523249</v>
      </c>
      <c r="T274" s="94">
        <f t="shared" si="431"/>
        <v>0</v>
      </c>
      <c r="U274" s="94">
        <f t="shared" si="432"/>
        <v>0</v>
      </c>
      <c r="AA274">
        <v>17</v>
      </c>
      <c r="AB274" s="39">
        <v>0.59375000000000999</v>
      </c>
      <c r="AC274">
        <f t="shared" si="423"/>
        <v>3.375</v>
      </c>
      <c r="AD274">
        <f t="shared" si="424"/>
        <v>180</v>
      </c>
      <c r="AE274" s="94">
        <f t="shared" si="360"/>
        <v>-3.4406310064569179</v>
      </c>
      <c r="AF274">
        <f t="shared" si="361"/>
        <v>-3.4406310064569179</v>
      </c>
      <c r="AG274" s="94">
        <f t="shared" si="362"/>
        <v>4.1348760353165925E-16</v>
      </c>
      <c r="AH274">
        <f t="shared" si="363"/>
        <v>-1.8021528826399205</v>
      </c>
      <c r="AI274">
        <v>17</v>
      </c>
    </row>
    <row r="275" spans="1:35" x14ac:dyDescent="0.25">
      <c r="B275" s="39">
        <v>0.5</v>
      </c>
      <c r="C275" s="38">
        <v>0</v>
      </c>
      <c r="D275" s="38">
        <f>+DEGREES(ASIN(COS(RADIANS(E266))*COS(RADIANS(D266))*COS(RADIANS(C275))+SIN(RADIANS(E266))*SIN(RADIANS(D266))))</f>
        <v>44.596346798145689</v>
      </c>
      <c r="E275" s="38">
        <f>+IF(E266&gt;=0,180,0)</f>
        <v>180</v>
      </c>
      <c r="G275">
        <f t="shared" si="425"/>
        <v>4.5403653201854315</v>
      </c>
      <c r="H275">
        <f t="shared" si="426"/>
        <v>-90</v>
      </c>
      <c r="I275" s="94">
        <f t="shared" si="427"/>
        <v>0</v>
      </c>
      <c r="J275" s="94">
        <f t="shared" si="428"/>
        <v>0</v>
      </c>
      <c r="M275" s="39">
        <v>0.5</v>
      </c>
      <c r="N275" s="38">
        <v>0</v>
      </c>
      <c r="O275" s="38">
        <f>+DEGREES(ASIN(COS(RADIANS(P266))*COS(RADIANS(O266))*COS(RADIANS(N275))+SIN(RADIANS(P266))*SIN(RADIANS(O266))))</f>
        <v>39.596346798145682</v>
      </c>
      <c r="P275" s="38">
        <f>+IF(P266&gt;=0,180,0)</f>
        <v>180</v>
      </c>
      <c r="R275">
        <f t="shared" si="429"/>
        <v>5.0403653201854315</v>
      </c>
      <c r="S275">
        <f t="shared" si="430"/>
        <v>-90</v>
      </c>
      <c r="T275" s="94">
        <f t="shared" si="431"/>
        <v>0</v>
      </c>
      <c r="U275" s="94">
        <f t="shared" si="432"/>
        <v>0</v>
      </c>
      <c r="AB275" s="39">
        <v>0.60416666666667795</v>
      </c>
      <c r="AC275">
        <f t="shared" si="423"/>
        <v>3.75</v>
      </c>
      <c r="AD275">
        <f t="shared" si="424"/>
        <v>180</v>
      </c>
      <c r="AE275" s="94">
        <f t="shared" si="360"/>
        <v>-3.8210733526956551</v>
      </c>
      <c r="AF275">
        <f t="shared" si="361"/>
        <v>-3.8210733526956551</v>
      </c>
      <c r="AG275" s="94">
        <f t="shared" si="362"/>
        <v>4.594306705907325E-16</v>
      </c>
      <c r="AH275">
        <f t="shared" si="363"/>
        <v>-1.7447188610088924</v>
      </c>
    </row>
    <row r="276" spans="1:35" x14ac:dyDescent="0.25">
      <c r="B276" s="39">
        <v>0.54166666666666696</v>
      </c>
      <c r="C276">
        <v>-15</v>
      </c>
      <c r="D276" s="38">
        <f>+DEGREES(ASIN(COS(RADIANS(E266))*COS(RADIANS(D266))*COS(RADIANS(C276))+SIN(RADIANS(E266))*SIN(RADIANS(D266))))</f>
        <v>42.688657591036346</v>
      </c>
      <c r="E276" s="38">
        <f>-(180-DEGREES(ACOS((((SIN(RADIANS(D276)))*SIN(RADIANS(E266)))-SIN(RADIANS(D266)))/((COS(RADIANS(D276)))*COS(RADIANS(E266))))))</f>
        <v>-159.38402496323141</v>
      </c>
      <c r="G276">
        <f t="shared" si="425"/>
        <v>4.731134240896365</v>
      </c>
      <c r="H276">
        <f t="shared" si="426"/>
        <v>249.38402496323141</v>
      </c>
      <c r="I276" s="94">
        <f t="shared" si="427"/>
        <v>0</v>
      </c>
      <c r="J276" s="94">
        <f t="shared" si="428"/>
        <v>0</v>
      </c>
      <c r="M276" s="39">
        <v>0.54166666666666696</v>
      </c>
      <c r="N276">
        <v>-15</v>
      </c>
      <c r="O276" s="38">
        <f>+DEGREES(ASIN(COS(RADIANS(P266))*COS(RADIANS(O266))*COS(RADIANS(N276))+SIN(RADIANS(P266))*SIN(RADIANS(O266))))</f>
        <v>37.986293508121015</v>
      </c>
      <c r="P276" s="38">
        <f>-(180-DEGREES(ACOS((((SIN(RADIANS(O276)))*SIN(RADIANS(P266)))-SIN(RADIANS(O266)))/((COS(RADIANS(O276)))*COS(RADIANS(P266))))))</f>
        <v>-160.82973069452325</v>
      </c>
      <c r="R276">
        <f t="shared" si="429"/>
        <v>5.2013706491878988</v>
      </c>
      <c r="S276">
        <f t="shared" si="430"/>
        <v>250.82973069452325</v>
      </c>
      <c r="T276" s="94">
        <f t="shared" si="431"/>
        <v>0</v>
      </c>
      <c r="U276" s="94">
        <f t="shared" si="432"/>
        <v>0</v>
      </c>
      <c r="AA276">
        <v>18</v>
      </c>
      <c r="AB276" s="39">
        <v>0.61458333333334503</v>
      </c>
      <c r="AC276">
        <f t="shared" si="423"/>
        <v>4.125</v>
      </c>
      <c r="AD276">
        <f t="shared" si="424"/>
        <v>180</v>
      </c>
      <c r="AE276" s="94">
        <f t="shared" si="360"/>
        <v>-4.2008757180856096</v>
      </c>
      <c r="AF276">
        <f t="shared" si="361"/>
        <v>-4.2008757180856096</v>
      </c>
      <c r="AG276" s="94">
        <f t="shared" si="362"/>
        <v>5.0537373764980575E-16</v>
      </c>
      <c r="AH276">
        <f t="shared" si="363"/>
        <v>-1.6805181669459861</v>
      </c>
      <c r="AI276">
        <v>18</v>
      </c>
    </row>
    <row r="277" spans="1:35" x14ac:dyDescent="0.25">
      <c r="B277" s="39">
        <v>0.58333333333333304</v>
      </c>
      <c r="C277" s="38">
        <v>-30</v>
      </c>
      <c r="D277" s="38">
        <f>+DEGREES(ASIN(COS(RADIANS(E266))*COS(RADIANS(D266))*COS(RADIANS(C277))+SIN(RADIANS(E266))*SIN(RADIANS(D266))))</f>
        <v>37.399986892217491</v>
      </c>
      <c r="E277" s="38">
        <f>-(180-DEGREES(ACOS((((SIN(RADIANS(D277)))*SIN(RADIANS(E266)))-SIN(RADIANS(D266)))/((COS(RADIANS(D277)))*COS(RADIANS(E266))))))</f>
        <v>-140.99571368788412</v>
      </c>
      <c r="G277">
        <f t="shared" si="425"/>
        <v>5.2600013107782511</v>
      </c>
      <c r="H277">
        <f t="shared" si="426"/>
        <v>230.99571368788412</v>
      </c>
      <c r="I277" s="94">
        <f t="shared" si="427"/>
        <v>0</v>
      </c>
      <c r="J277" s="94">
        <f t="shared" si="428"/>
        <v>0</v>
      </c>
      <c r="M277" s="39">
        <v>0.58333333333333304</v>
      </c>
      <c r="N277" s="38">
        <v>-30</v>
      </c>
      <c r="O277" s="38">
        <f>+DEGREES(ASIN(COS(RADIANS(P266))*COS(RADIANS(O266))*COS(RADIANS(N277))+SIN(RADIANS(P266))*SIN(RADIANS(O266))))</f>
        <v>33.45348260796375</v>
      </c>
      <c r="P277" s="38">
        <f>-(180-DEGREES(ACOS((((SIN(RADIANS(O277)))*SIN(RADIANS(P266)))-SIN(RADIANS(O266)))/((COS(RADIANS(O277)))*COS(RADIANS(P266))))))</f>
        <v>-143.18267033344449</v>
      </c>
      <c r="R277">
        <f t="shared" si="429"/>
        <v>5.6546517392036248</v>
      </c>
      <c r="S277">
        <f t="shared" si="430"/>
        <v>233.18267033344449</v>
      </c>
      <c r="T277" s="94">
        <f t="shared" si="431"/>
        <v>0</v>
      </c>
      <c r="U277" s="94">
        <f t="shared" si="432"/>
        <v>0</v>
      </c>
      <c r="AB277" s="39">
        <v>0.62500000000001199</v>
      </c>
      <c r="AC277">
        <f t="shared" si="423"/>
        <v>4.5</v>
      </c>
      <c r="AD277">
        <f t="shared" si="424"/>
        <v>180</v>
      </c>
      <c r="AE277" s="94">
        <f t="shared" si="360"/>
        <v>-4.5799435554700727</v>
      </c>
      <c r="AF277">
        <f t="shared" si="361"/>
        <v>-4.5799435554700727</v>
      </c>
      <c r="AG277" s="94">
        <f t="shared" si="362"/>
        <v>5.51316804708879E-16</v>
      </c>
      <c r="AH277">
        <f t="shared" si="363"/>
        <v>-1.6093128641616945</v>
      </c>
    </row>
    <row r="278" spans="1:35" x14ac:dyDescent="0.25">
      <c r="B278" s="39">
        <v>0.625</v>
      </c>
      <c r="C278">
        <v>-45</v>
      </c>
      <c r="D278" s="38">
        <f>+DEGREES(ASIN(COS(RADIANS(E266))*COS(RADIANS(D266))*COS(RADIANS(C278))+SIN(RADIANS(E266))*SIN(RADIANS(D266))))</f>
        <v>29.670146708409685</v>
      </c>
      <c r="E278" s="38">
        <f>-(180-DEGREES(ACOS((((SIN(RADIANS(D278)))*SIN(RADIANS(E266)))-SIN(RADIANS(D266)))/((COS(RADIANS(D278)))*COS(RADIANS(E266))))))</f>
        <v>-125.53260352908467</v>
      </c>
      <c r="G278">
        <f t="shared" si="425"/>
        <v>6.0329853291590316</v>
      </c>
      <c r="H278">
        <f t="shared" si="426"/>
        <v>215.53260352908467</v>
      </c>
      <c r="I278" s="94">
        <f t="shared" si="427"/>
        <v>0</v>
      </c>
      <c r="J278" s="94">
        <f t="shared" si="428"/>
        <v>0</v>
      </c>
      <c r="M278" s="39">
        <v>0.625</v>
      </c>
      <c r="N278">
        <v>-45</v>
      </c>
      <c r="O278" s="38">
        <f>+DEGREES(ASIN(COS(RADIANS(P266))*COS(RADIANS(O266))*COS(RADIANS(N278))+SIN(RADIANS(P266))*SIN(RADIANS(O266))))</f>
        <v>26.686686601386512</v>
      </c>
      <c r="P278" s="38">
        <f>-(180-DEGREES(ACOS((((SIN(RADIANS(O278)))*SIN(RADIANS(P266)))-SIN(RADIANS(O266)))/((COS(RADIANS(O278)))*COS(RADIANS(P266))))))</f>
        <v>-127.68424894987101</v>
      </c>
      <c r="R278">
        <f t="shared" si="429"/>
        <v>6.3313313398613484</v>
      </c>
      <c r="S278">
        <f t="shared" si="430"/>
        <v>217.68424894987101</v>
      </c>
      <c r="T278" s="94">
        <f t="shared" si="431"/>
        <v>0</v>
      </c>
      <c r="U278" s="94">
        <f t="shared" si="432"/>
        <v>0</v>
      </c>
      <c r="AA278">
        <v>19</v>
      </c>
      <c r="AB278" s="39">
        <v>0.63541666666667895</v>
      </c>
      <c r="AC278">
        <f t="shared" si="423"/>
        <v>4.875</v>
      </c>
      <c r="AD278">
        <f t="shared" si="424"/>
        <v>180</v>
      </c>
      <c r="AE278" s="94">
        <f t="shared" si="360"/>
        <v>-4.9581716356242298</v>
      </c>
      <c r="AF278">
        <f t="shared" si="361"/>
        <v>-4.9581716356242298</v>
      </c>
      <c r="AG278" s="94">
        <f t="shared" si="362"/>
        <v>5.9725987176795226E-16</v>
      </c>
      <c r="AH278">
        <f t="shared" si="363"/>
        <v>-1.5308310503338891</v>
      </c>
      <c r="AI278">
        <v>19</v>
      </c>
    </row>
    <row r="279" spans="1:35" x14ac:dyDescent="0.25">
      <c r="B279" s="39">
        <v>0.66666666666666696</v>
      </c>
      <c r="C279" s="38">
        <v>-60</v>
      </c>
      <c r="D279" s="38">
        <f>+DEGREES(ASIN(COS(RADIANS(E266))*COS(RADIANS(D266))*COS(RADIANS(C279))+SIN(RADIANS(E266))*SIN(RADIANS(D266))))</f>
        <v>20.399449132331466</v>
      </c>
      <c r="E279" s="38">
        <f>-(180-DEGREES(ACOS((((SIN(RADIANS(D279)))*SIN(RADIANS(E266)))-SIN(RADIANS(D266)))/((COS(RADIANS(D279)))*COS(RADIANS(E266))))))</f>
        <v>-112.48958757892173</v>
      </c>
      <c r="G279">
        <f t="shared" si="425"/>
        <v>6.9600550867668538</v>
      </c>
      <c r="H279">
        <f t="shared" si="426"/>
        <v>202.48958757892171</v>
      </c>
      <c r="I279" s="94">
        <f t="shared" si="427"/>
        <v>0</v>
      </c>
      <c r="J279" s="94">
        <f t="shared" si="428"/>
        <v>0</v>
      </c>
      <c r="M279" s="39">
        <v>0.66666666666666696</v>
      </c>
      <c r="N279" s="38">
        <v>-60</v>
      </c>
      <c r="O279" s="38">
        <f>+DEGREES(ASIN(COS(RADIANS(P266))*COS(RADIANS(O266))*COS(RADIANS(N279))+SIN(RADIANS(P266))*SIN(RADIANS(O266))))</f>
        <v>18.420531027081928</v>
      </c>
      <c r="P279" s="38">
        <f>-(180-DEGREES(ACOS((((SIN(RADIANS(O279)))*SIN(RADIANS(P266)))-SIN(RADIANS(O266)))/((COS(RADIANS(O279)))*COS(RADIANS(P266))))))</f>
        <v>-114.10875935604233</v>
      </c>
      <c r="R279">
        <f t="shared" si="429"/>
        <v>7.157946897291807</v>
      </c>
      <c r="S279">
        <f t="shared" si="430"/>
        <v>204.10875935604233</v>
      </c>
      <c r="T279" s="94">
        <f t="shared" si="431"/>
        <v>0</v>
      </c>
      <c r="U279" s="94">
        <f t="shared" si="432"/>
        <v>0</v>
      </c>
      <c r="AB279" s="39">
        <v>0.64583333333334603</v>
      </c>
      <c r="AC279">
        <f t="shared" si="423"/>
        <v>5.25</v>
      </c>
      <c r="AD279">
        <f t="shared" si="424"/>
        <v>180</v>
      </c>
      <c r="AE279" s="94">
        <f t="shared" si="360"/>
        <v>-5.335442025536115</v>
      </c>
      <c r="AF279">
        <f t="shared" si="361"/>
        <v>-5.335442025536115</v>
      </c>
      <c r="AG279" s="94">
        <f t="shared" si="362"/>
        <v>6.4320293882702551E-16</v>
      </c>
      <c r="AH279">
        <f t="shared" si="363"/>
        <v>-1.4447630741317947</v>
      </c>
    </row>
    <row r="280" spans="1:35" x14ac:dyDescent="0.25">
      <c r="B280" s="39">
        <v>0.70833333333333404</v>
      </c>
      <c r="C280">
        <v>-75</v>
      </c>
      <c r="D280" s="38">
        <f>+DEGREES(ASIN(COS(RADIANS(E266))*COS(RADIANS(D266))*COS(RADIANS(C280))+SIN(RADIANS(E266))*SIN(RADIANS(D266))))</f>
        <v>10.254834686033501</v>
      </c>
      <c r="E280" s="38">
        <f>-(180-DEGREES(ACOS((((SIN(RADIANS(D280)))*SIN(RADIANS(E266)))-SIN(RADIANS(D266)))/((COS(RADIANS(D280)))*COS(RADIANS(E266))))))</f>
        <v>-101.01357113388949</v>
      </c>
      <c r="G280">
        <f t="shared" si="425"/>
        <v>7.9745165313966497</v>
      </c>
      <c r="H280">
        <f t="shared" si="426"/>
        <v>191.01357113388949</v>
      </c>
      <c r="I280" s="94">
        <f t="shared" si="427"/>
        <v>0</v>
      </c>
      <c r="J280" s="94">
        <f t="shared" si="428"/>
        <v>0</v>
      </c>
      <c r="M280" s="39">
        <v>0.70833333333333404</v>
      </c>
      <c r="N280">
        <v>-75</v>
      </c>
      <c r="O280" s="38">
        <f>+DEGREES(ASIN(COS(RADIANS(P266))*COS(RADIANS(O266))*COS(RADIANS(N280))+SIN(RADIANS(P266))*SIN(RADIANS(O266))))</f>
        <v>9.2628981256937379</v>
      </c>
      <c r="P280" s="38">
        <f>-(180-DEGREES(ACOS((((SIN(RADIANS(O280)))*SIN(RADIANS(P266)))-SIN(RADIANS(O266)))/((COS(RADIANS(O280)))*COS(RADIANS(P266))))))</f>
        <v>-101.85699709517048</v>
      </c>
      <c r="R280">
        <f t="shared" si="429"/>
        <v>8.0737101874306259</v>
      </c>
      <c r="S280">
        <f t="shared" si="430"/>
        <v>191.85699709517047</v>
      </c>
      <c r="T280" s="94">
        <f t="shared" si="431"/>
        <v>0</v>
      </c>
      <c r="U280" s="94">
        <f t="shared" si="432"/>
        <v>0</v>
      </c>
      <c r="AA280">
        <v>20</v>
      </c>
      <c r="AB280" s="39">
        <v>0.65625000000001299</v>
      </c>
      <c r="AC280">
        <f t="shared" si="423"/>
        <v>5.625</v>
      </c>
      <c r="AD280">
        <f t="shared" si="424"/>
        <v>180</v>
      </c>
      <c r="AE280" s="94">
        <f t="shared" si="360"/>
        <v>-5.7116216765306671</v>
      </c>
      <c r="AF280">
        <f t="shared" si="361"/>
        <v>-5.7116216765306671</v>
      </c>
      <c r="AG280" s="94">
        <f t="shared" si="362"/>
        <v>6.8914600588609876E-16</v>
      </c>
      <c r="AH280">
        <f t="shared" si="363"/>
        <v>-1.3507570647129172</v>
      </c>
      <c r="AI280">
        <v>20</v>
      </c>
    </row>
    <row r="281" spans="1:35" x14ac:dyDescent="0.25">
      <c r="B281" s="39">
        <v>0.75</v>
      </c>
      <c r="C281" s="38">
        <v>-90</v>
      </c>
      <c r="D281" s="38">
        <f>+DEGREES(ASIN(COS(RADIANS(E266))*COS(RADIANS(D266))*COS(RADIANS(C281))+SIN(RADIANS(E266))*SIN(RADIANS(D266))))</f>
        <v>-0.28542473572046595</v>
      </c>
      <c r="E281" s="38">
        <f>-(180-DEGREES(ACOS((((SIN(RADIANS(D281)))*SIN(RADIANS(E266)))-SIN(RADIANS(D266)))/((COS(RADIANS(D281)))*COS(RADIANS(E266))))))</f>
        <v>-90.285428277386828</v>
      </c>
      <c r="G281">
        <f t="shared" si="425"/>
        <v>9.0285424735720472</v>
      </c>
      <c r="H281">
        <f t="shared" si="426"/>
        <v>180.28542827738681</v>
      </c>
      <c r="I281" s="94">
        <f t="shared" si="427"/>
        <v>0</v>
      </c>
      <c r="J281" s="94">
        <f t="shared" si="428"/>
        <v>0</v>
      </c>
      <c r="M281" s="39">
        <v>0.75</v>
      </c>
      <c r="N281" s="38">
        <v>-90</v>
      </c>
      <c r="O281" s="38">
        <f>+DEGREES(ASIN(COS(RADIANS(P266))*COS(RADIANS(O266))*COS(RADIANS(N281))+SIN(RADIANS(P266))*SIN(RADIANS(O266))))</f>
        <v>-0.30921523535599088</v>
      </c>
      <c r="P281" s="38">
        <f>-(180-DEGREES(ACOS((((SIN(RADIANS(O281)))*SIN(RADIANS(P266)))-SIN(RADIANS(O266)))/((COS(RADIANS(O281)))*COS(RADIANS(P266))))))</f>
        <v>-90.259465795815785</v>
      </c>
      <c r="R281">
        <f t="shared" si="429"/>
        <v>9.0309215235356</v>
      </c>
      <c r="S281">
        <f t="shared" si="430"/>
        <v>180.2594657958158</v>
      </c>
      <c r="T281" s="94">
        <f t="shared" si="431"/>
        <v>0</v>
      </c>
      <c r="U281" s="94">
        <f t="shared" si="432"/>
        <v>0</v>
      </c>
      <c r="AB281" s="39">
        <v>0.66666666666667995</v>
      </c>
      <c r="AC281">
        <f t="shared" si="423"/>
        <v>6</v>
      </c>
      <c r="AD281">
        <f t="shared" si="424"/>
        <v>180</v>
      </c>
      <c r="AE281" s="94">
        <f t="shared" si="360"/>
        <v>-6.0865595262650283</v>
      </c>
      <c r="AF281">
        <f t="shared" si="361"/>
        <v>-6.0865595262650283</v>
      </c>
      <c r="AG281" s="94">
        <f t="shared" si="362"/>
        <v>7.3508907294517201E-16</v>
      </c>
      <c r="AH281">
        <f t="shared" si="363"/>
        <v>-1.2484136472497258</v>
      </c>
    </row>
    <row r="282" spans="1:35" x14ac:dyDescent="0.25">
      <c r="AA282">
        <v>21</v>
      </c>
      <c r="AB282" s="39">
        <v>0.67708333333334703</v>
      </c>
      <c r="AC282">
        <f t="shared" si="423"/>
        <v>6.375</v>
      </c>
      <c r="AD282">
        <f t="shared" si="424"/>
        <v>180</v>
      </c>
      <c r="AE282" s="94">
        <f t="shared" si="360"/>
        <v>-6.4600829926194603</v>
      </c>
      <c r="AF282">
        <f t="shared" si="361"/>
        <v>-6.4600829926194603</v>
      </c>
      <c r="AG282" s="94">
        <f t="shared" si="362"/>
        <v>7.8103214000424526E-16</v>
      </c>
      <c r="AH282">
        <f t="shared" si="363"/>
        <v>-1.1372796890046504</v>
      </c>
      <c r="AI282">
        <v>21</v>
      </c>
    </row>
    <row r="283" spans="1:35" x14ac:dyDescent="0.25">
      <c r="AB283" s="39">
        <v>0.68750000000001399</v>
      </c>
      <c r="AC283">
        <f t="shared" si="423"/>
        <v>6.75</v>
      </c>
      <c r="AD283">
        <f t="shared" si="424"/>
        <v>180</v>
      </c>
      <c r="AE283" s="94">
        <f t="shared" si="360"/>
        <v>-6.831993703332409</v>
      </c>
      <c r="AF283">
        <f t="shared" si="361"/>
        <v>-6.831993703332409</v>
      </c>
      <c r="AG283" s="94">
        <f t="shared" si="362"/>
        <v>8.2697520706331851E-16</v>
      </c>
      <c r="AH283">
        <f t="shared" si="363"/>
        <v>-1.0168408842875816</v>
      </c>
    </row>
    <row r="284" spans="1:35" x14ac:dyDescent="0.25">
      <c r="A284" s="95" t="s">
        <v>92</v>
      </c>
      <c r="B284" s="95">
        <v>21</v>
      </c>
      <c r="C284" s="315"/>
      <c r="D284" s="315"/>
      <c r="E284" s="316"/>
      <c r="L284" s="95" t="s">
        <v>92</v>
      </c>
      <c r="M284" s="95">
        <v>21</v>
      </c>
      <c r="N284" s="315"/>
      <c r="O284" s="315"/>
      <c r="P284" s="316"/>
      <c r="AA284">
        <v>22</v>
      </c>
      <c r="AB284" s="39">
        <v>0.69791666666668095</v>
      </c>
      <c r="AC284">
        <f t="shared" si="423"/>
        <v>7.125</v>
      </c>
      <c r="AD284">
        <f t="shared" si="424"/>
        <v>180</v>
      </c>
      <c r="AE284" s="94">
        <f t="shared" si="360"/>
        <v>-7.2020622600263922</v>
      </c>
      <c r="AF284">
        <f t="shared" si="361"/>
        <v>-7.2020622600263922</v>
      </c>
      <c r="AG284" s="94">
        <f t="shared" si="362"/>
        <v>8.7291827412239176E-16</v>
      </c>
      <c r="AH284">
        <f t="shared" si="363"/>
        <v>-0.8865129413384919</v>
      </c>
      <c r="AI284">
        <v>22</v>
      </c>
    </row>
    <row r="285" spans="1:35" x14ac:dyDescent="0.25">
      <c r="A285" s="95" t="s">
        <v>91</v>
      </c>
      <c r="B285" s="95">
        <v>3</v>
      </c>
      <c r="C285" s="315"/>
      <c r="D285" s="315"/>
      <c r="E285" s="316"/>
      <c r="L285" s="95" t="s">
        <v>91</v>
      </c>
      <c r="M285" s="95">
        <v>3</v>
      </c>
      <c r="N285" s="315"/>
      <c r="O285" s="315"/>
      <c r="P285" s="316"/>
      <c r="AB285" s="39">
        <v>0.70833333333334803</v>
      </c>
      <c r="AC285">
        <f t="shared" si="423"/>
        <v>7.5</v>
      </c>
      <c r="AD285">
        <f t="shared" si="424"/>
        <v>180</v>
      </c>
      <c r="AE285" s="94">
        <f t="shared" si="360"/>
        <v>-7.5700217750763859</v>
      </c>
      <c r="AF285">
        <f t="shared" si="361"/>
        <v>-7.5700217750763859</v>
      </c>
      <c r="AG285" s="94">
        <f t="shared" si="362"/>
        <v>9.1886134118146501E-16</v>
      </c>
      <c r="AH285">
        <f t="shared" si="363"/>
        <v>-0.7456310772584348</v>
      </c>
    </row>
    <row r="286" spans="1:35" x14ac:dyDescent="0.25">
      <c r="C286" s="93">
        <f>+IF(B285=$AI$63,B284,IF(B285=$AJ$63,$AI$64+B284,IF(B285=$AK$63,$AI$64+$AJ$64+B284,IF(B285=$AL$63,$AI$64+$AJ$64+$AK$64+B284,IF(B285=$AM$63,$AI$64+$AJ$64+$AK$64+$AL$64+B284,IF(B285=$AN$63,$AI$64+$AJ$64+$AK$64+$AL$64+$AM$64+B284,IF(B285=$AO$63,$AI$64+$AJ$64+$AK$64+$AL$64+$AM$64+$AN$64+B284,IF(B285=$AP$63,$AI$64+$AJ$64+$AK$64+$AL$64+$AM$64+$AN$64+$AO$64+B284,IF(B285=$AQ$63,$AI$64+$AJ$64+$AK$64+$AL$64+$AM$64+$AN$64+$AO$64+$AP$64+B284,IF(B285=$AR$63,$AI$64+$AJ$64+$AK$64+$AL$64+$AM$64+$AN$64+$AO$64+$AP$64+$AQ$64+B284,IF(B285=$AS$63,$AI$64+$AJ$64+$AK$64+$AL$64+$AM$64+$AN$64+$AO$64+$AP$64+$AQ$64+$AR$64+B284,IF(B285=$AT$63,$AI$64+$AJ$64+$AK$64+$AL$64+$AM$64+$AN$64+$AO$64+$AP$64+$AQ$64+$AR$64+$AS$64+B284,"error"))))))))))))</f>
        <v>80</v>
      </c>
      <c r="D286" s="38">
        <f>23.45*SIN(RADIANS(360*((284+C286)/365)))</f>
        <v>-0.40365320185431652</v>
      </c>
      <c r="E286" s="95">
        <v>55</v>
      </c>
      <c r="N286" s="93">
        <f>+IF(M285=$AI$63,M284,IF(M285=$AJ$63,$AI$64+M284,IF(M285=$AK$63,$AI$64+$AJ$64+M284,IF(M285=$AL$63,$AI$64+$AJ$64+$AK$64+M284,IF(M285=$AM$63,$AI$64+$AJ$64+$AK$64+$AL$64+M284,IF(M285=$AN$63,$AI$64+$AJ$64+$AK$64+$AL$64+$AM$64+M284,IF(M285=$AO$63,$AI$64+$AJ$64+$AK$64+$AL$64+$AM$64+$AN$64+M284,IF(M285=$AP$63,$AI$64+$AJ$64+$AK$64+$AL$64+$AM$64+$AN$64+$AO$64+M284,IF(M285=$AQ$63,$AI$64+$AJ$64+$AK$64+$AL$64+$AM$64+$AN$64+$AO$64+$AP$64+M284,IF(M285=$AR$63,$AI$64+$AJ$64+$AK$64+$AL$64+$AM$64+$AN$64+$AO$64+$AP$64+$AQ$64+M284,IF(M285=$AS$63,$AI$64+$AJ$64+$AK$64+$AL$64+$AM$64+$AN$64+$AO$64+$AP$64+$AQ$64+$AR$64+M284,IF(M285=$AT$63,$AI$64+$AJ$64+$AK$64+$AL$64+$AM$64+$AN$64+$AO$64+$AP$64+$AQ$64+$AR$64+$AS$64+M284,"error"))))))))))))</f>
        <v>80</v>
      </c>
      <c r="O286" s="38">
        <f>23.45*SIN(RADIANS(360*((284+N286)/365)))</f>
        <v>-0.40365320185431652</v>
      </c>
      <c r="P286" s="95">
        <v>60</v>
      </c>
      <c r="AA286">
        <v>23</v>
      </c>
      <c r="AB286" s="39">
        <v>0.71875000000001499</v>
      </c>
      <c r="AC286">
        <f t="shared" si="423"/>
        <v>7.875</v>
      </c>
      <c r="AD286">
        <f t="shared" si="424"/>
        <v>180</v>
      </c>
      <c r="AE286" s="94">
        <f t="shared" si="360"/>
        <v>-7.9355598390257569</v>
      </c>
      <c r="AF286">
        <f t="shared" si="361"/>
        <v>-7.9355598390257569</v>
      </c>
      <c r="AG286" s="94">
        <f t="shared" si="362"/>
        <v>9.6480440824053826E-16</v>
      </c>
      <c r="AH286">
        <f t="shared" si="363"/>
        <v>-0.59343745533170189</v>
      </c>
      <c r="AI286">
        <v>23</v>
      </c>
    </row>
    <row r="287" spans="1:35" x14ac:dyDescent="0.25">
      <c r="B287" s="317" t="s">
        <v>90</v>
      </c>
      <c r="C287" s="315"/>
      <c r="D287" s="315"/>
      <c r="E287" s="315"/>
      <c r="G287" s="319" t="s">
        <v>89</v>
      </c>
      <c r="H287" s="319"/>
      <c r="I287" s="319" t="s">
        <v>42</v>
      </c>
      <c r="J287" s="319" t="s">
        <v>43</v>
      </c>
      <c r="M287" s="317" t="s">
        <v>90</v>
      </c>
      <c r="N287" s="315"/>
      <c r="O287" s="315"/>
      <c r="P287" s="315"/>
      <c r="R287" s="319" t="s">
        <v>89</v>
      </c>
      <c r="S287" s="319"/>
      <c r="T287" s="319" t="s">
        <v>42</v>
      </c>
      <c r="U287" s="319" t="s">
        <v>43</v>
      </c>
      <c r="AB287" s="39">
        <v>0.72916666666668195</v>
      </c>
      <c r="AC287">
        <f t="shared" si="423"/>
        <v>8.25</v>
      </c>
      <c r="AD287">
        <f t="shared" si="424"/>
        <v>180</v>
      </c>
      <c r="AE287" s="94">
        <f t="shared" si="360"/>
        <v>-8.2983084671054144</v>
      </c>
      <c r="AF287">
        <f t="shared" si="361"/>
        <v>-8.2983084671054144</v>
      </c>
      <c r="AG287" s="94">
        <f t="shared" si="362"/>
        <v>1.0107474752996115E-15</v>
      </c>
      <c r="AH287">
        <f t="shared" si="363"/>
        <v>-0.42906610830579445</v>
      </c>
    </row>
    <row r="288" spans="1:35" x14ac:dyDescent="0.25">
      <c r="B288" s="318"/>
      <c r="C288" s="315"/>
      <c r="D288" s="315"/>
      <c r="E288" s="315"/>
      <c r="G288" s="319"/>
      <c r="H288" s="319"/>
      <c r="I288" s="319"/>
      <c r="J288" s="319"/>
      <c r="M288" s="318"/>
      <c r="N288" s="315"/>
      <c r="O288" s="315"/>
      <c r="P288" s="315"/>
      <c r="R288" s="319"/>
      <c r="S288" s="319"/>
      <c r="T288" s="319"/>
      <c r="U288" s="319"/>
      <c r="AA288">
        <v>24</v>
      </c>
      <c r="AB288" s="39">
        <v>0.73958333333334902</v>
      </c>
      <c r="AC288">
        <f t="shared" si="423"/>
        <v>8.625</v>
      </c>
      <c r="AD288">
        <f t="shared" si="424"/>
        <v>180</v>
      </c>
      <c r="AE288" s="94">
        <f t="shared" si="360"/>
        <v>-8.6578314246765178</v>
      </c>
      <c r="AF288">
        <f t="shared" si="361"/>
        <v>-8.6578314246765178</v>
      </c>
      <c r="AG288" s="94">
        <f t="shared" si="362"/>
        <v>1.0566905423586848E-15</v>
      </c>
      <c r="AH288">
        <f t="shared" si="363"/>
        <v>-0.251524776174332</v>
      </c>
      <c r="AI288">
        <v>24</v>
      </c>
    </row>
    <row r="289" spans="1:38" x14ac:dyDescent="0.25">
      <c r="B289" s="39">
        <v>0.25</v>
      </c>
      <c r="C289" s="38">
        <v>90</v>
      </c>
      <c r="D289" s="38">
        <f>+DEGREES(ASIN(COS(RADIANS(E286))*COS(RADIANS(D286))*COS(RADIANS(C289))+SIN(RADIANS(E286))*SIN(RADIANS(D286))))</f>
        <v>-0.33065244560971324</v>
      </c>
      <c r="E289" s="38">
        <f>180-DEGREES(ACOS((((SIN(RADIANS(D289)))*SIN(RADIANS(E286)))-SIN(RADIANS(D286)))/((COS(RADIANS(D289)))*COS(RADIANS(E286)))))</f>
        <v>90.231528535338782</v>
      </c>
      <c r="G289">
        <f t="shared" ref="G289:G301" si="433">9-(D289/10)</f>
        <v>9.0330652445609712</v>
      </c>
      <c r="H289">
        <f t="shared" ref="H289:H301" si="434">90-E289+$AH$172</f>
        <v>-0.23152853533878215</v>
      </c>
      <c r="I289" s="94">
        <f t="shared" ref="I289:I301" si="435">IF($E$286&gt;=$AE$174,0,G289*COS(RADIANS(H289)))</f>
        <v>0</v>
      </c>
      <c r="J289" s="94">
        <f t="shared" ref="J289:J301" si="436">IF($E$286&gt;=$AE$174,0,G289*SIN(RADIANS(H289)))</f>
        <v>0</v>
      </c>
      <c r="M289" s="39">
        <v>0.25</v>
      </c>
      <c r="N289" s="38">
        <v>90</v>
      </c>
      <c r="O289" s="38">
        <f>+DEGREES(ASIN(COS(RADIANS(P286))*COS(RADIANS(O286))*COS(RADIANS(N289))+SIN(RADIANS(P286))*SIN(RADIANS(O286))))</f>
        <v>-0.3495732041793162</v>
      </c>
      <c r="P289" s="38">
        <f>180-DEGREES(ACOS((((SIN(RADIANS(O289)))*SIN(RADIANS(P286)))-SIN(RADIANS(O286)))/((COS(RADIANS(O289)))*COS(RADIANS(P286)))))</f>
        <v>90.201829105279003</v>
      </c>
      <c r="R289">
        <f t="shared" ref="R289:R301" si="437">9-(O289/10)</f>
        <v>9.0349573204179308</v>
      </c>
      <c r="S289">
        <f t="shared" ref="S289:S301" si="438">90-P289+$AH$172</f>
        <v>-0.20182910527900333</v>
      </c>
      <c r="T289" s="94">
        <f t="shared" ref="T289:T301" si="439">IF($P$286&gt;=$AE$174,0,R289*COS(RADIANS(S289)))</f>
        <v>0</v>
      </c>
      <c r="U289" s="94">
        <f t="shared" ref="U289:U301" si="440">IF($P$286&gt;=$AE$174,0,R289*SIN(RADIANS(S289)))</f>
        <v>0</v>
      </c>
      <c r="AB289" s="39">
        <v>0.75000000000001599</v>
      </c>
      <c r="AC289">
        <f t="shared" si="423"/>
        <v>9</v>
      </c>
      <c r="AD289">
        <f t="shared" si="424"/>
        <v>180</v>
      </c>
      <c r="AE289" s="94">
        <f t="shared" si="360"/>
        <v>-9.0136081270281014</v>
      </c>
      <c r="AF289">
        <f t="shared" si="361"/>
        <v>-9.0136081270281014</v>
      </c>
      <c r="AG289" s="94">
        <f t="shared" si="362"/>
        <v>1.102633609417758E-15</v>
      </c>
      <c r="AH289">
        <f t="shared" si="363"/>
        <v>-5.9672941159190362E-2</v>
      </c>
    </row>
    <row r="290" spans="1:38" x14ac:dyDescent="0.25">
      <c r="B290" s="39">
        <v>0.29166666666666669</v>
      </c>
      <c r="C290">
        <v>75</v>
      </c>
      <c r="D290" s="38">
        <f>+DEGREES(ASIN(COS(RADIANS(E286))*COS(RADIANS(D286))*COS(RADIANS(C290))+SIN(RADIANS(E286))*SIN(RADIANS(D286))))</f>
        <v>8.2028333744853068</v>
      </c>
      <c r="E290" s="38">
        <f>180-DEGREES(ACOS((((SIN(RADIANS(D290)))*SIN(RADIANS(E286)))-SIN(RADIANS(D286)))/((COS(RADIANS(D290)))*COS(RADIANS(E286)))))</f>
        <v>102.60808432687864</v>
      </c>
      <c r="G290">
        <f t="shared" si="433"/>
        <v>8.1797166625514688</v>
      </c>
      <c r="H290">
        <f t="shared" si="434"/>
        <v>-12.60808432687864</v>
      </c>
      <c r="I290" s="94">
        <f t="shared" si="435"/>
        <v>0</v>
      </c>
      <c r="J290" s="94">
        <f t="shared" si="436"/>
        <v>0</v>
      </c>
      <c r="M290" s="39">
        <v>0.29166666666666669</v>
      </c>
      <c r="N290">
        <v>75</v>
      </c>
      <c r="O290" s="38">
        <f>+DEGREES(ASIN(COS(RADIANS(P286))*COS(RADIANS(O286))*COS(RADIANS(N290))+SIN(RADIANS(P286))*SIN(RADIANS(O286))))</f>
        <v>7.0828905917026601</v>
      </c>
      <c r="P290" s="38">
        <f>180-DEGREES(ACOS((((SIN(RADIANS(O290)))*SIN(RADIANS(P286)))-SIN(RADIANS(O286)))/((COS(RADIANS(O290)))*COS(RADIANS(P286)))))</f>
        <v>103.26242674917356</v>
      </c>
      <c r="R290">
        <f t="shared" si="437"/>
        <v>8.2917109408297343</v>
      </c>
      <c r="S290">
        <f t="shared" si="438"/>
        <v>-13.262426749173557</v>
      </c>
      <c r="T290" s="94">
        <f t="shared" si="439"/>
        <v>0</v>
      </c>
      <c r="U290" s="94">
        <f t="shared" si="440"/>
        <v>0</v>
      </c>
    </row>
    <row r="291" spans="1:38" x14ac:dyDescent="0.25">
      <c r="B291" s="39">
        <v>0.33333333333333298</v>
      </c>
      <c r="C291" s="38">
        <v>60</v>
      </c>
      <c r="D291" s="38">
        <f>+DEGREES(ASIN(COS(RADIANS(E286))*COS(RADIANS(D286))*COS(RADIANS(C291))+SIN(RADIANS(E286))*SIN(RADIANS(D286))))</f>
        <v>16.320503415244993</v>
      </c>
      <c r="E291" s="38">
        <f>180-DEGREES(ACOS((((SIN(RADIANS(D291)))*SIN(RADIANS(E286)))-SIN(RADIANS(D286)))/((COS(RADIANS(D291)))*COS(RADIANS(E286)))))</f>
        <v>115.52931582669709</v>
      </c>
      <c r="G291">
        <f t="shared" si="433"/>
        <v>7.3679496584755011</v>
      </c>
      <c r="H291">
        <f t="shared" si="434"/>
        <v>-25.529315826697086</v>
      </c>
      <c r="I291" s="94">
        <f t="shared" si="435"/>
        <v>0</v>
      </c>
      <c r="J291" s="94">
        <f t="shared" si="436"/>
        <v>0</v>
      </c>
      <c r="M291" s="39">
        <v>0.33333333333333298</v>
      </c>
      <c r="N291" s="38">
        <v>60</v>
      </c>
      <c r="O291" s="38">
        <f>+DEGREES(ASIN(COS(RADIANS(P286))*COS(RADIANS(O286))*COS(RADIANS(N291))+SIN(RADIANS(P286))*SIN(RADIANS(O286))))</f>
        <v>14.116401075408692</v>
      </c>
      <c r="P291" s="38">
        <f>180-DEGREES(ACOS((((SIN(RADIANS(O291)))*SIN(RADIANS(P286)))-SIN(RADIANS(O286)))/((COS(RADIANS(O291)))*COS(RADIANS(P286)))))</f>
        <v>116.75119018205405</v>
      </c>
      <c r="R291">
        <f t="shared" si="437"/>
        <v>7.5883598924591311</v>
      </c>
      <c r="S291">
        <f t="shared" si="438"/>
        <v>-26.751190182054046</v>
      </c>
      <c r="T291" s="94">
        <f t="shared" si="439"/>
        <v>0</v>
      </c>
      <c r="U291" s="94">
        <f t="shared" si="440"/>
        <v>0</v>
      </c>
      <c r="AE291" s="94" t="s">
        <v>94</v>
      </c>
      <c r="AF291" s="94" t="s">
        <v>93</v>
      </c>
      <c r="AG291" s="94" t="s">
        <v>42</v>
      </c>
      <c r="AH291" s="94" t="s">
        <v>43</v>
      </c>
      <c r="AI291" s="94" t="s">
        <v>94</v>
      </c>
      <c r="AJ291" s="94" t="s">
        <v>93</v>
      </c>
      <c r="AK291" s="94" t="s">
        <v>42</v>
      </c>
      <c r="AL291" s="94" t="s">
        <v>43</v>
      </c>
    </row>
    <row r="292" spans="1:38" x14ac:dyDescent="0.25">
      <c r="B292" s="39">
        <v>0.375</v>
      </c>
      <c r="C292">
        <v>45</v>
      </c>
      <c r="D292" s="38">
        <f>+DEGREES(ASIN(COS(RADIANS(E286))*COS(RADIANS(D286))*COS(RADIANS(C292))+SIN(RADIANS(E286))*SIN(RADIANS(D286))))</f>
        <v>23.565599898332856</v>
      </c>
      <c r="E292" s="38">
        <f>180-DEGREES(ACOS((((SIN(RADIANS(D292)))*SIN(RADIANS(E286)))-SIN(RADIANS(D286)))/((COS(RADIANS(D292)))*COS(RADIANS(E286)))))</f>
        <v>129.51809063723479</v>
      </c>
      <c r="G292">
        <f t="shared" si="433"/>
        <v>6.6434400101667146</v>
      </c>
      <c r="H292">
        <f t="shared" si="434"/>
        <v>-39.518090637234792</v>
      </c>
      <c r="I292" s="94">
        <f t="shared" si="435"/>
        <v>0</v>
      </c>
      <c r="J292" s="94">
        <f t="shared" si="436"/>
        <v>0</v>
      </c>
      <c r="M292" s="39">
        <v>0.375</v>
      </c>
      <c r="N292">
        <v>45</v>
      </c>
      <c r="O292" s="38">
        <f>+DEGREES(ASIN(COS(RADIANS(P286))*COS(RADIANS(O286))*COS(RADIANS(N292))+SIN(RADIANS(P286))*SIN(RADIANS(O286))))</f>
        <v>20.331024660834704</v>
      </c>
      <c r="P292" s="38">
        <f>180-DEGREES(ACOS((((SIN(RADIANS(O292)))*SIN(RADIANS(P286)))-SIN(RADIANS(O286)))/((COS(RADIANS(O292)))*COS(RADIANS(P286)))))</f>
        <v>131.05609632361453</v>
      </c>
      <c r="R292">
        <f t="shared" si="437"/>
        <v>6.96689753391653</v>
      </c>
      <c r="S292">
        <f t="shared" si="438"/>
        <v>-41.056096323614526</v>
      </c>
      <c r="T292" s="94">
        <f t="shared" si="439"/>
        <v>0</v>
      </c>
      <c r="U292" s="94">
        <f t="shared" si="440"/>
        <v>0</v>
      </c>
      <c r="X292">
        <v>-9</v>
      </c>
      <c r="Y292">
        <f>+A2</f>
        <v>9</v>
      </c>
      <c r="Z292">
        <f>+B2</f>
        <v>0</v>
      </c>
      <c r="AA292">
        <f>+C2</f>
        <v>0</v>
      </c>
      <c r="AC292">
        <f t="shared" ref="AC292:AC355" si="441">+IF($AE$51&lt;0,IF(Z292&lt;$AI$53,Z292,$AI$53),IF(AA292&gt;$AI$53,AA292,$AI$53))</f>
        <v>0</v>
      </c>
      <c r="AE292">
        <v>9</v>
      </c>
      <c r="AF292">
        <v>0</v>
      </c>
      <c r="AG292" s="94">
        <f t="shared" ref="AG292:AG310" si="442">+AE292*COS(RADIANS(AF292))</f>
        <v>9</v>
      </c>
      <c r="AH292" s="94">
        <f t="shared" ref="AH292:AH310" si="443">+AE292*SIN(RADIANS(AF292))</f>
        <v>0</v>
      </c>
      <c r="AI292">
        <v>9</v>
      </c>
      <c r="AJ292">
        <v>180</v>
      </c>
      <c r="AK292" s="94">
        <f t="shared" ref="AK292:AK310" si="444">+AI292*COS(RADIANS(AJ292))</f>
        <v>-9</v>
      </c>
      <c r="AL292" s="94">
        <f t="shared" ref="AL292:AL310" si="445">+AI292*SIN(RADIANS(AJ292))</f>
        <v>1.102633609417758E-15</v>
      </c>
    </row>
    <row r="293" spans="1:38" x14ac:dyDescent="0.25">
      <c r="B293" s="39">
        <v>0.41666666666666702</v>
      </c>
      <c r="C293" s="38">
        <v>30</v>
      </c>
      <c r="D293" s="38">
        <f>+DEGREES(ASIN(COS(RADIANS(E286))*COS(RADIANS(D286))*COS(RADIANS(C293))+SIN(RADIANS(E286))*SIN(RADIANS(D286))))</f>
        <v>29.402942542788431</v>
      </c>
      <c r="E293" s="38">
        <f>180-DEGREES(ACOS((((SIN(RADIANS(D293)))*SIN(RADIANS(E286)))-SIN(RADIANS(D286)))/((COS(RADIANS(D293)))*COS(RADIANS(E286)))))</f>
        <v>144.97636487234047</v>
      </c>
      <c r="G293">
        <f t="shared" si="433"/>
        <v>6.0597057457211569</v>
      </c>
      <c r="H293">
        <f t="shared" si="434"/>
        <v>-54.976364872340469</v>
      </c>
      <c r="I293" s="94">
        <f t="shared" si="435"/>
        <v>0</v>
      </c>
      <c r="J293" s="94">
        <f t="shared" si="436"/>
        <v>0</v>
      </c>
      <c r="M293" s="39">
        <v>0.41666666666666702</v>
      </c>
      <c r="N293" s="38">
        <v>30</v>
      </c>
      <c r="O293" s="38">
        <f>+DEGREES(ASIN(COS(RADIANS(P286))*COS(RADIANS(O286))*COS(RADIANS(N293))+SIN(RADIANS(P286))*SIN(RADIANS(O286))))</f>
        <v>25.271036694432379</v>
      </c>
      <c r="P293" s="38">
        <f>180-DEGREES(ACOS((((SIN(RADIANS(O293)))*SIN(RADIANS(P286)))-SIN(RADIANS(O286)))/((COS(RADIANS(O293)))*COS(RADIANS(P286)))))</f>
        <v>146.43373276828299</v>
      </c>
      <c r="R293">
        <f t="shared" si="437"/>
        <v>6.4728963305567619</v>
      </c>
      <c r="S293">
        <f t="shared" si="438"/>
        <v>-56.433732768282994</v>
      </c>
      <c r="T293" s="94">
        <f t="shared" si="439"/>
        <v>0</v>
      </c>
      <c r="U293" s="94">
        <f t="shared" si="440"/>
        <v>0</v>
      </c>
      <c r="X293">
        <f t="shared" ref="X293:X356" si="446">IF(AC293=AC292,X292,X292+0.1)</f>
        <v>-9</v>
      </c>
      <c r="Y293">
        <f t="shared" ref="Y293:Y356" si="447">IF(AC293=AC292,Y292,Y292-0.1)</f>
        <v>9</v>
      </c>
      <c r="Z293">
        <f t="shared" ref="Z293:AA324" si="448">+B3</f>
        <v>1.3379088160259622</v>
      </c>
      <c r="AA293">
        <f t="shared" si="448"/>
        <v>-1.3379088160259622</v>
      </c>
      <c r="AC293">
        <f t="shared" si="441"/>
        <v>0</v>
      </c>
      <c r="AE293">
        <v>9</v>
      </c>
      <c r="AF293">
        <v>5</v>
      </c>
      <c r="AG293" s="94">
        <f t="shared" si="442"/>
        <v>8.9657522828257097</v>
      </c>
      <c r="AH293" s="94">
        <f t="shared" si="443"/>
        <v>0.78440168472892347</v>
      </c>
      <c r="AI293">
        <v>9</v>
      </c>
      <c r="AJ293">
        <v>175</v>
      </c>
      <c r="AK293" s="94">
        <f t="shared" si="444"/>
        <v>-8.9657522828257097</v>
      </c>
      <c r="AL293" s="94">
        <f t="shared" si="445"/>
        <v>0.78440168472892369</v>
      </c>
    </row>
    <row r="294" spans="1:38" x14ac:dyDescent="0.25">
      <c r="B294" s="39">
        <v>0.45833333333333298</v>
      </c>
      <c r="C294">
        <v>15</v>
      </c>
      <c r="D294" s="38">
        <f>+DEGREES(ASIN(COS(RADIANS(E286))*COS(RADIANS(D286))*COS(RADIANS(C294))+SIN(RADIANS(E286))*SIN(RADIANS(D286))))</f>
        <v>33.246874034806808</v>
      </c>
      <c r="E294" s="38">
        <f>180-DEGREES(ACOS((((SIN(RADIANS(D294)))*SIN(RADIANS(E286)))-SIN(RADIANS(D286)))/((COS(RADIANS(D294)))*COS(RADIANS(E286)))))</f>
        <v>161.97285899302315</v>
      </c>
      <c r="G294">
        <f t="shared" si="433"/>
        <v>5.6753125965193192</v>
      </c>
      <c r="H294">
        <f t="shared" si="434"/>
        <v>-71.972858993023152</v>
      </c>
      <c r="I294" s="94">
        <f t="shared" si="435"/>
        <v>0</v>
      </c>
      <c r="J294" s="94">
        <f t="shared" si="436"/>
        <v>0</v>
      </c>
      <c r="M294" s="39">
        <v>0.45833333333333298</v>
      </c>
      <c r="N294">
        <v>15</v>
      </c>
      <c r="O294" s="38">
        <f>+DEGREES(ASIN(COS(RADIANS(P286))*COS(RADIANS(O286))*COS(RADIANS(N294))+SIN(RADIANS(P286))*SIN(RADIANS(O286))))</f>
        <v>28.479856336040129</v>
      </c>
      <c r="P294" s="38">
        <f>180-DEGREES(ACOS((((SIN(RADIANS(O294)))*SIN(RADIANS(P286)))-SIN(RADIANS(O286)))/((COS(RADIANS(O294)))*COS(RADIANS(P286)))))</f>
        <v>162.87574406738997</v>
      </c>
      <c r="R294">
        <f t="shared" si="437"/>
        <v>6.1520143663959868</v>
      </c>
      <c r="S294">
        <f t="shared" si="438"/>
        <v>-72.875744067389974</v>
      </c>
      <c r="T294" s="94">
        <f t="shared" si="439"/>
        <v>0</v>
      </c>
      <c r="U294" s="94">
        <f t="shared" si="440"/>
        <v>0</v>
      </c>
      <c r="X294">
        <f t="shared" si="446"/>
        <v>-9</v>
      </c>
      <c r="Y294">
        <f t="shared" si="447"/>
        <v>9</v>
      </c>
      <c r="Z294">
        <f t="shared" si="448"/>
        <v>1.8867962264113176</v>
      </c>
      <c r="AA294">
        <f t="shared" si="448"/>
        <v>-1.8867962264113176</v>
      </c>
      <c r="AC294">
        <f t="shared" si="441"/>
        <v>0</v>
      </c>
      <c r="AE294">
        <v>9</v>
      </c>
      <c r="AF294">
        <v>10</v>
      </c>
      <c r="AG294" s="94">
        <f t="shared" si="442"/>
        <v>8.8632697771098723</v>
      </c>
      <c r="AH294" s="94">
        <f t="shared" si="443"/>
        <v>1.562833599002373</v>
      </c>
      <c r="AI294">
        <v>9</v>
      </c>
      <c r="AJ294">
        <v>170</v>
      </c>
      <c r="AK294" s="94">
        <f t="shared" si="444"/>
        <v>-8.8632697771098723</v>
      </c>
      <c r="AL294" s="94">
        <f t="shared" si="445"/>
        <v>1.5628335990023725</v>
      </c>
    </row>
    <row r="295" spans="1:38" x14ac:dyDescent="0.25">
      <c r="B295" s="39">
        <v>0.5</v>
      </c>
      <c r="C295" s="38">
        <v>0</v>
      </c>
      <c r="D295" s="38">
        <f>+DEGREES(ASIN(COS(RADIANS(E286))*COS(RADIANS(D286))*COS(RADIANS(C295))+SIN(RADIANS(E286))*SIN(RADIANS(D286))))</f>
        <v>34.596346798145689</v>
      </c>
      <c r="E295" s="38">
        <f>+IF(E286&gt;=0,180,0)</f>
        <v>180</v>
      </c>
      <c r="G295">
        <f t="shared" si="433"/>
        <v>5.5403653201854315</v>
      </c>
      <c r="H295">
        <f t="shared" si="434"/>
        <v>-90</v>
      </c>
      <c r="I295" s="94">
        <f t="shared" si="435"/>
        <v>0</v>
      </c>
      <c r="J295" s="94">
        <f t="shared" si="436"/>
        <v>0</v>
      </c>
      <c r="M295" s="39">
        <v>0.5</v>
      </c>
      <c r="N295" s="38">
        <v>0</v>
      </c>
      <c r="O295" s="38">
        <f>+DEGREES(ASIN(COS(RADIANS(P286))*COS(RADIANS(O286))*COS(RADIANS(N295))+SIN(RADIANS(P286))*SIN(RADIANS(O286))))</f>
        <v>29.596346798145689</v>
      </c>
      <c r="P295" s="38">
        <f>+IF(P286&gt;=0,180,0)</f>
        <v>180</v>
      </c>
      <c r="R295">
        <f t="shared" si="437"/>
        <v>6.0403653201854315</v>
      </c>
      <c r="S295">
        <f t="shared" si="438"/>
        <v>-90</v>
      </c>
      <c r="T295" s="94">
        <f t="shared" si="439"/>
        <v>0</v>
      </c>
      <c r="U295" s="94">
        <f t="shared" si="440"/>
        <v>0</v>
      </c>
      <c r="X295">
        <f t="shared" si="446"/>
        <v>-9</v>
      </c>
      <c r="Y295">
        <f t="shared" si="447"/>
        <v>9</v>
      </c>
      <c r="Z295">
        <f t="shared" si="448"/>
        <v>2.304343724360586</v>
      </c>
      <c r="AA295">
        <f t="shared" si="448"/>
        <v>-2.304343724360586</v>
      </c>
      <c r="AC295">
        <f t="shared" si="441"/>
        <v>0</v>
      </c>
      <c r="AE295">
        <v>9</v>
      </c>
      <c r="AF295">
        <v>15</v>
      </c>
      <c r="AG295" s="94">
        <f t="shared" si="442"/>
        <v>8.6933324366016151</v>
      </c>
      <c r="AH295" s="94">
        <f t="shared" si="443"/>
        <v>2.3293714059226867</v>
      </c>
      <c r="AI295">
        <v>9</v>
      </c>
      <c r="AJ295">
        <v>165</v>
      </c>
      <c r="AK295" s="94">
        <f t="shared" si="444"/>
        <v>-8.6933324366016134</v>
      </c>
      <c r="AL295" s="94">
        <f t="shared" si="445"/>
        <v>2.3293714059226893</v>
      </c>
    </row>
    <row r="296" spans="1:38" x14ac:dyDescent="0.25">
      <c r="B296" s="39">
        <v>0.54166666666666696</v>
      </c>
      <c r="C296">
        <v>-15</v>
      </c>
      <c r="D296" s="38">
        <f>+DEGREES(ASIN(COS(RADIANS(E286))*COS(RADIANS(D286))*COS(RADIANS(C296))+SIN(RADIANS(E286))*SIN(RADIANS(D286))))</f>
        <v>33.246874034806808</v>
      </c>
      <c r="E296" s="38">
        <f>-(180-DEGREES(ACOS((((SIN(RADIANS(D296)))*SIN(RADIANS(E286)))-SIN(RADIANS(D286)))/((COS(RADIANS(D296)))*COS(RADIANS(E286))))))</f>
        <v>-161.97285899302315</v>
      </c>
      <c r="G296">
        <f t="shared" si="433"/>
        <v>5.6753125965193192</v>
      </c>
      <c r="H296">
        <f t="shared" si="434"/>
        <v>251.97285899302315</v>
      </c>
      <c r="I296" s="94">
        <f t="shared" si="435"/>
        <v>0</v>
      </c>
      <c r="J296" s="94">
        <f t="shared" si="436"/>
        <v>0</v>
      </c>
      <c r="M296" s="39">
        <v>0.54166666666666696</v>
      </c>
      <c r="N296">
        <v>-15</v>
      </c>
      <c r="O296" s="38">
        <f>+DEGREES(ASIN(COS(RADIANS(P286))*COS(RADIANS(O286))*COS(RADIANS(N296))+SIN(RADIANS(P286))*SIN(RADIANS(O286))))</f>
        <v>28.479856336040129</v>
      </c>
      <c r="P296" s="38">
        <f>-(180-DEGREES(ACOS((((SIN(RADIANS(O296)))*SIN(RADIANS(P286)))-SIN(RADIANS(O286)))/((COS(RADIANS(O296)))*COS(RADIANS(P286))))))</f>
        <v>-162.87574406738997</v>
      </c>
      <c r="R296">
        <f t="shared" si="437"/>
        <v>6.1520143663959868</v>
      </c>
      <c r="S296">
        <f t="shared" si="438"/>
        <v>252.87574406738997</v>
      </c>
      <c r="T296" s="94">
        <f t="shared" si="439"/>
        <v>0</v>
      </c>
      <c r="U296" s="94">
        <f t="shared" si="440"/>
        <v>0</v>
      </c>
      <c r="X296">
        <f t="shared" si="446"/>
        <v>-9</v>
      </c>
      <c r="Y296">
        <f t="shared" si="447"/>
        <v>9</v>
      </c>
      <c r="Z296">
        <f t="shared" si="448"/>
        <v>2.6532998322843211</v>
      </c>
      <c r="AA296">
        <f t="shared" si="448"/>
        <v>-2.6532998322843211</v>
      </c>
      <c r="AC296">
        <f t="shared" si="441"/>
        <v>0</v>
      </c>
      <c r="AE296">
        <v>9</v>
      </c>
      <c r="AF296">
        <v>20</v>
      </c>
      <c r="AG296" s="94">
        <f t="shared" si="442"/>
        <v>8.4572335870731763</v>
      </c>
      <c r="AH296" s="94">
        <f t="shared" si="443"/>
        <v>3.0781812899310186</v>
      </c>
      <c r="AI296">
        <v>9</v>
      </c>
      <c r="AJ296">
        <v>160</v>
      </c>
      <c r="AK296" s="94">
        <f t="shared" si="444"/>
        <v>-8.4572335870731745</v>
      </c>
      <c r="AL296" s="94">
        <f t="shared" si="445"/>
        <v>3.0781812899310199</v>
      </c>
    </row>
    <row r="297" spans="1:38" x14ac:dyDescent="0.25">
      <c r="B297" s="39">
        <v>0.58333333333333304</v>
      </c>
      <c r="C297" s="38">
        <v>-30</v>
      </c>
      <c r="D297" s="38">
        <f>+DEGREES(ASIN(COS(RADIANS(E286))*COS(RADIANS(D286))*COS(RADIANS(C297))+SIN(RADIANS(E286))*SIN(RADIANS(D286))))</f>
        <v>29.402942542788431</v>
      </c>
      <c r="E297" s="38">
        <f>-(180-DEGREES(ACOS((((SIN(RADIANS(D297)))*SIN(RADIANS(E286)))-SIN(RADIANS(D286)))/((COS(RADIANS(D297)))*COS(RADIANS(E286))))))</f>
        <v>-144.97636487234047</v>
      </c>
      <c r="G297">
        <f t="shared" si="433"/>
        <v>6.0597057457211569</v>
      </c>
      <c r="H297">
        <f t="shared" si="434"/>
        <v>234.97636487234047</v>
      </c>
      <c r="I297" s="94">
        <f t="shared" si="435"/>
        <v>0</v>
      </c>
      <c r="J297" s="94">
        <f t="shared" si="436"/>
        <v>0</v>
      </c>
      <c r="M297" s="39">
        <v>0.58333333333333304</v>
      </c>
      <c r="N297" s="38">
        <v>-30</v>
      </c>
      <c r="O297" s="38">
        <f>+DEGREES(ASIN(COS(RADIANS(P286))*COS(RADIANS(O286))*COS(RADIANS(N297))+SIN(RADIANS(P286))*SIN(RADIANS(O286))))</f>
        <v>25.271036694432379</v>
      </c>
      <c r="P297" s="38">
        <f>-(180-DEGREES(ACOS((((SIN(RADIANS(O297)))*SIN(RADIANS(P286)))-SIN(RADIANS(O286)))/((COS(RADIANS(O297)))*COS(RADIANS(P286))))))</f>
        <v>-146.43373276828299</v>
      </c>
      <c r="R297">
        <f t="shared" si="437"/>
        <v>6.4728963305567619</v>
      </c>
      <c r="S297">
        <f t="shared" si="438"/>
        <v>236.43373276828299</v>
      </c>
      <c r="T297" s="94">
        <f t="shared" si="439"/>
        <v>0</v>
      </c>
      <c r="U297" s="94">
        <f t="shared" si="440"/>
        <v>0</v>
      </c>
      <c r="X297">
        <f t="shared" si="446"/>
        <v>-9</v>
      </c>
      <c r="Y297">
        <f t="shared" si="447"/>
        <v>9</v>
      </c>
      <c r="Z297">
        <f t="shared" si="448"/>
        <v>2.9580398915498081</v>
      </c>
      <c r="AA297">
        <f t="shared" si="448"/>
        <v>-2.9580398915498081</v>
      </c>
      <c r="AC297">
        <f t="shared" si="441"/>
        <v>0</v>
      </c>
      <c r="AE297">
        <v>9</v>
      </c>
      <c r="AF297">
        <v>25</v>
      </c>
      <c r="AG297" s="94">
        <f t="shared" si="442"/>
        <v>8.1567700833298495</v>
      </c>
      <c r="AH297" s="94">
        <f t="shared" si="443"/>
        <v>3.8035643556662948</v>
      </c>
      <c r="AI297">
        <v>9</v>
      </c>
      <c r="AJ297">
        <v>155</v>
      </c>
      <c r="AK297" s="94">
        <f t="shared" si="444"/>
        <v>-8.1567700833298495</v>
      </c>
      <c r="AL297" s="94">
        <f t="shared" si="445"/>
        <v>3.8035643556662952</v>
      </c>
    </row>
    <row r="298" spans="1:38" x14ac:dyDescent="0.25">
      <c r="B298" s="39">
        <v>0.625</v>
      </c>
      <c r="C298">
        <v>-45</v>
      </c>
      <c r="D298" s="38">
        <f>+DEGREES(ASIN(COS(RADIANS(E286))*COS(RADIANS(D286))*COS(RADIANS(C298))+SIN(RADIANS(E286))*SIN(RADIANS(D286))))</f>
        <v>23.565599898332856</v>
      </c>
      <c r="E298" s="38">
        <f>-(180-DEGREES(ACOS((((SIN(RADIANS(D298)))*SIN(RADIANS(E286)))-SIN(RADIANS(D286)))/((COS(RADIANS(D298)))*COS(RADIANS(E286))))))</f>
        <v>-129.51809063723479</v>
      </c>
      <c r="G298">
        <f t="shared" si="433"/>
        <v>6.6434400101667146</v>
      </c>
      <c r="H298">
        <f t="shared" si="434"/>
        <v>219.51809063723479</v>
      </c>
      <c r="I298" s="94">
        <f t="shared" si="435"/>
        <v>0</v>
      </c>
      <c r="J298" s="94">
        <f t="shared" si="436"/>
        <v>0</v>
      </c>
      <c r="M298" s="39">
        <v>0.625</v>
      </c>
      <c r="N298">
        <v>-45</v>
      </c>
      <c r="O298" s="38">
        <f>+DEGREES(ASIN(COS(RADIANS(P286))*COS(RADIANS(O286))*COS(RADIANS(N298))+SIN(RADIANS(P286))*SIN(RADIANS(O286))))</f>
        <v>20.331024660834704</v>
      </c>
      <c r="P298" s="38">
        <f>-(180-DEGREES(ACOS((((SIN(RADIANS(O298)))*SIN(RADIANS(P286)))-SIN(RADIANS(O286)))/((COS(RADIANS(O298)))*COS(RADIANS(P286))))))</f>
        <v>-131.05609632361453</v>
      </c>
      <c r="R298">
        <f t="shared" si="437"/>
        <v>6.96689753391653</v>
      </c>
      <c r="S298">
        <f t="shared" si="438"/>
        <v>221.05609632361453</v>
      </c>
      <c r="T298" s="94">
        <f t="shared" si="439"/>
        <v>0</v>
      </c>
      <c r="U298" s="94">
        <f t="shared" si="440"/>
        <v>0</v>
      </c>
      <c r="X298">
        <f t="shared" si="446"/>
        <v>-9</v>
      </c>
      <c r="Y298">
        <f t="shared" si="447"/>
        <v>9</v>
      </c>
      <c r="Z298">
        <f t="shared" si="448"/>
        <v>3.2310988842807022</v>
      </c>
      <c r="AA298">
        <f t="shared" si="448"/>
        <v>-3.2310988842807022</v>
      </c>
      <c r="AC298">
        <f t="shared" si="441"/>
        <v>0</v>
      </c>
      <c r="AE298">
        <v>9</v>
      </c>
      <c r="AF298">
        <v>30</v>
      </c>
      <c r="AG298" s="94">
        <f t="shared" si="442"/>
        <v>7.794228634059948</v>
      </c>
      <c r="AH298" s="94">
        <f t="shared" si="443"/>
        <v>4.4999999999999991</v>
      </c>
      <c r="AI298">
        <v>9</v>
      </c>
      <c r="AJ298">
        <v>150</v>
      </c>
      <c r="AK298" s="94">
        <f t="shared" si="444"/>
        <v>-7.794228634059948</v>
      </c>
      <c r="AL298" s="94">
        <f t="shared" si="445"/>
        <v>4.4999999999999991</v>
      </c>
    </row>
    <row r="299" spans="1:38" x14ac:dyDescent="0.25">
      <c r="B299" s="39">
        <v>0.66666666666666696</v>
      </c>
      <c r="C299" s="38">
        <v>-60</v>
      </c>
      <c r="D299" s="38">
        <f>+DEGREES(ASIN(COS(RADIANS(E286))*COS(RADIANS(D286))*COS(RADIANS(C299))+SIN(RADIANS(E286))*SIN(RADIANS(D286))))</f>
        <v>16.320503415244993</v>
      </c>
      <c r="E299" s="38">
        <f>-(180-DEGREES(ACOS((((SIN(RADIANS(D299)))*SIN(RADIANS(E286)))-SIN(RADIANS(D286)))/((COS(RADIANS(D299)))*COS(RADIANS(E286))))))</f>
        <v>-115.52931582669709</v>
      </c>
      <c r="G299">
        <f t="shared" si="433"/>
        <v>7.3679496584755011</v>
      </c>
      <c r="H299">
        <f t="shared" si="434"/>
        <v>205.52931582669709</v>
      </c>
      <c r="I299" s="94">
        <f t="shared" si="435"/>
        <v>0</v>
      </c>
      <c r="J299" s="94">
        <f t="shared" si="436"/>
        <v>0</v>
      </c>
      <c r="M299" s="39">
        <v>0.66666666666666696</v>
      </c>
      <c r="N299" s="38">
        <v>-60</v>
      </c>
      <c r="O299" s="38">
        <f>+DEGREES(ASIN(COS(RADIANS(P286))*COS(RADIANS(O286))*COS(RADIANS(N299))+SIN(RADIANS(P286))*SIN(RADIANS(O286))))</f>
        <v>14.116401075408692</v>
      </c>
      <c r="P299" s="38">
        <f>-(180-DEGREES(ACOS((((SIN(RADIANS(O299)))*SIN(RADIANS(P286)))-SIN(RADIANS(O286)))/((COS(RADIANS(O299)))*COS(RADIANS(P286))))))</f>
        <v>-116.75119018205405</v>
      </c>
      <c r="R299">
        <f t="shared" si="437"/>
        <v>7.5883598924591311</v>
      </c>
      <c r="S299">
        <f t="shared" si="438"/>
        <v>206.75119018205405</v>
      </c>
      <c r="T299" s="94">
        <f t="shared" si="439"/>
        <v>0</v>
      </c>
      <c r="U299" s="94">
        <f t="shared" si="440"/>
        <v>0</v>
      </c>
      <c r="X299">
        <f t="shared" si="446"/>
        <v>-9</v>
      </c>
      <c r="Y299">
        <f t="shared" si="447"/>
        <v>9</v>
      </c>
      <c r="Z299">
        <f t="shared" si="448"/>
        <v>3.479942528261061</v>
      </c>
      <c r="AA299">
        <f t="shared" si="448"/>
        <v>-3.479942528261061</v>
      </c>
      <c r="AC299">
        <f t="shared" si="441"/>
        <v>0</v>
      </c>
      <c r="AE299">
        <v>9</v>
      </c>
      <c r="AF299">
        <v>35</v>
      </c>
      <c r="AG299" s="94">
        <f t="shared" si="442"/>
        <v>7.3723683986009263</v>
      </c>
      <c r="AH299" s="94">
        <f t="shared" si="443"/>
        <v>5.1621879271594144</v>
      </c>
      <c r="AI299">
        <v>9</v>
      </c>
      <c r="AJ299">
        <v>145</v>
      </c>
      <c r="AK299" s="94">
        <f t="shared" si="444"/>
        <v>-7.3723683986009272</v>
      </c>
      <c r="AL299" s="94">
        <f t="shared" si="445"/>
        <v>5.1621879271594135</v>
      </c>
    </row>
    <row r="300" spans="1:38" x14ac:dyDescent="0.25">
      <c r="B300" s="39">
        <v>0.70833333333333404</v>
      </c>
      <c r="C300">
        <v>-75</v>
      </c>
      <c r="D300" s="38">
        <f>+DEGREES(ASIN(COS(RADIANS(E286))*COS(RADIANS(D286))*COS(RADIANS(C300))+SIN(RADIANS(E286))*SIN(RADIANS(D286))))</f>
        <v>8.2028333744853068</v>
      </c>
      <c r="E300" s="38">
        <f>-(180-DEGREES(ACOS((((SIN(RADIANS(D300)))*SIN(RADIANS(E286)))-SIN(RADIANS(D286)))/((COS(RADIANS(D300)))*COS(RADIANS(E286))))))</f>
        <v>-102.60808432687864</v>
      </c>
      <c r="G300">
        <f t="shared" si="433"/>
        <v>8.1797166625514688</v>
      </c>
      <c r="H300">
        <f t="shared" si="434"/>
        <v>192.60808432687864</v>
      </c>
      <c r="I300" s="94">
        <f t="shared" si="435"/>
        <v>0</v>
      </c>
      <c r="J300" s="94">
        <f t="shared" si="436"/>
        <v>0</v>
      </c>
      <c r="M300" s="39">
        <v>0.70833333333333404</v>
      </c>
      <c r="N300">
        <v>-75</v>
      </c>
      <c r="O300" s="38">
        <f>+DEGREES(ASIN(COS(RADIANS(P286))*COS(RADIANS(O286))*COS(RADIANS(N300))+SIN(RADIANS(P286))*SIN(RADIANS(O286))))</f>
        <v>7.0828905917026601</v>
      </c>
      <c r="P300" s="38">
        <f>-(180-DEGREES(ACOS((((SIN(RADIANS(O300)))*SIN(RADIANS(P286)))-SIN(RADIANS(O286)))/((COS(RADIANS(O300)))*COS(RADIANS(P286))))))</f>
        <v>-103.26242674917356</v>
      </c>
      <c r="R300">
        <f t="shared" si="437"/>
        <v>8.2917109408297343</v>
      </c>
      <c r="S300">
        <f t="shared" si="438"/>
        <v>193.26242674917356</v>
      </c>
      <c r="T300" s="94">
        <f t="shared" si="439"/>
        <v>0</v>
      </c>
      <c r="U300" s="94">
        <f t="shared" si="440"/>
        <v>0</v>
      </c>
      <c r="X300">
        <f t="shared" si="446"/>
        <v>-9</v>
      </c>
      <c r="Y300">
        <f t="shared" si="447"/>
        <v>9</v>
      </c>
      <c r="Z300">
        <f t="shared" si="448"/>
        <v>3.7094473981982823</v>
      </c>
      <c r="AA300">
        <f t="shared" si="448"/>
        <v>-3.7094473981982823</v>
      </c>
      <c r="AC300">
        <f t="shared" si="441"/>
        <v>0</v>
      </c>
      <c r="AE300">
        <v>9</v>
      </c>
      <c r="AF300">
        <v>40</v>
      </c>
      <c r="AG300" s="94">
        <f t="shared" si="442"/>
        <v>6.894399988070802</v>
      </c>
      <c r="AH300" s="94">
        <f t="shared" si="443"/>
        <v>5.7850884871788537</v>
      </c>
      <c r="AI300">
        <v>9</v>
      </c>
      <c r="AJ300">
        <v>140</v>
      </c>
      <c r="AK300" s="94">
        <f t="shared" si="444"/>
        <v>-6.8943999880708011</v>
      </c>
      <c r="AL300" s="94">
        <f t="shared" si="445"/>
        <v>5.7850884871788555</v>
      </c>
    </row>
    <row r="301" spans="1:38" x14ac:dyDescent="0.25">
      <c r="B301" s="39">
        <v>0.75</v>
      </c>
      <c r="C301" s="38">
        <v>-90</v>
      </c>
      <c r="D301" s="38">
        <f>+DEGREES(ASIN(COS(RADIANS(E286))*COS(RADIANS(D286))*COS(RADIANS(C301))+SIN(RADIANS(E286))*SIN(RADIANS(D286))))</f>
        <v>-0.33065244560971324</v>
      </c>
      <c r="E301" s="38">
        <f>-(180-DEGREES(ACOS((((SIN(RADIANS(D301)))*SIN(RADIANS(E286)))-SIN(RADIANS(D286)))/((COS(RADIANS(D301)))*COS(RADIANS(E286))))))</f>
        <v>-90.231528535338782</v>
      </c>
      <c r="G301">
        <f t="shared" si="433"/>
        <v>9.0330652445609712</v>
      </c>
      <c r="H301">
        <f t="shared" si="434"/>
        <v>180.23152853533878</v>
      </c>
      <c r="I301" s="94">
        <f t="shared" si="435"/>
        <v>0</v>
      </c>
      <c r="J301" s="94">
        <f t="shared" si="436"/>
        <v>0</v>
      </c>
      <c r="M301" s="39">
        <v>0.75</v>
      </c>
      <c r="N301" s="38">
        <v>-90</v>
      </c>
      <c r="O301" s="38">
        <f>+DEGREES(ASIN(COS(RADIANS(P286))*COS(RADIANS(O286))*COS(RADIANS(N301))+SIN(RADIANS(P286))*SIN(RADIANS(O286))))</f>
        <v>-0.3495732041793162</v>
      </c>
      <c r="P301" s="38">
        <f>-(180-DEGREES(ACOS((((SIN(RADIANS(O301)))*SIN(RADIANS(P286)))-SIN(RADIANS(O286)))/((COS(RADIANS(O301)))*COS(RADIANS(P286))))))</f>
        <v>-90.201829105279003</v>
      </c>
      <c r="R301">
        <f t="shared" si="437"/>
        <v>9.0349573204179308</v>
      </c>
      <c r="S301">
        <f t="shared" si="438"/>
        <v>180.20182910527899</v>
      </c>
      <c r="T301" s="94">
        <f t="shared" si="439"/>
        <v>0</v>
      </c>
      <c r="U301" s="94">
        <f t="shared" si="440"/>
        <v>0</v>
      </c>
      <c r="X301">
        <f t="shared" si="446"/>
        <v>-9</v>
      </c>
      <c r="Y301">
        <f t="shared" si="447"/>
        <v>9</v>
      </c>
      <c r="Z301">
        <f t="shared" si="448"/>
        <v>3.9230090491866063</v>
      </c>
      <c r="AA301">
        <f t="shared" si="448"/>
        <v>-3.9230090491866063</v>
      </c>
      <c r="AC301">
        <f t="shared" si="441"/>
        <v>0</v>
      </c>
      <c r="AE301">
        <v>9</v>
      </c>
      <c r="AF301">
        <v>45</v>
      </c>
      <c r="AG301" s="94">
        <f t="shared" si="442"/>
        <v>6.3639610306789285</v>
      </c>
      <c r="AH301" s="94">
        <f t="shared" si="443"/>
        <v>6.3639610306789276</v>
      </c>
      <c r="AI301">
        <v>9</v>
      </c>
      <c r="AJ301">
        <v>135</v>
      </c>
      <c r="AK301" s="94">
        <f t="shared" si="444"/>
        <v>-6.3639610306789276</v>
      </c>
      <c r="AL301" s="94">
        <f t="shared" si="445"/>
        <v>6.3639610306789285</v>
      </c>
    </row>
    <row r="302" spans="1:38" x14ac:dyDescent="0.25">
      <c r="X302">
        <f t="shared" si="446"/>
        <v>-9</v>
      </c>
      <c r="Y302">
        <f t="shared" si="447"/>
        <v>9</v>
      </c>
      <c r="Z302">
        <f t="shared" si="448"/>
        <v>4.1231056256176606</v>
      </c>
      <c r="AA302">
        <f t="shared" si="448"/>
        <v>-4.1231056256176606</v>
      </c>
      <c r="AC302">
        <f t="shared" si="441"/>
        <v>0</v>
      </c>
      <c r="AE302">
        <v>9</v>
      </c>
      <c r="AF302">
        <v>50</v>
      </c>
      <c r="AG302" s="94">
        <f t="shared" si="442"/>
        <v>5.7850884871788546</v>
      </c>
      <c r="AH302" s="94">
        <f t="shared" si="443"/>
        <v>6.894399988070802</v>
      </c>
      <c r="AI302">
        <v>9</v>
      </c>
      <c r="AJ302">
        <v>130</v>
      </c>
      <c r="AK302" s="94">
        <f t="shared" si="444"/>
        <v>-5.7850884871788546</v>
      </c>
      <c r="AL302" s="94">
        <f t="shared" si="445"/>
        <v>6.894399988070802</v>
      </c>
    </row>
    <row r="303" spans="1:38" x14ac:dyDescent="0.25">
      <c r="X303">
        <f t="shared" si="446"/>
        <v>-9</v>
      </c>
      <c r="Y303">
        <f t="shared" si="447"/>
        <v>9</v>
      </c>
      <c r="Z303">
        <f t="shared" si="448"/>
        <v>4.3116122274620192</v>
      </c>
      <c r="AA303">
        <f t="shared" si="448"/>
        <v>-4.3116122274620192</v>
      </c>
      <c r="AC303">
        <f t="shared" si="441"/>
        <v>0</v>
      </c>
      <c r="AE303">
        <v>9</v>
      </c>
      <c r="AF303">
        <v>55</v>
      </c>
      <c r="AG303" s="94">
        <f t="shared" si="442"/>
        <v>5.1621879271594153</v>
      </c>
      <c r="AH303" s="94">
        <f t="shared" si="443"/>
        <v>7.3723683986009263</v>
      </c>
      <c r="AI303">
        <v>9</v>
      </c>
      <c r="AJ303">
        <v>125</v>
      </c>
      <c r="AK303" s="94">
        <f t="shared" si="444"/>
        <v>-5.1621879271594153</v>
      </c>
      <c r="AL303" s="94">
        <f t="shared" si="445"/>
        <v>7.3723683986009254</v>
      </c>
    </row>
    <row r="304" spans="1:38" x14ac:dyDescent="0.25">
      <c r="A304" s="95" t="s">
        <v>92</v>
      </c>
      <c r="B304" s="95">
        <v>21</v>
      </c>
      <c r="C304" s="315"/>
      <c r="D304" s="315"/>
      <c r="E304" s="316"/>
      <c r="L304" s="95" t="s">
        <v>92</v>
      </c>
      <c r="M304" s="95">
        <v>21</v>
      </c>
      <c r="N304" s="315"/>
      <c r="O304" s="315"/>
      <c r="P304" s="316"/>
      <c r="X304">
        <f t="shared" si="446"/>
        <v>-9</v>
      </c>
      <c r="Y304">
        <f t="shared" si="447"/>
        <v>9</v>
      </c>
      <c r="Z304">
        <f t="shared" si="448"/>
        <v>4.4899888641287298</v>
      </c>
      <c r="AA304">
        <f t="shared" si="448"/>
        <v>-4.4899888641287298</v>
      </c>
      <c r="AC304">
        <f t="shared" si="441"/>
        <v>0</v>
      </c>
      <c r="AE304">
        <v>9</v>
      </c>
      <c r="AF304">
        <v>60</v>
      </c>
      <c r="AG304" s="94">
        <f t="shared" si="442"/>
        <v>4.5000000000000009</v>
      </c>
      <c r="AH304" s="94">
        <f t="shared" si="443"/>
        <v>7.7942286340599471</v>
      </c>
      <c r="AI304">
        <v>9</v>
      </c>
      <c r="AJ304">
        <v>120</v>
      </c>
      <c r="AK304" s="94">
        <f t="shared" si="444"/>
        <v>-4.4999999999999982</v>
      </c>
      <c r="AL304" s="94">
        <f t="shared" si="445"/>
        <v>7.794228634059948</v>
      </c>
    </row>
    <row r="305" spans="1:38" x14ac:dyDescent="0.25">
      <c r="A305" s="95" t="s">
        <v>91</v>
      </c>
      <c r="B305" s="95">
        <v>3</v>
      </c>
      <c r="C305" s="315"/>
      <c r="D305" s="315"/>
      <c r="E305" s="316"/>
      <c r="L305" s="95" t="s">
        <v>91</v>
      </c>
      <c r="M305" s="95">
        <v>3</v>
      </c>
      <c r="N305" s="315"/>
      <c r="O305" s="315"/>
      <c r="P305" s="316"/>
      <c r="X305">
        <f t="shared" si="446"/>
        <v>-9</v>
      </c>
      <c r="Y305">
        <f t="shared" si="447"/>
        <v>9</v>
      </c>
      <c r="Z305">
        <f t="shared" si="448"/>
        <v>4.6593991028886972</v>
      </c>
      <c r="AA305">
        <f t="shared" si="448"/>
        <v>-4.6593991028886972</v>
      </c>
      <c r="AC305">
        <f t="shared" si="441"/>
        <v>0</v>
      </c>
      <c r="AE305">
        <v>9</v>
      </c>
      <c r="AF305">
        <v>65</v>
      </c>
      <c r="AG305" s="94">
        <f t="shared" si="442"/>
        <v>3.8035643556662948</v>
      </c>
      <c r="AH305" s="94">
        <f t="shared" si="443"/>
        <v>8.1567700833298495</v>
      </c>
      <c r="AI305">
        <v>9</v>
      </c>
      <c r="AJ305">
        <v>115</v>
      </c>
      <c r="AK305" s="94">
        <f t="shared" si="444"/>
        <v>-3.8035643556662939</v>
      </c>
      <c r="AL305" s="94">
        <f t="shared" si="445"/>
        <v>8.1567700833298495</v>
      </c>
    </row>
    <row r="306" spans="1:38" x14ac:dyDescent="0.25">
      <c r="C306" s="93">
        <f>+IF(B305=$AI$63,B304,IF(B305=$AJ$63,$AI$64+B304,IF(B305=$AK$63,$AI$64+$AJ$64+B304,IF(B305=$AL$63,$AI$64+$AJ$64+$AK$64+B304,IF(B305=$AM$63,$AI$64+$AJ$64+$AK$64+$AL$64+B304,IF(B305=$AN$63,$AI$64+$AJ$64+$AK$64+$AL$64+$AM$64+B304,IF(B305=$AO$63,$AI$64+$AJ$64+$AK$64+$AL$64+$AM$64+$AN$64+B304,IF(B305=$AP$63,$AI$64+$AJ$64+$AK$64+$AL$64+$AM$64+$AN$64+$AO$64+B304,IF(B305=$AQ$63,$AI$64+$AJ$64+$AK$64+$AL$64+$AM$64+$AN$64+$AO$64+$AP$64+B304,IF(B305=$AR$63,$AI$64+$AJ$64+$AK$64+$AL$64+$AM$64+$AN$64+$AO$64+$AP$64+$AQ$64+B304,IF(B305=$AS$63,$AI$64+$AJ$64+$AK$64+$AL$64+$AM$64+$AN$64+$AO$64+$AP$64+$AQ$64+$AR$64+B304,IF(B305=$AT$63,$AI$64+$AJ$64+$AK$64+$AL$64+$AM$64+$AN$64+$AO$64+$AP$64+$AQ$64+$AR$64+$AS$64+B304,"error"))))))))))))</f>
        <v>80</v>
      </c>
      <c r="D306" s="38">
        <f>23.45*SIN(RADIANS(360*((284+C306)/365)))</f>
        <v>-0.40365320185431652</v>
      </c>
      <c r="E306" s="95">
        <v>65</v>
      </c>
      <c r="N306" s="93">
        <f>+IF(M305=$AI$63,M304,IF(M305=$AJ$63,$AI$64+M304,IF(M305=$AK$63,$AI$64+$AJ$64+M304,IF(M305=$AL$63,$AI$64+$AJ$64+$AK$64+M304,IF(M305=$AM$63,$AI$64+$AJ$64+$AK$64+$AL$64+M304,IF(M305=$AN$63,$AI$64+$AJ$64+$AK$64+$AL$64+$AM$64+M304,IF(M305=$AO$63,$AI$64+$AJ$64+$AK$64+$AL$64+$AM$64+$AN$64+M304,IF(M305=$AP$63,$AI$64+$AJ$64+$AK$64+$AL$64+$AM$64+$AN$64+$AO$64+M304,IF(M305=$AQ$63,$AI$64+$AJ$64+$AK$64+$AL$64+$AM$64+$AN$64+$AO$64+$AP$64+M304,IF(M305=$AR$63,$AI$64+$AJ$64+$AK$64+$AL$64+$AM$64+$AN$64+$AO$64+$AP$64+$AQ$64+M304,IF(M305=$AS$63,$AI$64+$AJ$64+$AK$64+$AL$64+$AM$64+$AN$64+$AO$64+$AP$64+$AQ$64+$AR$64+M304,IF(M305=$AT$63,$AI$64+$AJ$64+$AK$64+$AL$64+$AM$64+$AN$64+$AO$64+$AP$64+$AQ$64+$AR$64+$AS$64+M304,"error"))))))))))))</f>
        <v>80</v>
      </c>
      <c r="O306" s="38">
        <f>23.45*SIN(RADIANS(360*((284+N306)/365)))</f>
        <v>-0.40365320185431652</v>
      </c>
      <c r="P306" s="95">
        <v>70</v>
      </c>
      <c r="X306">
        <f t="shared" si="446"/>
        <v>-9</v>
      </c>
      <c r="Y306">
        <f t="shared" si="447"/>
        <v>9</v>
      </c>
      <c r="Z306">
        <f t="shared" si="448"/>
        <v>4.8207883172775805</v>
      </c>
      <c r="AA306">
        <f t="shared" si="448"/>
        <v>-4.8207883172775805</v>
      </c>
      <c r="AC306">
        <f t="shared" si="441"/>
        <v>0</v>
      </c>
      <c r="AE306">
        <v>9</v>
      </c>
      <c r="AF306">
        <v>70</v>
      </c>
      <c r="AG306" s="94">
        <f t="shared" si="442"/>
        <v>3.0781812899310195</v>
      </c>
      <c r="AH306" s="94">
        <f t="shared" si="443"/>
        <v>8.4572335870731745</v>
      </c>
      <c r="AI306">
        <v>9</v>
      </c>
      <c r="AJ306">
        <v>110</v>
      </c>
      <c r="AK306" s="94">
        <f t="shared" si="444"/>
        <v>-3.0781812899310186</v>
      </c>
      <c r="AL306" s="94">
        <f t="shared" si="445"/>
        <v>8.4572335870731763</v>
      </c>
    </row>
    <row r="307" spans="1:38" x14ac:dyDescent="0.25">
      <c r="B307" s="317" t="s">
        <v>90</v>
      </c>
      <c r="C307" s="315"/>
      <c r="D307" s="315"/>
      <c r="E307" s="315"/>
      <c r="G307" s="319" t="s">
        <v>89</v>
      </c>
      <c r="H307" s="319"/>
      <c r="I307" s="319" t="s">
        <v>42</v>
      </c>
      <c r="J307" s="319" t="s">
        <v>43</v>
      </c>
      <c r="M307" s="317" t="s">
        <v>90</v>
      </c>
      <c r="N307" s="315"/>
      <c r="O307" s="315"/>
      <c r="P307" s="315"/>
      <c r="R307" s="319" t="s">
        <v>89</v>
      </c>
      <c r="S307" s="319"/>
      <c r="T307" s="319" t="s">
        <v>42</v>
      </c>
      <c r="U307" s="319" t="s">
        <v>43</v>
      </c>
      <c r="X307">
        <f t="shared" si="446"/>
        <v>-9</v>
      </c>
      <c r="Y307">
        <f t="shared" si="447"/>
        <v>9</v>
      </c>
      <c r="Z307">
        <f t="shared" si="448"/>
        <v>4.9749371855330997</v>
      </c>
      <c r="AA307">
        <f t="shared" si="448"/>
        <v>-4.9749371855330997</v>
      </c>
      <c r="AC307">
        <f t="shared" si="441"/>
        <v>0</v>
      </c>
      <c r="AE307">
        <v>9</v>
      </c>
      <c r="AF307">
        <v>75</v>
      </c>
      <c r="AG307" s="94">
        <f t="shared" si="442"/>
        <v>2.3293714059226867</v>
      </c>
      <c r="AH307" s="94">
        <f t="shared" si="443"/>
        <v>8.6933324366016151</v>
      </c>
      <c r="AI307">
        <v>9</v>
      </c>
      <c r="AJ307">
        <v>105</v>
      </c>
      <c r="AK307" s="94">
        <f t="shared" si="444"/>
        <v>-2.3293714059226875</v>
      </c>
      <c r="AL307" s="94">
        <f t="shared" si="445"/>
        <v>8.6933324366016151</v>
      </c>
    </row>
    <row r="308" spans="1:38" x14ac:dyDescent="0.25">
      <c r="B308" s="318"/>
      <c r="C308" s="315"/>
      <c r="D308" s="315"/>
      <c r="E308" s="315"/>
      <c r="G308" s="319"/>
      <c r="H308" s="319"/>
      <c r="I308" s="319"/>
      <c r="J308" s="319"/>
      <c r="M308" s="318"/>
      <c r="N308" s="315"/>
      <c r="O308" s="315"/>
      <c r="P308" s="315"/>
      <c r="R308" s="319"/>
      <c r="S308" s="319"/>
      <c r="T308" s="319"/>
      <c r="U308" s="319"/>
      <c r="X308">
        <f t="shared" si="446"/>
        <v>-9</v>
      </c>
      <c r="Y308">
        <f t="shared" si="447"/>
        <v>9</v>
      </c>
      <c r="Z308">
        <f t="shared" si="448"/>
        <v>5.1224993899462783</v>
      </c>
      <c r="AA308">
        <f t="shared" si="448"/>
        <v>-5.1224993899462783</v>
      </c>
      <c r="AC308">
        <f t="shared" si="441"/>
        <v>0</v>
      </c>
      <c r="AE308">
        <v>9</v>
      </c>
      <c r="AF308">
        <v>80</v>
      </c>
      <c r="AG308" s="94">
        <f t="shared" si="442"/>
        <v>1.5628335990023738</v>
      </c>
      <c r="AH308" s="94">
        <f t="shared" si="443"/>
        <v>8.8632697771098723</v>
      </c>
      <c r="AI308">
        <v>9</v>
      </c>
      <c r="AJ308">
        <v>100</v>
      </c>
      <c r="AK308" s="94">
        <f t="shared" si="444"/>
        <v>-1.5628335990023727</v>
      </c>
      <c r="AL308" s="94">
        <f t="shared" si="445"/>
        <v>8.8632697771098723</v>
      </c>
    </row>
    <row r="309" spans="1:38" x14ac:dyDescent="0.25">
      <c r="B309" s="39">
        <v>0.25</v>
      </c>
      <c r="C309" s="38">
        <v>90</v>
      </c>
      <c r="D309" s="38">
        <f>+DEGREES(ASIN(COS(RADIANS(E306))*COS(RADIANS(D306))*COS(RADIANS(C309))+SIN(RADIANS(E306))*SIN(RADIANS(D306))))</f>
        <v>-0.36583349958776845</v>
      </c>
      <c r="E309" s="38">
        <f>180-DEGREES(ACOS((((SIN(RADIANS(D309)))*SIN(RADIANS(E306)))-SIN(RADIANS(D306)))/((COS(RADIANS(D309)))*COS(RADIANS(E306)))))</f>
        <v>90.170593532787294</v>
      </c>
      <c r="G309">
        <f t="shared" ref="G309:G321" si="449">9-(D309/10)</f>
        <v>9.0365833499587769</v>
      </c>
      <c r="H309">
        <f t="shared" ref="H309:H321" si="450">90-E309+$AH$172</f>
        <v>-0.17059353278729361</v>
      </c>
      <c r="I309" s="94">
        <f t="shared" ref="I309:I321" si="451">IF($E$306&gt;=$AE$174,0,G309*COS(RADIANS(H309)))</f>
        <v>0</v>
      </c>
      <c r="J309" s="94">
        <f t="shared" ref="J309:J321" si="452">IF($E$306&gt;=$AE$174,0,G309*SIN(RADIANS(H309)))</f>
        <v>0</v>
      </c>
      <c r="M309" s="39">
        <v>0.25</v>
      </c>
      <c r="N309" s="38">
        <v>90</v>
      </c>
      <c r="O309" s="38">
        <f>+DEGREES(ASIN(COS(RADIANS(P306))*COS(RADIANS(O306))*COS(RADIANS(N309))+SIN(RADIANS(P306))*SIN(RADIANS(O306))))</f>
        <v>-0.3793095680889908</v>
      </c>
      <c r="P309" s="38">
        <f>180-DEGREES(ACOS((((SIN(RADIANS(O309)))*SIN(RADIANS(P306)))-SIN(RADIANS(O306)))/((COS(RADIANS(O309)))*COS(RADIANS(P306)))))</f>
        <v>90.138059542874117</v>
      </c>
      <c r="R309">
        <f t="shared" ref="R309:R321" si="453">9-(O309/10)</f>
        <v>9.0379309568088999</v>
      </c>
      <c r="S309">
        <f t="shared" ref="S309:S321" si="454">90-P309+$AH$172</f>
        <v>-0.13805954287411737</v>
      </c>
      <c r="T309" s="94">
        <f t="shared" ref="T309:T321" si="455">IF($P$306&gt;=$AE$174,0,R309*COS(RADIANS(S309)))</f>
        <v>0</v>
      </c>
      <c r="U309" s="94">
        <f t="shared" ref="U309:U321" si="456">IF($P$306&gt;=$AE$174,0,R309*SIN(RADIANS(S309)))</f>
        <v>0</v>
      </c>
      <c r="X309">
        <f t="shared" si="446"/>
        <v>-9</v>
      </c>
      <c r="Y309">
        <f t="shared" si="447"/>
        <v>9</v>
      </c>
      <c r="Z309">
        <f t="shared" si="448"/>
        <v>5.2640288753007427</v>
      </c>
      <c r="AA309">
        <f t="shared" si="448"/>
        <v>-5.2640288753007427</v>
      </c>
      <c r="AC309">
        <f t="shared" si="441"/>
        <v>0</v>
      </c>
      <c r="AE309">
        <v>9</v>
      </c>
      <c r="AF309">
        <v>85</v>
      </c>
      <c r="AG309" s="94">
        <f t="shared" si="442"/>
        <v>0.78440168472892324</v>
      </c>
      <c r="AH309" s="94">
        <f t="shared" si="443"/>
        <v>8.9657522828257097</v>
      </c>
      <c r="AI309">
        <v>9</v>
      </c>
      <c r="AJ309">
        <v>95</v>
      </c>
      <c r="AK309" s="94">
        <f t="shared" si="444"/>
        <v>-0.78440168472892413</v>
      </c>
      <c r="AL309" s="94">
        <f t="shared" si="445"/>
        <v>8.9657522828257097</v>
      </c>
    </row>
    <row r="310" spans="1:38" x14ac:dyDescent="0.25">
      <c r="B310" s="39">
        <v>0.29166666666666669</v>
      </c>
      <c r="C310">
        <v>75</v>
      </c>
      <c r="D310" s="38">
        <f>+DEGREES(ASIN(COS(RADIANS(E306))*COS(RADIANS(D306))*COS(RADIANS(C310))+SIN(RADIANS(E306))*SIN(RADIANS(D306))))</f>
        <v>5.9116037078203902</v>
      </c>
      <c r="E310" s="38">
        <f>180-DEGREES(ACOS((((SIN(RADIANS(D310)))*SIN(RADIANS(E306)))-SIN(RADIANS(D306)))/((COS(RADIANS(D310)))*COS(RADIANS(E306)))))</f>
        <v>103.81639011062393</v>
      </c>
      <c r="G310">
        <f t="shared" si="449"/>
        <v>8.4088396292179617</v>
      </c>
      <c r="H310">
        <f t="shared" si="450"/>
        <v>-13.816390110623928</v>
      </c>
      <c r="I310" s="94">
        <f t="shared" si="451"/>
        <v>0</v>
      </c>
      <c r="J310" s="94">
        <f t="shared" si="452"/>
        <v>0</v>
      </c>
      <c r="M310" s="39">
        <v>0.29166666666666669</v>
      </c>
      <c r="N310">
        <v>75</v>
      </c>
      <c r="O310" s="38">
        <f>+DEGREES(ASIN(COS(RADIANS(P306))*COS(RADIANS(O306))*COS(RADIANS(N310))+SIN(RADIANS(P306))*SIN(RADIANS(O306))))</f>
        <v>4.6977274021092281</v>
      </c>
      <c r="P310" s="38">
        <f>180-DEGREES(ACOS((((SIN(RADIANS(O310)))*SIN(RADIANS(P306)))-SIN(RADIANS(O306)))/((COS(RADIANS(O310)))*COS(RADIANS(P306)))))</f>
        <v>104.26705192605095</v>
      </c>
      <c r="R310">
        <f t="shared" si="453"/>
        <v>8.5302272597890774</v>
      </c>
      <c r="S310">
        <f t="shared" si="454"/>
        <v>-14.267051926050954</v>
      </c>
      <c r="T310" s="94">
        <f t="shared" si="455"/>
        <v>0</v>
      </c>
      <c r="U310" s="94">
        <f t="shared" si="456"/>
        <v>0</v>
      </c>
      <c r="X310">
        <f t="shared" si="446"/>
        <v>-9</v>
      </c>
      <c r="Y310">
        <f t="shared" si="447"/>
        <v>9</v>
      </c>
      <c r="Z310">
        <f t="shared" si="448"/>
        <v>5.3999999999999995</v>
      </c>
      <c r="AA310">
        <f t="shared" si="448"/>
        <v>-5.3999999999999995</v>
      </c>
      <c r="AC310">
        <f t="shared" si="441"/>
        <v>0</v>
      </c>
      <c r="AE310">
        <v>9</v>
      </c>
      <c r="AF310">
        <v>90</v>
      </c>
      <c r="AG310" s="94">
        <f t="shared" si="442"/>
        <v>5.51316804708879E-16</v>
      </c>
      <c r="AH310" s="94">
        <f t="shared" si="443"/>
        <v>9</v>
      </c>
      <c r="AI310">
        <v>9</v>
      </c>
      <c r="AJ310">
        <v>90</v>
      </c>
      <c r="AK310" s="94">
        <f t="shared" si="444"/>
        <v>5.51316804708879E-16</v>
      </c>
      <c r="AL310" s="94">
        <f t="shared" si="445"/>
        <v>9</v>
      </c>
    </row>
    <row r="311" spans="1:38" x14ac:dyDescent="0.25">
      <c r="B311" s="39">
        <v>0.33333333333333298</v>
      </c>
      <c r="C311" s="38">
        <v>60</v>
      </c>
      <c r="D311" s="38">
        <f>+DEGREES(ASIN(COS(RADIANS(E306))*COS(RADIANS(D306))*COS(RADIANS(C311))+SIN(RADIANS(E306))*SIN(RADIANS(D306))))</f>
        <v>11.824753402368048</v>
      </c>
      <c r="E311" s="38">
        <f>180-DEGREES(ACOS((((SIN(RADIANS(D311)))*SIN(RADIANS(E306)))-SIN(RADIANS(D306)))/((COS(RADIANS(D311)))*COS(RADIANS(E306)))))</f>
        <v>117.77555573647268</v>
      </c>
      <c r="G311">
        <f t="shared" si="449"/>
        <v>7.8175246597631958</v>
      </c>
      <c r="H311">
        <f t="shared" si="450"/>
        <v>-27.775555736472683</v>
      </c>
      <c r="I311" s="94">
        <f t="shared" si="451"/>
        <v>0</v>
      </c>
      <c r="J311" s="94">
        <f t="shared" si="452"/>
        <v>0</v>
      </c>
      <c r="M311" s="39">
        <v>0.33333333333333298</v>
      </c>
      <c r="N311" s="38">
        <v>60</v>
      </c>
      <c r="O311" s="38">
        <f>+DEGREES(ASIN(COS(RADIANS(P306))*COS(RADIANS(O306))*COS(RADIANS(N311))+SIN(RADIANS(P306))*SIN(RADIANS(O306))))</f>
        <v>9.4615489668857755</v>
      </c>
      <c r="P311" s="38">
        <f>180-DEGREES(ACOS((((SIN(RADIANS(O311)))*SIN(RADIANS(P306)))-SIN(RADIANS(O306)))/((COS(RADIANS(O311)))*COS(RADIANS(P306)))))</f>
        <v>118.60425981921006</v>
      </c>
      <c r="R311">
        <f t="shared" si="453"/>
        <v>8.0538451033114224</v>
      </c>
      <c r="S311">
        <f t="shared" si="454"/>
        <v>-28.604259819210057</v>
      </c>
      <c r="T311" s="94">
        <f t="shared" si="455"/>
        <v>0</v>
      </c>
      <c r="U311" s="94">
        <f t="shared" si="456"/>
        <v>0</v>
      </c>
      <c r="X311">
        <f t="shared" si="446"/>
        <v>-9</v>
      </c>
      <c r="Y311">
        <f t="shared" si="447"/>
        <v>9</v>
      </c>
      <c r="Z311">
        <f t="shared" si="448"/>
        <v>5.5308227236099334</v>
      </c>
      <c r="AA311">
        <f t="shared" si="448"/>
        <v>-5.5308227236099334</v>
      </c>
      <c r="AC311">
        <f t="shared" si="441"/>
        <v>0</v>
      </c>
    </row>
    <row r="312" spans="1:38" x14ac:dyDescent="0.25">
      <c r="B312" s="39">
        <v>0.375</v>
      </c>
      <c r="C312">
        <v>45</v>
      </c>
      <c r="D312" s="38">
        <f>+DEGREES(ASIN(COS(RADIANS(E306))*COS(RADIANS(D306))*COS(RADIANS(C312))+SIN(RADIANS(E306))*SIN(RADIANS(D306))))</f>
        <v>17.004323559235768</v>
      </c>
      <c r="E312" s="38">
        <f>180-DEGREES(ACOS((((SIN(RADIANS(D312)))*SIN(RADIANS(E306)))-SIN(RADIANS(D306)))/((COS(RADIANS(D312)))*COS(RADIANS(E306)))))</f>
        <v>132.31844102395206</v>
      </c>
      <c r="G312">
        <f t="shared" si="449"/>
        <v>7.299567644076423</v>
      </c>
      <c r="H312">
        <f t="shared" si="450"/>
        <v>-42.318441023952062</v>
      </c>
      <c r="I312" s="94">
        <f t="shared" si="451"/>
        <v>0</v>
      </c>
      <c r="J312" s="94">
        <f t="shared" si="452"/>
        <v>0</v>
      </c>
      <c r="M312" s="39">
        <v>0.375</v>
      </c>
      <c r="N312">
        <v>45</v>
      </c>
      <c r="O312" s="38">
        <f>+DEGREES(ASIN(COS(RADIANS(P306))*COS(RADIANS(O306))*COS(RADIANS(N312))+SIN(RADIANS(P306))*SIN(RADIANS(O306))))</f>
        <v>13.604509338364645</v>
      </c>
      <c r="P312" s="38">
        <f>180-DEGREES(ACOS((((SIN(RADIANS(O312)))*SIN(RADIANS(P306)))-SIN(RADIANS(O306)))/((COS(RADIANS(O312)))*COS(RADIANS(P306)))))</f>
        <v>133.32269035473772</v>
      </c>
      <c r="R312">
        <f t="shared" si="453"/>
        <v>7.6395490661635357</v>
      </c>
      <c r="S312">
        <f t="shared" si="454"/>
        <v>-43.322690354737716</v>
      </c>
      <c r="T312" s="94">
        <f t="shared" si="455"/>
        <v>0</v>
      </c>
      <c r="U312" s="94">
        <f t="shared" si="456"/>
        <v>0</v>
      </c>
      <c r="X312">
        <f t="shared" si="446"/>
        <v>-9</v>
      </c>
      <c r="Y312">
        <f t="shared" si="447"/>
        <v>9</v>
      </c>
      <c r="Z312">
        <f t="shared" si="448"/>
        <v>5.6568542494923806</v>
      </c>
      <c r="AA312">
        <f t="shared" si="448"/>
        <v>-5.6568542494923806</v>
      </c>
      <c r="AC312">
        <f t="shared" si="441"/>
        <v>0</v>
      </c>
    </row>
    <row r="313" spans="1:38" x14ac:dyDescent="0.25">
      <c r="B313" s="39">
        <v>0.41666666666666702</v>
      </c>
      <c r="C313" s="38">
        <v>30</v>
      </c>
      <c r="D313" s="38">
        <f>+DEGREES(ASIN(COS(RADIANS(E306))*COS(RADIANS(D306))*COS(RADIANS(C313))+SIN(RADIANS(E306))*SIN(RADIANS(D306))))</f>
        <v>21.075885200844958</v>
      </c>
      <c r="E313" s="38">
        <f>180-DEGREES(ACOS((((SIN(RADIANS(D313)))*SIN(RADIANS(E306)))-SIN(RADIANS(D306)))/((COS(RADIANS(D313)))*COS(RADIANS(E306)))))</f>
        <v>147.59964022587681</v>
      </c>
      <c r="G313">
        <f t="shared" si="449"/>
        <v>6.8924114799155038</v>
      </c>
      <c r="H313">
        <f t="shared" si="450"/>
        <v>-57.599640225876811</v>
      </c>
      <c r="I313" s="94">
        <f t="shared" si="451"/>
        <v>0</v>
      </c>
      <c r="J313" s="94">
        <f t="shared" si="452"/>
        <v>0</v>
      </c>
      <c r="M313" s="39">
        <v>0.41666666666666702</v>
      </c>
      <c r="N313" s="38">
        <v>30</v>
      </c>
      <c r="O313" s="38">
        <f>+DEGREES(ASIN(COS(RADIANS(P306))*COS(RADIANS(O306))*COS(RADIANS(N313))+SIN(RADIANS(P306))*SIN(RADIANS(O306))))</f>
        <v>16.832251996477833</v>
      </c>
      <c r="P313" s="38">
        <f>180-DEGREES(ACOS((((SIN(RADIANS(O313)))*SIN(RADIANS(P306)))-SIN(RADIANS(O306)))/((COS(RADIANS(O313)))*COS(RADIANS(P306)))))</f>
        <v>148.5088022488394</v>
      </c>
      <c r="R313">
        <f t="shared" si="453"/>
        <v>7.3167748003522171</v>
      </c>
      <c r="S313">
        <f t="shared" si="454"/>
        <v>-58.508802248839402</v>
      </c>
      <c r="T313" s="94">
        <f t="shared" si="455"/>
        <v>0</v>
      </c>
      <c r="U313" s="94">
        <f t="shared" si="456"/>
        <v>0</v>
      </c>
      <c r="X313">
        <f t="shared" si="446"/>
        <v>-9</v>
      </c>
      <c r="Y313">
        <f t="shared" si="447"/>
        <v>9</v>
      </c>
      <c r="Z313">
        <f t="shared" si="448"/>
        <v>5.7784080852774666</v>
      </c>
      <c r="AA313">
        <f t="shared" si="448"/>
        <v>-5.7784080852774666</v>
      </c>
      <c r="AC313">
        <f t="shared" si="441"/>
        <v>0</v>
      </c>
      <c r="AE313" s="94">
        <f t="shared" ref="AE313:AE331" si="457">+IF($AF$111="si",9,0)</f>
        <v>0</v>
      </c>
      <c r="AF313">
        <f t="shared" ref="AF313:AF331" si="458">IF($AE$51&lt;0,IF(AF292&lt;-$AE$51,AF292+$AE$48,-$AE$51+$AE$48),IF(-AF292&gt;-$AE$51,-AF292+$AE$48,-$AE$51+$AE$48))</f>
        <v>0</v>
      </c>
      <c r="AG313" s="94">
        <f t="shared" ref="AG313:AG331" si="459">+AE313*COS(RADIANS(AF313))</f>
        <v>0</v>
      </c>
      <c r="AH313" s="94">
        <f t="shared" ref="AH313:AH331" si="460">+AE313*SIN(RADIANS(AF313))</f>
        <v>0</v>
      </c>
      <c r="AI313" s="94">
        <f t="shared" ref="AI313:AI331" si="461">+IF($AF$111="si",9,0)</f>
        <v>0</v>
      </c>
      <c r="AJ313">
        <f t="shared" ref="AJ313:AJ331" si="462">IF($AE$51&lt;0,IF(AF292&lt;-$AE$51,AJ292+$AE$48,$AE$52+$AE$48),IF(-AF292&gt;-$AE$51,-AJ292+$AE$48,$AE$52+$AE$48))</f>
        <v>-180</v>
      </c>
      <c r="AK313" s="94">
        <f t="shared" ref="AK313:AK331" si="463">+AI313*COS(RADIANS(AJ313))</f>
        <v>0</v>
      </c>
      <c r="AL313" s="94">
        <f t="shared" ref="AL313:AL331" si="464">+AI313*SIN(RADIANS(AJ313))</f>
        <v>0</v>
      </c>
    </row>
    <row r="314" spans="1:38" x14ac:dyDescent="0.25">
      <c r="B314" s="39">
        <v>0.45833333333333298</v>
      </c>
      <c r="C314">
        <v>15</v>
      </c>
      <c r="D314" s="38">
        <f>+DEGREES(ASIN(COS(RADIANS(E306))*COS(RADIANS(D306))*COS(RADIANS(C314))+SIN(RADIANS(E306))*SIN(RADIANS(D306))))</f>
        <v>23.692180533284578</v>
      </c>
      <c r="E314" s="38">
        <f>180-DEGREES(ACOS((((SIN(RADIANS(D314)))*SIN(RADIANS(E306)))-SIN(RADIANS(D306)))/((COS(RADIANS(D314)))*COS(RADIANS(E306)))))</f>
        <v>163.58254387307608</v>
      </c>
      <c r="G314">
        <f t="shared" si="449"/>
        <v>6.6307819466715419</v>
      </c>
      <c r="H314">
        <f t="shared" si="450"/>
        <v>-73.582543873076077</v>
      </c>
      <c r="I314" s="94">
        <f t="shared" si="451"/>
        <v>0</v>
      </c>
      <c r="J314" s="94">
        <f t="shared" si="452"/>
        <v>0</v>
      </c>
      <c r="M314" s="39">
        <v>0.45833333333333298</v>
      </c>
      <c r="N314">
        <v>15</v>
      </c>
      <c r="O314" s="38">
        <f>+DEGREES(ASIN(COS(RADIANS(P306))*COS(RADIANS(O306))*COS(RADIANS(N314))+SIN(RADIANS(P306))*SIN(RADIANS(O306))))</f>
        <v>18.889118792360932</v>
      </c>
      <c r="P314" s="38">
        <f>180-DEGREES(ACOS((((SIN(RADIANS(O314)))*SIN(RADIANS(P306)))-SIN(RADIANS(O306)))/((COS(RADIANS(O314)))*COS(RADIANS(P306)))))</f>
        <v>164.12474610310346</v>
      </c>
      <c r="R314">
        <f t="shared" si="453"/>
        <v>7.111088120763907</v>
      </c>
      <c r="S314">
        <f t="shared" si="454"/>
        <v>-74.124746103103462</v>
      </c>
      <c r="T314" s="94">
        <f t="shared" si="455"/>
        <v>0</v>
      </c>
      <c r="U314" s="94">
        <f t="shared" si="456"/>
        <v>0</v>
      </c>
      <c r="X314">
        <f t="shared" si="446"/>
        <v>-9</v>
      </c>
      <c r="Y314">
        <f t="shared" si="447"/>
        <v>9</v>
      </c>
      <c r="Z314">
        <f t="shared" si="448"/>
        <v>5.89576118919347</v>
      </c>
      <c r="AA314">
        <f t="shared" si="448"/>
        <v>-5.89576118919347</v>
      </c>
      <c r="AC314">
        <f t="shared" si="441"/>
        <v>0</v>
      </c>
      <c r="AE314" s="94">
        <f t="shared" si="457"/>
        <v>0</v>
      </c>
      <c r="AF314">
        <f t="shared" si="458"/>
        <v>-5</v>
      </c>
      <c r="AG314" s="94">
        <f t="shared" si="459"/>
        <v>0</v>
      </c>
      <c r="AH314" s="94">
        <f t="shared" si="460"/>
        <v>0</v>
      </c>
      <c r="AI314" s="94">
        <f t="shared" si="461"/>
        <v>0</v>
      </c>
      <c r="AJ314">
        <f t="shared" si="462"/>
        <v>-175</v>
      </c>
      <c r="AK314" s="94">
        <f t="shared" si="463"/>
        <v>0</v>
      </c>
      <c r="AL314" s="94">
        <f t="shared" si="464"/>
        <v>0</v>
      </c>
    </row>
    <row r="315" spans="1:38" x14ac:dyDescent="0.25">
      <c r="B315" s="39">
        <v>0.5</v>
      </c>
      <c r="C315" s="38">
        <v>0</v>
      </c>
      <c r="D315" s="38">
        <f>+DEGREES(ASIN(COS(RADIANS(E306))*COS(RADIANS(D306))*COS(RADIANS(C315))+SIN(RADIANS(E306))*SIN(RADIANS(D306))))</f>
        <v>24.596346798145682</v>
      </c>
      <c r="E315" s="38">
        <f>+IF(E306&gt;=0,180,0)</f>
        <v>180</v>
      </c>
      <c r="G315">
        <f t="shared" si="449"/>
        <v>6.5403653201854315</v>
      </c>
      <c r="H315">
        <f t="shared" si="450"/>
        <v>-90</v>
      </c>
      <c r="I315" s="94">
        <f t="shared" si="451"/>
        <v>0</v>
      </c>
      <c r="J315" s="94">
        <f t="shared" si="452"/>
        <v>0</v>
      </c>
      <c r="M315" s="39">
        <v>0.5</v>
      </c>
      <c r="N315" s="38">
        <v>0</v>
      </c>
      <c r="O315" s="38">
        <f>+DEGREES(ASIN(COS(RADIANS(P306))*COS(RADIANS(O306))*COS(RADIANS(N315))+SIN(RADIANS(P306))*SIN(RADIANS(O306))))</f>
        <v>19.596346798145689</v>
      </c>
      <c r="P315" s="38">
        <f>+IF(P306&gt;=0,180,0)</f>
        <v>180</v>
      </c>
      <c r="R315">
        <f t="shared" si="453"/>
        <v>7.0403653201854315</v>
      </c>
      <c r="S315">
        <f t="shared" si="454"/>
        <v>-90</v>
      </c>
      <c r="T315" s="94">
        <f t="shared" si="455"/>
        <v>0</v>
      </c>
      <c r="U315" s="94">
        <f t="shared" si="456"/>
        <v>0</v>
      </c>
      <c r="X315">
        <f t="shared" si="446"/>
        <v>-9</v>
      </c>
      <c r="Y315">
        <f t="shared" si="447"/>
        <v>9</v>
      </c>
      <c r="Z315">
        <f t="shared" si="448"/>
        <v>6.009159675029446</v>
      </c>
      <c r="AA315">
        <f t="shared" si="448"/>
        <v>-6.009159675029446</v>
      </c>
      <c r="AC315">
        <f t="shared" si="441"/>
        <v>0</v>
      </c>
      <c r="AE315" s="94">
        <f t="shared" si="457"/>
        <v>0</v>
      </c>
      <c r="AF315">
        <f t="shared" si="458"/>
        <v>-10</v>
      </c>
      <c r="AG315" s="94">
        <f t="shared" si="459"/>
        <v>0</v>
      </c>
      <c r="AH315" s="94">
        <f t="shared" si="460"/>
        <v>0</v>
      </c>
      <c r="AI315" s="94">
        <f t="shared" si="461"/>
        <v>0</v>
      </c>
      <c r="AJ315">
        <f t="shared" si="462"/>
        <v>-170</v>
      </c>
      <c r="AK315" s="94">
        <f t="shared" si="463"/>
        <v>0</v>
      </c>
      <c r="AL315" s="94">
        <f t="shared" si="464"/>
        <v>0</v>
      </c>
    </row>
    <row r="316" spans="1:38" x14ac:dyDescent="0.25">
      <c r="B316" s="39">
        <v>0.54166666666666696</v>
      </c>
      <c r="C316">
        <v>-15</v>
      </c>
      <c r="D316" s="38">
        <f>+DEGREES(ASIN(COS(RADIANS(E306))*COS(RADIANS(D306))*COS(RADIANS(C316))+SIN(RADIANS(E306))*SIN(RADIANS(D306))))</f>
        <v>23.692180533284578</v>
      </c>
      <c r="E316" s="38">
        <f>-(180-DEGREES(ACOS((((SIN(RADIANS(D316)))*SIN(RADIANS(E306)))-SIN(RADIANS(D306)))/((COS(RADIANS(D316)))*COS(RADIANS(E306))))))</f>
        <v>-163.58254387307608</v>
      </c>
      <c r="G316">
        <f t="shared" si="449"/>
        <v>6.6307819466715419</v>
      </c>
      <c r="H316">
        <f t="shared" si="450"/>
        <v>253.58254387307608</v>
      </c>
      <c r="I316" s="94">
        <f t="shared" si="451"/>
        <v>0</v>
      </c>
      <c r="J316" s="94">
        <f t="shared" si="452"/>
        <v>0</v>
      </c>
      <c r="M316" s="39">
        <v>0.54166666666666696</v>
      </c>
      <c r="N316">
        <v>-15</v>
      </c>
      <c r="O316" s="38">
        <f>+DEGREES(ASIN(COS(RADIANS(P306))*COS(RADIANS(O306))*COS(RADIANS(N316))+SIN(RADIANS(P306))*SIN(RADIANS(O306))))</f>
        <v>18.889118792360932</v>
      </c>
      <c r="P316" s="38">
        <f>-(180-DEGREES(ACOS((((SIN(RADIANS(O316)))*SIN(RADIANS(P306)))-SIN(RADIANS(O306)))/((COS(RADIANS(O316)))*COS(RADIANS(P306))))))</f>
        <v>-164.12474610310346</v>
      </c>
      <c r="R316">
        <f t="shared" si="453"/>
        <v>7.111088120763907</v>
      </c>
      <c r="S316">
        <f t="shared" si="454"/>
        <v>254.12474610310346</v>
      </c>
      <c r="T316" s="94">
        <f t="shared" si="455"/>
        <v>0</v>
      </c>
      <c r="U316" s="94">
        <f t="shared" si="456"/>
        <v>0</v>
      </c>
      <c r="X316">
        <f t="shared" si="446"/>
        <v>-9</v>
      </c>
      <c r="Y316">
        <f t="shared" si="447"/>
        <v>9</v>
      </c>
      <c r="Z316">
        <f t="shared" si="448"/>
        <v>6.1188234163113426</v>
      </c>
      <c r="AA316">
        <f t="shared" si="448"/>
        <v>-6.1188234163113426</v>
      </c>
      <c r="AC316">
        <f t="shared" si="441"/>
        <v>0</v>
      </c>
      <c r="AE316" s="94">
        <f t="shared" si="457"/>
        <v>0</v>
      </c>
      <c r="AF316">
        <f t="shared" si="458"/>
        <v>-15</v>
      </c>
      <c r="AG316" s="94">
        <f t="shared" si="459"/>
        <v>0</v>
      </c>
      <c r="AH316" s="94">
        <f t="shared" si="460"/>
        <v>0</v>
      </c>
      <c r="AI316" s="94">
        <f t="shared" si="461"/>
        <v>0</v>
      </c>
      <c r="AJ316">
        <f t="shared" si="462"/>
        <v>-165</v>
      </c>
      <c r="AK316" s="94">
        <f t="shared" si="463"/>
        <v>0</v>
      </c>
      <c r="AL316" s="94">
        <f t="shared" si="464"/>
        <v>0</v>
      </c>
    </row>
    <row r="317" spans="1:38" x14ac:dyDescent="0.25">
      <c r="B317" s="39">
        <v>0.58333333333333304</v>
      </c>
      <c r="C317" s="38">
        <v>-30</v>
      </c>
      <c r="D317" s="38">
        <f>+DEGREES(ASIN(COS(RADIANS(E306))*COS(RADIANS(D306))*COS(RADIANS(C317))+SIN(RADIANS(E306))*SIN(RADIANS(D306))))</f>
        <v>21.075885200844958</v>
      </c>
      <c r="E317" s="38">
        <f>-(180-DEGREES(ACOS((((SIN(RADIANS(D317)))*SIN(RADIANS(E306)))-SIN(RADIANS(D306)))/((COS(RADIANS(D317)))*COS(RADIANS(E306))))))</f>
        <v>-147.59964022587681</v>
      </c>
      <c r="G317">
        <f t="shared" si="449"/>
        <v>6.8924114799155038</v>
      </c>
      <c r="H317">
        <f t="shared" si="450"/>
        <v>237.59964022587681</v>
      </c>
      <c r="I317" s="94">
        <f t="shared" si="451"/>
        <v>0</v>
      </c>
      <c r="J317" s="94">
        <f t="shared" si="452"/>
        <v>0</v>
      </c>
      <c r="M317" s="39">
        <v>0.58333333333333304</v>
      </c>
      <c r="N317" s="38">
        <v>-30</v>
      </c>
      <c r="O317" s="38">
        <f>+DEGREES(ASIN(COS(RADIANS(P306))*COS(RADIANS(O306))*COS(RADIANS(N317))+SIN(RADIANS(P306))*SIN(RADIANS(O306))))</f>
        <v>16.832251996477833</v>
      </c>
      <c r="P317" s="38">
        <f>-(180-DEGREES(ACOS((((SIN(RADIANS(O317)))*SIN(RADIANS(P306)))-SIN(RADIANS(O306)))/((COS(RADIANS(O317)))*COS(RADIANS(P306))))))</f>
        <v>-148.5088022488394</v>
      </c>
      <c r="R317">
        <f t="shared" si="453"/>
        <v>7.3167748003522171</v>
      </c>
      <c r="S317">
        <f t="shared" si="454"/>
        <v>238.5088022488394</v>
      </c>
      <c r="T317" s="94">
        <f t="shared" si="455"/>
        <v>0</v>
      </c>
      <c r="U317" s="94">
        <f t="shared" si="456"/>
        <v>0</v>
      </c>
      <c r="X317">
        <f t="shared" si="446"/>
        <v>-9</v>
      </c>
      <c r="Y317">
        <f t="shared" si="447"/>
        <v>9</v>
      </c>
      <c r="Z317">
        <f t="shared" si="448"/>
        <v>6.2249497989943663</v>
      </c>
      <c r="AA317">
        <f t="shared" si="448"/>
        <v>-6.2249497989943663</v>
      </c>
      <c r="AC317">
        <f t="shared" si="441"/>
        <v>0</v>
      </c>
      <c r="AE317" s="94">
        <f t="shared" si="457"/>
        <v>0</v>
      </c>
      <c r="AF317">
        <f t="shared" si="458"/>
        <v>-20</v>
      </c>
      <c r="AG317" s="94">
        <f t="shared" si="459"/>
        <v>0</v>
      </c>
      <c r="AH317" s="94">
        <f t="shared" si="460"/>
        <v>0</v>
      </c>
      <c r="AI317" s="94">
        <f t="shared" si="461"/>
        <v>0</v>
      </c>
      <c r="AJ317">
        <f t="shared" si="462"/>
        <v>-160</v>
      </c>
      <c r="AK317" s="94">
        <f t="shared" si="463"/>
        <v>0</v>
      </c>
      <c r="AL317" s="94">
        <f t="shared" si="464"/>
        <v>0</v>
      </c>
    </row>
    <row r="318" spans="1:38" x14ac:dyDescent="0.25">
      <c r="B318" s="39">
        <v>0.625</v>
      </c>
      <c r="C318">
        <v>-45</v>
      </c>
      <c r="D318" s="38">
        <f>+DEGREES(ASIN(COS(RADIANS(E306))*COS(RADIANS(D306))*COS(RADIANS(C318))+SIN(RADIANS(E306))*SIN(RADIANS(D306))))</f>
        <v>17.004323559235768</v>
      </c>
      <c r="E318" s="38">
        <f>-(180-DEGREES(ACOS((((SIN(RADIANS(D318)))*SIN(RADIANS(E306)))-SIN(RADIANS(D306)))/((COS(RADIANS(D318)))*COS(RADIANS(E306))))))</f>
        <v>-132.31844102395206</v>
      </c>
      <c r="G318">
        <f t="shared" si="449"/>
        <v>7.299567644076423</v>
      </c>
      <c r="H318">
        <f t="shared" si="450"/>
        <v>222.31844102395206</v>
      </c>
      <c r="I318" s="94">
        <f t="shared" si="451"/>
        <v>0</v>
      </c>
      <c r="J318" s="94">
        <f t="shared" si="452"/>
        <v>0</v>
      </c>
      <c r="M318" s="39">
        <v>0.625</v>
      </c>
      <c r="N318">
        <v>-45</v>
      </c>
      <c r="O318" s="38">
        <f>+DEGREES(ASIN(COS(RADIANS(P306))*COS(RADIANS(O306))*COS(RADIANS(N318))+SIN(RADIANS(P306))*SIN(RADIANS(O306))))</f>
        <v>13.604509338364645</v>
      </c>
      <c r="P318" s="38">
        <f>-(180-DEGREES(ACOS((((SIN(RADIANS(O318)))*SIN(RADIANS(P306)))-SIN(RADIANS(O306)))/((COS(RADIANS(O318)))*COS(RADIANS(P306))))))</f>
        <v>-133.32269035473772</v>
      </c>
      <c r="R318">
        <f t="shared" si="453"/>
        <v>7.6395490661635357</v>
      </c>
      <c r="S318">
        <f t="shared" si="454"/>
        <v>223.32269035473772</v>
      </c>
      <c r="T318" s="94">
        <f t="shared" si="455"/>
        <v>0</v>
      </c>
      <c r="U318" s="94">
        <f t="shared" si="456"/>
        <v>0</v>
      </c>
      <c r="X318">
        <f t="shared" si="446"/>
        <v>-9</v>
      </c>
      <c r="Y318">
        <f t="shared" si="447"/>
        <v>9</v>
      </c>
      <c r="Z318">
        <f t="shared" si="448"/>
        <v>6.327716807822549</v>
      </c>
      <c r="AA318">
        <f t="shared" si="448"/>
        <v>-6.327716807822549</v>
      </c>
      <c r="AC318">
        <f t="shared" si="441"/>
        <v>0</v>
      </c>
      <c r="AE318" s="94">
        <f t="shared" si="457"/>
        <v>0</v>
      </c>
      <c r="AF318">
        <f t="shared" si="458"/>
        <v>-25</v>
      </c>
      <c r="AG318" s="94">
        <f t="shared" si="459"/>
        <v>0</v>
      </c>
      <c r="AH318" s="94">
        <f t="shared" si="460"/>
        <v>0</v>
      </c>
      <c r="AI318" s="94">
        <f t="shared" si="461"/>
        <v>0</v>
      </c>
      <c r="AJ318">
        <f t="shared" si="462"/>
        <v>-155</v>
      </c>
      <c r="AK318" s="94">
        <f t="shared" si="463"/>
        <v>0</v>
      </c>
      <c r="AL318" s="94">
        <f t="shared" si="464"/>
        <v>0</v>
      </c>
    </row>
    <row r="319" spans="1:38" x14ac:dyDescent="0.25">
      <c r="B319" s="39">
        <v>0.66666666666666696</v>
      </c>
      <c r="C319" s="38">
        <v>-60</v>
      </c>
      <c r="D319" s="38">
        <f>+DEGREES(ASIN(COS(RADIANS(E306))*COS(RADIANS(D306))*COS(RADIANS(C319))+SIN(RADIANS(E306))*SIN(RADIANS(D306))))</f>
        <v>11.824753402368048</v>
      </c>
      <c r="E319" s="38">
        <f>-(180-DEGREES(ACOS((((SIN(RADIANS(D319)))*SIN(RADIANS(E306)))-SIN(RADIANS(D306)))/((COS(RADIANS(D319)))*COS(RADIANS(E306))))))</f>
        <v>-117.77555573647268</v>
      </c>
      <c r="G319">
        <f t="shared" si="449"/>
        <v>7.8175246597631958</v>
      </c>
      <c r="H319">
        <f t="shared" si="450"/>
        <v>207.77555573647268</v>
      </c>
      <c r="I319" s="94">
        <f t="shared" si="451"/>
        <v>0</v>
      </c>
      <c r="J319" s="94">
        <f t="shared" si="452"/>
        <v>0</v>
      </c>
      <c r="M319" s="39">
        <v>0.66666666666666696</v>
      </c>
      <c r="N319" s="38">
        <v>-60</v>
      </c>
      <c r="O319" s="38">
        <f>+DEGREES(ASIN(COS(RADIANS(P306))*COS(RADIANS(O306))*COS(RADIANS(N319))+SIN(RADIANS(P306))*SIN(RADIANS(O306))))</f>
        <v>9.4615489668857755</v>
      </c>
      <c r="P319" s="38">
        <f>-(180-DEGREES(ACOS((((SIN(RADIANS(O319)))*SIN(RADIANS(P306)))-SIN(RADIANS(O306)))/((COS(RADIANS(O319)))*COS(RADIANS(P306))))))</f>
        <v>-118.60425981921006</v>
      </c>
      <c r="R319">
        <f t="shared" si="453"/>
        <v>8.0538451033114224</v>
      </c>
      <c r="S319">
        <f t="shared" si="454"/>
        <v>208.60425981921006</v>
      </c>
      <c r="T319" s="94">
        <f t="shared" si="455"/>
        <v>0</v>
      </c>
      <c r="U319" s="94">
        <f t="shared" si="456"/>
        <v>0</v>
      </c>
      <c r="X319">
        <f t="shared" si="446"/>
        <v>-9</v>
      </c>
      <c r="Y319">
        <f t="shared" si="447"/>
        <v>9</v>
      </c>
      <c r="Z319">
        <f t="shared" si="448"/>
        <v>6.4272855856885656</v>
      </c>
      <c r="AA319">
        <f t="shared" si="448"/>
        <v>-6.4272855856885656</v>
      </c>
      <c r="AC319">
        <f t="shared" si="441"/>
        <v>0</v>
      </c>
      <c r="AE319" s="94">
        <f t="shared" si="457"/>
        <v>0</v>
      </c>
      <c r="AF319">
        <f t="shared" si="458"/>
        <v>-30</v>
      </c>
      <c r="AG319" s="94">
        <f t="shared" si="459"/>
        <v>0</v>
      </c>
      <c r="AH319" s="94">
        <f t="shared" si="460"/>
        <v>0</v>
      </c>
      <c r="AI319" s="94">
        <f t="shared" si="461"/>
        <v>0</v>
      </c>
      <c r="AJ319">
        <f t="shared" si="462"/>
        <v>-150</v>
      </c>
      <c r="AK319" s="94">
        <f t="shared" si="463"/>
        <v>0</v>
      </c>
      <c r="AL319" s="94">
        <f t="shared" si="464"/>
        <v>0</v>
      </c>
    </row>
    <row r="320" spans="1:38" x14ac:dyDescent="0.25">
      <c r="B320" s="39">
        <v>0.70833333333333404</v>
      </c>
      <c r="C320">
        <v>-75</v>
      </c>
      <c r="D320" s="38">
        <f>+DEGREES(ASIN(COS(RADIANS(E306))*COS(RADIANS(D306))*COS(RADIANS(C320))+SIN(RADIANS(E306))*SIN(RADIANS(D306))))</f>
        <v>5.9116037078203902</v>
      </c>
      <c r="E320" s="38">
        <f>-(180-DEGREES(ACOS((((SIN(RADIANS(D320)))*SIN(RADIANS(E306)))-SIN(RADIANS(D306)))/((COS(RADIANS(D320)))*COS(RADIANS(E306))))))</f>
        <v>-103.81639011062393</v>
      </c>
      <c r="G320">
        <f t="shared" si="449"/>
        <v>8.4088396292179617</v>
      </c>
      <c r="H320">
        <f t="shared" si="450"/>
        <v>193.81639011062393</v>
      </c>
      <c r="I320" s="94">
        <f t="shared" si="451"/>
        <v>0</v>
      </c>
      <c r="J320" s="94">
        <f t="shared" si="452"/>
        <v>0</v>
      </c>
      <c r="M320" s="39">
        <v>0.70833333333333404</v>
      </c>
      <c r="N320">
        <v>-75</v>
      </c>
      <c r="O320" s="38">
        <f>+DEGREES(ASIN(COS(RADIANS(P306))*COS(RADIANS(O306))*COS(RADIANS(N320))+SIN(RADIANS(P306))*SIN(RADIANS(O306))))</f>
        <v>4.6977274021092281</v>
      </c>
      <c r="P320" s="38">
        <f>-(180-DEGREES(ACOS((((SIN(RADIANS(O320)))*SIN(RADIANS(P306)))-SIN(RADIANS(O306)))/((COS(RADIANS(O320)))*COS(RADIANS(P306))))))</f>
        <v>-104.26705192605095</v>
      </c>
      <c r="R320">
        <f t="shared" si="453"/>
        <v>8.5302272597890774</v>
      </c>
      <c r="S320">
        <f t="shared" si="454"/>
        <v>194.26705192605095</v>
      </c>
      <c r="T320" s="94">
        <f t="shared" si="455"/>
        <v>0</v>
      </c>
      <c r="U320" s="94">
        <f t="shared" si="456"/>
        <v>0</v>
      </c>
      <c r="X320">
        <f t="shared" si="446"/>
        <v>-9</v>
      </c>
      <c r="Y320">
        <f t="shared" si="447"/>
        <v>9</v>
      </c>
      <c r="Z320">
        <f t="shared" si="448"/>
        <v>6.5238025721200357</v>
      </c>
      <c r="AA320">
        <f t="shared" si="448"/>
        <v>-6.5238025721200357</v>
      </c>
      <c r="AC320">
        <f t="shared" si="441"/>
        <v>0</v>
      </c>
      <c r="AE320" s="94">
        <f t="shared" si="457"/>
        <v>0</v>
      </c>
      <c r="AF320">
        <f t="shared" si="458"/>
        <v>-35</v>
      </c>
      <c r="AG320" s="94">
        <f t="shared" si="459"/>
        <v>0</v>
      </c>
      <c r="AH320" s="94">
        <f t="shared" si="460"/>
        <v>0</v>
      </c>
      <c r="AI320" s="94">
        <f t="shared" si="461"/>
        <v>0</v>
      </c>
      <c r="AJ320">
        <f t="shared" si="462"/>
        <v>-145</v>
      </c>
      <c r="AK320" s="94">
        <f t="shared" si="463"/>
        <v>0</v>
      </c>
      <c r="AL320" s="94">
        <f t="shared" si="464"/>
        <v>0</v>
      </c>
    </row>
    <row r="321" spans="1:38" x14ac:dyDescent="0.25">
      <c r="B321" s="39">
        <v>0.75</v>
      </c>
      <c r="C321" s="38">
        <v>-90</v>
      </c>
      <c r="D321" s="38">
        <f>+DEGREES(ASIN(COS(RADIANS(E306))*COS(RADIANS(D306))*COS(RADIANS(C321))+SIN(RADIANS(E306))*SIN(RADIANS(D306))))</f>
        <v>-0.36583349958776845</v>
      </c>
      <c r="E321" s="38">
        <f>-(180-DEGREES(ACOS((((SIN(RADIANS(D321)))*SIN(RADIANS(E306)))-SIN(RADIANS(D306)))/((COS(RADIANS(D321)))*COS(RADIANS(E306))))))</f>
        <v>-90.170593532787294</v>
      </c>
      <c r="G321">
        <f t="shared" si="449"/>
        <v>9.0365833499587769</v>
      </c>
      <c r="H321">
        <f t="shared" si="450"/>
        <v>180.17059353278728</v>
      </c>
      <c r="I321" s="94">
        <f t="shared" si="451"/>
        <v>0</v>
      </c>
      <c r="J321" s="94">
        <f t="shared" si="452"/>
        <v>0</v>
      </c>
      <c r="M321" s="39">
        <v>0.75</v>
      </c>
      <c r="N321" s="38">
        <v>-90</v>
      </c>
      <c r="O321" s="38">
        <f>+DEGREES(ASIN(COS(RADIANS(P306))*COS(RADIANS(O306))*COS(RADIANS(N321))+SIN(RADIANS(P306))*SIN(RADIANS(O306))))</f>
        <v>-0.3793095680889908</v>
      </c>
      <c r="P321" s="38">
        <f>-(180-DEGREES(ACOS((((SIN(RADIANS(O321)))*SIN(RADIANS(P306)))-SIN(RADIANS(O306)))/((COS(RADIANS(O321)))*COS(RADIANS(P306))))))</f>
        <v>-90.138059542874117</v>
      </c>
      <c r="R321">
        <f t="shared" si="453"/>
        <v>9.0379309568088999</v>
      </c>
      <c r="S321">
        <f t="shared" si="454"/>
        <v>180.13805954287412</v>
      </c>
      <c r="T321" s="94">
        <f t="shared" si="455"/>
        <v>0</v>
      </c>
      <c r="U321" s="94">
        <f t="shared" si="456"/>
        <v>0</v>
      </c>
      <c r="X321">
        <f t="shared" si="446"/>
        <v>-9</v>
      </c>
      <c r="Y321">
        <f t="shared" si="447"/>
        <v>9</v>
      </c>
      <c r="Z321">
        <f t="shared" si="448"/>
        <v>6.6174013026262815</v>
      </c>
      <c r="AA321">
        <f t="shared" si="448"/>
        <v>-6.6174013026262815</v>
      </c>
      <c r="AC321">
        <f t="shared" si="441"/>
        <v>0</v>
      </c>
      <c r="AE321" s="94">
        <f t="shared" si="457"/>
        <v>0</v>
      </c>
      <c r="AF321">
        <f t="shared" si="458"/>
        <v>-40</v>
      </c>
      <c r="AG321" s="94">
        <f t="shared" si="459"/>
        <v>0</v>
      </c>
      <c r="AH321" s="94">
        <f t="shared" si="460"/>
        <v>0</v>
      </c>
      <c r="AI321" s="94">
        <f t="shared" si="461"/>
        <v>0</v>
      </c>
      <c r="AJ321">
        <f t="shared" si="462"/>
        <v>-140</v>
      </c>
      <c r="AK321" s="94">
        <f t="shared" si="463"/>
        <v>0</v>
      </c>
      <c r="AL321" s="94">
        <f t="shared" si="464"/>
        <v>0</v>
      </c>
    </row>
    <row r="322" spans="1:38" x14ac:dyDescent="0.25">
      <c r="X322">
        <f t="shared" si="446"/>
        <v>-9</v>
      </c>
      <c r="Y322">
        <f t="shared" si="447"/>
        <v>9</v>
      </c>
      <c r="Z322">
        <f t="shared" si="448"/>
        <v>6.7082039324993694</v>
      </c>
      <c r="AA322">
        <f t="shared" si="448"/>
        <v>-6.7082039324993694</v>
      </c>
      <c r="AC322">
        <f t="shared" si="441"/>
        <v>0</v>
      </c>
      <c r="AE322" s="94">
        <f t="shared" si="457"/>
        <v>0</v>
      </c>
      <c r="AF322">
        <f t="shared" si="458"/>
        <v>-45</v>
      </c>
      <c r="AG322" s="94">
        <f t="shared" si="459"/>
        <v>0</v>
      </c>
      <c r="AH322" s="94">
        <f t="shared" si="460"/>
        <v>0</v>
      </c>
      <c r="AI322" s="94">
        <f t="shared" si="461"/>
        <v>0</v>
      </c>
      <c r="AJ322">
        <f t="shared" si="462"/>
        <v>-135</v>
      </c>
      <c r="AK322" s="94">
        <f t="shared" si="463"/>
        <v>0</v>
      </c>
      <c r="AL322" s="94">
        <f t="shared" si="464"/>
        <v>0</v>
      </c>
    </row>
    <row r="323" spans="1:38" x14ac:dyDescent="0.25">
      <c r="X323">
        <f t="shared" si="446"/>
        <v>-9</v>
      </c>
      <c r="Y323">
        <f t="shared" si="447"/>
        <v>9</v>
      </c>
      <c r="Z323">
        <f t="shared" si="448"/>
        <v>6.7963225350184784</v>
      </c>
      <c r="AA323">
        <f t="shared" si="448"/>
        <v>-6.7963225350184784</v>
      </c>
      <c r="AC323">
        <f t="shared" si="441"/>
        <v>0</v>
      </c>
      <c r="AE323" s="94">
        <f t="shared" si="457"/>
        <v>0</v>
      </c>
      <c r="AF323">
        <f t="shared" si="458"/>
        <v>-50</v>
      </c>
      <c r="AG323" s="94">
        <f t="shared" si="459"/>
        <v>0</v>
      </c>
      <c r="AH323" s="94">
        <f t="shared" si="460"/>
        <v>0</v>
      </c>
      <c r="AI323" s="94">
        <f t="shared" si="461"/>
        <v>0</v>
      </c>
      <c r="AJ323">
        <f t="shared" si="462"/>
        <v>230</v>
      </c>
      <c r="AK323" s="94">
        <f t="shared" si="463"/>
        <v>0</v>
      </c>
      <c r="AL323" s="94">
        <f t="shared" si="464"/>
        <v>0</v>
      </c>
    </row>
    <row r="324" spans="1:38" x14ac:dyDescent="0.25">
      <c r="A324" s="95" t="s">
        <v>92</v>
      </c>
      <c r="B324" s="95">
        <v>21</v>
      </c>
      <c r="C324" s="315"/>
      <c r="D324" s="315"/>
      <c r="E324" s="316"/>
      <c r="L324" s="95" t="s">
        <v>92</v>
      </c>
      <c r="M324" s="95">
        <v>21</v>
      </c>
      <c r="N324" s="315"/>
      <c r="O324" s="315"/>
      <c r="P324" s="316"/>
      <c r="X324">
        <f t="shared" si="446"/>
        <v>-9</v>
      </c>
      <c r="Y324">
        <f t="shared" si="447"/>
        <v>9</v>
      </c>
      <c r="Z324">
        <f t="shared" si="448"/>
        <v>6.8818602136341012</v>
      </c>
      <c r="AA324">
        <f t="shared" si="448"/>
        <v>-6.8818602136341012</v>
      </c>
      <c r="AC324">
        <f t="shared" si="441"/>
        <v>0</v>
      </c>
      <c r="AE324" s="94">
        <f t="shared" si="457"/>
        <v>0</v>
      </c>
      <c r="AF324">
        <f t="shared" si="458"/>
        <v>-50</v>
      </c>
      <c r="AG324" s="94">
        <f t="shared" si="459"/>
        <v>0</v>
      </c>
      <c r="AH324" s="94">
        <f t="shared" si="460"/>
        <v>0</v>
      </c>
      <c r="AI324" s="94">
        <f t="shared" si="461"/>
        <v>0</v>
      </c>
      <c r="AJ324">
        <f t="shared" si="462"/>
        <v>230</v>
      </c>
      <c r="AK324" s="94">
        <f t="shared" si="463"/>
        <v>0</v>
      </c>
      <c r="AL324" s="94">
        <f t="shared" si="464"/>
        <v>0</v>
      </c>
    </row>
    <row r="325" spans="1:38" x14ac:dyDescent="0.25">
      <c r="A325" s="95" t="s">
        <v>91</v>
      </c>
      <c r="B325" s="95">
        <v>3</v>
      </c>
      <c r="C325" s="315"/>
      <c r="D325" s="315"/>
      <c r="E325" s="316"/>
      <c r="L325" s="95" t="s">
        <v>91</v>
      </c>
      <c r="M325" s="95">
        <v>3</v>
      </c>
      <c r="N325" s="315"/>
      <c r="O325" s="315"/>
      <c r="P325" s="316"/>
      <c r="X325">
        <f t="shared" si="446"/>
        <v>-9</v>
      </c>
      <c r="Y325">
        <f t="shared" si="447"/>
        <v>9</v>
      </c>
      <c r="Z325">
        <f t="shared" ref="Z325:AA356" si="465">+B35</f>
        <v>6.9649120597463394</v>
      </c>
      <c r="AA325">
        <f t="shared" si="465"/>
        <v>-6.9649120597463394</v>
      </c>
      <c r="AC325">
        <f t="shared" si="441"/>
        <v>0</v>
      </c>
      <c r="AE325" s="94">
        <f t="shared" si="457"/>
        <v>0</v>
      </c>
      <c r="AF325">
        <f t="shared" si="458"/>
        <v>-50</v>
      </c>
      <c r="AG325" s="94">
        <f t="shared" si="459"/>
        <v>0</v>
      </c>
      <c r="AH325" s="94">
        <f t="shared" si="460"/>
        <v>0</v>
      </c>
      <c r="AI325" s="94">
        <f t="shared" si="461"/>
        <v>0</v>
      </c>
      <c r="AJ325">
        <f t="shared" si="462"/>
        <v>230</v>
      </c>
      <c r="AK325" s="94">
        <f t="shared" si="463"/>
        <v>0</v>
      </c>
      <c r="AL325" s="94">
        <f t="shared" si="464"/>
        <v>0</v>
      </c>
    </row>
    <row r="326" spans="1:38" x14ac:dyDescent="0.25">
      <c r="C326" s="93">
        <f>+IF(B325=$AI$63,B324,IF(B325=$AJ$63,$AI$64+B324,IF(B325=$AK$63,$AI$64+$AJ$64+B324,IF(B325=$AL$63,$AI$64+$AJ$64+$AK$64+B324,IF(B325=$AM$63,$AI$64+$AJ$64+$AK$64+$AL$64+B324,IF(B325=$AN$63,$AI$64+$AJ$64+$AK$64+$AL$64+$AM$64+B324,IF(B325=$AO$63,$AI$64+$AJ$64+$AK$64+$AL$64+$AM$64+$AN$64+B324,IF(B325=$AP$63,$AI$64+$AJ$64+$AK$64+$AL$64+$AM$64+$AN$64+$AO$64+B324,IF(B325=$AQ$63,$AI$64+$AJ$64+$AK$64+$AL$64+$AM$64+$AN$64+$AO$64+$AP$64+B324,IF(B325=$AR$63,$AI$64+$AJ$64+$AK$64+$AL$64+$AM$64+$AN$64+$AO$64+$AP$64+$AQ$64+B324,IF(B325=$AS$63,$AI$64+$AJ$64+$AK$64+$AL$64+$AM$64+$AN$64+$AO$64+$AP$64+$AQ$64+$AR$64+B324,IF(B325=$AT$63,$AI$64+$AJ$64+$AK$64+$AL$64+$AM$64+$AN$64+$AO$64+$AP$64+$AQ$64+$AR$64+$AS$64+B324,"error"))))))))))))</f>
        <v>80</v>
      </c>
      <c r="D326" s="38">
        <f>23.45*SIN(RADIANS(360*((284+C326)/365)))</f>
        <v>-0.40365320185431652</v>
      </c>
      <c r="E326" s="95">
        <v>75</v>
      </c>
      <c r="N326" s="93">
        <f>+IF(M325=$AI$63,M324,IF(M325=$AJ$63,$AI$64+M324,IF(M325=$AK$63,$AI$64+$AJ$64+M324,IF(M325=$AL$63,$AI$64+$AJ$64+$AK$64+M324,IF(M325=$AM$63,$AI$64+$AJ$64+$AK$64+$AL$64+M324,IF(M325=$AN$63,$AI$64+$AJ$64+$AK$64+$AL$64+$AM$64+M324,IF(M325=$AO$63,$AI$64+$AJ$64+$AK$64+$AL$64+$AM$64+$AN$64+M324,IF(M325=$AP$63,$AI$64+$AJ$64+$AK$64+$AL$64+$AM$64+$AN$64+$AO$64+M324,IF(M325=$AQ$63,$AI$64+$AJ$64+$AK$64+$AL$64+$AM$64+$AN$64+$AO$64+$AP$64+M324,IF(M325=$AR$63,$AI$64+$AJ$64+$AK$64+$AL$64+$AM$64+$AN$64+$AO$64+$AP$64+$AQ$64+M324,IF(M325=$AS$63,$AI$64+$AJ$64+$AK$64+$AL$64+$AM$64+$AN$64+$AO$64+$AP$64+$AQ$64+$AR$64+M324,IF(M325=$AT$63,$AI$64+$AJ$64+$AK$64+$AL$64+$AM$64+$AN$64+$AO$64+$AP$64+$AQ$64+$AR$64+$AS$64+M324,"error"))))))))))))</f>
        <v>80</v>
      </c>
      <c r="O326" s="38">
        <f>23.45*SIN(RADIANS(360*((284+N326)/365)))</f>
        <v>-0.40365320185431652</v>
      </c>
      <c r="P326" s="95">
        <v>80</v>
      </c>
      <c r="X326">
        <f t="shared" si="446"/>
        <v>-9</v>
      </c>
      <c r="Y326">
        <f t="shared" si="447"/>
        <v>9</v>
      </c>
      <c r="Z326">
        <f t="shared" si="465"/>
        <v>7.0455659815234153</v>
      </c>
      <c r="AA326">
        <f t="shared" si="465"/>
        <v>-7.0455659815234153</v>
      </c>
      <c r="AC326">
        <f t="shared" si="441"/>
        <v>0</v>
      </c>
      <c r="AE326" s="94">
        <f t="shared" si="457"/>
        <v>0</v>
      </c>
      <c r="AF326">
        <f t="shared" si="458"/>
        <v>-50</v>
      </c>
      <c r="AG326" s="94">
        <f t="shared" si="459"/>
        <v>0</v>
      </c>
      <c r="AH326" s="94">
        <f t="shared" si="460"/>
        <v>0</v>
      </c>
      <c r="AI326" s="94">
        <f t="shared" si="461"/>
        <v>0</v>
      </c>
      <c r="AJ326">
        <f t="shared" si="462"/>
        <v>230</v>
      </c>
      <c r="AK326" s="94">
        <f t="shared" si="463"/>
        <v>0</v>
      </c>
      <c r="AL326" s="94">
        <f t="shared" si="464"/>
        <v>0</v>
      </c>
    </row>
    <row r="327" spans="1:38" x14ac:dyDescent="0.25">
      <c r="B327" s="317" t="s">
        <v>90</v>
      </c>
      <c r="C327" s="315"/>
      <c r="D327" s="315"/>
      <c r="E327" s="315"/>
      <c r="G327" s="319" t="s">
        <v>89</v>
      </c>
      <c r="H327" s="319"/>
      <c r="I327" s="319" t="s">
        <v>42</v>
      </c>
      <c r="J327" s="319" t="s">
        <v>43</v>
      </c>
      <c r="M327" s="317" t="s">
        <v>90</v>
      </c>
      <c r="N327" s="315"/>
      <c r="O327" s="315"/>
      <c r="P327" s="315"/>
      <c r="R327" s="319" t="s">
        <v>89</v>
      </c>
      <c r="S327" s="319"/>
      <c r="T327" s="319" t="s">
        <v>42</v>
      </c>
      <c r="U327" s="319" t="s">
        <v>43</v>
      </c>
      <c r="X327">
        <f t="shared" si="446"/>
        <v>-9</v>
      </c>
      <c r="Y327">
        <f t="shared" si="447"/>
        <v>9</v>
      </c>
      <c r="Z327">
        <f t="shared" si="465"/>
        <v>7.1239034243875032</v>
      </c>
      <c r="AA327">
        <f t="shared" si="465"/>
        <v>-7.1239034243875032</v>
      </c>
      <c r="AC327">
        <f t="shared" si="441"/>
        <v>0</v>
      </c>
      <c r="AE327" s="94">
        <f t="shared" si="457"/>
        <v>0</v>
      </c>
      <c r="AF327">
        <f t="shared" si="458"/>
        <v>-50</v>
      </c>
      <c r="AG327" s="94">
        <f t="shared" si="459"/>
        <v>0</v>
      </c>
      <c r="AH327" s="94">
        <f t="shared" si="460"/>
        <v>0</v>
      </c>
      <c r="AI327" s="94">
        <f t="shared" si="461"/>
        <v>0</v>
      </c>
      <c r="AJ327">
        <f t="shared" si="462"/>
        <v>230</v>
      </c>
      <c r="AK327" s="94">
        <f t="shared" si="463"/>
        <v>0</v>
      </c>
      <c r="AL327" s="94">
        <f t="shared" si="464"/>
        <v>0</v>
      </c>
    </row>
    <row r="328" spans="1:38" x14ac:dyDescent="0.25">
      <c r="B328" s="318"/>
      <c r="C328" s="315"/>
      <c r="D328" s="315"/>
      <c r="E328" s="315"/>
      <c r="G328" s="319"/>
      <c r="H328" s="319"/>
      <c r="I328" s="319"/>
      <c r="J328" s="319"/>
      <c r="M328" s="318"/>
      <c r="N328" s="315"/>
      <c r="O328" s="315"/>
      <c r="P328" s="315"/>
      <c r="R328" s="319"/>
      <c r="S328" s="319"/>
      <c r="T328" s="319"/>
      <c r="U328" s="319"/>
      <c r="X328">
        <f t="shared" si="446"/>
        <v>-9</v>
      </c>
      <c r="Y328">
        <f t="shared" si="447"/>
        <v>9</v>
      </c>
      <c r="Z328">
        <f t="shared" si="465"/>
        <v>7.2</v>
      </c>
      <c r="AA328">
        <f t="shared" si="465"/>
        <v>-7.2</v>
      </c>
      <c r="AC328">
        <f t="shared" si="441"/>
        <v>0</v>
      </c>
      <c r="AE328" s="94">
        <f t="shared" si="457"/>
        <v>0</v>
      </c>
      <c r="AF328">
        <f t="shared" si="458"/>
        <v>-50</v>
      </c>
      <c r="AG328" s="94">
        <f t="shared" si="459"/>
        <v>0</v>
      </c>
      <c r="AH328" s="94">
        <f t="shared" si="460"/>
        <v>0</v>
      </c>
      <c r="AI328" s="94">
        <f t="shared" si="461"/>
        <v>0</v>
      </c>
      <c r="AJ328">
        <f t="shared" si="462"/>
        <v>230</v>
      </c>
      <c r="AK328" s="94">
        <f t="shared" si="463"/>
        <v>0</v>
      </c>
      <c r="AL328" s="94">
        <f t="shared" si="464"/>
        <v>0</v>
      </c>
    </row>
    <row r="329" spans="1:38" x14ac:dyDescent="0.25">
      <c r="B329" s="39">
        <v>0.25</v>
      </c>
      <c r="C329" s="38">
        <v>90</v>
      </c>
      <c r="D329" s="38">
        <f>+DEGREES(ASIN(COS(RADIANS(E326))*COS(RADIANS(D326))*COS(RADIANS(C329))+SIN(RADIANS(E326))*SIN(RADIANS(D326))))</f>
        <v>-0.38989883647608925</v>
      </c>
      <c r="E329" s="38">
        <f>180-DEGREES(ACOS((((SIN(RADIANS(D329)))*SIN(RADIANS(E326)))-SIN(RADIANS(D326)))/((COS(RADIANS(D329)))*COS(RADIANS(E326)))))</f>
        <v>90.104474748944043</v>
      </c>
      <c r="G329">
        <f t="shared" ref="G329:G341" si="466">9-(D329/10)</f>
        <v>9.0389898836476092</v>
      </c>
      <c r="H329">
        <f t="shared" ref="H329:H341" si="467">90-E329+$AH$172</f>
        <v>-0.10447474894404252</v>
      </c>
      <c r="I329" s="94">
        <f t="shared" ref="I329:I341" si="468">IF($E$326&gt;=$AE$174,0,G329*COS(RADIANS(H329)))</f>
        <v>0</v>
      </c>
      <c r="J329" s="94">
        <f t="shared" ref="J329:J341" si="469">IF($E$326&gt;=$AE$174,0,G329*SIN(RADIANS(H329)))</f>
        <v>0</v>
      </c>
      <c r="M329" s="39">
        <v>0.25</v>
      </c>
      <c r="N329" s="38">
        <v>90</v>
      </c>
      <c r="O329" s="38">
        <f>+DEGREES(ASIN(COS(RADIANS(P326))*COS(RADIANS(O326))*COS(RADIANS(N329))+SIN(RADIANS(P326))*SIN(RADIANS(O326))))</f>
        <v>-0.39752070355606267</v>
      </c>
      <c r="P329" s="38">
        <f>180-DEGREES(ACOS((((SIN(RADIANS(O329)))*SIN(RADIANS(P326)))-SIN(RADIANS(O326)))/((COS(RADIANS(O329)))*COS(RADIANS(P326)))))</f>
        <v>90.070094767620148</v>
      </c>
      <c r="R329">
        <f t="shared" ref="R329:R341" si="470">9-(O329/10)</f>
        <v>9.0397520703556058</v>
      </c>
      <c r="S329">
        <f t="shared" ref="S329:S341" si="471">90-P329+$AH$172</f>
        <v>-7.0094767620147991E-2</v>
      </c>
      <c r="T329" s="94">
        <f t="shared" ref="T329:T341" si="472">IF($P$326&gt;=$AE$174,0,R329*COS(RADIANS(S329)))</f>
        <v>0</v>
      </c>
      <c r="U329" s="94">
        <f t="shared" ref="U329:U341" si="473">IF($P$326&gt;=$AE$174,0,R329*SIN(RADIANS(S329)))</f>
        <v>0</v>
      </c>
      <c r="X329">
        <f t="shared" si="446"/>
        <v>-9</v>
      </c>
      <c r="Y329">
        <f t="shared" si="447"/>
        <v>9</v>
      </c>
      <c r="Z329">
        <f t="shared" si="465"/>
        <v>7.2739260375673327</v>
      </c>
      <c r="AA329">
        <f t="shared" si="465"/>
        <v>-7.2739260375673327</v>
      </c>
      <c r="AC329">
        <f t="shared" si="441"/>
        <v>0</v>
      </c>
      <c r="AE329" s="94">
        <f t="shared" si="457"/>
        <v>0</v>
      </c>
      <c r="AF329">
        <f t="shared" si="458"/>
        <v>-50</v>
      </c>
      <c r="AG329" s="94">
        <f t="shared" si="459"/>
        <v>0</v>
      </c>
      <c r="AH329" s="94">
        <f t="shared" si="460"/>
        <v>0</v>
      </c>
      <c r="AI329" s="94">
        <f t="shared" si="461"/>
        <v>0</v>
      </c>
      <c r="AJ329">
        <f t="shared" si="462"/>
        <v>230</v>
      </c>
      <c r="AK329" s="94">
        <f t="shared" si="463"/>
        <v>0</v>
      </c>
      <c r="AL329" s="94">
        <f t="shared" si="464"/>
        <v>0</v>
      </c>
    </row>
    <row r="330" spans="1:38" x14ac:dyDescent="0.25">
      <c r="B330" s="39">
        <v>0.29166666666666669</v>
      </c>
      <c r="C330">
        <v>75</v>
      </c>
      <c r="D330" s="38">
        <f>+DEGREES(ASIN(COS(RADIANS(E326))*COS(RADIANS(D326))*COS(RADIANS(C330))+SIN(RADIANS(E326))*SIN(RADIANS(D326))))</f>
        <v>3.4501831241284342</v>
      </c>
      <c r="E330" s="38">
        <f>180-DEGREES(ACOS((((SIN(RADIANS(D330)))*SIN(RADIANS(E326)))-SIN(RADIANS(D326)))/((COS(RADIANS(D330)))*COS(RADIANS(E326)))))</f>
        <v>104.6121420429491</v>
      </c>
      <c r="G330">
        <f t="shared" si="466"/>
        <v>8.6549816875871564</v>
      </c>
      <c r="H330">
        <f t="shared" si="467"/>
        <v>-14.612142042949102</v>
      </c>
      <c r="I330" s="94">
        <f t="shared" si="468"/>
        <v>0</v>
      </c>
      <c r="J330" s="94">
        <f t="shared" si="469"/>
        <v>0</v>
      </c>
      <c r="M330" s="39">
        <v>0.29166666666666669</v>
      </c>
      <c r="N330">
        <v>75</v>
      </c>
      <c r="O330" s="38">
        <f>+DEGREES(ASIN(COS(RADIANS(P326))*COS(RADIANS(O326))*COS(RADIANS(N330))+SIN(RADIANS(P326))*SIN(RADIANS(O326))))</f>
        <v>2.1780134099668169</v>
      </c>
      <c r="P330" s="38">
        <f>180-DEGREES(ACOS((((SIN(RADIANS(O330)))*SIN(RADIANS(P326)))-SIN(RADIANS(O326)))/((COS(RADIANS(O330)))*COS(RADIANS(P326)))))</f>
        <v>104.84998864842244</v>
      </c>
      <c r="R330">
        <f t="shared" si="470"/>
        <v>8.7821986590033188</v>
      </c>
      <c r="S330">
        <f t="shared" si="471"/>
        <v>-14.849988648422439</v>
      </c>
      <c r="T330" s="94">
        <f t="shared" si="472"/>
        <v>0</v>
      </c>
      <c r="U330" s="94">
        <f t="shared" si="473"/>
        <v>0</v>
      </c>
      <c r="X330">
        <f t="shared" si="446"/>
        <v>-9</v>
      </c>
      <c r="Y330">
        <f t="shared" si="447"/>
        <v>9</v>
      </c>
      <c r="Z330">
        <f t="shared" si="465"/>
        <v>7.3457470688827824</v>
      </c>
      <c r="AA330">
        <f t="shared" si="465"/>
        <v>-7.3457470688827824</v>
      </c>
      <c r="AC330">
        <f t="shared" si="441"/>
        <v>0</v>
      </c>
      <c r="AE330" s="94">
        <f t="shared" si="457"/>
        <v>0</v>
      </c>
      <c r="AF330">
        <f t="shared" si="458"/>
        <v>-50</v>
      </c>
      <c r="AG330" s="94">
        <f t="shared" si="459"/>
        <v>0</v>
      </c>
      <c r="AH330" s="94">
        <f t="shared" si="460"/>
        <v>0</v>
      </c>
      <c r="AI330" s="94">
        <f t="shared" si="461"/>
        <v>0</v>
      </c>
      <c r="AJ330">
        <f t="shared" si="462"/>
        <v>230</v>
      </c>
      <c r="AK330" s="94">
        <f t="shared" si="463"/>
        <v>0</v>
      </c>
      <c r="AL330" s="94">
        <f t="shared" si="464"/>
        <v>0</v>
      </c>
    </row>
    <row r="331" spans="1:38" x14ac:dyDescent="0.25">
      <c r="B331" s="39">
        <v>0.33333333333333298</v>
      </c>
      <c r="C331" s="38">
        <v>60</v>
      </c>
      <c r="D331" s="38">
        <f>+DEGREES(ASIN(COS(RADIANS(E326))*COS(RADIANS(D326))*COS(RADIANS(C331))+SIN(RADIANS(E326))*SIN(RADIANS(D326))))</f>
        <v>7.0422574939074547</v>
      </c>
      <c r="E331" s="38">
        <f>180-DEGREES(ACOS((((SIN(RADIANS(D331)))*SIN(RADIANS(E326)))-SIN(RADIANS(D326)))/((COS(RADIANS(D331)))*COS(RADIANS(E326)))))</f>
        <v>119.23936275375299</v>
      </c>
      <c r="G331">
        <f t="shared" si="466"/>
        <v>8.295774250609254</v>
      </c>
      <c r="H331">
        <f t="shared" si="467"/>
        <v>-29.239362753752985</v>
      </c>
      <c r="I331" s="94">
        <f t="shared" si="468"/>
        <v>0</v>
      </c>
      <c r="J331" s="94">
        <f t="shared" si="469"/>
        <v>0</v>
      </c>
      <c r="M331" s="39">
        <v>0.33333333333333298</v>
      </c>
      <c r="N331" s="38">
        <v>60</v>
      </c>
      <c r="O331" s="38">
        <f>+DEGREES(ASIN(COS(RADIANS(P326))*COS(RADIANS(O326))*COS(RADIANS(N331))+SIN(RADIANS(P326))*SIN(RADIANS(O326))))</f>
        <v>4.5818949074716482</v>
      </c>
      <c r="P331" s="38">
        <f>180-DEGREES(ACOS((((SIN(RADIANS(O331)))*SIN(RADIANS(P326)))-SIN(RADIANS(O326)))/((COS(RADIANS(O331)))*COS(RADIANS(P326)))))</f>
        <v>119.68277971597945</v>
      </c>
      <c r="R331">
        <f t="shared" si="470"/>
        <v>8.5418105092528354</v>
      </c>
      <c r="S331">
        <f t="shared" si="471"/>
        <v>-29.68277971597945</v>
      </c>
      <c r="T331" s="94">
        <f t="shared" si="472"/>
        <v>0</v>
      </c>
      <c r="U331" s="94">
        <f t="shared" si="473"/>
        <v>0</v>
      </c>
      <c r="X331">
        <f t="shared" si="446"/>
        <v>-9</v>
      </c>
      <c r="Y331">
        <f t="shared" si="447"/>
        <v>9</v>
      </c>
      <c r="Z331">
        <f t="shared" si="465"/>
        <v>7.4155242565849653</v>
      </c>
      <c r="AA331">
        <f t="shared" si="465"/>
        <v>-7.4155242565849653</v>
      </c>
      <c r="AC331">
        <f t="shared" si="441"/>
        <v>0</v>
      </c>
      <c r="AE331" s="94">
        <f t="shared" si="457"/>
        <v>0</v>
      </c>
      <c r="AF331">
        <f t="shared" si="458"/>
        <v>-50</v>
      </c>
      <c r="AG331" s="94">
        <f t="shared" si="459"/>
        <v>0</v>
      </c>
      <c r="AH331" s="94">
        <f t="shared" si="460"/>
        <v>0</v>
      </c>
      <c r="AI331" s="94">
        <f t="shared" si="461"/>
        <v>0</v>
      </c>
      <c r="AJ331">
        <f t="shared" si="462"/>
        <v>230</v>
      </c>
      <c r="AK331" s="94">
        <f t="shared" si="463"/>
        <v>0</v>
      </c>
      <c r="AL331" s="94">
        <f t="shared" si="464"/>
        <v>0</v>
      </c>
    </row>
    <row r="332" spans="1:38" x14ac:dyDescent="0.25">
      <c r="B332" s="39">
        <v>0.375</v>
      </c>
      <c r="C332">
        <v>45</v>
      </c>
      <c r="D332" s="38">
        <f>+DEGREES(ASIN(COS(RADIANS(E326))*COS(RADIANS(D326))*COS(RADIANS(C332))+SIN(RADIANS(E326))*SIN(RADIANS(D326))))</f>
        <v>10.148684177519183</v>
      </c>
      <c r="E332" s="38">
        <f>180-DEGREES(ACOS((((SIN(RADIANS(D332)))*SIN(RADIANS(E326)))-SIN(RADIANS(D326)))/((COS(RADIANS(D332)))*COS(RADIANS(E326)))))</f>
        <v>134.08336375564744</v>
      </c>
      <c r="G332">
        <f t="shared" si="466"/>
        <v>7.9851315822480817</v>
      </c>
      <c r="H332">
        <f t="shared" si="467"/>
        <v>-44.08336375564744</v>
      </c>
      <c r="I332" s="94">
        <f t="shared" si="468"/>
        <v>0</v>
      </c>
      <c r="J332" s="94">
        <f t="shared" si="469"/>
        <v>0</v>
      </c>
      <c r="M332" s="39">
        <v>0.375</v>
      </c>
      <c r="N332">
        <v>45</v>
      </c>
      <c r="O332" s="38">
        <f>+DEGREES(ASIN(COS(RADIANS(P326))*COS(RADIANS(O326))*COS(RADIANS(N332))+SIN(RADIANS(P326))*SIN(RADIANS(O326))))</f>
        <v>6.6524676910812941</v>
      </c>
      <c r="P332" s="38">
        <f>180-DEGREES(ACOS((((SIN(RADIANS(O332)))*SIN(RADIANS(P326)))-SIN(RADIANS(O326)))/((COS(RADIANS(O332)))*COS(RADIANS(P326)))))</f>
        <v>134.61173113596442</v>
      </c>
      <c r="R332">
        <f t="shared" si="470"/>
        <v>8.3347532308918701</v>
      </c>
      <c r="S332">
        <f t="shared" si="471"/>
        <v>-44.611731135964419</v>
      </c>
      <c r="T332" s="94">
        <f t="shared" si="472"/>
        <v>0</v>
      </c>
      <c r="U332" s="94">
        <f t="shared" si="473"/>
        <v>0</v>
      </c>
      <c r="X332">
        <f t="shared" si="446"/>
        <v>-9</v>
      </c>
      <c r="Y332">
        <f t="shared" si="447"/>
        <v>9</v>
      </c>
      <c r="Z332">
        <f t="shared" si="465"/>
        <v>7.4833147735478827</v>
      </c>
      <c r="AA332">
        <f t="shared" si="465"/>
        <v>-7.4833147735478827</v>
      </c>
      <c r="AC332">
        <f t="shared" si="441"/>
        <v>0</v>
      </c>
    </row>
    <row r="333" spans="1:38" x14ac:dyDescent="0.25">
      <c r="B333" s="39">
        <v>0.41666666666666702</v>
      </c>
      <c r="C333" s="38">
        <v>30</v>
      </c>
      <c r="D333" s="38">
        <f>+DEGREES(ASIN(COS(RADIANS(E326))*COS(RADIANS(D326))*COS(RADIANS(C333))+SIN(RADIANS(E326))*SIN(RADIANS(D326))))</f>
        <v>12.552455316688945</v>
      </c>
      <c r="E333" s="38">
        <f>180-DEGREES(ACOS((((SIN(RADIANS(D333)))*SIN(RADIANS(E326)))-SIN(RADIANS(D326)))/((COS(RADIANS(D333)))*COS(RADIANS(E326)))))</f>
        <v>149.18743469538276</v>
      </c>
      <c r="G333">
        <f t="shared" si="466"/>
        <v>7.7447544683311058</v>
      </c>
      <c r="H333">
        <f t="shared" si="467"/>
        <v>-59.187434695382763</v>
      </c>
      <c r="I333" s="94">
        <f t="shared" si="468"/>
        <v>0</v>
      </c>
      <c r="J333" s="94">
        <f t="shared" si="469"/>
        <v>0</v>
      </c>
      <c r="M333" s="39">
        <v>0.41666666666666702</v>
      </c>
      <c r="N333" s="38">
        <v>30</v>
      </c>
      <c r="O333" s="38">
        <f>+DEGREES(ASIN(COS(RADIANS(P326))*COS(RADIANS(O326))*COS(RADIANS(N333))+SIN(RADIANS(P326))*SIN(RADIANS(O326))))</f>
        <v>8.2470699342316749</v>
      </c>
      <c r="P333" s="38">
        <f>180-DEGREES(ACOS((((SIN(RADIANS(O333)))*SIN(RADIANS(P326)))-SIN(RADIANS(O326)))/((COS(RADIANS(O333)))*COS(RADIANS(P326)))))</f>
        <v>149.65456496125748</v>
      </c>
      <c r="R333">
        <f t="shared" si="470"/>
        <v>8.1752930065768332</v>
      </c>
      <c r="S333">
        <f t="shared" si="471"/>
        <v>-59.654564961257478</v>
      </c>
      <c r="T333" s="94">
        <f t="shared" si="472"/>
        <v>0</v>
      </c>
      <c r="U333" s="94">
        <f t="shared" si="473"/>
        <v>0</v>
      </c>
      <c r="X333">
        <f t="shared" si="446"/>
        <v>-9</v>
      </c>
      <c r="Y333">
        <f t="shared" si="447"/>
        <v>9</v>
      </c>
      <c r="Z333">
        <f t="shared" si="465"/>
        <v>7.5491721400429066</v>
      </c>
      <c r="AA333">
        <f t="shared" si="465"/>
        <v>-7.5491721400429066</v>
      </c>
      <c r="AC333">
        <f t="shared" si="441"/>
        <v>0</v>
      </c>
    </row>
    <row r="334" spans="1:38" x14ac:dyDescent="0.25">
      <c r="B334" s="39">
        <v>0.45833333333333298</v>
      </c>
      <c r="C334">
        <v>15</v>
      </c>
      <c r="D334" s="38">
        <f>+DEGREES(ASIN(COS(RADIANS(E326))*COS(RADIANS(D326))*COS(RADIANS(C334))+SIN(RADIANS(E326))*SIN(RADIANS(D326))))</f>
        <v>14.074824437842839</v>
      </c>
      <c r="E334" s="38">
        <f>180-DEGREES(ACOS((((SIN(RADIANS(D334)))*SIN(RADIANS(E326)))-SIN(RADIANS(D326)))/((COS(RADIANS(D334)))*COS(RADIANS(E326)))))</f>
        <v>164.52470067475116</v>
      </c>
      <c r="G334">
        <f t="shared" si="466"/>
        <v>7.5925175562157161</v>
      </c>
      <c r="H334">
        <f t="shared" si="467"/>
        <v>-74.524700674751159</v>
      </c>
      <c r="I334" s="94">
        <f t="shared" si="468"/>
        <v>0</v>
      </c>
      <c r="J334" s="94">
        <f t="shared" si="469"/>
        <v>0</v>
      </c>
      <c r="M334" s="39">
        <v>0.45833333333333298</v>
      </c>
      <c r="N334">
        <v>15</v>
      </c>
      <c r="O334" s="38">
        <f>+DEGREES(ASIN(COS(RADIANS(P326))*COS(RADIANS(O326))*COS(RADIANS(N334))+SIN(RADIANS(P326))*SIN(RADIANS(O326))))</f>
        <v>9.2527018000496479</v>
      </c>
      <c r="P334" s="38">
        <f>180-DEGREES(ACOS((((SIN(RADIANS(O334)))*SIN(RADIANS(P326)))-SIN(RADIANS(O326)))/((COS(RADIANS(O334)))*COS(RADIANS(P326)))))</f>
        <v>164.79790398339722</v>
      </c>
      <c r="R334">
        <f t="shared" si="470"/>
        <v>8.074729819995035</v>
      </c>
      <c r="S334">
        <f t="shared" si="471"/>
        <v>-74.797903983397219</v>
      </c>
      <c r="T334" s="94">
        <f t="shared" si="472"/>
        <v>0</v>
      </c>
      <c r="U334" s="94">
        <f t="shared" si="473"/>
        <v>0</v>
      </c>
      <c r="X334">
        <f t="shared" si="446"/>
        <v>-9</v>
      </c>
      <c r="Y334">
        <f t="shared" si="447"/>
        <v>9</v>
      </c>
      <c r="Z334">
        <f t="shared" si="465"/>
        <v>7.6131465242697125</v>
      </c>
      <c r="AA334">
        <f t="shared" si="465"/>
        <v>-7.6131465242697125</v>
      </c>
      <c r="AC334">
        <f t="shared" si="441"/>
        <v>0</v>
      </c>
    </row>
    <row r="335" spans="1:38" x14ac:dyDescent="0.25">
      <c r="B335" s="39">
        <v>0.5</v>
      </c>
      <c r="C335" s="38">
        <v>0</v>
      </c>
      <c r="D335" s="38">
        <f>+DEGREES(ASIN(COS(RADIANS(E326))*COS(RADIANS(D326))*COS(RADIANS(C335))+SIN(RADIANS(E326))*SIN(RADIANS(D326))))</f>
        <v>14.596346798145682</v>
      </c>
      <c r="E335" s="38">
        <f>+IF(E326&gt;=0,180,0)</f>
        <v>180</v>
      </c>
      <c r="G335">
        <f t="shared" si="466"/>
        <v>7.5403653201854315</v>
      </c>
      <c r="H335">
        <f t="shared" si="467"/>
        <v>-90</v>
      </c>
      <c r="I335" s="94">
        <f t="shared" si="468"/>
        <v>0</v>
      </c>
      <c r="J335" s="94">
        <f t="shared" si="469"/>
        <v>0</v>
      </c>
      <c r="M335" s="39">
        <v>0.5</v>
      </c>
      <c r="N335" s="38">
        <v>0</v>
      </c>
      <c r="O335" s="38">
        <f>+DEGREES(ASIN(COS(RADIANS(P326))*COS(RADIANS(O326))*COS(RADIANS(N335))+SIN(RADIANS(P326))*SIN(RADIANS(O326))))</f>
        <v>9.5963467981456887</v>
      </c>
      <c r="P335" s="38">
        <f>+IF(P326&gt;=0,180,0)</f>
        <v>180</v>
      </c>
      <c r="R335">
        <f t="shared" si="470"/>
        <v>8.0403653201854315</v>
      </c>
      <c r="S335">
        <f t="shared" si="471"/>
        <v>-90</v>
      </c>
      <c r="T335" s="94">
        <f t="shared" si="472"/>
        <v>0</v>
      </c>
      <c r="U335" s="94">
        <f t="shared" si="473"/>
        <v>0</v>
      </c>
      <c r="X335">
        <f t="shared" si="446"/>
        <v>-9</v>
      </c>
      <c r="Y335">
        <f t="shared" si="447"/>
        <v>9</v>
      </c>
      <c r="Z335">
        <f t="shared" si="465"/>
        <v>7.6752850109947053</v>
      </c>
      <c r="AA335">
        <f t="shared" si="465"/>
        <v>-7.6752850109947053</v>
      </c>
      <c r="AC335">
        <f t="shared" si="441"/>
        <v>0</v>
      </c>
    </row>
    <row r="336" spans="1:38" x14ac:dyDescent="0.25">
      <c r="B336" s="39">
        <v>0.54166666666666696</v>
      </c>
      <c r="C336">
        <v>-15</v>
      </c>
      <c r="D336" s="38">
        <f>+DEGREES(ASIN(COS(RADIANS(E326))*COS(RADIANS(D326))*COS(RADIANS(C336))+SIN(RADIANS(E326))*SIN(RADIANS(D326))))</f>
        <v>14.074824437842839</v>
      </c>
      <c r="E336" s="38">
        <f>-(180-DEGREES(ACOS((((SIN(RADIANS(D336)))*SIN(RADIANS(E326)))-SIN(RADIANS(D326)))/((COS(RADIANS(D336)))*COS(RADIANS(E326))))))</f>
        <v>-164.52470067475116</v>
      </c>
      <c r="G336">
        <f t="shared" si="466"/>
        <v>7.5925175562157161</v>
      </c>
      <c r="H336">
        <f t="shared" si="467"/>
        <v>254.52470067475116</v>
      </c>
      <c r="I336" s="94">
        <f t="shared" si="468"/>
        <v>0</v>
      </c>
      <c r="J336" s="94">
        <f t="shared" si="469"/>
        <v>0</v>
      </c>
      <c r="M336" s="39">
        <v>0.54166666666666696</v>
      </c>
      <c r="N336">
        <v>-15</v>
      </c>
      <c r="O336" s="38">
        <f>+DEGREES(ASIN(COS(RADIANS(P326))*COS(RADIANS(O326))*COS(RADIANS(N336))+SIN(RADIANS(P326))*SIN(RADIANS(O326))))</f>
        <v>9.2527018000496479</v>
      </c>
      <c r="P336" s="38">
        <f>-(180-DEGREES(ACOS((((SIN(RADIANS(O336)))*SIN(RADIANS(P326)))-SIN(RADIANS(O326)))/((COS(RADIANS(O336)))*COS(RADIANS(P326))))))</f>
        <v>-164.79790398339722</v>
      </c>
      <c r="R336">
        <f t="shared" si="470"/>
        <v>8.074729819995035</v>
      </c>
      <c r="S336">
        <f t="shared" si="471"/>
        <v>254.79790398339722</v>
      </c>
      <c r="T336" s="94">
        <f t="shared" si="472"/>
        <v>0</v>
      </c>
      <c r="U336" s="94">
        <f t="shared" si="473"/>
        <v>0</v>
      </c>
      <c r="X336">
        <f t="shared" si="446"/>
        <v>-9</v>
      </c>
      <c r="Y336">
        <f t="shared" si="447"/>
        <v>9</v>
      </c>
      <c r="Z336">
        <f t="shared" si="465"/>
        <v>7.7356318423254864</v>
      </c>
      <c r="AA336">
        <f t="shared" si="465"/>
        <v>-7.7356318423254864</v>
      </c>
      <c r="AC336">
        <f t="shared" si="441"/>
        <v>0</v>
      </c>
    </row>
    <row r="337" spans="1:29" x14ac:dyDescent="0.25">
      <c r="B337" s="39">
        <v>0.58333333333333304</v>
      </c>
      <c r="C337" s="38">
        <v>-30</v>
      </c>
      <c r="D337" s="38">
        <f>+DEGREES(ASIN(COS(RADIANS(E326))*COS(RADIANS(D326))*COS(RADIANS(C337))+SIN(RADIANS(E326))*SIN(RADIANS(D326))))</f>
        <v>12.552455316688945</v>
      </c>
      <c r="E337" s="38">
        <f>-(180-DEGREES(ACOS((((SIN(RADIANS(D337)))*SIN(RADIANS(E326)))-SIN(RADIANS(D326)))/((COS(RADIANS(D337)))*COS(RADIANS(E326))))))</f>
        <v>-149.18743469538276</v>
      </c>
      <c r="G337">
        <f t="shared" si="466"/>
        <v>7.7447544683311058</v>
      </c>
      <c r="H337">
        <f t="shared" si="467"/>
        <v>239.18743469538276</v>
      </c>
      <c r="I337" s="94">
        <f t="shared" si="468"/>
        <v>0</v>
      </c>
      <c r="J337" s="94">
        <f t="shared" si="469"/>
        <v>0</v>
      </c>
      <c r="M337" s="39">
        <v>0.58333333333333304</v>
      </c>
      <c r="N337" s="38">
        <v>-30</v>
      </c>
      <c r="O337" s="38">
        <f>+DEGREES(ASIN(COS(RADIANS(P326))*COS(RADIANS(O326))*COS(RADIANS(N337))+SIN(RADIANS(P326))*SIN(RADIANS(O326))))</f>
        <v>8.2470699342316749</v>
      </c>
      <c r="P337" s="38">
        <f>-(180-DEGREES(ACOS((((SIN(RADIANS(O337)))*SIN(RADIANS(P326)))-SIN(RADIANS(O326)))/((COS(RADIANS(O337)))*COS(RADIANS(P326))))))</f>
        <v>-149.65456496125748</v>
      </c>
      <c r="R337">
        <f t="shared" si="470"/>
        <v>8.1752930065768332</v>
      </c>
      <c r="S337">
        <f t="shared" si="471"/>
        <v>239.65456496125748</v>
      </c>
      <c r="T337" s="94">
        <f t="shared" si="472"/>
        <v>0</v>
      </c>
      <c r="U337" s="94">
        <f t="shared" si="473"/>
        <v>0</v>
      </c>
      <c r="X337">
        <f t="shared" si="446"/>
        <v>-9</v>
      </c>
      <c r="Y337">
        <f t="shared" si="447"/>
        <v>9</v>
      </c>
      <c r="Z337">
        <f t="shared" si="465"/>
        <v>7.794228634059948</v>
      </c>
      <c r="AA337">
        <f t="shared" si="465"/>
        <v>-7.794228634059948</v>
      </c>
      <c r="AC337">
        <f t="shared" si="441"/>
        <v>0</v>
      </c>
    </row>
    <row r="338" spans="1:29" x14ac:dyDescent="0.25">
      <c r="B338" s="39">
        <v>0.625</v>
      </c>
      <c r="C338">
        <v>-45</v>
      </c>
      <c r="D338" s="38">
        <f>+DEGREES(ASIN(COS(RADIANS(E326))*COS(RADIANS(D326))*COS(RADIANS(C338))+SIN(RADIANS(E326))*SIN(RADIANS(D326))))</f>
        <v>10.148684177519183</v>
      </c>
      <c r="E338" s="38">
        <f>-(180-DEGREES(ACOS((((SIN(RADIANS(D338)))*SIN(RADIANS(E326)))-SIN(RADIANS(D326)))/((COS(RADIANS(D338)))*COS(RADIANS(E326))))))</f>
        <v>-134.08336375564744</v>
      </c>
      <c r="G338">
        <f t="shared" si="466"/>
        <v>7.9851315822480817</v>
      </c>
      <c r="H338">
        <f t="shared" si="467"/>
        <v>224.08336375564744</v>
      </c>
      <c r="I338" s="94">
        <f t="shared" si="468"/>
        <v>0</v>
      </c>
      <c r="J338" s="94">
        <f t="shared" si="469"/>
        <v>0</v>
      </c>
      <c r="M338" s="39">
        <v>0.625</v>
      </c>
      <c r="N338">
        <v>-45</v>
      </c>
      <c r="O338" s="38">
        <f>+DEGREES(ASIN(COS(RADIANS(P326))*COS(RADIANS(O326))*COS(RADIANS(N338))+SIN(RADIANS(P326))*SIN(RADIANS(O326))))</f>
        <v>6.6524676910812941</v>
      </c>
      <c r="P338" s="38">
        <f>-(180-DEGREES(ACOS((((SIN(RADIANS(O338)))*SIN(RADIANS(P326)))-SIN(RADIANS(O326)))/((COS(RADIANS(O338)))*COS(RADIANS(P326))))))</f>
        <v>-134.61173113596442</v>
      </c>
      <c r="R338">
        <f t="shared" si="470"/>
        <v>8.3347532308918701</v>
      </c>
      <c r="S338">
        <f t="shared" si="471"/>
        <v>224.61173113596442</v>
      </c>
      <c r="T338" s="94">
        <f t="shared" si="472"/>
        <v>0</v>
      </c>
      <c r="U338" s="94">
        <f t="shared" si="473"/>
        <v>0</v>
      </c>
      <c r="X338">
        <f t="shared" si="446"/>
        <v>-9</v>
      </c>
      <c r="Y338">
        <f t="shared" si="447"/>
        <v>9</v>
      </c>
      <c r="Z338">
        <f t="shared" si="465"/>
        <v>7.8511145705562084</v>
      </c>
      <c r="AA338">
        <f t="shared" si="465"/>
        <v>-7.8511145705562084</v>
      </c>
      <c r="AC338">
        <f t="shared" si="441"/>
        <v>0</v>
      </c>
    </row>
    <row r="339" spans="1:29" x14ac:dyDescent="0.25">
      <c r="B339" s="39">
        <v>0.66666666666666696</v>
      </c>
      <c r="C339" s="38">
        <v>-60</v>
      </c>
      <c r="D339" s="38">
        <f>+DEGREES(ASIN(COS(RADIANS(E326))*COS(RADIANS(D326))*COS(RADIANS(C339))+SIN(RADIANS(E326))*SIN(RADIANS(D326))))</f>
        <v>7.0422574939074547</v>
      </c>
      <c r="E339" s="38">
        <f>-(180-DEGREES(ACOS((((SIN(RADIANS(D339)))*SIN(RADIANS(E326)))-SIN(RADIANS(D326)))/((COS(RADIANS(D339)))*COS(RADIANS(E326))))))</f>
        <v>-119.23936275375299</v>
      </c>
      <c r="G339">
        <f t="shared" si="466"/>
        <v>8.295774250609254</v>
      </c>
      <c r="H339">
        <f t="shared" si="467"/>
        <v>209.23936275375297</v>
      </c>
      <c r="I339" s="94">
        <f t="shared" si="468"/>
        <v>0</v>
      </c>
      <c r="J339" s="94">
        <f t="shared" si="469"/>
        <v>0</v>
      </c>
      <c r="M339" s="39">
        <v>0.66666666666666696</v>
      </c>
      <c r="N339" s="38">
        <v>-60</v>
      </c>
      <c r="O339" s="38">
        <f>+DEGREES(ASIN(COS(RADIANS(P326))*COS(RADIANS(O326))*COS(RADIANS(N339))+SIN(RADIANS(P326))*SIN(RADIANS(O326))))</f>
        <v>4.5818949074716482</v>
      </c>
      <c r="P339" s="38">
        <f>-(180-DEGREES(ACOS((((SIN(RADIANS(O339)))*SIN(RADIANS(P326)))-SIN(RADIANS(O326)))/((COS(RADIANS(O339)))*COS(RADIANS(P326))))))</f>
        <v>-119.68277971597945</v>
      </c>
      <c r="R339">
        <f t="shared" si="470"/>
        <v>8.5418105092528354</v>
      </c>
      <c r="S339">
        <f t="shared" si="471"/>
        <v>209.68277971597945</v>
      </c>
      <c r="T339" s="94">
        <f t="shared" si="472"/>
        <v>0</v>
      </c>
      <c r="U339" s="94">
        <f t="shared" si="473"/>
        <v>0</v>
      </c>
      <c r="X339">
        <f t="shared" si="446"/>
        <v>-9</v>
      </c>
      <c r="Y339">
        <f t="shared" si="447"/>
        <v>9</v>
      </c>
      <c r="Z339">
        <f t="shared" si="465"/>
        <v>7.9063265806567848</v>
      </c>
      <c r="AA339">
        <f t="shared" si="465"/>
        <v>-7.9063265806567848</v>
      </c>
      <c r="AC339">
        <f t="shared" si="441"/>
        <v>0</v>
      </c>
    </row>
    <row r="340" spans="1:29" x14ac:dyDescent="0.25">
      <c r="B340" s="39">
        <v>0.70833333333333404</v>
      </c>
      <c r="C340">
        <v>-75</v>
      </c>
      <c r="D340" s="38">
        <f>+DEGREES(ASIN(COS(RADIANS(E326))*COS(RADIANS(D326))*COS(RADIANS(C340))+SIN(RADIANS(E326))*SIN(RADIANS(D326))))</f>
        <v>3.4501831241284342</v>
      </c>
      <c r="E340" s="38">
        <f>-(180-DEGREES(ACOS((((SIN(RADIANS(D340)))*SIN(RADIANS(E326)))-SIN(RADIANS(D326)))/((COS(RADIANS(D340)))*COS(RADIANS(E326))))))</f>
        <v>-104.6121420429491</v>
      </c>
      <c r="G340">
        <f t="shared" si="466"/>
        <v>8.6549816875871564</v>
      </c>
      <c r="H340">
        <f t="shared" si="467"/>
        <v>194.6121420429491</v>
      </c>
      <c r="I340" s="94">
        <f t="shared" si="468"/>
        <v>0</v>
      </c>
      <c r="J340" s="94">
        <f t="shared" si="469"/>
        <v>0</v>
      </c>
      <c r="M340" s="39">
        <v>0.70833333333333404</v>
      </c>
      <c r="N340">
        <v>-75</v>
      </c>
      <c r="O340" s="38">
        <f>+DEGREES(ASIN(COS(RADIANS(P326))*COS(RADIANS(O326))*COS(RADIANS(N340))+SIN(RADIANS(P326))*SIN(RADIANS(O326))))</f>
        <v>2.1780134099668169</v>
      </c>
      <c r="P340" s="38">
        <f>-(180-DEGREES(ACOS((((SIN(RADIANS(O340)))*SIN(RADIANS(P326)))-SIN(RADIANS(O326)))/((COS(RADIANS(O340)))*COS(RADIANS(P326))))))</f>
        <v>-104.84998864842244</v>
      </c>
      <c r="R340">
        <f t="shared" si="470"/>
        <v>8.7821986590033188</v>
      </c>
      <c r="S340">
        <f t="shared" si="471"/>
        <v>194.84998864842242</v>
      </c>
      <c r="T340" s="94">
        <f t="shared" si="472"/>
        <v>0</v>
      </c>
      <c r="U340" s="94">
        <f t="shared" si="473"/>
        <v>0</v>
      </c>
      <c r="X340">
        <f t="shared" si="446"/>
        <v>-9</v>
      </c>
      <c r="Y340">
        <f t="shared" si="447"/>
        <v>9</v>
      </c>
      <c r="Z340">
        <f t="shared" si="465"/>
        <v>7.9598994968529597</v>
      </c>
      <c r="AA340">
        <f t="shared" si="465"/>
        <v>-7.9598994968529597</v>
      </c>
      <c r="AC340">
        <f t="shared" si="441"/>
        <v>0</v>
      </c>
    </row>
    <row r="341" spans="1:29" x14ac:dyDescent="0.25">
      <c r="B341" s="39">
        <v>0.75</v>
      </c>
      <c r="C341" s="38">
        <v>-90</v>
      </c>
      <c r="D341" s="38">
        <f>+DEGREES(ASIN(COS(RADIANS(E326))*COS(RADIANS(D326))*COS(RADIANS(C341))+SIN(RADIANS(E326))*SIN(RADIANS(D326))))</f>
        <v>-0.38989883647608925</v>
      </c>
      <c r="E341" s="38">
        <f>-(180-DEGREES(ACOS((((SIN(RADIANS(D341)))*SIN(RADIANS(E326)))-SIN(RADIANS(D326)))/((COS(RADIANS(D341)))*COS(RADIANS(E326))))))</f>
        <v>-90.104474748944043</v>
      </c>
      <c r="G341">
        <f t="shared" si="466"/>
        <v>9.0389898836476092</v>
      </c>
      <c r="H341">
        <f t="shared" si="467"/>
        <v>180.10447474894403</v>
      </c>
      <c r="I341" s="94">
        <f t="shared" si="468"/>
        <v>0</v>
      </c>
      <c r="J341" s="94">
        <f t="shared" si="469"/>
        <v>0</v>
      </c>
      <c r="M341" s="39">
        <v>0.75</v>
      </c>
      <c r="N341" s="38">
        <v>-90</v>
      </c>
      <c r="O341" s="38">
        <f>+DEGREES(ASIN(COS(RADIANS(P326))*COS(RADIANS(O326))*COS(RADIANS(N341))+SIN(RADIANS(P326))*SIN(RADIANS(O326))))</f>
        <v>-0.39752070355606267</v>
      </c>
      <c r="P341" s="38">
        <f>-(180-DEGREES(ACOS((((SIN(RADIANS(O341)))*SIN(RADIANS(P326)))-SIN(RADIANS(O326)))/((COS(RADIANS(O341)))*COS(RADIANS(P326))))))</f>
        <v>-90.070094767620148</v>
      </c>
      <c r="R341">
        <f t="shared" si="470"/>
        <v>9.0397520703556058</v>
      </c>
      <c r="S341">
        <f t="shared" si="471"/>
        <v>180.07009476762016</v>
      </c>
      <c r="T341" s="94">
        <f t="shared" si="472"/>
        <v>0</v>
      </c>
      <c r="U341" s="94">
        <f t="shared" si="473"/>
        <v>0</v>
      </c>
      <c r="X341">
        <f t="shared" si="446"/>
        <v>-9</v>
      </c>
      <c r="Y341">
        <f t="shared" si="447"/>
        <v>9</v>
      </c>
      <c r="Z341">
        <f t="shared" si="465"/>
        <v>8.0118661995817178</v>
      </c>
      <c r="AA341">
        <f t="shared" si="465"/>
        <v>-8.0118661995817178</v>
      </c>
      <c r="AC341">
        <f t="shared" si="441"/>
        <v>0</v>
      </c>
    </row>
    <row r="342" spans="1:29" x14ac:dyDescent="0.25">
      <c r="X342">
        <f t="shared" si="446"/>
        <v>-9</v>
      </c>
      <c r="Y342">
        <f t="shared" si="447"/>
        <v>9</v>
      </c>
      <c r="Z342">
        <f t="shared" si="465"/>
        <v>8.0622577482985491</v>
      </c>
      <c r="AA342">
        <f t="shared" si="465"/>
        <v>-8.0622577482985491</v>
      </c>
      <c r="AC342">
        <f t="shared" si="441"/>
        <v>0</v>
      </c>
    </row>
    <row r="343" spans="1:29" x14ac:dyDescent="0.25">
      <c r="X343">
        <f t="shared" si="446"/>
        <v>-9</v>
      </c>
      <c r="Y343">
        <f t="shared" si="447"/>
        <v>9</v>
      </c>
      <c r="Z343">
        <f t="shared" si="465"/>
        <v>8.1111035007574657</v>
      </c>
      <c r="AA343">
        <f t="shared" si="465"/>
        <v>-8.1111035007574657</v>
      </c>
      <c r="AC343">
        <f t="shared" si="441"/>
        <v>0</v>
      </c>
    </row>
    <row r="344" spans="1:29" x14ac:dyDescent="0.25">
      <c r="A344" s="95" t="s">
        <v>92</v>
      </c>
      <c r="B344" s="95">
        <v>21</v>
      </c>
      <c r="C344" s="315"/>
      <c r="D344" s="315"/>
      <c r="E344" s="316"/>
      <c r="L344" s="95" t="s">
        <v>92</v>
      </c>
      <c r="M344" s="95">
        <v>21</v>
      </c>
      <c r="N344" s="315"/>
      <c r="O344" s="315"/>
      <c r="P344" s="316"/>
      <c r="X344">
        <f t="shared" si="446"/>
        <v>-9</v>
      </c>
      <c r="Y344">
        <f t="shared" si="447"/>
        <v>9</v>
      </c>
      <c r="Z344">
        <f t="shared" si="465"/>
        <v>8.1584312217484563</v>
      </c>
      <c r="AA344">
        <f t="shared" si="465"/>
        <v>-8.1584312217484563</v>
      </c>
      <c r="AC344">
        <f t="shared" si="441"/>
        <v>0</v>
      </c>
    </row>
    <row r="345" spans="1:29" x14ac:dyDescent="0.25">
      <c r="A345" s="95" t="s">
        <v>91</v>
      </c>
      <c r="B345" s="95">
        <v>3</v>
      </c>
      <c r="C345" s="315"/>
      <c r="D345" s="315"/>
      <c r="E345" s="316"/>
      <c r="L345" s="95" t="s">
        <v>91</v>
      </c>
      <c r="M345" s="95">
        <v>3</v>
      </c>
      <c r="N345" s="315"/>
      <c r="O345" s="315"/>
      <c r="P345" s="316"/>
      <c r="X345">
        <f t="shared" si="446"/>
        <v>-9</v>
      </c>
      <c r="Y345">
        <f t="shared" si="447"/>
        <v>9</v>
      </c>
      <c r="Z345">
        <f t="shared" si="465"/>
        <v>8.2042671823874684</v>
      </c>
      <c r="AA345">
        <f t="shared" si="465"/>
        <v>-8.2042671823874684</v>
      </c>
      <c r="AC345">
        <f t="shared" si="441"/>
        <v>0</v>
      </c>
    </row>
    <row r="346" spans="1:29" x14ac:dyDescent="0.25">
      <c r="C346" s="93">
        <f>+IF(B345=$AI$63,B344,IF(B345=$AJ$63,$AI$64+B344,IF(B345=$AK$63,$AI$64+$AJ$64+B344,IF(B345=$AL$63,$AI$64+$AJ$64+$AK$64+B344,IF(B345=$AM$63,$AI$64+$AJ$64+$AK$64+$AL$64+B344,IF(B345=$AN$63,$AI$64+$AJ$64+$AK$64+$AL$64+$AM$64+B344,IF(B345=$AO$63,$AI$64+$AJ$64+$AK$64+$AL$64+$AM$64+$AN$64+B344,IF(B345=$AP$63,$AI$64+$AJ$64+$AK$64+$AL$64+$AM$64+$AN$64+$AO$64+B344,IF(B345=$AQ$63,$AI$64+$AJ$64+$AK$64+$AL$64+$AM$64+$AN$64+$AO$64+$AP$64+B344,IF(B345=$AR$63,$AI$64+$AJ$64+$AK$64+$AL$64+$AM$64+$AN$64+$AO$64+$AP$64+$AQ$64+B344,IF(B345=$AS$63,$AI$64+$AJ$64+$AK$64+$AL$64+$AM$64+$AN$64+$AO$64+$AP$64+$AQ$64+$AR$64+B344,IF(B345=$AT$63,$AI$64+$AJ$64+$AK$64+$AL$64+$AM$64+$AN$64+$AO$64+$AP$64+$AQ$64+$AR$64+$AS$64+B344,"error"))))))))))))</f>
        <v>80</v>
      </c>
      <c r="D346" s="38">
        <f>23.45*SIN(RADIANS(360*((284+C346)/365)))</f>
        <v>-0.40365320185431652</v>
      </c>
      <c r="E346" s="95">
        <v>85</v>
      </c>
      <c r="N346" s="93">
        <f>+IF(M345=$AI$63,M344,IF(M345=$AJ$63,$AI$64+M344,IF(M345=$AK$63,$AI$64+$AJ$64+M344,IF(M345=$AL$63,$AI$64+$AJ$64+$AK$64+M344,IF(M345=$AM$63,$AI$64+$AJ$64+$AK$64+$AL$64+M344,IF(M345=$AN$63,$AI$64+$AJ$64+$AK$64+$AL$64+$AM$64+M344,IF(M345=$AO$63,$AI$64+$AJ$64+$AK$64+$AL$64+$AM$64+$AN$64+M344,IF(M345=$AP$63,$AI$64+$AJ$64+$AK$64+$AL$64+$AM$64+$AN$64+$AO$64+M344,IF(M345=$AQ$63,$AI$64+$AJ$64+$AK$64+$AL$64+$AM$64+$AN$64+$AO$64+$AP$64+M344,IF(M345=$AR$63,$AI$64+$AJ$64+$AK$64+$AL$64+$AM$64+$AN$64+$AO$64+$AP$64+$AQ$64+M344,IF(M345=$AS$63,$AI$64+$AJ$64+$AK$64+$AL$64+$AM$64+$AN$64+$AO$64+$AP$64+$AQ$64+$AR$64+M344,IF(M345=$AT$63,$AI$64+$AJ$64+$AK$64+$AL$64+$AM$64+$AN$64+$AO$64+$AP$64+$AQ$64+$AR$64+$AS$64+M344,"error"))))))))))))</f>
        <v>80</v>
      </c>
      <c r="O346" s="38">
        <f>23.45*SIN(RADIANS(360*((284+N346)/365)))</f>
        <v>-0.40365320185431652</v>
      </c>
      <c r="P346" s="95">
        <v>90</v>
      </c>
      <c r="X346">
        <f t="shared" si="446"/>
        <v>-9</v>
      </c>
      <c r="Y346">
        <f t="shared" si="447"/>
        <v>9</v>
      </c>
      <c r="Z346">
        <f t="shared" si="465"/>
        <v>8.2486362509205122</v>
      </c>
      <c r="AA346">
        <f t="shared" si="465"/>
        <v>-8.2486362509205122</v>
      </c>
      <c r="AC346">
        <f t="shared" si="441"/>
        <v>0</v>
      </c>
    </row>
    <row r="347" spans="1:29" x14ac:dyDescent="0.25">
      <c r="B347" s="317" t="s">
        <v>90</v>
      </c>
      <c r="C347" s="315"/>
      <c r="D347" s="315"/>
      <c r="E347" s="315"/>
      <c r="G347" s="319" t="s">
        <v>89</v>
      </c>
      <c r="H347" s="319"/>
      <c r="I347" s="319" t="s">
        <v>42</v>
      </c>
      <c r="J347" s="319" t="s">
        <v>43</v>
      </c>
      <c r="M347" s="317" t="s">
        <v>90</v>
      </c>
      <c r="N347" s="315"/>
      <c r="O347" s="315"/>
      <c r="P347" s="315"/>
      <c r="R347" s="319" t="s">
        <v>89</v>
      </c>
      <c r="S347" s="319"/>
      <c r="T347" s="319" t="s">
        <v>42</v>
      </c>
      <c r="U347" s="319" t="s">
        <v>43</v>
      </c>
      <c r="X347">
        <f t="shared" si="446"/>
        <v>-9</v>
      </c>
      <c r="Y347">
        <f t="shared" si="447"/>
        <v>9</v>
      </c>
      <c r="Z347">
        <f t="shared" si="465"/>
        <v>8.2915619758885004</v>
      </c>
      <c r="AA347">
        <f t="shared" si="465"/>
        <v>-8.2915619758885004</v>
      </c>
      <c r="AC347">
        <f t="shared" si="441"/>
        <v>0</v>
      </c>
    </row>
    <row r="348" spans="1:29" x14ac:dyDescent="0.25">
      <c r="B348" s="318"/>
      <c r="C348" s="315"/>
      <c r="D348" s="315"/>
      <c r="E348" s="315"/>
      <c r="G348" s="319"/>
      <c r="H348" s="319"/>
      <c r="I348" s="319"/>
      <c r="J348" s="319"/>
      <c r="M348" s="318"/>
      <c r="N348" s="315"/>
      <c r="O348" s="315"/>
      <c r="P348" s="315"/>
      <c r="R348" s="319"/>
      <c r="S348" s="319"/>
      <c r="T348" s="319"/>
      <c r="U348" s="319"/>
      <c r="X348">
        <f t="shared" si="446"/>
        <v>-9</v>
      </c>
      <c r="Y348">
        <f t="shared" si="447"/>
        <v>9</v>
      </c>
      <c r="Z348">
        <f t="shared" si="465"/>
        <v>8.3330666623998635</v>
      </c>
      <c r="AA348">
        <f t="shared" si="465"/>
        <v>-8.3330666623998635</v>
      </c>
      <c r="AC348">
        <f t="shared" si="441"/>
        <v>0</v>
      </c>
    </row>
    <row r="349" spans="1:29" x14ac:dyDescent="0.25">
      <c r="B349" s="39">
        <v>0.25</v>
      </c>
      <c r="C349" s="38">
        <v>90</v>
      </c>
      <c r="D349" s="38">
        <f>+DEGREES(ASIN(COS(RADIANS(E346))*COS(RADIANS(D346))*COS(RADIANS(C349))+SIN(RADIANS(E346))*SIN(RADIANS(D346))))</f>
        <v>-0.40211715428687494</v>
      </c>
      <c r="E349" s="38">
        <f>180-DEGREES(ACOS((((SIN(RADIANS(D349)))*SIN(RADIANS(E346)))-SIN(RADIANS(D346)))/((COS(RADIANS(D349)))*COS(RADIANS(E346)))))</f>
        <v>90.035181272252657</v>
      </c>
      <c r="G349">
        <f t="shared" ref="G349:G361" si="474">9-(D349/10)</f>
        <v>9.0402117154286881</v>
      </c>
      <c r="H349">
        <f t="shared" ref="H349:H361" si="475">90-E349+$AH$172</f>
        <v>-3.5181272252657436E-2</v>
      </c>
      <c r="I349" s="94">
        <f t="shared" ref="I349:I361" si="476">IF($E$346&gt;=$AE$174,0,G349*COS(RADIANS(H349)))</f>
        <v>0</v>
      </c>
      <c r="J349" s="94">
        <f t="shared" ref="J349:J361" si="477">IF($E$346&gt;=$AE$174,0,G349*SIN(RADIANS(H349)))</f>
        <v>0</v>
      </c>
      <c r="M349" s="39">
        <v>0.25</v>
      </c>
      <c r="N349" s="38">
        <v>90</v>
      </c>
      <c r="O349" s="38">
        <f>+DEGREES(ASIN(COS(RADIANS(P346))*COS(RADIANS(O346))*COS(RADIANS(N349))+SIN(RADIANS(P346))*SIN(RADIANS(O346))))</f>
        <v>-0.40365320185431658</v>
      </c>
      <c r="P349" s="38">
        <f>180-DEGREES(ACOS((((SIN(RADIANS(O349)))*SIN(RADIANS(P346)))-SIN(RADIANS(O346)))/((COS(RADIANS(O349)))*COS(RADIANS(P346)))))</f>
        <v>89.188685079818654</v>
      </c>
      <c r="R349">
        <f t="shared" ref="R349:R361" si="478">9-(O349/10)</f>
        <v>9.0403653201854315</v>
      </c>
      <c r="S349">
        <f t="shared" ref="S349:S361" si="479">90-P349+$AH$172</f>
        <v>0.81131492018134566</v>
      </c>
      <c r="T349" s="94">
        <f t="shared" ref="T349:T361" si="480">+R349*COS(RADIANS(S349))</f>
        <v>9.0394589984632496</v>
      </c>
      <c r="U349" s="94">
        <f t="shared" ref="U349:U361" si="481">+R349*SIN(RADIANS(S349))</f>
        <v>0.12800834938866149</v>
      </c>
      <c r="X349">
        <f t="shared" si="446"/>
        <v>-9</v>
      </c>
      <c r="Y349">
        <f t="shared" si="447"/>
        <v>9</v>
      </c>
      <c r="Z349">
        <f t="shared" si="465"/>
        <v>8.3731714421717172</v>
      </c>
      <c r="AA349">
        <f t="shared" si="465"/>
        <v>-8.3731714421717172</v>
      </c>
      <c r="AC349">
        <f t="shared" si="441"/>
        <v>0</v>
      </c>
    </row>
    <row r="350" spans="1:29" x14ac:dyDescent="0.25">
      <c r="B350" s="39">
        <v>0.29166666666666669</v>
      </c>
      <c r="C350">
        <v>75</v>
      </c>
      <c r="D350" s="38">
        <f>+DEGREES(ASIN(COS(RADIANS(E346))*COS(RADIANS(D346))*COS(RADIANS(C350))+SIN(RADIANS(E346))*SIN(RADIANS(D346))))</f>
        <v>0.89034323905128876</v>
      </c>
      <c r="E350" s="38">
        <f>180-DEGREES(ACOS((((SIN(RADIANS(D350)))*SIN(RADIANS(E346)))-SIN(RADIANS(D346)))/((COS(RADIANS(D350)))*COS(RADIANS(E346)))))</f>
        <v>104.97947359962487</v>
      </c>
      <c r="G350">
        <f t="shared" si="474"/>
        <v>8.9109656760948717</v>
      </c>
      <c r="H350">
        <f t="shared" si="475"/>
        <v>-14.979473599624868</v>
      </c>
      <c r="I350" s="94">
        <f t="shared" si="476"/>
        <v>0</v>
      </c>
      <c r="J350" s="94">
        <f t="shared" si="477"/>
        <v>0</v>
      </c>
      <c r="M350" s="39">
        <v>0.29166666666666669</v>
      </c>
      <c r="N350">
        <v>75</v>
      </c>
      <c r="O350" s="38">
        <f>+DEGREES(ASIN(COS(RADIANS(P346))*COS(RADIANS(O346))*COS(RADIANS(N350))+SIN(RADIANS(P346))*SIN(RADIANS(O346))))</f>
        <v>-0.40365320185431569</v>
      </c>
      <c r="P350" s="38">
        <f>180-DEGREES(ACOS((((SIN(RADIANS(O350)))*SIN(RADIANS(P346)))-SIN(RADIANS(O346)))/((COS(RADIANS(O350)))*COS(RADIANS(P346)))))</f>
        <v>103.92868139600179</v>
      </c>
      <c r="R350">
        <f t="shared" si="478"/>
        <v>9.0403653201854315</v>
      </c>
      <c r="S350">
        <f t="shared" si="479"/>
        <v>-13.928681396001792</v>
      </c>
      <c r="T350" s="94">
        <f t="shared" si="480"/>
        <v>8.7745433716572361</v>
      </c>
      <c r="U350" s="94">
        <f t="shared" si="481"/>
        <v>-2.176141939607223</v>
      </c>
      <c r="X350">
        <f t="shared" si="446"/>
        <v>-9</v>
      </c>
      <c r="Y350">
        <f t="shared" si="447"/>
        <v>9</v>
      </c>
      <c r="Z350">
        <f t="shared" si="465"/>
        <v>8.4118963379252349</v>
      </c>
      <c r="AA350">
        <f t="shared" si="465"/>
        <v>-8.4118963379252349</v>
      </c>
      <c r="AC350">
        <f t="shared" si="441"/>
        <v>0</v>
      </c>
    </row>
    <row r="351" spans="1:29" x14ac:dyDescent="0.25">
      <c r="B351" s="39">
        <v>0.33333333333333298</v>
      </c>
      <c r="C351" s="38">
        <v>60</v>
      </c>
      <c r="D351" s="38">
        <f>+DEGREES(ASIN(COS(RADIANS(E346))*COS(RADIANS(D346))*COS(RADIANS(C351))+SIN(RADIANS(E346))*SIN(RADIANS(D346))))</f>
        <v>2.095119169309497</v>
      </c>
      <c r="E351" s="38">
        <f>180-DEGREES(ACOS((((SIN(RADIANS(D351)))*SIN(RADIANS(E346)))-SIN(RADIANS(D346)))/((COS(RADIANS(D351)))*COS(RADIANS(E346)))))</f>
        <v>119.93601790114869</v>
      </c>
      <c r="G351">
        <f t="shared" si="474"/>
        <v>8.7904880830690502</v>
      </c>
      <c r="H351">
        <f t="shared" si="475"/>
        <v>-29.936017901148688</v>
      </c>
      <c r="I351" s="94">
        <f t="shared" si="476"/>
        <v>0</v>
      </c>
      <c r="J351" s="94">
        <f t="shared" si="477"/>
        <v>0</v>
      </c>
      <c r="M351" s="39">
        <v>0.33333333333333298</v>
      </c>
      <c r="N351" s="38">
        <v>60</v>
      </c>
      <c r="O351" s="38">
        <f>+DEGREES(ASIN(COS(RADIANS(P346))*COS(RADIANS(O346))*COS(RADIANS(N351))+SIN(RADIANS(P346))*SIN(RADIANS(O346))))</f>
        <v>-0.40365320185431486</v>
      </c>
      <c r="P351" s="38">
        <f>180-DEGREES(ACOS((((SIN(RADIANS(O351)))*SIN(RADIANS(P346)))-SIN(RADIANS(O346)))/((COS(RADIANS(O351)))*COS(RADIANS(P346)))))</f>
        <v>117.85711724825478</v>
      </c>
      <c r="R351">
        <f t="shared" si="478"/>
        <v>9.0403653201854315</v>
      </c>
      <c r="S351">
        <f t="shared" si="479"/>
        <v>-27.857117248254781</v>
      </c>
      <c r="T351" s="94">
        <f t="shared" si="480"/>
        <v>7.992728030561687</v>
      </c>
      <c r="U351" s="94">
        <f t="shared" si="481"/>
        <v>-4.2242755298257864</v>
      </c>
      <c r="X351">
        <f t="shared" si="446"/>
        <v>-9</v>
      </c>
      <c r="Y351">
        <f t="shared" si="447"/>
        <v>9</v>
      </c>
      <c r="Z351">
        <f t="shared" si="465"/>
        <v>8.4492603226554692</v>
      </c>
      <c r="AA351">
        <f t="shared" si="465"/>
        <v>-8.4492603226554692</v>
      </c>
      <c r="AC351">
        <f t="shared" si="441"/>
        <v>0</v>
      </c>
    </row>
    <row r="352" spans="1:29" x14ac:dyDescent="0.25">
      <c r="B352" s="39">
        <v>0.375</v>
      </c>
      <c r="C352">
        <v>45</v>
      </c>
      <c r="D352" s="38">
        <f>+DEGREES(ASIN(COS(RADIANS(E346))*COS(RADIANS(D346))*COS(RADIANS(C352))+SIN(RADIANS(E346))*SIN(RADIANS(D346))))</f>
        <v>3.1304038781027361</v>
      </c>
      <c r="E352" s="38">
        <f>180-DEGREES(ACOS((((SIN(RADIANS(D352)))*SIN(RADIANS(E346)))-SIN(RADIANS(D346)))/((COS(RADIANS(D352)))*COS(RADIANS(E346)))))</f>
        <v>134.91573937647593</v>
      </c>
      <c r="G352">
        <f t="shared" si="474"/>
        <v>8.6869596121897263</v>
      </c>
      <c r="H352">
        <f t="shared" si="475"/>
        <v>-44.915739376475926</v>
      </c>
      <c r="I352" s="94">
        <f t="shared" si="476"/>
        <v>0</v>
      </c>
      <c r="J352" s="94">
        <f t="shared" si="477"/>
        <v>0</v>
      </c>
      <c r="M352" s="39">
        <v>0.375</v>
      </c>
      <c r="N352">
        <v>45</v>
      </c>
      <c r="O352" s="38">
        <f>+DEGREES(ASIN(COS(RADIANS(P346))*COS(RADIANS(O346))*COS(RADIANS(N352))+SIN(RADIANS(P346))*SIN(RADIANS(O346))))</f>
        <v>-0.40365320185431408</v>
      </c>
      <c r="P352" s="38">
        <f>180-DEGREES(ACOS((((SIN(RADIANS(O352)))*SIN(RADIANS(P346)))-SIN(RADIANS(O346)))/((COS(RADIANS(O352)))*COS(RADIANS(P346)))))</f>
        <v>133.93346201565646</v>
      </c>
      <c r="R352">
        <f t="shared" si="478"/>
        <v>9.0403653201854315</v>
      </c>
      <c r="S352">
        <f t="shared" si="479"/>
        <v>-43.93346201565646</v>
      </c>
      <c r="T352" s="94">
        <f t="shared" si="480"/>
        <v>6.5103831648525796</v>
      </c>
      <c r="U352" s="94">
        <f t="shared" si="481"/>
        <v>-6.272409120044351</v>
      </c>
      <c r="X352">
        <f t="shared" si="446"/>
        <v>-9</v>
      </c>
      <c r="Y352">
        <f t="shared" si="447"/>
        <v>9</v>
      </c>
      <c r="Z352">
        <f t="shared" si="465"/>
        <v>8.4852813742385695</v>
      </c>
      <c r="AA352">
        <f t="shared" si="465"/>
        <v>-8.4852813742385695</v>
      </c>
      <c r="AC352">
        <f t="shared" si="441"/>
        <v>0</v>
      </c>
    </row>
    <row r="353" spans="2:29" x14ac:dyDescent="0.25">
      <c r="B353" s="39">
        <v>0.41666666666666702</v>
      </c>
      <c r="C353" s="38">
        <v>30</v>
      </c>
      <c r="D353" s="38">
        <f>+DEGREES(ASIN(COS(RADIANS(E346))*COS(RADIANS(D346))*COS(RADIANS(C353))+SIN(RADIANS(E346))*SIN(RADIANS(D346))))</f>
        <v>3.9254822674522174</v>
      </c>
      <c r="E353" s="38">
        <f>180-DEGREES(ACOS((((SIN(RADIANS(D353)))*SIN(RADIANS(E346)))-SIN(RADIANS(D346)))/((COS(RADIANS(D353)))*COS(RADIANS(E346)))))</f>
        <v>149.92300310108433</v>
      </c>
      <c r="G353">
        <f t="shared" si="474"/>
        <v>8.6074517732547786</v>
      </c>
      <c r="H353">
        <f t="shared" si="475"/>
        <v>-59.923003101084333</v>
      </c>
      <c r="I353" s="94">
        <f t="shared" si="476"/>
        <v>0</v>
      </c>
      <c r="J353" s="94">
        <f t="shared" si="477"/>
        <v>0</v>
      </c>
      <c r="M353" s="39">
        <v>0.41666666666666702</v>
      </c>
      <c r="N353" s="38">
        <v>30</v>
      </c>
      <c r="O353" s="38">
        <f>+DEGREES(ASIN(COS(RADIANS(P346))*COS(RADIANS(O346))*COS(RADIANS(N353))+SIN(RADIANS(P346))*SIN(RADIANS(O346))))</f>
        <v>-0.40365320185431353</v>
      </c>
      <c r="P353" s="38">
        <f>180-DEGREES(ACOS((((SIN(RADIANS(O353)))*SIN(RADIANS(P346)))-SIN(RADIANS(O346)))/((COS(RADIANS(O353)))*COS(RADIANS(P346)))))</f>
        <v>148.16586575520893</v>
      </c>
      <c r="R353">
        <f t="shared" si="478"/>
        <v>9.0403653201854315</v>
      </c>
      <c r="S353">
        <f t="shared" si="479"/>
        <v>-58.165865755208927</v>
      </c>
      <c r="T353" s="94">
        <f t="shared" si="480"/>
        <v>4.7684494413654006</v>
      </c>
      <c r="U353" s="94">
        <f t="shared" si="481"/>
        <v>-7.6805009633196093</v>
      </c>
      <c r="X353">
        <f t="shared" si="446"/>
        <v>-9</v>
      </c>
      <c r="Y353">
        <f t="shared" si="447"/>
        <v>9</v>
      </c>
      <c r="Z353">
        <f t="shared" si="465"/>
        <v>8.519976525789259</v>
      </c>
      <c r="AA353">
        <f t="shared" si="465"/>
        <v>-8.519976525789259</v>
      </c>
      <c r="AC353">
        <f t="shared" si="441"/>
        <v>0</v>
      </c>
    </row>
    <row r="354" spans="2:29" x14ac:dyDescent="0.25">
      <c r="B354" s="39">
        <v>0.45833333333333298</v>
      </c>
      <c r="C354">
        <v>15</v>
      </c>
      <c r="D354" s="38">
        <f>+DEGREES(ASIN(COS(RADIANS(E346))*COS(RADIANS(D346))*COS(RADIANS(C354))+SIN(RADIANS(E346))*SIN(RADIANS(D346))))</f>
        <v>4.4256675253812849</v>
      </c>
      <c r="E354" s="38">
        <f>180-DEGREES(ACOS((((SIN(RADIANS(D354)))*SIN(RADIANS(E346)))-SIN(RADIANS(D346)))/((COS(RADIANS(D354)))*COS(RADIANS(E346)))))</f>
        <v>164.95446399611654</v>
      </c>
      <c r="G354">
        <f t="shared" si="474"/>
        <v>8.5574332474618711</v>
      </c>
      <c r="H354">
        <f t="shared" si="475"/>
        <v>-74.954463996116544</v>
      </c>
      <c r="I354" s="94">
        <f t="shared" si="476"/>
        <v>0</v>
      </c>
      <c r="J354" s="94">
        <f t="shared" si="477"/>
        <v>0</v>
      </c>
      <c r="M354" s="39">
        <v>0.45833333333333298</v>
      </c>
      <c r="N354">
        <v>15</v>
      </c>
      <c r="O354" s="38">
        <f>+DEGREES(ASIN(COS(RADIANS(P346))*COS(RADIANS(O346))*COS(RADIANS(N354))+SIN(RADIANS(P346))*SIN(RADIANS(O346))))</f>
        <v>-0.40365320185431319</v>
      </c>
      <c r="P354" s="38">
        <f>180-DEGREES(ACOS((((SIN(RADIANS(O354)))*SIN(RADIANS(P346)))-SIN(RADIANS(O346)))/((COS(RADIANS(O354)))*COS(RADIANS(P346)))))</f>
        <v>161.56737258921899</v>
      </c>
      <c r="R354">
        <f t="shared" si="478"/>
        <v>9.0403653201854315</v>
      </c>
      <c r="S354">
        <f t="shared" si="479"/>
        <v>-71.567372589218991</v>
      </c>
      <c r="T354" s="94">
        <f t="shared" si="480"/>
        <v>2.8584670411979398</v>
      </c>
      <c r="U354" s="94">
        <f t="shared" si="481"/>
        <v>-8.5765594090402324</v>
      </c>
      <c r="X354">
        <f t="shared" si="446"/>
        <v>-9</v>
      </c>
      <c r="Y354">
        <f t="shared" si="447"/>
        <v>9</v>
      </c>
      <c r="Z354">
        <f t="shared" si="465"/>
        <v>8.5533619121372393</v>
      </c>
      <c r="AA354">
        <f t="shared" si="465"/>
        <v>-8.5533619121372393</v>
      </c>
      <c r="AC354">
        <f t="shared" si="441"/>
        <v>0</v>
      </c>
    </row>
    <row r="355" spans="2:29" x14ac:dyDescent="0.25">
      <c r="B355" s="39">
        <v>0.5</v>
      </c>
      <c r="C355" s="38">
        <v>0</v>
      </c>
      <c r="D355" s="38">
        <f>+DEGREES(ASIN(COS(RADIANS(E346))*COS(RADIANS(D346))*COS(RADIANS(C355))+SIN(RADIANS(E346))*SIN(RADIANS(D346))))</f>
        <v>4.5963467981456816</v>
      </c>
      <c r="E355" s="38">
        <f>+IF(E346&gt;=0,180,0)</f>
        <v>180</v>
      </c>
      <c r="G355">
        <f t="shared" si="474"/>
        <v>8.5403653201854315</v>
      </c>
      <c r="H355">
        <f t="shared" si="475"/>
        <v>-90</v>
      </c>
      <c r="I355" s="94">
        <f t="shared" si="476"/>
        <v>0</v>
      </c>
      <c r="J355" s="94">
        <f t="shared" si="477"/>
        <v>0</v>
      </c>
      <c r="M355" s="39">
        <v>0.5</v>
      </c>
      <c r="N355" s="38">
        <v>0</v>
      </c>
      <c r="O355" s="38">
        <f>+DEGREES(ASIN(COS(RADIANS(P346))*COS(RADIANS(O346))*COS(RADIANS(N355))+SIN(RADIANS(P346))*SIN(RADIANS(O346))))</f>
        <v>-0.40365320185431303</v>
      </c>
      <c r="P355" s="38">
        <f>+IF(P346&gt;=0,180,0)</f>
        <v>180</v>
      </c>
      <c r="R355">
        <f t="shared" si="478"/>
        <v>9.0403653201854315</v>
      </c>
      <c r="S355">
        <f t="shared" si="479"/>
        <v>-90</v>
      </c>
      <c r="T355" s="94">
        <f t="shared" si="480"/>
        <v>5.5378948019173271E-16</v>
      </c>
      <c r="U355" s="94">
        <f t="shared" si="481"/>
        <v>-9.0403653201854315</v>
      </c>
      <c r="X355">
        <f t="shared" si="446"/>
        <v>-9</v>
      </c>
      <c r="Y355">
        <f t="shared" si="447"/>
        <v>9</v>
      </c>
      <c r="Z355">
        <f t="shared" si="465"/>
        <v>8.5854528127525107</v>
      </c>
      <c r="AA355">
        <f t="shared" si="465"/>
        <v>-8.5854528127525107</v>
      </c>
      <c r="AC355">
        <f t="shared" si="441"/>
        <v>0</v>
      </c>
    </row>
    <row r="356" spans="2:29" x14ac:dyDescent="0.25">
      <c r="B356" s="39">
        <v>0.54166666666666696</v>
      </c>
      <c r="C356">
        <v>-15</v>
      </c>
      <c r="D356" s="38">
        <f>+DEGREES(ASIN(COS(RADIANS(E346))*COS(RADIANS(D346))*COS(RADIANS(C356))+SIN(RADIANS(E346))*SIN(RADIANS(D346))))</f>
        <v>4.4256675253812849</v>
      </c>
      <c r="E356" s="38">
        <f>-(180-DEGREES(ACOS((((SIN(RADIANS(D356)))*SIN(RADIANS(E346)))-SIN(RADIANS(D346)))/((COS(RADIANS(D356)))*COS(RADIANS(E346))))))</f>
        <v>-164.95446399611654</v>
      </c>
      <c r="G356">
        <f t="shared" si="474"/>
        <v>8.5574332474618711</v>
      </c>
      <c r="H356">
        <f t="shared" si="475"/>
        <v>254.95446399611654</v>
      </c>
      <c r="I356" s="94">
        <f t="shared" si="476"/>
        <v>0</v>
      </c>
      <c r="J356" s="94">
        <f t="shared" si="477"/>
        <v>0</v>
      </c>
      <c r="M356" s="39">
        <v>0.54166666666666696</v>
      </c>
      <c r="N356">
        <v>-15</v>
      </c>
      <c r="O356" s="38">
        <f>+DEGREES(ASIN(COS(RADIANS(P346))*COS(RADIANS(O346))*COS(RADIANS(N356))+SIN(RADIANS(P346))*SIN(RADIANS(O346))))</f>
        <v>-0.40365320185431319</v>
      </c>
      <c r="P356" s="38">
        <f>-(180-DEGREES(ACOS((((SIN(RADIANS(O356)))*SIN(RADIANS(P346)))-SIN(RADIANS(O346)))/((COS(RADIANS(O356)))*COS(RADIANS(P346))))))</f>
        <v>-161.56737258921899</v>
      </c>
      <c r="R356">
        <f t="shared" si="478"/>
        <v>9.0403653201854315</v>
      </c>
      <c r="S356">
        <f t="shared" si="479"/>
        <v>251.56737258921899</v>
      </c>
      <c r="T356" s="94">
        <f t="shared" si="480"/>
        <v>-2.8584670411979411</v>
      </c>
      <c r="U356" s="94">
        <f t="shared" si="481"/>
        <v>-8.5765594090402324</v>
      </c>
      <c r="X356">
        <f t="shared" si="446"/>
        <v>-9</v>
      </c>
      <c r="Y356">
        <f t="shared" si="447"/>
        <v>9</v>
      </c>
      <c r="Z356">
        <f t="shared" si="465"/>
        <v>8.616263691415206</v>
      </c>
      <c r="AA356">
        <f t="shared" si="465"/>
        <v>-8.616263691415206</v>
      </c>
      <c r="AC356">
        <f t="shared" ref="AC356:AC382" si="482">+IF($AE$51&lt;0,IF(Z356&lt;$AI$53,Z356,$AI$53),IF(AA356&gt;$AI$53,AA356,$AI$53))</f>
        <v>0</v>
      </c>
    </row>
    <row r="357" spans="2:29" x14ac:dyDescent="0.25">
      <c r="B357" s="39">
        <v>0.58333333333333304</v>
      </c>
      <c r="C357" s="38">
        <v>-30</v>
      </c>
      <c r="D357" s="38">
        <f>+DEGREES(ASIN(COS(RADIANS(E346))*COS(RADIANS(D346))*COS(RADIANS(C357))+SIN(RADIANS(E346))*SIN(RADIANS(D346))))</f>
        <v>3.9254822674522174</v>
      </c>
      <c r="E357" s="38">
        <f>-(180-DEGREES(ACOS((((SIN(RADIANS(D357)))*SIN(RADIANS(E346)))-SIN(RADIANS(D346)))/((COS(RADIANS(D357)))*COS(RADIANS(E346))))))</f>
        <v>-149.92300310108433</v>
      </c>
      <c r="G357">
        <f t="shared" si="474"/>
        <v>8.6074517732547786</v>
      </c>
      <c r="H357">
        <f t="shared" si="475"/>
        <v>239.92300310108433</v>
      </c>
      <c r="I357" s="94">
        <f t="shared" si="476"/>
        <v>0</v>
      </c>
      <c r="J357" s="94">
        <f t="shared" si="477"/>
        <v>0</v>
      </c>
      <c r="M357" s="39">
        <v>0.58333333333333304</v>
      </c>
      <c r="N357" s="38">
        <v>-30</v>
      </c>
      <c r="O357" s="38">
        <f>+DEGREES(ASIN(COS(RADIANS(P346))*COS(RADIANS(O346))*COS(RADIANS(N357))+SIN(RADIANS(P346))*SIN(RADIANS(O346))))</f>
        <v>-0.40365320185431353</v>
      </c>
      <c r="P357" s="38">
        <f>-(180-DEGREES(ACOS((((SIN(RADIANS(O357)))*SIN(RADIANS(P346)))-SIN(RADIANS(O346)))/((COS(RADIANS(O357)))*COS(RADIANS(P346))))))</f>
        <v>-148.16586575520893</v>
      </c>
      <c r="R357">
        <f t="shared" si="478"/>
        <v>9.0403653201854315</v>
      </c>
      <c r="S357">
        <f t="shared" si="479"/>
        <v>238.16586575520893</v>
      </c>
      <c r="T357" s="94">
        <f t="shared" si="480"/>
        <v>-4.7684494413654015</v>
      </c>
      <c r="U357" s="94">
        <f t="shared" si="481"/>
        <v>-7.6805009633196084</v>
      </c>
      <c r="X357">
        <f t="shared" ref="X357:X382" si="483">IF(AC357=AC356,X356,X356+0.1)</f>
        <v>-9</v>
      </c>
      <c r="Y357">
        <f t="shared" ref="Y357:Y382" si="484">IF(AC357=AC356,Y356,Y356-0.1)</f>
        <v>9</v>
      </c>
      <c r="Z357">
        <f t="shared" ref="Z357:AA388" si="485">+B67</f>
        <v>8.6458082328952912</v>
      </c>
      <c r="AA357">
        <f t="shared" si="485"/>
        <v>-8.6458082328952912</v>
      </c>
      <c r="AC357">
        <f t="shared" si="482"/>
        <v>0</v>
      </c>
    </row>
    <row r="358" spans="2:29" x14ac:dyDescent="0.25">
      <c r="B358" s="39">
        <v>0.625</v>
      </c>
      <c r="C358">
        <v>-45</v>
      </c>
      <c r="D358" s="38">
        <f>+DEGREES(ASIN(COS(RADIANS(E346))*COS(RADIANS(D346))*COS(RADIANS(C358))+SIN(RADIANS(E346))*SIN(RADIANS(D346))))</f>
        <v>3.1304038781027361</v>
      </c>
      <c r="E358" s="38">
        <f>-(180-DEGREES(ACOS((((SIN(RADIANS(D358)))*SIN(RADIANS(E346)))-SIN(RADIANS(D346)))/((COS(RADIANS(D358)))*COS(RADIANS(E346))))))</f>
        <v>-134.91573937647593</v>
      </c>
      <c r="G358">
        <f t="shared" si="474"/>
        <v>8.6869596121897263</v>
      </c>
      <c r="H358">
        <f t="shared" si="475"/>
        <v>224.91573937647593</v>
      </c>
      <c r="I358" s="94">
        <f t="shared" si="476"/>
        <v>0</v>
      </c>
      <c r="J358" s="94">
        <f t="shared" si="477"/>
        <v>0</v>
      </c>
      <c r="M358" s="39">
        <v>0.625</v>
      </c>
      <c r="N358">
        <v>-45</v>
      </c>
      <c r="O358" s="38">
        <f>+DEGREES(ASIN(COS(RADIANS(P346))*COS(RADIANS(O346))*COS(RADIANS(N358))+SIN(RADIANS(P346))*SIN(RADIANS(O346))))</f>
        <v>-0.40365320185431408</v>
      </c>
      <c r="P358" s="38">
        <f>-(180-DEGREES(ACOS((((SIN(RADIANS(O358)))*SIN(RADIANS(P346)))-SIN(RADIANS(O346)))/((COS(RADIANS(O358)))*COS(RADIANS(P346))))))</f>
        <v>-133.93346201565646</v>
      </c>
      <c r="R358">
        <f t="shared" si="478"/>
        <v>9.0403653201854315</v>
      </c>
      <c r="S358">
        <f t="shared" si="479"/>
        <v>223.93346201565646</v>
      </c>
      <c r="T358" s="94">
        <f t="shared" si="480"/>
        <v>-6.5103831648525805</v>
      </c>
      <c r="U358" s="94">
        <f t="shared" si="481"/>
        <v>-6.2724091200443493</v>
      </c>
      <c r="X358">
        <f t="shared" si="483"/>
        <v>-9</v>
      </c>
      <c r="Y358">
        <f t="shared" si="484"/>
        <v>9</v>
      </c>
      <c r="Z358">
        <f t="shared" si="485"/>
        <v>8.6740993768805765</v>
      </c>
      <c r="AA358">
        <f t="shared" si="485"/>
        <v>-8.6740993768805765</v>
      </c>
      <c r="AC358">
        <f t="shared" si="482"/>
        <v>0</v>
      </c>
    </row>
    <row r="359" spans="2:29" x14ac:dyDescent="0.25">
      <c r="B359" s="39">
        <v>0.66666666666666696</v>
      </c>
      <c r="C359" s="38">
        <v>-60</v>
      </c>
      <c r="D359" s="38">
        <f>+DEGREES(ASIN(COS(RADIANS(E346))*COS(RADIANS(D346))*COS(RADIANS(C359))+SIN(RADIANS(E346))*SIN(RADIANS(D346))))</f>
        <v>2.095119169309497</v>
      </c>
      <c r="E359" s="38">
        <f>-(180-DEGREES(ACOS((((SIN(RADIANS(D359)))*SIN(RADIANS(E346)))-SIN(RADIANS(D346)))/((COS(RADIANS(D359)))*COS(RADIANS(E346))))))</f>
        <v>-119.93601790114869</v>
      </c>
      <c r="G359">
        <f t="shared" si="474"/>
        <v>8.7904880830690502</v>
      </c>
      <c r="H359">
        <f t="shared" si="475"/>
        <v>209.93601790114869</v>
      </c>
      <c r="I359" s="94">
        <f t="shared" si="476"/>
        <v>0</v>
      </c>
      <c r="J359" s="94">
        <f t="shared" si="477"/>
        <v>0</v>
      </c>
      <c r="M359" s="39">
        <v>0.66666666666666696</v>
      </c>
      <c r="N359" s="38">
        <v>-60</v>
      </c>
      <c r="O359" s="38">
        <f>+DEGREES(ASIN(COS(RADIANS(P346))*COS(RADIANS(O346))*COS(RADIANS(N359))+SIN(RADIANS(P346))*SIN(RADIANS(O346))))</f>
        <v>-0.40365320185431486</v>
      </c>
      <c r="P359" s="38">
        <f>-(180-DEGREES(ACOS((((SIN(RADIANS(O359)))*SIN(RADIANS(P346)))-SIN(RADIANS(O346)))/((COS(RADIANS(O359)))*COS(RADIANS(P346))))))</f>
        <v>-117.85711724825478</v>
      </c>
      <c r="R359">
        <f t="shared" si="478"/>
        <v>9.0403653201854315</v>
      </c>
      <c r="S359">
        <f t="shared" si="479"/>
        <v>207.85711724825478</v>
      </c>
      <c r="T359" s="94">
        <f t="shared" si="480"/>
        <v>-7.9927280305616879</v>
      </c>
      <c r="U359" s="94">
        <f t="shared" si="481"/>
        <v>-4.2242755298257864</v>
      </c>
      <c r="X359">
        <f t="shared" si="483"/>
        <v>-9</v>
      </c>
      <c r="Y359">
        <f t="shared" si="484"/>
        <v>9</v>
      </c>
      <c r="Z359">
        <f t="shared" si="485"/>
        <v>8.7011493493675882</v>
      </c>
      <c r="AA359">
        <f t="shared" si="485"/>
        <v>-8.7011493493675882</v>
      </c>
      <c r="AC359">
        <f t="shared" si="482"/>
        <v>0</v>
      </c>
    </row>
    <row r="360" spans="2:29" x14ac:dyDescent="0.25">
      <c r="B360" s="39">
        <v>0.70833333333333404</v>
      </c>
      <c r="C360">
        <v>-75</v>
      </c>
      <c r="D360" s="38">
        <f>+DEGREES(ASIN(COS(RADIANS(E346))*COS(RADIANS(D346))*COS(RADIANS(C360))+SIN(RADIANS(E346))*SIN(RADIANS(D346))))</f>
        <v>0.89034323905128876</v>
      </c>
      <c r="E360" s="38">
        <f>-(180-DEGREES(ACOS((((SIN(RADIANS(D360)))*SIN(RADIANS(E346)))-SIN(RADIANS(D346)))/((COS(RADIANS(D360)))*COS(RADIANS(E346))))))</f>
        <v>-104.97947359962487</v>
      </c>
      <c r="G360">
        <f t="shared" si="474"/>
        <v>8.9109656760948717</v>
      </c>
      <c r="H360">
        <f t="shared" si="475"/>
        <v>194.97947359962487</v>
      </c>
      <c r="I360" s="94">
        <f t="shared" si="476"/>
        <v>0</v>
      </c>
      <c r="J360" s="94">
        <f t="shared" si="477"/>
        <v>0</v>
      </c>
      <c r="M360" s="39">
        <v>0.70833333333333404</v>
      </c>
      <c r="N360">
        <v>-75</v>
      </c>
      <c r="O360" s="38">
        <f>+DEGREES(ASIN(COS(RADIANS(P346))*COS(RADIANS(O346))*COS(RADIANS(N360))+SIN(RADIANS(P346))*SIN(RADIANS(O346))))</f>
        <v>-0.40365320185431569</v>
      </c>
      <c r="P360" s="38">
        <f>-(180-DEGREES(ACOS((((SIN(RADIANS(O360)))*SIN(RADIANS(P346)))-SIN(RADIANS(O346)))/((COS(RADIANS(O360)))*COS(RADIANS(P346))))))</f>
        <v>-103.92868139600179</v>
      </c>
      <c r="R360">
        <f t="shared" si="478"/>
        <v>9.0403653201854315</v>
      </c>
      <c r="S360">
        <f t="shared" si="479"/>
        <v>193.92868139600179</v>
      </c>
      <c r="T360" s="94">
        <f t="shared" si="480"/>
        <v>-8.7745433716572361</v>
      </c>
      <c r="U360" s="94">
        <f t="shared" si="481"/>
        <v>-2.1761419396072239</v>
      </c>
      <c r="X360">
        <f t="shared" si="483"/>
        <v>-9</v>
      </c>
      <c r="Y360">
        <f t="shared" si="484"/>
        <v>9</v>
      </c>
      <c r="Z360">
        <f t="shared" si="485"/>
        <v>8.7269696917085717</v>
      </c>
      <c r="AA360">
        <f t="shared" si="485"/>
        <v>-8.7269696917085717</v>
      </c>
      <c r="AC360">
        <f t="shared" si="482"/>
        <v>0</v>
      </c>
    </row>
    <row r="361" spans="2:29" x14ac:dyDescent="0.25">
      <c r="B361" s="39">
        <v>0.75</v>
      </c>
      <c r="C361" s="38">
        <v>-90</v>
      </c>
      <c r="D361" s="38">
        <f>+DEGREES(ASIN(COS(RADIANS(E346))*COS(RADIANS(D346))*COS(RADIANS(C361))+SIN(RADIANS(E346))*SIN(RADIANS(D346))))</f>
        <v>-0.40211715428687494</v>
      </c>
      <c r="E361" s="38">
        <f>-(180-DEGREES(ACOS((((SIN(RADIANS(D361)))*SIN(RADIANS(E346)))-SIN(RADIANS(D346)))/((COS(RADIANS(D361)))*COS(RADIANS(E346))))))</f>
        <v>-90.035181272252657</v>
      </c>
      <c r="G361">
        <f t="shared" si="474"/>
        <v>9.0402117154286881</v>
      </c>
      <c r="H361">
        <f t="shared" si="475"/>
        <v>180.03518127225266</v>
      </c>
      <c r="I361" s="94">
        <f t="shared" si="476"/>
        <v>0</v>
      </c>
      <c r="J361" s="94">
        <f t="shared" si="477"/>
        <v>0</v>
      </c>
      <c r="M361" s="39">
        <v>0.75</v>
      </c>
      <c r="N361" s="38">
        <v>-90</v>
      </c>
      <c r="O361" s="38">
        <f>+DEGREES(ASIN(COS(RADIANS(P346))*COS(RADIANS(O346))*COS(RADIANS(N361))+SIN(RADIANS(P346))*SIN(RADIANS(O346))))</f>
        <v>-0.40365320185431658</v>
      </c>
      <c r="P361" s="38">
        <f>-(180-DEGREES(ACOS((((SIN(RADIANS(O361)))*SIN(RADIANS(P346)))-SIN(RADIANS(O346)))/((COS(RADIANS(O361)))*COS(RADIANS(P346))))))</f>
        <v>-89.188685079818654</v>
      </c>
      <c r="R361">
        <f t="shared" si="478"/>
        <v>9.0403653201854315</v>
      </c>
      <c r="S361">
        <f t="shared" si="479"/>
        <v>179.18868507981864</v>
      </c>
      <c r="T361" s="94">
        <f t="shared" si="480"/>
        <v>-9.0394589984632496</v>
      </c>
      <c r="U361" s="94">
        <f t="shared" si="481"/>
        <v>0.12800834938866223</v>
      </c>
      <c r="X361">
        <f t="shared" si="483"/>
        <v>-9</v>
      </c>
      <c r="Y361">
        <f t="shared" si="484"/>
        <v>9</v>
      </c>
      <c r="Z361">
        <f t="shared" si="485"/>
        <v>8.7515712874888933</v>
      </c>
      <c r="AA361">
        <f t="shared" si="485"/>
        <v>-8.7515712874888933</v>
      </c>
      <c r="AC361">
        <f t="shared" si="482"/>
        <v>0</v>
      </c>
    </row>
    <row r="362" spans="2:29" x14ac:dyDescent="0.25">
      <c r="X362">
        <f t="shared" si="483"/>
        <v>-9</v>
      </c>
      <c r="Y362">
        <f t="shared" si="484"/>
        <v>9</v>
      </c>
      <c r="Z362">
        <f t="shared" si="485"/>
        <v>8.7749643873921226</v>
      </c>
      <c r="AA362">
        <f t="shared" si="485"/>
        <v>-8.7749643873921226</v>
      </c>
      <c r="AC362">
        <f t="shared" si="482"/>
        <v>0</v>
      </c>
    </row>
    <row r="363" spans="2:29" x14ac:dyDescent="0.25">
      <c r="X363">
        <f t="shared" si="483"/>
        <v>-9</v>
      </c>
      <c r="Y363">
        <f t="shared" si="484"/>
        <v>9</v>
      </c>
      <c r="Z363">
        <f t="shared" si="485"/>
        <v>8.7971586321948294</v>
      </c>
      <c r="AA363">
        <f t="shared" si="485"/>
        <v>-8.7971586321948294</v>
      </c>
      <c r="AC363">
        <f t="shared" si="482"/>
        <v>0</v>
      </c>
    </row>
    <row r="364" spans="2:29" x14ac:dyDescent="0.25">
      <c r="X364">
        <f t="shared" si="483"/>
        <v>-9</v>
      </c>
      <c r="Y364">
        <f t="shared" si="484"/>
        <v>9</v>
      </c>
      <c r="Z364">
        <f t="shared" si="485"/>
        <v>8.8181630740194414</v>
      </c>
      <c r="AA364">
        <f t="shared" si="485"/>
        <v>-8.8181630740194414</v>
      </c>
      <c r="AC364">
        <f t="shared" si="482"/>
        <v>0</v>
      </c>
    </row>
    <row r="365" spans="2:29" x14ac:dyDescent="0.25">
      <c r="X365">
        <f t="shared" si="483"/>
        <v>-9</v>
      </c>
      <c r="Y365">
        <f t="shared" si="484"/>
        <v>9</v>
      </c>
      <c r="Z365">
        <f t="shared" si="485"/>
        <v>8.8379861959611592</v>
      </c>
      <c r="AA365">
        <f t="shared" si="485"/>
        <v>-8.8379861959611592</v>
      </c>
      <c r="AC365">
        <f t="shared" si="482"/>
        <v>0</v>
      </c>
    </row>
    <row r="366" spans="2:29" x14ac:dyDescent="0.25">
      <c r="X366">
        <f t="shared" si="483"/>
        <v>-9</v>
      </c>
      <c r="Y366">
        <f t="shared" si="484"/>
        <v>9</v>
      </c>
      <c r="Z366">
        <f t="shared" si="485"/>
        <v>8.8566359301938107</v>
      </c>
      <c r="AA366">
        <f t="shared" si="485"/>
        <v>-8.8566359301938107</v>
      </c>
      <c r="AC366">
        <f t="shared" si="482"/>
        <v>0</v>
      </c>
    </row>
    <row r="367" spans="2:29" x14ac:dyDescent="0.25">
      <c r="X367">
        <f t="shared" si="483"/>
        <v>-9</v>
      </c>
      <c r="Y367">
        <f t="shared" si="484"/>
        <v>9</v>
      </c>
      <c r="Z367">
        <f t="shared" si="485"/>
        <v>8.8741196746494246</v>
      </c>
      <c r="AA367">
        <f t="shared" si="485"/>
        <v>-8.8741196746494246</v>
      </c>
      <c r="AC367">
        <f t="shared" si="482"/>
        <v>0</v>
      </c>
    </row>
    <row r="368" spans="2:29" x14ac:dyDescent="0.25">
      <c r="X368">
        <f t="shared" si="483"/>
        <v>-9</v>
      </c>
      <c r="Y368">
        <f t="shared" si="484"/>
        <v>9</v>
      </c>
      <c r="Z368">
        <f t="shared" si="485"/>
        <v>8.8904443083571483</v>
      </c>
      <c r="AA368">
        <f t="shared" si="485"/>
        <v>-8.8904443083571483</v>
      </c>
      <c r="AC368">
        <f t="shared" si="482"/>
        <v>0</v>
      </c>
    </row>
    <row r="369" spans="24:29" x14ac:dyDescent="0.25">
      <c r="X369">
        <f t="shared" si="483"/>
        <v>-9</v>
      </c>
      <c r="Y369">
        <f t="shared" si="484"/>
        <v>9</v>
      </c>
      <c r="Z369">
        <f t="shared" si="485"/>
        <v>8.9056162055188519</v>
      </c>
      <c r="AA369">
        <f t="shared" si="485"/>
        <v>-8.9056162055188519</v>
      </c>
      <c r="AC369">
        <f t="shared" si="482"/>
        <v>0</v>
      </c>
    </row>
    <row r="370" spans="24:29" x14ac:dyDescent="0.25">
      <c r="X370">
        <f t="shared" si="483"/>
        <v>-9</v>
      </c>
      <c r="Y370">
        <f t="shared" si="484"/>
        <v>9</v>
      </c>
      <c r="Z370">
        <f t="shared" si="485"/>
        <v>8.9196412483911036</v>
      </c>
      <c r="AA370">
        <f t="shared" si="485"/>
        <v>-8.9196412483911036</v>
      </c>
      <c r="AC370">
        <f t="shared" si="482"/>
        <v>0</v>
      </c>
    </row>
    <row r="371" spans="24:29" x14ac:dyDescent="0.25">
      <c r="X371">
        <f t="shared" si="483"/>
        <v>-9</v>
      </c>
      <c r="Y371">
        <f t="shared" si="484"/>
        <v>9</v>
      </c>
      <c r="Z371">
        <f t="shared" si="485"/>
        <v>8.9325248390362741</v>
      </c>
      <c r="AA371">
        <f t="shared" si="485"/>
        <v>-8.9325248390362741</v>
      </c>
      <c r="AC371">
        <f t="shared" si="482"/>
        <v>0</v>
      </c>
    </row>
    <row r="372" spans="24:29" x14ac:dyDescent="0.25">
      <c r="X372">
        <f t="shared" si="483"/>
        <v>-9</v>
      </c>
      <c r="Y372">
        <f t="shared" si="484"/>
        <v>9</v>
      </c>
      <c r="Z372">
        <f t="shared" si="485"/>
        <v>8.9442719099991592</v>
      </c>
      <c r="AA372">
        <f t="shared" si="485"/>
        <v>-8.9442719099991592</v>
      </c>
      <c r="AC372">
        <f t="shared" si="482"/>
        <v>0</v>
      </c>
    </row>
    <row r="373" spans="24:29" x14ac:dyDescent="0.25">
      <c r="X373">
        <f t="shared" si="483"/>
        <v>-9</v>
      </c>
      <c r="Y373">
        <f t="shared" si="484"/>
        <v>9</v>
      </c>
      <c r="Z373">
        <f t="shared" si="485"/>
        <v>8.95488693395958</v>
      </c>
      <c r="AA373">
        <f t="shared" si="485"/>
        <v>-8.95488693395958</v>
      </c>
      <c r="AC373">
        <f t="shared" si="482"/>
        <v>0</v>
      </c>
    </row>
    <row r="374" spans="24:29" x14ac:dyDescent="0.25">
      <c r="X374">
        <f t="shared" si="483"/>
        <v>-9</v>
      </c>
      <c r="Y374">
        <f t="shared" si="484"/>
        <v>9</v>
      </c>
      <c r="Z374">
        <f t="shared" si="485"/>
        <v>8.964373932405989</v>
      </c>
      <c r="AA374">
        <f t="shared" si="485"/>
        <v>-8.964373932405989</v>
      </c>
      <c r="AC374">
        <f t="shared" si="482"/>
        <v>0</v>
      </c>
    </row>
    <row r="375" spans="24:29" x14ac:dyDescent="0.25">
      <c r="X375">
        <f t="shared" si="483"/>
        <v>-9</v>
      </c>
      <c r="Y375">
        <f t="shared" si="484"/>
        <v>9</v>
      </c>
      <c r="Z375">
        <f t="shared" si="485"/>
        <v>8.9727364833700545</v>
      </c>
      <c r="AA375">
        <f t="shared" si="485"/>
        <v>-8.9727364833700545</v>
      </c>
      <c r="AC375">
        <f t="shared" si="482"/>
        <v>0</v>
      </c>
    </row>
    <row r="376" spans="24:29" x14ac:dyDescent="0.25">
      <c r="X376">
        <f t="shared" si="483"/>
        <v>-9</v>
      </c>
      <c r="Y376">
        <f t="shared" si="484"/>
        <v>9</v>
      </c>
      <c r="Z376">
        <f t="shared" si="485"/>
        <v>8.9799777282574595</v>
      </c>
      <c r="AA376">
        <f t="shared" si="485"/>
        <v>-8.9799777282574595</v>
      </c>
      <c r="AC376">
        <f t="shared" si="482"/>
        <v>0</v>
      </c>
    </row>
    <row r="377" spans="24:29" x14ac:dyDescent="0.25">
      <c r="X377">
        <f t="shared" si="483"/>
        <v>-9</v>
      </c>
      <c r="Y377">
        <f t="shared" si="484"/>
        <v>9</v>
      </c>
      <c r="Z377">
        <f t="shared" si="485"/>
        <v>8.9861003778057142</v>
      </c>
      <c r="AA377">
        <f t="shared" si="485"/>
        <v>-8.9861003778057142</v>
      </c>
      <c r="AC377">
        <f t="shared" si="482"/>
        <v>0</v>
      </c>
    </row>
    <row r="378" spans="24:29" x14ac:dyDescent="0.25">
      <c r="X378">
        <f t="shared" si="483"/>
        <v>-9</v>
      </c>
      <c r="Y378">
        <f t="shared" si="484"/>
        <v>9</v>
      </c>
      <c r="Z378">
        <f t="shared" si="485"/>
        <v>8.9911067171956098</v>
      </c>
      <c r="AA378">
        <f t="shared" si="485"/>
        <v>-8.9911067171956098</v>
      </c>
      <c r="AC378">
        <f t="shared" si="482"/>
        <v>0</v>
      </c>
    </row>
    <row r="379" spans="24:29" x14ac:dyDescent="0.25">
      <c r="X379">
        <f t="shared" si="483"/>
        <v>-9</v>
      </c>
      <c r="Y379">
        <f t="shared" si="484"/>
        <v>9</v>
      </c>
      <c r="Z379">
        <f t="shared" si="485"/>
        <v>8.9949986103389694</v>
      </c>
      <c r="AA379">
        <f t="shared" si="485"/>
        <v>-8.9949986103389694</v>
      </c>
      <c r="AC379">
        <f t="shared" si="482"/>
        <v>0</v>
      </c>
    </row>
    <row r="380" spans="24:29" x14ac:dyDescent="0.25">
      <c r="X380">
        <f t="shared" si="483"/>
        <v>-9</v>
      </c>
      <c r="Y380">
        <f t="shared" si="484"/>
        <v>9</v>
      </c>
      <c r="Z380">
        <f t="shared" si="485"/>
        <v>8.9977775033615934</v>
      </c>
      <c r="AA380">
        <f t="shared" si="485"/>
        <v>-8.9977775033615934</v>
      </c>
      <c r="AC380">
        <f t="shared" si="482"/>
        <v>0</v>
      </c>
    </row>
    <row r="381" spans="24:29" x14ac:dyDescent="0.25">
      <c r="X381">
        <f t="shared" si="483"/>
        <v>-9</v>
      </c>
      <c r="Y381">
        <f t="shared" si="484"/>
        <v>9</v>
      </c>
      <c r="Z381">
        <f t="shared" si="485"/>
        <v>8.9994444272966092</v>
      </c>
      <c r="AA381">
        <f t="shared" si="485"/>
        <v>-8.9994444272966092</v>
      </c>
      <c r="AC381">
        <f t="shared" si="482"/>
        <v>0</v>
      </c>
    </row>
    <row r="382" spans="24:29" x14ac:dyDescent="0.25">
      <c r="X382">
        <f t="shared" si="483"/>
        <v>-9</v>
      </c>
      <c r="Y382">
        <f t="shared" si="484"/>
        <v>9</v>
      </c>
      <c r="Z382">
        <f t="shared" si="485"/>
        <v>9</v>
      </c>
      <c r="AA382">
        <f t="shared" si="485"/>
        <v>-9</v>
      </c>
      <c r="AC382">
        <f t="shared" si="482"/>
        <v>0</v>
      </c>
    </row>
    <row r="383" spans="24:29" x14ac:dyDescent="0.25">
      <c r="Y383">
        <f t="shared" ref="Y383:AA414" si="486">+A93</f>
        <v>-0.1</v>
      </c>
      <c r="Z383">
        <f t="shared" si="485"/>
        <v>8.9994444272966092</v>
      </c>
      <c r="AA383">
        <f t="shared" si="485"/>
        <v>-8.9994444272966092</v>
      </c>
    </row>
    <row r="384" spans="24:29" x14ac:dyDescent="0.25">
      <c r="Y384">
        <f t="shared" si="486"/>
        <v>-0.2</v>
      </c>
      <c r="Z384">
        <f t="shared" si="485"/>
        <v>8.9977775033615934</v>
      </c>
      <c r="AA384">
        <f t="shared" si="485"/>
        <v>-8.9977775033615934</v>
      </c>
    </row>
    <row r="385" spans="25:27" x14ac:dyDescent="0.25">
      <c r="Y385">
        <f t="shared" si="486"/>
        <v>-0.3</v>
      </c>
      <c r="Z385">
        <f t="shared" si="485"/>
        <v>8.9949986103389694</v>
      </c>
      <c r="AA385">
        <f t="shared" si="485"/>
        <v>-8.9949986103389694</v>
      </c>
    </row>
    <row r="386" spans="25:27" x14ac:dyDescent="0.25">
      <c r="Y386">
        <f t="shared" si="486"/>
        <v>-0.4</v>
      </c>
      <c r="Z386">
        <f t="shared" si="485"/>
        <v>8.9911067171956098</v>
      </c>
      <c r="AA386">
        <f t="shared" si="485"/>
        <v>-8.9911067171956098</v>
      </c>
    </row>
    <row r="387" spans="25:27" x14ac:dyDescent="0.25">
      <c r="Y387">
        <f t="shared" si="486"/>
        <v>-0.5</v>
      </c>
      <c r="Z387">
        <f t="shared" si="485"/>
        <v>8.9861003778057142</v>
      </c>
      <c r="AA387">
        <f t="shared" si="485"/>
        <v>-8.9861003778057142</v>
      </c>
    </row>
    <row r="388" spans="25:27" x14ac:dyDescent="0.25">
      <c r="Y388">
        <f t="shared" si="486"/>
        <v>-0.6</v>
      </c>
      <c r="Z388">
        <f t="shared" si="485"/>
        <v>8.9799777282574595</v>
      </c>
      <c r="AA388">
        <f t="shared" si="485"/>
        <v>-8.9799777282574595</v>
      </c>
    </row>
    <row r="389" spans="25:27" x14ac:dyDescent="0.25">
      <c r="Y389">
        <f t="shared" si="486"/>
        <v>-0.7</v>
      </c>
      <c r="Z389">
        <f t="shared" si="486"/>
        <v>8.9727364833700545</v>
      </c>
      <c r="AA389">
        <f t="shared" si="486"/>
        <v>-8.9727364833700545</v>
      </c>
    </row>
    <row r="390" spans="25:27" x14ac:dyDescent="0.25">
      <c r="Y390">
        <f t="shared" si="486"/>
        <v>-0.8</v>
      </c>
      <c r="Z390">
        <f t="shared" si="486"/>
        <v>8.964373932405989</v>
      </c>
      <c r="AA390">
        <f t="shared" si="486"/>
        <v>-8.964373932405989</v>
      </c>
    </row>
    <row r="391" spans="25:27" x14ac:dyDescent="0.25">
      <c r="Y391">
        <f t="shared" si="486"/>
        <v>-0.9</v>
      </c>
      <c r="Z391">
        <f t="shared" si="486"/>
        <v>8.95488693395958</v>
      </c>
      <c r="AA391">
        <f t="shared" si="486"/>
        <v>-8.95488693395958</v>
      </c>
    </row>
    <row r="392" spans="25:27" x14ac:dyDescent="0.25">
      <c r="Y392">
        <f t="shared" si="486"/>
        <v>-1</v>
      </c>
      <c r="Z392">
        <f t="shared" si="486"/>
        <v>8.9442719099991592</v>
      </c>
      <c r="AA392">
        <f t="shared" si="486"/>
        <v>-8.9442719099991592</v>
      </c>
    </row>
    <row r="393" spans="25:27" x14ac:dyDescent="0.25">
      <c r="Y393">
        <f t="shared" si="486"/>
        <v>-1.1000000000000001</v>
      </c>
      <c r="Z393">
        <f t="shared" si="486"/>
        <v>8.9325248390362741</v>
      </c>
      <c r="AA393">
        <f t="shared" si="486"/>
        <v>-8.9325248390362741</v>
      </c>
    </row>
    <row r="394" spans="25:27" x14ac:dyDescent="0.25">
      <c r="Y394">
        <f t="shared" si="486"/>
        <v>-1.2</v>
      </c>
      <c r="Z394">
        <f t="shared" si="486"/>
        <v>8.9196412483911036</v>
      </c>
      <c r="AA394">
        <f t="shared" si="486"/>
        <v>-8.9196412483911036</v>
      </c>
    </row>
    <row r="395" spans="25:27" x14ac:dyDescent="0.25">
      <c r="Y395">
        <f t="shared" si="486"/>
        <v>-1.3</v>
      </c>
      <c r="Z395">
        <f t="shared" si="486"/>
        <v>8.9056162055188519</v>
      </c>
      <c r="AA395">
        <f t="shared" si="486"/>
        <v>-8.9056162055188519</v>
      </c>
    </row>
    <row r="396" spans="25:27" x14ac:dyDescent="0.25">
      <c r="Y396">
        <f t="shared" si="486"/>
        <v>-1.4</v>
      </c>
      <c r="Z396">
        <f t="shared" si="486"/>
        <v>8.8904443083571483</v>
      </c>
      <c r="AA396">
        <f t="shared" si="486"/>
        <v>-8.8904443083571483</v>
      </c>
    </row>
    <row r="397" spans="25:27" x14ac:dyDescent="0.25">
      <c r="Y397">
        <f t="shared" si="486"/>
        <v>-1.5</v>
      </c>
      <c r="Z397">
        <f t="shared" si="486"/>
        <v>8.8741196746494246</v>
      </c>
      <c r="AA397">
        <f t="shared" si="486"/>
        <v>-8.8741196746494246</v>
      </c>
    </row>
    <row r="398" spans="25:27" x14ac:dyDescent="0.25">
      <c r="Y398">
        <f t="shared" si="486"/>
        <v>-1.6</v>
      </c>
      <c r="Z398">
        <f t="shared" si="486"/>
        <v>8.8566359301938107</v>
      </c>
      <c r="AA398">
        <f t="shared" si="486"/>
        <v>-8.8566359301938107</v>
      </c>
    </row>
    <row r="399" spans="25:27" x14ac:dyDescent="0.25">
      <c r="Y399">
        <f t="shared" si="486"/>
        <v>-1.7</v>
      </c>
      <c r="Z399">
        <f t="shared" si="486"/>
        <v>8.8379861959611592</v>
      </c>
      <c r="AA399">
        <f t="shared" si="486"/>
        <v>-8.8379861959611592</v>
      </c>
    </row>
    <row r="400" spans="25:27" x14ac:dyDescent="0.25">
      <c r="Y400">
        <f t="shared" si="486"/>
        <v>-1.8</v>
      </c>
      <c r="Z400">
        <f t="shared" si="486"/>
        <v>8.8181630740194414</v>
      </c>
      <c r="AA400">
        <f t="shared" si="486"/>
        <v>-8.8181630740194414</v>
      </c>
    </row>
    <row r="401" spans="25:27" x14ac:dyDescent="0.25">
      <c r="Y401">
        <f t="shared" si="486"/>
        <v>-1.9</v>
      </c>
      <c r="Z401">
        <f t="shared" si="486"/>
        <v>8.7971586321948294</v>
      </c>
      <c r="AA401">
        <f t="shared" si="486"/>
        <v>-8.7971586321948294</v>
      </c>
    </row>
    <row r="402" spans="25:27" x14ac:dyDescent="0.25">
      <c r="Y402">
        <f t="shared" si="486"/>
        <v>-2</v>
      </c>
      <c r="Z402">
        <f t="shared" si="486"/>
        <v>8.7749643873921226</v>
      </c>
      <c r="AA402">
        <f t="shared" si="486"/>
        <v>-8.7749643873921226</v>
      </c>
    </row>
    <row r="403" spans="25:27" x14ac:dyDescent="0.25">
      <c r="Y403">
        <f t="shared" si="486"/>
        <v>-2.1</v>
      </c>
      <c r="Z403">
        <f t="shared" si="486"/>
        <v>8.7515712874888933</v>
      </c>
      <c r="AA403">
        <f t="shared" si="486"/>
        <v>-8.7515712874888933</v>
      </c>
    </row>
    <row r="404" spans="25:27" x14ac:dyDescent="0.25">
      <c r="Y404">
        <f t="shared" si="486"/>
        <v>-2.2000000000000002</v>
      </c>
      <c r="Z404">
        <f t="shared" si="486"/>
        <v>8.7269696917085717</v>
      </c>
      <c r="AA404">
        <f t="shared" si="486"/>
        <v>-8.7269696917085717</v>
      </c>
    </row>
    <row r="405" spans="25:27" x14ac:dyDescent="0.25">
      <c r="Y405">
        <f t="shared" si="486"/>
        <v>-2.2999999999999998</v>
      </c>
      <c r="Z405">
        <f t="shared" si="486"/>
        <v>8.7011493493675882</v>
      </c>
      <c r="AA405">
        <f t="shared" si="486"/>
        <v>-8.7011493493675882</v>
      </c>
    </row>
    <row r="406" spans="25:27" x14ac:dyDescent="0.25">
      <c r="Y406">
        <f t="shared" si="486"/>
        <v>-2.4</v>
      </c>
      <c r="Z406">
        <f t="shared" si="486"/>
        <v>8.6740993768805765</v>
      </c>
      <c r="AA406">
        <f t="shared" si="486"/>
        <v>-8.6740993768805765</v>
      </c>
    </row>
    <row r="407" spans="25:27" x14ac:dyDescent="0.25">
      <c r="Y407">
        <f t="shared" si="486"/>
        <v>-2.5</v>
      </c>
      <c r="Z407">
        <f t="shared" si="486"/>
        <v>8.6458082328952912</v>
      </c>
      <c r="AA407">
        <f t="shared" si="486"/>
        <v>-8.6458082328952912</v>
      </c>
    </row>
    <row r="408" spans="25:27" x14ac:dyDescent="0.25">
      <c r="Y408">
        <f t="shared" si="486"/>
        <v>-2.6</v>
      </c>
      <c r="Z408">
        <f t="shared" si="486"/>
        <v>8.616263691415206</v>
      </c>
      <c r="AA408">
        <f t="shared" si="486"/>
        <v>-8.616263691415206</v>
      </c>
    </row>
    <row r="409" spans="25:27" x14ac:dyDescent="0.25">
      <c r="Y409">
        <f t="shared" si="486"/>
        <v>-2.7</v>
      </c>
      <c r="Z409">
        <f t="shared" si="486"/>
        <v>8.5854528127525107</v>
      </c>
      <c r="AA409">
        <f t="shared" si="486"/>
        <v>-8.5854528127525107</v>
      </c>
    </row>
    <row r="410" spans="25:27" x14ac:dyDescent="0.25">
      <c r="Y410">
        <f t="shared" si="486"/>
        <v>-2.8</v>
      </c>
      <c r="Z410">
        <f t="shared" si="486"/>
        <v>8.5533619121372393</v>
      </c>
      <c r="AA410">
        <f t="shared" si="486"/>
        <v>-8.5533619121372393</v>
      </c>
    </row>
    <row r="411" spans="25:27" x14ac:dyDescent="0.25">
      <c r="Y411">
        <f t="shared" si="486"/>
        <v>-2.9</v>
      </c>
      <c r="Z411">
        <f t="shared" si="486"/>
        <v>8.519976525789259</v>
      </c>
      <c r="AA411">
        <f t="shared" si="486"/>
        <v>-8.519976525789259</v>
      </c>
    </row>
    <row r="412" spans="25:27" x14ac:dyDescent="0.25">
      <c r="Y412">
        <f t="shared" si="486"/>
        <v>-3</v>
      </c>
      <c r="Z412">
        <f t="shared" si="486"/>
        <v>8.4852813742385695</v>
      </c>
      <c r="AA412">
        <f t="shared" si="486"/>
        <v>-8.4852813742385695</v>
      </c>
    </row>
    <row r="413" spans="25:27" x14ac:dyDescent="0.25">
      <c r="Y413">
        <f t="shared" si="486"/>
        <v>-3.1</v>
      </c>
      <c r="Z413">
        <f t="shared" si="486"/>
        <v>8.4492603226554692</v>
      </c>
      <c r="AA413">
        <f t="shared" si="486"/>
        <v>-8.4492603226554692</v>
      </c>
    </row>
    <row r="414" spans="25:27" x14ac:dyDescent="0.25">
      <c r="Y414">
        <f t="shared" si="486"/>
        <v>-3.2</v>
      </c>
      <c r="Z414">
        <f t="shared" si="486"/>
        <v>8.4118963379252349</v>
      </c>
      <c r="AA414">
        <f t="shared" si="486"/>
        <v>-8.4118963379252349</v>
      </c>
    </row>
    <row r="415" spans="25:27" x14ac:dyDescent="0.25">
      <c r="Y415">
        <f t="shared" ref="Y415:AA446" si="487">+A125</f>
        <v>-3.3</v>
      </c>
      <c r="Z415">
        <f t="shared" si="487"/>
        <v>8.3731714421717172</v>
      </c>
      <c r="AA415">
        <f t="shared" si="487"/>
        <v>-8.3731714421717172</v>
      </c>
    </row>
    <row r="416" spans="25:27" x14ac:dyDescent="0.25">
      <c r="Y416">
        <f t="shared" si="487"/>
        <v>-3.4</v>
      </c>
      <c r="Z416">
        <f t="shared" si="487"/>
        <v>8.3330666623998635</v>
      </c>
      <c r="AA416">
        <f t="shared" si="487"/>
        <v>-8.3330666623998635</v>
      </c>
    </row>
    <row r="417" spans="25:27" x14ac:dyDescent="0.25">
      <c r="Y417">
        <f t="shared" si="487"/>
        <v>-3.5</v>
      </c>
      <c r="Z417">
        <f t="shared" si="487"/>
        <v>8.2915619758885004</v>
      </c>
      <c r="AA417">
        <f t="shared" si="487"/>
        <v>-8.2915619758885004</v>
      </c>
    </row>
    <row r="418" spans="25:27" x14ac:dyDescent="0.25">
      <c r="Y418">
        <f t="shared" si="487"/>
        <v>-3.6</v>
      </c>
      <c r="Z418">
        <f t="shared" si="487"/>
        <v>8.2486362509205122</v>
      </c>
      <c r="AA418">
        <f t="shared" si="487"/>
        <v>-8.2486362509205122</v>
      </c>
    </row>
    <row r="419" spans="25:27" x14ac:dyDescent="0.25">
      <c r="Y419">
        <f t="shared" si="487"/>
        <v>-3.7</v>
      </c>
      <c r="Z419">
        <f t="shared" si="487"/>
        <v>8.2042671823874684</v>
      </c>
      <c r="AA419">
        <f t="shared" si="487"/>
        <v>-8.2042671823874684</v>
      </c>
    </row>
    <row r="420" spans="25:27" x14ac:dyDescent="0.25">
      <c r="Y420">
        <f t="shared" si="487"/>
        <v>-3.8</v>
      </c>
      <c r="Z420">
        <f t="shared" si="487"/>
        <v>8.1584312217484563</v>
      </c>
      <c r="AA420">
        <f t="shared" si="487"/>
        <v>-8.1584312217484563</v>
      </c>
    </row>
    <row r="421" spans="25:27" x14ac:dyDescent="0.25">
      <c r="Y421">
        <f t="shared" si="487"/>
        <v>-3.9</v>
      </c>
      <c r="Z421">
        <f t="shared" si="487"/>
        <v>8.1111035007574657</v>
      </c>
      <c r="AA421">
        <f t="shared" si="487"/>
        <v>-8.1111035007574657</v>
      </c>
    </row>
    <row r="422" spans="25:27" x14ac:dyDescent="0.25">
      <c r="Y422">
        <f t="shared" si="487"/>
        <v>-4</v>
      </c>
      <c r="Z422">
        <f t="shared" si="487"/>
        <v>8.0622577482985491</v>
      </c>
      <c r="AA422">
        <f t="shared" si="487"/>
        <v>-8.0622577482985491</v>
      </c>
    </row>
    <row r="423" spans="25:27" x14ac:dyDescent="0.25">
      <c r="Y423">
        <f t="shared" si="487"/>
        <v>-4.0999999999999996</v>
      </c>
      <c r="Z423">
        <f t="shared" si="487"/>
        <v>8.0118661995817178</v>
      </c>
      <c r="AA423">
        <f t="shared" si="487"/>
        <v>-8.0118661995817178</v>
      </c>
    </row>
    <row r="424" spans="25:27" x14ac:dyDescent="0.25">
      <c r="Y424">
        <f t="shared" si="487"/>
        <v>-4.2</v>
      </c>
      <c r="Z424">
        <f t="shared" si="487"/>
        <v>7.9598994968529597</v>
      </c>
      <c r="AA424">
        <f t="shared" si="487"/>
        <v>-7.9598994968529597</v>
      </c>
    </row>
    <row r="425" spans="25:27" x14ac:dyDescent="0.25">
      <c r="Y425">
        <f t="shared" si="487"/>
        <v>-4.3</v>
      </c>
      <c r="Z425">
        <f t="shared" si="487"/>
        <v>7.9063265806567848</v>
      </c>
      <c r="AA425">
        <f t="shared" si="487"/>
        <v>-7.9063265806567848</v>
      </c>
    </row>
    <row r="426" spans="25:27" x14ac:dyDescent="0.25">
      <c r="Y426">
        <f t="shared" si="487"/>
        <v>-4.4000000000000004</v>
      </c>
      <c r="Z426">
        <f t="shared" si="487"/>
        <v>7.8511145705562084</v>
      </c>
      <c r="AA426">
        <f t="shared" si="487"/>
        <v>-7.8511145705562084</v>
      </c>
    </row>
    <row r="427" spans="25:27" x14ac:dyDescent="0.25">
      <c r="Y427">
        <f t="shared" si="487"/>
        <v>-4.5</v>
      </c>
      <c r="Z427">
        <f t="shared" si="487"/>
        <v>7.794228634059948</v>
      </c>
      <c r="AA427">
        <f t="shared" si="487"/>
        <v>-7.794228634059948</v>
      </c>
    </row>
    <row r="428" spans="25:27" x14ac:dyDescent="0.25">
      <c r="Y428">
        <f t="shared" si="487"/>
        <v>-4.5999999999999996</v>
      </c>
      <c r="Z428">
        <f t="shared" si="487"/>
        <v>7.7356318423254864</v>
      </c>
      <c r="AA428">
        <f t="shared" si="487"/>
        <v>-7.7356318423254864</v>
      </c>
    </row>
    <row r="429" spans="25:27" x14ac:dyDescent="0.25">
      <c r="Y429">
        <f t="shared" si="487"/>
        <v>-4.7</v>
      </c>
      <c r="Z429">
        <f t="shared" si="487"/>
        <v>7.6752850109947053</v>
      </c>
      <c r="AA429">
        <f t="shared" si="487"/>
        <v>-7.6752850109947053</v>
      </c>
    </row>
    <row r="430" spans="25:27" x14ac:dyDescent="0.25">
      <c r="Y430">
        <f t="shared" si="487"/>
        <v>-4.8</v>
      </c>
      <c r="Z430">
        <f t="shared" si="487"/>
        <v>7.6131465242697125</v>
      </c>
      <c r="AA430">
        <f t="shared" si="487"/>
        <v>-7.6131465242697125</v>
      </c>
    </row>
    <row r="431" spans="25:27" x14ac:dyDescent="0.25">
      <c r="Y431">
        <f t="shared" si="487"/>
        <v>-4.9000000000000004</v>
      </c>
      <c r="Z431">
        <f t="shared" si="487"/>
        <v>7.5491721400429066</v>
      </c>
      <c r="AA431">
        <f t="shared" si="487"/>
        <v>-7.5491721400429066</v>
      </c>
    </row>
    <row r="432" spans="25:27" x14ac:dyDescent="0.25">
      <c r="Y432">
        <f t="shared" si="487"/>
        <v>-5</v>
      </c>
      <c r="Z432">
        <f t="shared" si="487"/>
        <v>7.4833147735478827</v>
      </c>
      <c r="AA432">
        <f t="shared" si="487"/>
        <v>-7.4833147735478827</v>
      </c>
    </row>
    <row r="433" spans="25:27" x14ac:dyDescent="0.25">
      <c r="Y433">
        <f t="shared" si="487"/>
        <v>-5.0999999999999996</v>
      </c>
      <c r="Z433">
        <f t="shared" si="487"/>
        <v>7.4155242565849653</v>
      </c>
      <c r="AA433">
        <f t="shared" si="487"/>
        <v>-7.4155242565849653</v>
      </c>
    </row>
    <row r="434" spans="25:27" x14ac:dyDescent="0.25">
      <c r="Y434">
        <f t="shared" si="487"/>
        <v>-5.2</v>
      </c>
      <c r="Z434">
        <f t="shared" si="487"/>
        <v>7.3457470688827824</v>
      </c>
      <c r="AA434">
        <f t="shared" si="487"/>
        <v>-7.3457470688827824</v>
      </c>
    </row>
    <row r="435" spans="25:27" x14ac:dyDescent="0.25">
      <c r="Y435">
        <f t="shared" si="487"/>
        <v>-5.3</v>
      </c>
      <c r="Z435">
        <f t="shared" si="487"/>
        <v>7.2739260375673327</v>
      </c>
      <c r="AA435">
        <f t="shared" si="487"/>
        <v>-7.2739260375673327</v>
      </c>
    </row>
    <row r="436" spans="25:27" x14ac:dyDescent="0.25">
      <c r="Y436">
        <f t="shared" si="487"/>
        <v>-5.4</v>
      </c>
      <c r="Z436">
        <f t="shared" si="487"/>
        <v>7.2</v>
      </c>
      <c r="AA436">
        <f t="shared" si="487"/>
        <v>-7.2</v>
      </c>
    </row>
    <row r="437" spans="25:27" x14ac:dyDescent="0.25">
      <c r="Y437">
        <f t="shared" si="487"/>
        <v>-5.5</v>
      </c>
      <c r="Z437">
        <f t="shared" si="487"/>
        <v>7.1239034243875032</v>
      </c>
      <c r="AA437">
        <f t="shared" si="487"/>
        <v>-7.1239034243875032</v>
      </c>
    </row>
    <row r="438" spans="25:27" x14ac:dyDescent="0.25">
      <c r="Y438">
        <f t="shared" si="487"/>
        <v>-5.6</v>
      </c>
      <c r="Z438">
        <f t="shared" si="487"/>
        <v>7.0455659815234153</v>
      </c>
      <c r="AA438">
        <f t="shared" si="487"/>
        <v>-7.0455659815234153</v>
      </c>
    </row>
    <row r="439" spans="25:27" x14ac:dyDescent="0.25">
      <c r="Y439">
        <f t="shared" si="487"/>
        <v>-5.7</v>
      </c>
      <c r="Z439">
        <f t="shared" si="487"/>
        <v>6.9649120597463394</v>
      </c>
      <c r="AA439">
        <f t="shared" si="487"/>
        <v>-6.9649120597463394</v>
      </c>
    </row>
    <row r="440" spans="25:27" x14ac:dyDescent="0.25">
      <c r="Y440">
        <f t="shared" si="487"/>
        <v>-5.8</v>
      </c>
      <c r="Z440">
        <f t="shared" si="487"/>
        <v>6.8818602136341012</v>
      </c>
      <c r="AA440">
        <f t="shared" si="487"/>
        <v>-6.8818602136341012</v>
      </c>
    </row>
    <row r="441" spans="25:27" x14ac:dyDescent="0.25">
      <c r="Y441">
        <f t="shared" si="487"/>
        <v>-5.9</v>
      </c>
      <c r="Z441">
        <f t="shared" si="487"/>
        <v>6.7963225350184784</v>
      </c>
      <c r="AA441">
        <f t="shared" si="487"/>
        <v>-6.7963225350184784</v>
      </c>
    </row>
    <row r="442" spans="25:27" x14ac:dyDescent="0.25">
      <c r="Y442">
        <f t="shared" si="487"/>
        <v>-6</v>
      </c>
      <c r="Z442">
        <f t="shared" si="487"/>
        <v>6.7082039324993694</v>
      </c>
      <c r="AA442">
        <f t="shared" si="487"/>
        <v>-6.7082039324993694</v>
      </c>
    </row>
    <row r="443" spans="25:27" x14ac:dyDescent="0.25">
      <c r="Y443">
        <f t="shared" si="487"/>
        <v>-6.1</v>
      </c>
      <c r="Z443">
        <f t="shared" si="487"/>
        <v>6.6174013026262815</v>
      </c>
      <c r="AA443">
        <f t="shared" si="487"/>
        <v>-6.6174013026262815</v>
      </c>
    </row>
    <row r="444" spans="25:27" x14ac:dyDescent="0.25">
      <c r="Y444">
        <f t="shared" si="487"/>
        <v>-6.2</v>
      </c>
      <c r="Z444">
        <f t="shared" si="487"/>
        <v>6.5238025721200357</v>
      </c>
      <c r="AA444">
        <f t="shared" si="487"/>
        <v>-6.5238025721200357</v>
      </c>
    </row>
    <row r="445" spans="25:27" x14ac:dyDescent="0.25">
      <c r="Y445">
        <f t="shared" si="487"/>
        <v>-6.3</v>
      </c>
      <c r="Z445">
        <f t="shared" si="487"/>
        <v>6.4272855856885656</v>
      </c>
      <c r="AA445">
        <f t="shared" si="487"/>
        <v>-6.4272855856885656</v>
      </c>
    </row>
    <row r="446" spans="25:27" x14ac:dyDescent="0.25">
      <c r="Y446">
        <f t="shared" si="487"/>
        <v>-6.4</v>
      </c>
      <c r="Z446">
        <f t="shared" si="487"/>
        <v>6.327716807822549</v>
      </c>
      <c r="AA446">
        <f t="shared" si="487"/>
        <v>-6.327716807822549</v>
      </c>
    </row>
    <row r="447" spans="25:27" x14ac:dyDescent="0.25">
      <c r="Y447">
        <f t="shared" ref="Y447:AA472" si="488">+A157</f>
        <v>-6.5</v>
      </c>
      <c r="Z447">
        <f t="shared" si="488"/>
        <v>6.2249497989943663</v>
      </c>
      <c r="AA447">
        <f t="shared" si="488"/>
        <v>-6.2249497989943663</v>
      </c>
    </row>
    <row r="448" spans="25:27" x14ac:dyDescent="0.25">
      <c r="Y448">
        <f t="shared" si="488"/>
        <v>-6.6</v>
      </c>
      <c r="Z448">
        <f t="shared" si="488"/>
        <v>6.1188234163113426</v>
      </c>
      <c r="AA448">
        <f t="shared" si="488"/>
        <v>-6.1188234163113426</v>
      </c>
    </row>
    <row r="449" spans="25:27" x14ac:dyDescent="0.25">
      <c r="Y449">
        <f t="shared" si="488"/>
        <v>-6.7</v>
      </c>
      <c r="Z449">
        <f t="shared" si="488"/>
        <v>6.009159675029446</v>
      </c>
      <c r="AA449">
        <f t="shared" si="488"/>
        <v>-6.009159675029446</v>
      </c>
    </row>
    <row r="450" spans="25:27" x14ac:dyDescent="0.25">
      <c r="Y450">
        <f t="shared" si="488"/>
        <v>-6.8</v>
      </c>
      <c r="Z450">
        <f t="shared" si="488"/>
        <v>5.89576118919347</v>
      </c>
      <c r="AA450">
        <f t="shared" si="488"/>
        <v>-5.89576118919347</v>
      </c>
    </row>
    <row r="451" spans="25:27" x14ac:dyDescent="0.25">
      <c r="Y451">
        <f t="shared" si="488"/>
        <v>-6.9</v>
      </c>
      <c r="Z451">
        <f t="shared" si="488"/>
        <v>5.7784080852774666</v>
      </c>
      <c r="AA451">
        <f t="shared" si="488"/>
        <v>-5.7784080852774666</v>
      </c>
    </row>
    <row r="452" spans="25:27" x14ac:dyDescent="0.25">
      <c r="Y452">
        <f t="shared" si="488"/>
        <v>-7</v>
      </c>
      <c r="Z452">
        <f t="shared" si="488"/>
        <v>5.6568542494923806</v>
      </c>
      <c r="AA452">
        <f t="shared" si="488"/>
        <v>-5.6568542494923806</v>
      </c>
    </row>
    <row r="453" spans="25:27" x14ac:dyDescent="0.25">
      <c r="Y453">
        <f t="shared" si="488"/>
        <v>-7.1</v>
      </c>
      <c r="Z453">
        <f t="shared" si="488"/>
        <v>5.5308227236099334</v>
      </c>
      <c r="AA453">
        <f t="shared" si="488"/>
        <v>-5.5308227236099334</v>
      </c>
    </row>
    <row r="454" spans="25:27" x14ac:dyDescent="0.25">
      <c r="Y454">
        <f t="shared" si="488"/>
        <v>-7.2</v>
      </c>
      <c r="Z454">
        <f t="shared" si="488"/>
        <v>5.3999999999999995</v>
      </c>
      <c r="AA454">
        <f t="shared" si="488"/>
        <v>-5.3999999999999995</v>
      </c>
    </row>
    <row r="455" spans="25:27" x14ac:dyDescent="0.25">
      <c r="Y455">
        <f t="shared" si="488"/>
        <v>-7.3</v>
      </c>
      <c r="Z455">
        <f t="shared" si="488"/>
        <v>5.2640288753007427</v>
      </c>
      <c r="AA455">
        <f t="shared" si="488"/>
        <v>-5.2640288753007427</v>
      </c>
    </row>
    <row r="456" spans="25:27" x14ac:dyDescent="0.25">
      <c r="Y456">
        <f t="shared" si="488"/>
        <v>-7.4</v>
      </c>
      <c r="Z456">
        <f t="shared" si="488"/>
        <v>5.1224993899462783</v>
      </c>
      <c r="AA456">
        <f t="shared" si="488"/>
        <v>-5.1224993899462783</v>
      </c>
    </row>
    <row r="457" spans="25:27" x14ac:dyDescent="0.25">
      <c r="Y457">
        <f t="shared" si="488"/>
        <v>-7.5</v>
      </c>
      <c r="Z457">
        <f t="shared" si="488"/>
        <v>4.9749371855330997</v>
      </c>
      <c r="AA457">
        <f t="shared" si="488"/>
        <v>-4.9749371855330997</v>
      </c>
    </row>
    <row r="458" spans="25:27" x14ac:dyDescent="0.25">
      <c r="Y458">
        <f t="shared" si="488"/>
        <v>-7.6</v>
      </c>
      <c r="Z458">
        <f t="shared" si="488"/>
        <v>4.8207883172775805</v>
      </c>
      <c r="AA458">
        <f t="shared" si="488"/>
        <v>-4.8207883172775805</v>
      </c>
    </row>
    <row r="459" spans="25:27" x14ac:dyDescent="0.25">
      <c r="Y459">
        <f t="shared" si="488"/>
        <v>-7.7</v>
      </c>
      <c r="Z459">
        <f t="shared" si="488"/>
        <v>4.6593991028886972</v>
      </c>
      <c r="AA459">
        <f t="shared" si="488"/>
        <v>-4.6593991028886972</v>
      </c>
    </row>
    <row r="460" spans="25:27" x14ac:dyDescent="0.25">
      <c r="Y460">
        <f t="shared" si="488"/>
        <v>-7.8</v>
      </c>
      <c r="Z460">
        <f t="shared" si="488"/>
        <v>4.4899888641287298</v>
      </c>
      <c r="AA460">
        <f t="shared" si="488"/>
        <v>-4.4899888641287298</v>
      </c>
    </row>
    <row r="461" spans="25:27" x14ac:dyDescent="0.25">
      <c r="Y461">
        <f t="shared" si="488"/>
        <v>-7.9</v>
      </c>
      <c r="Z461">
        <f t="shared" si="488"/>
        <v>4.3116122274620192</v>
      </c>
      <c r="AA461">
        <f t="shared" si="488"/>
        <v>-4.3116122274620192</v>
      </c>
    </row>
    <row r="462" spans="25:27" x14ac:dyDescent="0.25">
      <c r="Y462">
        <f t="shared" si="488"/>
        <v>-8</v>
      </c>
      <c r="Z462">
        <f t="shared" si="488"/>
        <v>4.1231056256176606</v>
      </c>
      <c r="AA462">
        <f t="shared" si="488"/>
        <v>-4.1231056256176606</v>
      </c>
    </row>
    <row r="463" spans="25:27" x14ac:dyDescent="0.25">
      <c r="Y463">
        <f t="shared" si="488"/>
        <v>-8.1</v>
      </c>
      <c r="Z463">
        <f t="shared" si="488"/>
        <v>3.9230090491866063</v>
      </c>
      <c r="AA463">
        <f t="shared" si="488"/>
        <v>-3.9230090491866063</v>
      </c>
    </row>
    <row r="464" spans="25:27" x14ac:dyDescent="0.25">
      <c r="Y464">
        <f t="shared" si="488"/>
        <v>-8.1999999999999993</v>
      </c>
      <c r="Z464">
        <f t="shared" si="488"/>
        <v>3.7094473981982823</v>
      </c>
      <c r="AA464">
        <f t="shared" si="488"/>
        <v>-3.7094473981982823</v>
      </c>
    </row>
    <row r="465" spans="25:27" x14ac:dyDescent="0.25">
      <c r="Y465">
        <f t="shared" si="488"/>
        <v>-8.3000000000000007</v>
      </c>
      <c r="Z465">
        <f t="shared" si="488"/>
        <v>3.479942528261061</v>
      </c>
      <c r="AA465">
        <f t="shared" si="488"/>
        <v>-3.479942528261061</v>
      </c>
    </row>
    <row r="466" spans="25:27" x14ac:dyDescent="0.25">
      <c r="Y466">
        <f t="shared" si="488"/>
        <v>-8.4</v>
      </c>
      <c r="Z466">
        <f t="shared" si="488"/>
        <v>3.2310988842807022</v>
      </c>
      <c r="AA466">
        <f t="shared" si="488"/>
        <v>-3.2310988842807022</v>
      </c>
    </row>
    <row r="467" spans="25:27" x14ac:dyDescent="0.25">
      <c r="Y467">
        <f t="shared" si="488"/>
        <v>-8.5</v>
      </c>
      <c r="Z467">
        <f t="shared" si="488"/>
        <v>2.9580398915498081</v>
      </c>
      <c r="AA467">
        <f t="shared" si="488"/>
        <v>-2.9580398915498081</v>
      </c>
    </row>
    <row r="468" spans="25:27" x14ac:dyDescent="0.25">
      <c r="Y468">
        <f t="shared" si="488"/>
        <v>-8.6</v>
      </c>
      <c r="Z468">
        <f t="shared" si="488"/>
        <v>2.6532998322843211</v>
      </c>
      <c r="AA468">
        <f t="shared" si="488"/>
        <v>-2.6532998322843211</v>
      </c>
    </row>
    <row r="469" spans="25:27" x14ac:dyDescent="0.25">
      <c r="Y469">
        <f t="shared" si="488"/>
        <v>-8.6999999999999993</v>
      </c>
      <c r="Z469">
        <f t="shared" si="488"/>
        <v>2.304343724360586</v>
      </c>
      <c r="AA469">
        <f t="shared" si="488"/>
        <v>-2.304343724360586</v>
      </c>
    </row>
    <row r="470" spans="25:27" x14ac:dyDescent="0.25">
      <c r="Y470">
        <f t="shared" si="488"/>
        <v>-8.8000000000000007</v>
      </c>
      <c r="Z470">
        <f t="shared" si="488"/>
        <v>1.8867962264113176</v>
      </c>
      <c r="AA470">
        <f t="shared" si="488"/>
        <v>-1.8867962264113176</v>
      </c>
    </row>
    <row r="471" spans="25:27" x14ac:dyDescent="0.25">
      <c r="Y471">
        <f t="shared" si="488"/>
        <v>-8.9</v>
      </c>
      <c r="Z471">
        <f t="shared" si="488"/>
        <v>1.3379088160259622</v>
      </c>
      <c r="AA471">
        <f t="shared" si="488"/>
        <v>-1.3379088160259622</v>
      </c>
    </row>
    <row r="472" spans="25:27" x14ac:dyDescent="0.25">
      <c r="Y472">
        <f t="shared" si="488"/>
        <v>-9</v>
      </c>
      <c r="Z472">
        <f t="shared" si="488"/>
        <v>0</v>
      </c>
      <c r="AA472">
        <f t="shared" si="488"/>
        <v>0</v>
      </c>
    </row>
  </sheetData>
  <sheetProtection password="E6CB" sheet="1" objects="1" scenarios="1"/>
  <mergeCells count="593">
    <mergeCell ref="AG46:AG47"/>
    <mergeCell ref="AK46:AK47"/>
    <mergeCell ref="AP83:AP84"/>
    <mergeCell ref="AQ83:AQ84"/>
    <mergeCell ref="AR83:AR84"/>
    <mergeCell ref="BA83:BA84"/>
    <mergeCell ref="DE83:DE84"/>
    <mergeCell ref="DF83:DF84"/>
    <mergeCell ref="V84:V85"/>
    <mergeCell ref="Z84:Z85"/>
    <mergeCell ref="BX83:BX84"/>
    <mergeCell ref="BY83:BY84"/>
    <mergeCell ref="CH83:CH84"/>
    <mergeCell ref="CI83:CI84"/>
    <mergeCell ref="CJ83:CJ84"/>
    <mergeCell ref="CS83:CS84"/>
    <mergeCell ref="BB83:BB84"/>
    <mergeCell ref="BC83:BC84"/>
    <mergeCell ref="BL83:BL84"/>
    <mergeCell ref="BM83:BM84"/>
    <mergeCell ref="BN83:BN84"/>
    <mergeCell ref="BW83:BW84"/>
    <mergeCell ref="AO86:AO87"/>
    <mergeCell ref="AP86:AP87"/>
    <mergeCell ref="AQ86:AQ87"/>
    <mergeCell ref="AR86:AR87"/>
    <mergeCell ref="AT86:AT87"/>
    <mergeCell ref="AU86:AU87"/>
    <mergeCell ref="CT83:CT84"/>
    <mergeCell ref="CU83:CU84"/>
    <mergeCell ref="DD83:DD84"/>
    <mergeCell ref="BE86:BE87"/>
    <mergeCell ref="BF86:BF87"/>
    <mergeCell ref="BG86:BG87"/>
    <mergeCell ref="BH86:BH87"/>
    <mergeCell ref="BK86:BK87"/>
    <mergeCell ref="BL86:BL87"/>
    <mergeCell ref="AV86:AV87"/>
    <mergeCell ref="AW86:AW87"/>
    <mergeCell ref="AZ86:AZ87"/>
    <mergeCell ref="BA86:BA87"/>
    <mergeCell ref="BB86:BB87"/>
    <mergeCell ref="BC86:BC87"/>
    <mergeCell ref="BV86:BV87"/>
    <mergeCell ref="BW86:BW87"/>
    <mergeCell ref="BX86:BX87"/>
    <mergeCell ref="BY86:BY87"/>
    <mergeCell ref="CA86:CA87"/>
    <mergeCell ref="CB86:CB87"/>
    <mergeCell ref="BM86:BM87"/>
    <mergeCell ref="BN86:BN87"/>
    <mergeCell ref="BP86:BP87"/>
    <mergeCell ref="BQ86:BQ87"/>
    <mergeCell ref="BR86:BR87"/>
    <mergeCell ref="BS86:BS87"/>
    <mergeCell ref="CN86:CN87"/>
    <mergeCell ref="CO86:CO87"/>
    <mergeCell ref="CR86:CR87"/>
    <mergeCell ref="CS86:CS87"/>
    <mergeCell ref="CC86:CC87"/>
    <mergeCell ref="CD86:CD87"/>
    <mergeCell ref="CG86:CG87"/>
    <mergeCell ref="CH86:CH87"/>
    <mergeCell ref="CI86:CI87"/>
    <mergeCell ref="CJ86:CJ87"/>
    <mergeCell ref="DJ86:DJ87"/>
    <mergeCell ref="DK86:DK87"/>
    <mergeCell ref="AP115:AP116"/>
    <mergeCell ref="AQ115:AQ116"/>
    <mergeCell ref="AR115:AR116"/>
    <mergeCell ref="BA115:BA116"/>
    <mergeCell ref="BB115:BB116"/>
    <mergeCell ref="BC115:BC116"/>
    <mergeCell ref="BL115:BL116"/>
    <mergeCell ref="BM115:BM116"/>
    <mergeCell ref="DC86:DC87"/>
    <mergeCell ref="DD86:DD87"/>
    <mergeCell ref="DE86:DE87"/>
    <mergeCell ref="DF86:DF87"/>
    <mergeCell ref="DH86:DH87"/>
    <mergeCell ref="DI86:DI87"/>
    <mergeCell ref="CT86:CT87"/>
    <mergeCell ref="CU86:CU87"/>
    <mergeCell ref="CW86:CW87"/>
    <mergeCell ref="CX86:CX87"/>
    <mergeCell ref="CY86:CY87"/>
    <mergeCell ref="CZ86:CZ87"/>
    <mergeCell ref="CL86:CL87"/>
    <mergeCell ref="CM86:CM87"/>
    <mergeCell ref="AO118:AO119"/>
    <mergeCell ref="AP118:AP119"/>
    <mergeCell ref="AQ118:AQ119"/>
    <mergeCell ref="AR118:AR119"/>
    <mergeCell ref="AT118:AT119"/>
    <mergeCell ref="AU118:AU119"/>
    <mergeCell ref="AV118:AV119"/>
    <mergeCell ref="AW118:AW119"/>
    <mergeCell ref="AZ118:AZ119"/>
    <mergeCell ref="BN118:BN119"/>
    <mergeCell ref="BP118:BP119"/>
    <mergeCell ref="BA118:BA119"/>
    <mergeCell ref="BB118:BB119"/>
    <mergeCell ref="BC118:BC119"/>
    <mergeCell ref="BE118:BE119"/>
    <mergeCell ref="BF118:BF119"/>
    <mergeCell ref="BG118:BG119"/>
    <mergeCell ref="DF115:DF116"/>
    <mergeCell ref="CJ115:CJ116"/>
    <mergeCell ref="CS115:CS116"/>
    <mergeCell ref="CT115:CT116"/>
    <mergeCell ref="CU115:CU116"/>
    <mergeCell ref="DD115:DD116"/>
    <mergeCell ref="DE115:DE116"/>
    <mergeCell ref="BN115:BN116"/>
    <mergeCell ref="BW115:BW116"/>
    <mergeCell ref="BX115:BX116"/>
    <mergeCell ref="BY115:BY116"/>
    <mergeCell ref="CH115:CH116"/>
    <mergeCell ref="CI115:CI116"/>
    <mergeCell ref="AO146:AP146"/>
    <mergeCell ref="AQ146:AR146"/>
    <mergeCell ref="AS146:AT146"/>
    <mergeCell ref="AU146:AV146"/>
    <mergeCell ref="AW146:AX146"/>
    <mergeCell ref="CX118:CX119"/>
    <mergeCell ref="CY118:CY119"/>
    <mergeCell ref="CZ118:CZ119"/>
    <mergeCell ref="DC118:DC119"/>
    <mergeCell ref="CO118:CO119"/>
    <mergeCell ref="CR118:CR119"/>
    <mergeCell ref="CS118:CS119"/>
    <mergeCell ref="CT118:CT119"/>
    <mergeCell ref="CU118:CU119"/>
    <mergeCell ref="CW118:CW119"/>
    <mergeCell ref="CH118:CH119"/>
    <mergeCell ref="CI118:CI119"/>
    <mergeCell ref="CJ118:CJ119"/>
    <mergeCell ref="CL118:CL119"/>
    <mergeCell ref="CM118:CM119"/>
    <mergeCell ref="CN118:CN119"/>
    <mergeCell ref="BY118:BY119"/>
    <mergeCell ref="CA118:CA119"/>
    <mergeCell ref="CB118:CB119"/>
    <mergeCell ref="BC146:BD146"/>
    <mergeCell ref="BE146:BF146"/>
    <mergeCell ref="BG146:BH146"/>
    <mergeCell ref="BI146:BJ146"/>
    <mergeCell ref="DF118:DF119"/>
    <mergeCell ref="DH118:DH119"/>
    <mergeCell ref="DI118:DI119"/>
    <mergeCell ref="DJ118:DJ119"/>
    <mergeCell ref="DK118:DK119"/>
    <mergeCell ref="DD118:DD119"/>
    <mergeCell ref="DE118:DE119"/>
    <mergeCell ref="CC118:CC119"/>
    <mergeCell ref="CD118:CD119"/>
    <mergeCell ref="CG118:CG119"/>
    <mergeCell ref="BQ118:BQ119"/>
    <mergeCell ref="BR118:BR119"/>
    <mergeCell ref="BS118:BS119"/>
    <mergeCell ref="BV118:BV119"/>
    <mergeCell ref="BW118:BW119"/>
    <mergeCell ref="BX118:BX119"/>
    <mergeCell ref="BH118:BH119"/>
    <mergeCell ref="BK118:BK119"/>
    <mergeCell ref="BL118:BL119"/>
    <mergeCell ref="BM118:BM119"/>
    <mergeCell ref="CI146:CJ146"/>
    <mergeCell ref="AC172:AC173"/>
    <mergeCell ref="AD172:AD173"/>
    <mergeCell ref="AE172:AE173"/>
    <mergeCell ref="AB175:AB176"/>
    <mergeCell ref="AC175:AC176"/>
    <mergeCell ref="AD175:AD176"/>
    <mergeCell ref="AE175:AE176"/>
    <mergeCell ref="AG175:AG176"/>
    <mergeCell ref="AH175:AH176"/>
    <mergeCell ref="BW146:BX146"/>
    <mergeCell ref="BY146:BZ146"/>
    <mergeCell ref="CA146:CB146"/>
    <mergeCell ref="CC146:CD146"/>
    <mergeCell ref="CE146:CF146"/>
    <mergeCell ref="CG146:CH146"/>
    <mergeCell ref="BK146:BL146"/>
    <mergeCell ref="BM146:BN146"/>
    <mergeCell ref="BO146:BP146"/>
    <mergeCell ref="BQ146:BR146"/>
    <mergeCell ref="BS146:BT146"/>
    <mergeCell ref="BU146:BV146"/>
    <mergeCell ref="AY146:AZ146"/>
    <mergeCell ref="BA146:BB146"/>
    <mergeCell ref="BC179:BD179"/>
    <mergeCell ref="BE179:BF179"/>
    <mergeCell ref="BG179:BH179"/>
    <mergeCell ref="AI175:AI176"/>
    <mergeCell ref="AJ175:AJ176"/>
    <mergeCell ref="AO179:AP179"/>
    <mergeCell ref="AQ179:AR179"/>
    <mergeCell ref="AS179:AT179"/>
    <mergeCell ref="AU179:AV179"/>
    <mergeCell ref="CG179:CH179"/>
    <mergeCell ref="CI179:CJ179"/>
    <mergeCell ref="AN181:AN184"/>
    <mergeCell ref="C184:C185"/>
    <mergeCell ref="D184:D185"/>
    <mergeCell ref="E184:E185"/>
    <mergeCell ref="N184:N185"/>
    <mergeCell ref="O184:O185"/>
    <mergeCell ref="P184:P185"/>
    <mergeCell ref="BU179:BV179"/>
    <mergeCell ref="BW179:BX179"/>
    <mergeCell ref="BY179:BZ179"/>
    <mergeCell ref="CA179:CB179"/>
    <mergeCell ref="CC179:CD179"/>
    <mergeCell ref="CE179:CF179"/>
    <mergeCell ref="BI179:BJ179"/>
    <mergeCell ref="BK179:BL179"/>
    <mergeCell ref="BM179:BN179"/>
    <mergeCell ref="BO179:BP179"/>
    <mergeCell ref="BQ179:BR179"/>
    <mergeCell ref="BS179:BT179"/>
    <mergeCell ref="AW179:AX179"/>
    <mergeCell ref="AY179:AZ179"/>
    <mergeCell ref="BA179:BB179"/>
    <mergeCell ref="B187:B188"/>
    <mergeCell ref="C187:C188"/>
    <mergeCell ref="D187:D188"/>
    <mergeCell ref="E187:E188"/>
    <mergeCell ref="G187:G188"/>
    <mergeCell ref="H187:H188"/>
    <mergeCell ref="I187:I188"/>
    <mergeCell ref="J187:J188"/>
    <mergeCell ref="M187:M188"/>
    <mergeCell ref="U187:U188"/>
    <mergeCell ref="AN191:AN194"/>
    <mergeCell ref="AN196:AN199"/>
    <mergeCell ref="AN201:AN204"/>
    <mergeCell ref="C204:C205"/>
    <mergeCell ref="D204:D205"/>
    <mergeCell ref="E204:E205"/>
    <mergeCell ref="N204:N205"/>
    <mergeCell ref="O204:O205"/>
    <mergeCell ref="P204:P205"/>
    <mergeCell ref="N187:N188"/>
    <mergeCell ref="O187:O188"/>
    <mergeCell ref="P187:P188"/>
    <mergeCell ref="R187:R188"/>
    <mergeCell ref="S187:S188"/>
    <mergeCell ref="T187:T188"/>
    <mergeCell ref="AN186:AN189"/>
    <mergeCell ref="B207:B208"/>
    <mergeCell ref="C207:C208"/>
    <mergeCell ref="D207:D208"/>
    <mergeCell ref="E207:E208"/>
    <mergeCell ref="G207:G208"/>
    <mergeCell ref="H207:H208"/>
    <mergeCell ref="I207:I208"/>
    <mergeCell ref="J207:J208"/>
    <mergeCell ref="M207:M208"/>
    <mergeCell ref="U207:U208"/>
    <mergeCell ref="AQ211:AR211"/>
    <mergeCell ref="AT211:AU211"/>
    <mergeCell ref="AW211:AX211"/>
    <mergeCell ref="AZ211:BA211"/>
    <mergeCell ref="BC211:BD211"/>
    <mergeCell ref="N207:N208"/>
    <mergeCell ref="O207:O208"/>
    <mergeCell ref="P207:P208"/>
    <mergeCell ref="R207:R208"/>
    <mergeCell ref="S207:S208"/>
    <mergeCell ref="T207:T208"/>
    <mergeCell ref="AN206:AN209"/>
    <mergeCell ref="N224:N225"/>
    <mergeCell ref="O224:O225"/>
    <mergeCell ref="P224:P225"/>
    <mergeCell ref="BA212:BA213"/>
    <mergeCell ref="BC212:BC213"/>
    <mergeCell ref="BD212:BD213"/>
    <mergeCell ref="BF211:BG211"/>
    <mergeCell ref="BI211:BJ211"/>
    <mergeCell ref="AP212:AP213"/>
    <mergeCell ref="AQ212:AQ213"/>
    <mergeCell ref="AR212:AR213"/>
    <mergeCell ref="AT212:AT213"/>
    <mergeCell ref="AU212:AU213"/>
    <mergeCell ref="AW212:AW213"/>
    <mergeCell ref="AX212:AX213"/>
    <mergeCell ref="AZ212:AZ213"/>
    <mergeCell ref="BJ212:BJ213"/>
    <mergeCell ref="BF212:BF213"/>
    <mergeCell ref="BG212:BG213"/>
    <mergeCell ref="BI212:BI213"/>
    <mergeCell ref="B227:B228"/>
    <mergeCell ref="C227:C228"/>
    <mergeCell ref="D227:D228"/>
    <mergeCell ref="E227:E228"/>
    <mergeCell ref="G227:G228"/>
    <mergeCell ref="H227:H228"/>
    <mergeCell ref="C224:C225"/>
    <mergeCell ref="D224:D225"/>
    <mergeCell ref="E224:E225"/>
    <mergeCell ref="R227:R228"/>
    <mergeCell ref="S227:S228"/>
    <mergeCell ref="T227:T228"/>
    <mergeCell ref="U227:U228"/>
    <mergeCell ref="AC239:AC240"/>
    <mergeCell ref="AD239:AD240"/>
    <mergeCell ref="I227:I228"/>
    <mergeCell ref="J227:J228"/>
    <mergeCell ref="M227:M228"/>
    <mergeCell ref="N227:N228"/>
    <mergeCell ref="O227:O228"/>
    <mergeCell ref="P227:P228"/>
    <mergeCell ref="CK239:CL239"/>
    <mergeCell ref="AQ240:AQ241"/>
    <mergeCell ref="AR240:AR241"/>
    <mergeCell ref="AS240:AS241"/>
    <mergeCell ref="AT240:AT241"/>
    <mergeCell ref="AU240:AU241"/>
    <mergeCell ref="AV240:AV241"/>
    <mergeCell ref="BS239:BT239"/>
    <mergeCell ref="BU239:BV239"/>
    <mergeCell ref="BW239:BX239"/>
    <mergeCell ref="BY239:BZ239"/>
    <mergeCell ref="CA239:CB239"/>
    <mergeCell ref="CC239:CD239"/>
    <mergeCell ref="BG239:BH239"/>
    <mergeCell ref="BI239:BJ239"/>
    <mergeCell ref="BK239:BL239"/>
    <mergeCell ref="BM239:BN239"/>
    <mergeCell ref="BO239:BP239"/>
    <mergeCell ref="BQ239:BR239"/>
    <mergeCell ref="AU239:AV239"/>
    <mergeCell ref="AW239:AX239"/>
    <mergeCell ref="AY239:AZ239"/>
    <mergeCell ref="BA239:BB239"/>
    <mergeCell ref="BC239:BD239"/>
    <mergeCell ref="CE239:CF239"/>
    <mergeCell ref="CG239:CH239"/>
    <mergeCell ref="CI239:CJ239"/>
    <mergeCell ref="BE239:BF239"/>
    <mergeCell ref="BL240:BL241"/>
    <mergeCell ref="BM240:BM241"/>
    <mergeCell ref="BN240:BN241"/>
    <mergeCell ref="BC240:BC241"/>
    <mergeCell ref="BD240:BD241"/>
    <mergeCell ref="BE240:BE241"/>
    <mergeCell ref="BF240:BF241"/>
    <mergeCell ref="BG240:BG241"/>
    <mergeCell ref="BH240:BH241"/>
    <mergeCell ref="CJ240:CJ241"/>
    <mergeCell ref="BP240:BP241"/>
    <mergeCell ref="BQ240:BQ241"/>
    <mergeCell ref="BR240:BR241"/>
    <mergeCell ref="BS240:BS241"/>
    <mergeCell ref="BT240:BT241"/>
    <mergeCell ref="BI240:BI241"/>
    <mergeCell ref="BJ240:BJ241"/>
    <mergeCell ref="BK240:BK241"/>
    <mergeCell ref="CK240:CK241"/>
    <mergeCell ref="CL240:CL241"/>
    <mergeCell ref="CA240:CA241"/>
    <mergeCell ref="CB240:CB241"/>
    <mergeCell ref="CC240:CC241"/>
    <mergeCell ref="CD240:CD241"/>
    <mergeCell ref="CE240:CE241"/>
    <mergeCell ref="CF240:CF241"/>
    <mergeCell ref="C244:C245"/>
    <mergeCell ref="D244:D245"/>
    <mergeCell ref="E244:E245"/>
    <mergeCell ref="N244:N245"/>
    <mergeCell ref="O244:O245"/>
    <mergeCell ref="P244:P245"/>
    <mergeCell ref="CG240:CG241"/>
    <mergeCell ref="CH240:CH241"/>
    <mergeCell ref="CI240:CI241"/>
    <mergeCell ref="BU240:BU241"/>
    <mergeCell ref="BV240:BV241"/>
    <mergeCell ref="BW240:BW241"/>
    <mergeCell ref="BX240:BX241"/>
    <mergeCell ref="BY240:BY241"/>
    <mergeCell ref="BZ240:BZ241"/>
    <mergeCell ref="BO240:BO241"/>
    <mergeCell ref="AZ240:AZ241"/>
    <mergeCell ref="BA240:BA241"/>
    <mergeCell ref="BB240:BB241"/>
    <mergeCell ref="AE239:AE240"/>
    <mergeCell ref="AF239:AF240"/>
    <mergeCell ref="AG239:AG240"/>
    <mergeCell ref="AH239:AH240"/>
    <mergeCell ref="AQ239:AR239"/>
    <mergeCell ref="AS239:AT239"/>
    <mergeCell ref="AW240:AW241"/>
    <mergeCell ref="AX240:AX241"/>
    <mergeCell ref="AY240:AY241"/>
    <mergeCell ref="B247:B248"/>
    <mergeCell ref="C247:C248"/>
    <mergeCell ref="D247:D248"/>
    <mergeCell ref="E247:E248"/>
    <mergeCell ref="G247:G248"/>
    <mergeCell ref="H247:H248"/>
    <mergeCell ref="AY250:AZ250"/>
    <mergeCell ref="BA250:BB250"/>
    <mergeCell ref="BC250:BD250"/>
    <mergeCell ref="I247:I248"/>
    <mergeCell ref="J247:J248"/>
    <mergeCell ref="M247:M248"/>
    <mergeCell ref="N247:N248"/>
    <mergeCell ref="O247:O248"/>
    <mergeCell ref="P247:P248"/>
    <mergeCell ref="BE250:BF250"/>
    <mergeCell ref="R247:R248"/>
    <mergeCell ref="S247:S248"/>
    <mergeCell ref="T247:T248"/>
    <mergeCell ref="U247:U248"/>
    <mergeCell ref="AQ250:AR250"/>
    <mergeCell ref="AS250:AT250"/>
    <mergeCell ref="CE250:CF250"/>
    <mergeCell ref="CG250:CH250"/>
    <mergeCell ref="CI250:CJ250"/>
    <mergeCell ref="CK250:CL250"/>
    <mergeCell ref="AQ251:AQ252"/>
    <mergeCell ref="AR251:AR252"/>
    <mergeCell ref="AS251:AS252"/>
    <mergeCell ref="AT251:AT252"/>
    <mergeCell ref="AU251:AU252"/>
    <mergeCell ref="AV251:AV252"/>
    <mergeCell ref="BS250:BT250"/>
    <mergeCell ref="BU250:BV250"/>
    <mergeCell ref="BW250:BX250"/>
    <mergeCell ref="BY250:BZ250"/>
    <mergeCell ref="CA250:CB250"/>
    <mergeCell ref="CC250:CD250"/>
    <mergeCell ref="BG250:BH250"/>
    <mergeCell ref="BI250:BJ250"/>
    <mergeCell ref="BK250:BL250"/>
    <mergeCell ref="BM250:BN250"/>
    <mergeCell ref="BO250:BP250"/>
    <mergeCell ref="BQ250:BR250"/>
    <mergeCell ref="AU250:AV250"/>
    <mergeCell ref="AW250:AX250"/>
    <mergeCell ref="BC251:BC252"/>
    <mergeCell ref="BD251:BD252"/>
    <mergeCell ref="BE251:BE252"/>
    <mergeCell ref="BF251:BF252"/>
    <mergeCell ref="BG251:BG252"/>
    <mergeCell ref="BH251:BH252"/>
    <mergeCell ref="AW251:AW252"/>
    <mergeCell ref="AX251:AX252"/>
    <mergeCell ref="AY251:AY252"/>
    <mergeCell ref="AZ251:AZ252"/>
    <mergeCell ref="BA251:BA252"/>
    <mergeCell ref="BB251:BB252"/>
    <mergeCell ref="BR251:BR252"/>
    <mergeCell ref="BS251:BS252"/>
    <mergeCell ref="BT251:BT252"/>
    <mergeCell ref="BI251:BI252"/>
    <mergeCell ref="BJ251:BJ252"/>
    <mergeCell ref="BK251:BK252"/>
    <mergeCell ref="BL251:BL252"/>
    <mergeCell ref="BM251:BM252"/>
    <mergeCell ref="BN251:BN252"/>
    <mergeCell ref="N264:N265"/>
    <mergeCell ref="O264:O265"/>
    <mergeCell ref="P264:P265"/>
    <mergeCell ref="CG251:CG252"/>
    <mergeCell ref="CH251:CH252"/>
    <mergeCell ref="CI251:CI252"/>
    <mergeCell ref="CJ251:CJ252"/>
    <mergeCell ref="CK251:CK252"/>
    <mergeCell ref="CL251:CL252"/>
    <mergeCell ref="CA251:CA252"/>
    <mergeCell ref="CB251:CB252"/>
    <mergeCell ref="CC251:CC252"/>
    <mergeCell ref="CD251:CD252"/>
    <mergeCell ref="CE251:CE252"/>
    <mergeCell ref="CF251:CF252"/>
    <mergeCell ref="BU251:BU252"/>
    <mergeCell ref="BV251:BV252"/>
    <mergeCell ref="BW251:BW252"/>
    <mergeCell ref="BX251:BX252"/>
    <mergeCell ref="BY251:BY252"/>
    <mergeCell ref="BZ251:BZ252"/>
    <mergeCell ref="BO251:BO252"/>
    <mergeCell ref="BP251:BP252"/>
    <mergeCell ref="BQ251:BQ252"/>
    <mergeCell ref="B267:B268"/>
    <mergeCell ref="C267:C268"/>
    <mergeCell ref="D267:D268"/>
    <mergeCell ref="E267:E268"/>
    <mergeCell ref="G267:G268"/>
    <mergeCell ref="H267:H268"/>
    <mergeCell ref="C264:C265"/>
    <mergeCell ref="D264:D265"/>
    <mergeCell ref="E264:E265"/>
    <mergeCell ref="R267:R268"/>
    <mergeCell ref="S267:S268"/>
    <mergeCell ref="T267:T268"/>
    <mergeCell ref="U267:U268"/>
    <mergeCell ref="C284:C285"/>
    <mergeCell ref="D284:D285"/>
    <mergeCell ref="E284:E285"/>
    <mergeCell ref="N284:N285"/>
    <mergeCell ref="O284:O285"/>
    <mergeCell ref="P284:P285"/>
    <mergeCell ref="I267:I268"/>
    <mergeCell ref="J267:J268"/>
    <mergeCell ref="M267:M268"/>
    <mergeCell ref="N267:N268"/>
    <mergeCell ref="O267:O268"/>
    <mergeCell ref="P267:P268"/>
    <mergeCell ref="U287:U288"/>
    <mergeCell ref="C304:C305"/>
    <mergeCell ref="D304:D305"/>
    <mergeCell ref="E304:E305"/>
    <mergeCell ref="N304:N305"/>
    <mergeCell ref="O304:O305"/>
    <mergeCell ref="P304:P305"/>
    <mergeCell ref="I287:I288"/>
    <mergeCell ref="J287:J288"/>
    <mergeCell ref="M287:M288"/>
    <mergeCell ref="N287:N288"/>
    <mergeCell ref="O287:O288"/>
    <mergeCell ref="P287:P288"/>
    <mergeCell ref="C287:C288"/>
    <mergeCell ref="D287:D288"/>
    <mergeCell ref="E287:E288"/>
    <mergeCell ref="G287:G288"/>
    <mergeCell ref="H287:H288"/>
    <mergeCell ref="B307:B308"/>
    <mergeCell ref="C307:C308"/>
    <mergeCell ref="D307:D308"/>
    <mergeCell ref="E307:E308"/>
    <mergeCell ref="G307:G308"/>
    <mergeCell ref="H307:H308"/>
    <mergeCell ref="R287:R288"/>
    <mergeCell ref="S287:S288"/>
    <mergeCell ref="T287:T288"/>
    <mergeCell ref="B287:B288"/>
    <mergeCell ref="R307:R308"/>
    <mergeCell ref="S307:S308"/>
    <mergeCell ref="T307:T308"/>
    <mergeCell ref="H327:H328"/>
    <mergeCell ref="U307:U308"/>
    <mergeCell ref="C324:C325"/>
    <mergeCell ref="D324:D325"/>
    <mergeCell ref="E324:E325"/>
    <mergeCell ref="N324:N325"/>
    <mergeCell ref="O324:O325"/>
    <mergeCell ref="P324:P325"/>
    <mergeCell ref="I307:I308"/>
    <mergeCell ref="J307:J308"/>
    <mergeCell ref="M307:M308"/>
    <mergeCell ref="N307:N308"/>
    <mergeCell ref="O307:O308"/>
    <mergeCell ref="P307:P308"/>
    <mergeCell ref="R327:R328"/>
    <mergeCell ref="S327:S328"/>
    <mergeCell ref="T327:T328"/>
    <mergeCell ref="B327:B328"/>
    <mergeCell ref="R347:R348"/>
    <mergeCell ref="S347:S348"/>
    <mergeCell ref="T347:T348"/>
    <mergeCell ref="U327:U328"/>
    <mergeCell ref="C344:C345"/>
    <mergeCell ref="D344:D345"/>
    <mergeCell ref="E344:E345"/>
    <mergeCell ref="N344:N345"/>
    <mergeCell ref="O344:O345"/>
    <mergeCell ref="P344:P345"/>
    <mergeCell ref="I327:I328"/>
    <mergeCell ref="J327:J328"/>
    <mergeCell ref="M327:M328"/>
    <mergeCell ref="N327:N328"/>
    <mergeCell ref="O327:O328"/>
    <mergeCell ref="P327:P328"/>
    <mergeCell ref="C327:C328"/>
    <mergeCell ref="D327:D328"/>
    <mergeCell ref="E327:E328"/>
    <mergeCell ref="G327:G328"/>
    <mergeCell ref="U347:U348"/>
    <mergeCell ref="I347:I348"/>
    <mergeCell ref="J347:J348"/>
    <mergeCell ref="M347:M348"/>
    <mergeCell ref="N347:N348"/>
    <mergeCell ref="O347:O348"/>
    <mergeCell ref="P347:P348"/>
    <mergeCell ref="B347:B348"/>
    <mergeCell ref="C347:C348"/>
    <mergeCell ref="D347:D348"/>
    <mergeCell ref="E347:E348"/>
    <mergeCell ref="G347:G348"/>
    <mergeCell ref="H347:H348"/>
  </mergeCells>
  <pageMargins left="0.62992125984251968" right="0.23622047244094491" top="0.35433070866141736" bottom="0.35433070866141736" header="0.11811023622047245" footer="0.11811023622047245"/>
  <pageSetup orientation="landscape" horizontalDpi="0" verticalDpi="0"/>
  <drawing r:id="rId1"/>
  <legacyDrawing r:id="rId2"/>
  <oleObjects>
    <mc:AlternateContent xmlns:mc="http://schemas.openxmlformats.org/markup-compatibility/2006">
      <mc:Choice Requires="x14">
        <oleObject progId="Equation.DSMT4" shapeId="3073" r:id="rId3">
          <objectPr defaultSize="0" r:id="rId4">
            <anchor moveWithCells="1">
              <from>
                <xdr:col>21</xdr:col>
                <xdr:colOff>304800</xdr:colOff>
                <xdr:row>83</xdr:row>
                <xdr:rowOff>76200</xdr:rowOff>
              </from>
              <to>
                <xdr:col>21</xdr:col>
                <xdr:colOff>714375</xdr:colOff>
                <xdr:row>84</xdr:row>
                <xdr:rowOff>161925</xdr:rowOff>
              </to>
            </anchor>
          </objectPr>
        </oleObject>
      </mc:Choice>
      <mc:Fallback>
        <oleObject progId="Equation.DSMT4" shapeId="3073" r:id="rId3"/>
      </mc:Fallback>
    </mc:AlternateContent>
    <mc:AlternateContent xmlns:mc="http://schemas.openxmlformats.org/markup-compatibility/2006">
      <mc:Choice Requires="x14">
        <oleObject progId="Equation.DSMT4" shapeId="3074" r:id="rId5">
          <objectPr defaultSize="0" r:id="rId4">
            <anchor moveWithCells="1">
              <from>
                <xdr:col>25</xdr:col>
                <xdr:colOff>304800</xdr:colOff>
                <xdr:row>83</xdr:row>
                <xdr:rowOff>76200</xdr:rowOff>
              </from>
              <to>
                <xdr:col>25</xdr:col>
                <xdr:colOff>714375</xdr:colOff>
                <xdr:row>84</xdr:row>
                <xdr:rowOff>161925</xdr:rowOff>
              </to>
            </anchor>
          </objectPr>
        </oleObject>
      </mc:Choice>
      <mc:Fallback>
        <oleObject progId="Equation.DSMT4" shapeId="3074" r:id="rId5"/>
      </mc:Fallback>
    </mc:AlternateContent>
    <mc:AlternateContent xmlns:mc="http://schemas.openxmlformats.org/markup-compatibility/2006">
      <mc:Choice Requires="x14">
        <oleObject progId="Equation.DSMT4" shapeId="3075" r:id="rId6">
          <objectPr defaultSize="0" r:id="rId7">
            <anchor moveWithCells="1">
              <from>
                <xdr:col>41</xdr:col>
                <xdr:colOff>200025</xdr:colOff>
                <xdr:row>73</xdr:row>
                <xdr:rowOff>114300</xdr:rowOff>
              </from>
              <to>
                <xdr:col>43</xdr:col>
                <xdr:colOff>647700</xdr:colOff>
                <xdr:row>80</xdr:row>
                <xdr:rowOff>123825</xdr:rowOff>
              </to>
            </anchor>
          </objectPr>
        </oleObject>
      </mc:Choice>
      <mc:Fallback>
        <oleObject progId="Equation.DSMT4" shapeId="3075" r:id="rId6"/>
      </mc:Fallback>
    </mc:AlternateContent>
    <mc:AlternateContent xmlns:mc="http://schemas.openxmlformats.org/markup-compatibility/2006">
      <mc:Choice Requires="x14">
        <oleObject progId="Equation.DSMT4" shapeId="3076" r:id="rId8">
          <objectPr defaultSize="0" r:id="rId9">
            <anchor moveWithCells="1">
              <from>
                <xdr:col>44</xdr:col>
                <xdr:colOff>304800</xdr:colOff>
                <xdr:row>73</xdr:row>
                <xdr:rowOff>47625</xdr:rowOff>
              </from>
              <to>
                <xdr:col>46</xdr:col>
                <xdr:colOff>676275</xdr:colOff>
                <xdr:row>75</xdr:row>
                <xdr:rowOff>114300</xdr:rowOff>
              </to>
            </anchor>
          </objectPr>
        </oleObject>
      </mc:Choice>
      <mc:Fallback>
        <oleObject progId="Equation.DSMT4" shapeId="3076" r:id="rId8"/>
      </mc:Fallback>
    </mc:AlternateContent>
    <mc:AlternateContent xmlns:mc="http://schemas.openxmlformats.org/markup-compatibility/2006">
      <mc:Choice Requires="x14">
        <oleObject progId="Equation.DSMT4" shapeId="3077" r:id="rId10">
          <objectPr defaultSize="0" r:id="rId11">
            <anchor moveWithCells="1">
              <from>
                <xdr:col>44</xdr:col>
                <xdr:colOff>219075</xdr:colOff>
                <xdr:row>76</xdr:row>
                <xdr:rowOff>76200</xdr:rowOff>
              </from>
              <to>
                <xdr:col>48</xdr:col>
                <xdr:colOff>123825</xdr:colOff>
                <xdr:row>77</xdr:row>
                <xdr:rowOff>161925</xdr:rowOff>
              </to>
            </anchor>
          </objectPr>
        </oleObject>
      </mc:Choice>
      <mc:Fallback>
        <oleObject progId="Equation.DSMT4" shapeId="3077" r:id="rId10"/>
      </mc:Fallback>
    </mc:AlternateContent>
    <mc:AlternateContent xmlns:mc="http://schemas.openxmlformats.org/markup-compatibility/2006">
      <mc:Choice Requires="x14">
        <oleObject progId="Equation.DSMT4" shapeId="3078" r:id="rId12">
          <objectPr defaultSize="0" r:id="rId13">
            <anchor moveWithCells="1">
              <from>
                <xdr:col>44</xdr:col>
                <xdr:colOff>219075</xdr:colOff>
                <xdr:row>78</xdr:row>
                <xdr:rowOff>161925</xdr:rowOff>
              </from>
              <to>
                <xdr:col>46</xdr:col>
                <xdr:colOff>990600</xdr:colOff>
                <xdr:row>81</xdr:row>
                <xdr:rowOff>38100</xdr:rowOff>
              </to>
            </anchor>
          </objectPr>
        </oleObject>
      </mc:Choice>
      <mc:Fallback>
        <oleObject progId="Equation.DSMT4" shapeId="3078" r:id="rId12"/>
      </mc:Fallback>
    </mc:AlternateContent>
    <mc:AlternateContent xmlns:mc="http://schemas.openxmlformats.org/markup-compatibility/2006">
      <mc:Choice Requires="x14">
        <oleObject progId="Equation.DSMT4" shapeId="3079" r:id="rId14">
          <objectPr defaultSize="0" r:id="rId15">
            <anchor moveWithCells="1">
              <from>
                <xdr:col>41</xdr:col>
                <xdr:colOff>428625</xdr:colOff>
                <xdr:row>82</xdr:row>
                <xdr:rowOff>152400</xdr:rowOff>
              </from>
              <to>
                <xdr:col>41</xdr:col>
                <xdr:colOff>609600</xdr:colOff>
                <xdr:row>83</xdr:row>
                <xdr:rowOff>114300</xdr:rowOff>
              </to>
            </anchor>
          </objectPr>
        </oleObject>
      </mc:Choice>
      <mc:Fallback>
        <oleObject progId="Equation.DSMT4" shapeId="3079" r:id="rId14"/>
      </mc:Fallback>
    </mc:AlternateContent>
    <mc:AlternateContent xmlns:mc="http://schemas.openxmlformats.org/markup-compatibility/2006">
      <mc:Choice Requires="x14">
        <oleObject progId="Equation.DSMT4" shapeId="3080" r:id="rId16">
          <objectPr defaultSize="0" r:id="rId17">
            <anchor moveWithCells="1">
              <from>
                <xdr:col>42</xdr:col>
                <xdr:colOff>257175</xdr:colOff>
                <xdr:row>82</xdr:row>
                <xdr:rowOff>85725</xdr:rowOff>
              </from>
              <to>
                <xdr:col>42</xdr:col>
                <xdr:colOff>676275</xdr:colOff>
                <xdr:row>83</xdr:row>
                <xdr:rowOff>180975</xdr:rowOff>
              </to>
            </anchor>
          </objectPr>
        </oleObject>
      </mc:Choice>
      <mc:Fallback>
        <oleObject progId="Equation.DSMT4" shapeId="3080" r:id="rId16"/>
      </mc:Fallback>
    </mc:AlternateContent>
    <mc:AlternateContent xmlns:mc="http://schemas.openxmlformats.org/markup-compatibility/2006">
      <mc:Choice Requires="x14">
        <oleObject progId="Equation.DSMT4" shapeId="3081" r:id="rId18">
          <objectPr defaultSize="0" r:id="rId19">
            <anchor moveWithCells="1">
              <from>
                <xdr:col>41</xdr:col>
                <xdr:colOff>295275</xdr:colOff>
                <xdr:row>85</xdr:row>
                <xdr:rowOff>104775</xdr:rowOff>
              </from>
              <to>
                <xdr:col>41</xdr:col>
                <xdr:colOff>714375</xdr:colOff>
                <xdr:row>86</xdr:row>
                <xdr:rowOff>200025</xdr:rowOff>
              </to>
            </anchor>
          </objectPr>
        </oleObject>
      </mc:Choice>
      <mc:Fallback>
        <oleObject progId="Equation.DSMT4" shapeId="3081" r:id="rId18"/>
      </mc:Fallback>
    </mc:AlternateContent>
    <mc:AlternateContent xmlns:mc="http://schemas.openxmlformats.org/markup-compatibility/2006">
      <mc:Choice Requires="x14">
        <oleObject progId="Equation.DSMT4" shapeId="3082" r:id="rId20">
          <objectPr defaultSize="0" r:id="rId21">
            <anchor moveWithCells="1">
              <from>
                <xdr:col>42</xdr:col>
                <xdr:colOff>295275</xdr:colOff>
                <xdr:row>85</xdr:row>
                <xdr:rowOff>104775</xdr:rowOff>
              </from>
              <to>
                <xdr:col>42</xdr:col>
                <xdr:colOff>714375</xdr:colOff>
                <xdr:row>86</xdr:row>
                <xdr:rowOff>200025</xdr:rowOff>
              </to>
            </anchor>
          </objectPr>
        </oleObject>
      </mc:Choice>
      <mc:Fallback>
        <oleObject progId="Equation.DSMT4" shapeId="3082" r:id="rId20"/>
      </mc:Fallback>
    </mc:AlternateContent>
    <mc:AlternateContent xmlns:mc="http://schemas.openxmlformats.org/markup-compatibility/2006">
      <mc:Choice Requires="x14">
        <oleObject progId="Equation.DSMT4" shapeId="3083" r:id="rId22">
          <objectPr defaultSize="0" r:id="rId23">
            <anchor moveWithCells="1">
              <from>
                <xdr:col>43</xdr:col>
                <xdr:colOff>314325</xdr:colOff>
                <xdr:row>82</xdr:row>
                <xdr:rowOff>85725</xdr:rowOff>
              </from>
              <to>
                <xdr:col>43</xdr:col>
                <xdr:colOff>733425</xdr:colOff>
                <xdr:row>83</xdr:row>
                <xdr:rowOff>180975</xdr:rowOff>
              </to>
            </anchor>
          </objectPr>
        </oleObject>
      </mc:Choice>
      <mc:Fallback>
        <oleObject progId="Equation.DSMT4" shapeId="3083" r:id="rId22"/>
      </mc:Fallback>
    </mc:AlternateContent>
    <mc:AlternateContent xmlns:mc="http://schemas.openxmlformats.org/markup-compatibility/2006">
      <mc:Choice Requires="x14">
        <oleObject progId="Equation.DSMT4" shapeId="3084" r:id="rId24">
          <objectPr defaultSize="0" r:id="rId25">
            <anchor moveWithCells="1">
              <from>
                <xdr:col>43</xdr:col>
                <xdr:colOff>304800</xdr:colOff>
                <xdr:row>85</xdr:row>
                <xdr:rowOff>85725</xdr:rowOff>
              </from>
              <to>
                <xdr:col>43</xdr:col>
                <xdr:colOff>714375</xdr:colOff>
                <xdr:row>86</xdr:row>
                <xdr:rowOff>180975</xdr:rowOff>
              </to>
            </anchor>
          </objectPr>
        </oleObject>
      </mc:Choice>
      <mc:Fallback>
        <oleObject progId="Equation.DSMT4" shapeId="3084" r:id="rId24"/>
      </mc:Fallback>
    </mc:AlternateContent>
    <mc:AlternateContent xmlns:mc="http://schemas.openxmlformats.org/markup-compatibility/2006">
      <mc:Choice Requires="x14">
        <oleObject progId="Equation.DSMT4" shapeId="3085" r:id="rId26">
          <objectPr defaultSize="0" r:id="rId27">
            <anchor moveWithCells="1">
              <from>
                <xdr:col>46</xdr:col>
                <xdr:colOff>304800</xdr:colOff>
                <xdr:row>85</xdr:row>
                <xdr:rowOff>76200</xdr:rowOff>
              </from>
              <to>
                <xdr:col>46</xdr:col>
                <xdr:colOff>714375</xdr:colOff>
                <xdr:row>86</xdr:row>
                <xdr:rowOff>161925</xdr:rowOff>
              </to>
            </anchor>
          </objectPr>
        </oleObject>
      </mc:Choice>
      <mc:Fallback>
        <oleObject progId="Equation.DSMT4" shapeId="3085" r:id="rId26"/>
      </mc:Fallback>
    </mc:AlternateContent>
    <mc:AlternateContent xmlns:mc="http://schemas.openxmlformats.org/markup-compatibility/2006">
      <mc:Choice Requires="x14">
        <oleObject progId="Equation.DSMT4" shapeId="3086" r:id="rId28">
          <objectPr defaultSize="0" r:id="rId15">
            <anchor moveWithCells="1">
              <from>
                <xdr:col>52</xdr:col>
                <xdr:colOff>428625</xdr:colOff>
                <xdr:row>82</xdr:row>
                <xdr:rowOff>152400</xdr:rowOff>
              </from>
              <to>
                <xdr:col>52</xdr:col>
                <xdr:colOff>609600</xdr:colOff>
                <xdr:row>83</xdr:row>
                <xdr:rowOff>114300</xdr:rowOff>
              </to>
            </anchor>
          </objectPr>
        </oleObject>
      </mc:Choice>
      <mc:Fallback>
        <oleObject progId="Equation.DSMT4" shapeId="3086" r:id="rId28"/>
      </mc:Fallback>
    </mc:AlternateContent>
    <mc:AlternateContent xmlns:mc="http://schemas.openxmlformats.org/markup-compatibility/2006">
      <mc:Choice Requires="x14">
        <oleObject progId="Equation.DSMT4" shapeId="3087" r:id="rId29">
          <objectPr defaultSize="0" r:id="rId17">
            <anchor moveWithCells="1">
              <from>
                <xdr:col>53</xdr:col>
                <xdr:colOff>257175</xdr:colOff>
                <xdr:row>82</xdr:row>
                <xdr:rowOff>85725</xdr:rowOff>
              </from>
              <to>
                <xdr:col>53</xdr:col>
                <xdr:colOff>676275</xdr:colOff>
                <xdr:row>83</xdr:row>
                <xdr:rowOff>180975</xdr:rowOff>
              </to>
            </anchor>
          </objectPr>
        </oleObject>
      </mc:Choice>
      <mc:Fallback>
        <oleObject progId="Equation.DSMT4" shapeId="3087" r:id="rId29"/>
      </mc:Fallback>
    </mc:AlternateContent>
    <mc:AlternateContent xmlns:mc="http://schemas.openxmlformats.org/markup-compatibility/2006">
      <mc:Choice Requires="x14">
        <oleObject progId="Equation.DSMT4" shapeId="3088" r:id="rId30">
          <objectPr defaultSize="0" r:id="rId19">
            <anchor moveWithCells="1">
              <from>
                <xdr:col>52</xdr:col>
                <xdr:colOff>295275</xdr:colOff>
                <xdr:row>85</xdr:row>
                <xdr:rowOff>104775</xdr:rowOff>
              </from>
              <to>
                <xdr:col>52</xdr:col>
                <xdr:colOff>714375</xdr:colOff>
                <xdr:row>86</xdr:row>
                <xdr:rowOff>200025</xdr:rowOff>
              </to>
            </anchor>
          </objectPr>
        </oleObject>
      </mc:Choice>
      <mc:Fallback>
        <oleObject progId="Equation.DSMT4" shapeId="3088" r:id="rId30"/>
      </mc:Fallback>
    </mc:AlternateContent>
    <mc:AlternateContent xmlns:mc="http://schemas.openxmlformats.org/markup-compatibility/2006">
      <mc:Choice Requires="x14">
        <oleObject progId="Equation.DSMT4" shapeId="3089" r:id="rId31">
          <objectPr defaultSize="0" r:id="rId21">
            <anchor moveWithCells="1">
              <from>
                <xdr:col>53</xdr:col>
                <xdr:colOff>295275</xdr:colOff>
                <xdr:row>85</xdr:row>
                <xdr:rowOff>104775</xdr:rowOff>
              </from>
              <to>
                <xdr:col>53</xdr:col>
                <xdr:colOff>714375</xdr:colOff>
                <xdr:row>86</xdr:row>
                <xdr:rowOff>200025</xdr:rowOff>
              </to>
            </anchor>
          </objectPr>
        </oleObject>
      </mc:Choice>
      <mc:Fallback>
        <oleObject progId="Equation.DSMT4" shapeId="3089" r:id="rId31"/>
      </mc:Fallback>
    </mc:AlternateContent>
    <mc:AlternateContent xmlns:mc="http://schemas.openxmlformats.org/markup-compatibility/2006">
      <mc:Choice Requires="x14">
        <oleObject progId="Equation.DSMT4" shapeId="3090" r:id="rId32">
          <objectPr defaultSize="0" r:id="rId23">
            <anchor moveWithCells="1">
              <from>
                <xdr:col>54</xdr:col>
                <xdr:colOff>333375</xdr:colOff>
                <xdr:row>82</xdr:row>
                <xdr:rowOff>85725</xdr:rowOff>
              </from>
              <to>
                <xdr:col>54</xdr:col>
                <xdr:colOff>733425</xdr:colOff>
                <xdr:row>83</xdr:row>
                <xdr:rowOff>180975</xdr:rowOff>
              </to>
            </anchor>
          </objectPr>
        </oleObject>
      </mc:Choice>
      <mc:Fallback>
        <oleObject progId="Equation.DSMT4" shapeId="3090" r:id="rId32"/>
      </mc:Fallback>
    </mc:AlternateContent>
    <mc:AlternateContent xmlns:mc="http://schemas.openxmlformats.org/markup-compatibility/2006">
      <mc:Choice Requires="x14">
        <oleObject progId="Equation.DSMT4" shapeId="3091" r:id="rId33">
          <objectPr defaultSize="0" r:id="rId25">
            <anchor moveWithCells="1">
              <from>
                <xdr:col>54</xdr:col>
                <xdr:colOff>304800</xdr:colOff>
                <xdr:row>85</xdr:row>
                <xdr:rowOff>85725</xdr:rowOff>
              </from>
              <to>
                <xdr:col>54</xdr:col>
                <xdr:colOff>714375</xdr:colOff>
                <xdr:row>86</xdr:row>
                <xdr:rowOff>180975</xdr:rowOff>
              </to>
            </anchor>
          </objectPr>
        </oleObject>
      </mc:Choice>
      <mc:Fallback>
        <oleObject progId="Equation.DSMT4" shapeId="3091" r:id="rId33"/>
      </mc:Fallback>
    </mc:AlternateContent>
    <mc:AlternateContent xmlns:mc="http://schemas.openxmlformats.org/markup-compatibility/2006">
      <mc:Choice Requires="x14">
        <oleObject progId="Equation.DSMT4" shapeId="3092" r:id="rId34">
          <objectPr defaultSize="0" r:id="rId27">
            <anchor moveWithCells="1">
              <from>
                <xdr:col>57</xdr:col>
                <xdr:colOff>304800</xdr:colOff>
                <xdr:row>85</xdr:row>
                <xdr:rowOff>76200</xdr:rowOff>
              </from>
              <to>
                <xdr:col>57</xdr:col>
                <xdr:colOff>714375</xdr:colOff>
                <xdr:row>86</xdr:row>
                <xdr:rowOff>161925</xdr:rowOff>
              </to>
            </anchor>
          </objectPr>
        </oleObject>
      </mc:Choice>
      <mc:Fallback>
        <oleObject progId="Equation.DSMT4" shapeId="3092" r:id="rId34"/>
      </mc:Fallback>
    </mc:AlternateContent>
    <mc:AlternateContent xmlns:mc="http://schemas.openxmlformats.org/markup-compatibility/2006">
      <mc:Choice Requires="x14">
        <oleObject progId="Equation.DSMT4" shapeId="3093" r:id="rId35">
          <objectPr defaultSize="0" r:id="rId15">
            <anchor moveWithCells="1">
              <from>
                <xdr:col>63</xdr:col>
                <xdr:colOff>428625</xdr:colOff>
                <xdr:row>82</xdr:row>
                <xdr:rowOff>152400</xdr:rowOff>
              </from>
              <to>
                <xdr:col>63</xdr:col>
                <xdr:colOff>609600</xdr:colOff>
                <xdr:row>83</xdr:row>
                <xdr:rowOff>114300</xdr:rowOff>
              </to>
            </anchor>
          </objectPr>
        </oleObject>
      </mc:Choice>
      <mc:Fallback>
        <oleObject progId="Equation.DSMT4" shapeId="3093" r:id="rId35"/>
      </mc:Fallback>
    </mc:AlternateContent>
    <mc:AlternateContent xmlns:mc="http://schemas.openxmlformats.org/markup-compatibility/2006">
      <mc:Choice Requires="x14">
        <oleObject progId="Equation.DSMT4" shapeId="3094" r:id="rId36">
          <objectPr defaultSize="0" r:id="rId17">
            <anchor moveWithCells="1">
              <from>
                <xdr:col>64</xdr:col>
                <xdr:colOff>257175</xdr:colOff>
                <xdr:row>82</xdr:row>
                <xdr:rowOff>85725</xdr:rowOff>
              </from>
              <to>
                <xdr:col>64</xdr:col>
                <xdr:colOff>676275</xdr:colOff>
                <xdr:row>83</xdr:row>
                <xdr:rowOff>180975</xdr:rowOff>
              </to>
            </anchor>
          </objectPr>
        </oleObject>
      </mc:Choice>
      <mc:Fallback>
        <oleObject progId="Equation.DSMT4" shapeId="3094" r:id="rId36"/>
      </mc:Fallback>
    </mc:AlternateContent>
    <mc:AlternateContent xmlns:mc="http://schemas.openxmlformats.org/markup-compatibility/2006">
      <mc:Choice Requires="x14">
        <oleObject progId="Equation.DSMT4" shapeId="3095" r:id="rId37">
          <objectPr defaultSize="0" r:id="rId19">
            <anchor moveWithCells="1">
              <from>
                <xdr:col>63</xdr:col>
                <xdr:colOff>295275</xdr:colOff>
                <xdr:row>85</xdr:row>
                <xdr:rowOff>104775</xdr:rowOff>
              </from>
              <to>
                <xdr:col>63</xdr:col>
                <xdr:colOff>714375</xdr:colOff>
                <xdr:row>86</xdr:row>
                <xdr:rowOff>200025</xdr:rowOff>
              </to>
            </anchor>
          </objectPr>
        </oleObject>
      </mc:Choice>
      <mc:Fallback>
        <oleObject progId="Equation.DSMT4" shapeId="3095" r:id="rId37"/>
      </mc:Fallback>
    </mc:AlternateContent>
    <mc:AlternateContent xmlns:mc="http://schemas.openxmlformats.org/markup-compatibility/2006">
      <mc:Choice Requires="x14">
        <oleObject progId="Equation.DSMT4" shapeId="3096" r:id="rId38">
          <objectPr defaultSize="0" r:id="rId21">
            <anchor moveWithCells="1">
              <from>
                <xdr:col>64</xdr:col>
                <xdr:colOff>295275</xdr:colOff>
                <xdr:row>85</xdr:row>
                <xdr:rowOff>104775</xdr:rowOff>
              </from>
              <to>
                <xdr:col>64</xdr:col>
                <xdr:colOff>714375</xdr:colOff>
                <xdr:row>86</xdr:row>
                <xdr:rowOff>200025</xdr:rowOff>
              </to>
            </anchor>
          </objectPr>
        </oleObject>
      </mc:Choice>
      <mc:Fallback>
        <oleObject progId="Equation.DSMT4" shapeId="3096" r:id="rId38"/>
      </mc:Fallback>
    </mc:AlternateContent>
    <mc:AlternateContent xmlns:mc="http://schemas.openxmlformats.org/markup-compatibility/2006">
      <mc:Choice Requires="x14">
        <oleObject progId="Equation.DSMT4" shapeId="3097" r:id="rId39">
          <objectPr defaultSize="0" r:id="rId23">
            <anchor moveWithCells="1">
              <from>
                <xdr:col>65</xdr:col>
                <xdr:colOff>314325</xdr:colOff>
                <xdr:row>82</xdr:row>
                <xdr:rowOff>85725</xdr:rowOff>
              </from>
              <to>
                <xdr:col>65</xdr:col>
                <xdr:colOff>733425</xdr:colOff>
                <xdr:row>83</xdr:row>
                <xdr:rowOff>180975</xdr:rowOff>
              </to>
            </anchor>
          </objectPr>
        </oleObject>
      </mc:Choice>
      <mc:Fallback>
        <oleObject progId="Equation.DSMT4" shapeId="3097" r:id="rId39"/>
      </mc:Fallback>
    </mc:AlternateContent>
    <mc:AlternateContent xmlns:mc="http://schemas.openxmlformats.org/markup-compatibility/2006">
      <mc:Choice Requires="x14">
        <oleObject progId="Equation.DSMT4" shapeId="3098" r:id="rId40">
          <objectPr defaultSize="0" r:id="rId25">
            <anchor moveWithCells="1">
              <from>
                <xdr:col>65</xdr:col>
                <xdr:colOff>304800</xdr:colOff>
                <xdr:row>85</xdr:row>
                <xdr:rowOff>85725</xdr:rowOff>
              </from>
              <to>
                <xdr:col>65</xdr:col>
                <xdr:colOff>714375</xdr:colOff>
                <xdr:row>86</xdr:row>
                <xdr:rowOff>180975</xdr:rowOff>
              </to>
            </anchor>
          </objectPr>
        </oleObject>
      </mc:Choice>
      <mc:Fallback>
        <oleObject progId="Equation.DSMT4" shapeId="3098" r:id="rId40"/>
      </mc:Fallback>
    </mc:AlternateContent>
    <mc:AlternateContent xmlns:mc="http://schemas.openxmlformats.org/markup-compatibility/2006">
      <mc:Choice Requires="x14">
        <oleObject progId="Equation.DSMT4" shapeId="3099" r:id="rId41">
          <objectPr defaultSize="0" r:id="rId27">
            <anchor moveWithCells="1">
              <from>
                <xdr:col>68</xdr:col>
                <xdr:colOff>304800</xdr:colOff>
                <xdr:row>85</xdr:row>
                <xdr:rowOff>76200</xdr:rowOff>
              </from>
              <to>
                <xdr:col>68</xdr:col>
                <xdr:colOff>714375</xdr:colOff>
                <xdr:row>86</xdr:row>
                <xdr:rowOff>161925</xdr:rowOff>
              </to>
            </anchor>
          </objectPr>
        </oleObject>
      </mc:Choice>
      <mc:Fallback>
        <oleObject progId="Equation.DSMT4" shapeId="3099" r:id="rId41"/>
      </mc:Fallback>
    </mc:AlternateContent>
    <mc:AlternateContent xmlns:mc="http://schemas.openxmlformats.org/markup-compatibility/2006">
      <mc:Choice Requires="x14">
        <oleObject progId="Equation.DSMT4" shapeId="3100" r:id="rId42">
          <objectPr defaultSize="0" r:id="rId15">
            <anchor moveWithCells="1">
              <from>
                <xdr:col>74</xdr:col>
                <xdr:colOff>428625</xdr:colOff>
                <xdr:row>82</xdr:row>
                <xdr:rowOff>152400</xdr:rowOff>
              </from>
              <to>
                <xdr:col>74</xdr:col>
                <xdr:colOff>609600</xdr:colOff>
                <xdr:row>83</xdr:row>
                <xdr:rowOff>114300</xdr:rowOff>
              </to>
            </anchor>
          </objectPr>
        </oleObject>
      </mc:Choice>
      <mc:Fallback>
        <oleObject progId="Equation.DSMT4" shapeId="3100" r:id="rId42"/>
      </mc:Fallback>
    </mc:AlternateContent>
    <mc:AlternateContent xmlns:mc="http://schemas.openxmlformats.org/markup-compatibility/2006">
      <mc:Choice Requires="x14">
        <oleObject progId="Equation.DSMT4" shapeId="3101" r:id="rId43">
          <objectPr defaultSize="0" r:id="rId17">
            <anchor moveWithCells="1">
              <from>
                <xdr:col>75</xdr:col>
                <xdr:colOff>257175</xdr:colOff>
                <xdr:row>82</xdr:row>
                <xdr:rowOff>85725</xdr:rowOff>
              </from>
              <to>
                <xdr:col>75</xdr:col>
                <xdr:colOff>676275</xdr:colOff>
                <xdr:row>83</xdr:row>
                <xdr:rowOff>180975</xdr:rowOff>
              </to>
            </anchor>
          </objectPr>
        </oleObject>
      </mc:Choice>
      <mc:Fallback>
        <oleObject progId="Equation.DSMT4" shapeId="3101" r:id="rId43"/>
      </mc:Fallback>
    </mc:AlternateContent>
    <mc:AlternateContent xmlns:mc="http://schemas.openxmlformats.org/markup-compatibility/2006">
      <mc:Choice Requires="x14">
        <oleObject progId="Equation.DSMT4" shapeId="3102" r:id="rId44">
          <objectPr defaultSize="0" r:id="rId19">
            <anchor moveWithCells="1">
              <from>
                <xdr:col>74</xdr:col>
                <xdr:colOff>295275</xdr:colOff>
                <xdr:row>85</xdr:row>
                <xdr:rowOff>104775</xdr:rowOff>
              </from>
              <to>
                <xdr:col>74</xdr:col>
                <xdr:colOff>714375</xdr:colOff>
                <xdr:row>86</xdr:row>
                <xdr:rowOff>200025</xdr:rowOff>
              </to>
            </anchor>
          </objectPr>
        </oleObject>
      </mc:Choice>
      <mc:Fallback>
        <oleObject progId="Equation.DSMT4" shapeId="3102" r:id="rId44"/>
      </mc:Fallback>
    </mc:AlternateContent>
    <mc:AlternateContent xmlns:mc="http://schemas.openxmlformats.org/markup-compatibility/2006">
      <mc:Choice Requires="x14">
        <oleObject progId="Equation.DSMT4" shapeId="3103" r:id="rId45">
          <objectPr defaultSize="0" r:id="rId21">
            <anchor moveWithCells="1">
              <from>
                <xdr:col>75</xdr:col>
                <xdr:colOff>295275</xdr:colOff>
                <xdr:row>85</xdr:row>
                <xdr:rowOff>104775</xdr:rowOff>
              </from>
              <to>
                <xdr:col>75</xdr:col>
                <xdr:colOff>714375</xdr:colOff>
                <xdr:row>86</xdr:row>
                <xdr:rowOff>200025</xdr:rowOff>
              </to>
            </anchor>
          </objectPr>
        </oleObject>
      </mc:Choice>
      <mc:Fallback>
        <oleObject progId="Equation.DSMT4" shapeId="3103" r:id="rId45"/>
      </mc:Fallback>
    </mc:AlternateContent>
    <mc:AlternateContent xmlns:mc="http://schemas.openxmlformats.org/markup-compatibility/2006">
      <mc:Choice Requires="x14">
        <oleObject progId="Equation.DSMT4" shapeId="3104" r:id="rId46">
          <objectPr defaultSize="0" r:id="rId23">
            <anchor moveWithCells="1">
              <from>
                <xdr:col>76</xdr:col>
                <xdr:colOff>314325</xdr:colOff>
                <xdr:row>82</xdr:row>
                <xdr:rowOff>85725</xdr:rowOff>
              </from>
              <to>
                <xdr:col>76</xdr:col>
                <xdr:colOff>733425</xdr:colOff>
                <xdr:row>83</xdr:row>
                <xdr:rowOff>180975</xdr:rowOff>
              </to>
            </anchor>
          </objectPr>
        </oleObject>
      </mc:Choice>
      <mc:Fallback>
        <oleObject progId="Equation.DSMT4" shapeId="3104" r:id="rId46"/>
      </mc:Fallback>
    </mc:AlternateContent>
    <mc:AlternateContent xmlns:mc="http://schemas.openxmlformats.org/markup-compatibility/2006">
      <mc:Choice Requires="x14">
        <oleObject progId="Equation.DSMT4" shapeId="3105" r:id="rId47">
          <objectPr defaultSize="0" r:id="rId25">
            <anchor moveWithCells="1">
              <from>
                <xdr:col>76</xdr:col>
                <xdr:colOff>304800</xdr:colOff>
                <xdr:row>85</xdr:row>
                <xdr:rowOff>85725</xdr:rowOff>
              </from>
              <to>
                <xdr:col>76</xdr:col>
                <xdr:colOff>714375</xdr:colOff>
                <xdr:row>86</xdr:row>
                <xdr:rowOff>180975</xdr:rowOff>
              </to>
            </anchor>
          </objectPr>
        </oleObject>
      </mc:Choice>
      <mc:Fallback>
        <oleObject progId="Equation.DSMT4" shapeId="3105" r:id="rId47"/>
      </mc:Fallback>
    </mc:AlternateContent>
    <mc:AlternateContent xmlns:mc="http://schemas.openxmlformats.org/markup-compatibility/2006">
      <mc:Choice Requires="x14">
        <oleObject progId="Equation.DSMT4" shapeId="3106" r:id="rId48">
          <objectPr defaultSize="0" r:id="rId27">
            <anchor moveWithCells="1">
              <from>
                <xdr:col>79</xdr:col>
                <xdr:colOff>304800</xdr:colOff>
                <xdr:row>85</xdr:row>
                <xdr:rowOff>76200</xdr:rowOff>
              </from>
              <to>
                <xdr:col>79</xdr:col>
                <xdr:colOff>714375</xdr:colOff>
                <xdr:row>86</xdr:row>
                <xdr:rowOff>161925</xdr:rowOff>
              </to>
            </anchor>
          </objectPr>
        </oleObject>
      </mc:Choice>
      <mc:Fallback>
        <oleObject progId="Equation.DSMT4" shapeId="3106" r:id="rId48"/>
      </mc:Fallback>
    </mc:AlternateContent>
    <mc:AlternateContent xmlns:mc="http://schemas.openxmlformats.org/markup-compatibility/2006">
      <mc:Choice Requires="x14">
        <oleObject progId="Equation.DSMT4" shapeId="3107" r:id="rId49">
          <objectPr defaultSize="0" r:id="rId15">
            <anchor moveWithCells="1">
              <from>
                <xdr:col>85</xdr:col>
                <xdr:colOff>428625</xdr:colOff>
                <xdr:row>82</xdr:row>
                <xdr:rowOff>152400</xdr:rowOff>
              </from>
              <to>
                <xdr:col>85</xdr:col>
                <xdr:colOff>609600</xdr:colOff>
                <xdr:row>83</xdr:row>
                <xdr:rowOff>114300</xdr:rowOff>
              </to>
            </anchor>
          </objectPr>
        </oleObject>
      </mc:Choice>
      <mc:Fallback>
        <oleObject progId="Equation.DSMT4" shapeId="3107" r:id="rId49"/>
      </mc:Fallback>
    </mc:AlternateContent>
    <mc:AlternateContent xmlns:mc="http://schemas.openxmlformats.org/markup-compatibility/2006">
      <mc:Choice Requires="x14">
        <oleObject progId="Equation.DSMT4" shapeId="3108" r:id="rId50">
          <objectPr defaultSize="0" r:id="rId17">
            <anchor moveWithCells="1">
              <from>
                <xdr:col>86</xdr:col>
                <xdr:colOff>257175</xdr:colOff>
                <xdr:row>82</xdr:row>
                <xdr:rowOff>85725</xdr:rowOff>
              </from>
              <to>
                <xdr:col>86</xdr:col>
                <xdr:colOff>676275</xdr:colOff>
                <xdr:row>83</xdr:row>
                <xdr:rowOff>180975</xdr:rowOff>
              </to>
            </anchor>
          </objectPr>
        </oleObject>
      </mc:Choice>
      <mc:Fallback>
        <oleObject progId="Equation.DSMT4" shapeId="3108" r:id="rId50"/>
      </mc:Fallback>
    </mc:AlternateContent>
    <mc:AlternateContent xmlns:mc="http://schemas.openxmlformats.org/markup-compatibility/2006">
      <mc:Choice Requires="x14">
        <oleObject progId="Equation.DSMT4" shapeId="3109" r:id="rId51">
          <objectPr defaultSize="0" r:id="rId19">
            <anchor moveWithCells="1">
              <from>
                <xdr:col>85</xdr:col>
                <xdr:colOff>295275</xdr:colOff>
                <xdr:row>85</xdr:row>
                <xdr:rowOff>104775</xdr:rowOff>
              </from>
              <to>
                <xdr:col>85</xdr:col>
                <xdr:colOff>714375</xdr:colOff>
                <xdr:row>86</xdr:row>
                <xdr:rowOff>200025</xdr:rowOff>
              </to>
            </anchor>
          </objectPr>
        </oleObject>
      </mc:Choice>
      <mc:Fallback>
        <oleObject progId="Equation.DSMT4" shapeId="3109" r:id="rId51"/>
      </mc:Fallback>
    </mc:AlternateContent>
    <mc:AlternateContent xmlns:mc="http://schemas.openxmlformats.org/markup-compatibility/2006">
      <mc:Choice Requires="x14">
        <oleObject progId="Equation.DSMT4" shapeId="3110" r:id="rId52">
          <objectPr defaultSize="0" r:id="rId21">
            <anchor moveWithCells="1">
              <from>
                <xdr:col>86</xdr:col>
                <xdr:colOff>295275</xdr:colOff>
                <xdr:row>85</xdr:row>
                <xdr:rowOff>104775</xdr:rowOff>
              </from>
              <to>
                <xdr:col>86</xdr:col>
                <xdr:colOff>714375</xdr:colOff>
                <xdr:row>86</xdr:row>
                <xdr:rowOff>200025</xdr:rowOff>
              </to>
            </anchor>
          </objectPr>
        </oleObject>
      </mc:Choice>
      <mc:Fallback>
        <oleObject progId="Equation.DSMT4" shapeId="3110" r:id="rId52"/>
      </mc:Fallback>
    </mc:AlternateContent>
    <mc:AlternateContent xmlns:mc="http://schemas.openxmlformats.org/markup-compatibility/2006">
      <mc:Choice Requires="x14">
        <oleObject progId="Equation.DSMT4" shapeId="3111" r:id="rId53">
          <objectPr defaultSize="0" r:id="rId23">
            <anchor moveWithCells="1">
              <from>
                <xdr:col>87</xdr:col>
                <xdr:colOff>314325</xdr:colOff>
                <xdr:row>82</xdr:row>
                <xdr:rowOff>85725</xdr:rowOff>
              </from>
              <to>
                <xdr:col>87</xdr:col>
                <xdr:colOff>733425</xdr:colOff>
                <xdr:row>83</xdr:row>
                <xdr:rowOff>180975</xdr:rowOff>
              </to>
            </anchor>
          </objectPr>
        </oleObject>
      </mc:Choice>
      <mc:Fallback>
        <oleObject progId="Equation.DSMT4" shapeId="3111" r:id="rId53"/>
      </mc:Fallback>
    </mc:AlternateContent>
    <mc:AlternateContent xmlns:mc="http://schemas.openxmlformats.org/markup-compatibility/2006">
      <mc:Choice Requires="x14">
        <oleObject progId="Equation.DSMT4" shapeId="3112" r:id="rId54">
          <objectPr defaultSize="0" r:id="rId25">
            <anchor moveWithCells="1">
              <from>
                <xdr:col>87</xdr:col>
                <xdr:colOff>304800</xdr:colOff>
                <xdr:row>85</xdr:row>
                <xdr:rowOff>85725</xdr:rowOff>
              </from>
              <to>
                <xdr:col>87</xdr:col>
                <xdr:colOff>714375</xdr:colOff>
                <xdr:row>86</xdr:row>
                <xdr:rowOff>180975</xdr:rowOff>
              </to>
            </anchor>
          </objectPr>
        </oleObject>
      </mc:Choice>
      <mc:Fallback>
        <oleObject progId="Equation.DSMT4" shapeId="3112" r:id="rId54"/>
      </mc:Fallback>
    </mc:AlternateContent>
    <mc:AlternateContent xmlns:mc="http://schemas.openxmlformats.org/markup-compatibility/2006">
      <mc:Choice Requires="x14">
        <oleObject progId="Equation.DSMT4" shapeId="3113" r:id="rId55">
          <objectPr defaultSize="0" r:id="rId27">
            <anchor moveWithCells="1">
              <from>
                <xdr:col>90</xdr:col>
                <xdr:colOff>304800</xdr:colOff>
                <xdr:row>85</xdr:row>
                <xdr:rowOff>76200</xdr:rowOff>
              </from>
              <to>
                <xdr:col>90</xdr:col>
                <xdr:colOff>714375</xdr:colOff>
                <xdr:row>86</xdr:row>
                <xdr:rowOff>161925</xdr:rowOff>
              </to>
            </anchor>
          </objectPr>
        </oleObject>
      </mc:Choice>
      <mc:Fallback>
        <oleObject progId="Equation.DSMT4" shapeId="3113" r:id="rId55"/>
      </mc:Fallback>
    </mc:AlternateContent>
    <mc:AlternateContent xmlns:mc="http://schemas.openxmlformats.org/markup-compatibility/2006">
      <mc:Choice Requires="x14">
        <oleObject progId="Equation.DSMT4" shapeId="3114" r:id="rId56">
          <objectPr defaultSize="0" r:id="rId15">
            <anchor moveWithCells="1">
              <from>
                <xdr:col>96</xdr:col>
                <xdr:colOff>428625</xdr:colOff>
                <xdr:row>82</xdr:row>
                <xdr:rowOff>152400</xdr:rowOff>
              </from>
              <to>
                <xdr:col>96</xdr:col>
                <xdr:colOff>609600</xdr:colOff>
                <xdr:row>83</xdr:row>
                <xdr:rowOff>114300</xdr:rowOff>
              </to>
            </anchor>
          </objectPr>
        </oleObject>
      </mc:Choice>
      <mc:Fallback>
        <oleObject progId="Equation.DSMT4" shapeId="3114" r:id="rId56"/>
      </mc:Fallback>
    </mc:AlternateContent>
    <mc:AlternateContent xmlns:mc="http://schemas.openxmlformats.org/markup-compatibility/2006">
      <mc:Choice Requires="x14">
        <oleObject progId="Equation.DSMT4" shapeId="3115" r:id="rId57">
          <objectPr defaultSize="0" r:id="rId17">
            <anchor moveWithCells="1">
              <from>
                <xdr:col>97</xdr:col>
                <xdr:colOff>257175</xdr:colOff>
                <xdr:row>82</xdr:row>
                <xdr:rowOff>85725</xdr:rowOff>
              </from>
              <to>
                <xdr:col>97</xdr:col>
                <xdr:colOff>676275</xdr:colOff>
                <xdr:row>83</xdr:row>
                <xdr:rowOff>180975</xdr:rowOff>
              </to>
            </anchor>
          </objectPr>
        </oleObject>
      </mc:Choice>
      <mc:Fallback>
        <oleObject progId="Equation.DSMT4" shapeId="3115" r:id="rId57"/>
      </mc:Fallback>
    </mc:AlternateContent>
    <mc:AlternateContent xmlns:mc="http://schemas.openxmlformats.org/markup-compatibility/2006">
      <mc:Choice Requires="x14">
        <oleObject progId="Equation.DSMT4" shapeId="3116" r:id="rId58">
          <objectPr defaultSize="0" r:id="rId19">
            <anchor moveWithCells="1">
              <from>
                <xdr:col>96</xdr:col>
                <xdr:colOff>295275</xdr:colOff>
                <xdr:row>85</xdr:row>
                <xdr:rowOff>104775</xdr:rowOff>
              </from>
              <to>
                <xdr:col>96</xdr:col>
                <xdr:colOff>714375</xdr:colOff>
                <xdr:row>86</xdr:row>
                <xdr:rowOff>200025</xdr:rowOff>
              </to>
            </anchor>
          </objectPr>
        </oleObject>
      </mc:Choice>
      <mc:Fallback>
        <oleObject progId="Equation.DSMT4" shapeId="3116" r:id="rId58"/>
      </mc:Fallback>
    </mc:AlternateContent>
    <mc:AlternateContent xmlns:mc="http://schemas.openxmlformats.org/markup-compatibility/2006">
      <mc:Choice Requires="x14">
        <oleObject progId="Equation.DSMT4" shapeId="3117" r:id="rId59">
          <objectPr defaultSize="0" r:id="rId21">
            <anchor moveWithCells="1">
              <from>
                <xdr:col>97</xdr:col>
                <xdr:colOff>295275</xdr:colOff>
                <xdr:row>85</xdr:row>
                <xdr:rowOff>104775</xdr:rowOff>
              </from>
              <to>
                <xdr:col>97</xdr:col>
                <xdr:colOff>714375</xdr:colOff>
                <xdr:row>86</xdr:row>
                <xdr:rowOff>200025</xdr:rowOff>
              </to>
            </anchor>
          </objectPr>
        </oleObject>
      </mc:Choice>
      <mc:Fallback>
        <oleObject progId="Equation.DSMT4" shapeId="3117" r:id="rId59"/>
      </mc:Fallback>
    </mc:AlternateContent>
    <mc:AlternateContent xmlns:mc="http://schemas.openxmlformats.org/markup-compatibility/2006">
      <mc:Choice Requires="x14">
        <oleObject progId="Equation.DSMT4" shapeId="3118" r:id="rId60">
          <objectPr defaultSize="0" r:id="rId23">
            <anchor moveWithCells="1">
              <from>
                <xdr:col>98</xdr:col>
                <xdr:colOff>314325</xdr:colOff>
                <xdr:row>82</xdr:row>
                <xdr:rowOff>85725</xdr:rowOff>
              </from>
              <to>
                <xdr:col>98</xdr:col>
                <xdr:colOff>733425</xdr:colOff>
                <xdr:row>83</xdr:row>
                <xdr:rowOff>180975</xdr:rowOff>
              </to>
            </anchor>
          </objectPr>
        </oleObject>
      </mc:Choice>
      <mc:Fallback>
        <oleObject progId="Equation.DSMT4" shapeId="3118" r:id="rId60"/>
      </mc:Fallback>
    </mc:AlternateContent>
    <mc:AlternateContent xmlns:mc="http://schemas.openxmlformats.org/markup-compatibility/2006">
      <mc:Choice Requires="x14">
        <oleObject progId="Equation.DSMT4" shapeId="3119" r:id="rId61">
          <objectPr defaultSize="0" r:id="rId25">
            <anchor moveWithCells="1">
              <from>
                <xdr:col>98</xdr:col>
                <xdr:colOff>304800</xdr:colOff>
                <xdr:row>85</xdr:row>
                <xdr:rowOff>85725</xdr:rowOff>
              </from>
              <to>
                <xdr:col>98</xdr:col>
                <xdr:colOff>714375</xdr:colOff>
                <xdr:row>86</xdr:row>
                <xdr:rowOff>180975</xdr:rowOff>
              </to>
            </anchor>
          </objectPr>
        </oleObject>
      </mc:Choice>
      <mc:Fallback>
        <oleObject progId="Equation.DSMT4" shapeId="3119" r:id="rId61"/>
      </mc:Fallback>
    </mc:AlternateContent>
    <mc:AlternateContent xmlns:mc="http://schemas.openxmlformats.org/markup-compatibility/2006">
      <mc:Choice Requires="x14">
        <oleObject progId="Equation.DSMT4" shapeId="3120" r:id="rId62">
          <objectPr defaultSize="0" r:id="rId27">
            <anchor moveWithCells="1">
              <from>
                <xdr:col>101</xdr:col>
                <xdr:colOff>304800</xdr:colOff>
                <xdr:row>85</xdr:row>
                <xdr:rowOff>76200</xdr:rowOff>
              </from>
              <to>
                <xdr:col>101</xdr:col>
                <xdr:colOff>714375</xdr:colOff>
                <xdr:row>86</xdr:row>
                <xdr:rowOff>161925</xdr:rowOff>
              </to>
            </anchor>
          </objectPr>
        </oleObject>
      </mc:Choice>
      <mc:Fallback>
        <oleObject progId="Equation.DSMT4" shapeId="3120" r:id="rId62"/>
      </mc:Fallback>
    </mc:AlternateContent>
    <mc:AlternateContent xmlns:mc="http://schemas.openxmlformats.org/markup-compatibility/2006">
      <mc:Choice Requires="x14">
        <oleObject progId="Equation.DSMT4" shapeId="3121" r:id="rId63">
          <objectPr defaultSize="0" r:id="rId15">
            <anchor moveWithCells="1">
              <from>
                <xdr:col>107</xdr:col>
                <xdr:colOff>428625</xdr:colOff>
                <xdr:row>82</xdr:row>
                <xdr:rowOff>152400</xdr:rowOff>
              </from>
              <to>
                <xdr:col>107</xdr:col>
                <xdr:colOff>609600</xdr:colOff>
                <xdr:row>83</xdr:row>
                <xdr:rowOff>114300</xdr:rowOff>
              </to>
            </anchor>
          </objectPr>
        </oleObject>
      </mc:Choice>
      <mc:Fallback>
        <oleObject progId="Equation.DSMT4" shapeId="3121" r:id="rId63"/>
      </mc:Fallback>
    </mc:AlternateContent>
    <mc:AlternateContent xmlns:mc="http://schemas.openxmlformats.org/markup-compatibility/2006">
      <mc:Choice Requires="x14">
        <oleObject progId="Equation.DSMT4" shapeId="3122" r:id="rId64">
          <objectPr defaultSize="0" r:id="rId17">
            <anchor moveWithCells="1">
              <from>
                <xdr:col>108</xdr:col>
                <xdr:colOff>257175</xdr:colOff>
                <xdr:row>82</xdr:row>
                <xdr:rowOff>85725</xdr:rowOff>
              </from>
              <to>
                <xdr:col>108</xdr:col>
                <xdr:colOff>647700</xdr:colOff>
                <xdr:row>83</xdr:row>
                <xdr:rowOff>180975</xdr:rowOff>
              </to>
            </anchor>
          </objectPr>
        </oleObject>
      </mc:Choice>
      <mc:Fallback>
        <oleObject progId="Equation.DSMT4" shapeId="3122" r:id="rId64"/>
      </mc:Fallback>
    </mc:AlternateContent>
    <mc:AlternateContent xmlns:mc="http://schemas.openxmlformats.org/markup-compatibility/2006">
      <mc:Choice Requires="x14">
        <oleObject progId="Equation.DSMT4" shapeId="3123" r:id="rId65">
          <objectPr defaultSize="0" r:id="rId19">
            <anchor moveWithCells="1">
              <from>
                <xdr:col>107</xdr:col>
                <xdr:colOff>295275</xdr:colOff>
                <xdr:row>85</xdr:row>
                <xdr:rowOff>104775</xdr:rowOff>
              </from>
              <to>
                <xdr:col>107</xdr:col>
                <xdr:colOff>714375</xdr:colOff>
                <xdr:row>86</xdr:row>
                <xdr:rowOff>200025</xdr:rowOff>
              </to>
            </anchor>
          </objectPr>
        </oleObject>
      </mc:Choice>
      <mc:Fallback>
        <oleObject progId="Equation.DSMT4" shapeId="3123" r:id="rId65"/>
      </mc:Fallback>
    </mc:AlternateContent>
    <mc:AlternateContent xmlns:mc="http://schemas.openxmlformats.org/markup-compatibility/2006">
      <mc:Choice Requires="x14">
        <oleObject progId="Equation.DSMT4" shapeId="3124" r:id="rId66">
          <objectPr defaultSize="0" r:id="rId21">
            <anchor moveWithCells="1">
              <from>
                <xdr:col>108</xdr:col>
                <xdr:colOff>295275</xdr:colOff>
                <xdr:row>85</xdr:row>
                <xdr:rowOff>104775</xdr:rowOff>
              </from>
              <to>
                <xdr:col>108</xdr:col>
                <xdr:colOff>714375</xdr:colOff>
                <xdr:row>86</xdr:row>
                <xdr:rowOff>200025</xdr:rowOff>
              </to>
            </anchor>
          </objectPr>
        </oleObject>
      </mc:Choice>
      <mc:Fallback>
        <oleObject progId="Equation.DSMT4" shapeId="3124" r:id="rId66"/>
      </mc:Fallback>
    </mc:AlternateContent>
    <mc:AlternateContent xmlns:mc="http://schemas.openxmlformats.org/markup-compatibility/2006">
      <mc:Choice Requires="x14">
        <oleObject progId="Equation.DSMT4" shapeId="3125" r:id="rId67">
          <objectPr defaultSize="0" r:id="rId23">
            <anchor moveWithCells="1">
              <from>
                <xdr:col>109</xdr:col>
                <xdr:colOff>314325</xdr:colOff>
                <xdr:row>82</xdr:row>
                <xdr:rowOff>85725</xdr:rowOff>
              </from>
              <to>
                <xdr:col>109</xdr:col>
                <xdr:colOff>733425</xdr:colOff>
                <xdr:row>83</xdr:row>
                <xdr:rowOff>180975</xdr:rowOff>
              </to>
            </anchor>
          </objectPr>
        </oleObject>
      </mc:Choice>
      <mc:Fallback>
        <oleObject progId="Equation.DSMT4" shapeId="3125" r:id="rId67"/>
      </mc:Fallback>
    </mc:AlternateContent>
    <mc:AlternateContent xmlns:mc="http://schemas.openxmlformats.org/markup-compatibility/2006">
      <mc:Choice Requires="x14">
        <oleObject progId="Equation.DSMT4" shapeId="3126" r:id="rId68">
          <objectPr defaultSize="0" r:id="rId25">
            <anchor moveWithCells="1">
              <from>
                <xdr:col>109</xdr:col>
                <xdr:colOff>304800</xdr:colOff>
                <xdr:row>85</xdr:row>
                <xdr:rowOff>85725</xdr:rowOff>
              </from>
              <to>
                <xdr:col>109</xdr:col>
                <xdr:colOff>714375</xdr:colOff>
                <xdr:row>86</xdr:row>
                <xdr:rowOff>180975</xdr:rowOff>
              </to>
            </anchor>
          </objectPr>
        </oleObject>
      </mc:Choice>
      <mc:Fallback>
        <oleObject progId="Equation.DSMT4" shapeId="3126" r:id="rId68"/>
      </mc:Fallback>
    </mc:AlternateContent>
    <mc:AlternateContent xmlns:mc="http://schemas.openxmlformats.org/markup-compatibility/2006">
      <mc:Choice Requires="x14">
        <oleObject progId="Equation.DSMT4" shapeId="3127" r:id="rId69">
          <objectPr defaultSize="0" r:id="rId27">
            <anchor moveWithCells="1">
              <from>
                <xdr:col>112</xdr:col>
                <xdr:colOff>304800</xdr:colOff>
                <xdr:row>85</xdr:row>
                <xdr:rowOff>76200</xdr:rowOff>
              </from>
              <to>
                <xdr:col>112</xdr:col>
                <xdr:colOff>714375</xdr:colOff>
                <xdr:row>86</xdr:row>
                <xdr:rowOff>161925</xdr:rowOff>
              </to>
            </anchor>
          </objectPr>
        </oleObject>
      </mc:Choice>
      <mc:Fallback>
        <oleObject progId="Equation.DSMT4" shapeId="3127" r:id="rId69"/>
      </mc:Fallback>
    </mc:AlternateContent>
    <mc:AlternateContent xmlns:mc="http://schemas.openxmlformats.org/markup-compatibility/2006">
      <mc:Choice Requires="x14">
        <oleObject progId="Equation.DSMT4" shapeId="3128" r:id="rId70">
          <objectPr defaultSize="0" r:id="rId15">
            <anchor moveWithCells="1">
              <from>
                <xdr:col>41</xdr:col>
                <xdr:colOff>428625</xdr:colOff>
                <xdr:row>114</xdr:row>
                <xdr:rowOff>152400</xdr:rowOff>
              </from>
              <to>
                <xdr:col>41</xdr:col>
                <xdr:colOff>609600</xdr:colOff>
                <xdr:row>115</xdr:row>
                <xdr:rowOff>114300</xdr:rowOff>
              </to>
            </anchor>
          </objectPr>
        </oleObject>
      </mc:Choice>
      <mc:Fallback>
        <oleObject progId="Equation.DSMT4" shapeId="3128" r:id="rId70"/>
      </mc:Fallback>
    </mc:AlternateContent>
    <mc:AlternateContent xmlns:mc="http://schemas.openxmlformats.org/markup-compatibility/2006">
      <mc:Choice Requires="x14">
        <oleObject progId="Equation.DSMT4" shapeId="3129" r:id="rId71">
          <objectPr defaultSize="0" r:id="rId17">
            <anchor moveWithCells="1">
              <from>
                <xdr:col>42</xdr:col>
                <xdr:colOff>257175</xdr:colOff>
                <xdr:row>114</xdr:row>
                <xdr:rowOff>85725</xdr:rowOff>
              </from>
              <to>
                <xdr:col>42</xdr:col>
                <xdr:colOff>647700</xdr:colOff>
                <xdr:row>115</xdr:row>
                <xdr:rowOff>180975</xdr:rowOff>
              </to>
            </anchor>
          </objectPr>
        </oleObject>
      </mc:Choice>
      <mc:Fallback>
        <oleObject progId="Equation.DSMT4" shapeId="3129" r:id="rId71"/>
      </mc:Fallback>
    </mc:AlternateContent>
    <mc:AlternateContent xmlns:mc="http://schemas.openxmlformats.org/markup-compatibility/2006">
      <mc:Choice Requires="x14">
        <oleObject progId="Equation.DSMT4" shapeId="3130" r:id="rId72">
          <objectPr defaultSize="0" r:id="rId19">
            <anchor moveWithCells="1">
              <from>
                <xdr:col>41</xdr:col>
                <xdr:colOff>295275</xdr:colOff>
                <xdr:row>117</xdr:row>
                <xdr:rowOff>104775</xdr:rowOff>
              </from>
              <to>
                <xdr:col>41</xdr:col>
                <xdr:colOff>714375</xdr:colOff>
                <xdr:row>118</xdr:row>
                <xdr:rowOff>200025</xdr:rowOff>
              </to>
            </anchor>
          </objectPr>
        </oleObject>
      </mc:Choice>
      <mc:Fallback>
        <oleObject progId="Equation.DSMT4" shapeId="3130" r:id="rId72"/>
      </mc:Fallback>
    </mc:AlternateContent>
    <mc:AlternateContent xmlns:mc="http://schemas.openxmlformats.org/markup-compatibility/2006">
      <mc:Choice Requires="x14">
        <oleObject progId="Equation.DSMT4" shapeId="3131" r:id="rId73">
          <objectPr defaultSize="0" r:id="rId21">
            <anchor moveWithCells="1">
              <from>
                <xdr:col>42</xdr:col>
                <xdr:colOff>295275</xdr:colOff>
                <xdr:row>117</xdr:row>
                <xdr:rowOff>104775</xdr:rowOff>
              </from>
              <to>
                <xdr:col>42</xdr:col>
                <xdr:colOff>714375</xdr:colOff>
                <xdr:row>118</xdr:row>
                <xdr:rowOff>200025</xdr:rowOff>
              </to>
            </anchor>
          </objectPr>
        </oleObject>
      </mc:Choice>
      <mc:Fallback>
        <oleObject progId="Equation.DSMT4" shapeId="3131" r:id="rId73"/>
      </mc:Fallback>
    </mc:AlternateContent>
    <mc:AlternateContent xmlns:mc="http://schemas.openxmlformats.org/markup-compatibility/2006">
      <mc:Choice Requires="x14">
        <oleObject progId="Equation.DSMT4" shapeId="3132" r:id="rId74">
          <objectPr defaultSize="0" r:id="rId23">
            <anchor moveWithCells="1">
              <from>
                <xdr:col>43</xdr:col>
                <xdr:colOff>314325</xdr:colOff>
                <xdr:row>114</xdr:row>
                <xdr:rowOff>85725</xdr:rowOff>
              </from>
              <to>
                <xdr:col>43</xdr:col>
                <xdr:colOff>733425</xdr:colOff>
                <xdr:row>115</xdr:row>
                <xdr:rowOff>180975</xdr:rowOff>
              </to>
            </anchor>
          </objectPr>
        </oleObject>
      </mc:Choice>
      <mc:Fallback>
        <oleObject progId="Equation.DSMT4" shapeId="3132" r:id="rId74"/>
      </mc:Fallback>
    </mc:AlternateContent>
    <mc:AlternateContent xmlns:mc="http://schemas.openxmlformats.org/markup-compatibility/2006">
      <mc:Choice Requires="x14">
        <oleObject progId="Equation.DSMT4" shapeId="3133" r:id="rId75">
          <objectPr defaultSize="0" r:id="rId25">
            <anchor moveWithCells="1">
              <from>
                <xdr:col>43</xdr:col>
                <xdr:colOff>304800</xdr:colOff>
                <xdr:row>117</xdr:row>
                <xdr:rowOff>85725</xdr:rowOff>
              </from>
              <to>
                <xdr:col>43</xdr:col>
                <xdr:colOff>714375</xdr:colOff>
                <xdr:row>118</xdr:row>
                <xdr:rowOff>180975</xdr:rowOff>
              </to>
            </anchor>
          </objectPr>
        </oleObject>
      </mc:Choice>
      <mc:Fallback>
        <oleObject progId="Equation.DSMT4" shapeId="3133" r:id="rId75"/>
      </mc:Fallback>
    </mc:AlternateContent>
    <mc:AlternateContent xmlns:mc="http://schemas.openxmlformats.org/markup-compatibility/2006">
      <mc:Choice Requires="x14">
        <oleObject progId="Equation.DSMT4" shapeId="3134" r:id="rId76">
          <objectPr defaultSize="0" r:id="rId27">
            <anchor moveWithCells="1">
              <from>
                <xdr:col>46</xdr:col>
                <xdr:colOff>304800</xdr:colOff>
                <xdr:row>117</xdr:row>
                <xdr:rowOff>76200</xdr:rowOff>
              </from>
              <to>
                <xdr:col>46</xdr:col>
                <xdr:colOff>714375</xdr:colOff>
                <xdr:row>118</xdr:row>
                <xdr:rowOff>161925</xdr:rowOff>
              </to>
            </anchor>
          </objectPr>
        </oleObject>
      </mc:Choice>
      <mc:Fallback>
        <oleObject progId="Equation.DSMT4" shapeId="3134" r:id="rId76"/>
      </mc:Fallback>
    </mc:AlternateContent>
    <mc:AlternateContent xmlns:mc="http://schemas.openxmlformats.org/markup-compatibility/2006">
      <mc:Choice Requires="x14">
        <oleObject progId="Equation.DSMT4" shapeId="3135" r:id="rId77">
          <objectPr defaultSize="0" r:id="rId15">
            <anchor moveWithCells="1">
              <from>
                <xdr:col>52</xdr:col>
                <xdr:colOff>428625</xdr:colOff>
                <xdr:row>114</xdr:row>
                <xdr:rowOff>152400</xdr:rowOff>
              </from>
              <to>
                <xdr:col>52</xdr:col>
                <xdr:colOff>609600</xdr:colOff>
                <xdr:row>115</xdr:row>
                <xdr:rowOff>114300</xdr:rowOff>
              </to>
            </anchor>
          </objectPr>
        </oleObject>
      </mc:Choice>
      <mc:Fallback>
        <oleObject progId="Equation.DSMT4" shapeId="3135" r:id="rId77"/>
      </mc:Fallback>
    </mc:AlternateContent>
    <mc:AlternateContent xmlns:mc="http://schemas.openxmlformats.org/markup-compatibility/2006">
      <mc:Choice Requires="x14">
        <oleObject progId="Equation.DSMT4" shapeId="3136" r:id="rId78">
          <objectPr defaultSize="0" r:id="rId17">
            <anchor moveWithCells="1">
              <from>
                <xdr:col>53</xdr:col>
                <xdr:colOff>257175</xdr:colOff>
                <xdr:row>114</xdr:row>
                <xdr:rowOff>85725</xdr:rowOff>
              </from>
              <to>
                <xdr:col>53</xdr:col>
                <xdr:colOff>647700</xdr:colOff>
                <xdr:row>115</xdr:row>
                <xdr:rowOff>180975</xdr:rowOff>
              </to>
            </anchor>
          </objectPr>
        </oleObject>
      </mc:Choice>
      <mc:Fallback>
        <oleObject progId="Equation.DSMT4" shapeId="3136" r:id="rId78"/>
      </mc:Fallback>
    </mc:AlternateContent>
    <mc:AlternateContent xmlns:mc="http://schemas.openxmlformats.org/markup-compatibility/2006">
      <mc:Choice Requires="x14">
        <oleObject progId="Equation.DSMT4" shapeId="3137" r:id="rId79">
          <objectPr defaultSize="0" r:id="rId19">
            <anchor moveWithCells="1">
              <from>
                <xdr:col>52</xdr:col>
                <xdr:colOff>295275</xdr:colOff>
                <xdr:row>117</xdr:row>
                <xdr:rowOff>104775</xdr:rowOff>
              </from>
              <to>
                <xdr:col>52</xdr:col>
                <xdr:colOff>714375</xdr:colOff>
                <xdr:row>118</xdr:row>
                <xdr:rowOff>200025</xdr:rowOff>
              </to>
            </anchor>
          </objectPr>
        </oleObject>
      </mc:Choice>
      <mc:Fallback>
        <oleObject progId="Equation.DSMT4" shapeId="3137" r:id="rId79"/>
      </mc:Fallback>
    </mc:AlternateContent>
    <mc:AlternateContent xmlns:mc="http://schemas.openxmlformats.org/markup-compatibility/2006">
      <mc:Choice Requires="x14">
        <oleObject progId="Equation.DSMT4" shapeId="3138" r:id="rId80">
          <objectPr defaultSize="0" r:id="rId21">
            <anchor moveWithCells="1">
              <from>
                <xdr:col>53</xdr:col>
                <xdr:colOff>295275</xdr:colOff>
                <xdr:row>117</xdr:row>
                <xdr:rowOff>104775</xdr:rowOff>
              </from>
              <to>
                <xdr:col>53</xdr:col>
                <xdr:colOff>714375</xdr:colOff>
                <xdr:row>118</xdr:row>
                <xdr:rowOff>200025</xdr:rowOff>
              </to>
            </anchor>
          </objectPr>
        </oleObject>
      </mc:Choice>
      <mc:Fallback>
        <oleObject progId="Equation.DSMT4" shapeId="3138" r:id="rId80"/>
      </mc:Fallback>
    </mc:AlternateContent>
    <mc:AlternateContent xmlns:mc="http://schemas.openxmlformats.org/markup-compatibility/2006">
      <mc:Choice Requires="x14">
        <oleObject progId="Equation.DSMT4" shapeId="3139" r:id="rId81">
          <objectPr defaultSize="0" r:id="rId23">
            <anchor moveWithCells="1">
              <from>
                <xdr:col>54</xdr:col>
                <xdr:colOff>314325</xdr:colOff>
                <xdr:row>114</xdr:row>
                <xdr:rowOff>85725</xdr:rowOff>
              </from>
              <to>
                <xdr:col>54</xdr:col>
                <xdr:colOff>733425</xdr:colOff>
                <xdr:row>115</xdr:row>
                <xdr:rowOff>180975</xdr:rowOff>
              </to>
            </anchor>
          </objectPr>
        </oleObject>
      </mc:Choice>
      <mc:Fallback>
        <oleObject progId="Equation.DSMT4" shapeId="3139" r:id="rId81"/>
      </mc:Fallback>
    </mc:AlternateContent>
    <mc:AlternateContent xmlns:mc="http://schemas.openxmlformats.org/markup-compatibility/2006">
      <mc:Choice Requires="x14">
        <oleObject progId="Equation.DSMT4" shapeId="3140" r:id="rId82">
          <objectPr defaultSize="0" r:id="rId25">
            <anchor moveWithCells="1">
              <from>
                <xdr:col>54</xdr:col>
                <xdr:colOff>304800</xdr:colOff>
                <xdr:row>117</xdr:row>
                <xdr:rowOff>85725</xdr:rowOff>
              </from>
              <to>
                <xdr:col>54</xdr:col>
                <xdr:colOff>714375</xdr:colOff>
                <xdr:row>118</xdr:row>
                <xdr:rowOff>180975</xdr:rowOff>
              </to>
            </anchor>
          </objectPr>
        </oleObject>
      </mc:Choice>
      <mc:Fallback>
        <oleObject progId="Equation.DSMT4" shapeId="3140" r:id="rId82"/>
      </mc:Fallback>
    </mc:AlternateContent>
    <mc:AlternateContent xmlns:mc="http://schemas.openxmlformats.org/markup-compatibility/2006">
      <mc:Choice Requires="x14">
        <oleObject progId="Equation.DSMT4" shapeId="3141" r:id="rId83">
          <objectPr defaultSize="0" r:id="rId27">
            <anchor moveWithCells="1">
              <from>
                <xdr:col>57</xdr:col>
                <xdr:colOff>304800</xdr:colOff>
                <xdr:row>117</xdr:row>
                <xdr:rowOff>76200</xdr:rowOff>
              </from>
              <to>
                <xdr:col>57</xdr:col>
                <xdr:colOff>714375</xdr:colOff>
                <xdr:row>118</xdr:row>
                <xdr:rowOff>161925</xdr:rowOff>
              </to>
            </anchor>
          </objectPr>
        </oleObject>
      </mc:Choice>
      <mc:Fallback>
        <oleObject progId="Equation.DSMT4" shapeId="3141" r:id="rId83"/>
      </mc:Fallback>
    </mc:AlternateContent>
    <mc:AlternateContent xmlns:mc="http://schemas.openxmlformats.org/markup-compatibility/2006">
      <mc:Choice Requires="x14">
        <oleObject progId="Equation.DSMT4" shapeId="3142" r:id="rId84">
          <objectPr defaultSize="0" r:id="rId15">
            <anchor moveWithCells="1">
              <from>
                <xdr:col>63</xdr:col>
                <xdr:colOff>428625</xdr:colOff>
                <xdr:row>114</xdr:row>
                <xdr:rowOff>152400</xdr:rowOff>
              </from>
              <to>
                <xdr:col>63</xdr:col>
                <xdr:colOff>609600</xdr:colOff>
                <xdr:row>115</xdr:row>
                <xdr:rowOff>114300</xdr:rowOff>
              </to>
            </anchor>
          </objectPr>
        </oleObject>
      </mc:Choice>
      <mc:Fallback>
        <oleObject progId="Equation.DSMT4" shapeId="3142" r:id="rId84"/>
      </mc:Fallback>
    </mc:AlternateContent>
    <mc:AlternateContent xmlns:mc="http://schemas.openxmlformats.org/markup-compatibility/2006">
      <mc:Choice Requires="x14">
        <oleObject progId="Equation.DSMT4" shapeId="3143" r:id="rId85">
          <objectPr defaultSize="0" r:id="rId17">
            <anchor moveWithCells="1">
              <from>
                <xdr:col>64</xdr:col>
                <xdr:colOff>257175</xdr:colOff>
                <xdr:row>114</xdr:row>
                <xdr:rowOff>85725</xdr:rowOff>
              </from>
              <to>
                <xdr:col>64</xdr:col>
                <xdr:colOff>647700</xdr:colOff>
                <xdr:row>115</xdr:row>
                <xdr:rowOff>180975</xdr:rowOff>
              </to>
            </anchor>
          </objectPr>
        </oleObject>
      </mc:Choice>
      <mc:Fallback>
        <oleObject progId="Equation.DSMT4" shapeId="3143" r:id="rId85"/>
      </mc:Fallback>
    </mc:AlternateContent>
    <mc:AlternateContent xmlns:mc="http://schemas.openxmlformats.org/markup-compatibility/2006">
      <mc:Choice Requires="x14">
        <oleObject progId="Equation.DSMT4" shapeId="3144" r:id="rId86">
          <objectPr defaultSize="0" r:id="rId19">
            <anchor moveWithCells="1">
              <from>
                <xdr:col>63</xdr:col>
                <xdr:colOff>295275</xdr:colOff>
                <xdr:row>117</xdr:row>
                <xdr:rowOff>104775</xdr:rowOff>
              </from>
              <to>
                <xdr:col>63</xdr:col>
                <xdr:colOff>714375</xdr:colOff>
                <xdr:row>118</xdr:row>
                <xdr:rowOff>200025</xdr:rowOff>
              </to>
            </anchor>
          </objectPr>
        </oleObject>
      </mc:Choice>
      <mc:Fallback>
        <oleObject progId="Equation.DSMT4" shapeId="3144" r:id="rId86"/>
      </mc:Fallback>
    </mc:AlternateContent>
    <mc:AlternateContent xmlns:mc="http://schemas.openxmlformats.org/markup-compatibility/2006">
      <mc:Choice Requires="x14">
        <oleObject progId="Equation.DSMT4" shapeId="3145" r:id="rId87">
          <objectPr defaultSize="0" r:id="rId21">
            <anchor moveWithCells="1">
              <from>
                <xdr:col>64</xdr:col>
                <xdr:colOff>295275</xdr:colOff>
                <xdr:row>117</xdr:row>
                <xdr:rowOff>104775</xdr:rowOff>
              </from>
              <to>
                <xdr:col>64</xdr:col>
                <xdr:colOff>714375</xdr:colOff>
                <xdr:row>118</xdr:row>
                <xdr:rowOff>200025</xdr:rowOff>
              </to>
            </anchor>
          </objectPr>
        </oleObject>
      </mc:Choice>
      <mc:Fallback>
        <oleObject progId="Equation.DSMT4" shapeId="3145" r:id="rId87"/>
      </mc:Fallback>
    </mc:AlternateContent>
    <mc:AlternateContent xmlns:mc="http://schemas.openxmlformats.org/markup-compatibility/2006">
      <mc:Choice Requires="x14">
        <oleObject progId="Equation.DSMT4" shapeId="3146" r:id="rId88">
          <objectPr defaultSize="0" r:id="rId23">
            <anchor moveWithCells="1">
              <from>
                <xdr:col>65</xdr:col>
                <xdr:colOff>314325</xdr:colOff>
                <xdr:row>114</xdr:row>
                <xdr:rowOff>85725</xdr:rowOff>
              </from>
              <to>
                <xdr:col>65</xdr:col>
                <xdr:colOff>733425</xdr:colOff>
                <xdr:row>115</xdr:row>
                <xdr:rowOff>180975</xdr:rowOff>
              </to>
            </anchor>
          </objectPr>
        </oleObject>
      </mc:Choice>
      <mc:Fallback>
        <oleObject progId="Equation.DSMT4" shapeId="3146" r:id="rId88"/>
      </mc:Fallback>
    </mc:AlternateContent>
    <mc:AlternateContent xmlns:mc="http://schemas.openxmlformats.org/markup-compatibility/2006">
      <mc:Choice Requires="x14">
        <oleObject progId="Equation.DSMT4" shapeId="3147" r:id="rId89">
          <objectPr defaultSize="0" r:id="rId25">
            <anchor moveWithCells="1">
              <from>
                <xdr:col>65</xdr:col>
                <xdr:colOff>304800</xdr:colOff>
                <xdr:row>117</xdr:row>
                <xdr:rowOff>85725</xdr:rowOff>
              </from>
              <to>
                <xdr:col>65</xdr:col>
                <xdr:colOff>714375</xdr:colOff>
                <xdr:row>118</xdr:row>
                <xdr:rowOff>180975</xdr:rowOff>
              </to>
            </anchor>
          </objectPr>
        </oleObject>
      </mc:Choice>
      <mc:Fallback>
        <oleObject progId="Equation.DSMT4" shapeId="3147" r:id="rId89"/>
      </mc:Fallback>
    </mc:AlternateContent>
    <mc:AlternateContent xmlns:mc="http://schemas.openxmlformats.org/markup-compatibility/2006">
      <mc:Choice Requires="x14">
        <oleObject progId="Equation.DSMT4" shapeId="3148" r:id="rId90">
          <objectPr defaultSize="0" r:id="rId27">
            <anchor moveWithCells="1">
              <from>
                <xdr:col>68</xdr:col>
                <xdr:colOff>304800</xdr:colOff>
                <xdr:row>117</xdr:row>
                <xdr:rowOff>76200</xdr:rowOff>
              </from>
              <to>
                <xdr:col>68</xdr:col>
                <xdr:colOff>714375</xdr:colOff>
                <xdr:row>118</xdr:row>
                <xdr:rowOff>161925</xdr:rowOff>
              </to>
            </anchor>
          </objectPr>
        </oleObject>
      </mc:Choice>
      <mc:Fallback>
        <oleObject progId="Equation.DSMT4" shapeId="3148" r:id="rId90"/>
      </mc:Fallback>
    </mc:AlternateContent>
    <mc:AlternateContent xmlns:mc="http://schemas.openxmlformats.org/markup-compatibility/2006">
      <mc:Choice Requires="x14">
        <oleObject progId="Equation.DSMT4" shapeId="3149" r:id="rId91">
          <objectPr defaultSize="0" r:id="rId15">
            <anchor moveWithCells="1">
              <from>
                <xdr:col>74</xdr:col>
                <xdr:colOff>428625</xdr:colOff>
                <xdr:row>114</xdr:row>
                <xdr:rowOff>152400</xdr:rowOff>
              </from>
              <to>
                <xdr:col>74</xdr:col>
                <xdr:colOff>609600</xdr:colOff>
                <xdr:row>115</xdr:row>
                <xdr:rowOff>114300</xdr:rowOff>
              </to>
            </anchor>
          </objectPr>
        </oleObject>
      </mc:Choice>
      <mc:Fallback>
        <oleObject progId="Equation.DSMT4" shapeId="3149" r:id="rId91"/>
      </mc:Fallback>
    </mc:AlternateContent>
    <mc:AlternateContent xmlns:mc="http://schemas.openxmlformats.org/markup-compatibility/2006">
      <mc:Choice Requires="x14">
        <oleObject progId="Equation.DSMT4" shapeId="3150" r:id="rId92">
          <objectPr defaultSize="0" r:id="rId17">
            <anchor moveWithCells="1">
              <from>
                <xdr:col>75</xdr:col>
                <xdr:colOff>257175</xdr:colOff>
                <xdr:row>114</xdr:row>
                <xdr:rowOff>85725</xdr:rowOff>
              </from>
              <to>
                <xdr:col>75</xdr:col>
                <xdr:colOff>647700</xdr:colOff>
                <xdr:row>115</xdr:row>
                <xdr:rowOff>180975</xdr:rowOff>
              </to>
            </anchor>
          </objectPr>
        </oleObject>
      </mc:Choice>
      <mc:Fallback>
        <oleObject progId="Equation.DSMT4" shapeId="3150" r:id="rId92"/>
      </mc:Fallback>
    </mc:AlternateContent>
    <mc:AlternateContent xmlns:mc="http://schemas.openxmlformats.org/markup-compatibility/2006">
      <mc:Choice Requires="x14">
        <oleObject progId="Equation.DSMT4" shapeId="3151" r:id="rId93">
          <objectPr defaultSize="0" r:id="rId19">
            <anchor moveWithCells="1">
              <from>
                <xdr:col>74</xdr:col>
                <xdr:colOff>295275</xdr:colOff>
                <xdr:row>117</xdr:row>
                <xdr:rowOff>104775</xdr:rowOff>
              </from>
              <to>
                <xdr:col>74</xdr:col>
                <xdr:colOff>714375</xdr:colOff>
                <xdr:row>118</xdr:row>
                <xdr:rowOff>200025</xdr:rowOff>
              </to>
            </anchor>
          </objectPr>
        </oleObject>
      </mc:Choice>
      <mc:Fallback>
        <oleObject progId="Equation.DSMT4" shapeId="3151" r:id="rId93"/>
      </mc:Fallback>
    </mc:AlternateContent>
    <mc:AlternateContent xmlns:mc="http://schemas.openxmlformats.org/markup-compatibility/2006">
      <mc:Choice Requires="x14">
        <oleObject progId="Equation.DSMT4" shapeId="3152" r:id="rId94">
          <objectPr defaultSize="0" r:id="rId21">
            <anchor moveWithCells="1">
              <from>
                <xdr:col>75</xdr:col>
                <xdr:colOff>295275</xdr:colOff>
                <xdr:row>117</xdr:row>
                <xdr:rowOff>104775</xdr:rowOff>
              </from>
              <to>
                <xdr:col>75</xdr:col>
                <xdr:colOff>714375</xdr:colOff>
                <xdr:row>118</xdr:row>
                <xdr:rowOff>200025</xdr:rowOff>
              </to>
            </anchor>
          </objectPr>
        </oleObject>
      </mc:Choice>
      <mc:Fallback>
        <oleObject progId="Equation.DSMT4" shapeId="3152" r:id="rId94"/>
      </mc:Fallback>
    </mc:AlternateContent>
    <mc:AlternateContent xmlns:mc="http://schemas.openxmlformats.org/markup-compatibility/2006">
      <mc:Choice Requires="x14">
        <oleObject progId="Equation.DSMT4" shapeId="3153" r:id="rId95">
          <objectPr defaultSize="0" r:id="rId23">
            <anchor moveWithCells="1">
              <from>
                <xdr:col>76</xdr:col>
                <xdr:colOff>314325</xdr:colOff>
                <xdr:row>114</xdr:row>
                <xdr:rowOff>85725</xdr:rowOff>
              </from>
              <to>
                <xdr:col>76</xdr:col>
                <xdr:colOff>733425</xdr:colOff>
                <xdr:row>115</xdr:row>
                <xdr:rowOff>180975</xdr:rowOff>
              </to>
            </anchor>
          </objectPr>
        </oleObject>
      </mc:Choice>
      <mc:Fallback>
        <oleObject progId="Equation.DSMT4" shapeId="3153" r:id="rId95"/>
      </mc:Fallback>
    </mc:AlternateContent>
    <mc:AlternateContent xmlns:mc="http://schemas.openxmlformats.org/markup-compatibility/2006">
      <mc:Choice Requires="x14">
        <oleObject progId="Equation.DSMT4" shapeId="3154" r:id="rId96">
          <objectPr defaultSize="0" r:id="rId25">
            <anchor moveWithCells="1">
              <from>
                <xdr:col>76</xdr:col>
                <xdr:colOff>304800</xdr:colOff>
                <xdr:row>117</xdr:row>
                <xdr:rowOff>85725</xdr:rowOff>
              </from>
              <to>
                <xdr:col>76</xdr:col>
                <xdr:colOff>714375</xdr:colOff>
                <xdr:row>118</xdr:row>
                <xdr:rowOff>180975</xdr:rowOff>
              </to>
            </anchor>
          </objectPr>
        </oleObject>
      </mc:Choice>
      <mc:Fallback>
        <oleObject progId="Equation.DSMT4" shapeId="3154" r:id="rId96"/>
      </mc:Fallback>
    </mc:AlternateContent>
    <mc:AlternateContent xmlns:mc="http://schemas.openxmlformats.org/markup-compatibility/2006">
      <mc:Choice Requires="x14">
        <oleObject progId="Equation.DSMT4" shapeId="3155" r:id="rId97">
          <objectPr defaultSize="0" r:id="rId27">
            <anchor moveWithCells="1">
              <from>
                <xdr:col>79</xdr:col>
                <xdr:colOff>304800</xdr:colOff>
                <xdr:row>117</xdr:row>
                <xdr:rowOff>76200</xdr:rowOff>
              </from>
              <to>
                <xdr:col>79</xdr:col>
                <xdr:colOff>714375</xdr:colOff>
                <xdr:row>118</xdr:row>
                <xdr:rowOff>161925</xdr:rowOff>
              </to>
            </anchor>
          </objectPr>
        </oleObject>
      </mc:Choice>
      <mc:Fallback>
        <oleObject progId="Equation.DSMT4" shapeId="3155" r:id="rId97"/>
      </mc:Fallback>
    </mc:AlternateContent>
    <mc:AlternateContent xmlns:mc="http://schemas.openxmlformats.org/markup-compatibility/2006">
      <mc:Choice Requires="x14">
        <oleObject progId="Equation.DSMT4" shapeId="3156" r:id="rId98">
          <objectPr defaultSize="0" r:id="rId15">
            <anchor moveWithCells="1">
              <from>
                <xdr:col>85</xdr:col>
                <xdr:colOff>428625</xdr:colOff>
                <xdr:row>114</xdr:row>
                <xdr:rowOff>152400</xdr:rowOff>
              </from>
              <to>
                <xdr:col>85</xdr:col>
                <xdr:colOff>609600</xdr:colOff>
                <xdr:row>115</xdr:row>
                <xdr:rowOff>114300</xdr:rowOff>
              </to>
            </anchor>
          </objectPr>
        </oleObject>
      </mc:Choice>
      <mc:Fallback>
        <oleObject progId="Equation.DSMT4" shapeId="3156" r:id="rId98"/>
      </mc:Fallback>
    </mc:AlternateContent>
    <mc:AlternateContent xmlns:mc="http://schemas.openxmlformats.org/markup-compatibility/2006">
      <mc:Choice Requires="x14">
        <oleObject progId="Equation.DSMT4" shapeId="3157" r:id="rId99">
          <objectPr defaultSize="0" r:id="rId17">
            <anchor moveWithCells="1">
              <from>
                <xdr:col>86</xdr:col>
                <xdr:colOff>257175</xdr:colOff>
                <xdr:row>114</xdr:row>
                <xdr:rowOff>85725</xdr:rowOff>
              </from>
              <to>
                <xdr:col>86</xdr:col>
                <xdr:colOff>647700</xdr:colOff>
                <xdr:row>115</xdr:row>
                <xdr:rowOff>180975</xdr:rowOff>
              </to>
            </anchor>
          </objectPr>
        </oleObject>
      </mc:Choice>
      <mc:Fallback>
        <oleObject progId="Equation.DSMT4" shapeId="3157" r:id="rId99"/>
      </mc:Fallback>
    </mc:AlternateContent>
    <mc:AlternateContent xmlns:mc="http://schemas.openxmlformats.org/markup-compatibility/2006">
      <mc:Choice Requires="x14">
        <oleObject progId="Equation.DSMT4" shapeId="3158" r:id="rId100">
          <objectPr defaultSize="0" r:id="rId19">
            <anchor moveWithCells="1">
              <from>
                <xdr:col>85</xdr:col>
                <xdr:colOff>295275</xdr:colOff>
                <xdr:row>117</xdr:row>
                <xdr:rowOff>104775</xdr:rowOff>
              </from>
              <to>
                <xdr:col>85</xdr:col>
                <xdr:colOff>714375</xdr:colOff>
                <xdr:row>118</xdr:row>
                <xdr:rowOff>200025</xdr:rowOff>
              </to>
            </anchor>
          </objectPr>
        </oleObject>
      </mc:Choice>
      <mc:Fallback>
        <oleObject progId="Equation.DSMT4" shapeId="3158" r:id="rId100"/>
      </mc:Fallback>
    </mc:AlternateContent>
    <mc:AlternateContent xmlns:mc="http://schemas.openxmlformats.org/markup-compatibility/2006">
      <mc:Choice Requires="x14">
        <oleObject progId="Equation.DSMT4" shapeId="3159" r:id="rId101">
          <objectPr defaultSize="0" r:id="rId21">
            <anchor moveWithCells="1">
              <from>
                <xdr:col>86</xdr:col>
                <xdr:colOff>295275</xdr:colOff>
                <xdr:row>117</xdr:row>
                <xdr:rowOff>104775</xdr:rowOff>
              </from>
              <to>
                <xdr:col>86</xdr:col>
                <xdr:colOff>714375</xdr:colOff>
                <xdr:row>118</xdr:row>
                <xdr:rowOff>200025</xdr:rowOff>
              </to>
            </anchor>
          </objectPr>
        </oleObject>
      </mc:Choice>
      <mc:Fallback>
        <oleObject progId="Equation.DSMT4" shapeId="3159" r:id="rId101"/>
      </mc:Fallback>
    </mc:AlternateContent>
    <mc:AlternateContent xmlns:mc="http://schemas.openxmlformats.org/markup-compatibility/2006">
      <mc:Choice Requires="x14">
        <oleObject progId="Equation.DSMT4" shapeId="3160" r:id="rId102">
          <objectPr defaultSize="0" r:id="rId23">
            <anchor moveWithCells="1">
              <from>
                <xdr:col>87</xdr:col>
                <xdr:colOff>314325</xdr:colOff>
                <xdr:row>114</xdr:row>
                <xdr:rowOff>85725</xdr:rowOff>
              </from>
              <to>
                <xdr:col>87</xdr:col>
                <xdr:colOff>733425</xdr:colOff>
                <xdr:row>115</xdr:row>
                <xdr:rowOff>180975</xdr:rowOff>
              </to>
            </anchor>
          </objectPr>
        </oleObject>
      </mc:Choice>
      <mc:Fallback>
        <oleObject progId="Equation.DSMT4" shapeId="3160" r:id="rId102"/>
      </mc:Fallback>
    </mc:AlternateContent>
    <mc:AlternateContent xmlns:mc="http://schemas.openxmlformats.org/markup-compatibility/2006">
      <mc:Choice Requires="x14">
        <oleObject progId="Equation.DSMT4" shapeId="3161" r:id="rId103">
          <objectPr defaultSize="0" r:id="rId25">
            <anchor moveWithCells="1">
              <from>
                <xdr:col>87</xdr:col>
                <xdr:colOff>304800</xdr:colOff>
                <xdr:row>117</xdr:row>
                <xdr:rowOff>85725</xdr:rowOff>
              </from>
              <to>
                <xdr:col>87</xdr:col>
                <xdr:colOff>714375</xdr:colOff>
                <xdr:row>118</xdr:row>
                <xdr:rowOff>180975</xdr:rowOff>
              </to>
            </anchor>
          </objectPr>
        </oleObject>
      </mc:Choice>
      <mc:Fallback>
        <oleObject progId="Equation.DSMT4" shapeId="3161" r:id="rId103"/>
      </mc:Fallback>
    </mc:AlternateContent>
    <mc:AlternateContent xmlns:mc="http://schemas.openxmlformats.org/markup-compatibility/2006">
      <mc:Choice Requires="x14">
        <oleObject progId="Equation.DSMT4" shapeId="3162" r:id="rId104">
          <objectPr defaultSize="0" r:id="rId27">
            <anchor moveWithCells="1">
              <from>
                <xdr:col>90</xdr:col>
                <xdr:colOff>304800</xdr:colOff>
                <xdr:row>117</xdr:row>
                <xdr:rowOff>76200</xdr:rowOff>
              </from>
              <to>
                <xdr:col>90</xdr:col>
                <xdr:colOff>714375</xdr:colOff>
                <xdr:row>118</xdr:row>
                <xdr:rowOff>161925</xdr:rowOff>
              </to>
            </anchor>
          </objectPr>
        </oleObject>
      </mc:Choice>
      <mc:Fallback>
        <oleObject progId="Equation.DSMT4" shapeId="3162" r:id="rId104"/>
      </mc:Fallback>
    </mc:AlternateContent>
    <mc:AlternateContent xmlns:mc="http://schemas.openxmlformats.org/markup-compatibility/2006">
      <mc:Choice Requires="x14">
        <oleObject progId="Equation.DSMT4" shapeId="3163" r:id="rId105">
          <objectPr defaultSize="0" r:id="rId15">
            <anchor moveWithCells="1">
              <from>
                <xdr:col>96</xdr:col>
                <xdr:colOff>428625</xdr:colOff>
                <xdr:row>114</xdr:row>
                <xdr:rowOff>152400</xdr:rowOff>
              </from>
              <to>
                <xdr:col>96</xdr:col>
                <xdr:colOff>609600</xdr:colOff>
                <xdr:row>115</xdr:row>
                <xdr:rowOff>114300</xdr:rowOff>
              </to>
            </anchor>
          </objectPr>
        </oleObject>
      </mc:Choice>
      <mc:Fallback>
        <oleObject progId="Equation.DSMT4" shapeId="3163" r:id="rId105"/>
      </mc:Fallback>
    </mc:AlternateContent>
    <mc:AlternateContent xmlns:mc="http://schemas.openxmlformats.org/markup-compatibility/2006">
      <mc:Choice Requires="x14">
        <oleObject progId="Equation.DSMT4" shapeId="3164" r:id="rId106">
          <objectPr defaultSize="0" r:id="rId17">
            <anchor moveWithCells="1">
              <from>
                <xdr:col>97</xdr:col>
                <xdr:colOff>257175</xdr:colOff>
                <xdr:row>114</xdr:row>
                <xdr:rowOff>85725</xdr:rowOff>
              </from>
              <to>
                <xdr:col>97</xdr:col>
                <xdr:colOff>647700</xdr:colOff>
                <xdr:row>115</xdr:row>
                <xdr:rowOff>180975</xdr:rowOff>
              </to>
            </anchor>
          </objectPr>
        </oleObject>
      </mc:Choice>
      <mc:Fallback>
        <oleObject progId="Equation.DSMT4" shapeId="3164" r:id="rId106"/>
      </mc:Fallback>
    </mc:AlternateContent>
    <mc:AlternateContent xmlns:mc="http://schemas.openxmlformats.org/markup-compatibility/2006">
      <mc:Choice Requires="x14">
        <oleObject progId="Equation.DSMT4" shapeId="3165" r:id="rId107">
          <objectPr defaultSize="0" r:id="rId19">
            <anchor moveWithCells="1">
              <from>
                <xdr:col>96</xdr:col>
                <xdr:colOff>295275</xdr:colOff>
                <xdr:row>117</xdr:row>
                <xdr:rowOff>104775</xdr:rowOff>
              </from>
              <to>
                <xdr:col>96</xdr:col>
                <xdr:colOff>714375</xdr:colOff>
                <xdr:row>118</xdr:row>
                <xdr:rowOff>200025</xdr:rowOff>
              </to>
            </anchor>
          </objectPr>
        </oleObject>
      </mc:Choice>
      <mc:Fallback>
        <oleObject progId="Equation.DSMT4" shapeId="3165" r:id="rId107"/>
      </mc:Fallback>
    </mc:AlternateContent>
    <mc:AlternateContent xmlns:mc="http://schemas.openxmlformats.org/markup-compatibility/2006">
      <mc:Choice Requires="x14">
        <oleObject progId="Equation.DSMT4" shapeId="3166" r:id="rId108">
          <objectPr defaultSize="0" r:id="rId21">
            <anchor moveWithCells="1">
              <from>
                <xdr:col>97</xdr:col>
                <xdr:colOff>295275</xdr:colOff>
                <xdr:row>117</xdr:row>
                <xdr:rowOff>104775</xdr:rowOff>
              </from>
              <to>
                <xdr:col>97</xdr:col>
                <xdr:colOff>714375</xdr:colOff>
                <xdr:row>118</xdr:row>
                <xdr:rowOff>200025</xdr:rowOff>
              </to>
            </anchor>
          </objectPr>
        </oleObject>
      </mc:Choice>
      <mc:Fallback>
        <oleObject progId="Equation.DSMT4" shapeId="3166" r:id="rId108"/>
      </mc:Fallback>
    </mc:AlternateContent>
    <mc:AlternateContent xmlns:mc="http://schemas.openxmlformats.org/markup-compatibility/2006">
      <mc:Choice Requires="x14">
        <oleObject progId="Equation.DSMT4" shapeId="3167" r:id="rId109">
          <objectPr defaultSize="0" r:id="rId23">
            <anchor moveWithCells="1">
              <from>
                <xdr:col>98</xdr:col>
                <xdr:colOff>314325</xdr:colOff>
                <xdr:row>114</xdr:row>
                <xdr:rowOff>85725</xdr:rowOff>
              </from>
              <to>
                <xdr:col>98</xdr:col>
                <xdr:colOff>733425</xdr:colOff>
                <xdr:row>115</xdr:row>
                <xdr:rowOff>180975</xdr:rowOff>
              </to>
            </anchor>
          </objectPr>
        </oleObject>
      </mc:Choice>
      <mc:Fallback>
        <oleObject progId="Equation.DSMT4" shapeId="3167" r:id="rId109"/>
      </mc:Fallback>
    </mc:AlternateContent>
    <mc:AlternateContent xmlns:mc="http://schemas.openxmlformats.org/markup-compatibility/2006">
      <mc:Choice Requires="x14">
        <oleObject progId="Equation.DSMT4" shapeId="3168" r:id="rId110">
          <objectPr defaultSize="0" r:id="rId25">
            <anchor moveWithCells="1">
              <from>
                <xdr:col>98</xdr:col>
                <xdr:colOff>304800</xdr:colOff>
                <xdr:row>117</xdr:row>
                <xdr:rowOff>85725</xdr:rowOff>
              </from>
              <to>
                <xdr:col>98</xdr:col>
                <xdr:colOff>714375</xdr:colOff>
                <xdr:row>118</xdr:row>
                <xdr:rowOff>180975</xdr:rowOff>
              </to>
            </anchor>
          </objectPr>
        </oleObject>
      </mc:Choice>
      <mc:Fallback>
        <oleObject progId="Equation.DSMT4" shapeId="3168" r:id="rId110"/>
      </mc:Fallback>
    </mc:AlternateContent>
    <mc:AlternateContent xmlns:mc="http://schemas.openxmlformats.org/markup-compatibility/2006">
      <mc:Choice Requires="x14">
        <oleObject progId="Equation.DSMT4" shapeId="3169" r:id="rId111">
          <objectPr defaultSize="0" r:id="rId27">
            <anchor moveWithCells="1">
              <from>
                <xdr:col>101</xdr:col>
                <xdr:colOff>304800</xdr:colOff>
                <xdr:row>117</xdr:row>
                <xdr:rowOff>76200</xdr:rowOff>
              </from>
              <to>
                <xdr:col>101</xdr:col>
                <xdr:colOff>714375</xdr:colOff>
                <xdr:row>118</xdr:row>
                <xdr:rowOff>161925</xdr:rowOff>
              </to>
            </anchor>
          </objectPr>
        </oleObject>
      </mc:Choice>
      <mc:Fallback>
        <oleObject progId="Equation.DSMT4" shapeId="3169" r:id="rId111"/>
      </mc:Fallback>
    </mc:AlternateContent>
    <mc:AlternateContent xmlns:mc="http://schemas.openxmlformats.org/markup-compatibility/2006">
      <mc:Choice Requires="x14">
        <oleObject progId="Equation.DSMT4" shapeId="3170" r:id="rId112">
          <objectPr defaultSize="0" r:id="rId15">
            <anchor moveWithCells="1">
              <from>
                <xdr:col>107</xdr:col>
                <xdr:colOff>428625</xdr:colOff>
                <xdr:row>114</xdr:row>
                <xdr:rowOff>152400</xdr:rowOff>
              </from>
              <to>
                <xdr:col>107</xdr:col>
                <xdr:colOff>609600</xdr:colOff>
                <xdr:row>115</xdr:row>
                <xdr:rowOff>114300</xdr:rowOff>
              </to>
            </anchor>
          </objectPr>
        </oleObject>
      </mc:Choice>
      <mc:Fallback>
        <oleObject progId="Equation.DSMT4" shapeId="3170" r:id="rId112"/>
      </mc:Fallback>
    </mc:AlternateContent>
    <mc:AlternateContent xmlns:mc="http://schemas.openxmlformats.org/markup-compatibility/2006">
      <mc:Choice Requires="x14">
        <oleObject progId="Equation.DSMT4" shapeId="3171" r:id="rId113">
          <objectPr defaultSize="0" r:id="rId17">
            <anchor moveWithCells="1">
              <from>
                <xdr:col>108</xdr:col>
                <xdr:colOff>257175</xdr:colOff>
                <xdr:row>114</xdr:row>
                <xdr:rowOff>85725</xdr:rowOff>
              </from>
              <to>
                <xdr:col>108</xdr:col>
                <xdr:colOff>647700</xdr:colOff>
                <xdr:row>115</xdr:row>
                <xdr:rowOff>180975</xdr:rowOff>
              </to>
            </anchor>
          </objectPr>
        </oleObject>
      </mc:Choice>
      <mc:Fallback>
        <oleObject progId="Equation.DSMT4" shapeId="3171" r:id="rId113"/>
      </mc:Fallback>
    </mc:AlternateContent>
    <mc:AlternateContent xmlns:mc="http://schemas.openxmlformats.org/markup-compatibility/2006">
      <mc:Choice Requires="x14">
        <oleObject progId="Equation.DSMT4" shapeId="3172" r:id="rId114">
          <objectPr defaultSize="0" r:id="rId19">
            <anchor moveWithCells="1">
              <from>
                <xdr:col>107</xdr:col>
                <xdr:colOff>295275</xdr:colOff>
                <xdr:row>117</xdr:row>
                <xdr:rowOff>104775</xdr:rowOff>
              </from>
              <to>
                <xdr:col>107</xdr:col>
                <xdr:colOff>714375</xdr:colOff>
                <xdr:row>118</xdr:row>
                <xdr:rowOff>200025</xdr:rowOff>
              </to>
            </anchor>
          </objectPr>
        </oleObject>
      </mc:Choice>
      <mc:Fallback>
        <oleObject progId="Equation.DSMT4" shapeId="3172" r:id="rId114"/>
      </mc:Fallback>
    </mc:AlternateContent>
    <mc:AlternateContent xmlns:mc="http://schemas.openxmlformats.org/markup-compatibility/2006">
      <mc:Choice Requires="x14">
        <oleObject progId="Equation.DSMT4" shapeId="3173" r:id="rId115">
          <objectPr defaultSize="0" r:id="rId21">
            <anchor moveWithCells="1">
              <from>
                <xdr:col>108</xdr:col>
                <xdr:colOff>295275</xdr:colOff>
                <xdr:row>117</xdr:row>
                <xdr:rowOff>104775</xdr:rowOff>
              </from>
              <to>
                <xdr:col>108</xdr:col>
                <xdr:colOff>714375</xdr:colOff>
                <xdr:row>118</xdr:row>
                <xdr:rowOff>200025</xdr:rowOff>
              </to>
            </anchor>
          </objectPr>
        </oleObject>
      </mc:Choice>
      <mc:Fallback>
        <oleObject progId="Equation.DSMT4" shapeId="3173" r:id="rId115"/>
      </mc:Fallback>
    </mc:AlternateContent>
    <mc:AlternateContent xmlns:mc="http://schemas.openxmlformats.org/markup-compatibility/2006">
      <mc:Choice Requires="x14">
        <oleObject progId="Equation.DSMT4" shapeId="3174" r:id="rId116">
          <objectPr defaultSize="0" r:id="rId23">
            <anchor moveWithCells="1">
              <from>
                <xdr:col>109</xdr:col>
                <xdr:colOff>314325</xdr:colOff>
                <xdr:row>114</xdr:row>
                <xdr:rowOff>85725</xdr:rowOff>
              </from>
              <to>
                <xdr:col>109</xdr:col>
                <xdr:colOff>733425</xdr:colOff>
                <xdr:row>115</xdr:row>
                <xdr:rowOff>180975</xdr:rowOff>
              </to>
            </anchor>
          </objectPr>
        </oleObject>
      </mc:Choice>
      <mc:Fallback>
        <oleObject progId="Equation.DSMT4" shapeId="3174" r:id="rId116"/>
      </mc:Fallback>
    </mc:AlternateContent>
    <mc:AlternateContent xmlns:mc="http://schemas.openxmlformats.org/markup-compatibility/2006">
      <mc:Choice Requires="x14">
        <oleObject progId="Equation.DSMT4" shapeId="3175" r:id="rId117">
          <objectPr defaultSize="0" r:id="rId25">
            <anchor moveWithCells="1">
              <from>
                <xdr:col>109</xdr:col>
                <xdr:colOff>304800</xdr:colOff>
                <xdr:row>117</xdr:row>
                <xdr:rowOff>85725</xdr:rowOff>
              </from>
              <to>
                <xdr:col>109</xdr:col>
                <xdr:colOff>714375</xdr:colOff>
                <xdr:row>118</xdr:row>
                <xdr:rowOff>180975</xdr:rowOff>
              </to>
            </anchor>
          </objectPr>
        </oleObject>
      </mc:Choice>
      <mc:Fallback>
        <oleObject progId="Equation.DSMT4" shapeId="3175" r:id="rId117"/>
      </mc:Fallback>
    </mc:AlternateContent>
    <mc:AlternateContent xmlns:mc="http://schemas.openxmlformats.org/markup-compatibility/2006">
      <mc:Choice Requires="x14">
        <oleObject progId="Equation.DSMT4" shapeId="3176" r:id="rId118">
          <objectPr defaultSize="0" r:id="rId27">
            <anchor moveWithCells="1">
              <from>
                <xdr:col>112</xdr:col>
                <xdr:colOff>304800</xdr:colOff>
                <xdr:row>117</xdr:row>
                <xdr:rowOff>76200</xdr:rowOff>
              </from>
              <to>
                <xdr:col>112</xdr:col>
                <xdr:colOff>714375</xdr:colOff>
                <xdr:row>118</xdr:row>
                <xdr:rowOff>161925</xdr:rowOff>
              </to>
            </anchor>
          </objectPr>
        </oleObject>
      </mc:Choice>
      <mc:Fallback>
        <oleObject progId="Equation.DSMT4" shapeId="3176" r:id="rId118"/>
      </mc:Fallback>
    </mc:AlternateContent>
    <mc:AlternateContent xmlns:mc="http://schemas.openxmlformats.org/markup-compatibility/2006">
      <mc:Choice Requires="x14">
        <oleObject progId="Equation.DSMT4" shapeId="3177" r:id="rId119">
          <objectPr defaultSize="0" r:id="rId17">
            <anchor moveWithCells="1">
              <from>
                <xdr:col>42</xdr:col>
                <xdr:colOff>257175</xdr:colOff>
                <xdr:row>211</xdr:row>
                <xdr:rowOff>85725</xdr:rowOff>
              </from>
              <to>
                <xdr:col>42</xdr:col>
                <xdr:colOff>676275</xdr:colOff>
                <xdr:row>212</xdr:row>
                <xdr:rowOff>161925</xdr:rowOff>
              </to>
            </anchor>
          </objectPr>
        </oleObject>
      </mc:Choice>
      <mc:Fallback>
        <oleObject progId="Equation.DSMT4" shapeId="3177" r:id="rId119"/>
      </mc:Fallback>
    </mc:AlternateContent>
    <mc:AlternateContent xmlns:mc="http://schemas.openxmlformats.org/markup-compatibility/2006">
      <mc:Choice Requires="x14">
        <oleObject progId="Equation.DSMT4" shapeId="3178" r:id="rId120">
          <objectPr defaultSize="0" r:id="rId23">
            <anchor moveWithCells="1">
              <from>
                <xdr:col>43</xdr:col>
                <xdr:colOff>314325</xdr:colOff>
                <xdr:row>211</xdr:row>
                <xdr:rowOff>85725</xdr:rowOff>
              </from>
              <to>
                <xdr:col>43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3178" r:id="rId120"/>
      </mc:Fallback>
    </mc:AlternateContent>
    <mc:AlternateContent xmlns:mc="http://schemas.openxmlformats.org/markup-compatibility/2006">
      <mc:Choice Requires="x14">
        <oleObject progId="Equation.DSMT4" shapeId="3179" r:id="rId121">
          <objectPr defaultSize="0" r:id="rId17">
            <anchor moveWithCells="1">
              <from>
                <xdr:col>45</xdr:col>
                <xdr:colOff>257175</xdr:colOff>
                <xdr:row>211</xdr:row>
                <xdr:rowOff>85725</xdr:rowOff>
              </from>
              <to>
                <xdr:col>45</xdr:col>
                <xdr:colOff>676275</xdr:colOff>
                <xdr:row>212</xdr:row>
                <xdr:rowOff>161925</xdr:rowOff>
              </to>
            </anchor>
          </objectPr>
        </oleObject>
      </mc:Choice>
      <mc:Fallback>
        <oleObject progId="Equation.DSMT4" shapeId="3179" r:id="rId121"/>
      </mc:Fallback>
    </mc:AlternateContent>
    <mc:AlternateContent xmlns:mc="http://schemas.openxmlformats.org/markup-compatibility/2006">
      <mc:Choice Requires="x14">
        <oleObject progId="Equation.DSMT4" shapeId="3180" r:id="rId122">
          <objectPr defaultSize="0" r:id="rId23">
            <anchor moveWithCells="1">
              <from>
                <xdr:col>46</xdr:col>
                <xdr:colOff>314325</xdr:colOff>
                <xdr:row>211</xdr:row>
                <xdr:rowOff>85725</xdr:rowOff>
              </from>
              <to>
                <xdr:col>46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3180" r:id="rId122"/>
      </mc:Fallback>
    </mc:AlternateContent>
    <mc:AlternateContent xmlns:mc="http://schemas.openxmlformats.org/markup-compatibility/2006">
      <mc:Choice Requires="x14">
        <oleObject progId="Equation.DSMT4" shapeId="3181" r:id="rId123">
          <objectPr defaultSize="0" r:id="rId17">
            <anchor moveWithCells="1">
              <from>
                <xdr:col>48</xdr:col>
                <xdr:colOff>257175</xdr:colOff>
                <xdr:row>211</xdr:row>
                <xdr:rowOff>85725</xdr:rowOff>
              </from>
              <to>
                <xdr:col>48</xdr:col>
                <xdr:colOff>676275</xdr:colOff>
                <xdr:row>212</xdr:row>
                <xdr:rowOff>161925</xdr:rowOff>
              </to>
            </anchor>
          </objectPr>
        </oleObject>
      </mc:Choice>
      <mc:Fallback>
        <oleObject progId="Equation.DSMT4" shapeId="3181" r:id="rId123"/>
      </mc:Fallback>
    </mc:AlternateContent>
    <mc:AlternateContent xmlns:mc="http://schemas.openxmlformats.org/markup-compatibility/2006">
      <mc:Choice Requires="x14">
        <oleObject progId="Equation.DSMT4" shapeId="3182" r:id="rId124">
          <objectPr defaultSize="0" r:id="rId23">
            <anchor moveWithCells="1">
              <from>
                <xdr:col>49</xdr:col>
                <xdr:colOff>314325</xdr:colOff>
                <xdr:row>211</xdr:row>
                <xdr:rowOff>85725</xdr:rowOff>
              </from>
              <to>
                <xdr:col>49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3182" r:id="rId124"/>
      </mc:Fallback>
    </mc:AlternateContent>
    <mc:AlternateContent xmlns:mc="http://schemas.openxmlformats.org/markup-compatibility/2006">
      <mc:Choice Requires="x14">
        <oleObject progId="Equation.DSMT4" shapeId="3183" r:id="rId125">
          <objectPr defaultSize="0" r:id="rId17">
            <anchor moveWithCells="1">
              <from>
                <xdr:col>51</xdr:col>
                <xdr:colOff>257175</xdr:colOff>
                <xdr:row>211</xdr:row>
                <xdr:rowOff>85725</xdr:rowOff>
              </from>
              <to>
                <xdr:col>51</xdr:col>
                <xdr:colOff>676275</xdr:colOff>
                <xdr:row>212</xdr:row>
                <xdr:rowOff>161925</xdr:rowOff>
              </to>
            </anchor>
          </objectPr>
        </oleObject>
      </mc:Choice>
      <mc:Fallback>
        <oleObject progId="Equation.DSMT4" shapeId="3183" r:id="rId125"/>
      </mc:Fallback>
    </mc:AlternateContent>
    <mc:AlternateContent xmlns:mc="http://schemas.openxmlformats.org/markup-compatibility/2006">
      <mc:Choice Requires="x14">
        <oleObject progId="Equation.DSMT4" shapeId="3184" r:id="rId126">
          <objectPr defaultSize="0" r:id="rId23">
            <anchor moveWithCells="1">
              <from>
                <xdr:col>52</xdr:col>
                <xdr:colOff>314325</xdr:colOff>
                <xdr:row>211</xdr:row>
                <xdr:rowOff>85725</xdr:rowOff>
              </from>
              <to>
                <xdr:col>52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3184" r:id="rId126"/>
      </mc:Fallback>
    </mc:AlternateContent>
    <mc:AlternateContent xmlns:mc="http://schemas.openxmlformats.org/markup-compatibility/2006">
      <mc:Choice Requires="x14">
        <oleObject progId="Equation.DSMT4" shapeId="3185" r:id="rId127">
          <objectPr defaultSize="0" r:id="rId17">
            <anchor moveWithCells="1">
              <from>
                <xdr:col>54</xdr:col>
                <xdr:colOff>257175</xdr:colOff>
                <xdr:row>211</xdr:row>
                <xdr:rowOff>85725</xdr:rowOff>
              </from>
              <to>
                <xdr:col>54</xdr:col>
                <xdr:colOff>676275</xdr:colOff>
                <xdr:row>212</xdr:row>
                <xdr:rowOff>161925</xdr:rowOff>
              </to>
            </anchor>
          </objectPr>
        </oleObject>
      </mc:Choice>
      <mc:Fallback>
        <oleObject progId="Equation.DSMT4" shapeId="3185" r:id="rId127"/>
      </mc:Fallback>
    </mc:AlternateContent>
    <mc:AlternateContent xmlns:mc="http://schemas.openxmlformats.org/markup-compatibility/2006">
      <mc:Choice Requires="x14">
        <oleObject progId="Equation.DSMT4" shapeId="3186" r:id="rId128">
          <objectPr defaultSize="0" r:id="rId23">
            <anchor moveWithCells="1">
              <from>
                <xdr:col>55</xdr:col>
                <xdr:colOff>314325</xdr:colOff>
                <xdr:row>211</xdr:row>
                <xdr:rowOff>85725</xdr:rowOff>
              </from>
              <to>
                <xdr:col>55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3186" r:id="rId128"/>
      </mc:Fallback>
    </mc:AlternateContent>
    <mc:AlternateContent xmlns:mc="http://schemas.openxmlformats.org/markup-compatibility/2006">
      <mc:Choice Requires="x14">
        <oleObject progId="Equation.DSMT4" shapeId="3187" r:id="rId129">
          <objectPr defaultSize="0" r:id="rId17">
            <anchor moveWithCells="1">
              <from>
                <xdr:col>57</xdr:col>
                <xdr:colOff>257175</xdr:colOff>
                <xdr:row>211</xdr:row>
                <xdr:rowOff>85725</xdr:rowOff>
              </from>
              <to>
                <xdr:col>57</xdr:col>
                <xdr:colOff>676275</xdr:colOff>
                <xdr:row>212</xdr:row>
                <xdr:rowOff>161925</xdr:rowOff>
              </to>
            </anchor>
          </objectPr>
        </oleObject>
      </mc:Choice>
      <mc:Fallback>
        <oleObject progId="Equation.DSMT4" shapeId="3187" r:id="rId129"/>
      </mc:Fallback>
    </mc:AlternateContent>
    <mc:AlternateContent xmlns:mc="http://schemas.openxmlformats.org/markup-compatibility/2006">
      <mc:Choice Requires="x14">
        <oleObject progId="Equation.DSMT4" shapeId="3188" r:id="rId130">
          <objectPr defaultSize="0" r:id="rId23">
            <anchor moveWithCells="1">
              <from>
                <xdr:col>58</xdr:col>
                <xdr:colOff>314325</xdr:colOff>
                <xdr:row>211</xdr:row>
                <xdr:rowOff>85725</xdr:rowOff>
              </from>
              <to>
                <xdr:col>58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3188" r:id="rId130"/>
      </mc:Fallback>
    </mc:AlternateContent>
    <mc:AlternateContent xmlns:mc="http://schemas.openxmlformats.org/markup-compatibility/2006">
      <mc:Choice Requires="x14">
        <oleObject progId="Equation.DSMT4" shapeId="3189" r:id="rId131">
          <objectPr defaultSize="0" r:id="rId17">
            <anchor moveWithCells="1">
              <from>
                <xdr:col>60</xdr:col>
                <xdr:colOff>257175</xdr:colOff>
                <xdr:row>211</xdr:row>
                <xdr:rowOff>85725</xdr:rowOff>
              </from>
              <to>
                <xdr:col>60</xdr:col>
                <xdr:colOff>676275</xdr:colOff>
                <xdr:row>212</xdr:row>
                <xdr:rowOff>161925</xdr:rowOff>
              </to>
            </anchor>
          </objectPr>
        </oleObject>
      </mc:Choice>
      <mc:Fallback>
        <oleObject progId="Equation.DSMT4" shapeId="3189" r:id="rId131"/>
      </mc:Fallback>
    </mc:AlternateContent>
    <mc:AlternateContent xmlns:mc="http://schemas.openxmlformats.org/markup-compatibility/2006">
      <mc:Choice Requires="x14">
        <oleObject progId="Equation.DSMT4" shapeId="3190" r:id="rId132">
          <objectPr defaultSize="0" r:id="rId23">
            <anchor moveWithCells="1">
              <from>
                <xdr:col>61</xdr:col>
                <xdr:colOff>314325</xdr:colOff>
                <xdr:row>211</xdr:row>
                <xdr:rowOff>85725</xdr:rowOff>
              </from>
              <to>
                <xdr:col>61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3190" r:id="rId132"/>
      </mc:Fallback>
    </mc:AlternateContent>
    <mc:AlternateContent xmlns:mc="http://schemas.openxmlformats.org/markup-compatibility/2006">
      <mc:Choice Requires="x14">
        <oleObject progId="Equation.DSMT4" shapeId="3191" r:id="rId133">
          <objectPr defaultSize="0" r:id="rId21">
            <anchor moveWithCells="1">
              <from>
                <xdr:col>42</xdr:col>
                <xdr:colOff>295275</xdr:colOff>
                <xdr:row>211</xdr:row>
                <xdr:rowOff>104775</xdr:rowOff>
              </from>
              <to>
                <xdr:col>42</xdr:col>
                <xdr:colOff>733425</xdr:colOff>
                <xdr:row>212</xdr:row>
                <xdr:rowOff>190500</xdr:rowOff>
              </to>
            </anchor>
          </objectPr>
        </oleObject>
      </mc:Choice>
      <mc:Fallback>
        <oleObject progId="Equation.DSMT4" shapeId="3191" r:id="rId133"/>
      </mc:Fallback>
    </mc:AlternateContent>
    <mc:AlternateContent xmlns:mc="http://schemas.openxmlformats.org/markup-compatibility/2006">
      <mc:Choice Requires="x14">
        <oleObject progId="Equation.DSMT4" shapeId="3192" r:id="rId134">
          <objectPr defaultSize="0" r:id="rId25">
            <anchor moveWithCells="1">
              <from>
                <xdr:col>43</xdr:col>
                <xdr:colOff>304800</xdr:colOff>
                <xdr:row>211</xdr:row>
                <xdr:rowOff>85725</xdr:rowOff>
              </from>
              <to>
                <xdr:col>43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3192" r:id="rId134"/>
      </mc:Fallback>
    </mc:AlternateContent>
    <mc:AlternateContent xmlns:mc="http://schemas.openxmlformats.org/markup-compatibility/2006">
      <mc:Choice Requires="x14">
        <oleObject progId="Equation.DSMT4" shapeId="3193" r:id="rId135">
          <objectPr defaultSize="0" r:id="rId21">
            <anchor moveWithCells="1">
              <from>
                <xdr:col>45</xdr:col>
                <xdr:colOff>295275</xdr:colOff>
                <xdr:row>211</xdr:row>
                <xdr:rowOff>104775</xdr:rowOff>
              </from>
              <to>
                <xdr:col>45</xdr:col>
                <xdr:colOff>733425</xdr:colOff>
                <xdr:row>212</xdr:row>
                <xdr:rowOff>190500</xdr:rowOff>
              </to>
            </anchor>
          </objectPr>
        </oleObject>
      </mc:Choice>
      <mc:Fallback>
        <oleObject progId="Equation.DSMT4" shapeId="3193" r:id="rId135"/>
      </mc:Fallback>
    </mc:AlternateContent>
    <mc:AlternateContent xmlns:mc="http://schemas.openxmlformats.org/markup-compatibility/2006">
      <mc:Choice Requires="x14">
        <oleObject progId="Equation.DSMT4" shapeId="3194" r:id="rId136">
          <objectPr defaultSize="0" r:id="rId25">
            <anchor moveWithCells="1">
              <from>
                <xdr:col>46</xdr:col>
                <xdr:colOff>304800</xdr:colOff>
                <xdr:row>211</xdr:row>
                <xdr:rowOff>85725</xdr:rowOff>
              </from>
              <to>
                <xdr:col>46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3194" r:id="rId136"/>
      </mc:Fallback>
    </mc:AlternateContent>
    <mc:AlternateContent xmlns:mc="http://schemas.openxmlformats.org/markup-compatibility/2006">
      <mc:Choice Requires="x14">
        <oleObject progId="Equation.DSMT4" shapeId="3195" r:id="rId137">
          <objectPr defaultSize="0" r:id="rId21">
            <anchor moveWithCells="1">
              <from>
                <xdr:col>48</xdr:col>
                <xdr:colOff>295275</xdr:colOff>
                <xdr:row>211</xdr:row>
                <xdr:rowOff>104775</xdr:rowOff>
              </from>
              <to>
                <xdr:col>48</xdr:col>
                <xdr:colOff>733425</xdr:colOff>
                <xdr:row>212</xdr:row>
                <xdr:rowOff>190500</xdr:rowOff>
              </to>
            </anchor>
          </objectPr>
        </oleObject>
      </mc:Choice>
      <mc:Fallback>
        <oleObject progId="Equation.DSMT4" shapeId="3195" r:id="rId137"/>
      </mc:Fallback>
    </mc:AlternateContent>
    <mc:AlternateContent xmlns:mc="http://schemas.openxmlformats.org/markup-compatibility/2006">
      <mc:Choice Requires="x14">
        <oleObject progId="Equation.DSMT4" shapeId="3196" r:id="rId138">
          <objectPr defaultSize="0" r:id="rId25">
            <anchor moveWithCells="1">
              <from>
                <xdr:col>49</xdr:col>
                <xdr:colOff>304800</xdr:colOff>
                <xdr:row>211</xdr:row>
                <xdr:rowOff>85725</xdr:rowOff>
              </from>
              <to>
                <xdr:col>49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3196" r:id="rId138"/>
      </mc:Fallback>
    </mc:AlternateContent>
    <mc:AlternateContent xmlns:mc="http://schemas.openxmlformats.org/markup-compatibility/2006">
      <mc:Choice Requires="x14">
        <oleObject progId="Equation.DSMT4" shapeId="3197" r:id="rId139">
          <objectPr defaultSize="0" r:id="rId21">
            <anchor moveWithCells="1">
              <from>
                <xdr:col>51</xdr:col>
                <xdr:colOff>295275</xdr:colOff>
                <xdr:row>211</xdr:row>
                <xdr:rowOff>104775</xdr:rowOff>
              </from>
              <to>
                <xdr:col>51</xdr:col>
                <xdr:colOff>733425</xdr:colOff>
                <xdr:row>212</xdr:row>
                <xdr:rowOff>190500</xdr:rowOff>
              </to>
            </anchor>
          </objectPr>
        </oleObject>
      </mc:Choice>
      <mc:Fallback>
        <oleObject progId="Equation.DSMT4" shapeId="3197" r:id="rId139"/>
      </mc:Fallback>
    </mc:AlternateContent>
    <mc:AlternateContent xmlns:mc="http://schemas.openxmlformats.org/markup-compatibility/2006">
      <mc:Choice Requires="x14">
        <oleObject progId="Equation.DSMT4" shapeId="3198" r:id="rId140">
          <objectPr defaultSize="0" r:id="rId25">
            <anchor moveWithCells="1">
              <from>
                <xdr:col>52</xdr:col>
                <xdr:colOff>304800</xdr:colOff>
                <xdr:row>211</xdr:row>
                <xdr:rowOff>85725</xdr:rowOff>
              </from>
              <to>
                <xdr:col>52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3198" r:id="rId140"/>
      </mc:Fallback>
    </mc:AlternateContent>
    <mc:AlternateContent xmlns:mc="http://schemas.openxmlformats.org/markup-compatibility/2006">
      <mc:Choice Requires="x14">
        <oleObject progId="Equation.DSMT4" shapeId="3199" r:id="rId141">
          <objectPr defaultSize="0" r:id="rId21">
            <anchor moveWithCells="1">
              <from>
                <xdr:col>54</xdr:col>
                <xdr:colOff>295275</xdr:colOff>
                <xdr:row>211</xdr:row>
                <xdr:rowOff>104775</xdr:rowOff>
              </from>
              <to>
                <xdr:col>54</xdr:col>
                <xdr:colOff>733425</xdr:colOff>
                <xdr:row>212</xdr:row>
                <xdr:rowOff>190500</xdr:rowOff>
              </to>
            </anchor>
          </objectPr>
        </oleObject>
      </mc:Choice>
      <mc:Fallback>
        <oleObject progId="Equation.DSMT4" shapeId="3199" r:id="rId141"/>
      </mc:Fallback>
    </mc:AlternateContent>
    <mc:AlternateContent xmlns:mc="http://schemas.openxmlformats.org/markup-compatibility/2006">
      <mc:Choice Requires="x14">
        <oleObject progId="Equation.DSMT4" shapeId="3200" r:id="rId142">
          <objectPr defaultSize="0" r:id="rId25">
            <anchor moveWithCells="1">
              <from>
                <xdr:col>55</xdr:col>
                <xdr:colOff>304800</xdr:colOff>
                <xdr:row>211</xdr:row>
                <xdr:rowOff>85725</xdr:rowOff>
              </from>
              <to>
                <xdr:col>55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3200" r:id="rId142"/>
      </mc:Fallback>
    </mc:AlternateContent>
    <mc:AlternateContent xmlns:mc="http://schemas.openxmlformats.org/markup-compatibility/2006">
      <mc:Choice Requires="x14">
        <oleObject progId="Equation.DSMT4" shapeId="3201" r:id="rId143">
          <objectPr defaultSize="0" r:id="rId21">
            <anchor moveWithCells="1">
              <from>
                <xdr:col>57</xdr:col>
                <xdr:colOff>295275</xdr:colOff>
                <xdr:row>211</xdr:row>
                <xdr:rowOff>104775</xdr:rowOff>
              </from>
              <to>
                <xdr:col>57</xdr:col>
                <xdr:colOff>733425</xdr:colOff>
                <xdr:row>212</xdr:row>
                <xdr:rowOff>190500</xdr:rowOff>
              </to>
            </anchor>
          </objectPr>
        </oleObject>
      </mc:Choice>
      <mc:Fallback>
        <oleObject progId="Equation.DSMT4" shapeId="3201" r:id="rId143"/>
      </mc:Fallback>
    </mc:AlternateContent>
    <mc:AlternateContent xmlns:mc="http://schemas.openxmlformats.org/markup-compatibility/2006">
      <mc:Choice Requires="x14">
        <oleObject progId="Equation.DSMT4" shapeId="3202" r:id="rId144">
          <objectPr defaultSize="0" r:id="rId25">
            <anchor moveWithCells="1">
              <from>
                <xdr:col>58</xdr:col>
                <xdr:colOff>304800</xdr:colOff>
                <xdr:row>211</xdr:row>
                <xdr:rowOff>85725</xdr:rowOff>
              </from>
              <to>
                <xdr:col>58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3202" r:id="rId144"/>
      </mc:Fallback>
    </mc:AlternateContent>
    <mc:AlternateContent xmlns:mc="http://schemas.openxmlformats.org/markup-compatibility/2006">
      <mc:Choice Requires="x14">
        <oleObject progId="Equation.DSMT4" shapeId="3203" r:id="rId145">
          <objectPr defaultSize="0" r:id="rId21">
            <anchor moveWithCells="1">
              <from>
                <xdr:col>60</xdr:col>
                <xdr:colOff>295275</xdr:colOff>
                <xdr:row>211</xdr:row>
                <xdr:rowOff>104775</xdr:rowOff>
              </from>
              <to>
                <xdr:col>60</xdr:col>
                <xdr:colOff>733425</xdr:colOff>
                <xdr:row>212</xdr:row>
                <xdr:rowOff>190500</xdr:rowOff>
              </to>
            </anchor>
          </objectPr>
        </oleObject>
      </mc:Choice>
      <mc:Fallback>
        <oleObject progId="Equation.DSMT4" shapeId="3203" r:id="rId145"/>
      </mc:Fallback>
    </mc:AlternateContent>
    <mc:AlternateContent xmlns:mc="http://schemas.openxmlformats.org/markup-compatibility/2006">
      <mc:Choice Requires="x14">
        <oleObject progId="Equation.DSMT4" shapeId="3204" r:id="rId146">
          <objectPr defaultSize="0" r:id="rId25">
            <anchor moveWithCells="1">
              <from>
                <xdr:col>61</xdr:col>
                <xdr:colOff>304800</xdr:colOff>
                <xdr:row>211</xdr:row>
                <xdr:rowOff>85725</xdr:rowOff>
              </from>
              <to>
                <xdr:col>61</xdr:col>
                <xdr:colOff>733425</xdr:colOff>
                <xdr:row>212</xdr:row>
                <xdr:rowOff>161925</xdr:rowOff>
              </to>
            </anchor>
          </objectPr>
        </oleObject>
      </mc:Choice>
      <mc:Fallback>
        <oleObject progId="Equation.DSMT4" shapeId="3204" r:id="rId146"/>
      </mc:Fallback>
    </mc:AlternateContent>
    <mc:AlternateContent xmlns:mc="http://schemas.openxmlformats.org/markup-compatibility/2006">
      <mc:Choice Requires="x14">
        <oleObject progId="Equation.DSMT4" shapeId="3205" r:id="rId147">
          <objectPr defaultSize="0" r:id="rId17">
            <anchor moveWithCells="1">
              <from>
                <xdr:col>42</xdr:col>
                <xdr:colOff>257175</xdr:colOff>
                <xdr:row>239</xdr:row>
                <xdr:rowOff>85725</xdr:rowOff>
              </from>
              <to>
                <xdr:col>42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05" r:id="rId147"/>
      </mc:Fallback>
    </mc:AlternateContent>
    <mc:AlternateContent xmlns:mc="http://schemas.openxmlformats.org/markup-compatibility/2006">
      <mc:Choice Requires="x14">
        <oleObject progId="Equation.DSMT4" shapeId="3206" r:id="rId148">
          <objectPr defaultSize="0" r:id="rId23">
            <anchor moveWithCells="1">
              <from>
                <xdr:col>43</xdr:col>
                <xdr:colOff>314325</xdr:colOff>
                <xdr:row>239</xdr:row>
                <xdr:rowOff>85725</xdr:rowOff>
              </from>
              <to>
                <xdr:col>43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06" r:id="rId148"/>
      </mc:Fallback>
    </mc:AlternateContent>
    <mc:AlternateContent xmlns:mc="http://schemas.openxmlformats.org/markup-compatibility/2006">
      <mc:Choice Requires="x14">
        <oleObject progId="Equation.DSMT4" shapeId="3207" r:id="rId149">
          <objectPr defaultSize="0" r:id="rId21">
            <anchor moveWithCells="1">
              <from>
                <xdr:col>42</xdr:col>
                <xdr:colOff>295275</xdr:colOff>
                <xdr:row>239</xdr:row>
                <xdr:rowOff>104775</xdr:rowOff>
              </from>
              <to>
                <xdr:col>42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3207" r:id="rId149"/>
      </mc:Fallback>
    </mc:AlternateContent>
    <mc:AlternateContent xmlns:mc="http://schemas.openxmlformats.org/markup-compatibility/2006">
      <mc:Choice Requires="x14">
        <oleObject progId="Equation.DSMT4" shapeId="3208" r:id="rId150">
          <objectPr defaultSize="0" r:id="rId25">
            <anchor moveWithCells="1">
              <from>
                <xdr:col>43</xdr:col>
                <xdr:colOff>304800</xdr:colOff>
                <xdr:row>239</xdr:row>
                <xdr:rowOff>85725</xdr:rowOff>
              </from>
              <to>
                <xdr:col>43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08" r:id="rId150"/>
      </mc:Fallback>
    </mc:AlternateContent>
    <mc:AlternateContent xmlns:mc="http://schemas.openxmlformats.org/markup-compatibility/2006">
      <mc:Choice Requires="x14">
        <oleObject progId="Equation.DSMT4" shapeId="3209" r:id="rId151">
          <objectPr defaultSize="0" r:id="rId17">
            <anchor moveWithCells="1">
              <from>
                <xdr:col>44</xdr:col>
                <xdr:colOff>257175</xdr:colOff>
                <xdr:row>239</xdr:row>
                <xdr:rowOff>85725</xdr:rowOff>
              </from>
              <to>
                <xdr:col>44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09" r:id="rId151"/>
      </mc:Fallback>
    </mc:AlternateContent>
    <mc:AlternateContent xmlns:mc="http://schemas.openxmlformats.org/markup-compatibility/2006">
      <mc:Choice Requires="x14">
        <oleObject progId="Equation.DSMT4" shapeId="3210" r:id="rId152">
          <objectPr defaultSize="0" r:id="rId23">
            <anchor moveWithCells="1">
              <from>
                <xdr:col>45</xdr:col>
                <xdr:colOff>314325</xdr:colOff>
                <xdr:row>239</xdr:row>
                <xdr:rowOff>85725</xdr:rowOff>
              </from>
              <to>
                <xdr:col>45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10" r:id="rId152"/>
      </mc:Fallback>
    </mc:AlternateContent>
    <mc:AlternateContent xmlns:mc="http://schemas.openxmlformats.org/markup-compatibility/2006">
      <mc:Choice Requires="x14">
        <oleObject progId="Equation.DSMT4" shapeId="3211" r:id="rId153">
          <objectPr defaultSize="0" r:id="rId21">
            <anchor moveWithCells="1">
              <from>
                <xdr:col>44</xdr:col>
                <xdr:colOff>295275</xdr:colOff>
                <xdr:row>239</xdr:row>
                <xdr:rowOff>104775</xdr:rowOff>
              </from>
              <to>
                <xdr:col>44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3211" r:id="rId153"/>
      </mc:Fallback>
    </mc:AlternateContent>
    <mc:AlternateContent xmlns:mc="http://schemas.openxmlformats.org/markup-compatibility/2006">
      <mc:Choice Requires="x14">
        <oleObject progId="Equation.DSMT4" shapeId="3212" r:id="rId154">
          <objectPr defaultSize="0" r:id="rId25">
            <anchor moveWithCells="1">
              <from>
                <xdr:col>45</xdr:col>
                <xdr:colOff>304800</xdr:colOff>
                <xdr:row>239</xdr:row>
                <xdr:rowOff>85725</xdr:rowOff>
              </from>
              <to>
                <xdr:col>45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12" r:id="rId154"/>
      </mc:Fallback>
    </mc:AlternateContent>
    <mc:AlternateContent xmlns:mc="http://schemas.openxmlformats.org/markup-compatibility/2006">
      <mc:Choice Requires="x14">
        <oleObject progId="Equation.DSMT4" shapeId="3213" r:id="rId155">
          <objectPr defaultSize="0" r:id="rId17">
            <anchor moveWithCells="1">
              <from>
                <xdr:col>46</xdr:col>
                <xdr:colOff>257175</xdr:colOff>
                <xdr:row>239</xdr:row>
                <xdr:rowOff>85725</xdr:rowOff>
              </from>
              <to>
                <xdr:col>46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13" r:id="rId155"/>
      </mc:Fallback>
    </mc:AlternateContent>
    <mc:AlternateContent xmlns:mc="http://schemas.openxmlformats.org/markup-compatibility/2006">
      <mc:Choice Requires="x14">
        <oleObject progId="Equation.DSMT4" shapeId="3214" r:id="rId156">
          <objectPr defaultSize="0" r:id="rId23">
            <anchor moveWithCells="1">
              <from>
                <xdr:col>47</xdr:col>
                <xdr:colOff>314325</xdr:colOff>
                <xdr:row>239</xdr:row>
                <xdr:rowOff>85725</xdr:rowOff>
              </from>
              <to>
                <xdr:col>47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14" r:id="rId156"/>
      </mc:Fallback>
    </mc:AlternateContent>
    <mc:AlternateContent xmlns:mc="http://schemas.openxmlformats.org/markup-compatibility/2006">
      <mc:Choice Requires="x14">
        <oleObject progId="Equation.DSMT4" shapeId="3215" r:id="rId157">
          <objectPr defaultSize="0" r:id="rId21">
            <anchor moveWithCells="1">
              <from>
                <xdr:col>46</xdr:col>
                <xdr:colOff>295275</xdr:colOff>
                <xdr:row>239</xdr:row>
                <xdr:rowOff>104775</xdr:rowOff>
              </from>
              <to>
                <xdr:col>46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3215" r:id="rId157"/>
      </mc:Fallback>
    </mc:AlternateContent>
    <mc:AlternateContent xmlns:mc="http://schemas.openxmlformats.org/markup-compatibility/2006">
      <mc:Choice Requires="x14">
        <oleObject progId="Equation.DSMT4" shapeId="3216" r:id="rId158">
          <objectPr defaultSize="0" r:id="rId25">
            <anchor moveWithCells="1">
              <from>
                <xdr:col>47</xdr:col>
                <xdr:colOff>304800</xdr:colOff>
                <xdr:row>239</xdr:row>
                <xdr:rowOff>85725</xdr:rowOff>
              </from>
              <to>
                <xdr:col>47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16" r:id="rId158"/>
      </mc:Fallback>
    </mc:AlternateContent>
    <mc:AlternateContent xmlns:mc="http://schemas.openxmlformats.org/markup-compatibility/2006">
      <mc:Choice Requires="x14">
        <oleObject progId="Equation.DSMT4" shapeId="3217" r:id="rId159">
          <objectPr defaultSize="0" r:id="rId17">
            <anchor moveWithCells="1">
              <from>
                <xdr:col>48</xdr:col>
                <xdr:colOff>257175</xdr:colOff>
                <xdr:row>239</xdr:row>
                <xdr:rowOff>85725</xdr:rowOff>
              </from>
              <to>
                <xdr:col>48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17" r:id="rId159"/>
      </mc:Fallback>
    </mc:AlternateContent>
    <mc:AlternateContent xmlns:mc="http://schemas.openxmlformats.org/markup-compatibility/2006">
      <mc:Choice Requires="x14">
        <oleObject progId="Equation.DSMT4" shapeId="3218" r:id="rId160">
          <objectPr defaultSize="0" r:id="rId23">
            <anchor moveWithCells="1">
              <from>
                <xdr:col>49</xdr:col>
                <xdr:colOff>314325</xdr:colOff>
                <xdr:row>239</xdr:row>
                <xdr:rowOff>85725</xdr:rowOff>
              </from>
              <to>
                <xdr:col>49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18" r:id="rId160"/>
      </mc:Fallback>
    </mc:AlternateContent>
    <mc:AlternateContent xmlns:mc="http://schemas.openxmlformats.org/markup-compatibility/2006">
      <mc:Choice Requires="x14">
        <oleObject progId="Equation.DSMT4" shapeId="3219" r:id="rId161">
          <objectPr defaultSize="0" r:id="rId21">
            <anchor moveWithCells="1">
              <from>
                <xdr:col>48</xdr:col>
                <xdr:colOff>295275</xdr:colOff>
                <xdr:row>239</xdr:row>
                <xdr:rowOff>104775</xdr:rowOff>
              </from>
              <to>
                <xdr:col>48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3219" r:id="rId161"/>
      </mc:Fallback>
    </mc:AlternateContent>
    <mc:AlternateContent xmlns:mc="http://schemas.openxmlformats.org/markup-compatibility/2006">
      <mc:Choice Requires="x14">
        <oleObject progId="Equation.DSMT4" shapeId="3220" r:id="rId162">
          <objectPr defaultSize="0" r:id="rId25">
            <anchor moveWithCells="1">
              <from>
                <xdr:col>49</xdr:col>
                <xdr:colOff>304800</xdr:colOff>
                <xdr:row>239</xdr:row>
                <xdr:rowOff>85725</xdr:rowOff>
              </from>
              <to>
                <xdr:col>49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20" r:id="rId162"/>
      </mc:Fallback>
    </mc:AlternateContent>
    <mc:AlternateContent xmlns:mc="http://schemas.openxmlformats.org/markup-compatibility/2006">
      <mc:Choice Requires="x14">
        <oleObject progId="Equation.DSMT4" shapeId="3221" r:id="rId163">
          <objectPr defaultSize="0" r:id="rId17">
            <anchor moveWithCells="1">
              <from>
                <xdr:col>50</xdr:col>
                <xdr:colOff>257175</xdr:colOff>
                <xdr:row>239</xdr:row>
                <xdr:rowOff>85725</xdr:rowOff>
              </from>
              <to>
                <xdr:col>50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21" r:id="rId163"/>
      </mc:Fallback>
    </mc:AlternateContent>
    <mc:AlternateContent xmlns:mc="http://schemas.openxmlformats.org/markup-compatibility/2006">
      <mc:Choice Requires="x14">
        <oleObject progId="Equation.DSMT4" shapeId="3222" r:id="rId164">
          <objectPr defaultSize="0" r:id="rId23">
            <anchor moveWithCells="1">
              <from>
                <xdr:col>51</xdr:col>
                <xdr:colOff>314325</xdr:colOff>
                <xdr:row>239</xdr:row>
                <xdr:rowOff>85725</xdr:rowOff>
              </from>
              <to>
                <xdr:col>51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22" r:id="rId164"/>
      </mc:Fallback>
    </mc:AlternateContent>
    <mc:AlternateContent xmlns:mc="http://schemas.openxmlformats.org/markup-compatibility/2006">
      <mc:Choice Requires="x14">
        <oleObject progId="Equation.DSMT4" shapeId="3223" r:id="rId165">
          <objectPr defaultSize="0" r:id="rId21">
            <anchor moveWithCells="1">
              <from>
                <xdr:col>50</xdr:col>
                <xdr:colOff>295275</xdr:colOff>
                <xdr:row>239</xdr:row>
                <xdr:rowOff>104775</xdr:rowOff>
              </from>
              <to>
                <xdr:col>50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3223" r:id="rId165"/>
      </mc:Fallback>
    </mc:AlternateContent>
    <mc:AlternateContent xmlns:mc="http://schemas.openxmlformats.org/markup-compatibility/2006">
      <mc:Choice Requires="x14">
        <oleObject progId="Equation.DSMT4" shapeId="3224" r:id="rId166">
          <objectPr defaultSize="0" r:id="rId25">
            <anchor moveWithCells="1">
              <from>
                <xdr:col>51</xdr:col>
                <xdr:colOff>304800</xdr:colOff>
                <xdr:row>239</xdr:row>
                <xdr:rowOff>85725</xdr:rowOff>
              </from>
              <to>
                <xdr:col>51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24" r:id="rId166"/>
      </mc:Fallback>
    </mc:AlternateContent>
    <mc:AlternateContent xmlns:mc="http://schemas.openxmlformats.org/markup-compatibility/2006">
      <mc:Choice Requires="x14">
        <oleObject progId="Equation.DSMT4" shapeId="3225" r:id="rId167">
          <objectPr defaultSize="0" r:id="rId17">
            <anchor moveWithCells="1">
              <from>
                <xdr:col>52</xdr:col>
                <xdr:colOff>257175</xdr:colOff>
                <xdr:row>239</xdr:row>
                <xdr:rowOff>85725</xdr:rowOff>
              </from>
              <to>
                <xdr:col>52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25" r:id="rId167"/>
      </mc:Fallback>
    </mc:AlternateContent>
    <mc:AlternateContent xmlns:mc="http://schemas.openxmlformats.org/markup-compatibility/2006">
      <mc:Choice Requires="x14">
        <oleObject progId="Equation.DSMT4" shapeId="3226" r:id="rId168">
          <objectPr defaultSize="0" r:id="rId23">
            <anchor moveWithCells="1">
              <from>
                <xdr:col>53</xdr:col>
                <xdr:colOff>314325</xdr:colOff>
                <xdr:row>239</xdr:row>
                <xdr:rowOff>85725</xdr:rowOff>
              </from>
              <to>
                <xdr:col>53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26" r:id="rId168"/>
      </mc:Fallback>
    </mc:AlternateContent>
    <mc:AlternateContent xmlns:mc="http://schemas.openxmlformats.org/markup-compatibility/2006">
      <mc:Choice Requires="x14">
        <oleObject progId="Equation.DSMT4" shapeId="3227" r:id="rId169">
          <objectPr defaultSize="0" r:id="rId21">
            <anchor moveWithCells="1">
              <from>
                <xdr:col>52</xdr:col>
                <xdr:colOff>295275</xdr:colOff>
                <xdr:row>239</xdr:row>
                <xdr:rowOff>104775</xdr:rowOff>
              </from>
              <to>
                <xdr:col>52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3227" r:id="rId169"/>
      </mc:Fallback>
    </mc:AlternateContent>
    <mc:AlternateContent xmlns:mc="http://schemas.openxmlformats.org/markup-compatibility/2006">
      <mc:Choice Requires="x14">
        <oleObject progId="Equation.DSMT4" shapeId="3228" r:id="rId170">
          <objectPr defaultSize="0" r:id="rId25">
            <anchor moveWithCells="1">
              <from>
                <xdr:col>53</xdr:col>
                <xdr:colOff>304800</xdr:colOff>
                <xdr:row>239</xdr:row>
                <xdr:rowOff>85725</xdr:rowOff>
              </from>
              <to>
                <xdr:col>53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28" r:id="rId170"/>
      </mc:Fallback>
    </mc:AlternateContent>
    <mc:AlternateContent xmlns:mc="http://schemas.openxmlformats.org/markup-compatibility/2006">
      <mc:Choice Requires="x14">
        <oleObject progId="Equation.DSMT4" shapeId="3229" r:id="rId171">
          <objectPr defaultSize="0" r:id="rId17">
            <anchor moveWithCells="1">
              <from>
                <xdr:col>54</xdr:col>
                <xdr:colOff>257175</xdr:colOff>
                <xdr:row>239</xdr:row>
                <xdr:rowOff>85725</xdr:rowOff>
              </from>
              <to>
                <xdr:col>54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29" r:id="rId171"/>
      </mc:Fallback>
    </mc:AlternateContent>
    <mc:AlternateContent xmlns:mc="http://schemas.openxmlformats.org/markup-compatibility/2006">
      <mc:Choice Requires="x14">
        <oleObject progId="Equation.DSMT4" shapeId="3230" r:id="rId172">
          <objectPr defaultSize="0" r:id="rId23">
            <anchor moveWithCells="1">
              <from>
                <xdr:col>55</xdr:col>
                <xdr:colOff>314325</xdr:colOff>
                <xdr:row>239</xdr:row>
                <xdr:rowOff>85725</xdr:rowOff>
              </from>
              <to>
                <xdr:col>55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30" r:id="rId172"/>
      </mc:Fallback>
    </mc:AlternateContent>
    <mc:AlternateContent xmlns:mc="http://schemas.openxmlformats.org/markup-compatibility/2006">
      <mc:Choice Requires="x14">
        <oleObject progId="Equation.DSMT4" shapeId="3231" r:id="rId173">
          <objectPr defaultSize="0" r:id="rId21">
            <anchor moveWithCells="1">
              <from>
                <xdr:col>54</xdr:col>
                <xdr:colOff>295275</xdr:colOff>
                <xdr:row>239</xdr:row>
                <xdr:rowOff>104775</xdr:rowOff>
              </from>
              <to>
                <xdr:col>54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3231" r:id="rId173"/>
      </mc:Fallback>
    </mc:AlternateContent>
    <mc:AlternateContent xmlns:mc="http://schemas.openxmlformats.org/markup-compatibility/2006">
      <mc:Choice Requires="x14">
        <oleObject progId="Equation.DSMT4" shapeId="3232" r:id="rId174">
          <objectPr defaultSize="0" r:id="rId25">
            <anchor moveWithCells="1">
              <from>
                <xdr:col>55</xdr:col>
                <xdr:colOff>304800</xdr:colOff>
                <xdr:row>239</xdr:row>
                <xdr:rowOff>85725</xdr:rowOff>
              </from>
              <to>
                <xdr:col>55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32" r:id="rId174"/>
      </mc:Fallback>
    </mc:AlternateContent>
    <mc:AlternateContent xmlns:mc="http://schemas.openxmlformats.org/markup-compatibility/2006">
      <mc:Choice Requires="x14">
        <oleObject progId="Equation.DSMT4" shapeId="3233" r:id="rId175">
          <objectPr defaultSize="0" r:id="rId17">
            <anchor moveWithCells="1">
              <from>
                <xdr:col>56</xdr:col>
                <xdr:colOff>257175</xdr:colOff>
                <xdr:row>239</xdr:row>
                <xdr:rowOff>85725</xdr:rowOff>
              </from>
              <to>
                <xdr:col>56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33" r:id="rId175"/>
      </mc:Fallback>
    </mc:AlternateContent>
    <mc:AlternateContent xmlns:mc="http://schemas.openxmlformats.org/markup-compatibility/2006">
      <mc:Choice Requires="x14">
        <oleObject progId="Equation.DSMT4" shapeId="3234" r:id="rId176">
          <objectPr defaultSize="0" r:id="rId23">
            <anchor moveWithCells="1">
              <from>
                <xdr:col>57</xdr:col>
                <xdr:colOff>314325</xdr:colOff>
                <xdr:row>239</xdr:row>
                <xdr:rowOff>85725</xdr:rowOff>
              </from>
              <to>
                <xdr:col>57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34" r:id="rId176"/>
      </mc:Fallback>
    </mc:AlternateContent>
    <mc:AlternateContent xmlns:mc="http://schemas.openxmlformats.org/markup-compatibility/2006">
      <mc:Choice Requires="x14">
        <oleObject progId="Equation.DSMT4" shapeId="3235" r:id="rId177">
          <objectPr defaultSize="0" r:id="rId21">
            <anchor moveWithCells="1">
              <from>
                <xdr:col>56</xdr:col>
                <xdr:colOff>295275</xdr:colOff>
                <xdr:row>239</xdr:row>
                <xdr:rowOff>104775</xdr:rowOff>
              </from>
              <to>
                <xdr:col>56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3235" r:id="rId177"/>
      </mc:Fallback>
    </mc:AlternateContent>
    <mc:AlternateContent xmlns:mc="http://schemas.openxmlformats.org/markup-compatibility/2006">
      <mc:Choice Requires="x14">
        <oleObject progId="Equation.DSMT4" shapeId="3236" r:id="rId178">
          <objectPr defaultSize="0" r:id="rId25">
            <anchor moveWithCells="1">
              <from>
                <xdr:col>57</xdr:col>
                <xdr:colOff>304800</xdr:colOff>
                <xdr:row>239</xdr:row>
                <xdr:rowOff>85725</xdr:rowOff>
              </from>
              <to>
                <xdr:col>57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36" r:id="rId178"/>
      </mc:Fallback>
    </mc:AlternateContent>
    <mc:AlternateContent xmlns:mc="http://schemas.openxmlformats.org/markup-compatibility/2006">
      <mc:Choice Requires="x14">
        <oleObject progId="Equation.DSMT4" shapeId="3237" r:id="rId179">
          <objectPr defaultSize="0" r:id="rId17">
            <anchor moveWithCells="1">
              <from>
                <xdr:col>58</xdr:col>
                <xdr:colOff>257175</xdr:colOff>
                <xdr:row>239</xdr:row>
                <xdr:rowOff>85725</xdr:rowOff>
              </from>
              <to>
                <xdr:col>58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37" r:id="rId179"/>
      </mc:Fallback>
    </mc:AlternateContent>
    <mc:AlternateContent xmlns:mc="http://schemas.openxmlformats.org/markup-compatibility/2006">
      <mc:Choice Requires="x14">
        <oleObject progId="Equation.DSMT4" shapeId="3238" r:id="rId180">
          <objectPr defaultSize="0" r:id="rId23">
            <anchor moveWithCells="1">
              <from>
                <xdr:col>59</xdr:col>
                <xdr:colOff>314325</xdr:colOff>
                <xdr:row>239</xdr:row>
                <xdr:rowOff>85725</xdr:rowOff>
              </from>
              <to>
                <xdr:col>59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38" r:id="rId180"/>
      </mc:Fallback>
    </mc:AlternateContent>
    <mc:AlternateContent xmlns:mc="http://schemas.openxmlformats.org/markup-compatibility/2006">
      <mc:Choice Requires="x14">
        <oleObject progId="Equation.DSMT4" shapeId="3239" r:id="rId181">
          <objectPr defaultSize="0" r:id="rId21">
            <anchor moveWithCells="1">
              <from>
                <xdr:col>58</xdr:col>
                <xdr:colOff>295275</xdr:colOff>
                <xdr:row>239</xdr:row>
                <xdr:rowOff>104775</xdr:rowOff>
              </from>
              <to>
                <xdr:col>58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3239" r:id="rId181"/>
      </mc:Fallback>
    </mc:AlternateContent>
    <mc:AlternateContent xmlns:mc="http://schemas.openxmlformats.org/markup-compatibility/2006">
      <mc:Choice Requires="x14">
        <oleObject progId="Equation.DSMT4" shapeId="3240" r:id="rId182">
          <objectPr defaultSize="0" r:id="rId25">
            <anchor moveWithCells="1">
              <from>
                <xdr:col>59</xdr:col>
                <xdr:colOff>304800</xdr:colOff>
                <xdr:row>239</xdr:row>
                <xdr:rowOff>85725</xdr:rowOff>
              </from>
              <to>
                <xdr:col>59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40" r:id="rId182"/>
      </mc:Fallback>
    </mc:AlternateContent>
    <mc:AlternateContent xmlns:mc="http://schemas.openxmlformats.org/markup-compatibility/2006">
      <mc:Choice Requires="x14">
        <oleObject progId="Equation.DSMT4" shapeId="3241" r:id="rId183">
          <objectPr defaultSize="0" r:id="rId17">
            <anchor moveWithCells="1">
              <from>
                <xdr:col>60</xdr:col>
                <xdr:colOff>257175</xdr:colOff>
                <xdr:row>239</xdr:row>
                <xdr:rowOff>85725</xdr:rowOff>
              </from>
              <to>
                <xdr:col>60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41" r:id="rId183"/>
      </mc:Fallback>
    </mc:AlternateContent>
    <mc:AlternateContent xmlns:mc="http://schemas.openxmlformats.org/markup-compatibility/2006">
      <mc:Choice Requires="x14">
        <oleObject progId="Equation.DSMT4" shapeId="3242" r:id="rId184">
          <objectPr defaultSize="0" r:id="rId23">
            <anchor moveWithCells="1">
              <from>
                <xdr:col>61</xdr:col>
                <xdr:colOff>314325</xdr:colOff>
                <xdr:row>239</xdr:row>
                <xdr:rowOff>85725</xdr:rowOff>
              </from>
              <to>
                <xdr:col>61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42" r:id="rId184"/>
      </mc:Fallback>
    </mc:AlternateContent>
    <mc:AlternateContent xmlns:mc="http://schemas.openxmlformats.org/markup-compatibility/2006">
      <mc:Choice Requires="x14">
        <oleObject progId="Equation.DSMT4" shapeId="3243" r:id="rId185">
          <objectPr defaultSize="0" r:id="rId21">
            <anchor moveWithCells="1">
              <from>
                <xdr:col>60</xdr:col>
                <xdr:colOff>295275</xdr:colOff>
                <xdr:row>239</xdr:row>
                <xdr:rowOff>104775</xdr:rowOff>
              </from>
              <to>
                <xdr:col>60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3243" r:id="rId185"/>
      </mc:Fallback>
    </mc:AlternateContent>
    <mc:AlternateContent xmlns:mc="http://schemas.openxmlformats.org/markup-compatibility/2006">
      <mc:Choice Requires="x14">
        <oleObject progId="Equation.DSMT4" shapeId="3244" r:id="rId186">
          <objectPr defaultSize="0" r:id="rId25">
            <anchor moveWithCells="1">
              <from>
                <xdr:col>61</xdr:col>
                <xdr:colOff>304800</xdr:colOff>
                <xdr:row>239</xdr:row>
                <xdr:rowOff>85725</xdr:rowOff>
              </from>
              <to>
                <xdr:col>61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44" r:id="rId186"/>
      </mc:Fallback>
    </mc:AlternateContent>
    <mc:AlternateContent xmlns:mc="http://schemas.openxmlformats.org/markup-compatibility/2006">
      <mc:Choice Requires="x14">
        <oleObject progId="Equation.DSMT4" shapeId="3245" r:id="rId187">
          <objectPr defaultSize="0" r:id="rId17">
            <anchor moveWithCells="1">
              <from>
                <xdr:col>62</xdr:col>
                <xdr:colOff>257175</xdr:colOff>
                <xdr:row>239</xdr:row>
                <xdr:rowOff>85725</xdr:rowOff>
              </from>
              <to>
                <xdr:col>62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45" r:id="rId187"/>
      </mc:Fallback>
    </mc:AlternateContent>
    <mc:AlternateContent xmlns:mc="http://schemas.openxmlformats.org/markup-compatibility/2006">
      <mc:Choice Requires="x14">
        <oleObject progId="Equation.DSMT4" shapeId="3246" r:id="rId188">
          <objectPr defaultSize="0" r:id="rId23">
            <anchor moveWithCells="1">
              <from>
                <xdr:col>63</xdr:col>
                <xdr:colOff>314325</xdr:colOff>
                <xdr:row>239</xdr:row>
                <xdr:rowOff>85725</xdr:rowOff>
              </from>
              <to>
                <xdr:col>63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46" r:id="rId188"/>
      </mc:Fallback>
    </mc:AlternateContent>
    <mc:AlternateContent xmlns:mc="http://schemas.openxmlformats.org/markup-compatibility/2006">
      <mc:Choice Requires="x14">
        <oleObject progId="Equation.DSMT4" shapeId="3247" r:id="rId189">
          <objectPr defaultSize="0" r:id="rId21">
            <anchor moveWithCells="1">
              <from>
                <xdr:col>62</xdr:col>
                <xdr:colOff>295275</xdr:colOff>
                <xdr:row>239</xdr:row>
                <xdr:rowOff>104775</xdr:rowOff>
              </from>
              <to>
                <xdr:col>62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3247" r:id="rId189"/>
      </mc:Fallback>
    </mc:AlternateContent>
    <mc:AlternateContent xmlns:mc="http://schemas.openxmlformats.org/markup-compatibility/2006">
      <mc:Choice Requires="x14">
        <oleObject progId="Equation.DSMT4" shapeId="3248" r:id="rId190">
          <objectPr defaultSize="0" r:id="rId25">
            <anchor moveWithCells="1">
              <from>
                <xdr:col>63</xdr:col>
                <xdr:colOff>304800</xdr:colOff>
                <xdr:row>239</xdr:row>
                <xdr:rowOff>85725</xdr:rowOff>
              </from>
              <to>
                <xdr:col>63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48" r:id="rId190"/>
      </mc:Fallback>
    </mc:AlternateContent>
    <mc:AlternateContent xmlns:mc="http://schemas.openxmlformats.org/markup-compatibility/2006">
      <mc:Choice Requires="x14">
        <oleObject progId="Equation.DSMT4" shapeId="3249" r:id="rId191">
          <objectPr defaultSize="0" r:id="rId17">
            <anchor moveWithCells="1">
              <from>
                <xdr:col>64</xdr:col>
                <xdr:colOff>257175</xdr:colOff>
                <xdr:row>239</xdr:row>
                <xdr:rowOff>85725</xdr:rowOff>
              </from>
              <to>
                <xdr:col>64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49" r:id="rId191"/>
      </mc:Fallback>
    </mc:AlternateContent>
    <mc:AlternateContent xmlns:mc="http://schemas.openxmlformats.org/markup-compatibility/2006">
      <mc:Choice Requires="x14">
        <oleObject progId="Equation.DSMT4" shapeId="3250" r:id="rId192">
          <objectPr defaultSize="0" r:id="rId23">
            <anchor moveWithCells="1">
              <from>
                <xdr:col>65</xdr:col>
                <xdr:colOff>314325</xdr:colOff>
                <xdr:row>239</xdr:row>
                <xdr:rowOff>85725</xdr:rowOff>
              </from>
              <to>
                <xdr:col>65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50" r:id="rId192"/>
      </mc:Fallback>
    </mc:AlternateContent>
    <mc:AlternateContent xmlns:mc="http://schemas.openxmlformats.org/markup-compatibility/2006">
      <mc:Choice Requires="x14">
        <oleObject progId="Equation.DSMT4" shapeId="3251" r:id="rId193">
          <objectPr defaultSize="0" r:id="rId21">
            <anchor moveWithCells="1">
              <from>
                <xdr:col>64</xdr:col>
                <xdr:colOff>295275</xdr:colOff>
                <xdr:row>239</xdr:row>
                <xdr:rowOff>104775</xdr:rowOff>
              </from>
              <to>
                <xdr:col>64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3251" r:id="rId193"/>
      </mc:Fallback>
    </mc:AlternateContent>
    <mc:AlternateContent xmlns:mc="http://schemas.openxmlformats.org/markup-compatibility/2006">
      <mc:Choice Requires="x14">
        <oleObject progId="Equation.DSMT4" shapeId="3252" r:id="rId194">
          <objectPr defaultSize="0" r:id="rId25">
            <anchor moveWithCells="1">
              <from>
                <xdr:col>65</xdr:col>
                <xdr:colOff>304800</xdr:colOff>
                <xdr:row>239</xdr:row>
                <xdr:rowOff>85725</xdr:rowOff>
              </from>
              <to>
                <xdr:col>65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52" r:id="rId194"/>
      </mc:Fallback>
    </mc:AlternateContent>
    <mc:AlternateContent xmlns:mc="http://schemas.openxmlformats.org/markup-compatibility/2006">
      <mc:Choice Requires="x14">
        <oleObject progId="Equation.DSMT4" shapeId="3253" r:id="rId195">
          <objectPr defaultSize="0" r:id="rId17">
            <anchor moveWithCells="1">
              <from>
                <xdr:col>66</xdr:col>
                <xdr:colOff>257175</xdr:colOff>
                <xdr:row>239</xdr:row>
                <xdr:rowOff>85725</xdr:rowOff>
              </from>
              <to>
                <xdr:col>66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53" r:id="rId195"/>
      </mc:Fallback>
    </mc:AlternateContent>
    <mc:AlternateContent xmlns:mc="http://schemas.openxmlformats.org/markup-compatibility/2006">
      <mc:Choice Requires="x14">
        <oleObject progId="Equation.DSMT4" shapeId="3254" r:id="rId196">
          <objectPr defaultSize="0" r:id="rId23">
            <anchor moveWithCells="1">
              <from>
                <xdr:col>67</xdr:col>
                <xdr:colOff>314325</xdr:colOff>
                <xdr:row>239</xdr:row>
                <xdr:rowOff>85725</xdr:rowOff>
              </from>
              <to>
                <xdr:col>67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54" r:id="rId196"/>
      </mc:Fallback>
    </mc:AlternateContent>
    <mc:AlternateContent xmlns:mc="http://schemas.openxmlformats.org/markup-compatibility/2006">
      <mc:Choice Requires="x14">
        <oleObject progId="Equation.DSMT4" shapeId="3255" r:id="rId197">
          <objectPr defaultSize="0" r:id="rId21">
            <anchor moveWithCells="1">
              <from>
                <xdr:col>66</xdr:col>
                <xdr:colOff>295275</xdr:colOff>
                <xdr:row>239</xdr:row>
                <xdr:rowOff>104775</xdr:rowOff>
              </from>
              <to>
                <xdr:col>66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3255" r:id="rId197"/>
      </mc:Fallback>
    </mc:AlternateContent>
    <mc:AlternateContent xmlns:mc="http://schemas.openxmlformats.org/markup-compatibility/2006">
      <mc:Choice Requires="x14">
        <oleObject progId="Equation.DSMT4" shapeId="3256" r:id="rId198">
          <objectPr defaultSize="0" r:id="rId25">
            <anchor moveWithCells="1">
              <from>
                <xdr:col>67</xdr:col>
                <xdr:colOff>304800</xdr:colOff>
                <xdr:row>239</xdr:row>
                <xdr:rowOff>85725</xdr:rowOff>
              </from>
              <to>
                <xdr:col>67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56" r:id="rId198"/>
      </mc:Fallback>
    </mc:AlternateContent>
    <mc:AlternateContent xmlns:mc="http://schemas.openxmlformats.org/markup-compatibility/2006">
      <mc:Choice Requires="x14">
        <oleObject progId="Equation.DSMT4" shapeId="3257" r:id="rId199">
          <objectPr defaultSize="0" r:id="rId17">
            <anchor moveWithCells="1">
              <from>
                <xdr:col>68</xdr:col>
                <xdr:colOff>257175</xdr:colOff>
                <xdr:row>239</xdr:row>
                <xdr:rowOff>85725</xdr:rowOff>
              </from>
              <to>
                <xdr:col>68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57" r:id="rId199"/>
      </mc:Fallback>
    </mc:AlternateContent>
    <mc:AlternateContent xmlns:mc="http://schemas.openxmlformats.org/markup-compatibility/2006">
      <mc:Choice Requires="x14">
        <oleObject progId="Equation.DSMT4" shapeId="3258" r:id="rId200">
          <objectPr defaultSize="0" r:id="rId23">
            <anchor moveWithCells="1">
              <from>
                <xdr:col>69</xdr:col>
                <xdr:colOff>314325</xdr:colOff>
                <xdr:row>239</xdr:row>
                <xdr:rowOff>85725</xdr:rowOff>
              </from>
              <to>
                <xdr:col>69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58" r:id="rId200"/>
      </mc:Fallback>
    </mc:AlternateContent>
    <mc:AlternateContent xmlns:mc="http://schemas.openxmlformats.org/markup-compatibility/2006">
      <mc:Choice Requires="x14">
        <oleObject progId="Equation.DSMT4" shapeId="3259" r:id="rId201">
          <objectPr defaultSize="0" r:id="rId21">
            <anchor moveWithCells="1">
              <from>
                <xdr:col>68</xdr:col>
                <xdr:colOff>295275</xdr:colOff>
                <xdr:row>239</xdr:row>
                <xdr:rowOff>104775</xdr:rowOff>
              </from>
              <to>
                <xdr:col>68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3259" r:id="rId201"/>
      </mc:Fallback>
    </mc:AlternateContent>
    <mc:AlternateContent xmlns:mc="http://schemas.openxmlformats.org/markup-compatibility/2006">
      <mc:Choice Requires="x14">
        <oleObject progId="Equation.DSMT4" shapeId="3260" r:id="rId202">
          <objectPr defaultSize="0" r:id="rId25">
            <anchor moveWithCells="1">
              <from>
                <xdr:col>69</xdr:col>
                <xdr:colOff>304800</xdr:colOff>
                <xdr:row>239</xdr:row>
                <xdr:rowOff>85725</xdr:rowOff>
              </from>
              <to>
                <xdr:col>69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60" r:id="rId202"/>
      </mc:Fallback>
    </mc:AlternateContent>
    <mc:AlternateContent xmlns:mc="http://schemas.openxmlformats.org/markup-compatibility/2006">
      <mc:Choice Requires="x14">
        <oleObject progId="Equation.DSMT4" shapeId="3261" r:id="rId203">
          <objectPr defaultSize="0" r:id="rId17">
            <anchor moveWithCells="1">
              <from>
                <xdr:col>70</xdr:col>
                <xdr:colOff>257175</xdr:colOff>
                <xdr:row>239</xdr:row>
                <xdr:rowOff>85725</xdr:rowOff>
              </from>
              <to>
                <xdr:col>70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61" r:id="rId203"/>
      </mc:Fallback>
    </mc:AlternateContent>
    <mc:AlternateContent xmlns:mc="http://schemas.openxmlformats.org/markup-compatibility/2006">
      <mc:Choice Requires="x14">
        <oleObject progId="Equation.DSMT4" shapeId="3262" r:id="rId204">
          <objectPr defaultSize="0" r:id="rId23">
            <anchor moveWithCells="1">
              <from>
                <xdr:col>71</xdr:col>
                <xdr:colOff>314325</xdr:colOff>
                <xdr:row>239</xdr:row>
                <xdr:rowOff>85725</xdr:rowOff>
              </from>
              <to>
                <xdr:col>71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62" r:id="rId204"/>
      </mc:Fallback>
    </mc:AlternateContent>
    <mc:AlternateContent xmlns:mc="http://schemas.openxmlformats.org/markup-compatibility/2006">
      <mc:Choice Requires="x14">
        <oleObject progId="Equation.DSMT4" shapeId="3263" r:id="rId205">
          <objectPr defaultSize="0" r:id="rId21">
            <anchor moveWithCells="1">
              <from>
                <xdr:col>70</xdr:col>
                <xdr:colOff>295275</xdr:colOff>
                <xdr:row>239</xdr:row>
                <xdr:rowOff>104775</xdr:rowOff>
              </from>
              <to>
                <xdr:col>70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3263" r:id="rId205"/>
      </mc:Fallback>
    </mc:AlternateContent>
    <mc:AlternateContent xmlns:mc="http://schemas.openxmlformats.org/markup-compatibility/2006">
      <mc:Choice Requires="x14">
        <oleObject progId="Equation.DSMT4" shapeId="3264" r:id="rId206">
          <objectPr defaultSize="0" r:id="rId25">
            <anchor moveWithCells="1">
              <from>
                <xdr:col>71</xdr:col>
                <xdr:colOff>304800</xdr:colOff>
                <xdr:row>239</xdr:row>
                <xdr:rowOff>85725</xdr:rowOff>
              </from>
              <to>
                <xdr:col>71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64" r:id="rId206"/>
      </mc:Fallback>
    </mc:AlternateContent>
    <mc:AlternateContent xmlns:mc="http://schemas.openxmlformats.org/markup-compatibility/2006">
      <mc:Choice Requires="x14">
        <oleObject progId="Equation.DSMT4" shapeId="3265" r:id="rId207">
          <objectPr defaultSize="0" r:id="rId17">
            <anchor moveWithCells="1">
              <from>
                <xdr:col>72</xdr:col>
                <xdr:colOff>257175</xdr:colOff>
                <xdr:row>239</xdr:row>
                <xdr:rowOff>85725</xdr:rowOff>
              </from>
              <to>
                <xdr:col>72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65" r:id="rId207"/>
      </mc:Fallback>
    </mc:AlternateContent>
    <mc:AlternateContent xmlns:mc="http://schemas.openxmlformats.org/markup-compatibility/2006">
      <mc:Choice Requires="x14">
        <oleObject progId="Equation.DSMT4" shapeId="3266" r:id="rId208">
          <objectPr defaultSize="0" r:id="rId23">
            <anchor moveWithCells="1">
              <from>
                <xdr:col>73</xdr:col>
                <xdr:colOff>314325</xdr:colOff>
                <xdr:row>239</xdr:row>
                <xdr:rowOff>85725</xdr:rowOff>
              </from>
              <to>
                <xdr:col>73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66" r:id="rId208"/>
      </mc:Fallback>
    </mc:AlternateContent>
    <mc:AlternateContent xmlns:mc="http://schemas.openxmlformats.org/markup-compatibility/2006">
      <mc:Choice Requires="x14">
        <oleObject progId="Equation.DSMT4" shapeId="3267" r:id="rId209">
          <objectPr defaultSize="0" r:id="rId21">
            <anchor moveWithCells="1">
              <from>
                <xdr:col>72</xdr:col>
                <xdr:colOff>295275</xdr:colOff>
                <xdr:row>239</xdr:row>
                <xdr:rowOff>104775</xdr:rowOff>
              </from>
              <to>
                <xdr:col>72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3267" r:id="rId209"/>
      </mc:Fallback>
    </mc:AlternateContent>
    <mc:AlternateContent xmlns:mc="http://schemas.openxmlformats.org/markup-compatibility/2006">
      <mc:Choice Requires="x14">
        <oleObject progId="Equation.DSMT4" shapeId="3268" r:id="rId210">
          <objectPr defaultSize="0" r:id="rId25">
            <anchor moveWithCells="1">
              <from>
                <xdr:col>73</xdr:col>
                <xdr:colOff>304800</xdr:colOff>
                <xdr:row>239</xdr:row>
                <xdr:rowOff>85725</xdr:rowOff>
              </from>
              <to>
                <xdr:col>73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68" r:id="rId210"/>
      </mc:Fallback>
    </mc:AlternateContent>
    <mc:AlternateContent xmlns:mc="http://schemas.openxmlformats.org/markup-compatibility/2006">
      <mc:Choice Requires="x14">
        <oleObject progId="Equation.DSMT4" shapeId="3269" r:id="rId211">
          <objectPr defaultSize="0" r:id="rId17">
            <anchor moveWithCells="1">
              <from>
                <xdr:col>74</xdr:col>
                <xdr:colOff>257175</xdr:colOff>
                <xdr:row>239</xdr:row>
                <xdr:rowOff>85725</xdr:rowOff>
              </from>
              <to>
                <xdr:col>74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69" r:id="rId211"/>
      </mc:Fallback>
    </mc:AlternateContent>
    <mc:AlternateContent xmlns:mc="http://schemas.openxmlformats.org/markup-compatibility/2006">
      <mc:Choice Requires="x14">
        <oleObject progId="Equation.DSMT4" shapeId="3270" r:id="rId212">
          <objectPr defaultSize="0" r:id="rId23">
            <anchor moveWithCells="1">
              <from>
                <xdr:col>75</xdr:col>
                <xdr:colOff>314325</xdr:colOff>
                <xdr:row>239</xdr:row>
                <xdr:rowOff>85725</xdr:rowOff>
              </from>
              <to>
                <xdr:col>75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70" r:id="rId212"/>
      </mc:Fallback>
    </mc:AlternateContent>
    <mc:AlternateContent xmlns:mc="http://schemas.openxmlformats.org/markup-compatibility/2006">
      <mc:Choice Requires="x14">
        <oleObject progId="Equation.DSMT4" shapeId="3271" r:id="rId213">
          <objectPr defaultSize="0" r:id="rId21">
            <anchor moveWithCells="1">
              <from>
                <xdr:col>74</xdr:col>
                <xdr:colOff>295275</xdr:colOff>
                <xdr:row>239</xdr:row>
                <xdr:rowOff>104775</xdr:rowOff>
              </from>
              <to>
                <xdr:col>74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3271" r:id="rId213"/>
      </mc:Fallback>
    </mc:AlternateContent>
    <mc:AlternateContent xmlns:mc="http://schemas.openxmlformats.org/markup-compatibility/2006">
      <mc:Choice Requires="x14">
        <oleObject progId="Equation.DSMT4" shapeId="3272" r:id="rId214">
          <objectPr defaultSize="0" r:id="rId25">
            <anchor moveWithCells="1">
              <from>
                <xdr:col>75</xdr:col>
                <xdr:colOff>304800</xdr:colOff>
                <xdr:row>239</xdr:row>
                <xdr:rowOff>85725</xdr:rowOff>
              </from>
              <to>
                <xdr:col>75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72" r:id="rId214"/>
      </mc:Fallback>
    </mc:AlternateContent>
    <mc:AlternateContent xmlns:mc="http://schemas.openxmlformats.org/markup-compatibility/2006">
      <mc:Choice Requires="x14">
        <oleObject progId="Equation.DSMT4" shapeId="3273" r:id="rId215">
          <objectPr defaultSize="0" r:id="rId17">
            <anchor moveWithCells="1">
              <from>
                <xdr:col>76</xdr:col>
                <xdr:colOff>257175</xdr:colOff>
                <xdr:row>239</xdr:row>
                <xdr:rowOff>85725</xdr:rowOff>
              </from>
              <to>
                <xdr:col>76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73" r:id="rId215"/>
      </mc:Fallback>
    </mc:AlternateContent>
    <mc:AlternateContent xmlns:mc="http://schemas.openxmlformats.org/markup-compatibility/2006">
      <mc:Choice Requires="x14">
        <oleObject progId="Equation.DSMT4" shapeId="3274" r:id="rId216">
          <objectPr defaultSize="0" r:id="rId23">
            <anchor moveWithCells="1">
              <from>
                <xdr:col>77</xdr:col>
                <xdr:colOff>314325</xdr:colOff>
                <xdr:row>239</xdr:row>
                <xdr:rowOff>85725</xdr:rowOff>
              </from>
              <to>
                <xdr:col>77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74" r:id="rId216"/>
      </mc:Fallback>
    </mc:AlternateContent>
    <mc:AlternateContent xmlns:mc="http://schemas.openxmlformats.org/markup-compatibility/2006">
      <mc:Choice Requires="x14">
        <oleObject progId="Equation.DSMT4" shapeId="3275" r:id="rId217">
          <objectPr defaultSize="0" r:id="rId21">
            <anchor moveWithCells="1">
              <from>
                <xdr:col>76</xdr:col>
                <xdr:colOff>295275</xdr:colOff>
                <xdr:row>239</xdr:row>
                <xdr:rowOff>104775</xdr:rowOff>
              </from>
              <to>
                <xdr:col>76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3275" r:id="rId217"/>
      </mc:Fallback>
    </mc:AlternateContent>
    <mc:AlternateContent xmlns:mc="http://schemas.openxmlformats.org/markup-compatibility/2006">
      <mc:Choice Requires="x14">
        <oleObject progId="Equation.DSMT4" shapeId="3276" r:id="rId218">
          <objectPr defaultSize="0" r:id="rId25">
            <anchor moveWithCells="1">
              <from>
                <xdr:col>77</xdr:col>
                <xdr:colOff>304800</xdr:colOff>
                <xdr:row>239</xdr:row>
                <xdr:rowOff>85725</xdr:rowOff>
              </from>
              <to>
                <xdr:col>77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76" r:id="rId218"/>
      </mc:Fallback>
    </mc:AlternateContent>
    <mc:AlternateContent xmlns:mc="http://schemas.openxmlformats.org/markup-compatibility/2006">
      <mc:Choice Requires="x14">
        <oleObject progId="Equation.DSMT4" shapeId="3277" r:id="rId219">
          <objectPr defaultSize="0" r:id="rId17">
            <anchor moveWithCells="1">
              <from>
                <xdr:col>78</xdr:col>
                <xdr:colOff>257175</xdr:colOff>
                <xdr:row>239</xdr:row>
                <xdr:rowOff>85725</xdr:rowOff>
              </from>
              <to>
                <xdr:col>78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77" r:id="rId219"/>
      </mc:Fallback>
    </mc:AlternateContent>
    <mc:AlternateContent xmlns:mc="http://schemas.openxmlformats.org/markup-compatibility/2006">
      <mc:Choice Requires="x14">
        <oleObject progId="Equation.DSMT4" shapeId="3278" r:id="rId220">
          <objectPr defaultSize="0" r:id="rId23">
            <anchor moveWithCells="1">
              <from>
                <xdr:col>79</xdr:col>
                <xdr:colOff>314325</xdr:colOff>
                <xdr:row>239</xdr:row>
                <xdr:rowOff>85725</xdr:rowOff>
              </from>
              <to>
                <xdr:col>79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78" r:id="rId220"/>
      </mc:Fallback>
    </mc:AlternateContent>
    <mc:AlternateContent xmlns:mc="http://schemas.openxmlformats.org/markup-compatibility/2006">
      <mc:Choice Requires="x14">
        <oleObject progId="Equation.DSMT4" shapeId="3279" r:id="rId221">
          <objectPr defaultSize="0" r:id="rId21">
            <anchor moveWithCells="1">
              <from>
                <xdr:col>78</xdr:col>
                <xdr:colOff>295275</xdr:colOff>
                <xdr:row>239</xdr:row>
                <xdr:rowOff>104775</xdr:rowOff>
              </from>
              <to>
                <xdr:col>78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3279" r:id="rId221"/>
      </mc:Fallback>
    </mc:AlternateContent>
    <mc:AlternateContent xmlns:mc="http://schemas.openxmlformats.org/markup-compatibility/2006">
      <mc:Choice Requires="x14">
        <oleObject progId="Equation.DSMT4" shapeId="3280" r:id="rId222">
          <objectPr defaultSize="0" r:id="rId25">
            <anchor moveWithCells="1">
              <from>
                <xdr:col>79</xdr:col>
                <xdr:colOff>304800</xdr:colOff>
                <xdr:row>239</xdr:row>
                <xdr:rowOff>85725</xdr:rowOff>
              </from>
              <to>
                <xdr:col>79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80" r:id="rId222"/>
      </mc:Fallback>
    </mc:AlternateContent>
    <mc:AlternateContent xmlns:mc="http://schemas.openxmlformats.org/markup-compatibility/2006">
      <mc:Choice Requires="x14">
        <oleObject progId="Equation.DSMT4" shapeId="3281" r:id="rId223">
          <objectPr defaultSize="0" r:id="rId17">
            <anchor moveWithCells="1">
              <from>
                <xdr:col>80</xdr:col>
                <xdr:colOff>257175</xdr:colOff>
                <xdr:row>239</xdr:row>
                <xdr:rowOff>85725</xdr:rowOff>
              </from>
              <to>
                <xdr:col>80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81" r:id="rId223"/>
      </mc:Fallback>
    </mc:AlternateContent>
    <mc:AlternateContent xmlns:mc="http://schemas.openxmlformats.org/markup-compatibility/2006">
      <mc:Choice Requires="x14">
        <oleObject progId="Equation.DSMT4" shapeId="3282" r:id="rId224">
          <objectPr defaultSize="0" r:id="rId23">
            <anchor moveWithCells="1">
              <from>
                <xdr:col>81</xdr:col>
                <xdr:colOff>314325</xdr:colOff>
                <xdr:row>239</xdr:row>
                <xdr:rowOff>85725</xdr:rowOff>
              </from>
              <to>
                <xdr:col>81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82" r:id="rId224"/>
      </mc:Fallback>
    </mc:AlternateContent>
    <mc:AlternateContent xmlns:mc="http://schemas.openxmlformats.org/markup-compatibility/2006">
      <mc:Choice Requires="x14">
        <oleObject progId="Equation.DSMT4" shapeId="3283" r:id="rId225">
          <objectPr defaultSize="0" r:id="rId21">
            <anchor moveWithCells="1">
              <from>
                <xdr:col>80</xdr:col>
                <xdr:colOff>295275</xdr:colOff>
                <xdr:row>239</xdr:row>
                <xdr:rowOff>104775</xdr:rowOff>
              </from>
              <to>
                <xdr:col>80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3283" r:id="rId225"/>
      </mc:Fallback>
    </mc:AlternateContent>
    <mc:AlternateContent xmlns:mc="http://schemas.openxmlformats.org/markup-compatibility/2006">
      <mc:Choice Requires="x14">
        <oleObject progId="Equation.DSMT4" shapeId="3284" r:id="rId226">
          <objectPr defaultSize="0" r:id="rId25">
            <anchor moveWithCells="1">
              <from>
                <xdr:col>81</xdr:col>
                <xdr:colOff>304800</xdr:colOff>
                <xdr:row>239</xdr:row>
                <xdr:rowOff>85725</xdr:rowOff>
              </from>
              <to>
                <xdr:col>81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84" r:id="rId226"/>
      </mc:Fallback>
    </mc:AlternateContent>
    <mc:AlternateContent xmlns:mc="http://schemas.openxmlformats.org/markup-compatibility/2006">
      <mc:Choice Requires="x14">
        <oleObject progId="Equation.DSMT4" shapeId="3285" r:id="rId227">
          <objectPr defaultSize="0" r:id="rId17">
            <anchor moveWithCells="1">
              <from>
                <xdr:col>82</xdr:col>
                <xdr:colOff>257175</xdr:colOff>
                <xdr:row>239</xdr:row>
                <xdr:rowOff>85725</xdr:rowOff>
              </from>
              <to>
                <xdr:col>82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85" r:id="rId227"/>
      </mc:Fallback>
    </mc:AlternateContent>
    <mc:AlternateContent xmlns:mc="http://schemas.openxmlformats.org/markup-compatibility/2006">
      <mc:Choice Requires="x14">
        <oleObject progId="Equation.DSMT4" shapeId="3286" r:id="rId228">
          <objectPr defaultSize="0" r:id="rId23">
            <anchor moveWithCells="1">
              <from>
                <xdr:col>83</xdr:col>
                <xdr:colOff>314325</xdr:colOff>
                <xdr:row>239</xdr:row>
                <xdr:rowOff>85725</xdr:rowOff>
              </from>
              <to>
                <xdr:col>83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86" r:id="rId228"/>
      </mc:Fallback>
    </mc:AlternateContent>
    <mc:AlternateContent xmlns:mc="http://schemas.openxmlformats.org/markup-compatibility/2006">
      <mc:Choice Requires="x14">
        <oleObject progId="Equation.DSMT4" shapeId="3287" r:id="rId229">
          <objectPr defaultSize="0" r:id="rId21">
            <anchor moveWithCells="1">
              <from>
                <xdr:col>82</xdr:col>
                <xdr:colOff>295275</xdr:colOff>
                <xdr:row>239</xdr:row>
                <xdr:rowOff>104775</xdr:rowOff>
              </from>
              <to>
                <xdr:col>82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3287" r:id="rId229"/>
      </mc:Fallback>
    </mc:AlternateContent>
    <mc:AlternateContent xmlns:mc="http://schemas.openxmlformats.org/markup-compatibility/2006">
      <mc:Choice Requires="x14">
        <oleObject progId="Equation.DSMT4" shapeId="3288" r:id="rId230">
          <objectPr defaultSize="0" r:id="rId25">
            <anchor moveWithCells="1">
              <from>
                <xdr:col>83</xdr:col>
                <xdr:colOff>304800</xdr:colOff>
                <xdr:row>239</xdr:row>
                <xdr:rowOff>85725</xdr:rowOff>
              </from>
              <to>
                <xdr:col>83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88" r:id="rId230"/>
      </mc:Fallback>
    </mc:AlternateContent>
    <mc:AlternateContent xmlns:mc="http://schemas.openxmlformats.org/markup-compatibility/2006">
      <mc:Choice Requires="x14">
        <oleObject progId="Equation.DSMT4" shapeId="3289" r:id="rId231">
          <objectPr defaultSize="0" r:id="rId17">
            <anchor moveWithCells="1">
              <from>
                <xdr:col>84</xdr:col>
                <xdr:colOff>257175</xdr:colOff>
                <xdr:row>239</xdr:row>
                <xdr:rowOff>85725</xdr:rowOff>
              </from>
              <to>
                <xdr:col>84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89" r:id="rId231"/>
      </mc:Fallback>
    </mc:AlternateContent>
    <mc:AlternateContent xmlns:mc="http://schemas.openxmlformats.org/markup-compatibility/2006">
      <mc:Choice Requires="x14">
        <oleObject progId="Equation.DSMT4" shapeId="3290" r:id="rId232">
          <objectPr defaultSize="0" r:id="rId23">
            <anchor moveWithCells="1">
              <from>
                <xdr:col>85</xdr:col>
                <xdr:colOff>314325</xdr:colOff>
                <xdr:row>239</xdr:row>
                <xdr:rowOff>85725</xdr:rowOff>
              </from>
              <to>
                <xdr:col>85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90" r:id="rId232"/>
      </mc:Fallback>
    </mc:AlternateContent>
    <mc:AlternateContent xmlns:mc="http://schemas.openxmlformats.org/markup-compatibility/2006">
      <mc:Choice Requires="x14">
        <oleObject progId="Equation.DSMT4" shapeId="3291" r:id="rId233">
          <objectPr defaultSize="0" r:id="rId21">
            <anchor moveWithCells="1">
              <from>
                <xdr:col>84</xdr:col>
                <xdr:colOff>295275</xdr:colOff>
                <xdr:row>239</xdr:row>
                <xdr:rowOff>104775</xdr:rowOff>
              </from>
              <to>
                <xdr:col>84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3291" r:id="rId233"/>
      </mc:Fallback>
    </mc:AlternateContent>
    <mc:AlternateContent xmlns:mc="http://schemas.openxmlformats.org/markup-compatibility/2006">
      <mc:Choice Requires="x14">
        <oleObject progId="Equation.DSMT4" shapeId="3292" r:id="rId234">
          <objectPr defaultSize="0" r:id="rId25">
            <anchor moveWithCells="1">
              <from>
                <xdr:col>85</xdr:col>
                <xdr:colOff>304800</xdr:colOff>
                <xdr:row>239</xdr:row>
                <xdr:rowOff>85725</xdr:rowOff>
              </from>
              <to>
                <xdr:col>85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92" r:id="rId234"/>
      </mc:Fallback>
    </mc:AlternateContent>
    <mc:AlternateContent xmlns:mc="http://schemas.openxmlformats.org/markup-compatibility/2006">
      <mc:Choice Requires="x14">
        <oleObject progId="Equation.DSMT4" shapeId="3293" r:id="rId235">
          <objectPr defaultSize="0" r:id="rId17">
            <anchor moveWithCells="1">
              <from>
                <xdr:col>86</xdr:col>
                <xdr:colOff>257175</xdr:colOff>
                <xdr:row>239</xdr:row>
                <xdr:rowOff>85725</xdr:rowOff>
              </from>
              <to>
                <xdr:col>86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93" r:id="rId235"/>
      </mc:Fallback>
    </mc:AlternateContent>
    <mc:AlternateContent xmlns:mc="http://schemas.openxmlformats.org/markup-compatibility/2006">
      <mc:Choice Requires="x14">
        <oleObject progId="Equation.DSMT4" shapeId="3294" r:id="rId236">
          <objectPr defaultSize="0" r:id="rId23">
            <anchor moveWithCells="1">
              <from>
                <xdr:col>87</xdr:col>
                <xdr:colOff>314325</xdr:colOff>
                <xdr:row>239</xdr:row>
                <xdr:rowOff>85725</xdr:rowOff>
              </from>
              <to>
                <xdr:col>87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94" r:id="rId236"/>
      </mc:Fallback>
    </mc:AlternateContent>
    <mc:AlternateContent xmlns:mc="http://schemas.openxmlformats.org/markup-compatibility/2006">
      <mc:Choice Requires="x14">
        <oleObject progId="Equation.DSMT4" shapeId="3295" r:id="rId237">
          <objectPr defaultSize="0" r:id="rId21">
            <anchor moveWithCells="1">
              <from>
                <xdr:col>86</xdr:col>
                <xdr:colOff>295275</xdr:colOff>
                <xdr:row>239</xdr:row>
                <xdr:rowOff>104775</xdr:rowOff>
              </from>
              <to>
                <xdr:col>86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3295" r:id="rId237"/>
      </mc:Fallback>
    </mc:AlternateContent>
    <mc:AlternateContent xmlns:mc="http://schemas.openxmlformats.org/markup-compatibility/2006">
      <mc:Choice Requires="x14">
        <oleObject progId="Equation.DSMT4" shapeId="3296" r:id="rId238">
          <objectPr defaultSize="0" r:id="rId25">
            <anchor moveWithCells="1">
              <from>
                <xdr:col>87</xdr:col>
                <xdr:colOff>304800</xdr:colOff>
                <xdr:row>239</xdr:row>
                <xdr:rowOff>85725</xdr:rowOff>
              </from>
              <to>
                <xdr:col>87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96" r:id="rId238"/>
      </mc:Fallback>
    </mc:AlternateContent>
    <mc:AlternateContent xmlns:mc="http://schemas.openxmlformats.org/markup-compatibility/2006">
      <mc:Choice Requires="x14">
        <oleObject progId="Equation.DSMT4" shapeId="3297" r:id="rId239">
          <objectPr defaultSize="0" r:id="rId17">
            <anchor moveWithCells="1">
              <from>
                <xdr:col>88</xdr:col>
                <xdr:colOff>257175</xdr:colOff>
                <xdr:row>239</xdr:row>
                <xdr:rowOff>85725</xdr:rowOff>
              </from>
              <to>
                <xdr:col>88</xdr:col>
                <xdr:colOff>676275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97" r:id="rId239"/>
      </mc:Fallback>
    </mc:AlternateContent>
    <mc:AlternateContent xmlns:mc="http://schemas.openxmlformats.org/markup-compatibility/2006">
      <mc:Choice Requires="x14">
        <oleObject progId="Equation.DSMT4" shapeId="3298" r:id="rId240">
          <objectPr defaultSize="0" r:id="rId23">
            <anchor moveWithCells="1">
              <from>
                <xdr:col>89</xdr:col>
                <xdr:colOff>314325</xdr:colOff>
                <xdr:row>239</xdr:row>
                <xdr:rowOff>85725</xdr:rowOff>
              </from>
              <to>
                <xdr:col>89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298" r:id="rId240"/>
      </mc:Fallback>
    </mc:AlternateContent>
    <mc:AlternateContent xmlns:mc="http://schemas.openxmlformats.org/markup-compatibility/2006">
      <mc:Choice Requires="x14">
        <oleObject progId="Equation.DSMT4" shapeId="3299" r:id="rId241">
          <objectPr defaultSize="0" r:id="rId21">
            <anchor moveWithCells="1">
              <from>
                <xdr:col>88</xdr:col>
                <xdr:colOff>295275</xdr:colOff>
                <xdr:row>239</xdr:row>
                <xdr:rowOff>104775</xdr:rowOff>
              </from>
              <to>
                <xdr:col>88</xdr:col>
                <xdr:colOff>714375</xdr:colOff>
                <xdr:row>240</xdr:row>
                <xdr:rowOff>200025</xdr:rowOff>
              </to>
            </anchor>
          </objectPr>
        </oleObject>
      </mc:Choice>
      <mc:Fallback>
        <oleObject progId="Equation.DSMT4" shapeId="3299" r:id="rId241"/>
      </mc:Fallback>
    </mc:AlternateContent>
    <mc:AlternateContent xmlns:mc="http://schemas.openxmlformats.org/markup-compatibility/2006">
      <mc:Choice Requires="x14">
        <oleObject progId="Equation.DSMT4" shapeId="3300" r:id="rId242">
          <objectPr defaultSize="0" r:id="rId25">
            <anchor moveWithCells="1">
              <from>
                <xdr:col>89</xdr:col>
                <xdr:colOff>304800</xdr:colOff>
                <xdr:row>239</xdr:row>
                <xdr:rowOff>85725</xdr:rowOff>
              </from>
              <to>
                <xdr:col>89</xdr:col>
                <xdr:colOff>714375</xdr:colOff>
                <xdr:row>240</xdr:row>
                <xdr:rowOff>180975</xdr:rowOff>
              </to>
            </anchor>
          </objectPr>
        </oleObject>
      </mc:Choice>
      <mc:Fallback>
        <oleObject progId="Equation.DSMT4" shapeId="3300" r:id="rId242"/>
      </mc:Fallback>
    </mc:AlternateContent>
    <mc:AlternateContent xmlns:mc="http://schemas.openxmlformats.org/markup-compatibility/2006">
      <mc:Choice Requires="x14">
        <oleObject progId="Equation.DSMT4" shapeId="3301" r:id="rId243">
          <objectPr defaultSize="0" r:id="rId17">
            <anchor moveWithCells="1">
              <from>
                <xdr:col>42</xdr:col>
                <xdr:colOff>257175</xdr:colOff>
                <xdr:row>250</xdr:row>
                <xdr:rowOff>85725</xdr:rowOff>
              </from>
              <to>
                <xdr:col>42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01" r:id="rId243"/>
      </mc:Fallback>
    </mc:AlternateContent>
    <mc:AlternateContent xmlns:mc="http://schemas.openxmlformats.org/markup-compatibility/2006">
      <mc:Choice Requires="x14">
        <oleObject progId="Equation.DSMT4" shapeId="3302" r:id="rId244">
          <objectPr defaultSize="0" r:id="rId23">
            <anchor moveWithCells="1">
              <from>
                <xdr:col>43</xdr:col>
                <xdr:colOff>314325</xdr:colOff>
                <xdr:row>250</xdr:row>
                <xdr:rowOff>85725</xdr:rowOff>
              </from>
              <to>
                <xdr:col>43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02" r:id="rId244"/>
      </mc:Fallback>
    </mc:AlternateContent>
    <mc:AlternateContent xmlns:mc="http://schemas.openxmlformats.org/markup-compatibility/2006">
      <mc:Choice Requires="x14">
        <oleObject progId="Equation.DSMT4" shapeId="3303" r:id="rId245">
          <objectPr defaultSize="0" r:id="rId21">
            <anchor moveWithCells="1">
              <from>
                <xdr:col>42</xdr:col>
                <xdr:colOff>295275</xdr:colOff>
                <xdr:row>250</xdr:row>
                <xdr:rowOff>104775</xdr:rowOff>
              </from>
              <to>
                <xdr:col>42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3303" r:id="rId245"/>
      </mc:Fallback>
    </mc:AlternateContent>
    <mc:AlternateContent xmlns:mc="http://schemas.openxmlformats.org/markup-compatibility/2006">
      <mc:Choice Requires="x14">
        <oleObject progId="Equation.DSMT4" shapeId="3304" r:id="rId246">
          <objectPr defaultSize="0" r:id="rId25">
            <anchor moveWithCells="1">
              <from>
                <xdr:col>43</xdr:col>
                <xdr:colOff>304800</xdr:colOff>
                <xdr:row>250</xdr:row>
                <xdr:rowOff>85725</xdr:rowOff>
              </from>
              <to>
                <xdr:col>43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04" r:id="rId246"/>
      </mc:Fallback>
    </mc:AlternateContent>
    <mc:AlternateContent xmlns:mc="http://schemas.openxmlformats.org/markup-compatibility/2006">
      <mc:Choice Requires="x14">
        <oleObject progId="Equation.DSMT4" shapeId="3305" r:id="rId247">
          <objectPr defaultSize="0" r:id="rId17">
            <anchor moveWithCells="1">
              <from>
                <xdr:col>44</xdr:col>
                <xdr:colOff>257175</xdr:colOff>
                <xdr:row>250</xdr:row>
                <xdr:rowOff>85725</xdr:rowOff>
              </from>
              <to>
                <xdr:col>44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05" r:id="rId247"/>
      </mc:Fallback>
    </mc:AlternateContent>
    <mc:AlternateContent xmlns:mc="http://schemas.openxmlformats.org/markup-compatibility/2006">
      <mc:Choice Requires="x14">
        <oleObject progId="Equation.DSMT4" shapeId="3306" r:id="rId248">
          <objectPr defaultSize="0" r:id="rId23">
            <anchor moveWithCells="1">
              <from>
                <xdr:col>45</xdr:col>
                <xdr:colOff>314325</xdr:colOff>
                <xdr:row>250</xdr:row>
                <xdr:rowOff>85725</xdr:rowOff>
              </from>
              <to>
                <xdr:col>45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06" r:id="rId248"/>
      </mc:Fallback>
    </mc:AlternateContent>
    <mc:AlternateContent xmlns:mc="http://schemas.openxmlformats.org/markup-compatibility/2006">
      <mc:Choice Requires="x14">
        <oleObject progId="Equation.DSMT4" shapeId="3307" r:id="rId249">
          <objectPr defaultSize="0" r:id="rId21">
            <anchor moveWithCells="1">
              <from>
                <xdr:col>44</xdr:col>
                <xdr:colOff>295275</xdr:colOff>
                <xdr:row>250</xdr:row>
                <xdr:rowOff>104775</xdr:rowOff>
              </from>
              <to>
                <xdr:col>44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3307" r:id="rId249"/>
      </mc:Fallback>
    </mc:AlternateContent>
    <mc:AlternateContent xmlns:mc="http://schemas.openxmlformats.org/markup-compatibility/2006">
      <mc:Choice Requires="x14">
        <oleObject progId="Equation.DSMT4" shapeId="3308" r:id="rId250">
          <objectPr defaultSize="0" r:id="rId25">
            <anchor moveWithCells="1">
              <from>
                <xdr:col>45</xdr:col>
                <xdr:colOff>304800</xdr:colOff>
                <xdr:row>250</xdr:row>
                <xdr:rowOff>85725</xdr:rowOff>
              </from>
              <to>
                <xdr:col>45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08" r:id="rId250"/>
      </mc:Fallback>
    </mc:AlternateContent>
    <mc:AlternateContent xmlns:mc="http://schemas.openxmlformats.org/markup-compatibility/2006">
      <mc:Choice Requires="x14">
        <oleObject progId="Equation.DSMT4" shapeId="3309" r:id="rId251">
          <objectPr defaultSize="0" r:id="rId17">
            <anchor moveWithCells="1">
              <from>
                <xdr:col>46</xdr:col>
                <xdr:colOff>257175</xdr:colOff>
                <xdr:row>250</xdr:row>
                <xdr:rowOff>85725</xdr:rowOff>
              </from>
              <to>
                <xdr:col>46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09" r:id="rId251"/>
      </mc:Fallback>
    </mc:AlternateContent>
    <mc:AlternateContent xmlns:mc="http://schemas.openxmlformats.org/markup-compatibility/2006">
      <mc:Choice Requires="x14">
        <oleObject progId="Equation.DSMT4" shapeId="3310" r:id="rId252">
          <objectPr defaultSize="0" r:id="rId23">
            <anchor moveWithCells="1">
              <from>
                <xdr:col>47</xdr:col>
                <xdr:colOff>314325</xdr:colOff>
                <xdr:row>250</xdr:row>
                <xdr:rowOff>85725</xdr:rowOff>
              </from>
              <to>
                <xdr:col>47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10" r:id="rId252"/>
      </mc:Fallback>
    </mc:AlternateContent>
    <mc:AlternateContent xmlns:mc="http://schemas.openxmlformats.org/markup-compatibility/2006">
      <mc:Choice Requires="x14">
        <oleObject progId="Equation.DSMT4" shapeId="3311" r:id="rId253">
          <objectPr defaultSize="0" r:id="rId21">
            <anchor moveWithCells="1">
              <from>
                <xdr:col>46</xdr:col>
                <xdr:colOff>295275</xdr:colOff>
                <xdr:row>250</xdr:row>
                <xdr:rowOff>104775</xdr:rowOff>
              </from>
              <to>
                <xdr:col>46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3311" r:id="rId253"/>
      </mc:Fallback>
    </mc:AlternateContent>
    <mc:AlternateContent xmlns:mc="http://schemas.openxmlformats.org/markup-compatibility/2006">
      <mc:Choice Requires="x14">
        <oleObject progId="Equation.DSMT4" shapeId="3312" r:id="rId254">
          <objectPr defaultSize="0" r:id="rId25">
            <anchor moveWithCells="1">
              <from>
                <xdr:col>47</xdr:col>
                <xdr:colOff>304800</xdr:colOff>
                <xdr:row>250</xdr:row>
                <xdr:rowOff>85725</xdr:rowOff>
              </from>
              <to>
                <xdr:col>47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12" r:id="rId254"/>
      </mc:Fallback>
    </mc:AlternateContent>
    <mc:AlternateContent xmlns:mc="http://schemas.openxmlformats.org/markup-compatibility/2006">
      <mc:Choice Requires="x14">
        <oleObject progId="Equation.DSMT4" shapeId="3313" r:id="rId255">
          <objectPr defaultSize="0" r:id="rId17">
            <anchor moveWithCells="1">
              <from>
                <xdr:col>48</xdr:col>
                <xdr:colOff>257175</xdr:colOff>
                <xdr:row>250</xdr:row>
                <xdr:rowOff>85725</xdr:rowOff>
              </from>
              <to>
                <xdr:col>48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13" r:id="rId255"/>
      </mc:Fallback>
    </mc:AlternateContent>
    <mc:AlternateContent xmlns:mc="http://schemas.openxmlformats.org/markup-compatibility/2006">
      <mc:Choice Requires="x14">
        <oleObject progId="Equation.DSMT4" shapeId="3314" r:id="rId256">
          <objectPr defaultSize="0" r:id="rId23">
            <anchor moveWithCells="1">
              <from>
                <xdr:col>49</xdr:col>
                <xdr:colOff>314325</xdr:colOff>
                <xdr:row>250</xdr:row>
                <xdr:rowOff>85725</xdr:rowOff>
              </from>
              <to>
                <xdr:col>49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14" r:id="rId256"/>
      </mc:Fallback>
    </mc:AlternateContent>
    <mc:AlternateContent xmlns:mc="http://schemas.openxmlformats.org/markup-compatibility/2006">
      <mc:Choice Requires="x14">
        <oleObject progId="Equation.DSMT4" shapeId="3315" r:id="rId257">
          <objectPr defaultSize="0" r:id="rId21">
            <anchor moveWithCells="1">
              <from>
                <xdr:col>48</xdr:col>
                <xdr:colOff>295275</xdr:colOff>
                <xdr:row>250</xdr:row>
                <xdr:rowOff>104775</xdr:rowOff>
              </from>
              <to>
                <xdr:col>48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3315" r:id="rId257"/>
      </mc:Fallback>
    </mc:AlternateContent>
    <mc:AlternateContent xmlns:mc="http://schemas.openxmlformats.org/markup-compatibility/2006">
      <mc:Choice Requires="x14">
        <oleObject progId="Equation.DSMT4" shapeId="3316" r:id="rId258">
          <objectPr defaultSize="0" r:id="rId25">
            <anchor moveWithCells="1">
              <from>
                <xdr:col>49</xdr:col>
                <xdr:colOff>304800</xdr:colOff>
                <xdr:row>250</xdr:row>
                <xdr:rowOff>85725</xdr:rowOff>
              </from>
              <to>
                <xdr:col>49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16" r:id="rId258"/>
      </mc:Fallback>
    </mc:AlternateContent>
    <mc:AlternateContent xmlns:mc="http://schemas.openxmlformats.org/markup-compatibility/2006">
      <mc:Choice Requires="x14">
        <oleObject progId="Equation.DSMT4" shapeId="3317" r:id="rId259">
          <objectPr defaultSize="0" r:id="rId17">
            <anchor moveWithCells="1">
              <from>
                <xdr:col>50</xdr:col>
                <xdr:colOff>257175</xdr:colOff>
                <xdr:row>250</xdr:row>
                <xdr:rowOff>85725</xdr:rowOff>
              </from>
              <to>
                <xdr:col>50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17" r:id="rId259"/>
      </mc:Fallback>
    </mc:AlternateContent>
    <mc:AlternateContent xmlns:mc="http://schemas.openxmlformats.org/markup-compatibility/2006">
      <mc:Choice Requires="x14">
        <oleObject progId="Equation.DSMT4" shapeId="3318" r:id="rId260">
          <objectPr defaultSize="0" r:id="rId23">
            <anchor moveWithCells="1">
              <from>
                <xdr:col>51</xdr:col>
                <xdr:colOff>314325</xdr:colOff>
                <xdr:row>250</xdr:row>
                <xdr:rowOff>85725</xdr:rowOff>
              </from>
              <to>
                <xdr:col>51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18" r:id="rId260"/>
      </mc:Fallback>
    </mc:AlternateContent>
    <mc:AlternateContent xmlns:mc="http://schemas.openxmlformats.org/markup-compatibility/2006">
      <mc:Choice Requires="x14">
        <oleObject progId="Equation.DSMT4" shapeId="3319" r:id="rId261">
          <objectPr defaultSize="0" r:id="rId21">
            <anchor moveWithCells="1">
              <from>
                <xdr:col>50</xdr:col>
                <xdr:colOff>295275</xdr:colOff>
                <xdr:row>250</xdr:row>
                <xdr:rowOff>104775</xdr:rowOff>
              </from>
              <to>
                <xdr:col>50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3319" r:id="rId261"/>
      </mc:Fallback>
    </mc:AlternateContent>
    <mc:AlternateContent xmlns:mc="http://schemas.openxmlformats.org/markup-compatibility/2006">
      <mc:Choice Requires="x14">
        <oleObject progId="Equation.DSMT4" shapeId="3320" r:id="rId262">
          <objectPr defaultSize="0" r:id="rId25">
            <anchor moveWithCells="1">
              <from>
                <xdr:col>51</xdr:col>
                <xdr:colOff>304800</xdr:colOff>
                <xdr:row>250</xdr:row>
                <xdr:rowOff>85725</xdr:rowOff>
              </from>
              <to>
                <xdr:col>51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20" r:id="rId262"/>
      </mc:Fallback>
    </mc:AlternateContent>
    <mc:AlternateContent xmlns:mc="http://schemas.openxmlformats.org/markup-compatibility/2006">
      <mc:Choice Requires="x14">
        <oleObject progId="Equation.DSMT4" shapeId="3321" r:id="rId263">
          <objectPr defaultSize="0" r:id="rId17">
            <anchor moveWithCells="1">
              <from>
                <xdr:col>52</xdr:col>
                <xdr:colOff>257175</xdr:colOff>
                <xdr:row>250</xdr:row>
                <xdr:rowOff>85725</xdr:rowOff>
              </from>
              <to>
                <xdr:col>52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21" r:id="rId263"/>
      </mc:Fallback>
    </mc:AlternateContent>
    <mc:AlternateContent xmlns:mc="http://schemas.openxmlformats.org/markup-compatibility/2006">
      <mc:Choice Requires="x14">
        <oleObject progId="Equation.DSMT4" shapeId="3322" r:id="rId264">
          <objectPr defaultSize="0" r:id="rId23">
            <anchor moveWithCells="1">
              <from>
                <xdr:col>53</xdr:col>
                <xdr:colOff>314325</xdr:colOff>
                <xdr:row>250</xdr:row>
                <xdr:rowOff>85725</xdr:rowOff>
              </from>
              <to>
                <xdr:col>53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22" r:id="rId264"/>
      </mc:Fallback>
    </mc:AlternateContent>
    <mc:AlternateContent xmlns:mc="http://schemas.openxmlformats.org/markup-compatibility/2006">
      <mc:Choice Requires="x14">
        <oleObject progId="Equation.DSMT4" shapeId="3323" r:id="rId265">
          <objectPr defaultSize="0" r:id="rId21">
            <anchor moveWithCells="1">
              <from>
                <xdr:col>52</xdr:col>
                <xdr:colOff>295275</xdr:colOff>
                <xdr:row>250</xdr:row>
                <xdr:rowOff>104775</xdr:rowOff>
              </from>
              <to>
                <xdr:col>52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3323" r:id="rId265"/>
      </mc:Fallback>
    </mc:AlternateContent>
    <mc:AlternateContent xmlns:mc="http://schemas.openxmlformats.org/markup-compatibility/2006">
      <mc:Choice Requires="x14">
        <oleObject progId="Equation.DSMT4" shapeId="3324" r:id="rId266">
          <objectPr defaultSize="0" r:id="rId25">
            <anchor moveWithCells="1">
              <from>
                <xdr:col>53</xdr:col>
                <xdr:colOff>304800</xdr:colOff>
                <xdr:row>250</xdr:row>
                <xdr:rowOff>85725</xdr:rowOff>
              </from>
              <to>
                <xdr:col>53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24" r:id="rId266"/>
      </mc:Fallback>
    </mc:AlternateContent>
    <mc:AlternateContent xmlns:mc="http://schemas.openxmlformats.org/markup-compatibility/2006">
      <mc:Choice Requires="x14">
        <oleObject progId="Equation.DSMT4" shapeId="3325" r:id="rId267">
          <objectPr defaultSize="0" r:id="rId17">
            <anchor moveWithCells="1">
              <from>
                <xdr:col>54</xdr:col>
                <xdr:colOff>257175</xdr:colOff>
                <xdr:row>250</xdr:row>
                <xdr:rowOff>85725</xdr:rowOff>
              </from>
              <to>
                <xdr:col>54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25" r:id="rId267"/>
      </mc:Fallback>
    </mc:AlternateContent>
    <mc:AlternateContent xmlns:mc="http://schemas.openxmlformats.org/markup-compatibility/2006">
      <mc:Choice Requires="x14">
        <oleObject progId="Equation.DSMT4" shapeId="3326" r:id="rId268">
          <objectPr defaultSize="0" r:id="rId23">
            <anchor moveWithCells="1">
              <from>
                <xdr:col>55</xdr:col>
                <xdr:colOff>314325</xdr:colOff>
                <xdr:row>250</xdr:row>
                <xdr:rowOff>85725</xdr:rowOff>
              </from>
              <to>
                <xdr:col>55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26" r:id="rId268"/>
      </mc:Fallback>
    </mc:AlternateContent>
    <mc:AlternateContent xmlns:mc="http://schemas.openxmlformats.org/markup-compatibility/2006">
      <mc:Choice Requires="x14">
        <oleObject progId="Equation.DSMT4" shapeId="3327" r:id="rId269">
          <objectPr defaultSize="0" r:id="rId21">
            <anchor moveWithCells="1">
              <from>
                <xdr:col>54</xdr:col>
                <xdr:colOff>295275</xdr:colOff>
                <xdr:row>250</xdr:row>
                <xdr:rowOff>104775</xdr:rowOff>
              </from>
              <to>
                <xdr:col>54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3327" r:id="rId269"/>
      </mc:Fallback>
    </mc:AlternateContent>
    <mc:AlternateContent xmlns:mc="http://schemas.openxmlformats.org/markup-compatibility/2006">
      <mc:Choice Requires="x14">
        <oleObject progId="Equation.DSMT4" shapeId="3328" r:id="rId270">
          <objectPr defaultSize="0" r:id="rId25">
            <anchor moveWithCells="1">
              <from>
                <xdr:col>55</xdr:col>
                <xdr:colOff>304800</xdr:colOff>
                <xdr:row>250</xdr:row>
                <xdr:rowOff>85725</xdr:rowOff>
              </from>
              <to>
                <xdr:col>55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28" r:id="rId270"/>
      </mc:Fallback>
    </mc:AlternateContent>
    <mc:AlternateContent xmlns:mc="http://schemas.openxmlformats.org/markup-compatibility/2006">
      <mc:Choice Requires="x14">
        <oleObject progId="Equation.DSMT4" shapeId="3329" r:id="rId271">
          <objectPr defaultSize="0" r:id="rId17">
            <anchor moveWithCells="1">
              <from>
                <xdr:col>56</xdr:col>
                <xdr:colOff>257175</xdr:colOff>
                <xdr:row>250</xdr:row>
                <xdr:rowOff>85725</xdr:rowOff>
              </from>
              <to>
                <xdr:col>56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29" r:id="rId271"/>
      </mc:Fallback>
    </mc:AlternateContent>
    <mc:AlternateContent xmlns:mc="http://schemas.openxmlformats.org/markup-compatibility/2006">
      <mc:Choice Requires="x14">
        <oleObject progId="Equation.DSMT4" shapeId="3330" r:id="rId272">
          <objectPr defaultSize="0" r:id="rId23">
            <anchor moveWithCells="1">
              <from>
                <xdr:col>57</xdr:col>
                <xdr:colOff>314325</xdr:colOff>
                <xdr:row>250</xdr:row>
                <xdr:rowOff>85725</xdr:rowOff>
              </from>
              <to>
                <xdr:col>57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30" r:id="rId272"/>
      </mc:Fallback>
    </mc:AlternateContent>
    <mc:AlternateContent xmlns:mc="http://schemas.openxmlformats.org/markup-compatibility/2006">
      <mc:Choice Requires="x14">
        <oleObject progId="Equation.DSMT4" shapeId="3331" r:id="rId273">
          <objectPr defaultSize="0" r:id="rId21">
            <anchor moveWithCells="1">
              <from>
                <xdr:col>56</xdr:col>
                <xdr:colOff>295275</xdr:colOff>
                <xdr:row>250</xdr:row>
                <xdr:rowOff>104775</xdr:rowOff>
              </from>
              <to>
                <xdr:col>56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3331" r:id="rId273"/>
      </mc:Fallback>
    </mc:AlternateContent>
    <mc:AlternateContent xmlns:mc="http://schemas.openxmlformats.org/markup-compatibility/2006">
      <mc:Choice Requires="x14">
        <oleObject progId="Equation.DSMT4" shapeId="3332" r:id="rId274">
          <objectPr defaultSize="0" r:id="rId25">
            <anchor moveWithCells="1">
              <from>
                <xdr:col>57</xdr:col>
                <xdr:colOff>304800</xdr:colOff>
                <xdr:row>250</xdr:row>
                <xdr:rowOff>85725</xdr:rowOff>
              </from>
              <to>
                <xdr:col>57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32" r:id="rId274"/>
      </mc:Fallback>
    </mc:AlternateContent>
    <mc:AlternateContent xmlns:mc="http://schemas.openxmlformats.org/markup-compatibility/2006">
      <mc:Choice Requires="x14">
        <oleObject progId="Equation.DSMT4" shapeId="3333" r:id="rId275">
          <objectPr defaultSize="0" r:id="rId17">
            <anchor moveWithCells="1">
              <from>
                <xdr:col>58</xdr:col>
                <xdr:colOff>257175</xdr:colOff>
                <xdr:row>250</xdr:row>
                <xdr:rowOff>85725</xdr:rowOff>
              </from>
              <to>
                <xdr:col>58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33" r:id="rId275"/>
      </mc:Fallback>
    </mc:AlternateContent>
    <mc:AlternateContent xmlns:mc="http://schemas.openxmlformats.org/markup-compatibility/2006">
      <mc:Choice Requires="x14">
        <oleObject progId="Equation.DSMT4" shapeId="3334" r:id="rId276">
          <objectPr defaultSize="0" r:id="rId23">
            <anchor moveWithCells="1">
              <from>
                <xdr:col>59</xdr:col>
                <xdr:colOff>314325</xdr:colOff>
                <xdr:row>250</xdr:row>
                <xdr:rowOff>85725</xdr:rowOff>
              </from>
              <to>
                <xdr:col>59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34" r:id="rId276"/>
      </mc:Fallback>
    </mc:AlternateContent>
    <mc:AlternateContent xmlns:mc="http://schemas.openxmlformats.org/markup-compatibility/2006">
      <mc:Choice Requires="x14">
        <oleObject progId="Equation.DSMT4" shapeId="3335" r:id="rId277">
          <objectPr defaultSize="0" r:id="rId21">
            <anchor moveWithCells="1">
              <from>
                <xdr:col>58</xdr:col>
                <xdr:colOff>295275</xdr:colOff>
                <xdr:row>250</xdr:row>
                <xdr:rowOff>104775</xdr:rowOff>
              </from>
              <to>
                <xdr:col>58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3335" r:id="rId277"/>
      </mc:Fallback>
    </mc:AlternateContent>
    <mc:AlternateContent xmlns:mc="http://schemas.openxmlformats.org/markup-compatibility/2006">
      <mc:Choice Requires="x14">
        <oleObject progId="Equation.DSMT4" shapeId="3336" r:id="rId278">
          <objectPr defaultSize="0" r:id="rId25">
            <anchor moveWithCells="1">
              <from>
                <xdr:col>59</xdr:col>
                <xdr:colOff>304800</xdr:colOff>
                <xdr:row>250</xdr:row>
                <xdr:rowOff>85725</xdr:rowOff>
              </from>
              <to>
                <xdr:col>59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36" r:id="rId278"/>
      </mc:Fallback>
    </mc:AlternateContent>
    <mc:AlternateContent xmlns:mc="http://schemas.openxmlformats.org/markup-compatibility/2006">
      <mc:Choice Requires="x14">
        <oleObject progId="Equation.DSMT4" shapeId="3337" r:id="rId279">
          <objectPr defaultSize="0" r:id="rId17">
            <anchor moveWithCells="1">
              <from>
                <xdr:col>60</xdr:col>
                <xdr:colOff>257175</xdr:colOff>
                <xdr:row>250</xdr:row>
                <xdr:rowOff>85725</xdr:rowOff>
              </from>
              <to>
                <xdr:col>60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37" r:id="rId279"/>
      </mc:Fallback>
    </mc:AlternateContent>
    <mc:AlternateContent xmlns:mc="http://schemas.openxmlformats.org/markup-compatibility/2006">
      <mc:Choice Requires="x14">
        <oleObject progId="Equation.DSMT4" shapeId="3338" r:id="rId280">
          <objectPr defaultSize="0" r:id="rId23">
            <anchor moveWithCells="1">
              <from>
                <xdr:col>61</xdr:col>
                <xdr:colOff>314325</xdr:colOff>
                <xdr:row>250</xdr:row>
                <xdr:rowOff>85725</xdr:rowOff>
              </from>
              <to>
                <xdr:col>61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38" r:id="rId280"/>
      </mc:Fallback>
    </mc:AlternateContent>
    <mc:AlternateContent xmlns:mc="http://schemas.openxmlformats.org/markup-compatibility/2006">
      <mc:Choice Requires="x14">
        <oleObject progId="Equation.DSMT4" shapeId="3339" r:id="rId281">
          <objectPr defaultSize="0" r:id="rId21">
            <anchor moveWithCells="1">
              <from>
                <xdr:col>60</xdr:col>
                <xdr:colOff>295275</xdr:colOff>
                <xdr:row>250</xdr:row>
                <xdr:rowOff>104775</xdr:rowOff>
              </from>
              <to>
                <xdr:col>60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3339" r:id="rId281"/>
      </mc:Fallback>
    </mc:AlternateContent>
    <mc:AlternateContent xmlns:mc="http://schemas.openxmlformats.org/markup-compatibility/2006">
      <mc:Choice Requires="x14">
        <oleObject progId="Equation.DSMT4" shapeId="3340" r:id="rId282">
          <objectPr defaultSize="0" r:id="rId25">
            <anchor moveWithCells="1">
              <from>
                <xdr:col>61</xdr:col>
                <xdr:colOff>304800</xdr:colOff>
                <xdr:row>250</xdr:row>
                <xdr:rowOff>85725</xdr:rowOff>
              </from>
              <to>
                <xdr:col>61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40" r:id="rId282"/>
      </mc:Fallback>
    </mc:AlternateContent>
    <mc:AlternateContent xmlns:mc="http://schemas.openxmlformats.org/markup-compatibility/2006">
      <mc:Choice Requires="x14">
        <oleObject progId="Equation.DSMT4" shapeId="3341" r:id="rId283">
          <objectPr defaultSize="0" r:id="rId17">
            <anchor moveWithCells="1">
              <from>
                <xdr:col>62</xdr:col>
                <xdr:colOff>257175</xdr:colOff>
                <xdr:row>250</xdr:row>
                <xdr:rowOff>85725</xdr:rowOff>
              </from>
              <to>
                <xdr:col>62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41" r:id="rId283"/>
      </mc:Fallback>
    </mc:AlternateContent>
    <mc:AlternateContent xmlns:mc="http://schemas.openxmlformats.org/markup-compatibility/2006">
      <mc:Choice Requires="x14">
        <oleObject progId="Equation.DSMT4" shapeId="3342" r:id="rId284">
          <objectPr defaultSize="0" r:id="rId23">
            <anchor moveWithCells="1">
              <from>
                <xdr:col>63</xdr:col>
                <xdr:colOff>314325</xdr:colOff>
                <xdr:row>250</xdr:row>
                <xdr:rowOff>85725</xdr:rowOff>
              </from>
              <to>
                <xdr:col>63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42" r:id="rId284"/>
      </mc:Fallback>
    </mc:AlternateContent>
    <mc:AlternateContent xmlns:mc="http://schemas.openxmlformats.org/markup-compatibility/2006">
      <mc:Choice Requires="x14">
        <oleObject progId="Equation.DSMT4" shapeId="3343" r:id="rId285">
          <objectPr defaultSize="0" r:id="rId21">
            <anchor moveWithCells="1">
              <from>
                <xdr:col>62</xdr:col>
                <xdr:colOff>295275</xdr:colOff>
                <xdr:row>250</xdr:row>
                <xdr:rowOff>104775</xdr:rowOff>
              </from>
              <to>
                <xdr:col>62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3343" r:id="rId285"/>
      </mc:Fallback>
    </mc:AlternateContent>
    <mc:AlternateContent xmlns:mc="http://schemas.openxmlformats.org/markup-compatibility/2006">
      <mc:Choice Requires="x14">
        <oleObject progId="Equation.DSMT4" shapeId="3344" r:id="rId286">
          <objectPr defaultSize="0" r:id="rId25">
            <anchor moveWithCells="1">
              <from>
                <xdr:col>63</xdr:col>
                <xdr:colOff>304800</xdr:colOff>
                <xdr:row>250</xdr:row>
                <xdr:rowOff>85725</xdr:rowOff>
              </from>
              <to>
                <xdr:col>63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44" r:id="rId286"/>
      </mc:Fallback>
    </mc:AlternateContent>
    <mc:AlternateContent xmlns:mc="http://schemas.openxmlformats.org/markup-compatibility/2006">
      <mc:Choice Requires="x14">
        <oleObject progId="Equation.DSMT4" shapeId="3345" r:id="rId287">
          <objectPr defaultSize="0" r:id="rId17">
            <anchor moveWithCells="1">
              <from>
                <xdr:col>64</xdr:col>
                <xdr:colOff>257175</xdr:colOff>
                <xdr:row>250</xdr:row>
                <xdr:rowOff>85725</xdr:rowOff>
              </from>
              <to>
                <xdr:col>64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45" r:id="rId287"/>
      </mc:Fallback>
    </mc:AlternateContent>
    <mc:AlternateContent xmlns:mc="http://schemas.openxmlformats.org/markup-compatibility/2006">
      <mc:Choice Requires="x14">
        <oleObject progId="Equation.DSMT4" shapeId="3346" r:id="rId288">
          <objectPr defaultSize="0" r:id="rId23">
            <anchor moveWithCells="1">
              <from>
                <xdr:col>65</xdr:col>
                <xdr:colOff>314325</xdr:colOff>
                <xdr:row>250</xdr:row>
                <xdr:rowOff>85725</xdr:rowOff>
              </from>
              <to>
                <xdr:col>65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46" r:id="rId288"/>
      </mc:Fallback>
    </mc:AlternateContent>
    <mc:AlternateContent xmlns:mc="http://schemas.openxmlformats.org/markup-compatibility/2006">
      <mc:Choice Requires="x14">
        <oleObject progId="Equation.DSMT4" shapeId="3347" r:id="rId289">
          <objectPr defaultSize="0" r:id="rId21">
            <anchor moveWithCells="1">
              <from>
                <xdr:col>64</xdr:col>
                <xdr:colOff>295275</xdr:colOff>
                <xdr:row>250</xdr:row>
                <xdr:rowOff>104775</xdr:rowOff>
              </from>
              <to>
                <xdr:col>64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3347" r:id="rId289"/>
      </mc:Fallback>
    </mc:AlternateContent>
    <mc:AlternateContent xmlns:mc="http://schemas.openxmlformats.org/markup-compatibility/2006">
      <mc:Choice Requires="x14">
        <oleObject progId="Equation.DSMT4" shapeId="3348" r:id="rId290">
          <objectPr defaultSize="0" r:id="rId25">
            <anchor moveWithCells="1">
              <from>
                <xdr:col>65</xdr:col>
                <xdr:colOff>304800</xdr:colOff>
                <xdr:row>250</xdr:row>
                <xdr:rowOff>85725</xdr:rowOff>
              </from>
              <to>
                <xdr:col>65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48" r:id="rId290"/>
      </mc:Fallback>
    </mc:AlternateContent>
    <mc:AlternateContent xmlns:mc="http://schemas.openxmlformats.org/markup-compatibility/2006">
      <mc:Choice Requires="x14">
        <oleObject progId="Equation.DSMT4" shapeId="3349" r:id="rId291">
          <objectPr defaultSize="0" r:id="rId17">
            <anchor moveWithCells="1">
              <from>
                <xdr:col>66</xdr:col>
                <xdr:colOff>257175</xdr:colOff>
                <xdr:row>250</xdr:row>
                <xdr:rowOff>85725</xdr:rowOff>
              </from>
              <to>
                <xdr:col>66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49" r:id="rId291"/>
      </mc:Fallback>
    </mc:AlternateContent>
    <mc:AlternateContent xmlns:mc="http://schemas.openxmlformats.org/markup-compatibility/2006">
      <mc:Choice Requires="x14">
        <oleObject progId="Equation.DSMT4" shapeId="3350" r:id="rId292">
          <objectPr defaultSize="0" r:id="rId23">
            <anchor moveWithCells="1">
              <from>
                <xdr:col>67</xdr:col>
                <xdr:colOff>314325</xdr:colOff>
                <xdr:row>250</xdr:row>
                <xdr:rowOff>85725</xdr:rowOff>
              </from>
              <to>
                <xdr:col>67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50" r:id="rId292"/>
      </mc:Fallback>
    </mc:AlternateContent>
    <mc:AlternateContent xmlns:mc="http://schemas.openxmlformats.org/markup-compatibility/2006">
      <mc:Choice Requires="x14">
        <oleObject progId="Equation.DSMT4" shapeId="3351" r:id="rId293">
          <objectPr defaultSize="0" r:id="rId21">
            <anchor moveWithCells="1">
              <from>
                <xdr:col>66</xdr:col>
                <xdr:colOff>295275</xdr:colOff>
                <xdr:row>250</xdr:row>
                <xdr:rowOff>104775</xdr:rowOff>
              </from>
              <to>
                <xdr:col>66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3351" r:id="rId293"/>
      </mc:Fallback>
    </mc:AlternateContent>
    <mc:AlternateContent xmlns:mc="http://schemas.openxmlformats.org/markup-compatibility/2006">
      <mc:Choice Requires="x14">
        <oleObject progId="Equation.DSMT4" shapeId="3352" r:id="rId294">
          <objectPr defaultSize="0" r:id="rId25">
            <anchor moveWithCells="1">
              <from>
                <xdr:col>67</xdr:col>
                <xdr:colOff>304800</xdr:colOff>
                <xdr:row>250</xdr:row>
                <xdr:rowOff>85725</xdr:rowOff>
              </from>
              <to>
                <xdr:col>67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52" r:id="rId294"/>
      </mc:Fallback>
    </mc:AlternateContent>
    <mc:AlternateContent xmlns:mc="http://schemas.openxmlformats.org/markup-compatibility/2006">
      <mc:Choice Requires="x14">
        <oleObject progId="Equation.DSMT4" shapeId="3353" r:id="rId295">
          <objectPr defaultSize="0" r:id="rId17">
            <anchor moveWithCells="1">
              <from>
                <xdr:col>68</xdr:col>
                <xdr:colOff>257175</xdr:colOff>
                <xdr:row>250</xdr:row>
                <xdr:rowOff>85725</xdr:rowOff>
              </from>
              <to>
                <xdr:col>68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53" r:id="rId295"/>
      </mc:Fallback>
    </mc:AlternateContent>
    <mc:AlternateContent xmlns:mc="http://schemas.openxmlformats.org/markup-compatibility/2006">
      <mc:Choice Requires="x14">
        <oleObject progId="Equation.DSMT4" shapeId="3354" r:id="rId296">
          <objectPr defaultSize="0" r:id="rId23">
            <anchor moveWithCells="1">
              <from>
                <xdr:col>69</xdr:col>
                <xdr:colOff>314325</xdr:colOff>
                <xdr:row>250</xdr:row>
                <xdr:rowOff>85725</xdr:rowOff>
              </from>
              <to>
                <xdr:col>69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54" r:id="rId296"/>
      </mc:Fallback>
    </mc:AlternateContent>
    <mc:AlternateContent xmlns:mc="http://schemas.openxmlformats.org/markup-compatibility/2006">
      <mc:Choice Requires="x14">
        <oleObject progId="Equation.DSMT4" shapeId="3355" r:id="rId297">
          <objectPr defaultSize="0" r:id="rId21">
            <anchor moveWithCells="1">
              <from>
                <xdr:col>68</xdr:col>
                <xdr:colOff>295275</xdr:colOff>
                <xdr:row>250</xdr:row>
                <xdr:rowOff>104775</xdr:rowOff>
              </from>
              <to>
                <xdr:col>68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3355" r:id="rId297"/>
      </mc:Fallback>
    </mc:AlternateContent>
    <mc:AlternateContent xmlns:mc="http://schemas.openxmlformats.org/markup-compatibility/2006">
      <mc:Choice Requires="x14">
        <oleObject progId="Equation.DSMT4" shapeId="3356" r:id="rId298">
          <objectPr defaultSize="0" r:id="rId25">
            <anchor moveWithCells="1">
              <from>
                <xdr:col>69</xdr:col>
                <xdr:colOff>304800</xdr:colOff>
                <xdr:row>250</xdr:row>
                <xdr:rowOff>85725</xdr:rowOff>
              </from>
              <to>
                <xdr:col>69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56" r:id="rId298"/>
      </mc:Fallback>
    </mc:AlternateContent>
    <mc:AlternateContent xmlns:mc="http://schemas.openxmlformats.org/markup-compatibility/2006">
      <mc:Choice Requires="x14">
        <oleObject progId="Equation.DSMT4" shapeId="3357" r:id="rId299">
          <objectPr defaultSize="0" r:id="rId17">
            <anchor moveWithCells="1">
              <from>
                <xdr:col>70</xdr:col>
                <xdr:colOff>257175</xdr:colOff>
                <xdr:row>250</xdr:row>
                <xdr:rowOff>85725</xdr:rowOff>
              </from>
              <to>
                <xdr:col>70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57" r:id="rId299"/>
      </mc:Fallback>
    </mc:AlternateContent>
    <mc:AlternateContent xmlns:mc="http://schemas.openxmlformats.org/markup-compatibility/2006">
      <mc:Choice Requires="x14">
        <oleObject progId="Equation.DSMT4" shapeId="3358" r:id="rId300">
          <objectPr defaultSize="0" r:id="rId23">
            <anchor moveWithCells="1">
              <from>
                <xdr:col>71</xdr:col>
                <xdr:colOff>314325</xdr:colOff>
                <xdr:row>250</xdr:row>
                <xdr:rowOff>85725</xdr:rowOff>
              </from>
              <to>
                <xdr:col>71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58" r:id="rId300"/>
      </mc:Fallback>
    </mc:AlternateContent>
    <mc:AlternateContent xmlns:mc="http://schemas.openxmlformats.org/markup-compatibility/2006">
      <mc:Choice Requires="x14">
        <oleObject progId="Equation.DSMT4" shapeId="3359" r:id="rId301">
          <objectPr defaultSize="0" r:id="rId21">
            <anchor moveWithCells="1">
              <from>
                <xdr:col>70</xdr:col>
                <xdr:colOff>295275</xdr:colOff>
                <xdr:row>250</xdr:row>
                <xdr:rowOff>104775</xdr:rowOff>
              </from>
              <to>
                <xdr:col>70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3359" r:id="rId301"/>
      </mc:Fallback>
    </mc:AlternateContent>
    <mc:AlternateContent xmlns:mc="http://schemas.openxmlformats.org/markup-compatibility/2006">
      <mc:Choice Requires="x14">
        <oleObject progId="Equation.DSMT4" shapeId="3360" r:id="rId302">
          <objectPr defaultSize="0" r:id="rId25">
            <anchor moveWithCells="1">
              <from>
                <xdr:col>71</xdr:col>
                <xdr:colOff>304800</xdr:colOff>
                <xdr:row>250</xdr:row>
                <xdr:rowOff>85725</xdr:rowOff>
              </from>
              <to>
                <xdr:col>71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60" r:id="rId302"/>
      </mc:Fallback>
    </mc:AlternateContent>
    <mc:AlternateContent xmlns:mc="http://schemas.openxmlformats.org/markup-compatibility/2006">
      <mc:Choice Requires="x14">
        <oleObject progId="Equation.DSMT4" shapeId="3361" r:id="rId303">
          <objectPr defaultSize="0" r:id="rId17">
            <anchor moveWithCells="1">
              <from>
                <xdr:col>72</xdr:col>
                <xdr:colOff>257175</xdr:colOff>
                <xdr:row>250</xdr:row>
                <xdr:rowOff>85725</xdr:rowOff>
              </from>
              <to>
                <xdr:col>72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61" r:id="rId303"/>
      </mc:Fallback>
    </mc:AlternateContent>
    <mc:AlternateContent xmlns:mc="http://schemas.openxmlformats.org/markup-compatibility/2006">
      <mc:Choice Requires="x14">
        <oleObject progId="Equation.DSMT4" shapeId="3362" r:id="rId304">
          <objectPr defaultSize="0" r:id="rId23">
            <anchor moveWithCells="1">
              <from>
                <xdr:col>73</xdr:col>
                <xdr:colOff>314325</xdr:colOff>
                <xdr:row>250</xdr:row>
                <xdr:rowOff>85725</xdr:rowOff>
              </from>
              <to>
                <xdr:col>73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62" r:id="rId304"/>
      </mc:Fallback>
    </mc:AlternateContent>
    <mc:AlternateContent xmlns:mc="http://schemas.openxmlformats.org/markup-compatibility/2006">
      <mc:Choice Requires="x14">
        <oleObject progId="Equation.DSMT4" shapeId="3363" r:id="rId305">
          <objectPr defaultSize="0" r:id="rId21">
            <anchor moveWithCells="1">
              <from>
                <xdr:col>72</xdr:col>
                <xdr:colOff>295275</xdr:colOff>
                <xdr:row>250</xdr:row>
                <xdr:rowOff>104775</xdr:rowOff>
              </from>
              <to>
                <xdr:col>72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3363" r:id="rId305"/>
      </mc:Fallback>
    </mc:AlternateContent>
    <mc:AlternateContent xmlns:mc="http://schemas.openxmlformats.org/markup-compatibility/2006">
      <mc:Choice Requires="x14">
        <oleObject progId="Equation.DSMT4" shapeId="3364" r:id="rId306">
          <objectPr defaultSize="0" r:id="rId25">
            <anchor moveWithCells="1">
              <from>
                <xdr:col>73</xdr:col>
                <xdr:colOff>304800</xdr:colOff>
                <xdr:row>250</xdr:row>
                <xdr:rowOff>85725</xdr:rowOff>
              </from>
              <to>
                <xdr:col>73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64" r:id="rId306"/>
      </mc:Fallback>
    </mc:AlternateContent>
    <mc:AlternateContent xmlns:mc="http://schemas.openxmlformats.org/markup-compatibility/2006">
      <mc:Choice Requires="x14">
        <oleObject progId="Equation.DSMT4" shapeId="3365" r:id="rId307">
          <objectPr defaultSize="0" r:id="rId17">
            <anchor moveWithCells="1">
              <from>
                <xdr:col>74</xdr:col>
                <xdr:colOff>257175</xdr:colOff>
                <xdr:row>250</xdr:row>
                <xdr:rowOff>85725</xdr:rowOff>
              </from>
              <to>
                <xdr:col>74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65" r:id="rId307"/>
      </mc:Fallback>
    </mc:AlternateContent>
    <mc:AlternateContent xmlns:mc="http://schemas.openxmlformats.org/markup-compatibility/2006">
      <mc:Choice Requires="x14">
        <oleObject progId="Equation.DSMT4" shapeId="3366" r:id="rId308">
          <objectPr defaultSize="0" r:id="rId23">
            <anchor moveWithCells="1">
              <from>
                <xdr:col>75</xdr:col>
                <xdr:colOff>314325</xdr:colOff>
                <xdr:row>250</xdr:row>
                <xdr:rowOff>85725</xdr:rowOff>
              </from>
              <to>
                <xdr:col>75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66" r:id="rId308"/>
      </mc:Fallback>
    </mc:AlternateContent>
    <mc:AlternateContent xmlns:mc="http://schemas.openxmlformats.org/markup-compatibility/2006">
      <mc:Choice Requires="x14">
        <oleObject progId="Equation.DSMT4" shapeId="3367" r:id="rId309">
          <objectPr defaultSize="0" r:id="rId21">
            <anchor moveWithCells="1">
              <from>
                <xdr:col>74</xdr:col>
                <xdr:colOff>295275</xdr:colOff>
                <xdr:row>250</xdr:row>
                <xdr:rowOff>104775</xdr:rowOff>
              </from>
              <to>
                <xdr:col>74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3367" r:id="rId309"/>
      </mc:Fallback>
    </mc:AlternateContent>
    <mc:AlternateContent xmlns:mc="http://schemas.openxmlformats.org/markup-compatibility/2006">
      <mc:Choice Requires="x14">
        <oleObject progId="Equation.DSMT4" shapeId="3368" r:id="rId310">
          <objectPr defaultSize="0" r:id="rId25">
            <anchor moveWithCells="1">
              <from>
                <xdr:col>75</xdr:col>
                <xdr:colOff>304800</xdr:colOff>
                <xdr:row>250</xdr:row>
                <xdr:rowOff>85725</xdr:rowOff>
              </from>
              <to>
                <xdr:col>75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68" r:id="rId310"/>
      </mc:Fallback>
    </mc:AlternateContent>
    <mc:AlternateContent xmlns:mc="http://schemas.openxmlformats.org/markup-compatibility/2006">
      <mc:Choice Requires="x14">
        <oleObject progId="Equation.DSMT4" shapeId="3369" r:id="rId311">
          <objectPr defaultSize="0" r:id="rId17">
            <anchor moveWithCells="1">
              <from>
                <xdr:col>76</xdr:col>
                <xdr:colOff>257175</xdr:colOff>
                <xdr:row>250</xdr:row>
                <xdr:rowOff>85725</xdr:rowOff>
              </from>
              <to>
                <xdr:col>76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69" r:id="rId311"/>
      </mc:Fallback>
    </mc:AlternateContent>
    <mc:AlternateContent xmlns:mc="http://schemas.openxmlformats.org/markup-compatibility/2006">
      <mc:Choice Requires="x14">
        <oleObject progId="Equation.DSMT4" shapeId="3370" r:id="rId312">
          <objectPr defaultSize="0" r:id="rId23">
            <anchor moveWithCells="1">
              <from>
                <xdr:col>77</xdr:col>
                <xdr:colOff>314325</xdr:colOff>
                <xdr:row>250</xdr:row>
                <xdr:rowOff>85725</xdr:rowOff>
              </from>
              <to>
                <xdr:col>77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70" r:id="rId312"/>
      </mc:Fallback>
    </mc:AlternateContent>
    <mc:AlternateContent xmlns:mc="http://schemas.openxmlformats.org/markup-compatibility/2006">
      <mc:Choice Requires="x14">
        <oleObject progId="Equation.DSMT4" shapeId="3371" r:id="rId313">
          <objectPr defaultSize="0" r:id="rId21">
            <anchor moveWithCells="1">
              <from>
                <xdr:col>76</xdr:col>
                <xdr:colOff>295275</xdr:colOff>
                <xdr:row>250</xdr:row>
                <xdr:rowOff>104775</xdr:rowOff>
              </from>
              <to>
                <xdr:col>76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3371" r:id="rId313"/>
      </mc:Fallback>
    </mc:AlternateContent>
    <mc:AlternateContent xmlns:mc="http://schemas.openxmlformats.org/markup-compatibility/2006">
      <mc:Choice Requires="x14">
        <oleObject progId="Equation.DSMT4" shapeId="3372" r:id="rId314">
          <objectPr defaultSize="0" r:id="rId25">
            <anchor moveWithCells="1">
              <from>
                <xdr:col>77</xdr:col>
                <xdr:colOff>304800</xdr:colOff>
                <xdr:row>250</xdr:row>
                <xdr:rowOff>85725</xdr:rowOff>
              </from>
              <to>
                <xdr:col>77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72" r:id="rId314"/>
      </mc:Fallback>
    </mc:AlternateContent>
    <mc:AlternateContent xmlns:mc="http://schemas.openxmlformats.org/markup-compatibility/2006">
      <mc:Choice Requires="x14">
        <oleObject progId="Equation.DSMT4" shapeId="3373" r:id="rId315">
          <objectPr defaultSize="0" r:id="rId17">
            <anchor moveWithCells="1">
              <from>
                <xdr:col>78</xdr:col>
                <xdr:colOff>257175</xdr:colOff>
                <xdr:row>250</xdr:row>
                <xdr:rowOff>85725</xdr:rowOff>
              </from>
              <to>
                <xdr:col>78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73" r:id="rId315"/>
      </mc:Fallback>
    </mc:AlternateContent>
    <mc:AlternateContent xmlns:mc="http://schemas.openxmlformats.org/markup-compatibility/2006">
      <mc:Choice Requires="x14">
        <oleObject progId="Equation.DSMT4" shapeId="3374" r:id="rId316">
          <objectPr defaultSize="0" r:id="rId23">
            <anchor moveWithCells="1">
              <from>
                <xdr:col>79</xdr:col>
                <xdr:colOff>314325</xdr:colOff>
                <xdr:row>250</xdr:row>
                <xdr:rowOff>85725</xdr:rowOff>
              </from>
              <to>
                <xdr:col>79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74" r:id="rId316"/>
      </mc:Fallback>
    </mc:AlternateContent>
    <mc:AlternateContent xmlns:mc="http://schemas.openxmlformats.org/markup-compatibility/2006">
      <mc:Choice Requires="x14">
        <oleObject progId="Equation.DSMT4" shapeId="3375" r:id="rId317">
          <objectPr defaultSize="0" r:id="rId21">
            <anchor moveWithCells="1">
              <from>
                <xdr:col>78</xdr:col>
                <xdr:colOff>295275</xdr:colOff>
                <xdr:row>250</xdr:row>
                <xdr:rowOff>104775</xdr:rowOff>
              </from>
              <to>
                <xdr:col>78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3375" r:id="rId317"/>
      </mc:Fallback>
    </mc:AlternateContent>
    <mc:AlternateContent xmlns:mc="http://schemas.openxmlformats.org/markup-compatibility/2006">
      <mc:Choice Requires="x14">
        <oleObject progId="Equation.DSMT4" shapeId="3376" r:id="rId318">
          <objectPr defaultSize="0" r:id="rId25">
            <anchor moveWithCells="1">
              <from>
                <xdr:col>79</xdr:col>
                <xdr:colOff>304800</xdr:colOff>
                <xdr:row>250</xdr:row>
                <xdr:rowOff>85725</xdr:rowOff>
              </from>
              <to>
                <xdr:col>79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76" r:id="rId318"/>
      </mc:Fallback>
    </mc:AlternateContent>
    <mc:AlternateContent xmlns:mc="http://schemas.openxmlformats.org/markup-compatibility/2006">
      <mc:Choice Requires="x14">
        <oleObject progId="Equation.DSMT4" shapeId="3377" r:id="rId319">
          <objectPr defaultSize="0" r:id="rId17">
            <anchor moveWithCells="1">
              <from>
                <xdr:col>80</xdr:col>
                <xdr:colOff>257175</xdr:colOff>
                <xdr:row>250</xdr:row>
                <xdr:rowOff>85725</xdr:rowOff>
              </from>
              <to>
                <xdr:col>80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77" r:id="rId319"/>
      </mc:Fallback>
    </mc:AlternateContent>
    <mc:AlternateContent xmlns:mc="http://schemas.openxmlformats.org/markup-compatibility/2006">
      <mc:Choice Requires="x14">
        <oleObject progId="Equation.DSMT4" shapeId="3378" r:id="rId320">
          <objectPr defaultSize="0" r:id="rId23">
            <anchor moveWithCells="1">
              <from>
                <xdr:col>81</xdr:col>
                <xdr:colOff>314325</xdr:colOff>
                <xdr:row>250</xdr:row>
                <xdr:rowOff>85725</xdr:rowOff>
              </from>
              <to>
                <xdr:col>81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78" r:id="rId320"/>
      </mc:Fallback>
    </mc:AlternateContent>
    <mc:AlternateContent xmlns:mc="http://schemas.openxmlformats.org/markup-compatibility/2006">
      <mc:Choice Requires="x14">
        <oleObject progId="Equation.DSMT4" shapeId="3379" r:id="rId321">
          <objectPr defaultSize="0" r:id="rId21">
            <anchor moveWithCells="1">
              <from>
                <xdr:col>80</xdr:col>
                <xdr:colOff>295275</xdr:colOff>
                <xdr:row>250</xdr:row>
                <xdr:rowOff>104775</xdr:rowOff>
              </from>
              <to>
                <xdr:col>80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3379" r:id="rId321"/>
      </mc:Fallback>
    </mc:AlternateContent>
    <mc:AlternateContent xmlns:mc="http://schemas.openxmlformats.org/markup-compatibility/2006">
      <mc:Choice Requires="x14">
        <oleObject progId="Equation.DSMT4" shapeId="3380" r:id="rId322">
          <objectPr defaultSize="0" r:id="rId25">
            <anchor moveWithCells="1">
              <from>
                <xdr:col>81</xdr:col>
                <xdr:colOff>304800</xdr:colOff>
                <xdr:row>250</xdr:row>
                <xdr:rowOff>85725</xdr:rowOff>
              </from>
              <to>
                <xdr:col>81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80" r:id="rId322"/>
      </mc:Fallback>
    </mc:AlternateContent>
    <mc:AlternateContent xmlns:mc="http://schemas.openxmlformats.org/markup-compatibility/2006">
      <mc:Choice Requires="x14">
        <oleObject progId="Equation.DSMT4" shapeId="3381" r:id="rId323">
          <objectPr defaultSize="0" r:id="rId17">
            <anchor moveWithCells="1">
              <from>
                <xdr:col>82</xdr:col>
                <xdr:colOff>257175</xdr:colOff>
                <xdr:row>250</xdr:row>
                <xdr:rowOff>85725</xdr:rowOff>
              </from>
              <to>
                <xdr:col>82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81" r:id="rId323"/>
      </mc:Fallback>
    </mc:AlternateContent>
    <mc:AlternateContent xmlns:mc="http://schemas.openxmlformats.org/markup-compatibility/2006">
      <mc:Choice Requires="x14">
        <oleObject progId="Equation.DSMT4" shapeId="3382" r:id="rId324">
          <objectPr defaultSize="0" r:id="rId23">
            <anchor moveWithCells="1">
              <from>
                <xdr:col>83</xdr:col>
                <xdr:colOff>314325</xdr:colOff>
                <xdr:row>250</xdr:row>
                <xdr:rowOff>85725</xdr:rowOff>
              </from>
              <to>
                <xdr:col>83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82" r:id="rId324"/>
      </mc:Fallback>
    </mc:AlternateContent>
    <mc:AlternateContent xmlns:mc="http://schemas.openxmlformats.org/markup-compatibility/2006">
      <mc:Choice Requires="x14">
        <oleObject progId="Equation.DSMT4" shapeId="3383" r:id="rId325">
          <objectPr defaultSize="0" r:id="rId21">
            <anchor moveWithCells="1">
              <from>
                <xdr:col>82</xdr:col>
                <xdr:colOff>295275</xdr:colOff>
                <xdr:row>250</xdr:row>
                <xdr:rowOff>104775</xdr:rowOff>
              </from>
              <to>
                <xdr:col>82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3383" r:id="rId325"/>
      </mc:Fallback>
    </mc:AlternateContent>
    <mc:AlternateContent xmlns:mc="http://schemas.openxmlformats.org/markup-compatibility/2006">
      <mc:Choice Requires="x14">
        <oleObject progId="Equation.DSMT4" shapeId="3384" r:id="rId326">
          <objectPr defaultSize="0" r:id="rId25">
            <anchor moveWithCells="1">
              <from>
                <xdr:col>83</xdr:col>
                <xdr:colOff>304800</xdr:colOff>
                <xdr:row>250</xdr:row>
                <xdr:rowOff>85725</xdr:rowOff>
              </from>
              <to>
                <xdr:col>83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84" r:id="rId326"/>
      </mc:Fallback>
    </mc:AlternateContent>
    <mc:AlternateContent xmlns:mc="http://schemas.openxmlformats.org/markup-compatibility/2006">
      <mc:Choice Requires="x14">
        <oleObject progId="Equation.DSMT4" shapeId="3385" r:id="rId327">
          <objectPr defaultSize="0" r:id="rId17">
            <anchor moveWithCells="1">
              <from>
                <xdr:col>84</xdr:col>
                <xdr:colOff>257175</xdr:colOff>
                <xdr:row>250</xdr:row>
                <xdr:rowOff>85725</xdr:rowOff>
              </from>
              <to>
                <xdr:col>84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85" r:id="rId327"/>
      </mc:Fallback>
    </mc:AlternateContent>
    <mc:AlternateContent xmlns:mc="http://schemas.openxmlformats.org/markup-compatibility/2006">
      <mc:Choice Requires="x14">
        <oleObject progId="Equation.DSMT4" shapeId="3386" r:id="rId328">
          <objectPr defaultSize="0" r:id="rId23">
            <anchor moveWithCells="1">
              <from>
                <xdr:col>85</xdr:col>
                <xdr:colOff>314325</xdr:colOff>
                <xdr:row>250</xdr:row>
                <xdr:rowOff>85725</xdr:rowOff>
              </from>
              <to>
                <xdr:col>85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86" r:id="rId328"/>
      </mc:Fallback>
    </mc:AlternateContent>
    <mc:AlternateContent xmlns:mc="http://schemas.openxmlformats.org/markup-compatibility/2006">
      <mc:Choice Requires="x14">
        <oleObject progId="Equation.DSMT4" shapeId="3387" r:id="rId329">
          <objectPr defaultSize="0" r:id="rId21">
            <anchor moveWithCells="1">
              <from>
                <xdr:col>84</xdr:col>
                <xdr:colOff>295275</xdr:colOff>
                <xdr:row>250</xdr:row>
                <xdr:rowOff>104775</xdr:rowOff>
              </from>
              <to>
                <xdr:col>84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3387" r:id="rId329"/>
      </mc:Fallback>
    </mc:AlternateContent>
    <mc:AlternateContent xmlns:mc="http://schemas.openxmlformats.org/markup-compatibility/2006">
      <mc:Choice Requires="x14">
        <oleObject progId="Equation.DSMT4" shapeId="3388" r:id="rId330">
          <objectPr defaultSize="0" r:id="rId25">
            <anchor moveWithCells="1">
              <from>
                <xdr:col>85</xdr:col>
                <xdr:colOff>304800</xdr:colOff>
                <xdr:row>250</xdr:row>
                <xdr:rowOff>85725</xdr:rowOff>
              </from>
              <to>
                <xdr:col>85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88" r:id="rId330"/>
      </mc:Fallback>
    </mc:AlternateContent>
    <mc:AlternateContent xmlns:mc="http://schemas.openxmlformats.org/markup-compatibility/2006">
      <mc:Choice Requires="x14">
        <oleObject progId="Equation.DSMT4" shapeId="3389" r:id="rId331">
          <objectPr defaultSize="0" r:id="rId17">
            <anchor moveWithCells="1">
              <from>
                <xdr:col>86</xdr:col>
                <xdr:colOff>257175</xdr:colOff>
                <xdr:row>250</xdr:row>
                <xdr:rowOff>85725</xdr:rowOff>
              </from>
              <to>
                <xdr:col>86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89" r:id="rId331"/>
      </mc:Fallback>
    </mc:AlternateContent>
    <mc:AlternateContent xmlns:mc="http://schemas.openxmlformats.org/markup-compatibility/2006">
      <mc:Choice Requires="x14">
        <oleObject progId="Equation.DSMT4" shapeId="3390" r:id="rId332">
          <objectPr defaultSize="0" r:id="rId23">
            <anchor moveWithCells="1">
              <from>
                <xdr:col>87</xdr:col>
                <xdr:colOff>314325</xdr:colOff>
                <xdr:row>250</xdr:row>
                <xdr:rowOff>85725</xdr:rowOff>
              </from>
              <to>
                <xdr:col>87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90" r:id="rId332"/>
      </mc:Fallback>
    </mc:AlternateContent>
    <mc:AlternateContent xmlns:mc="http://schemas.openxmlformats.org/markup-compatibility/2006">
      <mc:Choice Requires="x14">
        <oleObject progId="Equation.DSMT4" shapeId="3391" r:id="rId333">
          <objectPr defaultSize="0" r:id="rId21">
            <anchor moveWithCells="1">
              <from>
                <xdr:col>86</xdr:col>
                <xdr:colOff>295275</xdr:colOff>
                <xdr:row>250</xdr:row>
                <xdr:rowOff>104775</xdr:rowOff>
              </from>
              <to>
                <xdr:col>86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3391" r:id="rId333"/>
      </mc:Fallback>
    </mc:AlternateContent>
    <mc:AlternateContent xmlns:mc="http://schemas.openxmlformats.org/markup-compatibility/2006">
      <mc:Choice Requires="x14">
        <oleObject progId="Equation.DSMT4" shapeId="3392" r:id="rId334">
          <objectPr defaultSize="0" r:id="rId25">
            <anchor moveWithCells="1">
              <from>
                <xdr:col>87</xdr:col>
                <xdr:colOff>304800</xdr:colOff>
                <xdr:row>250</xdr:row>
                <xdr:rowOff>85725</xdr:rowOff>
              </from>
              <to>
                <xdr:col>87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92" r:id="rId334"/>
      </mc:Fallback>
    </mc:AlternateContent>
    <mc:AlternateContent xmlns:mc="http://schemas.openxmlformats.org/markup-compatibility/2006">
      <mc:Choice Requires="x14">
        <oleObject progId="Equation.DSMT4" shapeId="3393" r:id="rId335">
          <objectPr defaultSize="0" r:id="rId17">
            <anchor moveWithCells="1">
              <from>
                <xdr:col>88</xdr:col>
                <xdr:colOff>257175</xdr:colOff>
                <xdr:row>250</xdr:row>
                <xdr:rowOff>85725</xdr:rowOff>
              </from>
              <to>
                <xdr:col>88</xdr:col>
                <xdr:colOff>676275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93" r:id="rId335"/>
      </mc:Fallback>
    </mc:AlternateContent>
    <mc:AlternateContent xmlns:mc="http://schemas.openxmlformats.org/markup-compatibility/2006">
      <mc:Choice Requires="x14">
        <oleObject progId="Equation.DSMT4" shapeId="3394" r:id="rId336">
          <objectPr defaultSize="0" r:id="rId23">
            <anchor moveWithCells="1">
              <from>
                <xdr:col>89</xdr:col>
                <xdr:colOff>314325</xdr:colOff>
                <xdr:row>250</xdr:row>
                <xdr:rowOff>85725</xdr:rowOff>
              </from>
              <to>
                <xdr:col>89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94" r:id="rId336"/>
      </mc:Fallback>
    </mc:AlternateContent>
    <mc:AlternateContent xmlns:mc="http://schemas.openxmlformats.org/markup-compatibility/2006">
      <mc:Choice Requires="x14">
        <oleObject progId="Equation.DSMT4" shapeId="3395" r:id="rId337">
          <objectPr defaultSize="0" r:id="rId21">
            <anchor moveWithCells="1">
              <from>
                <xdr:col>88</xdr:col>
                <xdr:colOff>295275</xdr:colOff>
                <xdr:row>250</xdr:row>
                <xdr:rowOff>104775</xdr:rowOff>
              </from>
              <to>
                <xdr:col>88</xdr:col>
                <xdr:colOff>733425</xdr:colOff>
                <xdr:row>251</xdr:row>
                <xdr:rowOff>228600</xdr:rowOff>
              </to>
            </anchor>
          </objectPr>
        </oleObject>
      </mc:Choice>
      <mc:Fallback>
        <oleObject progId="Equation.DSMT4" shapeId="3395" r:id="rId337"/>
      </mc:Fallback>
    </mc:AlternateContent>
    <mc:AlternateContent xmlns:mc="http://schemas.openxmlformats.org/markup-compatibility/2006">
      <mc:Choice Requires="x14">
        <oleObject progId="Equation.DSMT4" shapeId="3396" r:id="rId338">
          <objectPr defaultSize="0" r:id="rId25">
            <anchor moveWithCells="1">
              <from>
                <xdr:col>89</xdr:col>
                <xdr:colOff>304800</xdr:colOff>
                <xdr:row>250</xdr:row>
                <xdr:rowOff>85725</xdr:rowOff>
              </from>
              <to>
                <xdr:col>89</xdr:col>
                <xdr:colOff>733425</xdr:colOff>
                <xdr:row>251</xdr:row>
                <xdr:rowOff>161925</xdr:rowOff>
              </to>
            </anchor>
          </objectPr>
        </oleObject>
      </mc:Choice>
      <mc:Fallback>
        <oleObject progId="Equation.DSMT4" shapeId="3396" r:id="rId338"/>
      </mc:Fallback>
    </mc:AlternateContent>
    <mc:AlternateContent xmlns:mc="http://schemas.openxmlformats.org/markup-compatibility/2006">
      <mc:Choice Requires="x14">
        <oleObject progId="Equation.DSMT4" shapeId="3397" r:id="rId339">
          <objectPr defaultSize="0" r:id="rId15">
            <anchor moveWithCells="1">
              <from>
                <xdr:col>28</xdr:col>
                <xdr:colOff>428625</xdr:colOff>
                <xdr:row>171</xdr:row>
                <xdr:rowOff>152400</xdr:rowOff>
              </from>
              <to>
                <xdr:col>28</xdr:col>
                <xdr:colOff>609600</xdr:colOff>
                <xdr:row>172</xdr:row>
                <xdr:rowOff>114300</xdr:rowOff>
              </to>
            </anchor>
          </objectPr>
        </oleObject>
      </mc:Choice>
      <mc:Fallback>
        <oleObject progId="Equation.DSMT4" shapeId="3397" r:id="rId339"/>
      </mc:Fallback>
    </mc:AlternateContent>
    <mc:AlternateContent xmlns:mc="http://schemas.openxmlformats.org/markup-compatibility/2006">
      <mc:Choice Requires="x14">
        <oleObject progId="Equation.DSMT4" shapeId="3398" r:id="rId340">
          <objectPr defaultSize="0" r:id="rId17">
            <anchor moveWithCells="1">
              <from>
                <xdr:col>29</xdr:col>
                <xdr:colOff>257175</xdr:colOff>
                <xdr:row>171</xdr:row>
                <xdr:rowOff>85725</xdr:rowOff>
              </from>
              <to>
                <xdr:col>29</xdr:col>
                <xdr:colOff>647700</xdr:colOff>
                <xdr:row>172</xdr:row>
                <xdr:rowOff>180975</xdr:rowOff>
              </to>
            </anchor>
          </objectPr>
        </oleObject>
      </mc:Choice>
      <mc:Fallback>
        <oleObject progId="Equation.DSMT4" shapeId="3398" r:id="rId340"/>
      </mc:Fallback>
    </mc:AlternateContent>
    <mc:AlternateContent xmlns:mc="http://schemas.openxmlformats.org/markup-compatibility/2006">
      <mc:Choice Requires="x14">
        <oleObject progId="Equation.DSMT4" shapeId="3399" r:id="rId341">
          <objectPr defaultSize="0" r:id="rId19">
            <anchor moveWithCells="1">
              <from>
                <xdr:col>28</xdr:col>
                <xdr:colOff>295275</xdr:colOff>
                <xdr:row>174</xdr:row>
                <xdr:rowOff>104775</xdr:rowOff>
              </from>
              <to>
                <xdr:col>28</xdr:col>
                <xdr:colOff>714375</xdr:colOff>
                <xdr:row>175</xdr:row>
                <xdr:rowOff>200025</xdr:rowOff>
              </to>
            </anchor>
          </objectPr>
        </oleObject>
      </mc:Choice>
      <mc:Fallback>
        <oleObject progId="Equation.DSMT4" shapeId="3399" r:id="rId341"/>
      </mc:Fallback>
    </mc:AlternateContent>
    <mc:AlternateContent xmlns:mc="http://schemas.openxmlformats.org/markup-compatibility/2006">
      <mc:Choice Requires="x14">
        <oleObject progId="Equation.DSMT4" shapeId="3400" r:id="rId342">
          <objectPr defaultSize="0" r:id="rId21">
            <anchor moveWithCells="1">
              <from>
                <xdr:col>29</xdr:col>
                <xdr:colOff>295275</xdr:colOff>
                <xdr:row>174</xdr:row>
                <xdr:rowOff>104775</xdr:rowOff>
              </from>
              <to>
                <xdr:col>29</xdr:col>
                <xdr:colOff>714375</xdr:colOff>
                <xdr:row>175</xdr:row>
                <xdr:rowOff>200025</xdr:rowOff>
              </to>
            </anchor>
          </objectPr>
        </oleObject>
      </mc:Choice>
      <mc:Fallback>
        <oleObject progId="Equation.DSMT4" shapeId="3400" r:id="rId342"/>
      </mc:Fallback>
    </mc:AlternateContent>
    <mc:AlternateContent xmlns:mc="http://schemas.openxmlformats.org/markup-compatibility/2006">
      <mc:Choice Requires="x14">
        <oleObject progId="Equation.DSMT4" shapeId="3401" r:id="rId343">
          <objectPr defaultSize="0" r:id="rId23">
            <anchor moveWithCells="1">
              <from>
                <xdr:col>30</xdr:col>
                <xdr:colOff>314325</xdr:colOff>
                <xdr:row>171</xdr:row>
                <xdr:rowOff>85725</xdr:rowOff>
              </from>
              <to>
                <xdr:col>30</xdr:col>
                <xdr:colOff>733425</xdr:colOff>
                <xdr:row>172</xdr:row>
                <xdr:rowOff>180975</xdr:rowOff>
              </to>
            </anchor>
          </objectPr>
        </oleObject>
      </mc:Choice>
      <mc:Fallback>
        <oleObject progId="Equation.DSMT4" shapeId="3401" r:id="rId343"/>
      </mc:Fallback>
    </mc:AlternateContent>
    <mc:AlternateContent xmlns:mc="http://schemas.openxmlformats.org/markup-compatibility/2006">
      <mc:Choice Requires="x14">
        <oleObject progId="Equation.DSMT4" shapeId="3402" r:id="rId344">
          <objectPr defaultSize="0" r:id="rId25">
            <anchor moveWithCells="1">
              <from>
                <xdr:col>30</xdr:col>
                <xdr:colOff>304800</xdr:colOff>
                <xdr:row>174</xdr:row>
                <xdr:rowOff>85725</xdr:rowOff>
              </from>
              <to>
                <xdr:col>30</xdr:col>
                <xdr:colOff>714375</xdr:colOff>
                <xdr:row>175</xdr:row>
                <xdr:rowOff>180975</xdr:rowOff>
              </to>
            </anchor>
          </objectPr>
        </oleObject>
      </mc:Choice>
      <mc:Fallback>
        <oleObject progId="Equation.DSMT4" shapeId="3402" r:id="rId344"/>
      </mc:Fallback>
    </mc:AlternateContent>
    <mc:AlternateContent xmlns:mc="http://schemas.openxmlformats.org/markup-compatibility/2006">
      <mc:Choice Requires="x14">
        <oleObject progId="Equation.DSMT4" shapeId="3403" r:id="rId345">
          <objectPr defaultSize="0" r:id="rId27">
            <anchor moveWithCells="1">
              <from>
                <xdr:col>33</xdr:col>
                <xdr:colOff>304800</xdr:colOff>
                <xdr:row>174</xdr:row>
                <xdr:rowOff>76200</xdr:rowOff>
              </from>
              <to>
                <xdr:col>33</xdr:col>
                <xdr:colOff>714375</xdr:colOff>
                <xdr:row>175</xdr:row>
                <xdr:rowOff>161925</xdr:rowOff>
              </to>
            </anchor>
          </objectPr>
        </oleObject>
      </mc:Choice>
      <mc:Fallback>
        <oleObject progId="Equation.DSMT4" shapeId="3403" r:id="rId345"/>
      </mc:Fallback>
    </mc:AlternateContent>
    <mc:AlternateContent xmlns:mc="http://schemas.openxmlformats.org/markup-compatibility/2006">
      <mc:Choice Requires="x14">
        <oleObject progId="Equation.DSMT4" shapeId="3404" r:id="rId346">
          <objectPr defaultSize="0" r:id="rId27">
            <anchor moveWithCells="1">
              <from>
                <xdr:col>29</xdr:col>
                <xdr:colOff>304800</xdr:colOff>
                <xdr:row>238</xdr:row>
                <xdr:rowOff>76200</xdr:rowOff>
              </from>
              <to>
                <xdr:col>29</xdr:col>
                <xdr:colOff>714375</xdr:colOff>
                <xdr:row>239</xdr:row>
                <xdr:rowOff>161925</xdr:rowOff>
              </to>
            </anchor>
          </objectPr>
        </oleObject>
      </mc:Choice>
      <mc:Fallback>
        <oleObject progId="Equation.DSMT4" shapeId="3404" r:id="rId346"/>
      </mc:Fallback>
    </mc:AlternateContent>
    <mc:AlternateContent xmlns:mc="http://schemas.openxmlformats.org/markup-compatibility/2006">
      <mc:Choice Requires="x14">
        <oleObject progId="Equation.DSMT4" shapeId="3405" r:id="rId347">
          <objectPr defaultSize="0" r:id="rId15">
            <anchor moveWithCells="1">
              <from>
                <xdr:col>2</xdr:col>
                <xdr:colOff>428625</xdr:colOff>
                <xdr:row>183</xdr:row>
                <xdr:rowOff>152400</xdr:rowOff>
              </from>
              <to>
                <xdr:col>2</xdr:col>
                <xdr:colOff>609600</xdr:colOff>
                <xdr:row>184</xdr:row>
                <xdr:rowOff>104775</xdr:rowOff>
              </to>
            </anchor>
          </objectPr>
        </oleObject>
      </mc:Choice>
      <mc:Fallback>
        <oleObject progId="Equation.DSMT4" shapeId="3405" r:id="rId347"/>
      </mc:Fallback>
    </mc:AlternateContent>
    <mc:AlternateContent xmlns:mc="http://schemas.openxmlformats.org/markup-compatibility/2006">
      <mc:Choice Requires="x14">
        <oleObject progId="Equation.DSMT4" shapeId="3406" r:id="rId348">
          <objectPr defaultSize="0" r:id="rId17">
            <anchor moveWithCells="1">
              <from>
                <xdr:col>3</xdr:col>
                <xdr:colOff>257175</xdr:colOff>
                <xdr:row>183</xdr:row>
                <xdr:rowOff>85725</xdr:rowOff>
              </from>
              <to>
                <xdr:col>3</xdr:col>
                <xdr:colOff>676275</xdr:colOff>
                <xdr:row>184</xdr:row>
                <xdr:rowOff>161925</xdr:rowOff>
              </to>
            </anchor>
          </objectPr>
        </oleObject>
      </mc:Choice>
      <mc:Fallback>
        <oleObject progId="Equation.DSMT4" shapeId="3406" r:id="rId348"/>
      </mc:Fallback>
    </mc:AlternateContent>
    <mc:AlternateContent xmlns:mc="http://schemas.openxmlformats.org/markup-compatibility/2006">
      <mc:Choice Requires="x14">
        <oleObject progId="Equation.DSMT4" shapeId="3407" r:id="rId349">
          <objectPr defaultSize="0" r:id="rId19">
            <anchor moveWithCells="1">
              <from>
                <xdr:col>2</xdr:col>
                <xdr:colOff>295275</xdr:colOff>
                <xdr:row>186</xdr:row>
                <xdr:rowOff>104775</xdr:rowOff>
              </from>
              <to>
                <xdr:col>2</xdr:col>
                <xdr:colOff>733425</xdr:colOff>
                <xdr:row>187</xdr:row>
                <xdr:rowOff>228600</xdr:rowOff>
              </to>
            </anchor>
          </objectPr>
        </oleObject>
      </mc:Choice>
      <mc:Fallback>
        <oleObject progId="Equation.DSMT4" shapeId="3407" r:id="rId349"/>
      </mc:Fallback>
    </mc:AlternateContent>
    <mc:AlternateContent xmlns:mc="http://schemas.openxmlformats.org/markup-compatibility/2006">
      <mc:Choice Requires="x14">
        <oleObject progId="Equation.DSMT4" shapeId="3408" r:id="rId350">
          <objectPr defaultSize="0" r:id="rId21">
            <anchor moveWithCells="1">
              <from>
                <xdr:col>3</xdr:col>
                <xdr:colOff>295275</xdr:colOff>
                <xdr:row>186</xdr:row>
                <xdr:rowOff>104775</xdr:rowOff>
              </from>
              <to>
                <xdr:col>3</xdr:col>
                <xdr:colOff>733425</xdr:colOff>
                <xdr:row>187</xdr:row>
                <xdr:rowOff>228600</xdr:rowOff>
              </to>
            </anchor>
          </objectPr>
        </oleObject>
      </mc:Choice>
      <mc:Fallback>
        <oleObject progId="Equation.DSMT4" shapeId="3408" r:id="rId350"/>
      </mc:Fallback>
    </mc:AlternateContent>
    <mc:AlternateContent xmlns:mc="http://schemas.openxmlformats.org/markup-compatibility/2006">
      <mc:Choice Requires="x14">
        <oleObject progId="Equation.DSMT4" shapeId="3409" r:id="rId351">
          <objectPr defaultSize="0" r:id="rId23">
            <anchor moveWithCells="1">
              <from>
                <xdr:col>4</xdr:col>
                <xdr:colOff>314325</xdr:colOff>
                <xdr:row>183</xdr:row>
                <xdr:rowOff>85725</xdr:rowOff>
              </from>
              <to>
                <xdr:col>4</xdr:col>
                <xdr:colOff>733425</xdr:colOff>
                <xdr:row>184</xdr:row>
                <xdr:rowOff>161925</xdr:rowOff>
              </to>
            </anchor>
          </objectPr>
        </oleObject>
      </mc:Choice>
      <mc:Fallback>
        <oleObject progId="Equation.DSMT4" shapeId="3409" r:id="rId351"/>
      </mc:Fallback>
    </mc:AlternateContent>
    <mc:AlternateContent xmlns:mc="http://schemas.openxmlformats.org/markup-compatibility/2006">
      <mc:Choice Requires="x14">
        <oleObject progId="Equation.DSMT4" shapeId="3410" r:id="rId352">
          <objectPr defaultSize="0" r:id="rId25">
            <anchor moveWithCells="1">
              <from>
                <xdr:col>4</xdr:col>
                <xdr:colOff>304800</xdr:colOff>
                <xdr:row>186</xdr:row>
                <xdr:rowOff>85725</xdr:rowOff>
              </from>
              <to>
                <xdr:col>4</xdr:col>
                <xdr:colOff>733425</xdr:colOff>
                <xdr:row>187</xdr:row>
                <xdr:rowOff>161925</xdr:rowOff>
              </to>
            </anchor>
          </objectPr>
        </oleObject>
      </mc:Choice>
      <mc:Fallback>
        <oleObject progId="Equation.DSMT4" shapeId="3410" r:id="rId352"/>
      </mc:Fallback>
    </mc:AlternateContent>
    <mc:AlternateContent xmlns:mc="http://schemas.openxmlformats.org/markup-compatibility/2006">
      <mc:Choice Requires="x14">
        <oleObject progId="Equation.DSMT4" shapeId="3411" r:id="rId353">
          <objectPr defaultSize="0" r:id="rId27">
            <anchor moveWithCells="1">
              <from>
                <xdr:col>7</xdr:col>
                <xdr:colOff>304800</xdr:colOff>
                <xdr:row>186</xdr:row>
                <xdr:rowOff>76200</xdr:rowOff>
              </from>
              <to>
                <xdr:col>7</xdr:col>
                <xdr:colOff>733425</xdr:colOff>
                <xdr:row>187</xdr:row>
                <xdr:rowOff>161925</xdr:rowOff>
              </to>
            </anchor>
          </objectPr>
        </oleObject>
      </mc:Choice>
      <mc:Fallback>
        <oleObject progId="Equation.DSMT4" shapeId="3411" r:id="rId353"/>
      </mc:Fallback>
    </mc:AlternateContent>
    <mc:AlternateContent xmlns:mc="http://schemas.openxmlformats.org/markup-compatibility/2006">
      <mc:Choice Requires="x14">
        <oleObject progId="Equation.DSMT4" shapeId="3412" r:id="rId354">
          <objectPr defaultSize="0" r:id="rId15">
            <anchor moveWithCells="1">
              <from>
                <xdr:col>13</xdr:col>
                <xdr:colOff>428625</xdr:colOff>
                <xdr:row>183</xdr:row>
                <xdr:rowOff>152400</xdr:rowOff>
              </from>
              <to>
                <xdr:col>13</xdr:col>
                <xdr:colOff>609600</xdr:colOff>
                <xdr:row>184</xdr:row>
                <xdr:rowOff>104775</xdr:rowOff>
              </to>
            </anchor>
          </objectPr>
        </oleObject>
      </mc:Choice>
      <mc:Fallback>
        <oleObject progId="Equation.DSMT4" shapeId="3412" r:id="rId354"/>
      </mc:Fallback>
    </mc:AlternateContent>
    <mc:AlternateContent xmlns:mc="http://schemas.openxmlformats.org/markup-compatibility/2006">
      <mc:Choice Requires="x14">
        <oleObject progId="Equation.DSMT4" shapeId="3413" r:id="rId355">
          <objectPr defaultSize="0" r:id="rId17">
            <anchor moveWithCells="1">
              <from>
                <xdr:col>14</xdr:col>
                <xdr:colOff>257175</xdr:colOff>
                <xdr:row>183</xdr:row>
                <xdr:rowOff>85725</xdr:rowOff>
              </from>
              <to>
                <xdr:col>14</xdr:col>
                <xdr:colOff>676275</xdr:colOff>
                <xdr:row>184</xdr:row>
                <xdr:rowOff>161925</xdr:rowOff>
              </to>
            </anchor>
          </objectPr>
        </oleObject>
      </mc:Choice>
      <mc:Fallback>
        <oleObject progId="Equation.DSMT4" shapeId="3413" r:id="rId355"/>
      </mc:Fallback>
    </mc:AlternateContent>
    <mc:AlternateContent xmlns:mc="http://schemas.openxmlformats.org/markup-compatibility/2006">
      <mc:Choice Requires="x14">
        <oleObject progId="Equation.DSMT4" shapeId="3414" r:id="rId356">
          <objectPr defaultSize="0" r:id="rId19">
            <anchor moveWithCells="1">
              <from>
                <xdr:col>13</xdr:col>
                <xdr:colOff>295275</xdr:colOff>
                <xdr:row>186</xdr:row>
                <xdr:rowOff>104775</xdr:rowOff>
              </from>
              <to>
                <xdr:col>13</xdr:col>
                <xdr:colOff>733425</xdr:colOff>
                <xdr:row>187</xdr:row>
                <xdr:rowOff>228600</xdr:rowOff>
              </to>
            </anchor>
          </objectPr>
        </oleObject>
      </mc:Choice>
      <mc:Fallback>
        <oleObject progId="Equation.DSMT4" shapeId="3414" r:id="rId356"/>
      </mc:Fallback>
    </mc:AlternateContent>
    <mc:AlternateContent xmlns:mc="http://schemas.openxmlformats.org/markup-compatibility/2006">
      <mc:Choice Requires="x14">
        <oleObject progId="Equation.DSMT4" shapeId="3415" r:id="rId357">
          <objectPr defaultSize="0" r:id="rId21">
            <anchor moveWithCells="1">
              <from>
                <xdr:col>14</xdr:col>
                <xdr:colOff>295275</xdr:colOff>
                <xdr:row>186</xdr:row>
                <xdr:rowOff>104775</xdr:rowOff>
              </from>
              <to>
                <xdr:col>14</xdr:col>
                <xdr:colOff>733425</xdr:colOff>
                <xdr:row>187</xdr:row>
                <xdr:rowOff>228600</xdr:rowOff>
              </to>
            </anchor>
          </objectPr>
        </oleObject>
      </mc:Choice>
      <mc:Fallback>
        <oleObject progId="Equation.DSMT4" shapeId="3415" r:id="rId357"/>
      </mc:Fallback>
    </mc:AlternateContent>
    <mc:AlternateContent xmlns:mc="http://schemas.openxmlformats.org/markup-compatibility/2006">
      <mc:Choice Requires="x14">
        <oleObject progId="Equation.DSMT4" shapeId="3416" r:id="rId358">
          <objectPr defaultSize="0" r:id="rId23">
            <anchor moveWithCells="1">
              <from>
                <xdr:col>15</xdr:col>
                <xdr:colOff>314325</xdr:colOff>
                <xdr:row>183</xdr:row>
                <xdr:rowOff>85725</xdr:rowOff>
              </from>
              <to>
                <xdr:col>15</xdr:col>
                <xdr:colOff>733425</xdr:colOff>
                <xdr:row>184</xdr:row>
                <xdr:rowOff>161925</xdr:rowOff>
              </to>
            </anchor>
          </objectPr>
        </oleObject>
      </mc:Choice>
      <mc:Fallback>
        <oleObject progId="Equation.DSMT4" shapeId="3416" r:id="rId358"/>
      </mc:Fallback>
    </mc:AlternateContent>
    <mc:AlternateContent xmlns:mc="http://schemas.openxmlformats.org/markup-compatibility/2006">
      <mc:Choice Requires="x14">
        <oleObject progId="Equation.DSMT4" shapeId="3417" r:id="rId359">
          <objectPr defaultSize="0" r:id="rId25">
            <anchor moveWithCells="1">
              <from>
                <xdr:col>15</xdr:col>
                <xdr:colOff>304800</xdr:colOff>
                <xdr:row>186</xdr:row>
                <xdr:rowOff>85725</xdr:rowOff>
              </from>
              <to>
                <xdr:col>15</xdr:col>
                <xdr:colOff>733425</xdr:colOff>
                <xdr:row>187</xdr:row>
                <xdr:rowOff>161925</xdr:rowOff>
              </to>
            </anchor>
          </objectPr>
        </oleObject>
      </mc:Choice>
      <mc:Fallback>
        <oleObject progId="Equation.DSMT4" shapeId="3417" r:id="rId359"/>
      </mc:Fallback>
    </mc:AlternateContent>
    <mc:AlternateContent xmlns:mc="http://schemas.openxmlformats.org/markup-compatibility/2006">
      <mc:Choice Requires="x14">
        <oleObject progId="Equation.DSMT4" shapeId="3418" r:id="rId360">
          <objectPr defaultSize="0" r:id="rId27">
            <anchor moveWithCells="1">
              <from>
                <xdr:col>18</xdr:col>
                <xdr:colOff>304800</xdr:colOff>
                <xdr:row>186</xdr:row>
                <xdr:rowOff>76200</xdr:rowOff>
              </from>
              <to>
                <xdr:col>18</xdr:col>
                <xdr:colOff>733425</xdr:colOff>
                <xdr:row>187</xdr:row>
                <xdr:rowOff>161925</xdr:rowOff>
              </to>
            </anchor>
          </objectPr>
        </oleObject>
      </mc:Choice>
      <mc:Fallback>
        <oleObject progId="Equation.DSMT4" shapeId="3418" r:id="rId360"/>
      </mc:Fallback>
    </mc:AlternateContent>
    <mc:AlternateContent xmlns:mc="http://schemas.openxmlformats.org/markup-compatibility/2006">
      <mc:Choice Requires="x14">
        <oleObject progId="Equation.DSMT4" shapeId="3419" r:id="rId361">
          <objectPr defaultSize="0" r:id="rId15">
            <anchor moveWithCells="1">
              <from>
                <xdr:col>2</xdr:col>
                <xdr:colOff>428625</xdr:colOff>
                <xdr:row>203</xdr:row>
                <xdr:rowOff>152400</xdr:rowOff>
              </from>
              <to>
                <xdr:col>2</xdr:col>
                <xdr:colOff>609600</xdr:colOff>
                <xdr:row>204</xdr:row>
                <xdr:rowOff>104775</xdr:rowOff>
              </to>
            </anchor>
          </objectPr>
        </oleObject>
      </mc:Choice>
      <mc:Fallback>
        <oleObject progId="Equation.DSMT4" shapeId="3419" r:id="rId361"/>
      </mc:Fallback>
    </mc:AlternateContent>
    <mc:AlternateContent xmlns:mc="http://schemas.openxmlformats.org/markup-compatibility/2006">
      <mc:Choice Requires="x14">
        <oleObject progId="Equation.DSMT4" shapeId="3420" r:id="rId362">
          <objectPr defaultSize="0" r:id="rId17">
            <anchor moveWithCells="1">
              <from>
                <xdr:col>3</xdr:col>
                <xdr:colOff>257175</xdr:colOff>
                <xdr:row>203</xdr:row>
                <xdr:rowOff>85725</xdr:rowOff>
              </from>
              <to>
                <xdr:col>3</xdr:col>
                <xdr:colOff>676275</xdr:colOff>
                <xdr:row>204</xdr:row>
                <xdr:rowOff>161925</xdr:rowOff>
              </to>
            </anchor>
          </objectPr>
        </oleObject>
      </mc:Choice>
      <mc:Fallback>
        <oleObject progId="Equation.DSMT4" shapeId="3420" r:id="rId362"/>
      </mc:Fallback>
    </mc:AlternateContent>
    <mc:AlternateContent xmlns:mc="http://schemas.openxmlformats.org/markup-compatibility/2006">
      <mc:Choice Requires="x14">
        <oleObject progId="Equation.DSMT4" shapeId="3421" r:id="rId363">
          <objectPr defaultSize="0" r:id="rId19">
            <anchor moveWithCells="1">
              <from>
                <xdr:col>2</xdr:col>
                <xdr:colOff>295275</xdr:colOff>
                <xdr:row>206</xdr:row>
                <xdr:rowOff>104775</xdr:rowOff>
              </from>
              <to>
                <xdr:col>2</xdr:col>
                <xdr:colOff>733425</xdr:colOff>
                <xdr:row>207</xdr:row>
                <xdr:rowOff>228600</xdr:rowOff>
              </to>
            </anchor>
          </objectPr>
        </oleObject>
      </mc:Choice>
      <mc:Fallback>
        <oleObject progId="Equation.DSMT4" shapeId="3421" r:id="rId363"/>
      </mc:Fallback>
    </mc:AlternateContent>
    <mc:AlternateContent xmlns:mc="http://schemas.openxmlformats.org/markup-compatibility/2006">
      <mc:Choice Requires="x14">
        <oleObject progId="Equation.DSMT4" shapeId="3422" r:id="rId364">
          <objectPr defaultSize="0" r:id="rId21">
            <anchor moveWithCells="1">
              <from>
                <xdr:col>3</xdr:col>
                <xdr:colOff>295275</xdr:colOff>
                <xdr:row>206</xdr:row>
                <xdr:rowOff>104775</xdr:rowOff>
              </from>
              <to>
                <xdr:col>3</xdr:col>
                <xdr:colOff>733425</xdr:colOff>
                <xdr:row>207</xdr:row>
                <xdr:rowOff>228600</xdr:rowOff>
              </to>
            </anchor>
          </objectPr>
        </oleObject>
      </mc:Choice>
      <mc:Fallback>
        <oleObject progId="Equation.DSMT4" shapeId="3422" r:id="rId364"/>
      </mc:Fallback>
    </mc:AlternateContent>
    <mc:AlternateContent xmlns:mc="http://schemas.openxmlformats.org/markup-compatibility/2006">
      <mc:Choice Requires="x14">
        <oleObject progId="Equation.DSMT4" shapeId="3423" r:id="rId365">
          <objectPr defaultSize="0" r:id="rId23">
            <anchor moveWithCells="1">
              <from>
                <xdr:col>4</xdr:col>
                <xdr:colOff>314325</xdr:colOff>
                <xdr:row>203</xdr:row>
                <xdr:rowOff>85725</xdr:rowOff>
              </from>
              <to>
                <xdr:col>4</xdr:col>
                <xdr:colOff>733425</xdr:colOff>
                <xdr:row>204</xdr:row>
                <xdr:rowOff>161925</xdr:rowOff>
              </to>
            </anchor>
          </objectPr>
        </oleObject>
      </mc:Choice>
      <mc:Fallback>
        <oleObject progId="Equation.DSMT4" shapeId="3423" r:id="rId365"/>
      </mc:Fallback>
    </mc:AlternateContent>
    <mc:AlternateContent xmlns:mc="http://schemas.openxmlformats.org/markup-compatibility/2006">
      <mc:Choice Requires="x14">
        <oleObject progId="Equation.DSMT4" shapeId="3424" r:id="rId366">
          <objectPr defaultSize="0" r:id="rId25">
            <anchor moveWithCells="1">
              <from>
                <xdr:col>4</xdr:col>
                <xdr:colOff>304800</xdr:colOff>
                <xdr:row>206</xdr:row>
                <xdr:rowOff>85725</xdr:rowOff>
              </from>
              <to>
                <xdr:col>4</xdr:col>
                <xdr:colOff>733425</xdr:colOff>
                <xdr:row>207</xdr:row>
                <xdr:rowOff>161925</xdr:rowOff>
              </to>
            </anchor>
          </objectPr>
        </oleObject>
      </mc:Choice>
      <mc:Fallback>
        <oleObject progId="Equation.DSMT4" shapeId="3424" r:id="rId366"/>
      </mc:Fallback>
    </mc:AlternateContent>
    <mc:AlternateContent xmlns:mc="http://schemas.openxmlformats.org/markup-compatibility/2006">
      <mc:Choice Requires="x14">
        <oleObject progId="Equation.DSMT4" shapeId="3425" r:id="rId367">
          <objectPr defaultSize="0" r:id="rId27">
            <anchor moveWithCells="1">
              <from>
                <xdr:col>7</xdr:col>
                <xdr:colOff>304800</xdr:colOff>
                <xdr:row>206</xdr:row>
                <xdr:rowOff>76200</xdr:rowOff>
              </from>
              <to>
                <xdr:col>7</xdr:col>
                <xdr:colOff>733425</xdr:colOff>
                <xdr:row>207</xdr:row>
                <xdr:rowOff>161925</xdr:rowOff>
              </to>
            </anchor>
          </objectPr>
        </oleObject>
      </mc:Choice>
      <mc:Fallback>
        <oleObject progId="Equation.DSMT4" shapeId="3425" r:id="rId367"/>
      </mc:Fallback>
    </mc:AlternateContent>
    <mc:AlternateContent xmlns:mc="http://schemas.openxmlformats.org/markup-compatibility/2006">
      <mc:Choice Requires="x14">
        <oleObject progId="Equation.DSMT4" shapeId="3426" r:id="rId368">
          <objectPr defaultSize="0" r:id="rId15">
            <anchor moveWithCells="1">
              <from>
                <xdr:col>13</xdr:col>
                <xdr:colOff>428625</xdr:colOff>
                <xdr:row>203</xdr:row>
                <xdr:rowOff>152400</xdr:rowOff>
              </from>
              <to>
                <xdr:col>13</xdr:col>
                <xdr:colOff>609600</xdr:colOff>
                <xdr:row>204</xdr:row>
                <xdr:rowOff>104775</xdr:rowOff>
              </to>
            </anchor>
          </objectPr>
        </oleObject>
      </mc:Choice>
      <mc:Fallback>
        <oleObject progId="Equation.DSMT4" shapeId="3426" r:id="rId368"/>
      </mc:Fallback>
    </mc:AlternateContent>
    <mc:AlternateContent xmlns:mc="http://schemas.openxmlformats.org/markup-compatibility/2006">
      <mc:Choice Requires="x14">
        <oleObject progId="Equation.DSMT4" shapeId="3427" r:id="rId369">
          <objectPr defaultSize="0" r:id="rId17">
            <anchor moveWithCells="1">
              <from>
                <xdr:col>14</xdr:col>
                <xdr:colOff>257175</xdr:colOff>
                <xdr:row>203</xdr:row>
                <xdr:rowOff>85725</xdr:rowOff>
              </from>
              <to>
                <xdr:col>14</xdr:col>
                <xdr:colOff>676275</xdr:colOff>
                <xdr:row>204</xdr:row>
                <xdr:rowOff>161925</xdr:rowOff>
              </to>
            </anchor>
          </objectPr>
        </oleObject>
      </mc:Choice>
      <mc:Fallback>
        <oleObject progId="Equation.DSMT4" shapeId="3427" r:id="rId369"/>
      </mc:Fallback>
    </mc:AlternateContent>
    <mc:AlternateContent xmlns:mc="http://schemas.openxmlformats.org/markup-compatibility/2006">
      <mc:Choice Requires="x14">
        <oleObject progId="Equation.DSMT4" shapeId="3428" r:id="rId370">
          <objectPr defaultSize="0" r:id="rId19">
            <anchor moveWithCells="1">
              <from>
                <xdr:col>13</xdr:col>
                <xdr:colOff>295275</xdr:colOff>
                <xdr:row>206</xdr:row>
                <xdr:rowOff>104775</xdr:rowOff>
              </from>
              <to>
                <xdr:col>13</xdr:col>
                <xdr:colOff>733425</xdr:colOff>
                <xdr:row>207</xdr:row>
                <xdr:rowOff>228600</xdr:rowOff>
              </to>
            </anchor>
          </objectPr>
        </oleObject>
      </mc:Choice>
      <mc:Fallback>
        <oleObject progId="Equation.DSMT4" shapeId="3428" r:id="rId370"/>
      </mc:Fallback>
    </mc:AlternateContent>
    <mc:AlternateContent xmlns:mc="http://schemas.openxmlformats.org/markup-compatibility/2006">
      <mc:Choice Requires="x14">
        <oleObject progId="Equation.DSMT4" shapeId="3429" r:id="rId371">
          <objectPr defaultSize="0" r:id="rId21">
            <anchor moveWithCells="1">
              <from>
                <xdr:col>14</xdr:col>
                <xdr:colOff>295275</xdr:colOff>
                <xdr:row>206</xdr:row>
                <xdr:rowOff>104775</xdr:rowOff>
              </from>
              <to>
                <xdr:col>14</xdr:col>
                <xdr:colOff>733425</xdr:colOff>
                <xdr:row>207</xdr:row>
                <xdr:rowOff>228600</xdr:rowOff>
              </to>
            </anchor>
          </objectPr>
        </oleObject>
      </mc:Choice>
      <mc:Fallback>
        <oleObject progId="Equation.DSMT4" shapeId="3429" r:id="rId371"/>
      </mc:Fallback>
    </mc:AlternateContent>
    <mc:AlternateContent xmlns:mc="http://schemas.openxmlformats.org/markup-compatibility/2006">
      <mc:Choice Requires="x14">
        <oleObject progId="Equation.DSMT4" shapeId="3430" r:id="rId372">
          <objectPr defaultSize="0" r:id="rId23">
            <anchor moveWithCells="1">
              <from>
                <xdr:col>15</xdr:col>
                <xdr:colOff>314325</xdr:colOff>
                <xdr:row>203</xdr:row>
                <xdr:rowOff>85725</xdr:rowOff>
              </from>
              <to>
                <xdr:col>15</xdr:col>
                <xdr:colOff>733425</xdr:colOff>
                <xdr:row>204</xdr:row>
                <xdr:rowOff>161925</xdr:rowOff>
              </to>
            </anchor>
          </objectPr>
        </oleObject>
      </mc:Choice>
      <mc:Fallback>
        <oleObject progId="Equation.DSMT4" shapeId="3430" r:id="rId372"/>
      </mc:Fallback>
    </mc:AlternateContent>
    <mc:AlternateContent xmlns:mc="http://schemas.openxmlformats.org/markup-compatibility/2006">
      <mc:Choice Requires="x14">
        <oleObject progId="Equation.DSMT4" shapeId="3431" r:id="rId373">
          <objectPr defaultSize="0" r:id="rId25">
            <anchor moveWithCells="1">
              <from>
                <xdr:col>15</xdr:col>
                <xdr:colOff>304800</xdr:colOff>
                <xdr:row>206</xdr:row>
                <xdr:rowOff>85725</xdr:rowOff>
              </from>
              <to>
                <xdr:col>15</xdr:col>
                <xdr:colOff>733425</xdr:colOff>
                <xdr:row>207</xdr:row>
                <xdr:rowOff>161925</xdr:rowOff>
              </to>
            </anchor>
          </objectPr>
        </oleObject>
      </mc:Choice>
      <mc:Fallback>
        <oleObject progId="Equation.DSMT4" shapeId="3431" r:id="rId373"/>
      </mc:Fallback>
    </mc:AlternateContent>
    <mc:AlternateContent xmlns:mc="http://schemas.openxmlformats.org/markup-compatibility/2006">
      <mc:Choice Requires="x14">
        <oleObject progId="Equation.DSMT4" shapeId="3432" r:id="rId374">
          <objectPr defaultSize="0" r:id="rId27">
            <anchor moveWithCells="1">
              <from>
                <xdr:col>18</xdr:col>
                <xdr:colOff>304800</xdr:colOff>
                <xdr:row>206</xdr:row>
                <xdr:rowOff>76200</xdr:rowOff>
              </from>
              <to>
                <xdr:col>18</xdr:col>
                <xdr:colOff>733425</xdr:colOff>
                <xdr:row>207</xdr:row>
                <xdr:rowOff>161925</xdr:rowOff>
              </to>
            </anchor>
          </objectPr>
        </oleObject>
      </mc:Choice>
      <mc:Fallback>
        <oleObject progId="Equation.DSMT4" shapeId="3432" r:id="rId374"/>
      </mc:Fallback>
    </mc:AlternateContent>
    <mc:AlternateContent xmlns:mc="http://schemas.openxmlformats.org/markup-compatibility/2006">
      <mc:Choice Requires="x14">
        <oleObject progId="Equation.DSMT4" shapeId="3433" r:id="rId375">
          <objectPr defaultSize="0" r:id="rId15">
            <anchor moveWithCells="1">
              <from>
                <xdr:col>2</xdr:col>
                <xdr:colOff>428625</xdr:colOff>
                <xdr:row>223</xdr:row>
                <xdr:rowOff>152400</xdr:rowOff>
              </from>
              <to>
                <xdr:col>2</xdr:col>
                <xdr:colOff>609600</xdr:colOff>
                <xdr:row>224</xdr:row>
                <xdr:rowOff>104775</xdr:rowOff>
              </to>
            </anchor>
          </objectPr>
        </oleObject>
      </mc:Choice>
      <mc:Fallback>
        <oleObject progId="Equation.DSMT4" shapeId="3433" r:id="rId375"/>
      </mc:Fallback>
    </mc:AlternateContent>
    <mc:AlternateContent xmlns:mc="http://schemas.openxmlformats.org/markup-compatibility/2006">
      <mc:Choice Requires="x14">
        <oleObject progId="Equation.DSMT4" shapeId="3434" r:id="rId376">
          <objectPr defaultSize="0" r:id="rId17">
            <anchor moveWithCells="1">
              <from>
                <xdr:col>3</xdr:col>
                <xdr:colOff>257175</xdr:colOff>
                <xdr:row>223</xdr:row>
                <xdr:rowOff>85725</xdr:rowOff>
              </from>
              <to>
                <xdr:col>3</xdr:col>
                <xdr:colOff>676275</xdr:colOff>
                <xdr:row>224</xdr:row>
                <xdr:rowOff>161925</xdr:rowOff>
              </to>
            </anchor>
          </objectPr>
        </oleObject>
      </mc:Choice>
      <mc:Fallback>
        <oleObject progId="Equation.DSMT4" shapeId="3434" r:id="rId376"/>
      </mc:Fallback>
    </mc:AlternateContent>
    <mc:AlternateContent xmlns:mc="http://schemas.openxmlformats.org/markup-compatibility/2006">
      <mc:Choice Requires="x14">
        <oleObject progId="Equation.DSMT4" shapeId="3435" r:id="rId377">
          <objectPr defaultSize="0" r:id="rId19">
            <anchor moveWithCells="1">
              <from>
                <xdr:col>2</xdr:col>
                <xdr:colOff>295275</xdr:colOff>
                <xdr:row>226</xdr:row>
                <xdr:rowOff>104775</xdr:rowOff>
              </from>
              <to>
                <xdr:col>2</xdr:col>
                <xdr:colOff>733425</xdr:colOff>
                <xdr:row>227</xdr:row>
                <xdr:rowOff>228600</xdr:rowOff>
              </to>
            </anchor>
          </objectPr>
        </oleObject>
      </mc:Choice>
      <mc:Fallback>
        <oleObject progId="Equation.DSMT4" shapeId="3435" r:id="rId377"/>
      </mc:Fallback>
    </mc:AlternateContent>
    <mc:AlternateContent xmlns:mc="http://schemas.openxmlformats.org/markup-compatibility/2006">
      <mc:Choice Requires="x14">
        <oleObject progId="Equation.DSMT4" shapeId="3436" r:id="rId378">
          <objectPr defaultSize="0" r:id="rId21">
            <anchor moveWithCells="1">
              <from>
                <xdr:col>3</xdr:col>
                <xdr:colOff>295275</xdr:colOff>
                <xdr:row>226</xdr:row>
                <xdr:rowOff>104775</xdr:rowOff>
              </from>
              <to>
                <xdr:col>3</xdr:col>
                <xdr:colOff>733425</xdr:colOff>
                <xdr:row>227</xdr:row>
                <xdr:rowOff>228600</xdr:rowOff>
              </to>
            </anchor>
          </objectPr>
        </oleObject>
      </mc:Choice>
      <mc:Fallback>
        <oleObject progId="Equation.DSMT4" shapeId="3436" r:id="rId378"/>
      </mc:Fallback>
    </mc:AlternateContent>
    <mc:AlternateContent xmlns:mc="http://schemas.openxmlformats.org/markup-compatibility/2006">
      <mc:Choice Requires="x14">
        <oleObject progId="Equation.DSMT4" shapeId="3437" r:id="rId379">
          <objectPr defaultSize="0" r:id="rId23">
            <anchor moveWithCells="1">
              <from>
                <xdr:col>4</xdr:col>
                <xdr:colOff>314325</xdr:colOff>
                <xdr:row>223</xdr:row>
                <xdr:rowOff>85725</xdr:rowOff>
              </from>
              <to>
                <xdr:col>4</xdr:col>
                <xdr:colOff>733425</xdr:colOff>
                <xdr:row>224</xdr:row>
                <xdr:rowOff>161925</xdr:rowOff>
              </to>
            </anchor>
          </objectPr>
        </oleObject>
      </mc:Choice>
      <mc:Fallback>
        <oleObject progId="Equation.DSMT4" shapeId="3437" r:id="rId379"/>
      </mc:Fallback>
    </mc:AlternateContent>
    <mc:AlternateContent xmlns:mc="http://schemas.openxmlformats.org/markup-compatibility/2006">
      <mc:Choice Requires="x14">
        <oleObject progId="Equation.DSMT4" shapeId="3438" r:id="rId380">
          <objectPr defaultSize="0" r:id="rId25">
            <anchor moveWithCells="1">
              <from>
                <xdr:col>4</xdr:col>
                <xdr:colOff>304800</xdr:colOff>
                <xdr:row>226</xdr:row>
                <xdr:rowOff>85725</xdr:rowOff>
              </from>
              <to>
                <xdr:col>4</xdr:col>
                <xdr:colOff>733425</xdr:colOff>
                <xdr:row>227</xdr:row>
                <xdr:rowOff>161925</xdr:rowOff>
              </to>
            </anchor>
          </objectPr>
        </oleObject>
      </mc:Choice>
      <mc:Fallback>
        <oleObject progId="Equation.DSMT4" shapeId="3438" r:id="rId380"/>
      </mc:Fallback>
    </mc:AlternateContent>
    <mc:AlternateContent xmlns:mc="http://schemas.openxmlformats.org/markup-compatibility/2006">
      <mc:Choice Requires="x14">
        <oleObject progId="Equation.DSMT4" shapeId="3439" r:id="rId381">
          <objectPr defaultSize="0" r:id="rId27">
            <anchor moveWithCells="1">
              <from>
                <xdr:col>7</xdr:col>
                <xdr:colOff>304800</xdr:colOff>
                <xdr:row>226</xdr:row>
                <xdr:rowOff>76200</xdr:rowOff>
              </from>
              <to>
                <xdr:col>7</xdr:col>
                <xdr:colOff>733425</xdr:colOff>
                <xdr:row>227</xdr:row>
                <xdr:rowOff>161925</xdr:rowOff>
              </to>
            </anchor>
          </objectPr>
        </oleObject>
      </mc:Choice>
      <mc:Fallback>
        <oleObject progId="Equation.DSMT4" shapeId="3439" r:id="rId381"/>
      </mc:Fallback>
    </mc:AlternateContent>
    <mc:AlternateContent xmlns:mc="http://schemas.openxmlformats.org/markup-compatibility/2006">
      <mc:Choice Requires="x14">
        <oleObject progId="Equation.DSMT4" shapeId="3440" r:id="rId382">
          <objectPr defaultSize="0" r:id="rId15">
            <anchor moveWithCells="1">
              <from>
                <xdr:col>13</xdr:col>
                <xdr:colOff>428625</xdr:colOff>
                <xdr:row>223</xdr:row>
                <xdr:rowOff>152400</xdr:rowOff>
              </from>
              <to>
                <xdr:col>13</xdr:col>
                <xdr:colOff>609600</xdr:colOff>
                <xdr:row>224</xdr:row>
                <xdr:rowOff>104775</xdr:rowOff>
              </to>
            </anchor>
          </objectPr>
        </oleObject>
      </mc:Choice>
      <mc:Fallback>
        <oleObject progId="Equation.DSMT4" shapeId="3440" r:id="rId382"/>
      </mc:Fallback>
    </mc:AlternateContent>
    <mc:AlternateContent xmlns:mc="http://schemas.openxmlformats.org/markup-compatibility/2006">
      <mc:Choice Requires="x14">
        <oleObject progId="Equation.DSMT4" shapeId="3441" r:id="rId383">
          <objectPr defaultSize="0" r:id="rId17">
            <anchor moveWithCells="1">
              <from>
                <xdr:col>14</xdr:col>
                <xdr:colOff>257175</xdr:colOff>
                <xdr:row>223</xdr:row>
                <xdr:rowOff>85725</xdr:rowOff>
              </from>
              <to>
                <xdr:col>14</xdr:col>
                <xdr:colOff>676275</xdr:colOff>
                <xdr:row>224</xdr:row>
                <xdr:rowOff>161925</xdr:rowOff>
              </to>
            </anchor>
          </objectPr>
        </oleObject>
      </mc:Choice>
      <mc:Fallback>
        <oleObject progId="Equation.DSMT4" shapeId="3441" r:id="rId383"/>
      </mc:Fallback>
    </mc:AlternateContent>
    <mc:AlternateContent xmlns:mc="http://schemas.openxmlformats.org/markup-compatibility/2006">
      <mc:Choice Requires="x14">
        <oleObject progId="Equation.DSMT4" shapeId="3442" r:id="rId384">
          <objectPr defaultSize="0" r:id="rId19">
            <anchor moveWithCells="1">
              <from>
                <xdr:col>13</xdr:col>
                <xdr:colOff>295275</xdr:colOff>
                <xdr:row>226</xdr:row>
                <xdr:rowOff>104775</xdr:rowOff>
              </from>
              <to>
                <xdr:col>13</xdr:col>
                <xdr:colOff>733425</xdr:colOff>
                <xdr:row>227</xdr:row>
                <xdr:rowOff>228600</xdr:rowOff>
              </to>
            </anchor>
          </objectPr>
        </oleObject>
      </mc:Choice>
      <mc:Fallback>
        <oleObject progId="Equation.DSMT4" shapeId="3442" r:id="rId384"/>
      </mc:Fallback>
    </mc:AlternateContent>
    <mc:AlternateContent xmlns:mc="http://schemas.openxmlformats.org/markup-compatibility/2006">
      <mc:Choice Requires="x14">
        <oleObject progId="Equation.DSMT4" shapeId="3443" r:id="rId385">
          <objectPr defaultSize="0" r:id="rId21">
            <anchor moveWithCells="1">
              <from>
                <xdr:col>14</xdr:col>
                <xdr:colOff>295275</xdr:colOff>
                <xdr:row>226</xdr:row>
                <xdr:rowOff>104775</xdr:rowOff>
              </from>
              <to>
                <xdr:col>14</xdr:col>
                <xdr:colOff>733425</xdr:colOff>
                <xdr:row>227</xdr:row>
                <xdr:rowOff>228600</xdr:rowOff>
              </to>
            </anchor>
          </objectPr>
        </oleObject>
      </mc:Choice>
      <mc:Fallback>
        <oleObject progId="Equation.DSMT4" shapeId="3443" r:id="rId385"/>
      </mc:Fallback>
    </mc:AlternateContent>
    <mc:AlternateContent xmlns:mc="http://schemas.openxmlformats.org/markup-compatibility/2006">
      <mc:Choice Requires="x14">
        <oleObject progId="Equation.DSMT4" shapeId="3444" r:id="rId386">
          <objectPr defaultSize="0" r:id="rId23">
            <anchor moveWithCells="1">
              <from>
                <xdr:col>15</xdr:col>
                <xdr:colOff>314325</xdr:colOff>
                <xdr:row>223</xdr:row>
                <xdr:rowOff>85725</xdr:rowOff>
              </from>
              <to>
                <xdr:col>15</xdr:col>
                <xdr:colOff>733425</xdr:colOff>
                <xdr:row>224</xdr:row>
                <xdr:rowOff>161925</xdr:rowOff>
              </to>
            </anchor>
          </objectPr>
        </oleObject>
      </mc:Choice>
      <mc:Fallback>
        <oleObject progId="Equation.DSMT4" shapeId="3444" r:id="rId386"/>
      </mc:Fallback>
    </mc:AlternateContent>
    <mc:AlternateContent xmlns:mc="http://schemas.openxmlformats.org/markup-compatibility/2006">
      <mc:Choice Requires="x14">
        <oleObject progId="Equation.DSMT4" shapeId="3445" r:id="rId387">
          <objectPr defaultSize="0" r:id="rId25">
            <anchor moveWithCells="1">
              <from>
                <xdr:col>15</xdr:col>
                <xdr:colOff>304800</xdr:colOff>
                <xdr:row>226</xdr:row>
                <xdr:rowOff>85725</xdr:rowOff>
              </from>
              <to>
                <xdr:col>15</xdr:col>
                <xdr:colOff>733425</xdr:colOff>
                <xdr:row>227</xdr:row>
                <xdr:rowOff>161925</xdr:rowOff>
              </to>
            </anchor>
          </objectPr>
        </oleObject>
      </mc:Choice>
      <mc:Fallback>
        <oleObject progId="Equation.DSMT4" shapeId="3445" r:id="rId387"/>
      </mc:Fallback>
    </mc:AlternateContent>
    <mc:AlternateContent xmlns:mc="http://schemas.openxmlformats.org/markup-compatibility/2006">
      <mc:Choice Requires="x14">
        <oleObject progId="Equation.DSMT4" shapeId="3446" r:id="rId388">
          <objectPr defaultSize="0" r:id="rId27">
            <anchor moveWithCells="1">
              <from>
                <xdr:col>18</xdr:col>
                <xdr:colOff>304800</xdr:colOff>
                <xdr:row>226</xdr:row>
                <xdr:rowOff>76200</xdr:rowOff>
              </from>
              <to>
                <xdr:col>18</xdr:col>
                <xdr:colOff>733425</xdr:colOff>
                <xdr:row>227</xdr:row>
                <xdr:rowOff>161925</xdr:rowOff>
              </to>
            </anchor>
          </objectPr>
        </oleObject>
      </mc:Choice>
      <mc:Fallback>
        <oleObject progId="Equation.DSMT4" shapeId="3446" r:id="rId388"/>
      </mc:Fallback>
    </mc:AlternateContent>
    <mc:AlternateContent xmlns:mc="http://schemas.openxmlformats.org/markup-compatibility/2006">
      <mc:Choice Requires="x14">
        <oleObject progId="Equation.DSMT4" shapeId="3447" r:id="rId389">
          <objectPr defaultSize="0" r:id="rId15">
            <anchor moveWithCells="1">
              <from>
                <xdr:col>2</xdr:col>
                <xdr:colOff>428625</xdr:colOff>
                <xdr:row>243</xdr:row>
                <xdr:rowOff>152400</xdr:rowOff>
              </from>
              <to>
                <xdr:col>2</xdr:col>
                <xdr:colOff>609600</xdr:colOff>
                <xdr:row>244</xdr:row>
                <xdr:rowOff>104775</xdr:rowOff>
              </to>
            </anchor>
          </objectPr>
        </oleObject>
      </mc:Choice>
      <mc:Fallback>
        <oleObject progId="Equation.DSMT4" shapeId="3447" r:id="rId389"/>
      </mc:Fallback>
    </mc:AlternateContent>
    <mc:AlternateContent xmlns:mc="http://schemas.openxmlformats.org/markup-compatibility/2006">
      <mc:Choice Requires="x14">
        <oleObject progId="Equation.DSMT4" shapeId="3448" r:id="rId390">
          <objectPr defaultSize="0" r:id="rId17">
            <anchor moveWithCells="1">
              <from>
                <xdr:col>3</xdr:col>
                <xdr:colOff>257175</xdr:colOff>
                <xdr:row>243</xdr:row>
                <xdr:rowOff>85725</xdr:rowOff>
              </from>
              <to>
                <xdr:col>3</xdr:col>
                <xdr:colOff>676275</xdr:colOff>
                <xdr:row>244</xdr:row>
                <xdr:rowOff>161925</xdr:rowOff>
              </to>
            </anchor>
          </objectPr>
        </oleObject>
      </mc:Choice>
      <mc:Fallback>
        <oleObject progId="Equation.DSMT4" shapeId="3448" r:id="rId390"/>
      </mc:Fallback>
    </mc:AlternateContent>
    <mc:AlternateContent xmlns:mc="http://schemas.openxmlformats.org/markup-compatibility/2006">
      <mc:Choice Requires="x14">
        <oleObject progId="Equation.DSMT4" shapeId="3449" r:id="rId391">
          <objectPr defaultSize="0" r:id="rId19">
            <anchor moveWithCells="1">
              <from>
                <xdr:col>2</xdr:col>
                <xdr:colOff>295275</xdr:colOff>
                <xdr:row>246</xdr:row>
                <xdr:rowOff>104775</xdr:rowOff>
              </from>
              <to>
                <xdr:col>2</xdr:col>
                <xdr:colOff>733425</xdr:colOff>
                <xdr:row>247</xdr:row>
                <xdr:rowOff>228600</xdr:rowOff>
              </to>
            </anchor>
          </objectPr>
        </oleObject>
      </mc:Choice>
      <mc:Fallback>
        <oleObject progId="Equation.DSMT4" shapeId="3449" r:id="rId391"/>
      </mc:Fallback>
    </mc:AlternateContent>
    <mc:AlternateContent xmlns:mc="http://schemas.openxmlformats.org/markup-compatibility/2006">
      <mc:Choice Requires="x14">
        <oleObject progId="Equation.DSMT4" shapeId="3450" r:id="rId392">
          <objectPr defaultSize="0" r:id="rId21">
            <anchor moveWithCells="1">
              <from>
                <xdr:col>3</xdr:col>
                <xdr:colOff>295275</xdr:colOff>
                <xdr:row>246</xdr:row>
                <xdr:rowOff>104775</xdr:rowOff>
              </from>
              <to>
                <xdr:col>3</xdr:col>
                <xdr:colOff>733425</xdr:colOff>
                <xdr:row>247</xdr:row>
                <xdr:rowOff>228600</xdr:rowOff>
              </to>
            </anchor>
          </objectPr>
        </oleObject>
      </mc:Choice>
      <mc:Fallback>
        <oleObject progId="Equation.DSMT4" shapeId="3450" r:id="rId392"/>
      </mc:Fallback>
    </mc:AlternateContent>
    <mc:AlternateContent xmlns:mc="http://schemas.openxmlformats.org/markup-compatibility/2006">
      <mc:Choice Requires="x14">
        <oleObject progId="Equation.DSMT4" shapeId="3451" r:id="rId393">
          <objectPr defaultSize="0" r:id="rId23">
            <anchor moveWithCells="1">
              <from>
                <xdr:col>4</xdr:col>
                <xdr:colOff>314325</xdr:colOff>
                <xdr:row>243</xdr:row>
                <xdr:rowOff>85725</xdr:rowOff>
              </from>
              <to>
                <xdr:col>4</xdr:col>
                <xdr:colOff>733425</xdr:colOff>
                <xdr:row>244</xdr:row>
                <xdr:rowOff>161925</xdr:rowOff>
              </to>
            </anchor>
          </objectPr>
        </oleObject>
      </mc:Choice>
      <mc:Fallback>
        <oleObject progId="Equation.DSMT4" shapeId="3451" r:id="rId393"/>
      </mc:Fallback>
    </mc:AlternateContent>
    <mc:AlternateContent xmlns:mc="http://schemas.openxmlformats.org/markup-compatibility/2006">
      <mc:Choice Requires="x14">
        <oleObject progId="Equation.DSMT4" shapeId="3452" r:id="rId394">
          <objectPr defaultSize="0" r:id="rId25">
            <anchor moveWithCells="1">
              <from>
                <xdr:col>4</xdr:col>
                <xdr:colOff>304800</xdr:colOff>
                <xdr:row>246</xdr:row>
                <xdr:rowOff>85725</xdr:rowOff>
              </from>
              <to>
                <xdr:col>4</xdr:col>
                <xdr:colOff>733425</xdr:colOff>
                <xdr:row>247</xdr:row>
                <xdr:rowOff>161925</xdr:rowOff>
              </to>
            </anchor>
          </objectPr>
        </oleObject>
      </mc:Choice>
      <mc:Fallback>
        <oleObject progId="Equation.DSMT4" shapeId="3452" r:id="rId394"/>
      </mc:Fallback>
    </mc:AlternateContent>
    <mc:AlternateContent xmlns:mc="http://schemas.openxmlformats.org/markup-compatibility/2006">
      <mc:Choice Requires="x14">
        <oleObject progId="Equation.DSMT4" shapeId="3453" r:id="rId395">
          <objectPr defaultSize="0" r:id="rId27">
            <anchor moveWithCells="1">
              <from>
                <xdr:col>7</xdr:col>
                <xdr:colOff>304800</xdr:colOff>
                <xdr:row>246</xdr:row>
                <xdr:rowOff>76200</xdr:rowOff>
              </from>
              <to>
                <xdr:col>7</xdr:col>
                <xdr:colOff>733425</xdr:colOff>
                <xdr:row>247</xdr:row>
                <xdr:rowOff>161925</xdr:rowOff>
              </to>
            </anchor>
          </objectPr>
        </oleObject>
      </mc:Choice>
      <mc:Fallback>
        <oleObject progId="Equation.DSMT4" shapeId="3453" r:id="rId395"/>
      </mc:Fallback>
    </mc:AlternateContent>
    <mc:AlternateContent xmlns:mc="http://schemas.openxmlformats.org/markup-compatibility/2006">
      <mc:Choice Requires="x14">
        <oleObject progId="Equation.DSMT4" shapeId="3454" r:id="rId396">
          <objectPr defaultSize="0" r:id="rId15">
            <anchor moveWithCells="1">
              <from>
                <xdr:col>13</xdr:col>
                <xdr:colOff>428625</xdr:colOff>
                <xdr:row>243</xdr:row>
                <xdr:rowOff>152400</xdr:rowOff>
              </from>
              <to>
                <xdr:col>13</xdr:col>
                <xdr:colOff>609600</xdr:colOff>
                <xdr:row>244</xdr:row>
                <xdr:rowOff>104775</xdr:rowOff>
              </to>
            </anchor>
          </objectPr>
        </oleObject>
      </mc:Choice>
      <mc:Fallback>
        <oleObject progId="Equation.DSMT4" shapeId="3454" r:id="rId396"/>
      </mc:Fallback>
    </mc:AlternateContent>
    <mc:AlternateContent xmlns:mc="http://schemas.openxmlformats.org/markup-compatibility/2006">
      <mc:Choice Requires="x14">
        <oleObject progId="Equation.DSMT4" shapeId="3455" r:id="rId397">
          <objectPr defaultSize="0" r:id="rId17">
            <anchor moveWithCells="1">
              <from>
                <xdr:col>14</xdr:col>
                <xdr:colOff>257175</xdr:colOff>
                <xdr:row>243</xdr:row>
                <xdr:rowOff>85725</xdr:rowOff>
              </from>
              <to>
                <xdr:col>14</xdr:col>
                <xdr:colOff>676275</xdr:colOff>
                <xdr:row>244</xdr:row>
                <xdr:rowOff>161925</xdr:rowOff>
              </to>
            </anchor>
          </objectPr>
        </oleObject>
      </mc:Choice>
      <mc:Fallback>
        <oleObject progId="Equation.DSMT4" shapeId="3455" r:id="rId397"/>
      </mc:Fallback>
    </mc:AlternateContent>
    <mc:AlternateContent xmlns:mc="http://schemas.openxmlformats.org/markup-compatibility/2006">
      <mc:Choice Requires="x14">
        <oleObject progId="Equation.DSMT4" shapeId="3456" r:id="rId398">
          <objectPr defaultSize="0" r:id="rId19">
            <anchor moveWithCells="1">
              <from>
                <xdr:col>13</xdr:col>
                <xdr:colOff>295275</xdr:colOff>
                <xdr:row>246</xdr:row>
                <xdr:rowOff>104775</xdr:rowOff>
              </from>
              <to>
                <xdr:col>13</xdr:col>
                <xdr:colOff>733425</xdr:colOff>
                <xdr:row>247</xdr:row>
                <xdr:rowOff>228600</xdr:rowOff>
              </to>
            </anchor>
          </objectPr>
        </oleObject>
      </mc:Choice>
      <mc:Fallback>
        <oleObject progId="Equation.DSMT4" shapeId="3456" r:id="rId398"/>
      </mc:Fallback>
    </mc:AlternateContent>
    <mc:AlternateContent xmlns:mc="http://schemas.openxmlformats.org/markup-compatibility/2006">
      <mc:Choice Requires="x14">
        <oleObject progId="Equation.DSMT4" shapeId="3457" r:id="rId399">
          <objectPr defaultSize="0" r:id="rId21">
            <anchor moveWithCells="1">
              <from>
                <xdr:col>14</xdr:col>
                <xdr:colOff>295275</xdr:colOff>
                <xdr:row>246</xdr:row>
                <xdr:rowOff>104775</xdr:rowOff>
              </from>
              <to>
                <xdr:col>14</xdr:col>
                <xdr:colOff>733425</xdr:colOff>
                <xdr:row>247</xdr:row>
                <xdr:rowOff>228600</xdr:rowOff>
              </to>
            </anchor>
          </objectPr>
        </oleObject>
      </mc:Choice>
      <mc:Fallback>
        <oleObject progId="Equation.DSMT4" shapeId="3457" r:id="rId399"/>
      </mc:Fallback>
    </mc:AlternateContent>
    <mc:AlternateContent xmlns:mc="http://schemas.openxmlformats.org/markup-compatibility/2006">
      <mc:Choice Requires="x14">
        <oleObject progId="Equation.DSMT4" shapeId="3458" r:id="rId400">
          <objectPr defaultSize="0" r:id="rId23">
            <anchor moveWithCells="1">
              <from>
                <xdr:col>15</xdr:col>
                <xdr:colOff>314325</xdr:colOff>
                <xdr:row>243</xdr:row>
                <xdr:rowOff>85725</xdr:rowOff>
              </from>
              <to>
                <xdr:col>15</xdr:col>
                <xdr:colOff>733425</xdr:colOff>
                <xdr:row>244</xdr:row>
                <xdr:rowOff>161925</xdr:rowOff>
              </to>
            </anchor>
          </objectPr>
        </oleObject>
      </mc:Choice>
      <mc:Fallback>
        <oleObject progId="Equation.DSMT4" shapeId="3458" r:id="rId400"/>
      </mc:Fallback>
    </mc:AlternateContent>
    <mc:AlternateContent xmlns:mc="http://schemas.openxmlformats.org/markup-compatibility/2006">
      <mc:Choice Requires="x14">
        <oleObject progId="Equation.DSMT4" shapeId="3459" r:id="rId401">
          <objectPr defaultSize="0" r:id="rId25">
            <anchor moveWithCells="1">
              <from>
                <xdr:col>15</xdr:col>
                <xdr:colOff>304800</xdr:colOff>
                <xdr:row>246</xdr:row>
                <xdr:rowOff>85725</xdr:rowOff>
              </from>
              <to>
                <xdr:col>15</xdr:col>
                <xdr:colOff>733425</xdr:colOff>
                <xdr:row>247</xdr:row>
                <xdr:rowOff>161925</xdr:rowOff>
              </to>
            </anchor>
          </objectPr>
        </oleObject>
      </mc:Choice>
      <mc:Fallback>
        <oleObject progId="Equation.DSMT4" shapeId="3459" r:id="rId401"/>
      </mc:Fallback>
    </mc:AlternateContent>
    <mc:AlternateContent xmlns:mc="http://schemas.openxmlformats.org/markup-compatibility/2006">
      <mc:Choice Requires="x14">
        <oleObject progId="Equation.DSMT4" shapeId="3460" r:id="rId402">
          <objectPr defaultSize="0" r:id="rId27">
            <anchor moveWithCells="1">
              <from>
                <xdr:col>18</xdr:col>
                <xdr:colOff>304800</xdr:colOff>
                <xdr:row>246</xdr:row>
                <xdr:rowOff>76200</xdr:rowOff>
              </from>
              <to>
                <xdr:col>18</xdr:col>
                <xdr:colOff>733425</xdr:colOff>
                <xdr:row>247</xdr:row>
                <xdr:rowOff>161925</xdr:rowOff>
              </to>
            </anchor>
          </objectPr>
        </oleObject>
      </mc:Choice>
      <mc:Fallback>
        <oleObject progId="Equation.DSMT4" shapeId="3460" r:id="rId402"/>
      </mc:Fallback>
    </mc:AlternateContent>
    <mc:AlternateContent xmlns:mc="http://schemas.openxmlformats.org/markup-compatibility/2006">
      <mc:Choice Requires="x14">
        <oleObject progId="Equation.DSMT4" shapeId="3461" r:id="rId403">
          <objectPr defaultSize="0" r:id="rId15">
            <anchor moveWithCells="1">
              <from>
                <xdr:col>2</xdr:col>
                <xdr:colOff>428625</xdr:colOff>
                <xdr:row>263</xdr:row>
                <xdr:rowOff>152400</xdr:rowOff>
              </from>
              <to>
                <xdr:col>2</xdr:col>
                <xdr:colOff>609600</xdr:colOff>
                <xdr:row>264</xdr:row>
                <xdr:rowOff>104775</xdr:rowOff>
              </to>
            </anchor>
          </objectPr>
        </oleObject>
      </mc:Choice>
      <mc:Fallback>
        <oleObject progId="Equation.DSMT4" shapeId="3461" r:id="rId403"/>
      </mc:Fallback>
    </mc:AlternateContent>
    <mc:AlternateContent xmlns:mc="http://schemas.openxmlformats.org/markup-compatibility/2006">
      <mc:Choice Requires="x14">
        <oleObject progId="Equation.DSMT4" shapeId="3462" r:id="rId404">
          <objectPr defaultSize="0" r:id="rId17">
            <anchor moveWithCells="1">
              <from>
                <xdr:col>3</xdr:col>
                <xdr:colOff>257175</xdr:colOff>
                <xdr:row>263</xdr:row>
                <xdr:rowOff>85725</xdr:rowOff>
              </from>
              <to>
                <xdr:col>3</xdr:col>
                <xdr:colOff>676275</xdr:colOff>
                <xdr:row>264</xdr:row>
                <xdr:rowOff>161925</xdr:rowOff>
              </to>
            </anchor>
          </objectPr>
        </oleObject>
      </mc:Choice>
      <mc:Fallback>
        <oleObject progId="Equation.DSMT4" shapeId="3462" r:id="rId404"/>
      </mc:Fallback>
    </mc:AlternateContent>
    <mc:AlternateContent xmlns:mc="http://schemas.openxmlformats.org/markup-compatibility/2006">
      <mc:Choice Requires="x14">
        <oleObject progId="Equation.DSMT4" shapeId="3463" r:id="rId405">
          <objectPr defaultSize="0" r:id="rId19">
            <anchor moveWithCells="1">
              <from>
                <xdr:col>2</xdr:col>
                <xdr:colOff>295275</xdr:colOff>
                <xdr:row>266</xdr:row>
                <xdr:rowOff>104775</xdr:rowOff>
              </from>
              <to>
                <xdr:col>2</xdr:col>
                <xdr:colOff>733425</xdr:colOff>
                <xdr:row>267</xdr:row>
                <xdr:rowOff>228600</xdr:rowOff>
              </to>
            </anchor>
          </objectPr>
        </oleObject>
      </mc:Choice>
      <mc:Fallback>
        <oleObject progId="Equation.DSMT4" shapeId="3463" r:id="rId405"/>
      </mc:Fallback>
    </mc:AlternateContent>
    <mc:AlternateContent xmlns:mc="http://schemas.openxmlformats.org/markup-compatibility/2006">
      <mc:Choice Requires="x14">
        <oleObject progId="Equation.DSMT4" shapeId="3464" r:id="rId406">
          <objectPr defaultSize="0" r:id="rId21">
            <anchor moveWithCells="1">
              <from>
                <xdr:col>3</xdr:col>
                <xdr:colOff>295275</xdr:colOff>
                <xdr:row>266</xdr:row>
                <xdr:rowOff>104775</xdr:rowOff>
              </from>
              <to>
                <xdr:col>3</xdr:col>
                <xdr:colOff>733425</xdr:colOff>
                <xdr:row>267</xdr:row>
                <xdr:rowOff>228600</xdr:rowOff>
              </to>
            </anchor>
          </objectPr>
        </oleObject>
      </mc:Choice>
      <mc:Fallback>
        <oleObject progId="Equation.DSMT4" shapeId="3464" r:id="rId406"/>
      </mc:Fallback>
    </mc:AlternateContent>
    <mc:AlternateContent xmlns:mc="http://schemas.openxmlformats.org/markup-compatibility/2006">
      <mc:Choice Requires="x14">
        <oleObject progId="Equation.DSMT4" shapeId="3465" r:id="rId407">
          <objectPr defaultSize="0" r:id="rId23">
            <anchor moveWithCells="1">
              <from>
                <xdr:col>4</xdr:col>
                <xdr:colOff>314325</xdr:colOff>
                <xdr:row>263</xdr:row>
                <xdr:rowOff>85725</xdr:rowOff>
              </from>
              <to>
                <xdr:col>4</xdr:col>
                <xdr:colOff>733425</xdr:colOff>
                <xdr:row>264</xdr:row>
                <xdr:rowOff>161925</xdr:rowOff>
              </to>
            </anchor>
          </objectPr>
        </oleObject>
      </mc:Choice>
      <mc:Fallback>
        <oleObject progId="Equation.DSMT4" shapeId="3465" r:id="rId407"/>
      </mc:Fallback>
    </mc:AlternateContent>
    <mc:AlternateContent xmlns:mc="http://schemas.openxmlformats.org/markup-compatibility/2006">
      <mc:Choice Requires="x14">
        <oleObject progId="Equation.DSMT4" shapeId="3466" r:id="rId408">
          <objectPr defaultSize="0" r:id="rId25">
            <anchor moveWithCells="1">
              <from>
                <xdr:col>4</xdr:col>
                <xdr:colOff>304800</xdr:colOff>
                <xdr:row>266</xdr:row>
                <xdr:rowOff>85725</xdr:rowOff>
              </from>
              <to>
                <xdr:col>4</xdr:col>
                <xdr:colOff>733425</xdr:colOff>
                <xdr:row>267</xdr:row>
                <xdr:rowOff>161925</xdr:rowOff>
              </to>
            </anchor>
          </objectPr>
        </oleObject>
      </mc:Choice>
      <mc:Fallback>
        <oleObject progId="Equation.DSMT4" shapeId="3466" r:id="rId408"/>
      </mc:Fallback>
    </mc:AlternateContent>
    <mc:AlternateContent xmlns:mc="http://schemas.openxmlformats.org/markup-compatibility/2006">
      <mc:Choice Requires="x14">
        <oleObject progId="Equation.DSMT4" shapeId="3467" r:id="rId409">
          <objectPr defaultSize="0" r:id="rId27">
            <anchor moveWithCells="1">
              <from>
                <xdr:col>7</xdr:col>
                <xdr:colOff>304800</xdr:colOff>
                <xdr:row>266</xdr:row>
                <xdr:rowOff>76200</xdr:rowOff>
              </from>
              <to>
                <xdr:col>7</xdr:col>
                <xdr:colOff>733425</xdr:colOff>
                <xdr:row>267</xdr:row>
                <xdr:rowOff>161925</xdr:rowOff>
              </to>
            </anchor>
          </objectPr>
        </oleObject>
      </mc:Choice>
      <mc:Fallback>
        <oleObject progId="Equation.DSMT4" shapeId="3467" r:id="rId409"/>
      </mc:Fallback>
    </mc:AlternateContent>
    <mc:AlternateContent xmlns:mc="http://schemas.openxmlformats.org/markup-compatibility/2006">
      <mc:Choice Requires="x14">
        <oleObject progId="Equation.DSMT4" shapeId="3468" r:id="rId410">
          <objectPr defaultSize="0" r:id="rId15">
            <anchor moveWithCells="1">
              <from>
                <xdr:col>13</xdr:col>
                <xdr:colOff>428625</xdr:colOff>
                <xdr:row>263</xdr:row>
                <xdr:rowOff>152400</xdr:rowOff>
              </from>
              <to>
                <xdr:col>13</xdr:col>
                <xdr:colOff>609600</xdr:colOff>
                <xdr:row>264</xdr:row>
                <xdr:rowOff>104775</xdr:rowOff>
              </to>
            </anchor>
          </objectPr>
        </oleObject>
      </mc:Choice>
      <mc:Fallback>
        <oleObject progId="Equation.DSMT4" shapeId="3468" r:id="rId410"/>
      </mc:Fallback>
    </mc:AlternateContent>
    <mc:AlternateContent xmlns:mc="http://schemas.openxmlformats.org/markup-compatibility/2006">
      <mc:Choice Requires="x14">
        <oleObject progId="Equation.DSMT4" shapeId="3469" r:id="rId411">
          <objectPr defaultSize="0" r:id="rId17">
            <anchor moveWithCells="1">
              <from>
                <xdr:col>14</xdr:col>
                <xdr:colOff>257175</xdr:colOff>
                <xdr:row>263</xdr:row>
                <xdr:rowOff>85725</xdr:rowOff>
              </from>
              <to>
                <xdr:col>14</xdr:col>
                <xdr:colOff>676275</xdr:colOff>
                <xdr:row>264</xdr:row>
                <xdr:rowOff>161925</xdr:rowOff>
              </to>
            </anchor>
          </objectPr>
        </oleObject>
      </mc:Choice>
      <mc:Fallback>
        <oleObject progId="Equation.DSMT4" shapeId="3469" r:id="rId411"/>
      </mc:Fallback>
    </mc:AlternateContent>
    <mc:AlternateContent xmlns:mc="http://schemas.openxmlformats.org/markup-compatibility/2006">
      <mc:Choice Requires="x14">
        <oleObject progId="Equation.DSMT4" shapeId="3470" r:id="rId412">
          <objectPr defaultSize="0" r:id="rId19">
            <anchor moveWithCells="1">
              <from>
                <xdr:col>13</xdr:col>
                <xdr:colOff>295275</xdr:colOff>
                <xdr:row>266</xdr:row>
                <xdr:rowOff>104775</xdr:rowOff>
              </from>
              <to>
                <xdr:col>13</xdr:col>
                <xdr:colOff>733425</xdr:colOff>
                <xdr:row>267</xdr:row>
                <xdr:rowOff>228600</xdr:rowOff>
              </to>
            </anchor>
          </objectPr>
        </oleObject>
      </mc:Choice>
      <mc:Fallback>
        <oleObject progId="Equation.DSMT4" shapeId="3470" r:id="rId412"/>
      </mc:Fallback>
    </mc:AlternateContent>
    <mc:AlternateContent xmlns:mc="http://schemas.openxmlformats.org/markup-compatibility/2006">
      <mc:Choice Requires="x14">
        <oleObject progId="Equation.DSMT4" shapeId="3471" r:id="rId413">
          <objectPr defaultSize="0" r:id="rId21">
            <anchor moveWithCells="1">
              <from>
                <xdr:col>14</xdr:col>
                <xdr:colOff>295275</xdr:colOff>
                <xdr:row>266</xdr:row>
                <xdr:rowOff>104775</xdr:rowOff>
              </from>
              <to>
                <xdr:col>14</xdr:col>
                <xdr:colOff>733425</xdr:colOff>
                <xdr:row>267</xdr:row>
                <xdr:rowOff>228600</xdr:rowOff>
              </to>
            </anchor>
          </objectPr>
        </oleObject>
      </mc:Choice>
      <mc:Fallback>
        <oleObject progId="Equation.DSMT4" shapeId="3471" r:id="rId413"/>
      </mc:Fallback>
    </mc:AlternateContent>
    <mc:AlternateContent xmlns:mc="http://schemas.openxmlformats.org/markup-compatibility/2006">
      <mc:Choice Requires="x14">
        <oleObject progId="Equation.DSMT4" shapeId="3472" r:id="rId414">
          <objectPr defaultSize="0" r:id="rId23">
            <anchor moveWithCells="1">
              <from>
                <xdr:col>15</xdr:col>
                <xdr:colOff>314325</xdr:colOff>
                <xdr:row>263</xdr:row>
                <xdr:rowOff>85725</xdr:rowOff>
              </from>
              <to>
                <xdr:col>15</xdr:col>
                <xdr:colOff>733425</xdr:colOff>
                <xdr:row>264</xdr:row>
                <xdr:rowOff>161925</xdr:rowOff>
              </to>
            </anchor>
          </objectPr>
        </oleObject>
      </mc:Choice>
      <mc:Fallback>
        <oleObject progId="Equation.DSMT4" shapeId="3472" r:id="rId414"/>
      </mc:Fallback>
    </mc:AlternateContent>
    <mc:AlternateContent xmlns:mc="http://schemas.openxmlformats.org/markup-compatibility/2006">
      <mc:Choice Requires="x14">
        <oleObject progId="Equation.DSMT4" shapeId="3473" r:id="rId415">
          <objectPr defaultSize="0" r:id="rId25">
            <anchor moveWithCells="1">
              <from>
                <xdr:col>15</xdr:col>
                <xdr:colOff>304800</xdr:colOff>
                <xdr:row>266</xdr:row>
                <xdr:rowOff>85725</xdr:rowOff>
              </from>
              <to>
                <xdr:col>15</xdr:col>
                <xdr:colOff>733425</xdr:colOff>
                <xdr:row>267</xdr:row>
                <xdr:rowOff>161925</xdr:rowOff>
              </to>
            </anchor>
          </objectPr>
        </oleObject>
      </mc:Choice>
      <mc:Fallback>
        <oleObject progId="Equation.DSMT4" shapeId="3473" r:id="rId415"/>
      </mc:Fallback>
    </mc:AlternateContent>
    <mc:AlternateContent xmlns:mc="http://schemas.openxmlformats.org/markup-compatibility/2006">
      <mc:Choice Requires="x14">
        <oleObject progId="Equation.DSMT4" shapeId="3474" r:id="rId416">
          <objectPr defaultSize="0" r:id="rId27">
            <anchor moveWithCells="1">
              <from>
                <xdr:col>18</xdr:col>
                <xdr:colOff>304800</xdr:colOff>
                <xdr:row>266</xdr:row>
                <xdr:rowOff>76200</xdr:rowOff>
              </from>
              <to>
                <xdr:col>18</xdr:col>
                <xdr:colOff>733425</xdr:colOff>
                <xdr:row>267</xdr:row>
                <xdr:rowOff>161925</xdr:rowOff>
              </to>
            </anchor>
          </objectPr>
        </oleObject>
      </mc:Choice>
      <mc:Fallback>
        <oleObject progId="Equation.DSMT4" shapeId="3474" r:id="rId416"/>
      </mc:Fallback>
    </mc:AlternateContent>
    <mc:AlternateContent xmlns:mc="http://schemas.openxmlformats.org/markup-compatibility/2006">
      <mc:Choice Requires="x14">
        <oleObject progId="Equation.DSMT4" shapeId="3475" r:id="rId417">
          <objectPr defaultSize="0" r:id="rId15">
            <anchor moveWithCells="1">
              <from>
                <xdr:col>2</xdr:col>
                <xdr:colOff>428625</xdr:colOff>
                <xdr:row>283</xdr:row>
                <xdr:rowOff>152400</xdr:rowOff>
              </from>
              <to>
                <xdr:col>2</xdr:col>
                <xdr:colOff>609600</xdr:colOff>
                <xdr:row>284</xdr:row>
                <xdr:rowOff>104775</xdr:rowOff>
              </to>
            </anchor>
          </objectPr>
        </oleObject>
      </mc:Choice>
      <mc:Fallback>
        <oleObject progId="Equation.DSMT4" shapeId="3475" r:id="rId417"/>
      </mc:Fallback>
    </mc:AlternateContent>
    <mc:AlternateContent xmlns:mc="http://schemas.openxmlformats.org/markup-compatibility/2006">
      <mc:Choice Requires="x14">
        <oleObject progId="Equation.DSMT4" shapeId="3476" r:id="rId418">
          <objectPr defaultSize="0" r:id="rId17">
            <anchor moveWithCells="1">
              <from>
                <xdr:col>3</xdr:col>
                <xdr:colOff>257175</xdr:colOff>
                <xdr:row>283</xdr:row>
                <xdr:rowOff>85725</xdr:rowOff>
              </from>
              <to>
                <xdr:col>3</xdr:col>
                <xdr:colOff>676275</xdr:colOff>
                <xdr:row>284</xdr:row>
                <xdr:rowOff>161925</xdr:rowOff>
              </to>
            </anchor>
          </objectPr>
        </oleObject>
      </mc:Choice>
      <mc:Fallback>
        <oleObject progId="Equation.DSMT4" shapeId="3476" r:id="rId418"/>
      </mc:Fallback>
    </mc:AlternateContent>
    <mc:AlternateContent xmlns:mc="http://schemas.openxmlformats.org/markup-compatibility/2006">
      <mc:Choice Requires="x14">
        <oleObject progId="Equation.DSMT4" shapeId="3477" r:id="rId419">
          <objectPr defaultSize="0" r:id="rId19">
            <anchor moveWithCells="1">
              <from>
                <xdr:col>2</xdr:col>
                <xdr:colOff>295275</xdr:colOff>
                <xdr:row>286</xdr:row>
                <xdr:rowOff>104775</xdr:rowOff>
              </from>
              <to>
                <xdr:col>2</xdr:col>
                <xdr:colOff>733425</xdr:colOff>
                <xdr:row>287</xdr:row>
                <xdr:rowOff>228600</xdr:rowOff>
              </to>
            </anchor>
          </objectPr>
        </oleObject>
      </mc:Choice>
      <mc:Fallback>
        <oleObject progId="Equation.DSMT4" shapeId="3477" r:id="rId419"/>
      </mc:Fallback>
    </mc:AlternateContent>
    <mc:AlternateContent xmlns:mc="http://schemas.openxmlformats.org/markup-compatibility/2006">
      <mc:Choice Requires="x14">
        <oleObject progId="Equation.DSMT4" shapeId="3478" r:id="rId420">
          <objectPr defaultSize="0" r:id="rId21">
            <anchor moveWithCells="1">
              <from>
                <xdr:col>3</xdr:col>
                <xdr:colOff>295275</xdr:colOff>
                <xdr:row>286</xdr:row>
                <xdr:rowOff>104775</xdr:rowOff>
              </from>
              <to>
                <xdr:col>3</xdr:col>
                <xdr:colOff>733425</xdr:colOff>
                <xdr:row>287</xdr:row>
                <xdr:rowOff>228600</xdr:rowOff>
              </to>
            </anchor>
          </objectPr>
        </oleObject>
      </mc:Choice>
      <mc:Fallback>
        <oleObject progId="Equation.DSMT4" shapeId="3478" r:id="rId420"/>
      </mc:Fallback>
    </mc:AlternateContent>
    <mc:AlternateContent xmlns:mc="http://schemas.openxmlformats.org/markup-compatibility/2006">
      <mc:Choice Requires="x14">
        <oleObject progId="Equation.DSMT4" shapeId="3479" r:id="rId421">
          <objectPr defaultSize="0" r:id="rId23">
            <anchor moveWithCells="1">
              <from>
                <xdr:col>4</xdr:col>
                <xdr:colOff>314325</xdr:colOff>
                <xdr:row>283</xdr:row>
                <xdr:rowOff>85725</xdr:rowOff>
              </from>
              <to>
                <xdr:col>4</xdr:col>
                <xdr:colOff>733425</xdr:colOff>
                <xdr:row>284</xdr:row>
                <xdr:rowOff>161925</xdr:rowOff>
              </to>
            </anchor>
          </objectPr>
        </oleObject>
      </mc:Choice>
      <mc:Fallback>
        <oleObject progId="Equation.DSMT4" shapeId="3479" r:id="rId421"/>
      </mc:Fallback>
    </mc:AlternateContent>
    <mc:AlternateContent xmlns:mc="http://schemas.openxmlformats.org/markup-compatibility/2006">
      <mc:Choice Requires="x14">
        <oleObject progId="Equation.DSMT4" shapeId="3480" r:id="rId422">
          <objectPr defaultSize="0" r:id="rId25">
            <anchor moveWithCells="1">
              <from>
                <xdr:col>4</xdr:col>
                <xdr:colOff>304800</xdr:colOff>
                <xdr:row>286</xdr:row>
                <xdr:rowOff>85725</xdr:rowOff>
              </from>
              <to>
                <xdr:col>4</xdr:col>
                <xdr:colOff>733425</xdr:colOff>
                <xdr:row>287</xdr:row>
                <xdr:rowOff>161925</xdr:rowOff>
              </to>
            </anchor>
          </objectPr>
        </oleObject>
      </mc:Choice>
      <mc:Fallback>
        <oleObject progId="Equation.DSMT4" shapeId="3480" r:id="rId422"/>
      </mc:Fallback>
    </mc:AlternateContent>
    <mc:AlternateContent xmlns:mc="http://schemas.openxmlformats.org/markup-compatibility/2006">
      <mc:Choice Requires="x14">
        <oleObject progId="Equation.DSMT4" shapeId="3481" r:id="rId423">
          <objectPr defaultSize="0" r:id="rId27">
            <anchor moveWithCells="1">
              <from>
                <xdr:col>7</xdr:col>
                <xdr:colOff>304800</xdr:colOff>
                <xdr:row>286</xdr:row>
                <xdr:rowOff>76200</xdr:rowOff>
              </from>
              <to>
                <xdr:col>7</xdr:col>
                <xdr:colOff>733425</xdr:colOff>
                <xdr:row>287</xdr:row>
                <xdr:rowOff>161925</xdr:rowOff>
              </to>
            </anchor>
          </objectPr>
        </oleObject>
      </mc:Choice>
      <mc:Fallback>
        <oleObject progId="Equation.DSMT4" shapeId="3481" r:id="rId423"/>
      </mc:Fallback>
    </mc:AlternateContent>
    <mc:AlternateContent xmlns:mc="http://schemas.openxmlformats.org/markup-compatibility/2006">
      <mc:Choice Requires="x14">
        <oleObject progId="Equation.DSMT4" shapeId="3482" r:id="rId424">
          <objectPr defaultSize="0" r:id="rId15">
            <anchor moveWithCells="1">
              <from>
                <xdr:col>13</xdr:col>
                <xdr:colOff>428625</xdr:colOff>
                <xdr:row>283</xdr:row>
                <xdr:rowOff>152400</xdr:rowOff>
              </from>
              <to>
                <xdr:col>13</xdr:col>
                <xdr:colOff>609600</xdr:colOff>
                <xdr:row>284</xdr:row>
                <xdr:rowOff>104775</xdr:rowOff>
              </to>
            </anchor>
          </objectPr>
        </oleObject>
      </mc:Choice>
      <mc:Fallback>
        <oleObject progId="Equation.DSMT4" shapeId="3482" r:id="rId424"/>
      </mc:Fallback>
    </mc:AlternateContent>
    <mc:AlternateContent xmlns:mc="http://schemas.openxmlformats.org/markup-compatibility/2006">
      <mc:Choice Requires="x14">
        <oleObject progId="Equation.DSMT4" shapeId="3483" r:id="rId425">
          <objectPr defaultSize="0" r:id="rId17">
            <anchor moveWithCells="1">
              <from>
                <xdr:col>14</xdr:col>
                <xdr:colOff>257175</xdr:colOff>
                <xdr:row>283</xdr:row>
                <xdr:rowOff>85725</xdr:rowOff>
              </from>
              <to>
                <xdr:col>14</xdr:col>
                <xdr:colOff>676275</xdr:colOff>
                <xdr:row>284</xdr:row>
                <xdr:rowOff>161925</xdr:rowOff>
              </to>
            </anchor>
          </objectPr>
        </oleObject>
      </mc:Choice>
      <mc:Fallback>
        <oleObject progId="Equation.DSMT4" shapeId="3483" r:id="rId425"/>
      </mc:Fallback>
    </mc:AlternateContent>
    <mc:AlternateContent xmlns:mc="http://schemas.openxmlformats.org/markup-compatibility/2006">
      <mc:Choice Requires="x14">
        <oleObject progId="Equation.DSMT4" shapeId="3484" r:id="rId426">
          <objectPr defaultSize="0" r:id="rId19">
            <anchor moveWithCells="1">
              <from>
                <xdr:col>13</xdr:col>
                <xdr:colOff>295275</xdr:colOff>
                <xdr:row>286</xdr:row>
                <xdr:rowOff>104775</xdr:rowOff>
              </from>
              <to>
                <xdr:col>13</xdr:col>
                <xdr:colOff>733425</xdr:colOff>
                <xdr:row>287</xdr:row>
                <xdr:rowOff>228600</xdr:rowOff>
              </to>
            </anchor>
          </objectPr>
        </oleObject>
      </mc:Choice>
      <mc:Fallback>
        <oleObject progId="Equation.DSMT4" shapeId="3484" r:id="rId426"/>
      </mc:Fallback>
    </mc:AlternateContent>
    <mc:AlternateContent xmlns:mc="http://schemas.openxmlformats.org/markup-compatibility/2006">
      <mc:Choice Requires="x14">
        <oleObject progId="Equation.DSMT4" shapeId="3485" r:id="rId427">
          <objectPr defaultSize="0" r:id="rId21">
            <anchor moveWithCells="1">
              <from>
                <xdr:col>14</xdr:col>
                <xdr:colOff>295275</xdr:colOff>
                <xdr:row>286</xdr:row>
                <xdr:rowOff>104775</xdr:rowOff>
              </from>
              <to>
                <xdr:col>14</xdr:col>
                <xdr:colOff>733425</xdr:colOff>
                <xdr:row>287</xdr:row>
                <xdr:rowOff>228600</xdr:rowOff>
              </to>
            </anchor>
          </objectPr>
        </oleObject>
      </mc:Choice>
      <mc:Fallback>
        <oleObject progId="Equation.DSMT4" shapeId="3485" r:id="rId427"/>
      </mc:Fallback>
    </mc:AlternateContent>
    <mc:AlternateContent xmlns:mc="http://schemas.openxmlformats.org/markup-compatibility/2006">
      <mc:Choice Requires="x14">
        <oleObject progId="Equation.DSMT4" shapeId="3486" r:id="rId428">
          <objectPr defaultSize="0" r:id="rId23">
            <anchor moveWithCells="1">
              <from>
                <xdr:col>15</xdr:col>
                <xdr:colOff>314325</xdr:colOff>
                <xdr:row>283</xdr:row>
                <xdr:rowOff>85725</xdr:rowOff>
              </from>
              <to>
                <xdr:col>15</xdr:col>
                <xdr:colOff>733425</xdr:colOff>
                <xdr:row>284</xdr:row>
                <xdr:rowOff>161925</xdr:rowOff>
              </to>
            </anchor>
          </objectPr>
        </oleObject>
      </mc:Choice>
      <mc:Fallback>
        <oleObject progId="Equation.DSMT4" shapeId="3486" r:id="rId428"/>
      </mc:Fallback>
    </mc:AlternateContent>
    <mc:AlternateContent xmlns:mc="http://schemas.openxmlformats.org/markup-compatibility/2006">
      <mc:Choice Requires="x14">
        <oleObject progId="Equation.DSMT4" shapeId="3487" r:id="rId429">
          <objectPr defaultSize="0" r:id="rId25">
            <anchor moveWithCells="1">
              <from>
                <xdr:col>15</xdr:col>
                <xdr:colOff>304800</xdr:colOff>
                <xdr:row>286</xdr:row>
                <xdr:rowOff>85725</xdr:rowOff>
              </from>
              <to>
                <xdr:col>15</xdr:col>
                <xdr:colOff>733425</xdr:colOff>
                <xdr:row>287</xdr:row>
                <xdr:rowOff>161925</xdr:rowOff>
              </to>
            </anchor>
          </objectPr>
        </oleObject>
      </mc:Choice>
      <mc:Fallback>
        <oleObject progId="Equation.DSMT4" shapeId="3487" r:id="rId429"/>
      </mc:Fallback>
    </mc:AlternateContent>
    <mc:AlternateContent xmlns:mc="http://schemas.openxmlformats.org/markup-compatibility/2006">
      <mc:Choice Requires="x14">
        <oleObject progId="Equation.DSMT4" shapeId="3488" r:id="rId430">
          <objectPr defaultSize="0" r:id="rId27">
            <anchor moveWithCells="1">
              <from>
                <xdr:col>18</xdr:col>
                <xdr:colOff>304800</xdr:colOff>
                <xdr:row>286</xdr:row>
                <xdr:rowOff>76200</xdr:rowOff>
              </from>
              <to>
                <xdr:col>18</xdr:col>
                <xdr:colOff>733425</xdr:colOff>
                <xdr:row>287</xdr:row>
                <xdr:rowOff>161925</xdr:rowOff>
              </to>
            </anchor>
          </objectPr>
        </oleObject>
      </mc:Choice>
      <mc:Fallback>
        <oleObject progId="Equation.DSMT4" shapeId="3488" r:id="rId430"/>
      </mc:Fallback>
    </mc:AlternateContent>
    <mc:AlternateContent xmlns:mc="http://schemas.openxmlformats.org/markup-compatibility/2006">
      <mc:Choice Requires="x14">
        <oleObject progId="Equation.DSMT4" shapeId="3489" r:id="rId431">
          <objectPr defaultSize="0" r:id="rId15">
            <anchor moveWithCells="1">
              <from>
                <xdr:col>2</xdr:col>
                <xdr:colOff>428625</xdr:colOff>
                <xdr:row>303</xdr:row>
                <xdr:rowOff>152400</xdr:rowOff>
              </from>
              <to>
                <xdr:col>2</xdr:col>
                <xdr:colOff>609600</xdr:colOff>
                <xdr:row>304</xdr:row>
                <xdr:rowOff>104775</xdr:rowOff>
              </to>
            </anchor>
          </objectPr>
        </oleObject>
      </mc:Choice>
      <mc:Fallback>
        <oleObject progId="Equation.DSMT4" shapeId="3489" r:id="rId431"/>
      </mc:Fallback>
    </mc:AlternateContent>
    <mc:AlternateContent xmlns:mc="http://schemas.openxmlformats.org/markup-compatibility/2006">
      <mc:Choice Requires="x14">
        <oleObject progId="Equation.DSMT4" shapeId="3490" r:id="rId432">
          <objectPr defaultSize="0" r:id="rId17">
            <anchor moveWithCells="1">
              <from>
                <xdr:col>3</xdr:col>
                <xdr:colOff>257175</xdr:colOff>
                <xdr:row>303</xdr:row>
                <xdr:rowOff>85725</xdr:rowOff>
              </from>
              <to>
                <xdr:col>3</xdr:col>
                <xdr:colOff>676275</xdr:colOff>
                <xdr:row>304</xdr:row>
                <xdr:rowOff>161925</xdr:rowOff>
              </to>
            </anchor>
          </objectPr>
        </oleObject>
      </mc:Choice>
      <mc:Fallback>
        <oleObject progId="Equation.DSMT4" shapeId="3490" r:id="rId432"/>
      </mc:Fallback>
    </mc:AlternateContent>
    <mc:AlternateContent xmlns:mc="http://schemas.openxmlformats.org/markup-compatibility/2006">
      <mc:Choice Requires="x14">
        <oleObject progId="Equation.DSMT4" shapeId="3491" r:id="rId433">
          <objectPr defaultSize="0" r:id="rId19">
            <anchor moveWithCells="1">
              <from>
                <xdr:col>2</xdr:col>
                <xdr:colOff>295275</xdr:colOff>
                <xdr:row>306</xdr:row>
                <xdr:rowOff>104775</xdr:rowOff>
              </from>
              <to>
                <xdr:col>2</xdr:col>
                <xdr:colOff>733425</xdr:colOff>
                <xdr:row>307</xdr:row>
                <xdr:rowOff>228600</xdr:rowOff>
              </to>
            </anchor>
          </objectPr>
        </oleObject>
      </mc:Choice>
      <mc:Fallback>
        <oleObject progId="Equation.DSMT4" shapeId="3491" r:id="rId433"/>
      </mc:Fallback>
    </mc:AlternateContent>
    <mc:AlternateContent xmlns:mc="http://schemas.openxmlformats.org/markup-compatibility/2006">
      <mc:Choice Requires="x14">
        <oleObject progId="Equation.DSMT4" shapeId="3492" r:id="rId434">
          <objectPr defaultSize="0" r:id="rId21">
            <anchor moveWithCells="1">
              <from>
                <xdr:col>3</xdr:col>
                <xdr:colOff>295275</xdr:colOff>
                <xdr:row>306</xdr:row>
                <xdr:rowOff>104775</xdr:rowOff>
              </from>
              <to>
                <xdr:col>3</xdr:col>
                <xdr:colOff>733425</xdr:colOff>
                <xdr:row>307</xdr:row>
                <xdr:rowOff>228600</xdr:rowOff>
              </to>
            </anchor>
          </objectPr>
        </oleObject>
      </mc:Choice>
      <mc:Fallback>
        <oleObject progId="Equation.DSMT4" shapeId="3492" r:id="rId434"/>
      </mc:Fallback>
    </mc:AlternateContent>
    <mc:AlternateContent xmlns:mc="http://schemas.openxmlformats.org/markup-compatibility/2006">
      <mc:Choice Requires="x14">
        <oleObject progId="Equation.DSMT4" shapeId="3493" r:id="rId435">
          <objectPr defaultSize="0" r:id="rId23">
            <anchor moveWithCells="1">
              <from>
                <xdr:col>4</xdr:col>
                <xdr:colOff>314325</xdr:colOff>
                <xdr:row>303</xdr:row>
                <xdr:rowOff>85725</xdr:rowOff>
              </from>
              <to>
                <xdr:col>4</xdr:col>
                <xdr:colOff>733425</xdr:colOff>
                <xdr:row>304</xdr:row>
                <xdr:rowOff>161925</xdr:rowOff>
              </to>
            </anchor>
          </objectPr>
        </oleObject>
      </mc:Choice>
      <mc:Fallback>
        <oleObject progId="Equation.DSMT4" shapeId="3493" r:id="rId435"/>
      </mc:Fallback>
    </mc:AlternateContent>
    <mc:AlternateContent xmlns:mc="http://schemas.openxmlformats.org/markup-compatibility/2006">
      <mc:Choice Requires="x14">
        <oleObject progId="Equation.DSMT4" shapeId="3494" r:id="rId436">
          <objectPr defaultSize="0" r:id="rId25">
            <anchor moveWithCells="1">
              <from>
                <xdr:col>4</xdr:col>
                <xdr:colOff>304800</xdr:colOff>
                <xdr:row>306</xdr:row>
                <xdr:rowOff>85725</xdr:rowOff>
              </from>
              <to>
                <xdr:col>4</xdr:col>
                <xdr:colOff>733425</xdr:colOff>
                <xdr:row>307</xdr:row>
                <xdr:rowOff>161925</xdr:rowOff>
              </to>
            </anchor>
          </objectPr>
        </oleObject>
      </mc:Choice>
      <mc:Fallback>
        <oleObject progId="Equation.DSMT4" shapeId="3494" r:id="rId436"/>
      </mc:Fallback>
    </mc:AlternateContent>
    <mc:AlternateContent xmlns:mc="http://schemas.openxmlformats.org/markup-compatibility/2006">
      <mc:Choice Requires="x14">
        <oleObject progId="Equation.DSMT4" shapeId="3495" r:id="rId437">
          <objectPr defaultSize="0" r:id="rId27">
            <anchor moveWithCells="1">
              <from>
                <xdr:col>7</xdr:col>
                <xdr:colOff>304800</xdr:colOff>
                <xdr:row>306</xdr:row>
                <xdr:rowOff>76200</xdr:rowOff>
              </from>
              <to>
                <xdr:col>7</xdr:col>
                <xdr:colOff>733425</xdr:colOff>
                <xdr:row>307</xdr:row>
                <xdr:rowOff>161925</xdr:rowOff>
              </to>
            </anchor>
          </objectPr>
        </oleObject>
      </mc:Choice>
      <mc:Fallback>
        <oleObject progId="Equation.DSMT4" shapeId="3495" r:id="rId437"/>
      </mc:Fallback>
    </mc:AlternateContent>
    <mc:AlternateContent xmlns:mc="http://schemas.openxmlformats.org/markup-compatibility/2006">
      <mc:Choice Requires="x14">
        <oleObject progId="Equation.DSMT4" shapeId="3496" r:id="rId438">
          <objectPr defaultSize="0" r:id="rId15">
            <anchor moveWithCells="1">
              <from>
                <xdr:col>13</xdr:col>
                <xdr:colOff>428625</xdr:colOff>
                <xdr:row>303</xdr:row>
                <xdr:rowOff>152400</xdr:rowOff>
              </from>
              <to>
                <xdr:col>13</xdr:col>
                <xdr:colOff>609600</xdr:colOff>
                <xdr:row>304</xdr:row>
                <xdr:rowOff>104775</xdr:rowOff>
              </to>
            </anchor>
          </objectPr>
        </oleObject>
      </mc:Choice>
      <mc:Fallback>
        <oleObject progId="Equation.DSMT4" shapeId="3496" r:id="rId438"/>
      </mc:Fallback>
    </mc:AlternateContent>
    <mc:AlternateContent xmlns:mc="http://schemas.openxmlformats.org/markup-compatibility/2006">
      <mc:Choice Requires="x14">
        <oleObject progId="Equation.DSMT4" shapeId="3497" r:id="rId439">
          <objectPr defaultSize="0" r:id="rId17">
            <anchor moveWithCells="1">
              <from>
                <xdr:col>14</xdr:col>
                <xdr:colOff>257175</xdr:colOff>
                <xdr:row>303</xdr:row>
                <xdr:rowOff>85725</xdr:rowOff>
              </from>
              <to>
                <xdr:col>14</xdr:col>
                <xdr:colOff>676275</xdr:colOff>
                <xdr:row>304</xdr:row>
                <xdr:rowOff>161925</xdr:rowOff>
              </to>
            </anchor>
          </objectPr>
        </oleObject>
      </mc:Choice>
      <mc:Fallback>
        <oleObject progId="Equation.DSMT4" shapeId="3497" r:id="rId439"/>
      </mc:Fallback>
    </mc:AlternateContent>
    <mc:AlternateContent xmlns:mc="http://schemas.openxmlformats.org/markup-compatibility/2006">
      <mc:Choice Requires="x14">
        <oleObject progId="Equation.DSMT4" shapeId="3498" r:id="rId440">
          <objectPr defaultSize="0" r:id="rId19">
            <anchor moveWithCells="1">
              <from>
                <xdr:col>13</xdr:col>
                <xdr:colOff>295275</xdr:colOff>
                <xdr:row>306</xdr:row>
                <xdr:rowOff>104775</xdr:rowOff>
              </from>
              <to>
                <xdr:col>13</xdr:col>
                <xdr:colOff>733425</xdr:colOff>
                <xdr:row>307</xdr:row>
                <xdr:rowOff>228600</xdr:rowOff>
              </to>
            </anchor>
          </objectPr>
        </oleObject>
      </mc:Choice>
      <mc:Fallback>
        <oleObject progId="Equation.DSMT4" shapeId="3498" r:id="rId440"/>
      </mc:Fallback>
    </mc:AlternateContent>
    <mc:AlternateContent xmlns:mc="http://schemas.openxmlformats.org/markup-compatibility/2006">
      <mc:Choice Requires="x14">
        <oleObject progId="Equation.DSMT4" shapeId="3499" r:id="rId441">
          <objectPr defaultSize="0" r:id="rId21">
            <anchor moveWithCells="1">
              <from>
                <xdr:col>14</xdr:col>
                <xdr:colOff>295275</xdr:colOff>
                <xdr:row>306</xdr:row>
                <xdr:rowOff>104775</xdr:rowOff>
              </from>
              <to>
                <xdr:col>14</xdr:col>
                <xdr:colOff>733425</xdr:colOff>
                <xdr:row>307</xdr:row>
                <xdr:rowOff>228600</xdr:rowOff>
              </to>
            </anchor>
          </objectPr>
        </oleObject>
      </mc:Choice>
      <mc:Fallback>
        <oleObject progId="Equation.DSMT4" shapeId="3499" r:id="rId441"/>
      </mc:Fallback>
    </mc:AlternateContent>
    <mc:AlternateContent xmlns:mc="http://schemas.openxmlformats.org/markup-compatibility/2006">
      <mc:Choice Requires="x14">
        <oleObject progId="Equation.DSMT4" shapeId="3500" r:id="rId442">
          <objectPr defaultSize="0" r:id="rId23">
            <anchor moveWithCells="1">
              <from>
                <xdr:col>15</xdr:col>
                <xdr:colOff>314325</xdr:colOff>
                <xdr:row>303</xdr:row>
                <xdr:rowOff>85725</xdr:rowOff>
              </from>
              <to>
                <xdr:col>15</xdr:col>
                <xdr:colOff>733425</xdr:colOff>
                <xdr:row>304</xdr:row>
                <xdr:rowOff>161925</xdr:rowOff>
              </to>
            </anchor>
          </objectPr>
        </oleObject>
      </mc:Choice>
      <mc:Fallback>
        <oleObject progId="Equation.DSMT4" shapeId="3500" r:id="rId442"/>
      </mc:Fallback>
    </mc:AlternateContent>
    <mc:AlternateContent xmlns:mc="http://schemas.openxmlformats.org/markup-compatibility/2006">
      <mc:Choice Requires="x14">
        <oleObject progId="Equation.DSMT4" shapeId="3501" r:id="rId443">
          <objectPr defaultSize="0" r:id="rId25">
            <anchor moveWithCells="1">
              <from>
                <xdr:col>15</xdr:col>
                <xdr:colOff>304800</xdr:colOff>
                <xdr:row>306</xdr:row>
                <xdr:rowOff>85725</xdr:rowOff>
              </from>
              <to>
                <xdr:col>15</xdr:col>
                <xdr:colOff>733425</xdr:colOff>
                <xdr:row>307</xdr:row>
                <xdr:rowOff>161925</xdr:rowOff>
              </to>
            </anchor>
          </objectPr>
        </oleObject>
      </mc:Choice>
      <mc:Fallback>
        <oleObject progId="Equation.DSMT4" shapeId="3501" r:id="rId443"/>
      </mc:Fallback>
    </mc:AlternateContent>
    <mc:AlternateContent xmlns:mc="http://schemas.openxmlformats.org/markup-compatibility/2006">
      <mc:Choice Requires="x14">
        <oleObject progId="Equation.DSMT4" shapeId="3502" r:id="rId444">
          <objectPr defaultSize="0" r:id="rId27">
            <anchor moveWithCells="1">
              <from>
                <xdr:col>18</xdr:col>
                <xdr:colOff>304800</xdr:colOff>
                <xdr:row>306</xdr:row>
                <xdr:rowOff>76200</xdr:rowOff>
              </from>
              <to>
                <xdr:col>18</xdr:col>
                <xdr:colOff>733425</xdr:colOff>
                <xdr:row>307</xdr:row>
                <xdr:rowOff>161925</xdr:rowOff>
              </to>
            </anchor>
          </objectPr>
        </oleObject>
      </mc:Choice>
      <mc:Fallback>
        <oleObject progId="Equation.DSMT4" shapeId="3502" r:id="rId444"/>
      </mc:Fallback>
    </mc:AlternateContent>
    <mc:AlternateContent xmlns:mc="http://schemas.openxmlformats.org/markup-compatibility/2006">
      <mc:Choice Requires="x14">
        <oleObject progId="Equation.DSMT4" shapeId="3503" r:id="rId445">
          <objectPr defaultSize="0" r:id="rId15">
            <anchor moveWithCells="1">
              <from>
                <xdr:col>2</xdr:col>
                <xdr:colOff>428625</xdr:colOff>
                <xdr:row>323</xdr:row>
                <xdr:rowOff>152400</xdr:rowOff>
              </from>
              <to>
                <xdr:col>2</xdr:col>
                <xdr:colOff>609600</xdr:colOff>
                <xdr:row>324</xdr:row>
                <xdr:rowOff>104775</xdr:rowOff>
              </to>
            </anchor>
          </objectPr>
        </oleObject>
      </mc:Choice>
      <mc:Fallback>
        <oleObject progId="Equation.DSMT4" shapeId="3503" r:id="rId445"/>
      </mc:Fallback>
    </mc:AlternateContent>
    <mc:AlternateContent xmlns:mc="http://schemas.openxmlformats.org/markup-compatibility/2006">
      <mc:Choice Requires="x14">
        <oleObject progId="Equation.DSMT4" shapeId="3504" r:id="rId446">
          <objectPr defaultSize="0" r:id="rId17">
            <anchor moveWithCells="1">
              <from>
                <xdr:col>3</xdr:col>
                <xdr:colOff>257175</xdr:colOff>
                <xdr:row>323</xdr:row>
                <xdr:rowOff>85725</xdr:rowOff>
              </from>
              <to>
                <xdr:col>3</xdr:col>
                <xdr:colOff>676275</xdr:colOff>
                <xdr:row>324</xdr:row>
                <xdr:rowOff>161925</xdr:rowOff>
              </to>
            </anchor>
          </objectPr>
        </oleObject>
      </mc:Choice>
      <mc:Fallback>
        <oleObject progId="Equation.DSMT4" shapeId="3504" r:id="rId446"/>
      </mc:Fallback>
    </mc:AlternateContent>
    <mc:AlternateContent xmlns:mc="http://schemas.openxmlformats.org/markup-compatibility/2006">
      <mc:Choice Requires="x14">
        <oleObject progId="Equation.DSMT4" shapeId="3505" r:id="rId447">
          <objectPr defaultSize="0" r:id="rId19">
            <anchor moveWithCells="1">
              <from>
                <xdr:col>2</xdr:col>
                <xdr:colOff>295275</xdr:colOff>
                <xdr:row>326</xdr:row>
                <xdr:rowOff>104775</xdr:rowOff>
              </from>
              <to>
                <xdr:col>2</xdr:col>
                <xdr:colOff>733425</xdr:colOff>
                <xdr:row>327</xdr:row>
                <xdr:rowOff>228600</xdr:rowOff>
              </to>
            </anchor>
          </objectPr>
        </oleObject>
      </mc:Choice>
      <mc:Fallback>
        <oleObject progId="Equation.DSMT4" shapeId="3505" r:id="rId447"/>
      </mc:Fallback>
    </mc:AlternateContent>
    <mc:AlternateContent xmlns:mc="http://schemas.openxmlformats.org/markup-compatibility/2006">
      <mc:Choice Requires="x14">
        <oleObject progId="Equation.DSMT4" shapeId="3506" r:id="rId448">
          <objectPr defaultSize="0" r:id="rId21">
            <anchor moveWithCells="1">
              <from>
                <xdr:col>3</xdr:col>
                <xdr:colOff>295275</xdr:colOff>
                <xdr:row>326</xdr:row>
                <xdr:rowOff>104775</xdr:rowOff>
              </from>
              <to>
                <xdr:col>3</xdr:col>
                <xdr:colOff>733425</xdr:colOff>
                <xdr:row>327</xdr:row>
                <xdr:rowOff>228600</xdr:rowOff>
              </to>
            </anchor>
          </objectPr>
        </oleObject>
      </mc:Choice>
      <mc:Fallback>
        <oleObject progId="Equation.DSMT4" shapeId="3506" r:id="rId448"/>
      </mc:Fallback>
    </mc:AlternateContent>
    <mc:AlternateContent xmlns:mc="http://schemas.openxmlformats.org/markup-compatibility/2006">
      <mc:Choice Requires="x14">
        <oleObject progId="Equation.DSMT4" shapeId="3507" r:id="rId449">
          <objectPr defaultSize="0" r:id="rId23">
            <anchor moveWithCells="1">
              <from>
                <xdr:col>4</xdr:col>
                <xdr:colOff>314325</xdr:colOff>
                <xdr:row>323</xdr:row>
                <xdr:rowOff>85725</xdr:rowOff>
              </from>
              <to>
                <xdr:col>4</xdr:col>
                <xdr:colOff>733425</xdr:colOff>
                <xdr:row>324</xdr:row>
                <xdr:rowOff>161925</xdr:rowOff>
              </to>
            </anchor>
          </objectPr>
        </oleObject>
      </mc:Choice>
      <mc:Fallback>
        <oleObject progId="Equation.DSMT4" shapeId="3507" r:id="rId449"/>
      </mc:Fallback>
    </mc:AlternateContent>
    <mc:AlternateContent xmlns:mc="http://schemas.openxmlformats.org/markup-compatibility/2006">
      <mc:Choice Requires="x14">
        <oleObject progId="Equation.DSMT4" shapeId="3508" r:id="rId450">
          <objectPr defaultSize="0" r:id="rId25">
            <anchor moveWithCells="1">
              <from>
                <xdr:col>4</xdr:col>
                <xdr:colOff>304800</xdr:colOff>
                <xdr:row>326</xdr:row>
                <xdr:rowOff>85725</xdr:rowOff>
              </from>
              <to>
                <xdr:col>4</xdr:col>
                <xdr:colOff>733425</xdr:colOff>
                <xdr:row>327</xdr:row>
                <xdr:rowOff>161925</xdr:rowOff>
              </to>
            </anchor>
          </objectPr>
        </oleObject>
      </mc:Choice>
      <mc:Fallback>
        <oleObject progId="Equation.DSMT4" shapeId="3508" r:id="rId450"/>
      </mc:Fallback>
    </mc:AlternateContent>
    <mc:AlternateContent xmlns:mc="http://schemas.openxmlformats.org/markup-compatibility/2006">
      <mc:Choice Requires="x14">
        <oleObject progId="Equation.DSMT4" shapeId="3509" r:id="rId451">
          <objectPr defaultSize="0" r:id="rId27">
            <anchor moveWithCells="1">
              <from>
                <xdr:col>7</xdr:col>
                <xdr:colOff>304800</xdr:colOff>
                <xdr:row>326</xdr:row>
                <xdr:rowOff>76200</xdr:rowOff>
              </from>
              <to>
                <xdr:col>7</xdr:col>
                <xdr:colOff>733425</xdr:colOff>
                <xdr:row>327</xdr:row>
                <xdr:rowOff>161925</xdr:rowOff>
              </to>
            </anchor>
          </objectPr>
        </oleObject>
      </mc:Choice>
      <mc:Fallback>
        <oleObject progId="Equation.DSMT4" shapeId="3509" r:id="rId451"/>
      </mc:Fallback>
    </mc:AlternateContent>
    <mc:AlternateContent xmlns:mc="http://schemas.openxmlformats.org/markup-compatibility/2006">
      <mc:Choice Requires="x14">
        <oleObject progId="Equation.DSMT4" shapeId="3510" r:id="rId452">
          <objectPr defaultSize="0" r:id="rId15">
            <anchor moveWithCells="1">
              <from>
                <xdr:col>13</xdr:col>
                <xdr:colOff>428625</xdr:colOff>
                <xdr:row>323</xdr:row>
                <xdr:rowOff>152400</xdr:rowOff>
              </from>
              <to>
                <xdr:col>13</xdr:col>
                <xdr:colOff>609600</xdr:colOff>
                <xdr:row>324</xdr:row>
                <xdr:rowOff>104775</xdr:rowOff>
              </to>
            </anchor>
          </objectPr>
        </oleObject>
      </mc:Choice>
      <mc:Fallback>
        <oleObject progId="Equation.DSMT4" shapeId="3510" r:id="rId452"/>
      </mc:Fallback>
    </mc:AlternateContent>
    <mc:AlternateContent xmlns:mc="http://schemas.openxmlformats.org/markup-compatibility/2006">
      <mc:Choice Requires="x14">
        <oleObject progId="Equation.DSMT4" shapeId="3511" r:id="rId453">
          <objectPr defaultSize="0" r:id="rId17">
            <anchor moveWithCells="1">
              <from>
                <xdr:col>14</xdr:col>
                <xdr:colOff>257175</xdr:colOff>
                <xdr:row>323</xdr:row>
                <xdr:rowOff>85725</xdr:rowOff>
              </from>
              <to>
                <xdr:col>14</xdr:col>
                <xdr:colOff>676275</xdr:colOff>
                <xdr:row>324</xdr:row>
                <xdr:rowOff>161925</xdr:rowOff>
              </to>
            </anchor>
          </objectPr>
        </oleObject>
      </mc:Choice>
      <mc:Fallback>
        <oleObject progId="Equation.DSMT4" shapeId="3511" r:id="rId453"/>
      </mc:Fallback>
    </mc:AlternateContent>
    <mc:AlternateContent xmlns:mc="http://schemas.openxmlformats.org/markup-compatibility/2006">
      <mc:Choice Requires="x14">
        <oleObject progId="Equation.DSMT4" shapeId="3512" r:id="rId454">
          <objectPr defaultSize="0" r:id="rId19">
            <anchor moveWithCells="1">
              <from>
                <xdr:col>13</xdr:col>
                <xdr:colOff>295275</xdr:colOff>
                <xdr:row>326</xdr:row>
                <xdr:rowOff>104775</xdr:rowOff>
              </from>
              <to>
                <xdr:col>13</xdr:col>
                <xdr:colOff>733425</xdr:colOff>
                <xdr:row>327</xdr:row>
                <xdr:rowOff>228600</xdr:rowOff>
              </to>
            </anchor>
          </objectPr>
        </oleObject>
      </mc:Choice>
      <mc:Fallback>
        <oleObject progId="Equation.DSMT4" shapeId="3512" r:id="rId454"/>
      </mc:Fallback>
    </mc:AlternateContent>
    <mc:AlternateContent xmlns:mc="http://schemas.openxmlformats.org/markup-compatibility/2006">
      <mc:Choice Requires="x14">
        <oleObject progId="Equation.DSMT4" shapeId="3513" r:id="rId455">
          <objectPr defaultSize="0" r:id="rId21">
            <anchor moveWithCells="1">
              <from>
                <xdr:col>14</xdr:col>
                <xdr:colOff>295275</xdr:colOff>
                <xdr:row>326</xdr:row>
                <xdr:rowOff>104775</xdr:rowOff>
              </from>
              <to>
                <xdr:col>14</xdr:col>
                <xdr:colOff>733425</xdr:colOff>
                <xdr:row>327</xdr:row>
                <xdr:rowOff>228600</xdr:rowOff>
              </to>
            </anchor>
          </objectPr>
        </oleObject>
      </mc:Choice>
      <mc:Fallback>
        <oleObject progId="Equation.DSMT4" shapeId="3513" r:id="rId455"/>
      </mc:Fallback>
    </mc:AlternateContent>
    <mc:AlternateContent xmlns:mc="http://schemas.openxmlformats.org/markup-compatibility/2006">
      <mc:Choice Requires="x14">
        <oleObject progId="Equation.DSMT4" shapeId="3514" r:id="rId456">
          <objectPr defaultSize="0" r:id="rId23">
            <anchor moveWithCells="1">
              <from>
                <xdr:col>15</xdr:col>
                <xdr:colOff>314325</xdr:colOff>
                <xdr:row>323</xdr:row>
                <xdr:rowOff>85725</xdr:rowOff>
              </from>
              <to>
                <xdr:col>15</xdr:col>
                <xdr:colOff>733425</xdr:colOff>
                <xdr:row>324</xdr:row>
                <xdr:rowOff>161925</xdr:rowOff>
              </to>
            </anchor>
          </objectPr>
        </oleObject>
      </mc:Choice>
      <mc:Fallback>
        <oleObject progId="Equation.DSMT4" shapeId="3514" r:id="rId456"/>
      </mc:Fallback>
    </mc:AlternateContent>
    <mc:AlternateContent xmlns:mc="http://schemas.openxmlformats.org/markup-compatibility/2006">
      <mc:Choice Requires="x14">
        <oleObject progId="Equation.DSMT4" shapeId="3515" r:id="rId457">
          <objectPr defaultSize="0" r:id="rId25">
            <anchor moveWithCells="1">
              <from>
                <xdr:col>15</xdr:col>
                <xdr:colOff>304800</xdr:colOff>
                <xdr:row>326</xdr:row>
                <xdr:rowOff>85725</xdr:rowOff>
              </from>
              <to>
                <xdr:col>15</xdr:col>
                <xdr:colOff>733425</xdr:colOff>
                <xdr:row>327</xdr:row>
                <xdr:rowOff>161925</xdr:rowOff>
              </to>
            </anchor>
          </objectPr>
        </oleObject>
      </mc:Choice>
      <mc:Fallback>
        <oleObject progId="Equation.DSMT4" shapeId="3515" r:id="rId457"/>
      </mc:Fallback>
    </mc:AlternateContent>
    <mc:AlternateContent xmlns:mc="http://schemas.openxmlformats.org/markup-compatibility/2006">
      <mc:Choice Requires="x14">
        <oleObject progId="Equation.DSMT4" shapeId="3516" r:id="rId458">
          <objectPr defaultSize="0" r:id="rId27">
            <anchor moveWithCells="1">
              <from>
                <xdr:col>18</xdr:col>
                <xdr:colOff>304800</xdr:colOff>
                <xdr:row>326</xdr:row>
                <xdr:rowOff>76200</xdr:rowOff>
              </from>
              <to>
                <xdr:col>18</xdr:col>
                <xdr:colOff>733425</xdr:colOff>
                <xdr:row>327</xdr:row>
                <xdr:rowOff>161925</xdr:rowOff>
              </to>
            </anchor>
          </objectPr>
        </oleObject>
      </mc:Choice>
      <mc:Fallback>
        <oleObject progId="Equation.DSMT4" shapeId="3516" r:id="rId458"/>
      </mc:Fallback>
    </mc:AlternateContent>
    <mc:AlternateContent xmlns:mc="http://schemas.openxmlformats.org/markup-compatibility/2006">
      <mc:Choice Requires="x14">
        <oleObject progId="Equation.DSMT4" shapeId="3517" r:id="rId459">
          <objectPr defaultSize="0" r:id="rId15">
            <anchor moveWithCells="1">
              <from>
                <xdr:col>2</xdr:col>
                <xdr:colOff>428625</xdr:colOff>
                <xdr:row>343</xdr:row>
                <xdr:rowOff>152400</xdr:rowOff>
              </from>
              <to>
                <xdr:col>2</xdr:col>
                <xdr:colOff>609600</xdr:colOff>
                <xdr:row>344</xdr:row>
                <xdr:rowOff>104775</xdr:rowOff>
              </to>
            </anchor>
          </objectPr>
        </oleObject>
      </mc:Choice>
      <mc:Fallback>
        <oleObject progId="Equation.DSMT4" shapeId="3517" r:id="rId459"/>
      </mc:Fallback>
    </mc:AlternateContent>
    <mc:AlternateContent xmlns:mc="http://schemas.openxmlformats.org/markup-compatibility/2006">
      <mc:Choice Requires="x14">
        <oleObject progId="Equation.DSMT4" shapeId="3518" r:id="rId460">
          <objectPr defaultSize="0" r:id="rId17">
            <anchor moveWithCells="1">
              <from>
                <xdr:col>3</xdr:col>
                <xdr:colOff>257175</xdr:colOff>
                <xdr:row>343</xdr:row>
                <xdr:rowOff>85725</xdr:rowOff>
              </from>
              <to>
                <xdr:col>3</xdr:col>
                <xdr:colOff>676275</xdr:colOff>
                <xdr:row>344</xdr:row>
                <xdr:rowOff>161925</xdr:rowOff>
              </to>
            </anchor>
          </objectPr>
        </oleObject>
      </mc:Choice>
      <mc:Fallback>
        <oleObject progId="Equation.DSMT4" shapeId="3518" r:id="rId460"/>
      </mc:Fallback>
    </mc:AlternateContent>
    <mc:AlternateContent xmlns:mc="http://schemas.openxmlformats.org/markup-compatibility/2006">
      <mc:Choice Requires="x14">
        <oleObject progId="Equation.DSMT4" shapeId="3519" r:id="rId461">
          <objectPr defaultSize="0" r:id="rId19">
            <anchor moveWithCells="1">
              <from>
                <xdr:col>2</xdr:col>
                <xdr:colOff>295275</xdr:colOff>
                <xdr:row>346</xdr:row>
                <xdr:rowOff>104775</xdr:rowOff>
              </from>
              <to>
                <xdr:col>2</xdr:col>
                <xdr:colOff>733425</xdr:colOff>
                <xdr:row>347</xdr:row>
                <xdr:rowOff>228600</xdr:rowOff>
              </to>
            </anchor>
          </objectPr>
        </oleObject>
      </mc:Choice>
      <mc:Fallback>
        <oleObject progId="Equation.DSMT4" shapeId="3519" r:id="rId461"/>
      </mc:Fallback>
    </mc:AlternateContent>
    <mc:AlternateContent xmlns:mc="http://schemas.openxmlformats.org/markup-compatibility/2006">
      <mc:Choice Requires="x14">
        <oleObject progId="Equation.DSMT4" shapeId="3520" r:id="rId462">
          <objectPr defaultSize="0" r:id="rId21">
            <anchor moveWithCells="1">
              <from>
                <xdr:col>3</xdr:col>
                <xdr:colOff>295275</xdr:colOff>
                <xdr:row>346</xdr:row>
                <xdr:rowOff>104775</xdr:rowOff>
              </from>
              <to>
                <xdr:col>3</xdr:col>
                <xdr:colOff>733425</xdr:colOff>
                <xdr:row>347</xdr:row>
                <xdr:rowOff>228600</xdr:rowOff>
              </to>
            </anchor>
          </objectPr>
        </oleObject>
      </mc:Choice>
      <mc:Fallback>
        <oleObject progId="Equation.DSMT4" shapeId="3520" r:id="rId462"/>
      </mc:Fallback>
    </mc:AlternateContent>
    <mc:AlternateContent xmlns:mc="http://schemas.openxmlformats.org/markup-compatibility/2006">
      <mc:Choice Requires="x14">
        <oleObject progId="Equation.DSMT4" shapeId="3521" r:id="rId463">
          <objectPr defaultSize="0" r:id="rId23">
            <anchor moveWithCells="1">
              <from>
                <xdr:col>4</xdr:col>
                <xdr:colOff>314325</xdr:colOff>
                <xdr:row>343</xdr:row>
                <xdr:rowOff>85725</xdr:rowOff>
              </from>
              <to>
                <xdr:col>4</xdr:col>
                <xdr:colOff>733425</xdr:colOff>
                <xdr:row>344</xdr:row>
                <xdr:rowOff>161925</xdr:rowOff>
              </to>
            </anchor>
          </objectPr>
        </oleObject>
      </mc:Choice>
      <mc:Fallback>
        <oleObject progId="Equation.DSMT4" shapeId="3521" r:id="rId463"/>
      </mc:Fallback>
    </mc:AlternateContent>
    <mc:AlternateContent xmlns:mc="http://schemas.openxmlformats.org/markup-compatibility/2006">
      <mc:Choice Requires="x14">
        <oleObject progId="Equation.DSMT4" shapeId="3522" r:id="rId464">
          <objectPr defaultSize="0" r:id="rId25">
            <anchor moveWithCells="1">
              <from>
                <xdr:col>4</xdr:col>
                <xdr:colOff>304800</xdr:colOff>
                <xdr:row>346</xdr:row>
                <xdr:rowOff>85725</xdr:rowOff>
              </from>
              <to>
                <xdr:col>4</xdr:col>
                <xdr:colOff>733425</xdr:colOff>
                <xdr:row>347</xdr:row>
                <xdr:rowOff>161925</xdr:rowOff>
              </to>
            </anchor>
          </objectPr>
        </oleObject>
      </mc:Choice>
      <mc:Fallback>
        <oleObject progId="Equation.DSMT4" shapeId="3522" r:id="rId464"/>
      </mc:Fallback>
    </mc:AlternateContent>
    <mc:AlternateContent xmlns:mc="http://schemas.openxmlformats.org/markup-compatibility/2006">
      <mc:Choice Requires="x14">
        <oleObject progId="Equation.DSMT4" shapeId="3523" r:id="rId465">
          <objectPr defaultSize="0" r:id="rId27">
            <anchor moveWithCells="1">
              <from>
                <xdr:col>7</xdr:col>
                <xdr:colOff>304800</xdr:colOff>
                <xdr:row>346</xdr:row>
                <xdr:rowOff>76200</xdr:rowOff>
              </from>
              <to>
                <xdr:col>7</xdr:col>
                <xdr:colOff>733425</xdr:colOff>
                <xdr:row>347</xdr:row>
                <xdr:rowOff>161925</xdr:rowOff>
              </to>
            </anchor>
          </objectPr>
        </oleObject>
      </mc:Choice>
      <mc:Fallback>
        <oleObject progId="Equation.DSMT4" shapeId="3523" r:id="rId465"/>
      </mc:Fallback>
    </mc:AlternateContent>
    <mc:AlternateContent xmlns:mc="http://schemas.openxmlformats.org/markup-compatibility/2006">
      <mc:Choice Requires="x14">
        <oleObject progId="Equation.DSMT4" shapeId="3524" r:id="rId466">
          <objectPr defaultSize="0" r:id="rId15">
            <anchor moveWithCells="1">
              <from>
                <xdr:col>13</xdr:col>
                <xdr:colOff>428625</xdr:colOff>
                <xdr:row>343</xdr:row>
                <xdr:rowOff>152400</xdr:rowOff>
              </from>
              <to>
                <xdr:col>13</xdr:col>
                <xdr:colOff>609600</xdr:colOff>
                <xdr:row>344</xdr:row>
                <xdr:rowOff>104775</xdr:rowOff>
              </to>
            </anchor>
          </objectPr>
        </oleObject>
      </mc:Choice>
      <mc:Fallback>
        <oleObject progId="Equation.DSMT4" shapeId="3524" r:id="rId466"/>
      </mc:Fallback>
    </mc:AlternateContent>
    <mc:AlternateContent xmlns:mc="http://schemas.openxmlformats.org/markup-compatibility/2006">
      <mc:Choice Requires="x14">
        <oleObject progId="Equation.DSMT4" shapeId="3525" r:id="rId467">
          <objectPr defaultSize="0" r:id="rId17">
            <anchor moveWithCells="1">
              <from>
                <xdr:col>14</xdr:col>
                <xdr:colOff>257175</xdr:colOff>
                <xdr:row>343</xdr:row>
                <xdr:rowOff>85725</xdr:rowOff>
              </from>
              <to>
                <xdr:col>14</xdr:col>
                <xdr:colOff>676275</xdr:colOff>
                <xdr:row>344</xdr:row>
                <xdr:rowOff>161925</xdr:rowOff>
              </to>
            </anchor>
          </objectPr>
        </oleObject>
      </mc:Choice>
      <mc:Fallback>
        <oleObject progId="Equation.DSMT4" shapeId="3525" r:id="rId467"/>
      </mc:Fallback>
    </mc:AlternateContent>
    <mc:AlternateContent xmlns:mc="http://schemas.openxmlformats.org/markup-compatibility/2006">
      <mc:Choice Requires="x14">
        <oleObject progId="Equation.DSMT4" shapeId="3526" r:id="rId468">
          <objectPr defaultSize="0" r:id="rId19">
            <anchor moveWithCells="1">
              <from>
                <xdr:col>13</xdr:col>
                <xdr:colOff>295275</xdr:colOff>
                <xdr:row>346</xdr:row>
                <xdr:rowOff>104775</xdr:rowOff>
              </from>
              <to>
                <xdr:col>13</xdr:col>
                <xdr:colOff>733425</xdr:colOff>
                <xdr:row>347</xdr:row>
                <xdr:rowOff>228600</xdr:rowOff>
              </to>
            </anchor>
          </objectPr>
        </oleObject>
      </mc:Choice>
      <mc:Fallback>
        <oleObject progId="Equation.DSMT4" shapeId="3526" r:id="rId468"/>
      </mc:Fallback>
    </mc:AlternateContent>
    <mc:AlternateContent xmlns:mc="http://schemas.openxmlformats.org/markup-compatibility/2006">
      <mc:Choice Requires="x14">
        <oleObject progId="Equation.DSMT4" shapeId="3527" r:id="rId469">
          <objectPr defaultSize="0" r:id="rId21">
            <anchor moveWithCells="1">
              <from>
                <xdr:col>14</xdr:col>
                <xdr:colOff>295275</xdr:colOff>
                <xdr:row>346</xdr:row>
                <xdr:rowOff>104775</xdr:rowOff>
              </from>
              <to>
                <xdr:col>14</xdr:col>
                <xdr:colOff>733425</xdr:colOff>
                <xdr:row>347</xdr:row>
                <xdr:rowOff>228600</xdr:rowOff>
              </to>
            </anchor>
          </objectPr>
        </oleObject>
      </mc:Choice>
      <mc:Fallback>
        <oleObject progId="Equation.DSMT4" shapeId="3527" r:id="rId469"/>
      </mc:Fallback>
    </mc:AlternateContent>
    <mc:AlternateContent xmlns:mc="http://schemas.openxmlformats.org/markup-compatibility/2006">
      <mc:Choice Requires="x14">
        <oleObject progId="Equation.DSMT4" shapeId="3528" r:id="rId470">
          <objectPr defaultSize="0" r:id="rId23">
            <anchor moveWithCells="1">
              <from>
                <xdr:col>15</xdr:col>
                <xdr:colOff>314325</xdr:colOff>
                <xdr:row>343</xdr:row>
                <xdr:rowOff>85725</xdr:rowOff>
              </from>
              <to>
                <xdr:col>15</xdr:col>
                <xdr:colOff>733425</xdr:colOff>
                <xdr:row>344</xdr:row>
                <xdr:rowOff>161925</xdr:rowOff>
              </to>
            </anchor>
          </objectPr>
        </oleObject>
      </mc:Choice>
      <mc:Fallback>
        <oleObject progId="Equation.DSMT4" shapeId="3528" r:id="rId470"/>
      </mc:Fallback>
    </mc:AlternateContent>
    <mc:AlternateContent xmlns:mc="http://schemas.openxmlformats.org/markup-compatibility/2006">
      <mc:Choice Requires="x14">
        <oleObject progId="Equation.DSMT4" shapeId="3529" r:id="rId471">
          <objectPr defaultSize="0" r:id="rId25">
            <anchor moveWithCells="1">
              <from>
                <xdr:col>15</xdr:col>
                <xdr:colOff>304800</xdr:colOff>
                <xdr:row>346</xdr:row>
                <xdr:rowOff>85725</xdr:rowOff>
              </from>
              <to>
                <xdr:col>15</xdr:col>
                <xdr:colOff>733425</xdr:colOff>
                <xdr:row>347</xdr:row>
                <xdr:rowOff>161925</xdr:rowOff>
              </to>
            </anchor>
          </objectPr>
        </oleObject>
      </mc:Choice>
      <mc:Fallback>
        <oleObject progId="Equation.DSMT4" shapeId="3529" r:id="rId471"/>
      </mc:Fallback>
    </mc:AlternateContent>
    <mc:AlternateContent xmlns:mc="http://schemas.openxmlformats.org/markup-compatibility/2006">
      <mc:Choice Requires="x14">
        <oleObject progId="Equation.DSMT4" shapeId="3530" r:id="rId472">
          <objectPr defaultSize="0" r:id="rId27">
            <anchor moveWithCells="1">
              <from>
                <xdr:col>18</xdr:col>
                <xdr:colOff>304800</xdr:colOff>
                <xdr:row>346</xdr:row>
                <xdr:rowOff>76200</xdr:rowOff>
              </from>
              <to>
                <xdr:col>18</xdr:col>
                <xdr:colOff>733425</xdr:colOff>
                <xdr:row>347</xdr:row>
                <xdr:rowOff>161925</xdr:rowOff>
              </to>
            </anchor>
          </objectPr>
        </oleObject>
      </mc:Choice>
      <mc:Fallback>
        <oleObject progId="Equation.DSMT4" shapeId="3530" r:id="rId472"/>
      </mc:Fallback>
    </mc:AlternateContent>
    <mc:AlternateContent xmlns:mc="http://schemas.openxmlformats.org/markup-compatibility/2006">
      <mc:Choice Requires="x14">
        <oleObject progId="Equation.DSMT4" shapeId="3531" r:id="rId473">
          <objectPr defaultSize="0" r:id="rId4">
            <anchor moveWithCells="1">
              <from>
                <xdr:col>32</xdr:col>
                <xdr:colOff>304800</xdr:colOff>
                <xdr:row>45</xdr:row>
                <xdr:rowOff>76200</xdr:rowOff>
              </from>
              <to>
                <xdr:col>32</xdr:col>
                <xdr:colOff>714375</xdr:colOff>
                <xdr:row>46</xdr:row>
                <xdr:rowOff>142875</xdr:rowOff>
              </to>
            </anchor>
          </objectPr>
        </oleObject>
      </mc:Choice>
      <mc:Fallback>
        <oleObject progId="Equation.DSMT4" shapeId="3531" r:id="rId473"/>
      </mc:Fallback>
    </mc:AlternateContent>
    <mc:AlternateContent xmlns:mc="http://schemas.openxmlformats.org/markup-compatibility/2006">
      <mc:Choice Requires="x14">
        <oleObject progId="Equation.DSMT4" shapeId="3532" r:id="rId474">
          <objectPr defaultSize="0" r:id="rId4">
            <anchor moveWithCells="1">
              <from>
                <xdr:col>36</xdr:col>
                <xdr:colOff>304800</xdr:colOff>
                <xdr:row>45</xdr:row>
                <xdr:rowOff>76200</xdr:rowOff>
              </from>
              <to>
                <xdr:col>36</xdr:col>
                <xdr:colOff>714375</xdr:colOff>
                <xdr:row>46</xdr:row>
                <xdr:rowOff>142875</xdr:rowOff>
              </to>
            </anchor>
          </objectPr>
        </oleObject>
      </mc:Choice>
      <mc:Fallback>
        <oleObject progId="Equation.DSMT4" shapeId="3532" r:id="rId474"/>
      </mc:Fallback>
    </mc:AlternateContent>
  </oleObjects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12"/>
  <sheetViews>
    <sheetView showGridLines="0" showRowColHeaders="0" zoomScale="125" zoomScaleNormal="125" zoomScalePageLayoutView="125" workbookViewId="0">
      <selection activeCell="B6" sqref="B6"/>
    </sheetView>
  </sheetViews>
  <sheetFormatPr baseColWidth="10" defaultRowHeight="15" x14ac:dyDescent="0.25"/>
  <cols>
    <col min="1" max="1" width="3" customWidth="1"/>
    <col min="2" max="9" width="10.7109375" customWidth="1"/>
    <col min="10" max="12" width="20.7109375" customWidth="1"/>
    <col min="13" max="13" width="11.42578125" customWidth="1"/>
  </cols>
  <sheetData>
    <row r="2" spans="2:13" x14ac:dyDescent="0.25">
      <c r="B2" s="335" t="s">
        <v>243</v>
      </c>
      <c r="C2" s="335"/>
      <c r="D2" s="335"/>
      <c r="E2" s="335"/>
      <c r="F2" s="335"/>
      <c r="G2" s="335"/>
      <c r="H2" s="335"/>
      <c r="I2" s="335"/>
      <c r="J2" s="335"/>
      <c r="K2" s="335"/>
      <c r="L2" s="335"/>
      <c r="M2" s="261"/>
    </row>
    <row r="3" spans="2:13" ht="15" customHeight="1" x14ac:dyDescent="0.25">
      <c r="B3" s="333" t="s">
        <v>227</v>
      </c>
      <c r="C3" s="333" t="s">
        <v>228</v>
      </c>
      <c r="D3" s="333"/>
      <c r="E3" s="333" t="s">
        <v>229</v>
      </c>
      <c r="F3" s="333"/>
      <c r="G3" s="333" t="s">
        <v>230</v>
      </c>
      <c r="H3" s="336" t="s">
        <v>221</v>
      </c>
      <c r="I3" s="336"/>
      <c r="J3" s="333" t="s">
        <v>231</v>
      </c>
      <c r="K3" s="333" t="s">
        <v>222</v>
      </c>
      <c r="L3" s="333" t="s">
        <v>232</v>
      </c>
      <c r="M3" s="247"/>
    </row>
    <row r="4" spans="2:13" x14ac:dyDescent="0.25">
      <c r="B4" s="333"/>
      <c r="C4" s="333"/>
      <c r="D4" s="333"/>
      <c r="E4" s="333"/>
      <c r="F4" s="333"/>
      <c r="G4" s="333"/>
      <c r="H4" s="336"/>
      <c r="I4" s="336"/>
      <c r="J4" s="333"/>
      <c r="K4" s="333"/>
      <c r="L4" s="333"/>
      <c r="M4" s="247"/>
    </row>
    <row r="5" spans="2:13" x14ac:dyDescent="0.25">
      <c r="B5" s="334"/>
      <c r="C5" s="334"/>
      <c r="D5" s="334"/>
      <c r="E5" s="334"/>
      <c r="F5" s="334"/>
      <c r="G5" s="334"/>
      <c r="H5" s="337"/>
      <c r="I5" s="337"/>
      <c r="J5" s="334"/>
      <c r="K5" s="334"/>
      <c r="L5" s="334"/>
      <c r="M5" s="247"/>
    </row>
    <row r="6" spans="2:13" x14ac:dyDescent="0.25">
      <c r="B6" s="256" t="str">
        <f>IF('Control Solar 1er Sem'!N14=0,"Sur",IF('Control Solar 1er Sem'!N14=90,"Este",IF('Control Solar 1er Sem'!N14=-90,"Oeste",IF('Control Solar 1er Sem'!N14=180,"Norte",'Control Solar 1er Sem'!N14))))</f>
        <v>Sur</v>
      </c>
      <c r="C6" s="330" t="s">
        <v>225</v>
      </c>
      <c r="D6" s="330"/>
      <c r="E6" s="330" t="s">
        <v>226</v>
      </c>
      <c r="F6" s="330"/>
      <c r="G6" s="257"/>
      <c r="H6" s="330" t="s">
        <v>233</v>
      </c>
      <c r="I6" s="330"/>
      <c r="J6" s="256" t="s">
        <v>234</v>
      </c>
      <c r="K6" s="256" t="s">
        <v>235</v>
      </c>
      <c r="L6" s="256" t="s">
        <v>236</v>
      </c>
      <c r="M6" s="254"/>
    </row>
    <row r="7" spans="2:13" x14ac:dyDescent="0.25">
      <c r="B7" s="258"/>
      <c r="C7" s="331">
        <f>'Control Solar 1er Sem'!AB5+'Control Solar 2do Sem'!AB5</f>
        <v>1092</v>
      </c>
      <c r="D7" s="331"/>
      <c r="E7" s="331">
        <f>'Control Solar 1er Sem'!AB6+'Control Solar 2do Sem'!AB6</f>
        <v>3653</v>
      </c>
      <c r="F7" s="331"/>
      <c r="G7" s="259">
        <v>40</v>
      </c>
      <c r="H7" s="332">
        <f>'Control Solar 1er Sem'!V11*'CS 1er sem datos'!$R$165+'Control Solar 1er Sem'!W11*'CS 1er sem datos'!$S$165+'Control Solar 1er Sem'!X11*'CS 1er sem datos'!$T$165+'Control Solar 1er Sem'!Y11*'CS 1er sem datos'!$U$165+'Control Solar 1er Sem'!Z11*'CS 1er sem datos'!$V$165+'Control Solar 1er Sem'!AA11*'CS 1er sem datos'!$W$165+'Control Solar 2do Sem'!V11*'CS 1er sem datos'!$X$165+'Control Solar 2do Sem'!W11*'CS 1er sem datos'!$Y$165+'Control Solar 2do Sem'!X11*'CS 1er sem datos'!$Z$165+'Control Solar 2do Sem'!Y11*'CS 1er sem datos'!$AA$165+'Control Solar 2do Sem'!Z11*'CS 1er sem datos'!$AB$165+'Control Solar 2do Sem'!AA11*'CS 1er sem datos'!$AC$165</f>
        <v>425</v>
      </c>
      <c r="I7" s="332"/>
      <c r="J7" s="260">
        <f>(1-(H7/$E$7))*100</f>
        <v>88.365726799890496</v>
      </c>
      <c r="K7" s="259">
        <f>'Control Solar 1er Sem'!V19*'CS 1er sem datos'!$R$165+'Control Solar 1er Sem'!W19*'CS 1er sem datos'!$S$165+'Control Solar 1er Sem'!X19*'CS 1er sem datos'!$T$165+'Control Solar 1er Sem'!Y19*'CS 1er sem datos'!$U$165+'Control Solar 1er Sem'!Z19*'CS 1er sem datos'!$V$165+'Control Solar 1er Sem'!AA19*'CS 1er sem datos'!$W$165+'Control Solar 2do Sem'!V19*'CS 1er sem datos'!$X$165+'Control Solar 2do Sem'!W19*'CS 1er sem datos'!$Y$165+'Control Solar 2do Sem'!X19*'CS 1er sem datos'!$Z$165+'Control Solar 2do Sem'!Y19*'CS 1er sem datos'!$AA$165+'Control Solar 2do Sem'!Z19*'CS 1er sem datos'!$AB$165+'Control Solar 2do Sem'!AA19*'CS 1er sem datos'!$AC$165</f>
        <v>440.5</v>
      </c>
      <c r="L7" s="260">
        <f>+(K7/$C$7)*100</f>
        <v>40.338827838827839</v>
      </c>
      <c r="M7" s="255"/>
    </row>
    <row r="8" spans="2:13" x14ac:dyDescent="0.25">
      <c r="B8" s="258"/>
      <c r="C8" s="331"/>
      <c r="D8" s="331"/>
      <c r="E8" s="331"/>
      <c r="F8" s="331"/>
      <c r="G8" s="259">
        <v>50</v>
      </c>
      <c r="H8" s="331">
        <f>'Control Solar 1er Sem'!V12*'CS 1er sem datos'!$R$165+'Control Solar 1er Sem'!W12*'CS 1er sem datos'!$S$165+'Control Solar 1er Sem'!X12*'CS 1er sem datos'!$T$165+'Control Solar 1er Sem'!Y12*'CS 1er sem datos'!$U$165+'Control Solar 1er Sem'!Z12*'CS 1er sem datos'!$V$165+'Control Solar 1er Sem'!AA12*'CS 1er sem datos'!$W$165+'Control Solar 2do Sem'!V12*'CS 1er sem datos'!$X$165+'Control Solar 2do Sem'!W12*'CS 1er sem datos'!$Y$165+'Control Solar 2do Sem'!X12*'CS 1er sem datos'!$Z$165+'Control Solar 2do Sem'!Y12*'CS 1er sem datos'!$AA$165+'Control Solar 2do Sem'!Z12*'CS 1er sem datos'!$AB$165+'Control Solar 2do Sem'!AA12*'CS 1er sem datos'!$AC$165</f>
        <v>813</v>
      </c>
      <c r="I8" s="331"/>
      <c r="J8" s="260">
        <f t="shared" ref="J8:J12" si="0">(1-(H8/$E$7))*100</f>
        <v>77.744319737202304</v>
      </c>
      <c r="K8" s="259">
        <f>'Control Solar 1er Sem'!V20*'CS 1er sem datos'!$R$165+'Control Solar 1er Sem'!W20*'CS 1er sem datos'!$S$165+'Control Solar 1er Sem'!X20*'CS 1er sem datos'!$T$165+'Control Solar 1er Sem'!Y20*'CS 1er sem datos'!$U$165+'Control Solar 1er Sem'!Z20*'CS 1er sem datos'!$V$165+'Control Solar 1er Sem'!AA20*'CS 1er sem datos'!$W$165+'Control Solar 2do Sem'!V20*'CS 1er sem datos'!$X$165+'Control Solar 2do Sem'!W20*'CS 1er sem datos'!$Y$165+'Control Solar 2do Sem'!X20*'CS 1er sem datos'!$Z$165+'Control Solar 2do Sem'!Y20*'CS 1er sem datos'!$AA$165+'Control Solar 2do Sem'!Z20*'CS 1er sem datos'!$AB$165+'Control Solar 2do Sem'!AA20*'CS 1er sem datos'!$AC$165</f>
        <v>635</v>
      </c>
      <c r="L8" s="260">
        <f t="shared" ref="L8:L12" si="1">+(K8/$C$7)*100</f>
        <v>58.150183150183153</v>
      </c>
      <c r="M8" s="255"/>
    </row>
    <row r="9" spans="2:13" x14ac:dyDescent="0.25">
      <c r="B9" s="258"/>
      <c r="C9" s="331"/>
      <c r="D9" s="331"/>
      <c r="E9" s="331"/>
      <c r="F9" s="331"/>
      <c r="G9" s="259">
        <v>60</v>
      </c>
      <c r="H9" s="331">
        <f>'Control Solar 1er Sem'!V13*'CS 1er sem datos'!$R$165+'Control Solar 1er Sem'!W13*'CS 1er sem datos'!$S$165+'Control Solar 1er Sem'!X13*'CS 1er sem datos'!$T$165+'Control Solar 1er Sem'!Y13*'CS 1er sem datos'!$U$165+'Control Solar 1er Sem'!Z13*'CS 1er sem datos'!$V$165+'Control Solar 1er Sem'!AA13*'CS 1er sem datos'!$W$165+'Control Solar 2do Sem'!V13*'CS 1er sem datos'!$X$165+'Control Solar 2do Sem'!W13*'CS 1er sem datos'!$Y$165+'Control Solar 2do Sem'!X13*'CS 1er sem datos'!$Z$165+'Control Solar 2do Sem'!Y13*'CS 1er sem datos'!$AA$165+'Control Solar 2do Sem'!Z13*'CS 1er sem datos'!$AB$165+'Control Solar 2do Sem'!AA13*'CS 1er sem datos'!$AC$165</f>
        <v>1120</v>
      </c>
      <c r="I9" s="331"/>
      <c r="J9" s="260">
        <f t="shared" si="0"/>
        <v>69.340268272652622</v>
      </c>
      <c r="K9" s="259">
        <f>'Control Solar 1er Sem'!V21*'CS 1er sem datos'!$R$165+'Control Solar 1er Sem'!W21*'CS 1er sem datos'!$S$165+'Control Solar 1er Sem'!X21*'CS 1er sem datos'!$T$165+'Control Solar 1er Sem'!Y21*'CS 1er sem datos'!$U$165+'Control Solar 1er Sem'!Z21*'CS 1er sem datos'!$V$165+'Control Solar 1er Sem'!AA21*'CS 1er sem datos'!$W$165+'Control Solar 2do Sem'!V21*'CS 1er sem datos'!$X$165+'Control Solar 2do Sem'!W21*'CS 1er sem datos'!$Y$165+'Control Solar 2do Sem'!X21*'CS 1er sem datos'!$Z$165+'Control Solar 2do Sem'!Y21*'CS 1er sem datos'!$AA$165+'Control Solar 2do Sem'!Z21*'CS 1er sem datos'!$AB$165+'Control Solar 2do Sem'!AA21*'CS 1er sem datos'!$AC$165</f>
        <v>742</v>
      </c>
      <c r="L9" s="260">
        <f t="shared" si="1"/>
        <v>67.948717948717956</v>
      </c>
      <c r="M9" s="255"/>
    </row>
    <row r="10" spans="2:13" x14ac:dyDescent="0.25">
      <c r="B10" s="258"/>
      <c r="C10" s="331"/>
      <c r="D10" s="331"/>
      <c r="E10" s="331"/>
      <c r="F10" s="331"/>
      <c r="G10" s="259">
        <v>70</v>
      </c>
      <c r="H10" s="331">
        <f>'Control Solar 1er Sem'!V14*'CS 1er sem datos'!$R$165+'Control Solar 1er Sem'!W14*'CS 1er sem datos'!$S$165+'Control Solar 1er Sem'!X14*'CS 1er sem datos'!$T$165+'Control Solar 1er Sem'!Y14*'CS 1er sem datos'!$U$165+'Control Solar 1er Sem'!Z14*'CS 1er sem datos'!$V$165+'Control Solar 1er Sem'!AA14*'CS 1er sem datos'!$W$165+'Control Solar 2do Sem'!V14*'CS 1er sem datos'!$X$165+'Control Solar 2do Sem'!W14*'CS 1er sem datos'!$Y$165+'Control Solar 2do Sem'!X14*'CS 1er sem datos'!$Z$165+'Control Solar 2do Sem'!Y14*'CS 1er sem datos'!$AA$165+'Control Solar 2do Sem'!Z14*'CS 1er sem datos'!$AB$165+'Control Solar 2do Sem'!AA14*'CS 1er sem datos'!$AC$165</f>
        <v>1424</v>
      </c>
      <c r="I10" s="331"/>
      <c r="J10" s="260">
        <f t="shared" si="0"/>
        <v>61.018341089515474</v>
      </c>
      <c r="K10" s="259">
        <f>'Control Solar 1er Sem'!V22*'CS 1er sem datos'!$R$165+'Control Solar 1er Sem'!W22*'CS 1er sem datos'!$S$165+'Control Solar 1er Sem'!X22*'CS 1er sem datos'!$T$165+'Control Solar 1er Sem'!Y22*'CS 1er sem datos'!$U$165+'Control Solar 1er Sem'!Z22*'CS 1er sem datos'!$V$165+'Control Solar 1er Sem'!AA22*'CS 1er sem datos'!$W$165+'Control Solar 2do Sem'!V22*'CS 1er sem datos'!$X$165+'Control Solar 2do Sem'!W22*'CS 1er sem datos'!$Y$165+'Control Solar 2do Sem'!X22*'CS 1er sem datos'!$Z$165+'Control Solar 2do Sem'!Y22*'CS 1er sem datos'!$AA$165+'Control Solar 2do Sem'!Z22*'CS 1er sem datos'!$AB$165+'Control Solar 2do Sem'!AA22*'CS 1er sem datos'!$AC$165</f>
        <v>988</v>
      </c>
      <c r="L10" s="260">
        <f t="shared" si="1"/>
        <v>90.476190476190482</v>
      </c>
      <c r="M10" s="255"/>
    </row>
    <row r="11" spans="2:13" x14ac:dyDescent="0.25">
      <c r="B11" s="258"/>
      <c r="C11" s="331"/>
      <c r="D11" s="331"/>
      <c r="E11" s="331"/>
      <c r="F11" s="331"/>
      <c r="G11" s="259">
        <v>80</v>
      </c>
      <c r="H11" s="331">
        <f>'Control Solar 1er Sem'!V15*'CS 1er sem datos'!$R$165+'Control Solar 1er Sem'!W15*'CS 1er sem datos'!$S$165+'Control Solar 1er Sem'!X15*'CS 1er sem datos'!$T$165+'Control Solar 1er Sem'!Y15*'CS 1er sem datos'!$U$165+'Control Solar 1er Sem'!Z15*'CS 1er sem datos'!$V$165+'Control Solar 1er Sem'!AA15*'CS 1er sem datos'!$W$165+'Control Solar 2do Sem'!V15*'CS 1er sem datos'!$X$165+'Control Solar 2do Sem'!W15*'CS 1er sem datos'!$Y$165+'Control Solar 2do Sem'!X15*'CS 1er sem datos'!$Z$165+'Control Solar 2do Sem'!Y15*'CS 1er sem datos'!$AA$165+'Control Solar 2do Sem'!Z15*'CS 1er sem datos'!$AB$165+'Control Solar 2do Sem'!AA15*'CS 1er sem datos'!$AC$165</f>
        <v>1880.5</v>
      </c>
      <c r="I11" s="331"/>
      <c r="J11" s="260">
        <f t="shared" si="0"/>
        <v>48.521762934574319</v>
      </c>
      <c r="K11" s="259">
        <f>'Control Solar 1er Sem'!V23*'CS 1er sem datos'!$R$165+'Control Solar 1er Sem'!W23*'CS 1er sem datos'!$S$165+'Control Solar 1er Sem'!X23*'CS 1er sem datos'!$T$165+'Control Solar 1er Sem'!Y23*'CS 1er sem datos'!$U$165+'Control Solar 1er Sem'!Z23*'CS 1er sem datos'!$V$165+'Control Solar 1er Sem'!AA23*'CS 1er sem datos'!$W$165+'Control Solar 2do Sem'!V23*'CS 1er sem datos'!$X$165+'Control Solar 2do Sem'!W23*'CS 1er sem datos'!$Y$165+'Control Solar 2do Sem'!X23*'CS 1er sem datos'!$Z$165+'Control Solar 2do Sem'!Y23*'CS 1er sem datos'!$AA$165+'Control Solar 2do Sem'!Z23*'CS 1er sem datos'!$AB$165+'Control Solar 2do Sem'!AA23*'CS 1er sem datos'!$AC$165</f>
        <v>1018</v>
      </c>
      <c r="L11" s="260">
        <f t="shared" si="1"/>
        <v>93.223443223443226</v>
      </c>
      <c r="M11" s="255"/>
    </row>
    <row r="12" spans="2:13" x14ac:dyDescent="0.25">
      <c r="B12" s="257"/>
      <c r="C12" s="330"/>
      <c r="D12" s="330"/>
      <c r="E12" s="330"/>
      <c r="F12" s="330"/>
      <c r="G12" s="256">
        <v>90</v>
      </c>
      <c r="H12" s="330">
        <f>'Control Solar 1er Sem'!V16*'CS 1er sem datos'!$R$165+'Control Solar 1er Sem'!W16*'CS 1er sem datos'!$S$165+'Control Solar 1er Sem'!X16*'CS 1er sem datos'!$T$165+'Control Solar 1er Sem'!Y16*'CS 1er sem datos'!$U$165+'Control Solar 1er Sem'!Z16*'CS 1er sem datos'!$V$165+'Control Solar 1er Sem'!AA16*'CS 1er sem datos'!$W$165+'Control Solar 2do Sem'!V16*'CS 1er sem datos'!$X$165+'Control Solar 2do Sem'!W16*'CS 1er sem datos'!$Y$165+'Control Solar 2do Sem'!X16*'CS 1er sem datos'!$Z$165+'Control Solar 2do Sem'!Y16*'CS 1er sem datos'!$AA$165+'Control Solar 2do Sem'!Z16*'CS 1er sem datos'!$AB$165+'Control Solar 2do Sem'!AA16*'CS 1er sem datos'!$AC$165</f>
        <v>2541</v>
      </c>
      <c r="I12" s="330"/>
      <c r="J12" s="262">
        <f t="shared" si="0"/>
        <v>30.440733643580622</v>
      </c>
      <c r="K12" s="256">
        <f>'Control Solar 1er Sem'!V24*'CS 1er sem datos'!$R$165+'Control Solar 1er Sem'!W24*'CS 1er sem datos'!$S$165+'Control Solar 1er Sem'!X24*'CS 1er sem datos'!$T$165+'Control Solar 1er Sem'!Y24*'CS 1er sem datos'!$U$165+'Control Solar 1er Sem'!Z24*'CS 1er sem datos'!$V$165+'Control Solar 1er Sem'!AA24*'CS 1er sem datos'!$W$165+'Control Solar 2do Sem'!V24*'CS 1er sem datos'!$X$165+'Control Solar 2do Sem'!W24*'CS 1er sem datos'!$Y$165+'Control Solar 2do Sem'!X24*'CS 1er sem datos'!$Z$165+'Control Solar 2do Sem'!Y24*'CS 1er sem datos'!$AA$165+'Control Solar 2do Sem'!Z24*'CS 1er sem datos'!$AB$165+'Control Solar 2do Sem'!AA24*'CS 1er sem datos'!$AC$165</f>
        <v>1033</v>
      </c>
      <c r="L12" s="262">
        <f t="shared" si="1"/>
        <v>94.597069597069591</v>
      </c>
      <c r="M12" s="255"/>
    </row>
  </sheetData>
  <sheetProtection password="E6CB" sheet="1" objects="1" scenarios="1"/>
  <mergeCells count="30">
    <mergeCell ref="B3:B5"/>
    <mergeCell ref="C3:D5"/>
    <mergeCell ref="B2:L2"/>
    <mergeCell ref="C6:D6"/>
    <mergeCell ref="E6:F6"/>
    <mergeCell ref="H6:I6"/>
    <mergeCell ref="E3:F5"/>
    <mergeCell ref="G3:G5"/>
    <mergeCell ref="H3:I5"/>
    <mergeCell ref="J3:J5"/>
    <mergeCell ref="K3:K5"/>
    <mergeCell ref="L3:L5"/>
    <mergeCell ref="C8:D8"/>
    <mergeCell ref="E8:F8"/>
    <mergeCell ref="H8:I8"/>
    <mergeCell ref="C7:D7"/>
    <mergeCell ref="E7:F7"/>
    <mergeCell ref="H7:I7"/>
    <mergeCell ref="C12:D12"/>
    <mergeCell ref="E12:F12"/>
    <mergeCell ref="H12:I12"/>
    <mergeCell ref="C9:D9"/>
    <mergeCell ref="E9:F9"/>
    <mergeCell ref="H9:I9"/>
    <mergeCell ref="C11:D11"/>
    <mergeCell ref="E11:F11"/>
    <mergeCell ref="H11:I11"/>
    <mergeCell ref="C10:D10"/>
    <mergeCell ref="E10:F10"/>
    <mergeCell ref="H10:I10"/>
  </mergeCells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12"/>
  <sheetViews>
    <sheetView showGridLines="0" showRowColHeaders="0" zoomScale="125" zoomScaleNormal="125" zoomScalePageLayoutView="125" workbookViewId="0">
      <selection activeCell="B7" sqref="B7"/>
    </sheetView>
  </sheetViews>
  <sheetFormatPr baseColWidth="10" defaultRowHeight="15" x14ac:dyDescent="0.25"/>
  <cols>
    <col min="1" max="1" width="3" customWidth="1"/>
    <col min="2" max="9" width="10.7109375" customWidth="1"/>
    <col min="10" max="12" width="20.7109375" customWidth="1"/>
    <col min="13" max="13" width="11.42578125" customWidth="1"/>
  </cols>
  <sheetData>
    <row r="2" spans="2:13" x14ac:dyDescent="0.25">
      <c r="B2" s="335" t="s">
        <v>250</v>
      </c>
      <c r="C2" s="335"/>
      <c r="D2" s="335"/>
      <c r="E2" s="335"/>
      <c r="F2" s="335"/>
      <c r="G2" s="335"/>
      <c r="H2" s="335"/>
      <c r="I2" s="335"/>
      <c r="J2" s="335"/>
      <c r="K2" s="335"/>
      <c r="L2" s="335"/>
      <c r="M2" s="261"/>
    </row>
    <row r="3" spans="2:13" ht="15" customHeight="1" x14ac:dyDescent="0.25">
      <c r="B3" s="333" t="s">
        <v>227</v>
      </c>
      <c r="C3" s="333" t="s">
        <v>228</v>
      </c>
      <c r="D3" s="333"/>
      <c r="E3" s="333" t="s">
        <v>229</v>
      </c>
      <c r="F3" s="333"/>
      <c r="G3" s="333" t="s">
        <v>251</v>
      </c>
      <c r="H3" s="336" t="s">
        <v>221</v>
      </c>
      <c r="I3" s="336"/>
      <c r="J3" s="333" t="s">
        <v>231</v>
      </c>
      <c r="K3" s="333" t="s">
        <v>222</v>
      </c>
      <c r="L3" s="333" t="s">
        <v>232</v>
      </c>
      <c r="M3" s="247"/>
    </row>
    <row r="4" spans="2:13" x14ac:dyDescent="0.25">
      <c r="B4" s="333"/>
      <c r="C4" s="333"/>
      <c r="D4" s="333"/>
      <c r="E4" s="333"/>
      <c r="F4" s="333"/>
      <c r="G4" s="333"/>
      <c r="H4" s="336"/>
      <c r="I4" s="336"/>
      <c r="J4" s="333"/>
      <c r="K4" s="333"/>
      <c r="L4" s="333"/>
      <c r="M4" s="247"/>
    </row>
    <row r="5" spans="2:13" x14ac:dyDescent="0.25">
      <c r="B5" s="334"/>
      <c r="C5" s="334"/>
      <c r="D5" s="334"/>
      <c r="E5" s="334"/>
      <c r="F5" s="334"/>
      <c r="G5" s="334"/>
      <c r="H5" s="337"/>
      <c r="I5" s="337"/>
      <c r="J5" s="334"/>
      <c r="K5" s="334"/>
      <c r="L5" s="334"/>
      <c r="M5" s="247"/>
    </row>
    <row r="6" spans="2:13" x14ac:dyDescent="0.25">
      <c r="B6" s="274" t="str">
        <f>IF('Control Solar 1er Sem'!N28=0,"Sur",IF('Control Solar 1er Sem'!N28=90,"Este",IF('Control Solar 1er Sem'!N28=-90,"Oeste",IF('Control Solar 1er Sem'!N28=180,"Norte",'Control Solar 1er Sem'!N28))))</f>
        <v>Sur</v>
      </c>
      <c r="C6" s="330" t="s">
        <v>225</v>
      </c>
      <c r="D6" s="330"/>
      <c r="E6" s="330" t="s">
        <v>226</v>
      </c>
      <c r="F6" s="330"/>
      <c r="G6" s="257"/>
      <c r="H6" s="330" t="s">
        <v>233</v>
      </c>
      <c r="I6" s="330"/>
      <c r="J6" s="274" t="s">
        <v>234</v>
      </c>
      <c r="K6" s="274" t="s">
        <v>235</v>
      </c>
      <c r="L6" s="274" t="s">
        <v>236</v>
      </c>
      <c r="M6" s="254"/>
    </row>
    <row r="7" spans="2:13" x14ac:dyDescent="0.25">
      <c r="B7" s="258"/>
      <c r="C7" s="331">
        <f>'Control Solar 1er Sem'!AB5+'Control Solar 2do Sem'!AB5</f>
        <v>1092</v>
      </c>
      <c r="D7" s="331"/>
      <c r="E7" s="331">
        <f>'Control Solar 1er Sem'!AB6+'Control Solar 2do Sem'!AB6</f>
        <v>3653</v>
      </c>
      <c r="F7" s="331"/>
      <c r="G7" s="275">
        <v>0</v>
      </c>
      <c r="H7" s="332">
        <f>'Control Solar 1er Sem'!V29*'CS 1er sem datos'!$R$165+'Control Solar 1er Sem'!W29*'CS 1er sem datos'!$S$165+'Control Solar 1er Sem'!X29*'CS 1er sem datos'!$T$165+'Control Solar 1er Sem'!Y29*'CS 1er sem datos'!$U$165+'Control Solar 1er Sem'!Z29*'CS 1er sem datos'!$V$165+'Control Solar 1er Sem'!AA29*'CS 1er sem datos'!$W$165+'Control Solar 2do Sem'!V29*'CS 1er sem datos'!$X$165+'Control Solar 2do Sem'!W29*'CS 1er sem datos'!$Y$165+'Control Solar 2do Sem'!X29*'CS 1er sem datos'!$Z$165+'Control Solar 2do Sem'!Y29*'CS 1er sem datos'!$AA$165+'Control Solar 2do Sem'!Z29*'CS 1er sem datos'!$AB$165+'Control Solar 2do Sem'!AA29*'CS 1er sem datos'!$AC$165</f>
        <v>2541</v>
      </c>
      <c r="I7" s="332"/>
      <c r="J7" s="260">
        <f>(1-(H7/$E$7))*100</f>
        <v>30.440733643580622</v>
      </c>
      <c r="K7" s="275">
        <f>'Control Solar 1er Sem'!V37*'CS 1er sem datos'!$R$165+'Control Solar 1er Sem'!W37*'CS 1er sem datos'!$S$165+'Control Solar 1er Sem'!X37*'CS 1er sem datos'!$T$165+'Control Solar 1er Sem'!Y37*'CS 1er sem datos'!$U$165+'Control Solar 1er Sem'!Z37*'CS 1er sem datos'!$V$165+'Control Solar 1er Sem'!AA37*'CS 1er sem datos'!$W$165+'Control Solar 2do Sem'!V37*'CS 1er sem datos'!$X$165+'Control Solar 2do Sem'!W37*'CS 1er sem datos'!$Y$165+'Control Solar 2do Sem'!X37*'CS 1er sem datos'!$Z$165+'Control Solar 2do Sem'!Y37*'CS 1er sem datos'!$AA$165+'Control Solar 2do Sem'!Z37*'CS 1er sem datos'!$AB$165+'Control Solar 2do Sem'!AA37*'CS 1er sem datos'!$AC$165</f>
        <v>849</v>
      </c>
      <c r="L7" s="260">
        <f>+(K7/$C$7)*100</f>
        <v>77.747252747252745</v>
      </c>
      <c r="M7" s="255"/>
    </row>
    <row r="8" spans="2:13" x14ac:dyDescent="0.25">
      <c r="B8" s="258"/>
      <c r="C8" s="331"/>
      <c r="D8" s="331"/>
      <c r="E8" s="331"/>
      <c r="F8" s="331"/>
      <c r="G8" s="275">
        <v>10</v>
      </c>
      <c r="H8" s="331">
        <f>'Control Solar 1er Sem'!V30*'CS 1er sem datos'!$R$165+'Control Solar 1er Sem'!W30*'CS 1er sem datos'!$S$165+'Control Solar 1er Sem'!X30*'CS 1er sem datos'!$T$165+'Control Solar 1er Sem'!Y30*'CS 1er sem datos'!$U$165+'Control Solar 1er Sem'!Z30*'CS 1er sem datos'!$V$165+'Control Solar 1er Sem'!AA30*'CS 1er sem datos'!$W$165+'Control Solar 2do Sem'!V30*'CS 1er sem datos'!$X$165+'Control Solar 2do Sem'!W30*'CS 1er sem datos'!$Y$165+'Control Solar 2do Sem'!X30*'CS 1er sem datos'!$Z$165+'Control Solar 2do Sem'!Y30*'CS 1er sem datos'!$AA$165+'Control Solar 2do Sem'!Z30*'CS 1er sem datos'!$AB$165+'Control Solar 2do Sem'!AA30*'CS 1er sem datos'!$AC$165</f>
        <v>2112</v>
      </c>
      <c r="I8" s="331"/>
      <c r="J8" s="260">
        <f t="shared" ref="J8:J12" si="0">(1-(H8/$E$7))*100</f>
        <v>42.1845058855735</v>
      </c>
      <c r="K8" s="275">
        <f>'Control Solar 1er Sem'!V38*'CS 1er sem datos'!$R$165+'Control Solar 1er Sem'!W38*'CS 1er sem datos'!$S$165+'Control Solar 1er Sem'!X38*'CS 1er sem datos'!$T$165+'Control Solar 1er Sem'!Y38*'CS 1er sem datos'!$U$165+'Control Solar 1er Sem'!Z38*'CS 1er sem datos'!$V$165+'Control Solar 1er Sem'!AA38*'CS 1er sem datos'!$W$165+'Control Solar 2do Sem'!V38*'CS 1er sem datos'!$X$165+'Control Solar 2do Sem'!W38*'CS 1er sem datos'!$Y$165+'Control Solar 2do Sem'!X38*'CS 1er sem datos'!$Z$165+'Control Solar 2do Sem'!Y38*'CS 1er sem datos'!$AA$165+'Control Solar 2do Sem'!Z38*'CS 1er sem datos'!$AB$165+'Control Solar 2do Sem'!AA38*'CS 1er sem datos'!$AC$165</f>
        <v>757</v>
      </c>
      <c r="L8" s="260">
        <f t="shared" ref="L8:L12" si="1">+(K8/$C$7)*100</f>
        <v>69.322344322344321</v>
      </c>
      <c r="M8" s="255"/>
    </row>
    <row r="9" spans="2:13" x14ac:dyDescent="0.25">
      <c r="B9" s="258"/>
      <c r="C9" s="331"/>
      <c r="D9" s="331"/>
      <c r="E9" s="331"/>
      <c r="F9" s="331"/>
      <c r="G9" s="275">
        <v>20</v>
      </c>
      <c r="H9" s="331">
        <f>'Control Solar 1er Sem'!V31*'CS 1er sem datos'!$R$165+'Control Solar 1er Sem'!W31*'CS 1er sem datos'!$S$165+'Control Solar 1er Sem'!X31*'CS 1er sem datos'!$T$165+'Control Solar 1er Sem'!Y31*'CS 1er sem datos'!$U$165+'Control Solar 1er Sem'!Z31*'CS 1er sem datos'!$V$165+'Control Solar 1er Sem'!AA31*'CS 1er sem datos'!$W$165+'Control Solar 2do Sem'!V31*'CS 1er sem datos'!$X$165+'Control Solar 2do Sem'!W31*'CS 1er sem datos'!$Y$165+'Control Solar 2do Sem'!X31*'CS 1er sem datos'!$Z$165+'Control Solar 2do Sem'!Y31*'CS 1er sem datos'!$AA$165+'Control Solar 2do Sem'!Z31*'CS 1er sem datos'!$AB$165+'Control Solar 2do Sem'!AA31*'CS 1er sem datos'!$AC$165</f>
        <v>1746</v>
      </c>
      <c r="I9" s="331"/>
      <c r="J9" s="260">
        <f t="shared" si="0"/>
        <v>52.2036682179031</v>
      </c>
      <c r="K9" s="275">
        <f>'Control Solar 1er Sem'!V39*'CS 1er sem datos'!$R$165+'Control Solar 1er Sem'!W39*'CS 1er sem datos'!$S$165+'Control Solar 1er Sem'!X39*'CS 1er sem datos'!$T$165+'Control Solar 1er Sem'!Y39*'CS 1er sem datos'!$U$165+'Control Solar 1er Sem'!Z39*'CS 1er sem datos'!$V$165+'Control Solar 1er Sem'!AA39*'CS 1er sem datos'!$W$165+'Control Solar 2do Sem'!V39*'CS 1er sem datos'!$X$165+'Control Solar 2do Sem'!W39*'CS 1er sem datos'!$Y$165+'Control Solar 2do Sem'!X39*'CS 1er sem datos'!$Z$165+'Control Solar 2do Sem'!Y39*'CS 1er sem datos'!$AA$165+'Control Solar 2do Sem'!Z39*'CS 1er sem datos'!$AB$165+'Control Solar 2do Sem'!AA39*'CS 1er sem datos'!$AC$165</f>
        <v>652</v>
      </c>
      <c r="L9" s="260">
        <f t="shared" si="1"/>
        <v>59.706959706959708</v>
      </c>
      <c r="M9" s="255"/>
    </row>
    <row r="10" spans="2:13" x14ac:dyDescent="0.25">
      <c r="B10" s="258"/>
      <c r="C10" s="331"/>
      <c r="D10" s="331"/>
      <c r="E10" s="331"/>
      <c r="F10" s="331"/>
      <c r="G10" s="275">
        <v>30</v>
      </c>
      <c r="H10" s="331">
        <f>'Control Solar 1er Sem'!V32*'CS 1er sem datos'!$R$165+'Control Solar 1er Sem'!W32*'CS 1er sem datos'!$S$165+'Control Solar 1er Sem'!X32*'CS 1er sem datos'!$T$165+'Control Solar 1er Sem'!Y32*'CS 1er sem datos'!$U$165+'Control Solar 1er Sem'!Z32*'CS 1er sem datos'!$V$165+'Control Solar 1er Sem'!AA32*'CS 1er sem datos'!$W$165+'Control Solar 2do Sem'!V32*'CS 1er sem datos'!$X$165+'Control Solar 2do Sem'!W32*'CS 1er sem datos'!$Y$165+'Control Solar 2do Sem'!X32*'CS 1er sem datos'!$Z$165+'Control Solar 2do Sem'!Y32*'CS 1er sem datos'!$AA$165+'Control Solar 2do Sem'!Z32*'CS 1er sem datos'!$AB$165+'Control Solar 2do Sem'!AA32*'CS 1er sem datos'!$AC$165</f>
        <v>1352</v>
      </c>
      <c r="I10" s="331"/>
      <c r="J10" s="260">
        <f t="shared" si="0"/>
        <v>62.989323843416379</v>
      </c>
      <c r="K10" s="275">
        <f>'Control Solar 1er Sem'!V40*'CS 1er sem datos'!$R$165+'Control Solar 1er Sem'!W40*'CS 1er sem datos'!$S$165+'Control Solar 1er Sem'!X40*'CS 1er sem datos'!$T$165+'Control Solar 1er Sem'!Y40*'CS 1er sem datos'!$U$165+'Control Solar 1er Sem'!Z40*'CS 1er sem datos'!$V$165+'Control Solar 1er Sem'!AA40*'CS 1er sem datos'!$W$165+'Control Solar 2do Sem'!V40*'CS 1er sem datos'!$X$165+'Control Solar 2do Sem'!W40*'CS 1er sem datos'!$Y$165+'Control Solar 2do Sem'!X40*'CS 1er sem datos'!$Z$165+'Control Solar 2do Sem'!Y40*'CS 1er sem datos'!$AA$165+'Control Solar 2do Sem'!Z40*'CS 1er sem datos'!$AB$165+'Control Solar 2do Sem'!AA40*'CS 1er sem datos'!$AC$165</f>
        <v>501</v>
      </c>
      <c r="L10" s="260">
        <f t="shared" si="1"/>
        <v>45.879120879120876</v>
      </c>
      <c r="M10" s="255"/>
    </row>
    <row r="11" spans="2:13" x14ac:dyDescent="0.25">
      <c r="B11" s="258"/>
      <c r="C11" s="331"/>
      <c r="D11" s="331"/>
      <c r="E11" s="331"/>
      <c r="F11" s="331"/>
      <c r="G11" s="275">
        <v>40</v>
      </c>
      <c r="H11" s="331">
        <f>'Control Solar 1er Sem'!V33*'CS 1er sem datos'!$R$165+'Control Solar 1er Sem'!W33*'CS 1er sem datos'!$S$165+'Control Solar 1er Sem'!X33*'CS 1er sem datos'!$T$165+'Control Solar 1er Sem'!Y33*'CS 1er sem datos'!$U$165+'Control Solar 1er Sem'!Z33*'CS 1er sem datos'!$V$165+'Control Solar 1er Sem'!AA33*'CS 1er sem datos'!$W$165+'Control Solar 2do Sem'!V33*'CS 1er sem datos'!$X$165+'Control Solar 2do Sem'!W33*'CS 1er sem datos'!$Y$165+'Control Solar 2do Sem'!X33*'CS 1er sem datos'!$Z$165+'Control Solar 2do Sem'!Y33*'CS 1er sem datos'!$AA$165+'Control Solar 2do Sem'!Z33*'CS 1er sem datos'!$AB$165+'Control Solar 2do Sem'!AA33*'CS 1er sem datos'!$AC$165</f>
        <v>1048</v>
      </c>
      <c r="I11" s="331"/>
      <c r="J11" s="260">
        <f t="shared" si="0"/>
        <v>71.311251026553506</v>
      </c>
      <c r="K11" s="275">
        <f>'Control Solar 1er Sem'!V41*'CS 1er sem datos'!$R$165+'Control Solar 1er Sem'!W41*'CS 1er sem datos'!$S$165+'Control Solar 1er Sem'!X41*'CS 1er sem datos'!$T$165+'Control Solar 1er Sem'!Y41*'CS 1er sem datos'!$U$165+'Control Solar 1er Sem'!Z41*'CS 1er sem datos'!$V$165+'Control Solar 1er Sem'!AA41*'CS 1er sem datos'!$W$165+'Control Solar 2do Sem'!V41*'CS 1er sem datos'!$X$165+'Control Solar 2do Sem'!W41*'CS 1er sem datos'!$Y$165+'Control Solar 2do Sem'!X41*'CS 1er sem datos'!$Z$165+'Control Solar 2do Sem'!Y41*'CS 1er sem datos'!$AA$165+'Control Solar 2do Sem'!Z41*'CS 1er sem datos'!$AB$165+'Control Solar 2do Sem'!AA41*'CS 1er sem datos'!$AC$165</f>
        <v>333</v>
      </c>
      <c r="L11" s="260">
        <f t="shared" si="1"/>
        <v>30.494505494505496</v>
      </c>
      <c r="M11" s="255"/>
    </row>
    <row r="12" spans="2:13" x14ac:dyDescent="0.25">
      <c r="B12" s="257"/>
      <c r="C12" s="330"/>
      <c r="D12" s="330"/>
      <c r="E12" s="330"/>
      <c r="F12" s="330"/>
      <c r="G12" s="274">
        <v>50</v>
      </c>
      <c r="H12" s="330">
        <f>'Control Solar 1er Sem'!V34*'CS 1er sem datos'!$R$165+'Control Solar 1er Sem'!W34*'CS 1er sem datos'!$S$165+'Control Solar 1er Sem'!X34*'CS 1er sem datos'!$T$165+'Control Solar 1er Sem'!Y34*'CS 1er sem datos'!$U$165+'Control Solar 1er Sem'!Z34*'CS 1er sem datos'!$V$165+'Control Solar 1er Sem'!AA34*'CS 1er sem datos'!$W$165+'Control Solar 2do Sem'!V34*'CS 1er sem datos'!$X$165+'Control Solar 2do Sem'!W34*'CS 1er sem datos'!$Y$165+'Control Solar 2do Sem'!X34*'CS 1er sem datos'!$Z$165+'Control Solar 2do Sem'!Y34*'CS 1er sem datos'!$AA$165+'Control Solar 2do Sem'!Z34*'CS 1er sem datos'!$AB$165+'Control Solar 2do Sem'!AA34*'CS 1er sem datos'!$AC$165</f>
        <v>804</v>
      </c>
      <c r="I12" s="330"/>
      <c r="J12" s="262">
        <f t="shared" si="0"/>
        <v>77.990692581439916</v>
      </c>
      <c r="K12" s="274">
        <f>'Control Solar 1er Sem'!V42*'CS 1er sem datos'!$R$165+'Control Solar 1er Sem'!W42*'CS 1er sem datos'!$S$165+'Control Solar 1er Sem'!X42*'CS 1er sem datos'!$T$165+'Control Solar 1er Sem'!Y42*'CS 1er sem datos'!$U$165+'Control Solar 1er Sem'!Z42*'CS 1er sem datos'!$V$165+'Control Solar 1er Sem'!AA42*'CS 1er sem datos'!$W$165+'Control Solar 2do Sem'!V42*'CS 1er sem datos'!$X$165+'Control Solar 2do Sem'!W42*'CS 1er sem datos'!$Y$165+'Control Solar 2do Sem'!X42*'CS 1er sem datos'!$Z$165+'Control Solar 2do Sem'!Y42*'CS 1er sem datos'!$AA$165+'Control Solar 2do Sem'!Z42*'CS 1er sem datos'!$AB$165+'Control Solar 2do Sem'!AA42*'CS 1er sem datos'!$AC$165</f>
        <v>228</v>
      </c>
      <c r="L12" s="262">
        <f t="shared" si="1"/>
        <v>20.87912087912088</v>
      </c>
      <c r="M12" s="255"/>
    </row>
  </sheetData>
  <sheetProtection password="E6CB" sheet="1" objects="1" scenarios="1"/>
  <mergeCells count="30">
    <mergeCell ref="B2:L2"/>
    <mergeCell ref="B3:B5"/>
    <mergeCell ref="C3:D5"/>
    <mergeCell ref="E3:F5"/>
    <mergeCell ref="G3:G5"/>
    <mergeCell ref="H3:I5"/>
    <mergeCell ref="J3:J5"/>
    <mergeCell ref="K3:K5"/>
    <mergeCell ref="L3:L5"/>
    <mergeCell ref="C6:D6"/>
    <mergeCell ref="E6:F6"/>
    <mergeCell ref="H6:I6"/>
    <mergeCell ref="C7:D7"/>
    <mergeCell ref="E7:F7"/>
    <mergeCell ref="H7:I7"/>
    <mergeCell ref="C8:D8"/>
    <mergeCell ref="E8:F8"/>
    <mergeCell ref="H8:I8"/>
    <mergeCell ref="C9:D9"/>
    <mergeCell ref="E9:F9"/>
    <mergeCell ref="H9:I9"/>
    <mergeCell ref="C12:D12"/>
    <mergeCell ref="E12:F12"/>
    <mergeCell ref="H12:I12"/>
    <mergeCell ref="C10:D10"/>
    <mergeCell ref="E10:F10"/>
    <mergeCell ref="H10:I10"/>
    <mergeCell ref="C11:D11"/>
    <mergeCell ref="E11:F11"/>
    <mergeCell ref="H11:I11"/>
  </mergeCells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93"/>
  <sheetViews>
    <sheetView showGridLines="0" showRowColHeaders="0" workbookViewId="0">
      <selection activeCell="B40" sqref="B40"/>
    </sheetView>
  </sheetViews>
  <sheetFormatPr baseColWidth="10" defaultRowHeight="15" x14ac:dyDescent="0.25"/>
  <cols>
    <col min="1" max="1" width="3" customWidth="1"/>
    <col min="2" max="2" width="12.7109375" style="98" customWidth="1"/>
  </cols>
  <sheetData>
    <row r="1" spans="2:14" x14ac:dyDescent="0.25">
      <c r="B1" s="196"/>
    </row>
    <row r="2" spans="2:14" x14ac:dyDescent="0.25">
      <c r="B2" s="297" t="s">
        <v>206</v>
      </c>
      <c r="C2" s="297"/>
      <c r="D2" s="297"/>
      <c r="E2" s="297"/>
      <c r="F2" s="297"/>
      <c r="G2" s="297"/>
      <c r="H2" s="297"/>
      <c r="I2" s="297"/>
      <c r="J2" s="297"/>
      <c r="K2" s="297"/>
      <c r="L2" s="297"/>
      <c r="M2" s="297"/>
      <c r="N2" s="297"/>
    </row>
    <row r="3" spans="2:14" x14ac:dyDescent="0.25">
      <c r="B3" s="298" t="s">
        <v>1</v>
      </c>
      <c r="C3" s="299"/>
      <c r="D3" s="213" t="str">
        <f>'Datos Entrada'!D8</f>
        <v>Hermosillo, Son.</v>
      </c>
      <c r="E3" s="214"/>
      <c r="F3" s="298" t="s">
        <v>170</v>
      </c>
      <c r="G3" s="299"/>
      <c r="H3" s="216">
        <f>'Datos Entrada'!H8</f>
        <v>29.08</v>
      </c>
      <c r="I3" s="298" t="s">
        <v>202</v>
      </c>
      <c r="J3" s="299"/>
      <c r="K3" s="215">
        <f>'Datos Entrada'!K8</f>
        <v>-110.93</v>
      </c>
      <c r="L3" s="298" t="s">
        <v>201</v>
      </c>
      <c r="M3" s="299"/>
      <c r="N3" s="215">
        <f>'Datos Entrada'!N8</f>
        <v>211</v>
      </c>
    </row>
    <row r="4" spans="2:14" x14ac:dyDescent="0.25">
      <c r="B4" s="306" t="s">
        <v>254</v>
      </c>
      <c r="C4" s="307"/>
      <c r="D4" s="307"/>
      <c r="E4" s="307"/>
      <c r="F4" s="307"/>
      <c r="G4" s="307"/>
      <c r="H4" s="307"/>
      <c r="I4" s="307"/>
      <c r="J4" s="307"/>
      <c r="K4" s="307"/>
      <c r="L4" s="307"/>
      <c r="M4" s="307"/>
      <c r="N4" s="308"/>
    </row>
    <row r="5" spans="2:14" x14ac:dyDescent="0.25">
      <c r="B5" s="210" t="s">
        <v>91</v>
      </c>
      <c r="C5" s="211" t="s">
        <v>5</v>
      </c>
      <c r="D5" s="211" t="s">
        <v>6</v>
      </c>
      <c r="E5" s="211" t="s">
        <v>7</v>
      </c>
      <c r="F5" s="211" t="s">
        <v>8</v>
      </c>
      <c r="G5" s="211" t="s">
        <v>9</v>
      </c>
      <c r="H5" s="211" t="s">
        <v>10</v>
      </c>
      <c r="I5" s="211" t="s">
        <v>11</v>
      </c>
      <c r="J5" s="211" t="s">
        <v>12</v>
      </c>
      <c r="K5" s="211" t="s">
        <v>13</v>
      </c>
      <c r="L5" s="211" t="s">
        <v>14</v>
      </c>
      <c r="M5" s="211" t="s">
        <v>15</v>
      </c>
      <c r="N5" s="211" t="s">
        <v>16</v>
      </c>
    </row>
    <row r="6" spans="2:14" ht="15" customHeight="1" x14ac:dyDescent="0.25">
      <c r="B6" s="211" t="s">
        <v>207</v>
      </c>
      <c r="C6" s="192">
        <v>14.8535</v>
      </c>
      <c r="D6" s="192">
        <v>17.442799999999998</v>
      </c>
      <c r="E6" s="192">
        <v>20.472200000000001</v>
      </c>
      <c r="F6" s="192">
        <v>25.099499999999999</v>
      </c>
      <c r="G6" s="192">
        <v>31.331</v>
      </c>
      <c r="H6" s="192">
        <v>32.337299999999999</v>
      </c>
      <c r="I6" s="192">
        <v>26.471599999999999</v>
      </c>
      <c r="J6" s="192">
        <v>24.953299999999999</v>
      </c>
      <c r="K6" s="192">
        <v>25.401800000000001</v>
      </c>
      <c r="L6" s="192">
        <v>22.4406</v>
      </c>
      <c r="M6" s="192">
        <v>17.652200000000001</v>
      </c>
      <c r="N6" s="192">
        <v>14.334899999999999</v>
      </c>
    </row>
    <row r="7" spans="2:14" x14ac:dyDescent="0.25">
      <c r="B7" s="211" t="s">
        <v>208</v>
      </c>
      <c r="C7" s="130">
        <f t="shared" ref="C7:N7" si="0">C6*277.78</f>
        <v>4126.0052299999998</v>
      </c>
      <c r="D7" s="130">
        <f t="shared" si="0"/>
        <v>4845.2609839999986</v>
      </c>
      <c r="E7" s="130">
        <f t="shared" si="0"/>
        <v>5686.7677159999994</v>
      </c>
      <c r="F7" s="130">
        <f t="shared" si="0"/>
        <v>6972.1391099999992</v>
      </c>
      <c r="G7" s="130">
        <f t="shared" si="0"/>
        <v>8703.1251799999991</v>
      </c>
      <c r="H7" s="130">
        <f t="shared" si="0"/>
        <v>8982.655193999999</v>
      </c>
      <c r="I7" s="130">
        <f t="shared" si="0"/>
        <v>7353.2810479999989</v>
      </c>
      <c r="J7" s="130">
        <f t="shared" si="0"/>
        <v>6931.527673999999</v>
      </c>
      <c r="K7" s="130">
        <f t="shared" si="0"/>
        <v>7056.1120039999996</v>
      </c>
      <c r="L7" s="130">
        <f t="shared" si="0"/>
        <v>6233.5498679999992</v>
      </c>
      <c r="M7" s="130">
        <f t="shared" si="0"/>
        <v>4903.428116</v>
      </c>
      <c r="N7" s="130">
        <f t="shared" si="0"/>
        <v>3981.9485219999992</v>
      </c>
    </row>
    <row r="8" spans="2:14" ht="15.75" thickBot="1" x14ac:dyDescent="0.3">
      <c r="B8" s="210" t="s">
        <v>56</v>
      </c>
      <c r="C8" s="344" t="s">
        <v>173</v>
      </c>
      <c r="D8" s="345"/>
      <c r="E8" s="345"/>
      <c r="F8" s="345"/>
      <c r="G8" s="345"/>
      <c r="H8" s="345"/>
      <c r="I8" s="345"/>
      <c r="J8" s="345"/>
      <c r="K8" s="345"/>
      <c r="L8" s="345"/>
      <c r="M8" s="345"/>
      <c r="N8" s="346"/>
    </row>
    <row r="9" spans="2:14" x14ac:dyDescent="0.25">
      <c r="B9" s="228">
        <v>4.1666666666666699E-2</v>
      </c>
      <c r="C9" s="142">
        <f>'Cálculos irradiancia'!H7</f>
        <v>0</v>
      </c>
      <c r="D9" s="143">
        <f>'Cálculos irradiancia'!S7</f>
        <v>0</v>
      </c>
      <c r="E9" s="143">
        <f>'Cálculos irradiancia'!AD7</f>
        <v>0</v>
      </c>
      <c r="F9" s="143">
        <f>'Cálculos irradiancia'!AO7</f>
        <v>0</v>
      </c>
      <c r="G9" s="143">
        <f>'Cálculos irradiancia'!AZ7</f>
        <v>0</v>
      </c>
      <c r="H9" s="143">
        <f>'Cálculos irradiancia'!BK7</f>
        <v>0</v>
      </c>
      <c r="I9" s="143">
        <f>'Cálculos irradiancia'!H39</f>
        <v>0</v>
      </c>
      <c r="J9" s="143">
        <f>'Cálculos irradiancia'!S39</f>
        <v>0</v>
      </c>
      <c r="K9" s="143">
        <f>'Cálculos irradiancia'!AD39</f>
        <v>0</v>
      </c>
      <c r="L9" s="143">
        <f>'Cálculos irradiancia'!AO39</f>
        <v>0</v>
      </c>
      <c r="M9" s="143">
        <f>'Cálculos irradiancia'!AZ39</f>
        <v>0</v>
      </c>
      <c r="N9" s="144">
        <f>'Cálculos irradiancia'!BK39</f>
        <v>0</v>
      </c>
    </row>
    <row r="10" spans="2:14" x14ac:dyDescent="0.25">
      <c r="B10" s="228">
        <v>8.3333333333333301E-2</v>
      </c>
      <c r="C10" s="145">
        <f>'Cálculos irradiancia'!H8</f>
        <v>0</v>
      </c>
      <c r="D10" s="130">
        <f>'Cálculos irradiancia'!S8</f>
        <v>0</v>
      </c>
      <c r="E10" s="130">
        <f>'Cálculos irradiancia'!AD8</f>
        <v>0</v>
      </c>
      <c r="F10" s="130">
        <f>'Cálculos irradiancia'!AO8</f>
        <v>0</v>
      </c>
      <c r="G10" s="130">
        <f>'Cálculos irradiancia'!AZ8</f>
        <v>0</v>
      </c>
      <c r="H10" s="130">
        <f>'Cálculos irradiancia'!BK8</f>
        <v>0</v>
      </c>
      <c r="I10" s="130">
        <f>'Cálculos irradiancia'!H40</f>
        <v>0</v>
      </c>
      <c r="J10" s="130">
        <f>'Cálculos irradiancia'!S40</f>
        <v>0</v>
      </c>
      <c r="K10" s="130">
        <f>'Cálculos irradiancia'!AD40</f>
        <v>0</v>
      </c>
      <c r="L10" s="130">
        <f>'Cálculos irradiancia'!AO40</f>
        <v>0</v>
      </c>
      <c r="M10" s="130">
        <f>'Cálculos irradiancia'!AZ40</f>
        <v>0</v>
      </c>
      <c r="N10" s="146">
        <f>'Cálculos irradiancia'!BK40</f>
        <v>0</v>
      </c>
    </row>
    <row r="11" spans="2:14" x14ac:dyDescent="0.25">
      <c r="B11" s="228">
        <v>0.125</v>
      </c>
      <c r="C11" s="145">
        <f>'Cálculos irradiancia'!H9</f>
        <v>0</v>
      </c>
      <c r="D11" s="130">
        <f>'Cálculos irradiancia'!S9</f>
        <v>0</v>
      </c>
      <c r="E11" s="130">
        <f>'Cálculos irradiancia'!AD9</f>
        <v>0</v>
      </c>
      <c r="F11" s="130">
        <f>'Cálculos irradiancia'!AO9</f>
        <v>0</v>
      </c>
      <c r="G11" s="130">
        <f>'Cálculos irradiancia'!AZ9</f>
        <v>0</v>
      </c>
      <c r="H11" s="130">
        <f>'Cálculos irradiancia'!BK9</f>
        <v>0</v>
      </c>
      <c r="I11" s="130">
        <f>'Cálculos irradiancia'!H41</f>
        <v>0</v>
      </c>
      <c r="J11" s="130">
        <f>'Cálculos irradiancia'!S41</f>
        <v>0</v>
      </c>
      <c r="K11" s="130">
        <f>'Cálculos irradiancia'!AD41</f>
        <v>0</v>
      </c>
      <c r="L11" s="130">
        <f>'Cálculos irradiancia'!AO41</f>
        <v>0</v>
      </c>
      <c r="M11" s="130">
        <f>'Cálculos irradiancia'!AZ41</f>
        <v>0</v>
      </c>
      <c r="N11" s="146">
        <f>'Cálculos irradiancia'!BK41</f>
        <v>0</v>
      </c>
    </row>
    <row r="12" spans="2:14" x14ac:dyDescent="0.25">
      <c r="B12" s="228">
        <v>0.16666666666666699</v>
      </c>
      <c r="C12" s="145">
        <f>'Cálculos irradiancia'!H10</f>
        <v>0</v>
      </c>
      <c r="D12" s="130">
        <f>'Cálculos irradiancia'!S10</f>
        <v>0</v>
      </c>
      <c r="E12" s="130">
        <f>'Cálculos irradiancia'!AD10</f>
        <v>0</v>
      </c>
      <c r="F12" s="130">
        <f>'Cálculos irradiancia'!AO10</f>
        <v>0</v>
      </c>
      <c r="G12" s="130">
        <f>'Cálculos irradiancia'!AZ10</f>
        <v>0</v>
      </c>
      <c r="H12" s="130">
        <f>'Cálculos irradiancia'!BK10</f>
        <v>0</v>
      </c>
      <c r="I12" s="130">
        <f>'Cálculos irradiancia'!H42</f>
        <v>0</v>
      </c>
      <c r="J12" s="130">
        <f>'Cálculos irradiancia'!S42</f>
        <v>0</v>
      </c>
      <c r="K12" s="130">
        <f>'Cálculos irradiancia'!AD42</f>
        <v>0</v>
      </c>
      <c r="L12" s="130">
        <f>'Cálculos irradiancia'!AO42</f>
        <v>0</v>
      </c>
      <c r="M12" s="130">
        <f>'Cálculos irradiancia'!AZ42</f>
        <v>0</v>
      </c>
      <c r="N12" s="146">
        <f>'Cálculos irradiancia'!BK42</f>
        <v>0</v>
      </c>
    </row>
    <row r="13" spans="2:14" x14ac:dyDescent="0.25">
      <c r="B13" s="228">
        <v>0.20833333333333301</v>
      </c>
      <c r="C13" s="145">
        <f>'Cálculos irradiancia'!H11</f>
        <v>0</v>
      </c>
      <c r="D13" s="130">
        <f>'Cálculos irradiancia'!S11</f>
        <v>0</v>
      </c>
      <c r="E13" s="130">
        <f>'Cálculos irradiancia'!AD11</f>
        <v>0</v>
      </c>
      <c r="F13" s="130">
        <f>'Cálculos irradiancia'!AO11</f>
        <v>0</v>
      </c>
      <c r="G13" s="130">
        <f>'Cálculos irradiancia'!AZ11</f>
        <v>0</v>
      </c>
      <c r="H13" s="130">
        <f>'Cálculos irradiancia'!BK11</f>
        <v>0</v>
      </c>
      <c r="I13" s="130">
        <f>'Cálculos irradiancia'!H43</f>
        <v>0</v>
      </c>
      <c r="J13" s="130">
        <f>'Cálculos irradiancia'!S43</f>
        <v>0</v>
      </c>
      <c r="K13" s="130">
        <f>'Cálculos irradiancia'!AD43</f>
        <v>0</v>
      </c>
      <c r="L13" s="130">
        <f>'Cálculos irradiancia'!AO43</f>
        <v>0</v>
      </c>
      <c r="M13" s="130">
        <f>'Cálculos irradiancia'!AZ43</f>
        <v>0</v>
      </c>
      <c r="N13" s="146">
        <f>'Cálculos irradiancia'!BK43</f>
        <v>0</v>
      </c>
    </row>
    <row r="14" spans="2:14" x14ac:dyDescent="0.25">
      <c r="B14" s="228">
        <v>0.25</v>
      </c>
      <c r="C14" s="145">
        <f>'Cálculos irradiancia'!H12</f>
        <v>0</v>
      </c>
      <c r="D14" s="130">
        <f>'Cálculos irradiancia'!S12</f>
        <v>0</v>
      </c>
      <c r="E14" s="130">
        <f>'Cálculos irradiancia'!AD12</f>
        <v>0</v>
      </c>
      <c r="F14" s="130">
        <f>'Cálculos irradiancia'!AO12</f>
        <v>62.077749131925138</v>
      </c>
      <c r="G14" s="130">
        <f>'Cálculos irradiancia'!AZ12</f>
        <v>128.72649440003192</v>
      </c>
      <c r="H14" s="130">
        <f>'Cálculos irradiancia'!BK12</f>
        <v>152.52133573793674</v>
      </c>
      <c r="I14" s="130">
        <f>'Cálculos irradiancia'!H44</f>
        <v>110.24776527233657</v>
      </c>
      <c r="J14" s="130">
        <f>'Cálculos irradiancia'!S44</f>
        <v>62.581784953993029</v>
      </c>
      <c r="K14" s="130">
        <f>'Cálculos irradiancia'!AD44</f>
        <v>0</v>
      </c>
      <c r="L14" s="130">
        <f>'Cálculos irradiancia'!AO44</f>
        <v>0</v>
      </c>
      <c r="M14" s="130">
        <f>'Cálculos irradiancia'!AZ44</f>
        <v>0</v>
      </c>
      <c r="N14" s="146">
        <f>'Cálculos irradiancia'!BK44</f>
        <v>0</v>
      </c>
    </row>
    <row r="15" spans="2:14" x14ac:dyDescent="0.25">
      <c r="B15" s="228">
        <v>0.29166666666666702</v>
      </c>
      <c r="C15" s="145">
        <f>'Cálculos irradiancia'!H13</f>
        <v>29.551938859154784</v>
      </c>
      <c r="D15" s="130">
        <f>'Cálculos irradiancia'!S13</f>
        <v>82.741772685440722</v>
      </c>
      <c r="E15" s="130">
        <f>'Cálculos irradiancia'!AD13</f>
        <v>146.60414724820367</v>
      </c>
      <c r="F15" s="130">
        <f>'Cálculos irradiancia'!AO13</f>
        <v>231.08808267667249</v>
      </c>
      <c r="G15" s="130">
        <f>'Cálculos irradiancia'!AZ13</f>
        <v>327.02831185418489</v>
      </c>
      <c r="H15" s="130">
        <f>'Cálculos irradiancia'!BK13</f>
        <v>351.82264356609522</v>
      </c>
      <c r="I15" s="130">
        <f>'Cálculos irradiancia'!H45</f>
        <v>277.39708915787776</v>
      </c>
      <c r="J15" s="130">
        <f>'Cálculos irradiancia'!S45</f>
        <v>230.40876674031168</v>
      </c>
      <c r="K15" s="130">
        <f>'Cálculos irradiancia'!AD45</f>
        <v>182.89189267342664</v>
      </c>
      <c r="L15" s="130">
        <f>'Cálculos irradiancia'!AO45</f>
        <v>103.32721454650468</v>
      </c>
      <c r="M15" s="130">
        <f>'Cálculos irradiancia'!AZ45</f>
        <v>33.135312442891831</v>
      </c>
      <c r="N15" s="146">
        <f>'Cálculos irradiancia'!BK45</f>
        <v>9.6480105806504834</v>
      </c>
    </row>
    <row r="16" spans="2:14" x14ac:dyDescent="0.25">
      <c r="B16" s="228">
        <v>0.33333333333333298</v>
      </c>
      <c r="C16" s="145">
        <f>'Cálculos irradiancia'!H14</f>
        <v>187.58774564046217</v>
      </c>
      <c r="D16" s="130">
        <f>'Cálculos irradiancia'!S14</f>
        <v>250.79051484990561</v>
      </c>
      <c r="E16" s="130">
        <f>'Cálculos irradiancia'!AD14</f>
        <v>323.32907374626836</v>
      </c>
      <c r="F16" s="130">
        <f>'Cálculos irradiancia'!AO14</f>
        <v>423.58593270465673</v>
      </c>
      <c r="G16" s="130">
        <f>'Cálculos irradiancia'!AZ14</f>
        <v>546.98760433776988</v>
      </c>
      <c r="H16" s="130">
        <f>'Cálculos irradiancia'!BK14</f>
        <v>570.77058606668447</v>
      </c>
      <c r="I16" s="130">
        <f>'Cálculos irradiancia'!H46</f>
        <v>462.63585293357409</v>
      </c>
      <c r="J16" s="130">
        <f>'Cálculos irradiancia'!S46</f>
        <v>421.44968629890036</v>
      </c>
      <c r="K16" s="130">
        <f>'Cálculos irradiancia'!AD46</f>
        <v>401.73483659331328</v>
      </c>
      <c r="L16" s="130">
        <f>'Cálculos irradiancia'!AO46</f>
        <v>320.73726579720812</v>
      </c>
      <c r="M16" s="130">
        <f>'Cálculos irradiancia'!AZ46</f>
        <v>221.62677211938473</v>
      </c>
      <c r="N16" s="146">
        <f>'Cálculos irradiancia'!BK46</f>
        <v>168.45240069007497</v>
      </c>
    </row>
    <row r="17" spans="2:14" x14ac:dyDescent="0.25">
      <c r="B17" s="228">
        <v>0.375</v>
      </c>
      <c r="C17" s="145">
        <f>'Cálculos irradiancia'!H15</f>
        <v>359.92752867190706</v>
      </c>
      <c r="D17" s="130">
        <f>'Cálculos irradiancia'!S15</f>
        <v>428.30351750844693</v>
      </c>
      <c r="E17" s="130">
        <f>'Cálculos irradiancia'!AD15</f>
        <v>504.58283548278877</v>
      </c>
      <c r="F17" s="130">
        <f>'Cálculos irradiancia'!AO15</f>
        <v>615.83839631453282</v>
      </c>
      <c r="G17" s="130">
        <f>'Cálculos irradiancia'!AZ15</f>
        <v>762.9496437835096</v>
      </c>
      <c r="H17" s="130">
        <f>'Cálculos irradiancia'!BK15</f>
        <v>784.36844104242277</v>
      </c>
      <c r="I17" s="130">
        <f>'Cálculos irradiancia'!H47</f>
        <v>644.40113869442132</v>
      </c>
      <c r="J17" s="130">
        <f>'Cálculos irradiancia'!S47</f>
        <v>612.17833728412018</v>
      </c>
      <c r="K17" s="130">
        <f>'Cálculos irradiancia'!AD47</f>
        <v>626.07635180131854</v>
      </c>
      <c r="L17" s="130">
        <f>'Cálculos irradiancia'!AO47</f>
        <v>550.77043740224849</v>
      </c>
      <c r="M17" s="130">
        <f>'Cálculos irradiancia'!AZ47</f>
        <v>427.43987146036466</v>
      </c>
      <c r="N17" s="146">
        <f>'Cálculos irradiancia'!BK47</f>
        <v>344.20016821017742</v>
      </c>
    </row>
    <row r="18" spans="2:14" x14ac:dyDescent="0.25">
      <c r="B18" s="228">
        <v>0.41666666666666702</v>
      </c>
      <c r="C18" s="145">
        <f>'Cálculos irradiancia'!H16</f>
        <v>515.11876939108652</v>
      </c>
      <c r="D18" s="130">
        <f>'Cálculos irradiancia'!S16</f>
        <v>585.31842678695182</v>
      </c>
      <c r="E18" s="130">
        <f>'Cálculos irradiancia'!AD16</f>
        <v>662.14396118067089</v>
      </c>
      <c r="F18" s="130">
        <f>'Cálculos irradiancia'!AO16</f>
        <v>780.24411936602792</v>
      </c>
      <c r="G18" s="130">
        <f>'Cálculos irradiancia'!AZ16</f>
        <v>945.62849650782823</v>
      </c>
      <c r="H18" s="130">
        <f>'Cálculos irradiancia'!BK16</f>
        <v>964.29609383795389</v>
      </c>
      <c r="I18" s="130">
        <f>'Cálculos irradiancia'!H48</f>
        <v>798.09476519963528</v>
      </c>
      <c r="J18" s="130">
        <f>'Cálculos irradiancia'!S48</f>
        <v>775.24393449795571</v>
      </c>
      <c r="K18" s="130">
        <f>'Cálculos irradiancia'!AD48</f>
        <v>821.03551131099562</v>
      </c>
      <c r="L18" s="130">
        <f>'Cálculos irradiancia'!AO48</f>
        <v>754.43379739031434</v>
      </c>
      <c r="M18" s="130">
        <f>'Cálculos irradiancia'!AZ48</f>
        <v>612.90250116088282</v>
      </c>
      <c r="N18" s="146">
        <f>'Cálculos irradiancia'!BK48</f>
        <v>503.72811585250275</v>
      </c>
    </row>
    <row r="19" spans="2:14" x14ac:dyDescent="0.25">
      <c r="B19" s="228">
        <v>0.45833333333333298</v>
      </c>
      <c r="C19" s="145">
        <f>'Cálculos irradiancia'!H17</f>
        <v>622.87759405487202</v>
      </c>
      <c r="D19" s="130">
        <f>'Cálculos irradiancia'!S17</f>
        <v>693.26980000045535</v>
      </c>
      <c r="E19" s="130">
        <f>'Cálculos irradiancia'!AD17</f>
        <v>769.40559355492144</v>
      </c>
      <c r="F19" s="130">
        <f>'Cálculos irradiancia'!AO17</f>
        <v>891.09945706900839</v>
      </c>
      <c r="G19" s="130">
        <f>'Cálculos irradiancia'!AZ17</f>
        <v>1068.0064229991478</v>
      </c>
      <c r="H19" s="130">
        <f>'Cálculos irradiancia'!BK17</f>
        <v>1084.5279984338622</v>
      </c>
      <c r="I19" s="130">
        <f>'Cálculos irradiancia'!H49</f>
        <v>901.03158839609216</v>
      </c>
      <c r="J19" s="130">
        <f>'Cálculos irradiancia'!S49</f>
        <v>885.18088414155295</v>
      </c>
      <c r="K19" s="130">
        <f>'Cálculos irradiancia'!AD49</f>
        <v>953.73374712009968</v>
      </c>
      <c r="L19" s="130">
        <f>'Cálculos irradiancia'!AO49</f>
        <v>894.53147287361719</v>
      </c>
      <c r="M19" s="130">
        <f>'Cálculos irradiancia'!AZ49</f>
        <v>741.72940279124612</v>
      </c>
      <c r="N19" s="146">
        <f>'Cálculos irradiancia'!BK49</f>
        <v>614.97840024874608</v>
      </c>
    </row>
    <row r="20" spans="2:14" x14ac:dyDescent="0.25">
      <c r="B20" s="228">
        <v>0.5</v>
      </c>
      <c r="C20" s="145">
        <f>'Cálculos irradiancia'!H18</f>
        <v>661.4332714179443</v>
      </c>
      <c r="D20" s="130">
        <f>'Cálculos irradiancia'!S18</f>
        <v>731.72274215536982</v>
      </c>
      <c r="E20" s="130">
        <f>'Cálculos irradiancia'!AD18</f>
        <v>807.44087600758951</v>
      </c>
      <c r="F20" s="130">
        <f>'Cálculos irradiancia'!AO18</f>
        <v>930.23530881644763</v>
      </c>
      <c r="G20" s="130">
        <f>'Cálculos irradiancia'!AZ18</f>
        <v>1111.0787040217328</v>
      </c>
      <c r="H20" s="130">
        <f>'Cálculos irradiancia'!BK18</f>
        <v>1126.7947674801046</v>
      </c>
      <c r="I20" s="130">
        <f>'Cálculos irradiancia'!H50</f>
        <v>937.25743161887635</v>
      </c>
      <c r="J20" s="130">
        <f>'Cálculos irradiancia'!S50</f>
        <v>923.99008138833256</v>
      </c>
      <c r="K20" s="130">
        <f>'Cálculos irradiancia'!AD50</f>
        <v>1000.7852443312647</v>
      </c>
      <c r="L20" s="130">
        <f>'Cálculos irradiancia'!AO50</f>
        <v>944.44713845390322</v>
      </c>
      <c r="M20" s="130">
        <f>'Cálculos irradiancia'!AZ50</f>
        <v>787.83095262193626</v>
      </c>
      <c r="N20" s="146">
        <f>'Cálculos irradiancia'!BK50</f>
        <v>654.86006690982572</v>
      </c>
    </row>
    <row r="21" spans="2:14" x14ac:dyDescent="0.25">
      <c r="B21" s="228">
        <v>0.54166666666666696</v>
      </c>
      <c r="C21" s="145">
        <f>'Cálculos irradiancia'!H19</f>
        <v>622.87759405487202</v>
      </c>
      <c r="D21" s="130">
        <f>'Cálculos irradiancia'!S19</f>
        <v>693.26980000045535</v>
      </c>
      <c r="E21" s="130">
        <f>'Cálculos irradiancia'!AD19</f>
        <v>769.40559355492144</v>
      </c>
      <c r="F21" s="130">
        <f>'Cálculos irradiancia'!AO19</f>
        <v>891.09945706900839</v>
      </c>
      <c r="G21" s="130">
        <f>'Cálculos irradiancia'!AZ19</f>
        <v>1068.0064229991478</v>
      </c>
      <c r="H21" s="130">
        <f>'Cálculos irradiancia'!BK19</f>
        <v>1084.5279984338622</v>
      </c>
      <c r="I21" s="130">
        <f>'Cálculos irradiancia'!H51</f>
        <v>901.03158839609216</v>
      </c>
      <c r="J21" s="130">
        <f>'Cálculos irradiancia'!S51</f>
        <v>885.18088414155295</v>
      </c>
      <c r="K21" s="130">
        <f>'Cálculos irradiancia'!AD51</f>
        <v>953.73374712009968</v>
      </c>
      <c r="L21" s="130">
        <f>'Cálculos irradiancia'!AO51</f>
        <v>894.53147287361719</v>
      </c>
      <c r="M21" s="130">
        <f>'Cálculos irradiancia'!AZ51</f>
        <v>741.72940279124612</v>
      </c>
      <c r="N21" s="146">
        <f>'Cálculos irradiancia'!BK51</f>
        <v>614.97840024874608</v>
      </c>
    </row>
    <row r="22" spans="2:14" x14ac:dyDescent="0.25">
      <c r="B22" s="228">
        <v>0.58333333333333304</v>
      </c>
      <c r="C22" s="145">
        <f>'Cálculos irradiancia'!H20</f>
        <v>515.11876939108652</v>
      </c>
      <c r="D22" s="130">
        <f>'Cálculos irradiancia'!S20</f>
        <v>585.31842678695182</v>
      </c>
      <c r="E22" s="130">
        <f>'Cálculos irradiancia'!AD20</f>
        <v>662.14396118067089</v>
      </c>
      <c r="F22" s="130">
        <f>'Cálculos irradiancia'!AO20</f>
        <v>780.24411936602792</v>
      </c>
      <c r="G22" s="130">
        <f>'Cálculos irradiancia'!AZ20</f>
        <v>945.62849650782823</v>
      </c>
      <c r="H22" s="130">
        <f>'Cálculos irradiancia'!BK20</f>
        <v>964.29609383795389</v>
      </c>
      <c r="I22" s="130">
        <f>'Cálculos irradiancia'!H52</f>
        <v>798.09476519963528</v>
      </c>
      <c r="J22" s="130">
        <f>'Cálculos irradiancia'!S52</f>
        <v>775.24393449795571</v>
      </c>
      <c r="K22" s="130">
        <f>'Cálculos irradiancia'!AD52</f>
        <v>821.03551131099562</v>
      </c>
      <c r="L22" s="130">
        <f>'Cálculos irradiancia'!AO52</f>
        <v>754.43379739031434</v>
      </c>
      <c r="M22" s="130">
        <f>'Cálculos irradiancia'!AZ52</f>
        <v>612.90250116088282</v>
      </c>
      <c r="N22" s="146">
        <f>'Cálculos irradiancia'!BK52</f>
        <v>503.72811585250275</v>
      </c>
    </row>
    <row r="23" spans="2:14" x14ac:dyDescent="0.25">
      <c r="B23" s="228">
        <v>0.625</v>
      </c>
      <c r="C23" s="145">
        <f>'Cálculos irradiancia'!H21</f>
        <v>359.92752867190706</v>
      </c>
      <c r="D23" s="130">
        <f>'Cálculos irradiancia'!S21</f>
        <v>428.30351750844693</v>
      </c>
      <c r="E23" s="130">
        <f>'Cálculos irradiancia'!AD21</f>
        <v>504.58283548278877</v>
      </c>
      <c r="F23" s="130">
        <f>'Cálculos irradiancia'!AO21</f>
        <v>615.83839631453282</v>
      </c>
      <c r="G23" s="130">
        <f>'Cálculos irradiancia'!AZ21</f>
        <v>762.9496437835096</v>
      </c>
      <c r="H23" s="130">
        <f>'Cálculos irradiancia'!BK21</f>
        <v>784.36844104242277</v>
      </c>
      <c r="I23" s="130">
        <f>'Cálculos irradiancia'!H53</f>
        <v>644.40113869442132</v>
      </c>
      <c r="J23" s="130">
        <f>'Cálculos irradiancia'!S53</f>
        <v>612.17833728412018</v>
      </c>
      <c r="K23" s="130">
        <f>'Cálculos irradiancia'!AD53</f>
        <v>626.07635180131854</v>
      </c>
      <c r="L23" s="130">
        <f>'Cálculos irradiancia'!AO53</f>
        <v>550.77043740224849</v>
      </c>
      <c r="M23" s="130">
        <f>'Cálculos irradiancia'!AZ53</f>
        <v>427.43987146036466</v>
      </c>
      <c r="N23" s="146">
        <f>'Cálculos irradiancia'!BK53</f>
        <v>344.20016821017742</v>
      </c>
    </row>
    <row r="24" spans="2:14" x14ac:dyDescent="0.25">
      <c r="B24" s="228">
        <v>0.66666666666666696</v>
      </c>
      <c r="C24" s="145">
        <f>'Cálculos irradiancia'!H22</f>
        <v>187.58774564046217</v>
      </c>
      <c r="D24" s="130">
        <f>'Cálculos irradiancia'!S22</f>
        <v>250.79051484990561</v>
      </c>
      <c r="E24" s="130">
        <f>'Cálculos irradiancia'!AD22</f>
        <v>323.32907374626836</v>
      </c>
      <c r="F24" s="130">
        <f>'Cálculos irradiancia'!AO22</f>
        <v>423.58593270465673</v>
      </c>
      <c r="G24" s="130">
        <f>'Cálculos irradiancia'!AZ22</f>
        <v>546.98760433776988</v>
      </c>
      <c r="H24" s="130">
        <f>'Cálculos irradiancia'!BK22</f>
        <v>570.77058606668447</v>
      </c>
      <c r="I24" s="130">
        <f>'Cálculos irradiancia'!H54</f>
        <v>462.63585293357409</v>
      </c>
      <c r="J24" s="130">
        <f>'Cálculos irradiancia'!S54</f>
        <v>421.44968629890036</v>
      </c>
      <c r="K24" s="130">
        <f>'Cálculos irradiancia'!AD54</f>
        <v>401.73483659331328</v>
      </c>
      <c r="L24" s="130">
        <f>'Cálculos irradiancia'!AO54</f>
        <v>320.73726579720812</v>
      </c>
      <c r="M24" s="130">
        <f>'Cálculos irradiancia'!AZ54</f>
        <v>221.62677211938473</v>
      </c>
      <c r="N24" s="146">
        <f>'Cálculos irradiancia'!BK54</f>
        <v>168.45240069007497</v>
      </c>
    </row>
    <row r="25" spans="2:14" x14ac:dyDescent="0.25">
      <c r="B25" s="228">
        <v>0.70833333333333304</v>
      </c>
      <c r="C25" s="145">
        <f>'Cálculos irradiancia'!H23</f>
        <v>29.551938859154784</v>
      </c>
      <c r="D25" s="130">
        <f>'Cálculos irradiancia'!S23</f>
        <v>82.741772685440722</v>
      </c>
      <c r="E25" s="130">
        <f>'Cálculos irradiancia'!AD23</f>
        <v>146.60414724820367</v>
      </c>
      <c r="F25" s="130">
        <f>'Cálculos irradiancia'!AO23</f>
        <v>231.08808267667249</v>
      </c>
      <c r="G25" s="130">
        <f>'Cálculos irradiancia'!AZ23</f>
        <v>327.02831185418489</v>
      </c>
      <c r="H25" s="130">
        <f>'Cálculos irradiancia'!BK23</f>
        <v>351.82264356609522</v>
      </c>
      <c r="I25" s="130">
        <f>'Cálculos irradiancia'!H55</f>
        <v>277.39708915787776</v>
      </c>
      <c r="J25" s="130">
        <f>'Cálculos irradiancia'!S55</f>
        <v>230.40876674031168</v>
      </c>
      <c r="K25" s="130">
        <f>'Cálculos irradiancia'!AD55</f>
        <v>182.89189267342664</v>
      </c>
      <c r="L25" s="130">
        <f>'Cálculos irradiancia'!AO55</f>
        <v>103.32721454650468</v>
      </c>
      <c r="M25" s="130">
        <f>'Cálculos irradiancia'!AZ55</f>
        <v>33.135312442891831</v>
      </c>
      <c r="N25" s="146">
        <f>'Cálculos irradiancia'!BK55</f>
        <v>9.6480105806504834</v>
      </c>
    </row>
    <row r="26" spans="2:14" x14ac:dyDescent="0.25">
      <c r="B26" s="228">
        <v>0.75</v>
      </c>
      <c r="C26" s="145">
        <f>'Cálculos irradiancia'!H24</f>
        <v>0</v>
      </c>
      <c r="D26" s="130">
        <f>'Cálculos irradiancia'!S24</f>
        <v>0</v>
      </c>
      <c r="E26" s="130">
        <f>'Cálculos irradiancia'!AD24</f>
        <v>0</v>
      </c>
      <c r="F26" s="130">
        <f>'Cálculos irradiancia'!AO24</f>
        <v>62.077749131925138</v>
      </c>
      <c r="G26" s="130">
        <f>'Cálculos irradiancia'!AZ24</f>
        <v>128.72649440003192</v>
      </c>
      <c r="H26" s="130">
        <f>'Cálculos irradiancia'!BK24</f>
        <v>152.52133573793674</v>
      </c>
      <c r="I26" s="130">
        <f>'Cálculos irradiancia'!H56</f>
        <v>110.24776527233657</v>
      </c>
      <c r="J26" s="130">
        <f>'Cálculos irradiancia'!S56</f>
        <v>62.581784953993029</v>
      </c>
      <c r="K26" s="130">
        <f>'Cálculos irradiancia'!AD56</f>
        <v>0</v>
      </c>
      <c r="L26" s="130">
        <f>'Cálculos irradiancia'!AO56</f>
        <v>0</v>
      </c>
      <c r="M26" s="130">
        <f>'Cálculos irradiancia'!AZ56</f>
        <v>0</v>
      </c>
      <c r="N26" s="146">
        <f>'Cálculos irradiancia'!BK56</f>
        <v>0</v>
      </c>
    </row>
    <row r="27" spans="2:14" x14ac:dyDescent="0.25">
      <c r="B27" s="228">
        <v>0.79166666666666696</v>
      </c>
      <c r="C27" s="145">
        <f>'Cálculos irradiancia'!H25</f>
        <v>0</v>
      </c>
      <c r="D27" s="130">
        <f>'Cálculos irradiancia'!S25</f>
        <v>0</v>
      </c>
      <c r="E27" s="130">
        <f>'Cálculos irradiancia'!AD25</f>
        <v>0</v>
      </c>
      <c r="F27" s="130">
        <f>'Cálculos irradiancia'!AO25</f>
        <v>0</v>
      </c>
      <c r="G27" s="130">
        <f>'Cálculos irradiancia'!AZ25</f>
        <v>0</v>
      </c>
      <c r="H27" s="130">
        <f>'Cálculos irradiancia'!BK25</f>
        <v>0</v>
      </c>
      <c r="I27" s="130">
        <f>'Cálculos irradiancia'!H57</f>
        <v>0</v>
      </c>
      <c r="J27" s="130">
        <f>'Cálculos irradiancia'!S57</f>
        <v>0</v>
      </c>
      <c r="K27" s="130">
        <f>'Cálculos irradiancia'!AD57</f>
        <v>0</v>
      </c>
      <c r="L27" s="130">
        <f>'Cálculos irradiancia'!AO57</f>
        <v>0</v>
      </c>
      <c r="M27" s="130">
        <f>'Cálculos irradiancia'!AZ57</f>
        <v>0</v>
      </c>
      <c r="N27" s="146">
        <f>'Cálculos irradiancia'!BK57</f>
        <v>0</v>
      </c>
    </row>
    <row r="28" spans="2:14" x14ac:dyDescent="0.25">
      <c r="B28" s="228">
        <v>0.83333333333333304</v>
      </c>
      <c r="C28" s="145">
        <f>'Cálculos irradiancia'!H26</f>
        <v>0</v>
      </c>
      <c r="D28" s="130">
        <f>'Cálculos irradiancia'!S26</f>
        <v>0</v>
      </c>
      <c r="E28" s="130">
        <f>'Cálculos irradiancia'!AD26</f>
        <v>0</v>
      </c>
      <c r="F28" s="130">
        <f>'Cálculos irradiancia'!AO26</f>
        <v>0</v>
      </c>
      <c r="G28" s="130">
        <f>'Cálculos irradiancia'!AZ26</f>
        <v>0</v>
      </c>
      <c r="H28" s="130">
        <f>'Cálculos irradiancia'!BK26</f>
        <v>0</v>
      </c>
      <c r="I28" s="130">
        <f>'Cálculos irradiancia'!H58</f>
        <v>0</v>
      </c>
      <c r="J28" s="130">
        <f>'Cálculos irradiancia'!S58</f>
        <v>0</v>
      </c>
      <c r="K28" s="130">
        <f>'Cálculos irradiancia'!AD58</f>
        <v>0</v>
      </c>
      <c r="L28" s="130">
        <f>'Cálculos irradiancia'!AO58</f>
        <v>0</v>
      </c>
      <c r="M28" s="130">
        <f>'Cálculos irradiancia'!AZ58</f>
        <v>0</v>
      </c>
      <c r="N28" s="146">
        <f>'Cálculos irradiancia'!BK58</f>
        <v>0</v>
      </c>
    </row>
    <row r="29" spans="2:14" x14ac:dyDescent="0.25">
      <c r="B29" s="228">
        <v>0.875</v>
      </c>
      <c r="C29" s="145">
        <f>'Cálculos irradiancia'!H27</f>
        <v>0</v>
      </c>
      <c r="D29" s="130">
        <f>'Cálculos irradiancia'!S27</f>
        <v>0</v>
      </c>
      <c r="E29" s="130">
        <f>'Cálculos irradiancia'!AD27</f>
        <v>0</v>
      </c>
      <c r="F29" s="130">
        <f>'Cálculos irradiancia'!AO27</f>
        <v>0</v>
      </c>
      <c r="G29" s="130">
        <f>'Cálculos irradiancia'!AZ27</f>
        <v>0</v>
      </c>
      <c r="H29" s="130">
        <f>'Cálculos irradiancia'!BK27</f>
        <v>0</v>
      </c>
      <c r="I29" s="130">
        <f>'Cálculos irradiancia'!H59</f>
        <v>0</v>
      </c>
      <c r="J29" s="130">
        <f>'Cálculos irradiancia'!S59</f>
        <v>0</v>
      </c>
      <c r="K29" s="130">
        <f>'Cálculos irradiancia'!AD59</f>
        <v>0</v>
      </c>
      <c r="L29" s="130">
        <f>'Cálculos irradiancia'!AO59</f>
        <v>0</v>
      </c>
      <c r="M29" s="130">
        <f>'Cálculos irradiancia'!AZ59</f>
        <v>0</v>
      </c>
      <c r="N29" s="146">
        <f>'Cálculos irradiancia'!BK59</f>
        <v>0</v>
      </c>
    </row>
    <row r="30" spans="2:14" x14ac:dyDescent="0.25">
      <c r="B30" s="228">
        <v>0.91666666666666696</v>
      </c>
      <c r="C30" s="145">
        <f>'Cálculos irradiancia'!H28</f>
        <v>0</v>
      </c>
      <c r="D30" s="130">
        <f>'Cálculos irradiancia'!S28</f>
        <v>0</v>
      </c>
      <c r="E30" s="130">
        <f>'Cálculos irradiancia'!AD28</f>
        <v>0</v>
      </c>
      <c r="F30" s="130">
        <f>'Cálculos irradiancia'!AO28</f>
        <v>0</v>
      </c>
      <c r="G30" s="130">
        <f>'Cálculos irradiancia'!AZ28</f>
        <v>0</v>
      </c>
      <c r="H30" s="130">
        <f>'Cálculos irradiancia'!BK28</f>
        <v>0</v>
      </c>
      <c r="I30" s="130">
        <f>'Cálculos irradiancia'!H60</f>
        <v>0</v>
      </c>
      <c r="J30" s="130">
        <f>'Cálculos irradiancia'!S60</f>
        <v>0</v>
      </c>
      <c r="K30" s="130">
        <f>'Cálculos irradiancia'!AD60</f>
        <v>0</v>
      </c>
      <c r="L30" s="130">
        <f>'Cálculos irradiancia'!AO60</f>
        <v>0</v>
      </c>
      <c r="M30" s="130">
        <f>'Cálculos irradiancia'!AZ60</f>
        <v>0</v>
      </c>
      <c r="N30" s="146">
        <f>'Cálculos irradiancia'!BK60</f>
        <v>0</v>
      </c>
    </row>
    <row r="31" spans="2:14" x14ac:dyDescent="0.25">
      <c r="B31" s="228">
        <v>0.95833333333333304</v>
      </c>
      <c r="C31" s="145">
        <f>'Cálculos irradiancia'!H29</f>
        <v>0</v>
      </c>
      <c r="D31" s="130">
        <f>'Cálculos irradiancia'!S29</f>
        <v>0</v>
      </c>
      <c r="E31" s="130">
        <f>'Cálculos irradiancia'!AD29</f>
        <v>0</v>
      </c>
      <c r="F31" s="130">
        <f>'Cálculos irradiancia'!AO29</f>
        <v>0</v>
      </c>
      <c r="G31" s="130">
        <f>'Cálculos irradiancia'!AZ29</f>
        <v>0</v>
      </c>
      <c r="H31" s="130">
        <f>'Cálculos irradiancia'!BK29</f>
        <v>0</v>
      </c>
      <c r="I31" s="130">
        <f>'Cálculos irradiancia'!H61</f>
        <v>0</v>
      </c>
      <c r="J31" s="130">
        <f>'Cálculos irradiancia'!S61</f>
        <v>0</v>
      </c>
      <c r="K31" s="130">
        <f>'Cálculos irradiancia'!AD61</f>
        <v>0</v>
      </c>
      <c r="L31" s="130">
        <f>'Cálculos irradiancia'!AO61</f>
        <v>0</v>
      </c>
      <c r="M31" s="130">
        <f>'Cálculos irradiancia'!AZ61</f>
        <v>0</v>
      </c>
      <c r="N31" s="146">
        <f>'Cálculos irradiancia'!BK61</f>
        <v>0</v>
      </c>
    </row>
    <row r="32" spans="2:14" ht="15.75" thickBot="1" x14ac:dyDescent="0.3">
      <c r="B32" s="228">
        <v>1</v>
      </c>
      <c r="C32" s="147">
        <f>'Cálculos irradiancia'!H30</f>
        <v>0</v>
      </c>
      <c r="D32" s="148">
        <f>'Cálculos irradiancia'!S30</f>
        <v>0</v>
      </c>
      <c r="E32" s="148">
        <f>'Cálculos irradiancia'!AD30</f>
        <v>0</v>
      </c>
      <c r="F32" s="148">
        <f>'Cálculos irradiancia'!AO30</f>
        <v>0</v>
      </c>
      <c r="G32" s="148">
        <f>'Cálculos irradiancia'!AZ30</f>
        <v>0</v>
      </c>
      <c r="H32" s="148">
        <f>'Cálculos irradiancia'!BK30</f>
        <v>0</v>
      </c>
      <c r="I32" s="148">
        <f>'Cálculos irradiancia'!H62</f>
        <v>0</v>
      </c>
      <c r="J32" s="148">
        <f>'Cálculos irradiancia'!S62</f>
        <v>0</v>
      </c>
      <c r="K32" s="148">
        <f>'Cálculos irradiancia'!AD62</f>
        <v>0</v>
      </c>
      <c r="L32" s="148">
        <f>'Cálculos irradiancia'!AO62</f>
        <v>0</v>
      </c>
      <c r="M32" s="148">
        <f>'Cálculos irradiancia'!AZ62</f>
        <v>0</v>
      </c>
      <c r="N32" s="149">
        <f>'Cálculos irradiancia'!BK62</f>
        <v>0</v>
      </c>
    </row>
    <row r="33" spans="2:14" x14ac:dyDescent="0.25">
      <c r="B33" s="107"/>
      <c r="G33" s="195"/>
    </row>
    <row r="34" spans="2:14" x14ac:dyDescent="0.25">
      <c r="B34" s="297" t="s">
        <v>206</v>
      </c>
      <c r="C34" s="297"/>
      <c r="D34" s="297"/>
      <c r="E34" s="297"/>
      <c r="F34" s="297"/>
      <c r="G34" s="297"/>
      <c r="H34" s="297"/>
      <c r="I34" s="297"/>
      <c r="J34" s="297"/>
      <c r="K34" s="297"/>
      <c r="L34" s="297"/>
      <c r="M34" s="297"/>
      <c r="N34" s="297"/>
    </row>
    <row r="35" spans="2:14" x14ac:dyDescent="0.25">
      <c r="B35" s="298" t="s">
        <v>1</v>
      </c>
      <c r="C35" s="299"/>
      <c r="D35" s="213" t="str">
        <f>D3</f>
        <v>Hermosillo, Son.</v>
      </c>
      <c r="E35" s="214"/>
      <c r="F35" s="298" t="s">
        <v>170</v>
      </c>
      <c r="G35" s="299"/>
      <c r="H35" s="216">
        <f>H3</f>
        <v>29.08</v>
      </c>
      <c r="I35" s="298" t="s">
        <v>202</v>
      </c>
      <c r="J35" s="299"/>
      <c r="K35" s="215">
        <f>K3</f>
        <v>-110.93</v>
      </c>
      <c r="L35" s="298" t="s">
        <v>201</v>
      </c>
      <c r="M35" s="299"/>
      <c r="N35" s="215">
        <f>N3</f>
        <v>211</v>
      </c>
    </row>
    <row r="36" spans="2:14" x14ac:dyDescent="0.25">
      <c r="B36" s="306" t="s">
        <v>255</v>
      </c>
      <c r="C36" s="307"/>
      <c r="D36" s="307"/>
      <c r="E36" s="307"/>
      <c r="F36" s="307"/>
      <c r="G36" s="307"/>
      <c r="H36" s="307"/>
      <c r="I36" s="307"/>
      <c r="J36" s="307"/>
      <c r="K36" s="307"/>
      <c r="L36" s="307"/>
      <c r="M36" s="307"/>
      <c r="N36" s="308"/>
    </row>
    <row r="37" spans="2:14" x14ac:dyDescent="0.25">
      <c r="B37" s="216"/>
      <c r="C37" s="211" t="s">
        <v>5</v>
      </c>
      <c r="D37" s="211" t="s">
        <v>6</v>
      </c>
      <c r="E37" s="211" t="s">
        <v>7</v>
      </c>
      <c r="F37" s="211" t="s">
        <v>8</v>
      </c>
      <c r="G37" s="211" t="s">
        <v>9</v>
      </c>
      <c r="H37" s="211" t="s">
        <v>10</v>
      </c>
      <c r="I37" s="211" t="s">
        <v>11</v>
      </c>
      <c r="J37" s="211" t="s">
        <v>12</v>
      </c>
      <c r="K37" s="211" t="s">
        <v>13</v>
      </c>
      <c r="L37" s="211" t="s">
        <v>14</v>
      </c>
      <c r="M37" s="211" t="s">
        <v>15</v>
      </c>
      <c r="N37" s="211" t="s">
        <v>16</v>
      </c>
    </row>
    <row r="38" spans="2:14" x14ac:dyDescent="0.25">
      <c r="B38" s="211" t="s">
        <v>256</v>
      </c>
      <c r="C38" s="192">
        <v>3.3645399999999999</v>
      </c>
      <c r="D38" s="192">
        <v>4.5210699999999999</v>
      </c>
      <c r="E38" s="192">
        <v>5.7757100000000001</v>
      </c>
      <c r="F38" s="192">
        <v>5.9267799999999999</v>
      </c>
      <c r="G38" s="192">
        <v>3.6108500000000001</v>
      </c>
      <c r="H38" s="192">
        <v>3.5282100000000001</v>
      </c>
      <c r="I38" s="192">
        <v>6.9269800000000004</v>
      </c>
      <c r="J38" s="192">
        <v>6.5056000000000003</v>
      </c>
      <c r="K38" s="192">
        <v>4.0014799999999999</v>
      </c>
      <c r="L38" s="192">
        <v>2.5320200000000002</v>
      </c>
      <c r="M38" s="192">
        <v>2.4470800000000001</v>
      </c>
      <c r="N38" s="192">
        <v>2.9753400000000001</v>
      </c>
    </row>
    <row r="39" spans="2:14" x14ac:dyDescent="0.25">
      <c r="B39" s="211" t="s">
        <v>257</v>
      </c>
      <c r="C39" s="130">
        <f t="shared" ref="C39:N39" si="1">C38*277.78</f>
        <v>934.60192119999988</v>
      </c>
      <c r="D39" s="130">
        <f t="shared" si="1"/>
        <v>1255.8628245999998</v>
      </c>
      <c r="E39" s="130">
        <f t="shared" si="1"/>
        <v>1604.3767237999998</v>
      </c>
      <c r="F39" s="130">
        <f t="shared" si="1"/>
        <v>1646.3409483999999</v>
      </c>
      <c r="G39" s="130">
        <f t="shared" si="1"/>
        <v>1003.0219129999999</v>
      </c>
      <c r="H39" s="130">
        <f t="shared" si="1"/>
        <v>980.06617379999989</v>
      </c>
      <c r="I39" s="130">
        <f t="shared" si="1"/>
        <v>1924.1765043999999</v>
      </c>
      <c r="J39" s="130">
        <f t="shared" si="1"/>
        <v>1807.1255679999999</v>
      </c>
      <c r="K39" s="130">
        <f t="shared" si="1"/>
        <v>1111.5311144</v>
      </c>
      <c r="L39" s="130">
        <f t="shared" si="1"/>
        <v>703.34451560000002</v>
      </c>
      <c r="M39" s="130">
        <f t="shared" si="1"/>
        <v>679.74988239999993</v>
      </c>
      <c r="N39" s="130">
        <f t="shared" si="1"/>
        <v>826.48994519999997</v>
      </c>
    </row>
    <row r="40" spans="2:14" ht="15.75" thickBot="1" x14ac:dyDescent="0.3">
      <c r="B40" s="210" t="s">
        <v>56</v>
      </c>
      <c r="C40" s="341" t="s">
        <v>174</v>
      </c>
      <c r="D40" s="342"/>
      <c r="E40" s="342"/>
      <c r="F40" s="342"/>
      <c r="G40" s="342"/>
      <c r="H40" s="342"/>
      <c r="I40" s="342"/>
      <c r="J40" s="342"/>
      <c r="K40" s="342"/>
      <c r="L40" s="342"/>
      <c r="M40" s="342"/>
      <c r="N40" s="343"/>
    </row>
    <row r="41" spans="2:14" x14ac:dyDescent="0.25">
      <c r="B41" s="228">
        <v>4.1666666666666699E-2</v>
      </c>
      <c r="C41" s="142">
        <f>'Cálculos irradiancia'!J7</f>
        <v>0</v>
      </c>
      <c r="D41" s="143">
        <f>'Cálculos irradiancia'!U7</f>
        <v>0</v>
      </c>
      <c r="E41" s="143">
        <f>'Cálculos irradiancia'!AF7</f>
        <v>0</v>
      </c>
      <c r="F41" s="143">
        <f>'Cálculos irradiancia'!AQ7</f>
        <v>0</v>
      </c>
      <c r="G41" s="143">
        <f>'Cálculos irradiancia'!BB7</f>
        <v>0</v>
      </c>
      <c r="H41" s="143">
        <f>'Cálculos irradiancia'!BM7</f>
        <v>0</v>
      </c>
      <c r="I41" s="143">
        <f>'Cálculos irradiancia'!J39</f>
        <v>0</v>
      </c>
      <c r="J41" s="143">
        <f>'Cálculos irradiancia'!U39</f>
        <v>0</v>
      </c>
      <c r="K41" s="143">
        <f>'Cálculos irradiancia'!AF39</f>
        <v>0</v>
      </c>
      <c r="L41" s="143">
        <f>'Cálculos irradiancia'!AQ39</f>
        <v>0</v>
      </c>
      <c r="M41" s="143">
        <f>'Cálculos irradiancia'!BB39</f>
        <v>0</v>
      </c>
      <c r="N41" s="144">
        <f>'Cálculos irradiancia'!BM39</f>
        <v>0</v>
      </c>
    </row>
    <row r="42" spans="2:14" x14ac:dyDescent="0.25">
      <c r="B42" s="228">
        <v>8.3333333333333301E-2</v>
      </c>
      <c r="C42" s="145">
        <f>'Cálculos irradiancia'!J8</f>
        <v>0</v>
      </c>
      <c r="D42" s="130">
        <f>'Cálculos irradiancia'!U8</f>
        <v>0</v>
      </c>
      <c r="E42" s="130">
        <f>'Cálculos irradiancia'!AF8</f>
        <v>0</v>
      </c>
      <c r="F42" s="130">
        <f>'Cálculos irradiancia'!AQ8</f>
        <v>0</v>
      </c>
      <c r="G42" s="130">
        <f>'Cálculos irradiancia'!BB8</f>
        <v>0</v>
      </c>
      <c r="H42" s="130">
        <f>'Cálculos irradiancia'!BM8</f>
        <v>0</v>
      </c>
      <c r="I42" s="130">
        <f>'Cálculos irradiancia'!J40</f>
        <v>0</v>
      </c>
      <c r="J42" s="130">
        <f>'Cálculos irradiancia'!U40</f>
        <v>0</v>
      </c>
      <c r="K42" s="130">
        <f>'Cálculos irradiancia'!AF40</f>
        <v>0</v>
      </c>
      <c r="L42" s="130">
        <f>'Cálculos irradiancia'!AQ40</f>
        <v>0</v>
      </c>
      <c r="M42" s="130">
        <f>'Cálculos irradiancia'!BB40</f>
        <v>0</v>
      </c>
      <c r="N42" s="146">
        <f>'Cálculos irradiancia'!BM40</f>
        <v>0</v>
      </c>
    </row>
    <row r="43" spans="2:14" x14ac:dyDescent="0.25">
      <c r="B43" s="228">
        <v>0.125</v>
      </c>
      <c r="C43" s="145">
        <f>'Cálculos irradiancia'!J9</f>
        <v>0</v>
      </c>
      <c r="D43" s="130">
        <f>'Cálculos irradiancia'!U9</f>
        <v>0</v>
      </c>
      <c r="E43" s="130">
        <f>'Cálculos irradiancia'!AF9</f>
        <v>0</v>
      </c>
      <c r="F43" s="130">
        <f>'Cálculos irradiancia'!AQ9</f>
        <v>0</v>
      </c>
      <c r="G43" s="130">
        <f>'Cálculos irradiancia'!BB9</f>
        <v>0</v>
      </c>
      <c r="H43" s="130">
        <f>'Cálculos irradiancia'!BM9</f>
        <v>0</v>
      </c>
      <c r="I43" s="130">
        <f>'Cálculos irradiancia'!J41</f>
        <v>0</v>
      </c>
      <c r="J43" s="130">
        <f>'Cálculos irradiancia'!U41</f>
        <v>0</v>
      </c>
      <c r="K43" s="130">
        <f>'Cálculos irradiancia'!AF41</f>
        <v>0</v>
      </c>
      <c r="L43" s="130">
        <f>'Cálculos irradiancia'!AQ41</f>
        <v>0</v>
      </c>
      <c r="M43" s="130">
        <f>'Cálculos irradiancia'!BB41</f>
        <v>0</v>
      </c>
      <c r="N43" s="146">
        <f>'Cálculos irradiancia'!BM41</f>
        <v>0</v>
      </c>
    </row>
    <row r="44" spans="2:14" x14ac:dyDescent="0.25">
      <c r="B44" s="228">
        <v>0.16666666666666699</v>
      </c>
      <c r="C44" s="145">
        <f>'Cálculos irradiancia'!J10</f>
        <v>0</v>
      </c>
      <c r="D44" s="130">
        <f>'Cálculos irradiancia'!U10</f>
        <v>0</v>
      </c>
      <c r="E44" s="130">
        <f>'Cálculos irradiancia'!AF10</f>
        <v>0</v>
      </c>
      <c r="F44" s="130">
        <f>'Cálculos irradiancia'!AQ10</f>
        <v>0</v>
      </c>
      <c r="G44" s="130">
        <f>'Cálculos irradiancia'!BB10</f>
        <v>0</v>
      </c>
      <c r="H44" s="130">
        <f>'Cálculos irradiancia'!BM10</f>
        <v>0</v>
      </c>
      <c r="I44" s="130">
        <f>'Cálculos irradiancia'!J42</f>
        <v>0</v>
      </c>
      <c r="J44" s="130">
        <f>'Cálculos irradiancia'!U42</f>
        <v>0</v>
      </c>
      <c r="K44" s="130">
        <f>'Cálculos irradiancia'!AF42</f>
        <v>0</v>
      </c>
      <c r="L44" s="130">
        <f>'Cálculos irradiancia'!AQ42</f>
        <v>0</v>
      </c>
      <c r="M44" s="130">
        <f>'Cálculos irradiancia'!BB42</f>
        <v>0</v>
      </c>
      <c r="N44" s="146">
        <f>'Cálculos irradiancia'!BM42</f>
        <v>0</v>
      </c>
    </row>
    <row r="45" spans="2:14" x14ac:dyDescent="0.25">
      <c r="B45" s="228">
        <v>0.20833333333333301</v>
      </c>
      <c r="C45" s="145">
        <f>'Cálculos irradiancia'!J11</f>
        <v>0</v>
      </c>
      <c r="D45" s="130">
        <f>'Cálculos irradiancia'!U11</f>
        <v>0</v>
      </c>
      <c r="E45" s="130">
        <f>'Cálculos irradiancia'!AF11</f>
        <v>0</v>
      </c>
      <c r="F45" s="130">
        <f>'Cálculos irradiancia'!AQ11</f>
        <v>0</v>
      </c>
      <c r="G45" s="130">
        <f>'Cálculos irradiancia'!BB11</f>
        <v>0</v>
      </c>
      <c r="H45" s="130">
        <f>'Cálculos irradiancia'!BM11</f>
        <v>0</v>
      </c>
      <c r="I45" s="130">
        <f>'Cálculos irradiancia'!J43</f>
        <v>0</v>
      </c>
      <c r="J45" s="130">
        <f>'Cálculos irradiancia'!U43</f>
        <v>0</v>
      </c>
      <c r="K45" s="130">
        <f>'Cálculos irradiancia'!AF43</f>
        <v>0</v>
      </c>
      <c r="L45" s="130">
        <f>'Cálculos irradiancia'!AQ43</f>
        <v>0</v>
      </c>
      <c r="M45" s="130">
        <f>'Cálculos irradiancia'!BB43</f>
        <v>0</v>
      </c>
      <c r="N45" s="146">
        <f>'Cálculos irradiancia'!BM43</f>
        <v>0</v>
      </c>
    </row>
    <row r="46" spans="2:14" x14ac:dyDescent="0.25">
      <c r="B46" s="228">
        <v>0.25</v>
      </c>
      <c r="C46" s="145">
        <f>'Cálculos irradiancia'!J12</f>
        <v>0</v>
      </c>
      <c r="D46" s="130">
        <f>'Cálculos irradiancia'!U12</f>
        <v>0</v>
      </c>
      <c r="E46" s="130">
        <f>'Cálculos irradiancia'!AF12</f>
        <v>0</v>
      </c>
      <c r="F46" s="130">
        <f>'Cálculos irradiancia'!AQ12</f>
        <v>20.713917494290275</v>
      </c>
      <c r="G46" s="130">
        <f>'Cálculos irradiancia'!BB12</f>
        <v>19.963886908512393</v>
      </c>
      <c r="H46" s="130">
        <f>'Cálculos irradiancia'!BM12</f>
        <v>21.977541840698802</v>
      </c>
      <c r="I46" s="130">
        <f>'Cálculos irradiancia'!J44</f>
        <v>38.755126943331845</v>
      </c>
      <c r="J46" s="130">
        <f>'Cálculos irradiancia'!U44</f>
        <v>23.0324023661003</v>
      </c>
      <c r="K46" s="130">
        <f>'Cálculos irradiancia'!AF44</f>
        <v>0</v>
      </c>
      <c r="L46" s="130">
        <f>'Cálculos irradiancia'!AQ44</f>
        <v>0</v>
      </c>
      <c r="M46" s="130">
        <f>'Cálculos irradiancia'!BB44</f>
        <v>0</v>
      </c>
      <c r="N46" s="146">
        <f>'Cálculos irradiancia'!BM44</f>
        <v>0</v>
      </c>
    </row>
    <row r="47" spans="2:14" x14ac:dyDescent="0.25">
      <c r="B47" s="228">
        <v>0.29166666666666702</v>
      </c>
      <c r="C47" s="145">
        <f>'Cálculos irradiancia'!J13</f>
        <v>9.5848272442036055</v>
      </c>
      <c r="D47" s="130">
        <f>'Cálculos irradiancia'!U13</f>
        <v>29.303961033813035</v>
      </c>
      <c r="E47" s="130">
        <f>'Cálculos irradiancia'!AF13</f>
        <v>53.863458056113238</v>
      </c>
      <c r="F47" s="130">
        <f>'Cálculos irradiancia'!AQ13</f>
        <v>67.763793731686334</v>
      </c>
      <c r="G47" s="130">
        <f>'Cálculos irradiancia'!BB13</f>
        <v>45.300523297816028</v>
      </c>
      <c r="H47" s="130">
        <f>'Cálculos irradiancia'!BM13</f>
        <v>45.557032043701405</v>
      </c>
      <c r="I47" s="130">
        <f>'Cálculos irradiancia'!J45</f>
        <v>87.145612254481733</v>
      </c>
      <c r="J47" s="130">
        <f>'Cálculos irradiancia'!U45</f>
        <v>74.547445995465509</v>
      </c>
      <c r="K47" s="130">
        <f>'Cálculos irradiancia'!AF45</f>
        <v>37.48817941281709</v>
      </c>
      <c r="L47" s="130">
        <f>'Cálculos irradiancia'!AQ45</f>
        <v>15.970935450386678</v>
      </c>
      <c r="M47" s="130">
        <f>'Cálculos irradiancia'!BB45</f>
        <v>6.5888143804307262</v>
      </c>
      <c r="N47" s="146">
        <f>'Cálculos irradiancia'!BM45</f>
        <v>2.9252741750074618</v>
      </c>
    </row>
    <row r="48" spans="2:14" x14ac:dyDescent="0.25">
      <c r="B48" s="228">
        <v>0.33333333333333298</v>
      </c>
      <c r="C48" s="145">
        <f>'Cálculos irradiancia'!J14</f>
        <v>51.704349577242716</v>
      </c>
      <c r="D48" s="130">
        <f>'Cálculos irradiancia'!U14</f>
        <v>76.917522247092933</v>
      </c>
      <c r="E48" s="130">
        <f>'Cálculos irradiancia'!AF14</f>
        <v>104.82772355498061</v>
      </c>
      <c r="F48" s="130">
        <f>'Cálculos irradiancia'!AQ14</f>
        <v>111.6072986571007</v>
      </c>
      <c r="G48" s="130">
        <f>'Cálculos irradiancia'!BB14</f>
        <v>68.910509787959995</v>
      </c>
      <c r="H48" s="130">
        <f>'Cálculos irradiancia'!BM14</f>
        <v>67.529618956319382</v>
      </c>
      <c r="I48" s="130">
        <f>'Cálculos irradiancia'!J46</f>
        <v>132.23836596073482</v>
      </c>
      <c r="J48" s="130">
        <f>'Cálculos irradiancia'!U46</f>
        <v>122.55182453412434</v>
      </c>
      <c r="K48" s="130">
        <f>'Cálculos irradiancia'!AF46</f>
        <v>72.688041208788306</v>
      </c>
      <c r="L48" s="130">
        <f>'Cálculos irradiancia'!AQ46</f>
        <v>42.888201440239051</v>
      </c>
      <c r="M48" s="130">
        <f>'Cálculos irradiancia'!BB46</f>
        <v>37.42397097048709</v>
      </c>
      <c r="N48" s="146">
        <f>'Cálculos irradiancia'!BM46</f>
        <v>43.048815336566157</v>
      </c>
    </row>
    <row r="49" spans="2:14" x14ac:dyDescent="0.25">
      <c r="B49" s="228">
        <v>0.375</v>
      </c>
      <c r="C49" s="145">
        <f>'Cálculos irradiancia'!J15</f>
        <v>87.873203370937532</v>
      </c>
      <c r="D49" s="130">
        <f>'Cálculos irradiancia'!U15</f>
        <v>117.80421418304108</v>
      </c>
      <c r="E49" s="130">
        <f>'Cálculos irradiancia'!AF15</f>
        <v>148.59173049115739</v>
      </c>
      <c r="F49" s="130">
        <f>'Cálculos irradiancia'!AQ15</f>
        <v>149.25656986468397</v>
      </c>
      <c r="G49" s="130">
        <f>'Cálculos irradiancia'!BB15</f>
        <v>89.184864816988423</v>
      </c>
      <c r="H49" s="130">
        <f>'Cálculos irradiancia'!BM15</f>
        <v>86.397907091874515</v>
      </c>
      <c r="I49" s="130">
        <f>'Cálculos irradiancia'!J47</f>
        <v>170.96039141630882</v>
      </c>
      <c r="J49" s="130">
        <f>'Cálculos irradiancia'!U47</f>
        <v>163.7741189156535</v>
      </c>
      <c r="K49" s="130">
        <f>'Cálculos irradiancia'!AF47</f>
        <v>102.91484779006994</v>
      </c>
      <c r="L49" s="130">
        <f>'Cálculos irradiancia'!AQ47</f>
        <v>66.002581760485128</v>
      </c>
      <c r="M49" s="130">
        <f>'Cálculos irradiancia'!BB47</f>
        <v>63.902720221083399</v>
      </c>
      <c r="N49" s="146">
        <f>'Cálculos irradiancia'!BM47</f>
        <v>77.503681241333396</v>
      </c>
    </row>
    <row r="50" spans="2:14" x14ac:dyDescent="0.25">
      <c r="B50" s="228">
        <v>0.41666666666666702</v>
      </c>
      <c r="C50" s="145">
        <f>'Cálculos irradiancia'!J16</f>
        <v>115.62654101110475</v>
      </c>
      <c r="D50" s="130">
        <f>'Cálculos irradiancia'!U16</f>
        <v>149.17767635467581</v>
      </c>
      <c r="E50" s="130">
        <f>'Cálculos irradiancia'!AF16</f>
        <v>182.1730341153843</v>
      </c>
      <c r="F50" s="130">
        <f>'Cálculos irradiancia'!AQ16</f>
        <v>178.14587174000181</v>
      </c>
      <c r="G50" s="130">
        <f>'Cálculos irradiancia'!BB16</f>
        <v>104.74192459462888</v>
      </c>
      <c r="H50" s="130">
        <f>'Cálculos irradiancia'!BM16</f>
        <v>100.87605379524919</v>
      </c>
      <c r="I50" s="130">
        <f>'Cálculos irradiancia'!J48</f>
        <v>200.67284657757904</v>
      </c>
      <c r="J50" s="130">
        <f>'Cálculos irradiancia'!U48</f>
        <v>195.4050979010143</v>
      </c>
      <c r="K50" s="130">
        <f>'Cálculos irradiancia'!AF48</f>
        <v>126.10869224030742</v>
      </c>
      <c r="L50" s="130">
        <f>'Cálculos irradiancia'!AQ48</f>
        <v>83.7388695906197</v>
      </c>
      <c r="M50" s="130">
        <f>'Cálculos irradiancia'!BB48</f>
        <v>84.220579128993606</v>
      </c>
      <c r="N50" s="146">
        <f>'Cálculos irradiancia'!BM48</f>
        <v>103.94182971725743</v>
      </c>
    </row>
    <row r="51" spans="2:14" x14ac:dyDescent="0.25">
      <c r="B51" s="228">
        <v>0.45833333333333298</v>
      </c>
      <c r="C51" s="145">
        <f>'Cálculos irradiancia'!J17</f>
        <v>133.073018402126</v>
      </c>
      <c r="D51" s="130">
        <f>'Cálculos irradiancia'!U17</f>
        <v>168.8998591620979</v>
      </c>
      <c r="E51" s="130">
        <f>'Cálculos irradiancia'!AF17</f>
        <v>203.28312408139834</v>
      </c>
      <c r="F51" s="130">
        <f>'Cálculos irradiancia'!AQ17</f>
        <v>196.30644610208</v>
      </c>
      <c r="G51" s="130">
        <f>'Cálculos irradiancia'!BB17</f>
        <v>114.52150120629204</v>
      </c>
      <c r="H51" s="130">
        <f>'Cálculos irradiancia'!BM17</f>
        <v>109.97739729487711</v>
      </c>
      <c r="I51" s="130">
        <f>'Cálculos irradiancia'!J49</f>
        <v>219.35087672745868</v>
      </c>
      <c r="J51" s="130">
        <f>'Cálculos irradiancia'!U49</f>
        <v>215.28916254501871</v>
      </c>
      <c r="K51" s="130">
        <f>'Cálculos irradiancia'!AF49</f>
        <v>140.68895238985723</v>
      </c>
      <c r="L51" s="130">
        <f>'Cálculos irradiancia'!AQ49</f>
        <v>94.888366225620587</v>
      </c>
      <c r="M51" s="130">
        <f>'Cálculos irradiancia'!BB49</f>
        <v>96.992919186493083</v>
      </c>
      <c r="N51" s="146">
        <f>'Cálculos irradiancia'!BM49</f>
        <v>120.56154463681015</v>
      </c>
    </row>
    <row r="52" spans="2:14" x14ac:dyDescent="0.25">
      <c r="B52" s="228">
        <v>0.5</v>
      </c>
      <c r="C52" s="145">
        <f>'Cálculos irradiancia'!J18</f>
        <v>139.02368694147026</v>
      </c>
      <c r="D52" s="130">
        <f>'Cálculos irradiancia'!U18</f>
        <v>175.6267284394296</v>
      </c>
      <c r="E52" s="130">
        <f>'Cálculos irradiancia'!AF18</f>
        <v>210.48338264408886</v>
      </c>
      <c r="F52" s="130">
        <f>'Cálculos irradiancia'!AQ18</f>
        <v>202.50067981991108</v>
      </c>
      <c r="G52" s="130">
        <f>'Cálculos irradiancia'!BB18</f>
        <v>117.85713266740757</v>
      </c>
      <c r="H52" s="130">
        <f>'Cálculos irradiancia'!BM18</f>
        <v>113.08169607193994</v>
      </c>
      <c r="I52" s="130">
        <f>'Cálculos irradiancia'!J50</f>
        <v>225.72160497813778</v>
      </c>
      <c r="J52" s="130">
        <f>'Cálculos irradiancia'!U50</f>
        <v>222.0712467021483</v>
      </c>
      <c r="K52" s="130">
        <f>'Cálculos irradiancia'!AF50</f>
        <v>145.6620076045468</v>
      </c>
      <c r="L52" s="130">
        <f>'Cálculos irradiancia'!AQ50</f>
        <v>98.691251895226884</v>
      </c>
      <c r="M52" s="130">
        <f>'Cálculos irradiancia'!BB50</f>
        <v>101.34932652595312</v>
      </c>
      <c r="N52" s="146">
        <f>'Cálculos irradiancia'!BM50</f>
        <v>126.2302198936016</v>
      </c>
    </row>
    <row r="53" spans="2:14" x14ac:dyDescent="0.25">
      <c r="B53" s="228">
        <v>0.54166666666666696</v>
      </c>
      <c r="C53" s="145">
        <f>'Cálculos irradiancia'!J19</f>
        <v>133.073018402126</v>
      </c>
      <c r="D53" s="130">
        <f>'Cálculos irradiancia'!U19</f>
        <v>168.8998591620979</v>
      </c>
      <c r="E53" s="130">
        <f>'Cálculos irradiancia'!AF19</f>
        <v>203.28312408139834</v>
      </c>
      <c r="F53" s="130">
        <f>'Cálculos irradiancia'!AQ19</f>
        <v>196.30644610208</v>
      </c>
      <c r="G53" s="130">
        <f>'Cálculos irradiancia'!BB19</f>
        <v>114.52150120629204</v>
      </c>
      <c r="H53" s="130">
        <f>'Cálculos irradiancia'!BM19</f>
        <v>109.97739729487711</v>
      </c>
      <c r="I53" s="130">
        <f>'Cálculos irradiancia'!J51</f>
        <v>219.35087672745868</v>
      </c>
      <c r="J53" s="130">
        <f>'Cálculos irradiancia'!U51</f>
        <v>215.28916254501871</v>
      </c>
      <c r="K53" s="130">
        <f>'Cálculos irradiancia'!AF51</f>
        <v>140.68895238985723</v>
      </c>
      <c r="L53" s="130">
        <f>'Cálculos irradiancia'!AQ51</f>
        <v>94.888366225620587</v>
      </c>
      <c r="M53" s="130">
        <f>'Cálculos irradiancia'!BB51</f>
        <v>96.992919186493083</v>
      </c>
      <c r="N53" s="146">
        <f>'Cálculos irradiancia'!BM51</f>
        <v>120.56154463681015</v>
      </c>
    </row>
    <row r="54" spans="2:14" x14ac:dyDescent="0.25">
      <c r="B54" s="228">
        <v>0.58333333333333304</v>
      </c>
      <c r="C54" s="145">
        <f>'Cálculos irradiancia'!J20</f>
        <v>115.62654101110475</v>
      </c>
      <c r="D54" s="130">
        <f>'Cálculos irradiancia'!U20</f>
        <v>149.17767635467581</v>
      </c>
      <c r="E54" s="130">
        <f>'Cálculos irradiancia'!AF20</f>
        <v>182.1730341153843</v>
      </c>
      <c r="F54" s="130">
        <f>'Cálculos irradiancia'!AQ20</f>
        <v>178.14587174000181</v>
      </c>
      <c r="G54" s="130">
        <f>'Cálculos irradiancia'!BB20</f>
        <v>104.74192459462888</v>
      </c>
      <c r="H54" s="130">
        <f>'Cálculos irradiancia'!BM20</f>
        <v>100.87605379524919</v>
      </c>
      <c r="I54" s="130">
        <f>'Cálculos irradiancia'!J52</f>
        <v>200.67284657757904</v>
      </c>
      <c r="J54" s="130">
        <f>'Cálculos irradiancia'!U52</f>
        <v>195.4050979010143</v>
      </c>
      <c r="K54" s="130">
        <f>'Cálculos irradiancia'!AF52</f>
        <v>126.10869224030742</v>
      </c>
      <c r="L54" s="130">
        <f>'Cálculos irradiancia'!AQ52</f>
        <v>83.7388695906197</v>
      </c>
      <c r="M54" s="130">
        <f>'Cálculos irradiancia'!BB52</f>
        <v>84.220579128993606</v>
      </c>
      <c r="N54" s="146">
        <f>'Cálculos irradiancia'!BM52</f>
        <v>103.94182971725743</v>
      </c>
    </row>
    <row r="55" spans="2:14" x14ac:dyDescent="0.25">
      <c r="B55" s="228">
        <v>0.625</v>
      </c>
      <c r="C55" s="145">
        <f>'Cálculos irradiancia'!J21</f>
        <v>87.873203370937532</v>
      </c>
      <c r="D55" s="130">
        <f>'Cálculos irradiancia'!U21</f>
        <v>117.80421418304108</v>
      </c>
      <c r="E55" s="130">
        <f>'Cálculos irradiancia'!AF21</f>
        <v>148.59173049115739</v>
      </c>
      <c r="F55" s="130">
        <f>'Cálculos irradiancia'!AQ21</f>
        <v>149.25656986468397</v>
      </c>
      <c r="G55" s="130">
        <f>'Cálculos irradiancia'!BB21</f>
        <v>89.184864816988423</v>
      </c>
      <c r="H55" s="130">
        <f>'Cálculos irradiancia'!BM21</f>
        <v>86.397907091874515</v>
      </c>
      <c r="I55" s="130">
        <f>'Cálculos irradiancia'!J53</f>
        <v>170.96039141630882</v>
      </c>
      <c r="J55" s="130">
        <f>'Cálculos irradiancia'!U53</f>
        <v>163.7741189156535</v>
      </c>
      <c r="K55" s="130">
        <f>'Cálculos irradiancia'!AF53</f>
        <v>102.91484779006994</v>
      </c>
      <c r="L55" s="130">
        <f>'Cálculos irradiancia'!AQ53</f>
        <v>66.002581760485128</v>
      </c>
      <c r="M55" s="130">
        <f>'Cálculos irradiancia'!BB53</f>
        <v>63.902720221083399</v>
      </c>
      <c r="N55" s="146">
        <f>'Cálculos irradiancia'!BM53</f>
        <v>77.503681241333396</v>
      </c>
    </row>
    <row r="56" spans="2:14" x14ac:dyDescent="0.25">
      <c r="B56" s="228">
        <v>0.66666666666666696</v>
      </c>
      <c r="C56" s="145">
        <f>'Cálculos irradiancia'!J22</f>
        <v>51.704349577242716</v>
      </c>
      <c r="D56" s="130">
        <f>'Cálculos irradiancia'!U22</f>
        <v>76.917522247092933</v>
      </c>
      <c r="E56" s="130">
        <f>'Cálculos irradiancia'!AF22</f>
        <v>104.82772355498061</v>
      </c>
      <c r="F56" s="130">
        <f>'Cálculos irradiancia'!AQ22</f>
        <v>111.6072986571007</v>
      </c>
      <c r="G56" s="130">
        <f>'Cálculos irradiancia'!BB22</f>
        <v>68.910509787959995</v>
      </c>
      <c r="H56" s="130">
        <f>'Cálculos irradiancia'!BM22</f>
        <v>67.529618956319382</v>
      </c>
      <c r="I56" s="130">
        <f>'Cálculos irradiancia'!J54</f>
        <v>132.23836596073482</v>
      </c>
      <c r="J56" s="130">
        <f>'Cálculos irradiancia'!U54</f>
        <v>122.55182453412434</v>
      </c>
      <c r="K56" s="130">
        <f>'Cálculos irradiancia'!AF54</f>
        <v>72.688041208788306</v>
      </c>
      <c r="L56" s="130">
        <f>'Cálculos irradiancia'!AQ54</f>
        <v>42.888201440239051</v>
      </c>
      <c r="M56" s="130">
        <f>'Cálculos irradiancia'!BB54</f>
        <v>37.42397097048709</v>
      </c>
      <c r="N56" s="146">
        <f>'Cálculos irradiancia'!BM54</f>
        <v>43.048815336566157</v>
      </c>
    </row>
    <row r="57" spans="2:14" x14ac:dyDescent="0.25">
      <c r="B57" s="228">
        <v>0.70833333333333304</v>
      </c>
      <c r="C57" s="145">
        <f>'Cálculos irradiancia'!J23</f>
        <v>9.5848272442036055</v>
      </c>
      <c r="D57" s="130">
        <f>'Cálculos irradiancia'!U23</f>
        <v>29.303961033813035</v>
      </c>
      <c r="E57" s="130">
        <f>'Cálculos irradiancia'!AF23</f>
        <v>53.863458056113238</v>
      </c>
      <c r="F57" s="130">
        <f>'Cálculos irradiancia'!AQ23</f>
        <v>67.763793731686334</v>
      </c>
      <c r="G57" s="130">
        <f>'Cálculos irradiancia'!BB23</f>
        <v>45.300523297816028</v>
      </c>
      <c r="H57" s="130">
        <f>'Cálculos irradiancia'!BM23</f>
        <v>45.557032043701405</v>
      </c>
      <c r="I57" s="130">
        <f>'Cálculos irradiancia'!J55</f>
        <v>87.145612254481733</v>
      </c>
      <c r="J57" s="130">
        <f>'Cálculos irradiancia'!U55</f>
        <v>74.547445995465509</v>
      </c>
      <c r="K57" s="130">
        <f>'Cálculos irradiancia'!AF55</f>
        <v>37.48817941281709</v>
      </c>
      <c r="L57" s="130">
        <f>'Cálculos irradiancia'!AQ55</f>
        <v>15.970935450386678</v>
      </c>
      <c r="M57" s="130">
        <f>'Cálculos irradiancia'!BB55</f>
        <v>6.5888143804307262</v>
      </c>
      <c r="N57" s="146">
        <f>'Cálculos irradiancia'!BM55</f>
        <v>2.9252741750074618</v>
      </c>
    </row>
    <row r="58" spans="2:14" x14ac:dyDescent="0.25">
      <c r="B58" s="228">
        <v>0.75</v>
      </c>
      <c r="C58" s="145">
        <f>'Cálculos irradiancia'!J24</f>
        <v>0</v>
      </c>
      <c r="D58" s="130">
        <f>'Cálculos irradiancia'!U24</f>
        <v>0</v>
      </c>
      <c r="E58" s="130">
        <f>'Cálculos irradiancia'!AF24</f>
        <v>0</v>
      </c>
      <c r="F58" s="130">
        <f>'Cálculos irradiancia'!AQ24</f>
        <v>20.713917494290275</v>
      </c>
      <c r="G58" s="130">
        <f>'Cálculos irradiancia'!BB24</f>
        <v>19.963886908512393</v>
      </c>
      <c r="H58" s="130">
        <f>'Cálculos irradiancia'!BM24</f>
        <v>21.977541840698802</v>
      </c>
      <c r="I58" s="130">
        <f>'Cálculos irradiancia'!J56</f>
        <v>38.755126943331845</v>
      </c>
      <c r="J58" s="130">
        <f>'Cálculos irradiancia'!U56</f>
        <v>23.0324023661003</v>
      </c>
      <c r="K58" s="130">
        <f>'Cálculos irradiancia'!AF56</f>
        <v>0</v>
      </c>
      <c r="L58" s="130">
        <f>'Cálculos irradiancia'!AQ56</f>
        <v>0</v>
      </c>
      <c r="M58" s="130">
        <f>'Cálculos irradiancia'!BB56</f>
        <v>0</v>
      </c>
      <c r="N58" s="146">
        <f>'Cálculos irradiancia'!BM56</f>
        <v>0</v>
      </c>
    </row>
    <row r="59" spans="2:14" x14ac:dyDescent="0.25">
      <c r="B59" s="228">
        <v>0.79166666666666696</v>
      </c>
      <c r="C59" s="145">
        <f>'Cálculos irradiancia'!J25</f>
        <v>0</v>
      </c>
      <c r="D59" s="130">
        <f>'Cálculos irradiancia'!U25</f>
        <v>0</v>
      </c>
      <c r="E59" s="130">
        <f>'Cálculos irradiancia'!AF25</f>
        <v>0</v>
      </c>
      <c r="F59" s="130">
        <f>'Cálculos irradiancia'!AQ25</f>
        <v>0</v>
      </c>
      <c r="G59" s="130">
        <f>'Cálculos irradiancia'!BB25</f>
        <v>0</v>
      </c>
      <c r="H59" s="130">
        <f>'Cálculos irradiancia'!BM25</f>
        <v>0</v>
      </c>
      <c r="I59" s="130">
        <f>'Cálculos irradiancia'!J57</f>
        <v>0</v>
      </c>
      <c r="J59" s="130">
        <f>'Cálculos irradiancia'!U57</f>
        <v>0</v>
      </c>
      <c r="K59" s="130">
        <f>'Cálculos irradiancia'!AF57</f>
        <v>0</v>
      </c>
      <c r="L59" s="130">
        <f>'Cálculos irradiancia'!AQ57</f>
        <v>0</v>
      </c>
      <c r="M59" s="130">
        <f>'Cálculos irradiancia'!BB57</f>
        <v>0</v>
      </c>
      <c r="N59" s="146">
        <f>'Cálculos irradiancia'!BM57</f>
        <v>0</v>
      </c>
    </row>
    <row r="60" spans="2:14" x14ac:dyDescent="0.25">
      <c r="B60" s="228">
        <v>0.83333333333333304</v>
      </c>
      <c r="C60" s="145">
        <f>'Cálculos irradiancia'!J26</f>
        <v>0</v>
      </c>
      <c r="D60" s="130">
        <f>'Cálculos irradiancia'!U26</f>
        <v>0</v>
      </c>
      <c r="E60" s="130">
        <f>'Cálculos irradiancia'!AF26</f>
        <v>0</v>
      </c>
      <c r="F60" s="130">
        <f>'Cálculos irradiancia'!AQ26</f>
        <v>0</v>
      </c>
      <c r="G60" s="130">
        <f>'Cálculos irradiancia'!BB26</f>
        <v>0</v>
      </c>
      <c r="H60" s="130">
        <f>'Cálculos irradiancia'!BM26</f>
        <v>0</v>
      </c>
      <c r="I60" s="130">
        <f>'Cálculos irradiancia'!J58</f>
        <v>0</v>
      </c>
      <c r="J60" s="130">
        <f>'Cálculos irradiancia'!U58</f>
        <v>0</v>
      </c>
      <c r="K60" s="130">
        <f>'Cálculos irradiancia'!AF58</f>
        <v>0</v>
      </c>
      <c r="L60" s="130">
        <f>'Cálculos irradiancia'!AQ58</f>
        <v>0</v>
      </c>
      <c r="M60" s="130">
        <f>'Cálculos irradiancia'!BB58</f>
        <v>0</v>
      </c>
      <c r="N60" s="146">
        <f>'Cálculos irradiancia'!BM58</f>
        <v>0</v>
      </c>
    </row>
    <row r="61" spans="2:14" x14ac:dyDescent="0.25">
      <c r="B61" s="228">
        <v>0.875</v>
      </c>
      <c r="C61" s="145">
        <f>'Cálculos irradiancia'!J27</f>
        <v>0</v>
      </c>
      <c r="D61" s="130">
        <f>'Cálculos irradiancia'!U27</f>
        <v>0</v>
      </c>
      <c r="E61" s="130">
        <f>'Cálculos irradiancia'!AF27</f>
        <v>0</v>
      </c>
      <c r="F61" s="130">
        <f>'Cálculos irradiancia'!AQ27</f>
        <v>0</v>
      </c>
      <c r="G61" s="130">
        <f>'Cálculos irradiancia'!BB27</f>
        <v>0</v>
      </c>
      <c r="H61" s="130">
        <f>'Cálculos irradiancia'!BM27</f>
        <v>0</v>
      </c>
      <c r="I61" s="130">
        <f>'Cálculos irradiancia'!J59</f>
        <v>0</v>
      </c>
      <c r="J61" s="130">
        <f>'Cálculos irradiancia'!U59</f>
        <v>0</v>
      </c>
      <c r="K61" s="130">
        <f>'Cálculos irradiancia'!AF59</f>
        <v>0</v>
      </c>
      <c r="L61" s="130">
        <f>'Cálculos irradiancia'!AQ59</f>
        <v>0</v>
      </c>
      <c r="M61" s="130">
        <f>'Cálculos irradiancia'!BB59</f>
        <v>0</v>
      </c>
      <c r="N61" s="146">
        <f>'Cálculos irradiancia'!BM59</f>
        <v>0</v>
      </c>
    </row>
    <row r="62" spans="2:14" x14ac:dyDescent="0.25">
      <c r="B62" s="228">
        <v>0.91666666666666696</v>
      </c>
      <c r="C62" s="145">
        <f>'Cálculos irradiancia'!J28</f>
        <v>0</v>
      </c>
      <c r="D62" s="130">
        <f>'Cálculos irradiancia'!U28</f>
        <v>0</v>
      </c>
      <c r="E62" s="130">
        <f>'Cálculos irradiancia'!AF28</f>
        <v>0</v>
      </c>
      <c r="F62" s="130">
        <f>'Cálculos irradiancia'!AQ28</f>
        <v>0</v>
      </c>
      <c r="G62" s="130">
        <f>'Cálculos irradiancia'!BB28</f>
        <v>0</v>
      </c>
      <c r="H62" s="130">
        <f>'Cálculos irradiancia'!BM28</f>
        <v>0</v>
      </c>
      <c r="I62" s="130">
        <f>'Cálculos irradiancia'!J60</f>
        <v>0</v>
      </c>
      <c r="J62" s="130">
        <f>'Cálculos irradiancia'!U60</f>
        <v>0</v>
      </c>
      <c r="K62" s="130">
        <f>'Cálculos irradiancia'!AF60</f>
        <v>0</v>
      </c>
      <c r="L62" s="130">
        <f>'Cálculos irradiancia'!AQ60</f>
        <v>0</v>
      </c>
      <c r="M62" s="130">
        <f>'Cálculos irradiancia'!BB60</f>
        <v>0</v>
      </c>
      <c r="N62" s="146">
        <f>'Cálculos irradiancia'!BM60</f>
        <v>0</v>
      </c>
    </row>
    <row r="63" spans="2:14" x14ac:dyDescent="0.25">
      <c r="B63" s="228">
        <v>0.95833333333333304</v>
      </c>
      <c r="C63" s="145">
        <f>'Cálculos irradiancia'!J29</f>
        <v>0</v>
      </c>
      <c r="D63" s="130">
        <f>'Cálculos irradiancia'!U29</f>
        <v>0</v>
      </c>
      <c r="E63" s="130">
        <f>'Cálculos irradiancia'!AF29</f>
        <v>0</v>
      </c>
      <c r="F63" s="130">
        <f>'Cálculos irradiancia'!AQ29</f>
        <v>0</v>
      </c>
      <c r="G63" s="130">
        <f>'Cálculos irradiancia'!BB29</f>
        <v>0</v>
      </c>
      <c r="H63" s="130">
        <f>'Cálculos irradiancia'!BM29</f>
        <v>0</v>
      </c>
      <c r="I63" s="130">
        <f>'Cálculos irradiancia'!J61</f>
        <v>0</v>
      </c>
      <c r="J63" s="130">
        <f>'Cálculos irradiancia'!U61</f>
        <v>0</v>
      </c>
      <c r="K63" s="130">
        <f>'Cálculos irradiancia'!AF61</f>
        <v>0</v>
      </c>
      <c r="L63" s="130">
        <f>'Cálculos irradiancia'!AQ61</f>
        <v>0</v>
      </c>
      <c r="M63" s="130">
        <f>'Cálculos irradiancia'!BB61</f>
        <v>0</v>
      </c>
      <c r="N63" s="146">
        <f>'Cálculos irradiancia'!BM61</f>
        <v>0</v>
      </c>
    </row>
    <row r="64" spans="2:14" ht="15.75" thickBot="1" x14ac:dyDescent="0.3">
      <c r="B64" s="228">
        <v>1</v>
      </c>
      <c r="C64" s="147">
        <f>'Cálculos irradiancia'!J30</f>
        <v>0</v>
      </c>
      <c r="D64" s="148">
        <f>'Cálculos irradiancia'!U30</f>
        <v>0</v>
      </c>
      <c r="E64" s="148">
        <f>'Cálculos irradiancia'!AF30</f>
        <v>0</v>
      </c>
      <c r="F64" s="148">
        <f>'Cálculos irradiancia'!AQ30</f>
        <v>0</v>
      </c>
      <c r="G64" s="148">
        <f>'Cálculos irradiancia'!BB30</f>
        <v>0</v>
      </c>
      <c r="H64" s="148">
        <f>'Cálculos irradiancia'!BM30</f>
        <v>0</v>
      </c>
      <c r="I64" s="148">
        <f>'Cálculos irradiancia'!J62</f>
        <v>0</v>
      </c>
      <c r="J64" s="148">
        <f>'Cálculos irradiancia'!U62</f>
        <v>0</v>
      </c>
      <c r="K64" s="148">
        <f>'Cálculos irradiancia'!AF62</f>
        <v>0</v>
      </c>
      <c r="L64" s="148">
        <f>'Cálculos irradiancia'!AQ62</f>
        <v>0</v>
      </c>
      <c r="M64" s="148">
        <f>'Cálculos irradiancia'!BB62</f>
        <v>0</v>
      </c>
      <c r="N64" s="149">
        <f>'Cálculos irradiancia'!BM62</f>
        <v>0</v>
      </c>
    </row>
    <row r="66" spans="2:14" x14ac:dyDescent="0.25">
      <c r="B66" s="297" t="s">
        <v>206</v>
      </c>
      <c r="C66" s="297"/>
      <c r="D66" s="297"/>
      <c r="E66" s="297"/>
      <c r="F66" s="297"/>
      <c r="G66" s="297"/>
      <c r="H66" s="297"/>
      <c r="I66" s="297"/>
      <c r="J66" s="297"/>
      <c r="K66" s="297"/>
      <c r="L66" s="297"/>
      <c r="M66" s="297"/>
      <c r="N66" s="297"/>
    </row>
    <row r="67" spans="2:14" x14ac:dyDescent="0.25">
      <c r="B67" s="298" t="s">
        <v>1</v>
      </c>
      <c r="C67" s="299"/>
      <c r="D67" s="213" t="str">
        <f>D35</f>
        <v>Hermosillo, Son.</v>
      </c>
      <c r="E67" s="214"/>
      <c r="F67" s="298" t="s">
        <v>170</v>
      </c>
      <c r="G67" s="299"/>
      <c r="H67" s="216">
        <f>H35</f>
        <v>29.08</v>
      </c>
      <c r="I67" s="298" t="s">
        <v>202</v>
      </c>
      <c r="J67" s="299"/>
      <c r="K67" s="215">
        <f>K35</f>
        <v>-110.93</v>
      </c>
      <c r="L67" s="298" t="s">
        <v>201</v>
      </c>
      <c r="M67" s="299"/>
      <c r="N67" s="215">
        <f>N35</f>
        <v>211</v>
      </c>
    </row>
    <row r="68" spans="2:14" x14ac:dyDescent="0.25">
      <c r="B68" s="216"/>
      <c r="C68" s="338" t="s">
        <v>175</v>
      </c>
      <c r="D68" s="339"/>
      <c r="E68" s="339"/>
      <c r="F68" s="339"/>
      <c r="G68" s="339"/>
      <c r="H68" s="339"/>
      <c r="I68" s="339"/>
      <c r="J68" s="339"/>
      <c r="K68" s="339"/>
      <c r="L68" s="339"/>
      <c r="M68" s="339"/>
      <c r="N68" s="340"/>
    </row>
    <row r="69" spans="2:14" ht="15.75" thickBot="1" x14ac:dyDescent="0.3">
      <c r="B69" s="210" t="s">
        <v>195</v>
      </c>
      <c r="C69" s="211" t="s">
        <v>5</v>
      </c>
      <c r="D69" s="211" t="s">
        <v>6</v>
      </c>
      <c r="E69" s="211" t="s">
        <v>7</v>
      </c>
      <c r="F69" s="211" t="s">
        <v>8</v>
      </c>
      <c r="G69" s="211" t="s">
        <v>9</v>
      </c>
      <c r="H69" s="211" t="s">
        <v>10</v>
      </c>
      <c r="I69" s="211" t="s">
        <v>11</v>
      </c>
      <c r="J69" s="211" t="s">
        <v>12</v>
      </c>
      <c r="K69" s="211" t="s">
        <v>13</v>
      </c>
      <c r="L69" s="211" t="s">
        <v>14</v>
      </c>
      <c r="M69" s="211" t="s">
        <v>15</v>
      </c>
      <c r="N69" s="211" t="s">
        <v>16</v>
      </c>
    </row>
    <row r="70" spans="2:14" x14ac:dyDescent="0.25">
      <c r="B70" s="228">
        <v>4.1666666666666699E-2</v>
      </c>
      <c r="C70" s="142">
        <f t="shared" ref="C70:N70" si="2">+C9-C41</f>
        <v>0</v>
      </c>
      <c r="D70" s="143">
        <f t="shared" si="2"/>
        <v>0</v>
      </c>
      <c r="E70" s="143">
        <f t="shared" si="2"/>
        <v>0</v>
      </c>
      <c r="F70" s="143">
        <f t="shared" si="2"/>
        <v>0</v>
      </c>
      <c r="G70" s="143">
        <f t="shared" si="2"/>
        <v>0</v>
      </c>
      <c r="H70" s="143">
        <f t="shared" si="2"/>
        <v>0</v>
      </c>
      <c r="I70" s="143">
        <f t="shared" si="2"/>
        <v>0</v>
      </c>
      <c r="J70" s="143">
        <f t="shared" si="2"/>
        <v>0</v>
      </c>
      <c r="K70" s="143">
        <f t="shared" si="2"/>
        <v>0</v>
      </c>
      <c r="L70" s="143">
        <f t="shared" si="2"/>
        <v>0</v>
      </c>
      <c r="M70" s="143">
        <f t="shared" si="2"/>
        <v>0</v>
      </c>
      <c r="N70" s="144">
        <f t="shared" si="2"/>
        <v>0</v>
      </c>
    </row>
    <row r="71" spans="2:14" x14ac:dyDescent="0.25">
      <c r="B71" s="228">
        <v>8.3333333333333301E-2</v>
      </c>
      <c r="C71" s="145">
        <f t="shared" ref="C71:N71" si="3">+C10-C42</f>
        <v>0</v>
      </c>
      <c r="D71" s="130">
        <f t="shared" si="3"/>
        <v>0</v>
      </c>
      <c r="E71" s="130">
        <f t="shared" si="3"/>
        <v>0</v>
      </c>
      <c r="F71" s="130">
        <f t="shared" si="3"/>
        <v>0</v>
      </c>
      <c r="G71" s="130">
        <f t="shared" si="3"/>
        <v>0</v>
      </c>
      <c r="H71" s="130">
        <f t="shared" si="3"/>
        <v>0</v>
      </c>
      <c r="I71" s="130">
        <f t="shared" si="3"/>
        <v>0</v>
      </c>
      <c r="J71" s="130">
        <f t="shared" si="3"/>
        <v>0</v>
      </c>
      <c r="K71" s="130">
        <f t="shared" si="3"/>
        <v>0</v>
      </c>
      <c r="L71" s="130">
        <f t="shared" si="3"/>
        <v>0</v>
      </c>
      <c r="M71" s="130">
        <f t="shared" si="3"/>
        <v>0</v>
      </c>
      <c r="N71" s="146">
        <f t="shared" si="3"/>
        <v>0</v>
      </c>
    </row>
    <row r="72" spans="2:14" x14ac:dyDescent="0.25">
      <c r="B72" s="228">
        <v>0.125</v>
      </c>
      <c r="C72" s="145">
        <f t="shared" ref="C72:N72" si="4">+C11-C43</f>
        <v>0</v>
      </c>
      <c r="D72" s="130">
        <f t="shared" si="4"/>
        <v>0</v>
      </c>
      <c r="E72" s="130">
        <f t="shared" si="4"/>
        <v>0</v>
      </c>
      <c r="F72" s="130">
        <f t="shared" si="4"/>
        <v>0</v>
      </c>
      <c r="G72" s="130">
        <f t="shared" si="4"/>
        <v>0</v>
      </c>
      <c r="H72" s="130">
        <f t="shared" si="4"/>
        <v>0</v>
      </c>
      <c r="I72" s="130">
        <f t="shared" si="4"/>
        <v>0</v>
      </c>
      <c r="J72" s="130">
        <f t="shared" si="4"/>
        <v>0</v>
      </c>
      <c r="K72" s="130">
        <f t="shared" si="4"/>
        <v>0</v>
      </c>
      <c r="L72" s="130">
        <f t="shared" si="4"/>
        <v>0</v>
      </c>
      <c r="M72" s="130">
        <f t="shared" si="4"/>
        <v>0</v>
      </c>
      <c r="N72" s="146">
        <f t="shared" si="4"/>
        <v>0</v>
      </c>
    </row>
    <row r="73" spans="2:14" x14ac:dyDescent="0.25">
      <c r="B73" s="228">
        <v>0.16666666666666699</v>
      </c>
      <c r="C73" s="145">
        <f t="shared" ref="C73:N73" si="5">+C12-C44</f>
        <v>0</v>
      </c>
      <c r="D73" s="130">
        <f t="shared" si="5"/>
        <v>0</v>
      </c>
      <c r="E73" s="130">
        <f t="shared" si="5"/>
        <v>0</v>
      </c>
      <c r="F73" s="130">
        <f t="shared" si="5"/>
        <v>0</v>
      </c>
      <c r="G73" s="130">
        <f t="shared" si="5"/>
        <v>0</v>
      </c>
      <c r="H73" s="130">
        <f t="shared" si="5"/>
        <v>0</v>
      </c>
      <c r="I73" s="130">
        <f t="shared" si="5"/>
        <v>0</v>
      </c>
      <c r="J73" s="130">
        <f t="shared" si="5"/>
        <v>0</v>
      </c>
      <c r="K73" s="130">
        <f t="shared" si="5"/>
        <v>0</v>
      </c>
      <c r="L73" s="130">
        <f t="shared" si="5"/>
        <v>0</v>
      </c>
      <c r="M73" s="130">
        <f t="shared" si="5"/>
        <v>0</v>
      </c>
      <c r="N73" s="146">
        <f t="shared" si="5"/>
        <v>0</v>
      </c>
    </row>
    <row r="74" spans="2:14" x14ac:dyDescent="0.25">
      <c r="B74" s="228">
        <v>0.20833333333333301</v>
      </c>
      <c r="C74" s="145">
        <f t="shared" ref="C74:N74" si="6">+C13-C45</f>
        <v>0</v>
      </c>
      <c r="D74" s="130">
        <f t="shared" si="6"/>
        <v>0</v>
      </c>
      <c r="E74" s="130">
        <f t="shared" si="6"/>
        <v>0</v>
      </c>
      <c r="F74" s="130">
        <f t="shared" si="6"/>
        <v>0</v>
      </c>
      <c r="G74" s="130">
        <f t="shared" si="6"/>
        <v>0</v>
      </c>
      <c r="H74" s="130">
        <f t="shared" si="6"/>
        <v>0</v>
      </c>
      <c r="I74" s="130">
        <f t="shared" si="6"/>
        <v>0</v>
      </c>
      <c r="J74" s="130">
        <f t="shared" si="6"/>
        <v>0</v>
      </c>
      <c r="K74" s="130">
        <f t="shared" si="6"/>
        <v>0</v>
      </c>
      <c r="L74" s="130">
        <f t="shared" si="6"/>
        <v>0</v>
      </c>
      <c r="M74" s="130">
        <f t="shared" si="6"/>
        <v>0</v>
      </c>
      <c r="N74" s="146">
        <f t="shared" si="6"/>
        <v>0</v>
      </c>
    </row>
    <row r="75" spans="2:14" x14ac:dyDescent="0.25">
      <c r="B75" s="228">
        <v>0.25</v>
      </c>
      <c r="C75" s="145">
        <f t="shared" ref="C75:N75" si="7">+C14-C46</f>
        <v>0</v>
      </c>
      <c r="D75" s="130">
        <f t="shared" si="7"/>
        <v>0</v>
      </c>
      <c r="E75" s="130">
        <f t="shared" si="7"/>
        <v>0</v>
      </c>
      <c r="F75" s="130">
        <f t="shared" si="7"/>
        <v>41.36383163763486</v>
      </c>
      <c r="G75" s="130">
        <f t="shared" si="7"/>
        <v>108.76260749151953</v>
      </c>
      <c r="H75" s="130">
        <f t="shared" si="7"/>
        <v>130.54379389723795</v>
      </c>
      <c r="I75" s="130">
        <f t="shared" si="7"/>
        <v>71.49263832900472</v>
      </c>
      <c r="J75" s="130">
        <f t="shared" si="7"/>
        <v>39.54938258789273</v>
      </c>
      <c r="K75" s="130">
        <f t="shared" si="7"/>
        <v>0</v>
      </c>
      <c r="L75" s="130">
        <f t="shared" si="7"/>
        <v>0</v>
      </c>
      <c r="M75" s="130">
        <f t="shared" si="7"/>
        <v>0</v>
      </c>
      <c r="N75" s="146">
        <f t="shared" si="7"/>
        <v>0</v>
      </c>
    </row>
    <row r="76" spans="2:14" x14ac:dyDescent="0.25">
      <c r="B76" s="228">
        <v>0.29166666666666702</v>
      </c>
      <c r="C76" s="145">
        <f t="shared" ref="C76:N76" si="8">+C15-C47</f>
        <v>19.967111614951179</v>
      </c>
      <c r="D76" s="130">
        <f t="shared" si="8"/>
        <v>53.437811651627683</v>
      </c>
      <c r="E76" s="130">
        <f t="shared" si="8"/>
        <v>92.740689192090429</v>
      </c>
      <c r="F76" s="130">
        <f t="shared" si="8"/>
        <v>163.32428894498617</v>
      </c>
      <c r="G76" s="130">
        <f t="shared" si="8"/>
        <v>281.72778855636886</v>
      </c>
      <c r="H76" s="130">
        <f t="shared" si="8"/>
        <v>306.26561152239384</v>
      </c>
      <c r="I76" s="130">
        <f t="shared" si="8"/>
        <v>190.25147690339602</v>
      </c>
      <c r="J76" s="130">
        <f t="shared" si="8"/>
        <v>155.86132074484618</v>
      </c>
      <c r="K76" s="130">
        <f t="shared" si="8"/>
        <v>145.40371326060955</v>
      </c>
      <c r="L76" s="130">
        <f t="shared" si="8"/>
        <v>87.356279096118001</v>
      </c>
      <c r="M76" s="130">
        <f t="shared" si="8"/>
        <v>26.546498062461104</v>
      </c>
      <c r="N76" s="146">
        <f t="shared" si="8"/>
        <v>6.7227364056430217</v>
      </c>
    </row>
    <row r="77" spans="2:14" x14ac:dyDescent="0.25">
      <c r="B77" s="228">
        <v>0.33333333333333298</v>
      </c>
      <c r="C77" s="145">
        <f t="shared" ref="C77:N77" si="9">+C16-C48</f>
        <v>135.88339606321946</v>
      </c>
      <c r="D77" s="130">
        <f t="shared" si="9"/>
        <v>173.87299260281267</v>
      </c>
      <c r="E77" s="130">
        <f t="shared" si="9"/>
        <v>218.50135019128777</v>
      </c>
      <c r="F77" s="130">
        <f t="shared" si="9"/>
        <v>311.97863404755606</v>
      </c>
      <c r="G77" s="130">
        <f t="shared" si="9"/>
        <v>478.07709454980989</v>
      </c>
      <c r="H77" s="130">
        <f t="shared" si="9"/>
        <v>503.24096711036509</v>
      </c>
      <c r="I77" s="130">
        <f t="shared" si="9"/>
        <v>330.39748697283926</v>
      </c>
      <c r="J77" s="130">
        <f t="shared" si="9"/>
        <v>298.89786176477605</v>
      </c>
      <c r="K77" s="130">
        <f t="shared" si="9"/>
        <v>329.04679538452496</v>
      </c>
      <c r="L77" s="130">
        <f t="shared" si="9"/>
        <v>277.84906435696905</v>
      </c>
      <c r="M77" s="130">
        <f t="shared" si="9"/>
        <v>184.20280114889763</v>
      </c>
      <c r="N77" s="146">
        <f t="shared" si="9"/>
        <v>125.40358535350882</v>
      </c>
    </row>
    <row r="78" spans="2:14" x14ac:dyDescent="0.25">
      <c r="B78" s="228">
        <v>0.375</v>
      </c>
      <c r="C78" s="145">
        <f t="shared" ref="C78:N78" si="10">+C17-C49</f>
        <v>272.05432530096954</v>
      </c>
      <c r="D78" s="130">
        <f t="shared" si="10"/>
        <v>310.49930332540583</v>
      </c>
      <c r="E78" s="130">
        <f t="shared" si="10"/>
        <v>355.99110499163135</v>
      </c>
      <c r="F78" s="130">
        <f t="shared" si="10"/>
        <v>466.58182644984885</v>
      </c>
      <c r="G78" s="130">
        <f t="shared" si="10"/>
        <v>673.76477896652113</v>
      </c>
      <c r="H78" s="130">
        <f t="shared" si="10"/>
        <v>697.97053395054832</v>
      </c>
      <c r="I78" s="130">
        <f t="shared" si="10"/>
        <v>473.4407472781125</v>
      </c>
      <c r="J78" s="130">
        <f t="shared" si="10"/>
        <v>448.40421836846667</v>
      </c>
      <c r="K78" s="130">
        <f t="shared" si="10"/>
        <v>523.16150401124855</v>
      </c>
      <c r="L78" s="130">
        <f t="shared" si="10"/>
        <v>484.76785564176339</v>
      </c>
      <c r="M78" s="130">
        <f t="shared" si="10"/>
        <v>363.53715123928123</v>
      </c>
      <c r="N78" s="146">
        <f t="shared" si="10"/>
        <v>266.69648696884406</v>
      </c>
    </row>
    <row r="79" spans="2:14" x14ac:dyDescent="0.25">
      <c r="B79" s="228">
        <v>0.41666666666666702</v>
      </c>
      <c r="C79" s="145">
        <f t="shared" ref="C79:N79" si="11">+C18-C50</f>
        <v>399.49222837998178</v>
      </c>
      <c r="D79" s="130">
        <f t="shared" si="11"/>
        <v>436.14075043227604</v>
      </c>
      <c r="E79" s="130">
        <f t="shared" si="11"/>
        <v>479.97092706528656</v>
      </c>
      <c r="F79" s="130">
        <f t="shared" si="11"/>
        <v>602.09824762602614</v>
      </c>
      <c r="G79" s="130">
        <f t="shared" si="11"/>
        <v>840.8865719131993</v>
      </c>
      <c r="H79" s="130">
        <f t="shared" si="11"/>
        <v>863.42004004270473</v>
      </c>
      <c r="I79" s="130">
        <f t="shared" si="11"/>
        <v>597.42191862205618</v>
      </c>
      <c r="J79" s="130">
        <f t="shared" si="11"/>
        <v>579.83883659694141</v>
      </c>
      <c r="K79" s="130">
        <f t="shared" si="11"/>
        <v>694.92681907068823</v>
      </c>
      <c r="L79" s="130">
        <f t="shared" si="11"/>
        <v>670.6949277996946</v>
      </c>
      <c r="M79" s="130">
        <f t="shared" si="11"/>
        <v>528.68192203188926</v>
      </c>
      <c r="N79" s="146">
        <f t="shared" si="11"/>
        <v>399.78628613524529</v>
      </c>
    </row>
    <row r="80" spans="2:14" x14ac:dyDescent="0.25">
      <c r="B80" s="228">
        <v>0.45833333333333298</v>
      </c>
      <c r="C80" s="145">
        <f t="shared" ref="C80:N80" si="12">+C19-C51</f>
        <v>489.80457565274605</v>
      </c>
      <c r="D80" s="130">
        <f t="shared" si="12"/>
        <v>524.36994083835748</v>
      </c>
      <c r="E80" s="130">
        <f t="shared" si="12"/>
        <v>566.1224694735231</v>
      </c>
      <c r="F80" s="130">
        <f t="shared" si="12"/>
        <v>694.79301096692836</v>
      </c>
      <c r="G80" s="130">
        <f t="shared" si="12"/>
        <v>953.48492179285586</v>
      </c>
      <c r="H80" s="130">
        <f t="shared" si="12"/>
        <v>974.55060113898503</v>
      </c>
      <c r="I80" s="130">
        <f t="shared" si="12"/>
        <v>681.68071166863342</v>
      </c>
      <c r="J80" s="130">
        <f t="shared" si="12"/>
        <v>669.89172159653424</v>
      </c>
      <c r="K80" s="130">
        <f t="shared" si="12"/>
        <v>813.04479473024242</v>
      </c>
      <c r="L80" s="130">
        <f t="shared" si="12"/>
        <v>799.64310664799655</v>
      </c>
      <c r="M80" s="130">
        <f t="shared" si="12"/>
        <v>644.73648360475306</v>
      </c>
      <c r="N80" s="146">
        <f t="shared" si="12"/>
        <v>494.41685561193594</v>
      </c>
    </row>
    <row r="81" spans="2:14" x14ac:dyDescent="0.25">
      <c r="B81" s="228">
        <v>0.5</v>
      </c>
      <c r="C81" s="145">
        <f t="shared" ref="C81:N81" si="13">+C20-C52</f>
        <v>522.40958447647404</v>
      </c>
      <c r="D81" s="130">
        <f t="shared" si="13"/>
        <v>556.09601371594022</v>
      </c>
      <c r="E81" s="130">
        <f t="shared" si="13"/>
        <v>596.95749336350059</v>
      </c>
      <c r="F81" s="130">
        <f t="shared" si="13"/>
        <v>727.73462899653657</v>
      </c>
      <c r="G81" s="130">
        <f t="shared" si="13"/>
        <v>993.22157135432531</v>
      </c>
      <c r="H81" s="130">
        <f t="shared" si="13"/>
        <v>1013.7130714081646</v>
      </c>
      <c r="I81" s="130">
        <f t="shared" si="13"/>
        <v>711.53582664073861</v>
      </c>
      <c r="J81" s="130">
        <f t="shared" si="13"/>
        <v>701.91883468618425</v>
      </c>
      <c r="K81" s="130">
        <f t="shared" si="13"/>
        <v>855.12323672671789</v>
      </c>
      <c r="L81" s="130">
        <f t="shared" si="13"/>
        <v>845.75588655867637</v>
      </c>
      <c r="M81" s="130">
        <f t="shared" si="13"/>
        <v>686.48162609598319</v>
      </c>
      <c r="N81" s="146">
        <f t="shared" si="13"/>
        <v>528.62984701622418</v>
      </c>
    </row>
    <row r="82" spans="2:14" x14ac:dyDescent="0.25">
      <c r="B82" s="228">
        <v>0.54166666666666696</v>
      </c>
      <c r="C82" s="145">
        <f t="shared" ref="C82:N82" si="14">+C21-C53</f>
        <v>489.80457565274605</v>
      </c>
      <c r="D82" s="130">
        <f t="shared" si="14"/>
        <v>524.36994083835748</v>
      </c>
      <c r="E82" s="130">
        <f t="shared" si="14"/>
        <v>566.1224694735231</v>
      </c>
      <c r="F82" s="130">
        <f t="shared" si="14"/>
        <v>694.79301096692836</v>
      </c>
      <c r="G82" s="130">
        <f t="shared" si="14"/>
        <v>953.48492179285586</v>
      </c>
      <c r="H82" s="130">
        <f t="shared" si="14"/>
        <v>974.55060113898503</v>
      </c>
      <c r="I82" s="130">
        <f t="shared" si="14"/>
        <v>681.68071166863342</v>
      </c>
      <c r="J82" s="130">
        <f t="shared" si="14"/>
        <v>669.89172159653424</v>
      </c>
      <c r="K82" s="130">
        <f t="shared" si="14"/>
        <v>813.04479473024242</v>
      </c>
      <c r="L82" s="130">
        <f t="shared" si="14"/>
        <v>799.64310664799655</v>
      </c>
      <c r="M82" s="130">
        <f t="shared" si="14"/>
        <v>644.73648360475306</v>
      </c>
      <c r="N82" s="146">
        <f t="shared" si="14"/>
        <v>494.41685561193594</v>
      </c>
    </row>
    <row r="83" spans="2:14" x14ac:dyDescent="0.25">
      <c r="B83" s="228">
        <v>0.58333333333333304</v>
      </c>
      <c r="C83" s="145">
        <f t="shared" ref="C83:N83" si="15">+C22-C54</f>
        <v>399.49222837998178</v>
      </c>
      <c r="D83" s="130">
        <f t="shared" si="15"/>
        <v>436.14075043227604</v>
      </c>
      <c r="E83" s="130">
        <f t="shared" si="15"/>
        <v>479.97092706528656</v>
      </c>
      <c r="F83" s="130">
        <f t="shared" si="15"/>
        <v>602.09824762602614</v>
      </c>
      <c r="G83" s="130">
        <f t="shared" si="15"/>
        <v>840.8865719131993</v>
      </c>
      <c r="H83" s="130">
        <f t="shared" si="15"/>
        <v>863.42004004270473</v>
      </c>
      <c r="I83" s="130">
        <f t="shared" si="15"/>
        <v>597.42191862205618</v>
      </c>
      <c r="J83" s="130">
        <f t="shared" si="15"/>
        <v>579.83883659694141</v>
      </c>
      <c r="K83" s="130">
        <f t="shared" si="15"/>
        <v>694.92681907068823</v>
      </c>
      <c r="L83" s="130">
        <f t="shared" si="15"/>
        <v>670.6949277996946</v>
      </c>
      <c r="M83" s="130">
        <f t="shared" si="15"/>
        <v>528.68192203188926</v>
      </c>
      <c r="N83" s="146">
        <f t="shared" si="15"/>
        <v>399.78628613524529</v>
      </c>
    </row>
    <row r="84" spans="2:14" x14ac:dyDescent="0.25">
      <c r="B84" s="228">
        <v>0.625</v>
      </c>
      <c r="C84" s="145">
        <f t="shared" ref="C84:N84" si="16">+C23-C55</f>
        <v>272.05432530096954</v>
      </c>
      <c r="D84" s="130">
        <f t="shared" si="16"/>
        <v>310.49930332540583</v>
      </c>
      <c r="E84" s="130">
        <f t="shared" si="16"/>
        <v>355.99110499163135</v>
      </c>
      <c r="F84" s="130">
        <f t="shared" si="16"/>
        <v>466.58182644984885</v>
      </c>
      <c r="G84" s="130">
        <f t="shared" si="16"/>
        <v>673.76477896652113</v>
      </c>
      <c r="H84" s="130">
        <f t="shared" si="16"/>
        <v>697.97053395054832</v>
      </c>
      <c r="I84" s="130">
        <f t="shared" si="16"/>
        <v>473.4407472781125</v>
      </c>
      <c r="J84" s="130">
        <f t="shared" si="16"/>
        <v>448.40421836846667</v>
      </c>
      <c r="K84" s="130">
        <f t="shared" si="16"/>
        <v>523.16150401124855</v>
      </c>
      <c r="L84" s="130">
        <f t="shared" si="16"/>
        <v>484.76785564176339</v>
      </c>
      <c r="M84" s="130">
        <f t="shared" si="16"/>
        <v>363.53715123928123</v>
      </c>
      <c r="N84" s="146">
        <f t="shared" si="16"/>
        <v>266.69648696884406</v>
      </c>
    </row>
    <row r="85" spans="2:14" x14ac:dyDescent="0.25">
      <c r="B85" s="228">
        <v>0.66666666666666696</v>
      </c>
      <c r="C85" s="145">
        <f t="shared" ref="C85:N85" si="17">+C24-C56</f>
        <v>135.88339606321946</v>
      </c>
      <c r="D85" s="130">
        <f t="shared" si="17"/>
        <v>173.87299260281267</v>
      </c>
      <c r="E85" s="130">
        <f t="shared" si="17"/>
        <v>218.50135019128777</v>
      </c>
      <c r="F85" s="130">
        <f t="shared" si="17"/>
        <v>311.97863404755606</v>
      </c>
      <c r="G85" s="130">
        <f t="shared" si="17"/>
        <v>478.07709454980989</v>
      </c>
      <c r="H85" s="130">
        <f t="shared" si="17"/>
        <v>503.24096711036509</v>
      </c>
      <c r="I85" s="130">
        <f t="shared" si="17"/>
        <v>330.39748697283926</v>
      </c>
      <c r="J85" s="130">
        <f t="shared" si="17"/>
        <v>298.89786176477605</v>
      </c>
      <c r="K85" s="130">
        <f t="shared" si="17"/>
        <v>329.04679538452496</v>
      </c>
      <c r="L85" s="130">
        <f t="shared" si="17"/>
        <v>277.84906435696905</v>
      </c>
      <c r="M85" s="130">
        <f t="shared" si="17"/>
        <v>184.20280114889763</v>
      </c>
      <c r="N85" s="146">
        <f t="shared" si="17"/>
        <v>125.40358535350882</v>
      </c>
    </row>
    <row r="86" spans="2:14" x14ac:dyDescent="0.25">
      <c r="B86" s="228">
        <v>0.70833333333333304</v>
      </c>
      <c r="C86" s="145">
        <f t="shared" ref="C86:N86" si="18">+C25-C57</f>
        <v>19.967111614951179</v>
      </c>
      <c r="D86" s="130">
        <f t="shared" si="18"/>
        <v>53.437811651627683</v>
      </c>
      <c r="E86" s="130">
        <f t="shared" si="18"/>
        <v>92.740689192090429</v>
      </c>
      <c r="F86" s="130">
        <f t="shared" si="18"/>
        <v>163.32428894498617</v>
      </c>
      <c r="G86" s="130">
        <f t="shared" si="18"/>
        <v>281.72778855636886</v>
      </c>
      <c r="H86" s="130">
        <f t="shared" si="18"/>
        <v>306.26561152239384</v>
      </c>
      <c r="I86" s="130">
        <f t="shared" si="18"/>
        <v>190.25147690339602</v>
      </c>
      <c r="J86" s="130">
        <f t="shared" si="18"/>
        <v>155.86132074484618</v>
      </c>
      <c r="K86" s="130">
        <f t="shared" si="18"/>
        <v>145.40371326060955</v>
      </c>
      <c r="L86" s="130">
        <f t="shared" si="18"/>
        <v>87.356279096118001</v>
      </c>
      <c r="M86" s="130">
        <f t="shared" si="18"/>
        <v>26.546498062461104</v>
      </c>
      <c r="N86" s="146">
        <f t="shared" si="18"/>
        <v>6.7227364056430217</v>
      </c>
    </row>
    <row r="87" spans="2:14" x14ac:dyDescent="0.25">
      <c r="B87" s="228">
        <v>0.75</v>
      </c>
      <c r="C87" s="145">
        <f t="shared" ref="C87:N87" si="19">+C26-C58</f>
        <v>0</v>
      </c>
      <c r="D87" s="130">
        <f t="shared" si="19"/>
        <v>0</v>
      </c>
      <c r="E87" s="130">
        <f t="shared" si="19"/>
        <v>0</v>
      </c>
      <c r="F87" s="130">
        <f t="shared" si="19"/>
        <v>41.36383163763486</v>
      </c>
      <c r="G87" s="130">
        <f t="shared" si="19"/>
        <v>108.76260749151953</v>
      </c>
      <c r="H87" s="130">
        <f t="shared" si="19"/>
        <v>130.54379389723795</v>
      </c>
      <c r="I87" s="130">
        <f t="shared" si="19"/>
        <v>71.49263832900472</v>
      </c>
      <c r="J87" s="130">
        <f t="shared" si="19"/>
        <v>39.54938258789273</v>
      </c>
      <c r="K87" s="130">
        <f t="shared" si="19"/>
        <v>0</v>
      </c>
      <c r="L87" s="130">
        <f t="shared" si="19"/>
        <v>0</v>
      </c>
      <c r="M87" s="130">
        <f t="shared" si="19"/>
        <v>0</v>
      </c>
      <c r="N87" s="146">
        <f t="shared" si="19"/>
        <v>0</v>
      </c>
    </row>
    <row r="88" spans="2:14" x14ac:dyDescent="0.25">
      <c r="B88" s="228">
        <v>0.79166666666666696</v>
      </c>
      <c r="C88" s="145">
        <f t="shared" ref="C88:N88" si="20">+C27-C59</f>
        <v>0</v>
      </c>
      <c r="D88" s="130">
        <f t="shared" si="20"/>
        <v>0</v>
      </c>
      <c r="E88" s="130">
        <f t="shared" si="20"/>
        <v>0</v>
      </c>
      <c r="F88" s="130">
        <f t="shared" si="20"/>
        <v>0</v>
      </c>
      <c r="G88" s="130">
        <f t="shared" si="20"/>
        <v>0</v>
      </c>
      <c r="H88" s="130">
        <f t="shared" si="20"/>
        <v>0</v>
      </c>
      <c r="I88" s="130">
        <f t="shared" si="20"/>
        <v>0</v>
      </c>
      <c r="J88" s="130">
        <f t="shared" si="20"/>
        <v>0</v>
      </c>
      <c r="K88" s="130">
        <f t="shared" si="20"/>
        <v>0</v>
      </c>
      <c r="L88" s="130">
        <f t="shared" si="20"/>
        <v>0</v>
      </c>
      <c r="M88" s="130">
        <f t="shared" si="20"/>
        <v>0</v>
      </c>
      <c r="N88" s="146">
        <f t="shared" si="20"/>
        <v>0</v>
      </c>
    </row>
    <row r="89" spans="2:14" x14ac:dyDescent="0.25">
      <c r="B89" s="228">
        <v>0.83333333333333304</v>
      </c>
      <c r="C89" s="145">
        <f t="shared" ref="C89:N89" si="21">+C28-C60</f>
        <v>0</v>
      </c>
      <c r="D89" s="130">
        <f t="shared" si="21"/>
        <v>0</v>
      </c>
      <c r="E89" s="130">
        <f t="shared" si="21"/>
        <v>0</v>
      </c>
      <c r="F89" s="130">
        <f t="shared" si="21"/>
        <v>0</v>
      </c>
      <c r="G89" s="130">
        <f t="shared" si="21"/>
        <v>0</v>
      </c>
      <c r="H89" s="130">
        <f t="shared" si="21"/>
        <v>0</v>
      </c>
      <c r="I89" s="130">
        <f t="shared" si="21"/>
        <v>0</v>
      </c>
      <c r="J89" s="130">
        <f t="shared" si="21"/>
        <v>0</v>
      </c>
      <c r="K89" s="130">
        <f t="shared" si="21"/>
        <v>0</v>
      </c>
      <c r="L89" s="130">
        <f t="shared" si="21"/>
        <v>0</v>
      </c>
      <c r="M89" s="130">
        <f t="shared" si="21"/>
        <v>0</v>
      </c>
      <c r="N89" s="146">
        <f t="shared" si="21"/>
        <v>0</v>
      </c>
    </row>
    <row r="90" spans="2:14" x14ac:dyDescent="0.25">
      <c r="B90" s="228">
        <v>0.875</v>
      </c>
      <c r="C90" s="145">
        <f t="shared" ref="C90:N90" si="22">+C29-C61</f>
        <v>0</v>
      </c>
      <c r="D90" s="130">
        <f t="shared" si="22"/>
        <v>0</v>
      </c>
      <c r="E90" s="130">
        <f t="shared" si="22"/>
        <v>0</v>
      </c>
      <c r="F90" s="130">
        <f t="shared" si="22"/>
        <v>0</v>
      </c>
      <c r="G90" s="130">
        <f t="shared" si="22"/>
        <v>0</v>
      </c>
      <c r="H90" s="130">
        <f t="shared" si="22"/>
        <v>0</v>
      </c>
      <c r="I90" s="130">
        <f t="shared" si="22"/>
        <v>0</v>
      </c>
      <c r="J90" s="130">
        <f t="shared" si="22"/>
        <v>0</v>
      </c>
      <c r="K90" s="130">
        <f t="shared" si="22"/>
        <v>0</v>
      </c>
      <c r="L90" s="130">
        <f t="shared" si="22"/>
        <v>0</v>
      </c>
      <c r="M90" s="130">
        <f t="shared" si="22"/>
        <v>0</v>
      </c>
      <c r="N90" s="146">
        <f t="shared" si="22"/>
        <v>0</v>
      </c>
    </row>
    <row r="91" spans="2:14" x14ac:dyDescent="0.25">
      <c r="B91" s="228">
        <v>0.91666666666666696</v>
      </c>
      <c r="C91" s="145">
        <f t="shared" ref="C91:N91" si="23">+C30-C62</f>
        <v>0</v>
      </c>
      <c r="D91" s="130">
        <f t="shared" si="23"/>
        <v>0</v>
      </c>
      <c r="E91" s="130">
        <f t="shared" si="23"/>
        <v>0</v>
      </c>
      <c r="F91" s="130">
        <f t="shared" si="23"/>
        <v>0</v>
      </c>
      <c r="G91" s="130">
        <f t="shared" si="23"/>
        <v>0</v>
      </c>
      <c r="H91" s="130">
        <f t="shared" si="23"/>
        <v>0</v>
      </c>
      <c r="I91" s="130">
        <f t="shared" si="23"/>
        <v>0</v>
      </c>
      <c r="J91" s="130">
        <f t="shared" si="23"/>
        <v>0</v>
      </c>
      <c r="K91" s="130">
        <f t="shared" si="23"/>
        <v>0</v>
      </c>
      <c r="L91" s="130">
        <f t="shared" si="23"/>
        <v>0</v>
      </c>
      <c r="M91" s="130">
        <f t="shared" si="23"/>
        <v>0</v>
      </c>
      <c r="N91" s="146">
        <f t="shared" si="23"/>
        <v>0</v>
      </c>
    </row>
    <row r="92" spans="2:14" x14ac:dyDescent="0.25">
      <c r="B92" s="228">
        <v>0.95833333333333304</v>
      </c>
      <c r="C92" s="145">
        <f t="shared" ref="C92:N92" si="24">+C31-C63</f>
        <v>0</v>
      </c>
      <c r="D92" s="130">
        <f t="shared" si="24"/>
        <v>0</v>
      </c>
      <c r="E92" s="130">
        <f t="shared" si="24"/>
        <v>0</v>
      </c>
      <c r="F92" s="130">
        <f t="shared" si="24"/>
        <v>0</v>
      </c>
      <c r="G92" s="130">
        <f t="shared" si="24"/>
        <v>0</v>
      </c>
      <c r="H92" s="130">
        <f t="shared" si="24"/>
        <v>0</v>
      </c>
      <c r="I92" s="130">
        <f t="shared" si="24"/>
        <v>0</v>
      </c>
      <c r="J92" s="130">
        <f t="shared" si="24"/>
        <v>0</v>
      </c>
      <c r="K92" s="130">
        <f t="shared" si="24"/>
        <v>0</v>
      </c>
      <c r="L92" s="130">
        <f t="shared" si="24"/>
        <v>0</v>
      </c>
      <c r="M92" s="130">
        <f t="shared" si="24"/>
        <v>0</v>
      </c>
      <c r="N92" s="146">
        <f t="shared" si="24"/>
        <v>0</v>
      </c>
    </row>
    <row r="93" spans="2:14" ht="15.75" thickBot="1" x14ac:dyDescent="0.3">
      <c r="B93" s="228">
        <v>1</v>
      </c>
      <c r="C93" s="147">
        <f t="shared" ref="C93:N93" si="25">+C32-C64</f>
        <v>0</v>
      </c>
      <c r="D93" s="148">
        <f t="shared" si="25"/>
        <v>0</v>
      </c>
      <c r="E93" s="148">
        <f t="shared" si="25"/>
        <v>0</v>
      </c>
      <c r="F93" s="148">
        <f t="shared" si="25"/>
        <v>0</v>
      </c>
      <c r="G93" s="148">
        <f t="shared" si="25"/>
        <v>0</v>
      </c>
      <c r="H93" s="148">
        <f t="shared" si="25"/>
        <v>0</v>
      </c>
      <c r="I93" s="148">
        <f t="shared" si="25"/>
        <v>0</v>
      </c>
      <c r="J93" s="148">
        <f t="shared" si="25"/>
        <v>0</v>
      </c>
      <c r="K93" s="148">
        <f t="shared" si="25"/>
        <v>0</v>
      </c>
      <c r="L93" s="148">
        <f t="shared" si="25"/>
        <v>0</v>
      </c>
      <c r="M93" s="148">
        <f t="shared" si="25"/>
        <v>0</v>
      </c>
      <c r="N93" s="149">
        <f t="shared" si="25"/>
        <v>0</v>
      </c>
    </row>
  </sheetData>
  <sheetProtection password="E6CB" sheet="1" objects="1" scenarios="1"/>
  <mergeCells count="20">
    <mergeCell ref="B2:N2"/>
    <mergeCell ref="B3:C3"/>
    <mergeCell ref="F3:G3"/>
    <mergeCell ref="I3:J3"/>
    <mergeCell ref="L3:M3"/>
    <mergeCell ref="B4:N4"/>
    <mergeCell ref="C8:N8"/>
    <mergeCell ref="B34:N34"/>
    <mergeCell ref="B35:C35"/>
    <mergeCell ref="F35:G35"/>
    <mergeCell ref="I35:J35"/>
    <mergeCell ref="L35:M35"/>
    <mergeCell ref="C68:N68"/>
    <mergeCell ref="B36:N36"/>
    <mergeCell ref="B66:N66"/>
    <mergeCell ref="B67:C67"/>
    <mergeCell ref="F67:G67"/>
    <mergeCell ref="I67:J67"/>
    <mergeCell ref="L67:M67"/>
    <mergeCell ref="C40:N40"/>
  </mergeCells>
  <conditionalFormatting sqref="C9:N32">
    <cfRule type="colorScale" priority="3">
      <colorScale>
        <cfvo type="min"/>
        <cfvo type="percentile" val="50"/>
        <cfvo type="max"/>
        <color rgb="FF5A8AC6"/>
        <color rgb="FFFFEB84"/>
        <color rgb="FFF8696B"/>
      </colorScale>
    </cfRule>
  </conditionalFormatting>
  <conditionalFormatting sqref="C41:N64">
    <cfRule type="colorScale" priority="2">
      <colorScale>
        <cfvo type="min"/>
        <cfvo type="percentile" val="50"/>
        <cfvo type="max"/>
        <color rgb="FF5A8AC6"/>
        <color rgb="FFFFEB84"/>
        <color rgb="FFF8696B"/>
      </colorScale>
    </cfRule>
  </conditionalFormatting>
  <conditionalFormatting sqref="C70:N93">
    <cfRule type="colorScale" priority="1">
      <colorScale>
        <cfvo type="min"/>
        <cfvo type="percentile" val="50"/>
        <cfvo type="max"/>
        <color rgb="FF5A8AC6"/>
        <color rgb="FFFFEB84"/>
        <color rgb="FFF8696B"/>
      </colorScale>
    </cfRule>
  </conditionalFormatting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94"/>
  <sheetViews>
    <sheetView showGridLines="0" showRowColHeaders="0" workbookViewId="0">
      <selection activeCell="N11" sqref="N11"/>
    </sheetView>
  </sheetViews>
  <sheetFormatPr baseColWidth="10" defaultRowHeight="15" x14ac:dyDescent="0.25"/>
  <cols>
    <col min="1" max="1" width="3" customWidth="1"/>
  </cols>
  <sheetData>
    <row r="2" spans="2:14" x14ac:dyDescent="0.25">
      <c r="B2" s="306" t="s">
        <v>212</v>
      </c>
      <c r="C2" s="307"/>
      <c r="D2" s="307"/>
      <c r="E2" s="307"/>
      <c r="F2" s="307"/>
      <c r="G2" s="307"/>
      <c r="H2" s="307"/>
      <c r="I2" s="307"/>
      <c r="J2" s="307"/>
      <c r="K2" s="307"/>
      <c r="L2" s="307"/>
      <c r="M2" s="307"/>
      <c r="N2" s="308"/>
    </row>
    <row r="3" spans="2:14" x14ac:dyDescent="0.25">
      <c r="B3" s="298" t="s">
        <v>1</v>
      </c>
      <c r="C3" s="299"/>
      <c r="D3" s="213" t="str">
        <f>'Datos Entrada'!D8</f>
        <v>Hermosillo, Son.</v>
      </c>
      <c r="E3" s="214"/>
      <c r="F3" s="298" t="s">
        <v>170</v>
      </c>
      <c r="G3" s="299"/>
      <c r="H3" s="216">
        <f>'Datos Entrada'!H8</f>
        <v>29.08</v>
      </c>
      <c r="I3" s="298" t="s">
        <v>202</v>
      </c>
      <c r="J3" s="299"/>
      <c r="K3" s="215">
        <f>'Datos Entrada'!K8</f>
        <v>-110.93</v>
      </c>
      <c r="L3" s="298" t="s">
        <v>201</v>
      </c>
      <c r="M3" s="299"/>
      <c r="N3" s="215">
        <f>'Datos Entrada'!N8</f>
        <v>211</v>
      </c>
    </row>
    <row r="4" spans="2:14" x14ac:dyDescent="0.25">
      <c r="B4" s="306" t="s">
        <v>209</v>
      </c>
      <c r="C4" s="307"/>
      <c r="D4" s="307"/>
      <c r="E4" s="307"/>
      <c r="F4" s="307"/>
      <c r="G4" s="307"/>
      <c r="H4" s="307"/>
      <c r="I4" s="307"/>
      <c r="J4" s="307"/>
      <c r="K4" s="307"/>
      <c r="L4" s="307"/>
      <c r="M4" s="307"/>
      <c r="N4" s="308"/>
    </row>
    <row r="5" spans="2:14" ht="15" customHeight="1" x14ac:dyDescent="0.25">
      <c r="B5" s="352" t="s">
        <v>210</v>
      </c>
      <c r="C5" s="353"/>
      <c r="D5" s="353"/>
      <c r="E5" s="353"/>
      <c r="F5" s="353"/>
      <c r="G5" s="353"/>
      <c r="H5" s="353"/>
      <c r="I5" s="353"/>
      <c r="J5" s="353"/>
      <c r="K5" s="353"/>
      <c r="L5" s="353"/>
      <c r="M5" s="354"/>
      <c r="N5" s="192">
        <v>0</v>
      </c>
    </row>
    <row r="6" spans="2:14" ht="15" customHeight="1" x14ac:dyDescent="0.25">
      <c r="B6" s="306" t="s">
        <v>211</v>
      </c>
      <c r="C6" s="307"/>
      <c r="D6" s="307"/>
      <c r="E6" s="307"/>
      <c r="F6" s="307"/>
      <c r="G6" s="307"/>
      <c r="H6" s="307"/>
      <c r="I6" s="307"/>
      <c r="J6" s="307"/>
      <c r="K6" s="307"/>
      <c r="L6" s="307"/>
      <c r="M6" s="307"/>
      <c r="N6" s="308"/>
    </row>
    <row r="7" spans="2:14" ht="15" customHeight="1" x14ac:dyDescent="0.25">
      <c r="B7" s="352" t="s">
        <v>168</v>
      </c>
      <c r="C7" s="353"/>
      <c r="D7" s="353"/>
      <c r="E7" s="353"/>
      <c r="F7" s="353"/>
      <c r="G7" s="353"/>
      <c r="H7" s="353"/>
      <c r="I7" s="353"/>
      <c r="J7" s="353"/>
      <c r="K7" s="353"/>
      <c r="L7" s="353"/>
      <c r="M7" s="354"/>
      <c r="N7" s="192">
        <v>90</v>
      </c>
    </row>
    <row r="8" spans="2:14" x14ac:dyDescent="0.25">
      <c r="B8" s="350"/>
      <c r="C8" s="338" t="s">
        <v>176</v>
      </c>
      <c r="D8" s="339"/>
      <c r="E8" s="339"/>
      <c r="F8" s="339"/>
      <c r="G8" s="339"/>
      <c r="H8" s="339"/>
      <c r="I8" s="339"/>
      <c r="J8" s="339"/>
      <c r="K8" s="339"/>
      <c r="L8" s="339"/>
      <c r="M8" s="339"/>
      <c r="N8" s="340"/>
    </row>
    <row r="9" spans="2:14" x14ac:dyDescent="0.25">
      <c r="B9" s="351"/>
      <c r="C9" s="347" t="s">
        <v>158</v>
      </c>
      <c r="D9" s="348"/>
      <c r="E9" s="348"/>
      <c r="F9" s="349"/>
      <c r="G9" s="309" t="str">
        <f>IF(M9="Horizontal",M9,IF($N$5=0,"Sur",IF($N$5=90,"Este",IF($N$5=-90,"Oeste",IF($N$5=180,"Norte",$N$5)))))</f>
        <v>Sur</v>
      </c>
      <c r="H9" s="309"/>
      <c r="I9" s="347" t="s">
        <v>213</v>
      </c>
      <c r="J9" s="348"/>
      <c r="K9" s="348"/>
      <c r="L9" s="349"/>
      <c r="M9" s="347" t="str">
        <f>IF($N$7=0,"Horizontal",IF($N$7=90,"Vertical",$N$7))</f>
        <v>Vertical</v>
      </c>
      <c r="N9" s="349"/>
    </row>
    <row r="10" spans="2:14" ht="15.75" thickBot="1" x14ac:dyDescent="0.3">
      <c r="B10" s="210" t="s">
        <v>195</v>
      </c>
      <c r="C10" s="240" t="s">
        <v>5</v>
      </c>
      <c r="D10" s="240" t="s">
        <v>6</v>
      </c>
      <c r="E10" s="240" t="s">
        <v>7</v>
      </c>
      <c r="F10" s="240" t="s">
        <v>8</v>
      </c>
      <c r="G10" s="240" t="s">
        <v>9</v>
      </c>
      <c r="H10" s="240" t="s">
        <v>10</v>
      </c>
      <c r="I10" s="240" t="s">
        <v>11</v>
      </c>
      <c r="J10" s="240" t="s">
        <v>12</v>
      </c>
      <c r="K10" s="240" t="s">
        <v>13</v>
      </c>
      <c r="L10" s="240" t="s">
        <v>14</v>
      </c>
      <c r="M10" s="240" t="s">
        <v>15</v>
      </c>
      <c r="N10" s="240" t="s">
        <v>16</v>
      </c>
    </row>
    <row r="11" spans="2:14" x14ac:dyDescent="0.25">
      <c r="B11" s="228">
        <v>4.1666666666666699E-2</v>
      </c>
      <c r="C11" s="142">
        <f t="shared" ref="C11:N11" si="0">C41+C71</f>
        <v>0</v>
      </c>
      <c r="D11" s="143">
        <f t="shared" si="0"/>
        <v>0</v>
      </c>
      <c r="E11" s="143">
        <f t="shared" si="0"/>
        <v>0</v>
      </c>
      <c r="F11" s="143">
        <f t="shared" si="0"/>
        <v>0</v>
      </c>
      <c r="G11" s="143">
        <f t="shared" si="0"/>
        <v>0</v>
      </c>
      <c r="H11" s="143">
        <f t="shared" si="0"/>
        <v>0</v>
      </c>
      <c r="I11" s="143">
        <f t="shared" si="0"/>
        <v>0</v>
      </c>
      <c r="J11" s="143">
        <f t="shared" si="0"/>
        <v>0</v>
      </c>
      <c r="K11" s="143">
        <f t="shared" si="0"/>
        <v>0</v>
      </c>
      <c r="L11" s="143">
        <f t="shared" si="0"/>
        <v>0</v>
      </c>
      <c r="M11" s="143">
        <f t="shared" si="0"/>
        <v>0</v>
      </c>
      <c r="N11" s="144">
        <f t="shared" si="0"/>
        <v>0</v>
      </c>
    </row>
    <row r="12" spans="2:14" x14ac:dyDescent="0.25">
      <c r="B12" s="228">
        <v>8.3333333333333301E-2</v>
      </c>
      <c r="C12" s="145">
        <f t="shared" ref="C12:N12" si="1">C42+C72</f>
        <v>0</v>
      </c>
      <c r="D12" s="130">
        <f t="shared" si="1"/>
        <v>0</v>
      </c>
      <c r="E12" s="130">
        <f t="shared" si="1"/>
        <v>0</v>
      </c>
      <c r="F12" s="130">
        <f t="shared" si="1"/>
        <v>0</v>
      </c>
      <c r="G12" s="130">
        <f t="shared" si="1"/>
        <v>0</v>
      </c>
      <c r="H12" s="130">
        <f t="shared" si="1"/>
        <v>0</v>
      </c>
      <c r="I12" s="130">
        <f t="shared" si="1"/>
        <v>0</v>
      </c>
      <c r="J12" s="130">
        <f t="shared" si="1"/>
        <v>0</v>
      </c>
      <c r="K12" s="130">
        <f t="shared" si="1"/>
        <v>0</v>
      </c>
      <c r="L12" s="130">
        <f t="shared" si="1"/>
        <v>0</v>
      </c>
      <c r="M12" s="130">
        <f t="shared" si="1"/>
        <v>0</v>
      </c>
      <c r="N12" s="146">
        <f t="shared" si="1"/>
        <v>0</v>
      </c>
    </row>
    <row r="13" spans="2:14" x14ac:dyDescent="0.25">
      <c r="B13" s="228">
        <v>0.125</v>
      </c>
      <c r="C13" s="145">
        <f t="shared" ref="C13:N13" si="2">C43+C73</f>
        <v>0</v>
      </c>
      <c r="D13" s="130">
        <f t="shared" si="2"/>
        <v>0</v>
      </c>
      <c r="E13" s="130">
        <f t="shared" si="2"/>
        <v>0</v>
      </c>
      <c r="F13" s="130">
        <f t="shared" si="2"/>
        <v>0</v>
      </c>
      <c r="G13" s="130">
        <f t="shared" si="2"/>
        <v>0</v>
      </c>
      <c r="H13" s="130">
        <f t="shared" si="2"/>
        <v>0</v>
      </c>
      <c r="I13" s="130">
        <f t="shared" si="2"/>
        <v>0</v>
      </c>
      <c r="J13" s="130">
        <f t="shared" si="2"/>
        <v>0</v>
      </c>
      <c r="K13" s="130">
        <f t="shared" si="2"/>
        <v>0</v>
      </c>
      <c r="L13" s="130">
        <f t="shared" si="2"/>
        <v>0</v>
      </c>
      <c r="M13" s="130">
        <f t="shared" si="2"/>
        <v>0</v>
      </c>
      <c r="N13" s="146">
        <f t="shared" si="2"/>
        <v>0</v>
      </c>
    </row>
    <row r="14" spans="2:14" x14ac:dyDescent="0.25">
      <c r="B14" s="228">
        <v>0.16666666666666699</v>
      </c>
      <c r="C14" s="145">
        <f t="shared" ref="C14:N14" si="3">C44+C74</f>
        <v>0</v>
      </c>
      <c r="D14" s="130">
        <f t="shared" si="3"/>
        <v>0</v>
      </c>
      <c r="E14" s="130">
        <f t="shared" si="3"/>
        <v>0</v>
      </c>
      <c r="F14" s="130">
        <f t="shared" si="3"/>
        <v>0</v>
      </c>
      <c r="G14" s="130">
        <f t="shared" si="3"/>
        <v>0</v>
      </c>
      <c r="H14" s="130">
        <f t="shared" si="3"/>
        <v>0</v>
      </c>
      <c r="I14" s="130">
        <f t="shared" si="3"/>
        <v>0</v>
      </c>
      <c r="J14" s="130">
        <f t="shared" si="3"/>
        <v>0</v>
      </c>
      <c r="K14" s="130">
        <f t="shared" si="3"/>
        <v>0</v>
      </c>
      <c r="L14" s="130">
        <f t="shared" si="3"/>
        <v>0</v>
      </c>
      <c r="M14" s="130">
        <f t="shared" si="3"/>
        <v>0</v>
      </c>
      <c r="N14" s="146">
        <f t="shared" si="3"/>
        <v>0</v>
      </c>
    </row>
    <row r="15" spans="2:14" x14ac:dyDescent="0.25">
      <c r="B15" s="228">
        <v>0.20833333333333301</v>
      </c>
      <c r="C15" s="145">
        <f t="shared" ref="C15:N15" si="4">C45+C75</f>
        <v>0</v>
      </c>
      <c r="D15" s="130">
        <f t="shared" si="4"/>
        <v>0</v>
      </c>
      <c r="E15" s="130">
        <f t="shared" si="4"/>
        <v>0</v>
      </c>
      <c r="F15" s="130">
        <f t="shared" si="4"/>
        <v>0</v>
      </c>
      <c r="G15" s="130">
        <f t="shared" si="4"/>
        <v>0</v>
      </c>
      <c r="H15" s="130">
        <f t="shared" si="4"/>
        <v>0</v>
      </c>
      <c r="I15" s="130">
        <f t="shared" si="4"/>
        <v>0</v>
      </c>
      <c r="J15" s="130">
        <f t="shared" si="4"/>
        <v>0</v>
      </c>
      <c r="K15" s="130">
        <f t="shared" si="4"/>
        <v>0</v>
      </c>
      <c r="L15" s="130">
        <f t="shared" si="4"/>
        <v>0</v>
      </c>
      <c r="M15" s="130">
        <f t="shared" si="4"/>
        <v>0</v>
      </c>
      <c r="N15" s="146">
        <f t="shared" si="4"/>
        <v>0</v>
      </c>
    </row>
    <row r="16" spans="2:14" x14ac:dyDescent="0.25">
      <c r="B16" s="228">
        <v>0.25</v>
      </c>
      <c r="C16" s="145">
        <f t="shared" ref="C16:N16" si="5">C46+C76</f>
        <v>0</v>
      </c>
      <c r="D16" s="130">
        <f t="shared" si="5"/>
        <v>0</v>
      </c>
      <c r="E16" s="130">
        <f t="shared" si="5"/>
        <v>0</v>
      </c>
      <c r="F16" s="130">
        <f t="shared" si="5"/>
        <v>13.386597726118383</v>
      </c>
      <c r="G16" s="130">
        <f t="shared" si="5"/>
        <v>14.841290557026475</v>
      </c>
      <c r="H16" s="130">
        <f t="shared" si="5"/>
        <v>16.18938681842225</v>
      </c>
      <c r="I16" s="130">
        <f t="shared" si="5"/>
        <v>21.547830583710645</v>
      </c>
      <c r="J16" s="130">
        <f t="shared" si="5"/>
        <v>14.757096477110556</v>
      </c>
      <c r="K16" s="130">
        <f t="shared" si="5"/>
        <v>0</v>
      </c>
      <c r="L16" s="130">
        <f t="shared" si="5"/>
        <v>0</v>
      </c>
      <c r="M16" s="130">
        <f t="shared" si="5"/>
        <v>0</v>
      </c>
      <c r="N16" s="146">
        <f t="shared" si="5"/>
        <v>0</v>
      </c>
    </row>
    <row r="17" spans="2:14" x14ac:dyDescent="0.25">
      <c r="B17" s="228">
        <v>0.29166666666666702</v>
      </c>
      <c r="C17" s="145">
        <f t="shared" ref="C17:N17" si="6">C47+C77</f>
        <v>205.08624200289108</v>
      </c>
      <c r="D17" s="130">
        <f t="shared" si="6"/>
        <v>163.76440374651233</v>
      </c>
      <c r="E17" s="130">
        <f t="shared" si="6"/>
        <v>95.946612665068784</v>
      </c>
      <c r="F17" s="130">
        <f t="shared" si="6"/>
        <v>35.091639927607353</v>
      </c>
      <c r="G17" s="130">
        <f t="shared" si="6"/>
        <v>29.780283932690608</v>
      </c>
      <c r="H17" s="130">
        <f t="shared" si="6"/>
        <v>29.738377789952196</v>
      </c>
      <c r="I17" s="130">
        <f t="shared" si="6"/>
        <v>43.329169548304428</v>
      </c>
      <c r="J17" s="130">
        <f t="shared" si="6"/>
        <v>38.325363641110599</v>
      </c>
      <c r="K17" s="130">
        <f t="shared" si="6"/>
        <v>114.89228901769098</v>
      </c>
      <c r="L17" s="130">
        <f t="shared" si="6"/>
        <v>238.30077170127393</v>
      </c>
      <c r="M17" s="130">
        <f t="shared" si="6"/>
        <v>280.04120700360403</v>
      </c>
      <c r="N17" s="146">
        <f t="shared" si="6"/>
        <v>227.52901356378166</v>
      </c>
    </row>
    <row r="18" spans="2:14" x14ac:dyDescent="0.25">
      <c r="B18" s="228">
        <v>0.33333333333333298</v>
      </c>
      <c r="C18" s="145">
        <f t="shared" ref="C18:N18" si="7">C48+C78</f>
        <v>369.95744502140531</v>
      </c>
      <c r="D18" s="130">
        <f t="shared" si="7"/>
        <v>292.59011299624331</v>
      </c>
      <c r="E18" s="130">
        <f t="shared" si="7"/>
        <v>203.89434112316587</v>
      </c>
      <c r="F18" s="130">
        <f t="shared" si="7"/>
        <v>95.283917458599632</v>
      </c>
      <c r="G18" s="130">
        <f t="shared" si="7"/>
        <v>39.412064213307623</v>
      </c>
      <c r="H18" s="130">
        <f t="shared" si="7"/>
        <v>38.376763237354446</v>
      </c>
      <c r="I18" s="130">
        <f t="shared" si="7"/>
        <v>57.899523188418897</v>
      </c>
      <c r="J18" s="130">
        <f t="shared" si="7"/>
        <v>96.67688333819558</v>
      </c>
      <c r="K18" s="130">
        <f t="shared" si="7"/>
        <v>244.81502134205823</v>
      </c>
      <c r="L18" s="130">
        <f t="shared" si="7"/>
        <v>398.75327824059548</v>
      </c>
      <c r="M18" s="130">
        <f t="shared" si="7"/>
        <v>461.21292416065444</v>
      </c>
      <c r="N18" s="146">
        <f t="shared" si="7"/>
        <v>412.76461051380215</v>
      </c>
    </row>
    <row r="19" spans="2:14" x14ac:dyDescent="0.25">
      <c r="B19" s="228">
        <v>0.375</v>
      </c>
      <c r="C19" s="145">
        <f t="shared" ref="C19:N19" si="8">C49+C79</f>
        <v>518.11725103617891</v>
      </c>
      <c r="D19" s="130">
        <f t="shared" si="8"/>
        <v>421.82300085203832</v>
      </c>
      <c r="E19" s="130">
        <f t="shared" si="8"/>
        <v>312.3590677819459</v>
      </c>
      <c r="F19" s="130">
        <f t="shared" si="8"/>
        <v>187.73413307812348</v>
      </c>
      <c r="G19" s="130">
        <f t="shared" si="8"/>
        <v>64.183836954995101</v>
      </c>
      <c r="H19" s="130">
        <f t="shared" si="8"/>
        <v>41.702614998973715</v>
      </c>
      <c r="I19" s="130">
        <f t="shared" si="8"/>
        <v>77.65219986476427</v>
      </c>
      <c r="J19" s="130">
        <f t="shared" si="8"/>
        <v>187.65397951065654</v>
      </c>
      <c r="K19" s="130">
        <f t="shared" si="8"/>
        <v>375.03219033341713</v>
      </c>
      <c r="L19" s="130">
        <f t="shared" si="8"/>
        <v>558.45145844995272</v>
      </c>
      <c r="M19" s="130">
        <f t="shared" si="8"/>
        <v>631.56735178598956</v>
      </c>
      <c r="N19" s="146">
        <f t="shared" si="8"/>
        <v>577.07663558474474</v>
      </c>
    </row>
    <row r="20" spans="2:14" x14ac:dyDescent="0.25">
      <c r="B20" s="228">
        <v>0.41666666666666702</v>
      </c>
      <c r="C20" s="145">
        <f t="shared" ref="C20:N20" si="9">C50+C80</f>
        <v>644.70613491454355</v>
      </c>
      <c r="D20" s="130">
        <f t="shared" si="9"/>
        <v>532.51204584712309</v>
      </c>
      <c r="E20" s="130">
        <f t="shared" si="9"/>
        <v>405.31365494807358</v>
      </c>
      <c r="F20" s="130">
        <f t="shared" si="9"/>
        <v>266.58228006808372</v>
      </c>
      <c r="G20" s="130">
        <f t="shared" si="9"/>
        <v>138.17120331203756</v>
      </c>
      <c r="H20" s="130">
        <f t="shared" si="9"/>
        <v>79.651130221466246</v>
      </c>
      <c r="I20" s="130">
        <f t="shared" si="9"/>
        <v>139.20655016709367</v>
      </c>
      <c r="J20" s="130">
        <f t="shared" si="9"/>
        <v>265.11442169865927</v>
      </c>
      <c r="K20" s="130">
        <f t="shared" si="9"/>
        <v>478.57153005381281</v>
      </c>
      <c r="L20" s="130">
        <f t="shared" si="9"/>
        <v>694.44789680521649</v>
      </c>
      <c r="M20" s="130">
        <f t="shared" si="9"/>
        <v>776.05681193200951</v>
      </c>
      <c r="N20" s="146">
        <f t="shared" si="9"/>
        <v>708.99203661489923</v>
      </c>
    </row>
    <row r="21" spans="2:14" x14ac:dyDescent="0.25">
      <c r="B21" s="228">
        <v>0.45833333333333298</v>
      </c>
      <c r="C21" s="145">
        <f t="shared" ref="C21:N21" si="10">C51+C81</f>
        <v>730.06192175673277</v>
      </c>
      <c r="D21" s="130">
        <f t="shared" si="10"/>
        <v>607.27290382690512</v>
      </c>
      <c r="E21" s="130">
        <f t="shared" si="10"/>
        <v>467.95418128718484</v>
      </c>
      <c r="F21" s="130">
        <f t="shared" si="10"/>
        <v>314.87037047333934</v>
      </c>
      <c r="G21" s="130">
        <f t="shared" si="10"/>
        <v>185.20666693473163</v>
      </c>
      <c r="H21" s="130">
        <f t="shared" si="10"/>
        <v>123.38004126194627</v>
      </c>
      <c r="I21" s="130">
        <f t="shared" si="10"/>
        <v>177.91253515894036</v>
      </c>
      <c r="J21" s="130">
        <f t="shared" si="10"/>
        <v>316.26585521204123</v>
      </c>
      <c r="K21" s="130">
        <f t="shared" si="10"/>
        <v>549.77799786670028</v>
      </c>
      <c r="L21" s="130">
        <f t="shared" si="10"/>
        <v>785.74514254850135</v>
      </c>
      <c r="M21" s="130">
        <f t="shared" si="10"/>
        <v>872.91354114314731</v>
      </c>
      <c r="N21" s="146">
        <f t="shared" si="10"/>
        <v>800.37415291352795</v>
      </c>
    </row>
    <row r="22" spans="2:14" x14ac:dyDescent="0.25">
      <c r="B22" s="228">
        <v>0.5</v>
      </c>
      <c r="C22" s="145">
        <f t="shared" ref="C22:N22" si="11">C52+C82</f>
        <v>760.20790326499264</v>
      </c>
      <c r="D22" s="130">
        <f t="shared" si="11"/>
        <v>633.70050125436001</v>
      </c>
      <c r="E22" s="130">
        <f t="shared" si="11"/>
        <v>490.03128808590031</v>
      </c>
      <c r="F22" s="130">
        <f t="shared" si="11"/>
        <v>331.35156238760692</v>
      </c>
      <c r="G22" s="130">
        <f t="shared" si="11"/>
        <v>199.58916536043262</v>
      </c>
      <c r="H22" s="130">
        <f t="shared" si="11"/>
        <v>135.61361555148227</v>
      </c>
      <c r="I22" s="130">
        <f t="shared" si="11"/>
        <v>189.12508515545147</v>
      </c>
      <c r="J22" s="130">
        <f t="shared" si="11"/>
        <v>333.70437884814538</v>
      </c>
      <c r="K22" s="130">
        <f t="shared" si="11"/>
        <v>574.55064232336485</v>
      </c>
      <c r="L22" s="130">
        <f t="shared" si="11"/>
        <v>817.8742157232914</v>
      </c>
      <c r="M22" s="130">
        <f t="shared" si="11"/>
        <v>906.99726342692156</v>
      </c>
      <c r="N22" s="146">
        <f t="shared" si="11"/>
        <v>832.57121529331027</v>
      </c>
    </row>
    <row r="23" spans="2:14" x14ac:dyDescent="0.25">
      <c r="B23" s="228">
        <v>0.54166666666666696</v>
      </c>
      <c r="C23" s="145">
        <f t="shared" ref="C23:N23" si="12">C53+C83</f>
        <v>730.06192175673277</v>
      </c>
      <c r="D23" s="130">
        <f t="shared" si="12"/>
        <v>607.27290382690512</v>
      </c>
      <c r="E23" s="130">
        <f t="shared" si="12"/>
        <v>467.95418128718484</v>
      </c>
      <c r="F23" s="130">
        <f t="shared" si="12"/>
        <v>314.87037047333934</v>
      </c>
      <c r="G23" s="130">
        <f t="shared" si="12"/>
        <v>185.20666693473163</v>
      </c>
      <c r="H23" s="130">
        <f t="shared" si="12"/>
        <v>123.38004126194627</v>
      </c>
      <c r="I23" s="130">
        <f t="shared" si="12"/>
        <v>177.91253515894036</v>
      </c>
      <c r="J23" s="130">
        <f t="shared" si="12"/>
        <v>316.26585521204123</v>
      </c>
      <c r="K23" s="130">
        <f t="shared" si="12"/>
        <v>549.77799786670028</v>
      </c>
      <c r="L23" s="130">
        <f t="shared" si="12"/>
        <v>785.74514254850135</v>
      </c>
      <c r="M23" s="130">
        <f t="shared" si="12"/>
        <v>872.91354114314731</v>
      </c>
      <c r="N23" s="146">
        <f t="shared" si="12"/>
        <v>800.37415291352795</v>
      </c>
    </row>
    <row r="24" spans="2:14" x14ac:dyDescent="0.25">
      <c r="B24" s="228">
        <v>0.58333333333333304</v>
      </c>
      <c r="C24" s="145">
        <f t="shared" ref="C24:N24" si="13">C54+C84</f>
        <v>644.70613491454355</v>
      </c>
      <c r="D24" s="130">
        <f t="shared" si="13"/>
        <v>532.51204584712309</v>
      </c>
      <c r="E24" s="130">
        <f t="shared" si="13"/>
        <v>405.31365494807358</v>
      </c>
      <c r="F24" s="130">
        <f t="shared" si="13"/>
        <v>266.58228006808372</v>
      </c>
      <c r="G24" s="130">
        <f t="shared" si="13"/>
        <v>138.17120331203756</v>
      </c>
      <c r="H24" s="130">
        <f t="shared" si="13"/>
        <v>79.651130221466246</v>
      </c>
      <c r="I24" s="130">
        <f t="shared" si="13"/>
        <v>139.20655016709367</v>
      </c>
      <c r="J24" s="130">
        <f t="shared" si="13"/>
        <v>265.11442169865927</v>
      </c>
      <c r="K24" s="130">
        <f t="shared" si="13"/>
        <v>478.57153005381281</v>
      </c>
      <c r="L24" s="130">
        <f t="shared" si="13"/>
        <v>694.44789680521649</v>
      </c>
      <c r="M24" s="130">
        <f t="shared" si="13"/>
        <v>776.05681193200951</v>
      </c>
      <c r="N24" s="146">
        <f t="shared" si="13"/>
        <v>708.99203661489923</v>
      </c>
    </row>
    <row r="25" spans="2:14" x14ac:dyDescent="0.25">
      <c r="B25" s="228">
        <v>0.625</v>
      </c>
      <c r="C25" s="145">
        <f t="shared" ref="C25:N25" si="14">C55+C85</f>
        <v>518.11725103617891</v>
      </c>
      <c r="D25" s="130">
        <f t="shared" si="14"/>
        <v>421.82300085203832</v>
      </c>
      <c r="E25" s="130">
        <f t="shared" si="14"/>
        <v>312.3590677819459</v>
      </c>
      <c r="F25" s="130">
        <f t="shared" si="14"/>
        <v>187.73413307812348</v>
      </c>
      <c r="G25" s="130">
        <f t="shared" si="14"/>
        <v>64.183836954995101</v>
      </c>
      <c r="H25" s="130">
        <f t="shared" si="14"/>
        <v>41.702614998973715</v>
      </c>
      <c r="I25" s="130">
        <f t="shared" si="14"/>
        <v>77.65219986476427</v>
      </c>
      <c r="J25" s="130">
        <f t="shared" si="14"/>
        <v>187.65397951065654</v>
      </c>
      <c r="K25" s="130">
        <f t="shared" si="14"/>
        <v>375.03219033341713</v>
      </c>
      <c r="L25" s="130">
        <f t="shared" si="14"/>
        <v>558.45145844995272</v>
      </c>
      <c r="M25" s="130">
        <f t="shared" si="14"/>
        <v>631.56735178598956</v>
      </c>
      <c r="N25" s="146">
        <f t="shared" si="14"/>
        <v>577.07663558474474</v>
      </c>
    </row>
    <row r="26" spans="2:14" x14ac:dyDescent="0.25">
      <c r="B26" s="228">
        <v>0.66666666666666696</v>
      </c>
      <c r="C26" s="145">
        <f t="shared" ref="C26:N26" si="15">C56+C86</f>
        <v>369.95744502140531</v>
      </c>
      <c r="D26" s="130">
        <f t="shared" si="15"/>
        <v>292.59011299624331</v>
      </c>
      <c r="E26" s="130">
        <f t="shared" si="15"/>
        <v>203.89434112316587</v>
      </c>
      <c r="F26" s="130">
        <f t="shared" si="15"/>
        <v>95.283917458599632</v>
      </c>
      <c r="G26" s="130">
        <f t="shared" si="15"/>
        <v>39.412064213307623</v>
      </c>
      <c r="H26" s="130">
        <f t="shared" si="15"/>
        <v>38.376763237354446</v>
      </c>
      <c r="I26" s="130">
        <f t="shared" si="15"/>
        <v>57.899523188418897</v>
      </c>
      <c r="J26" s="130">
        <f t="shared" si="15"/>
        <v>96.67688333819558</v>
      </c>
      <c r="K26" s="130">
        <f t="shared" si="15"/>
        <v>244.81502134205823</v>
      </c>
      <c r="L26" s="130">
        <f t="shared" si="15"/>
        <v>398.75327824059548</v>
      </c>
      <c r="M26" s="130">
        <f t="shared" si="15"/>
        <v>461.21292416065444</v>
      </c>
      <c r="N26" s="146">
        <f t="shared" si="15"/>
        <v>412.76461051380215</v>
      </c>
    </row>
    <row r="27" spans="2:14" x14ac:dyDescent="0.25">
      <c r="B27" s="228">
        <v>0.70833333333333304</v>
      </c>
      <c r="C27" s="145">
        <f t="shared" ref="C27:N27" si="16">C57+C87</f>
        <v>205.08624200289108</v>
      </c>
      <c r="D27" s="130">
        <f t="shared" si="16"/>
        <v>163.76440374651233</v>
      </c>
      <c r="E27" s="130">
        <f t="shared" si="16"/>
        <v>95.946612665068784</v>
      </c>
      <c r="F27" s="130">
        <f t="shared" si="16"/>
        <v>35.091639927607353</v>
      </c>
      <c r="G27" s="130">
        <f t="shared" si="16"/>
        <v>29.780283932690608</v>
      </c>
      <c r="H27" s="130">
        <f t="shared" si="16"/>
        <v>29.738377789952196</v>
      </c>
      <c r="I27" s="130">
        <f t="shared" si="16"/>
        <v>43.329169548304428</v>
      </c>
      <c r="J27" s="130">
        <f t="shared" si="16"/>
        <v>38.325363641110599</v>
      </c>
      <c r="K27" s="130">
        <f t="shared" si="16"/>
        <v>114.89228901769098</v>
      </c>
      <c r="L27" s="130">
        <f t="shared" si="16"/>
        <v>238.30077170127393</v>
      </c>
      <c r="M27" s="130">
        <f t="shared" si="16"/>
        <v>280.04120700360403</v>
      </c>
      <c r="N27" s="146">
        <f t="shared" si="16"/>
        <v>227.52901356378166</v>
      </c>
    </row>
    <row r="28" spans="2:14" x14ac:dyDescent="0.25">
      <c r="B28" s="228">
        <v>0.75</v>
      </c>
      <c r="C28" s="145">
        <f t="shared" ref="C28:N28" si="17">C58+C88</f>
        <v>0</v>
      </c>
      <c r="D28" s="130">
        <f t="shared" si="17"/>
        <v>0</v>
      </c>
      <c r="E28" s="130">
        <f t="shared" si="17"/>
        <v>0</v>
      </c>
      <c r="F28" s="130">
        <f t="shared" si="17"/>
        <v>13.386597726118383</v>
      </c>
      <c r="G28" s="130">
        <f t="shared" si="17"/>
        <v>14.841290557026475</v>
      </c>
      <c r="H28" s="130">
        <f t="shared" si="17"/>
        <v>16.18938681842225</v>
      </c>
      <c r="I28" s="130">
        <f t="shared" si="17"/>
        <v>21.547830583710645</v>
      </c>
      <c r="J28" s="130">
        <f t="shared" si="17"/>
        <v>14.757096477110556</v>
      </c>
      <c r="K28" s="130">
        <f t="shared" si="17"/>
        <v>0</v>
      </c>
      <c r="L28" s="130">
        <f t="shared" si="17"/>
        <v>0</v>
      </c>
      <c r="M28" s="130">
        <f t="shared" si="17"/>
        <v>0</v>
      </c>
      <c r="N28" s="146">
        <f t="shared" si="17"/>
        <v>0</v>
      </c>
    </row>
    <row r="29" spans="2:14" x14ac:dyDescent="0.25">
      <c r="B29" s="228">
        <v>0.79166666666666696</v>
      </c>
      <c r="C29" s="145">
        <f t="shared" ref="C29:N29" si="18">C59+C89</f>
        <v>0</v>
      </c>
      <c r="D29" s="130">
        <f t="shared" si="18"/>
        <v>0</v>
      </c>
      <c r="E29" s="130">
        <f t="shared" si="18"/>
        <v>0</v>
      </c>
      <c r="F29" s="130">
        <f t="shared" si="18"/>
        <v>0</v>
      </c>
      <c r="G29" s="130">
        <f t="shared" si="18"/>
        <v>0</v>
      </c>
      <c r="H29" s="130">
        <f t="shared" si="18"/>
        <v>0</v>
      </c>
      <c r="I29" s="130">
        <f t="shared" si="18"/>
        <v>0</v>
      </c>
      <c r="J29" s="130">
        <f t="shared" si="18"/>
        <v>0</v>
      </c>
      <c r="K29" s="130">
        <f t="shared" si="18"/>
        <v>0</v>
      </c>
      <c r="L29" s="130">
        <f t="shared" si="18"/>
        <v>0</v>
      </c>
      <c r="M29" s="130">
        <f t="shared" si="18"/>
        <v>0</v>
      </c>
      <c r="N29" s="146">
        <f t="shared" si="18"/>
        <v>0</v>
      </c>
    </row>
    <row r="30" spans="2:14" x14ac:dyDescent="0.25">
      <c r="B30" s="228">
        <v>0.83333333333333304</v>
      </c>
      <c r="C30" s="145">
        <f t="shared" ref="C30:N30" si="19">C60+C90</f>
        <v>0</v>
      </c>
      <c r="D30" s="130">
        <f t="shared" si="19"/>
        <v>0</v>
      </c>
      <c r="E30" s="130">
        <f t="shared" si="19"/>
        <v>0</v>
      </c>
      <c r="F30" s="130">
        <f t="shared" si="19"/>
        <v>0</v>
      </c>
      <c r="G30" s="130">
        <f t="shared" si="19"/>
        <v>0</v>
      </c>
      <c r="H30" s="130">
        <f t="shared" si="19"/>
        <v>0</v>
      </c>
      <c r="I30" s="130">
        <f t="shared" si="19"/>
        <v>0</v>
      </c>
      <c r="J30" s="130">
        <f t="shared" si="19"/>
        <v>0</v>
      </c>
      <c r="K30" s="130">
        <f t="shared" si="19"/>
        <v>0</v>
      </c>
      <c r="L30" s="130">
        <f t="shared" si="19"/>
        <v>0</v>
      </c>
      <c r="M30" s="130">
        <f t="shared" si="19"/>
        <v>0</v>
      </c>
      <c r="N30" s="146">
        <f t="shared" si="19"/>
        <v>0</v>
      </c>
    </row>
    <row r="31" spans="2:14" x14ac:dyDescent="0.25">
      <c r="B31" s="228">
        <v>0.875</v>
      </c>
      <c r="C31" s="145">
        <f t="shared" ref="C31:N31" si="20">C61+C91</f>
        <v>0</v>
      </c>
      <c r="D31" s="130">
        <f t="shared" si="20"/>
        <v>0</v>
      </c>
      <c r="E31" s="130">
        <f t="shared" si="20"/>
        <v>0</v>
      </c>
      <c r="F31" s="130">
        <f t="shared" si="20"/>
        <v>0</v>
      </c>
      <c r="G31" s="130">
        <f t="shared" si="20"/>
        <v>0</v>
      </c>
      <c r="H31" s="130">
        <f t="shared" si="20"/>
        <v>0</v>
      </c>
      <c r="I31" s="130">
        <f t="shared" si="20"/>
        <v>0</v>
      </c>
      <c r="J31" s="130">
        <f t="shared" si="20"/>
        <v>0</v>
      </c>
      <c r="K31" s="130">
        <f t="shared" si="20"/>
        <v>0</v>
      </c>
      <c r="L31" s="130">
        <f t="shared" si="20"/>
        <v>0</v>
      </c>
      <c r="M31" s="130">
        <f t="shared" si="20"/>
        <v>0</v>
      </c>
      <c r="N31" s="146">
        <f t="shared" si="20"/>
        <v>0</v>
      </c>
    </row>
    <row r="32" spans="2:14" x14ac:dyDescent="0.25">
      <c r="B32" s="228">
        <v>0.91666666666666696</v>
      </c>
      <c r="C32" s="145">
        <f t="shared" ref="C32:N32" si="21">C62+C92</f>
        <v>0</v>
      </c>
      <c r="D32" s="130">
        <f t="shared" si="21"/>
        <v>0</v>
      </c>
      <c r="E32" s="130">
        <f t="shared" si="21"/>
        <v>0</v>
      </c>
      <c r="F32" s="130">
        <f t="shared" si="21"/>
        <v>0</v>
      </c>
      <c r="G32" s="130">
        <f t="shared" si="21"/>
        <v>0</v>
      </c>
      <c r="H32" s="130">
        <f t="shared" si="21"/>
        <v>0</v>
      </c>
      <c r="I32" s="130">
        <f t="shared" si="21"/>
        <v>0</v>
      </c>
      <c r="J32" s="130">
        <f t="shared" si="21"/>
        <v>0</v>
      </c>
      <c r="K32" s="130">
        <f t="shared" si="21"/>
        <v>0</v>
      </c>
      <c r="L32" s="130">
        <f t="shared" si="21"/>
        <v>0</v>
      </c>
      <c r="M32" s="130">
        <f t="shared" si="21"/>
        <v>0</v>
      </c>
      <c r="N32" s="146">
        <f t="shared" si="21"/>
        <v>0</v>
      </c>
    </row>
    <row r="33" spans="2:14" x14ac:dyDescent="0.25">
      <c r="B33" s="228">
        <v>0.95833333333333304</v>
      </c>
      <c r="C33" s="145">
        <f t="shared" ref="C33:N33" si="22">C63+C93</f>
        <v>0</v>
      </c>
      <c r="D33" s="130">
        <f t="shared" si="22"/>
        <v>0</v>
      </c>
      <c r="E33" s="130">
        <f t="shared" si="22"/>
        <v>0</v>
      </c>
      <c r="F33" s="130">
        <f t="shared" si="22"/>
        <v>0</v>
      </c>
      <c r="G33" s="130">
        <f t="shared" si="22"/>
        <v>0</v>
      </c>
      <c r="H33" s="130">
        <f t="shared" si="22"/>
        <v>0</v>
      </c>
      <c r="I33" s="130">
        <f t="shared" si="22"/>
        <v>0</v>
      </c>
      <c r="J33" s="130">
        <f t="shared" si="22"/>
        <v>0</v>
      </c>
      <c r="K33" s="130">
        <f t="shared" si="22"/>
        <v>0</v>
      </c>
      <c r="L33" s="130">
        <f t="shared" si="22"/>
        <v>0</v>
      </c>
      <c r="M33" s="130">
        <f t="shared" si="22"/>
        <v>0</v>
      </c>
      <c r="N33" s="146">
        <f t="shared" si="22"/>
        <v>0</v>
      </c>
    </row>
    <row r="34" spans="2:14" ht="15.75" thickBot="1" x14ac:dyDescent="0.3">
      <c r="B34" s="228">
        <v>1</v>
      </c>
      <c r="C34" s="147">
        <f t="shared" ref="C34:N34" si="23">C64+C94</f>
        <v>0</v>
      </c>
      <c r="D34" s="148">
        <f t="shared" si="23"/>
        <v>0</v>
      </c>
      <c r="E34" s="148">
        <f t="shared" si="23"/>
        <v>0</v>
      </c>
      <c r="F34" s="148">
        <f t="shared" si="23"/>
        <v>0</v>
      </c>
      <c r="G34" s="148">
        <f t="shared" si="23"/>
        <v>0</v>
      </c>
      <c r="H34" s="148">
        <f t="shared" si="23"/>
        <v>0</v>
      </c>
      <c r="I34" s="148">
        <f t="shared" si="23"/>
        <v>0</v>
      </c>
      <c r="J34" s="148">
        <f t="shared" si="23"/>
        <v>0</v>
      </c>
      <c r="K34" s="148">
        <f t="shared" si="23"/>
        <v>0</v>
      </c>
      <c r="L34" s="148">
        <f t="shared" si="23"/>
        <v>0</v>
      </c>
      <c r="M34" s="148">
        <f t="shared" si="23"/>
        <v>0</v>
      </c>
      <c r="N34" s="149">
        <f t="shared" si="23"/>
        <v>0</v>
      </c>
    </row>
    <row r="36" spans="2:14" x14ac:dyDescent="0.25">
      <c r="B36" s="306" t="s">
        <v>212</v>
      </c>
      <c r="C36" s="307"/>
      <c r="D36" s="307"/>
      <c r="E36" s="307"/>
      <c r="F36" s="307"/>
      <c r="G36" s="307"/>
      <c r="H36" s="307"/>
      <c r="I36" s="307"/>
      <c r="J36" s="307"/>
      <c r="K36" s="307"/>
      <c r="L36" s="307"/>
      <c r="M36" s="307"/>
      <c r="N36" s="308"/>
    </row>
    <row r="37" spans="2:14" x14ac:dyDescent="0.25">
      <c r="B37" s="298" t="s">
        <v>1</v>
      </c>
      <c r="C37" s="299"/>
      <c r="D37" s="213" t="str">
        <f>D3</f>
        <v>Hermosillo, Son.</v>
      </c>
      <c r="E37" s="214"/>
      <c r="F37" s="298" t="s">
        <v>170</v>
      </c>
      <c r="G37" s="299"/>
      <c r="H37" s="216">
        <f>H3</f>
        <v>29.08</v>
      </c>
      <c r="I37" s="298" t="s">
        <v>202</v>
      </c>
      <c r="J37" s="299"/>
      <c r="K37" s="215">
        <f>K3</f>
        <v>-110.93</v>
      </c>
      <c r="L37" s="298" t="s">
        <v>201</v>
      </c>
      <c r="M37" s="299"/>
      <c r="N37" s="215">
        <f>N3</f>
        <v>211</v>
      </c>
    </row>
    <row r="38" spans="2:14" x14ac:dyDescent="0.25">
      <c r="B38" s="350"/>
      <c r="C38" s="338" t="s">
        <v>177</v>
      </c>
      <c r="D38" s="339"/>
      <c r="E38" s="339"/>
      <c r="F38" s="339"/>
      <c r="G38" s="339"/>
      <c r="H38" s="339"/>
      <c r="I38" s="339"/>
      <c r="J38" s="339"/>
      <c r="K38" s="339"/>
      <c r="L38" s="339"/>
      <c r="M38" s="339"/>
      <c r="N38" s="340"/>
    </row>
    <row r="39" spans="2:14" x14ac:dyDescent="0.25">
      <c r="B39" s="351"/>
      <c r="C39" s="347" t="s">
        <v>158</v>
      </c>
      <c r="D39" s="348"/>
      <c r="E39" s="348"/>
      <c r="F39" s="349"/>
      <c r="G39" s="309" t="str">
        <f>IF(M39="Horizontal",M39,IF($N$5=0,"Sur",IF($N$5=90,"Este",IF($N$5=-90,"Oeste",IF($N$5=180,"Norte",$N$5)))))</f>
        <v>Sur</v>
      </c>
      <c r="H39" s="309"/>
      <c r="I39" s="347" t="s">
        <v>213</v>
      </c>
      <c r="J39" s="348"/>
      <c r="K39" s="348"/>
      <c r="L39" s="349"/>
      <c r="M39" s="347" t="str">
        <f>IF($N$7=0,"Horizontal",IF($N$7=90,"Vertical",$N$7))</f>
        <v>Vertical</v>
      </c>
      <c r="N39" s="349"/>
    </row>
    <row r="40" spans="2:14" ht="15.75" thickBot="1" x14ac:dyDescent="0.3">
      <c r="B40" s="210" t="s">
        <v>195</v>
      </c>
      <c r="C40" s="240" t="s">
        <v>5</v>
      </c>
      <c r="D40" s="240" t="s">
        <v>6</v>
      </c>
      <c r="E40" s="240" t="s">
        <v>7</v>
      </c>
      <c r="F40" s="240" t="s">
        <v>8</v>
      </c>
      <c r="G40" s="240" t="s">
        <v>9</v>
      </c>
      <c r="H40" s="240" t="s">
        <v>10</v>
      </c>
      <c r="I40" s="240" t="s">
        <v>11</v>
      </c>
      <c r="J40" s="240" t="s">
        <v>12</v>
      </c>
      <c r="K40" s="240" t="s">
        <v>13</v>
      </c>
      <c r="L40" s="240" t="s">
        <v>14</v>
      </c>
      <c r="M40" s="240" t="s">
        <v>15</v>
      </c>
      <c r="N40" s="240" t="s">
        <v>16</v>
      </c>
    </row>
    <row r="41" spans="2:14" x14ac:dyDescent="0.25">
      <c r="B41" s="228">
        <v>4.1666666666666699E-2</v>
      </c>
      <c r="C41" s="142">
        <f>'Cálculos iluminancia'!BA18</f>
        <v>0</v>
      </c>
      <c r="D41" s="143">
        <f>'Cálculos iluminancia'!DH18</f>
        <v>0</v>
      </c>
      <c r="E41" s="143">
        <f>'Cálculos iluminancia'!FO18</f>
        <v>0</v>
      </c>
      <c r="F41" s="143">
        <f>'Cálculos iluminancia'!HV18</f>
        <v>0</v>
      </c>
      <c r="G41" s="143">
        <f>'Cálculos iluminancia'!KC18</f>
        <v>0</v>
      </c>
      <c r="H41" s="143">
        <f>'Cálculos iluminancia'!MJ18</f>
        <v>0</v>
      </c>
      <c r="I41" s="143">
        <f>'Cálculos iluminancia'!BA49</f>
        <v>0</v>
      </c>
      <c r="J41" s="143">
        <f>'Cálculos iluminancia'!DH49</f>
        <v>0</v>
      </c>
      <c r="K41" s="143">
        <f>'Cálculos iluminancia'!FO49</f>
        <v>0</v>
      </c>
      <c r="L41" s="143">
        <f>'Cálculos iluminancia'!HV49</f>
        <v>0</v>
      </c>
      <c r="M41" s="143">
        <f>'Cálculos iluminancia'!KC49</f>
        <v>0</v>
      </c>
      <c r="N41" s="144">
        <f>'Cálculos iluminancia'!MJ49</f>
        <v>0</v>
      </c>
    </row>
    <row r="42" spans="2:14" x14ac:dyDescent="0.25">
      <c r="B42" s="228">
        <v>8.3333333333333301E-2</v>
      </c>
      <c r="C42" s="145">
        <f>'Cálculos iluminancia'!BA19</f>
        <v>0</v>
      </c>
      <c r="D42" s="130">
        <f>'Cálculos iluminancia'!DH19</f>
        <v>0</v>
      </c>
      <c r="E42" s="130">
        <f>'Cálculos iluminancia'!FO19</f>
        <v>0</v>
      </c>
      <c r="F42" s="130">
        <f>'Cálculos iluminancia'!HV19</f>
        <v>0</v>
      </c>
      <c r="G42" s="130">
        <f>'Cálculos iluminancia'!KC19</f>
        <v>0</v>
      </c>
      <c r="H42" s="130">
        <f>'Cálculos iluminancia'!MJ19</f>
        <v>0</v>
      </c>
      <c r="I42" s="130">
        <f>'Cálculos iluminancia'!BA50</f>
        <v>0</v>
      </c>
      <c r="J42" s="130">
        <f>'Cálculos iluminancia'!DH50</f>
        <v>0</v>
      </c>
      <c r="K42" s="130">
        <f>'Cálculos iluminancia'!FO50</f>
        <v>0</v>
      </c>
      <c r="L42" s="130">
        <f>'Cálculos iluminancia'!HV50</f>
        <v>0</v>
      </c>
      <c r="M42" s="130">
        <f>'Cálculos iluminancia'!KC50</f>
        <v>0</v>
      </c>
      <c r="N42" s="146">
        <f>'Cálculos iluminancia'!MJ50</f>
        <v>0</v>
      </c>
    </row>
    <row r="43" spans="2:14" x14ac:dyDescent="0.25">
      <c r="B43" s="228">
        <v>0.125</v>
      </c>
      <c r="C43" s="145">
        <f>'Cálculos iluminancia'!BA20</f>
        <v>0</v>
      </c>
      <c r="D43" s="130">
        <f>'Cálculos iluminancia'!DH20</f>
        <v>0</v>
      </c>
      <c r="E43" s="130">
        <f>'Cálculos iluminancia'!FO20</f>
        <v>0</v>
      </c>
      <c r="F43" s="130">
        <f>'Cálculos iluminancia'!HV20</f>
        <v>0</v>
      </c>
      <c r="G43" s="130">
        <f>'Cálculos iluminancia'!KC20</f>
        <v>0</v>
      </c>
      <c r="H43" s="130">
        <f>'Cálculos iluminancia'!MJ20</f>
        <v>0</v>
      </c>
      <c r="I43" s="130">
        <f>'Cálculos iluminancia'!BA51</f>
        <v>0</v>
      </c>
      <c r="J43" s="130">
        <f>'Cálculos iluminancia'!DH51</f>
        <v>0</v>
      </c>
      <c r="K43" s="130">
        <f>'Cálculos iluminancia'!FO51</f>
        <v>0</v>
      </c>
      <c r="L43" s="130">
        <f>'Cálculos iluminancia'!HV51</f>
        <v>0</v>
      </c>
      <c r="M43" s="130">
        <f>'Cálculos iluminancia'!KC51</f>
        <v>0</v>
      </c>
      <c r="N43" s="146">
        <f>'Cálculos iluminancia'!MJ51</f>
        <v>0</v>
      </c>
    </row>
    <row r="44" spans="2:14" x14ac:dyDescent="0.25">
      <c r="B44" s="228">
        <v>0.16666666666666699</v>
      </c>
      <c r="C44" s="145">
        <f>'Cálculos iluminancia'!BA21</f>
        <v>0</v>
      </c>
      <c r="D44" s="130">
        <f>'Cálculos iluminancia'!DH21</f>
        <v>0</v>
      </c>
      <c r="E44" s="130">
        <f>'Cálculos iluminancia'!FO21</f>
        <v>0</v>
      </c>
      <c r="F44" s="130">
        <f>'Cálculos iluminancia'!HV21</f>
        <v>0</v>
      </c>
      <c r="G44" s="130">
        <f>'Cálculos iluminancia'!KC21</f>
        <v>0</v>
      </c>
      <c r="H44" s="130">
        <f>'Cálculos iluminancia'!MJ21</f>
        <v>0</v>
      </c>
      <c r="I44" s="130">
        <f>'Cálculos iluminancia'!BA52</f>
        <v>0</v>
      </c>
      <c r="J44" s="130">
        <f>'Cálculos iluminancia'!DH52</f>
        <v>0</v>
      </c>
      <c r="K44" s="130">
        <f>'Cálculos iluminancia'!FO52</f>
        <v>0</v>
      </c>
      <c r="L44" s="130">
        <f>'Cálculos iluminancia'!HV52</f>
        <v>0</v>
      </c>
      <c r="M44" s="130">
        <f>'Cálculos iluminancia'!KC52</f>
        <v>0</v>
      </c>
      <c r="N44" s="146">
        <f>'Cálculos iluminancia'!MJ52</f>
        <v>0</v>
      </c>
    </row>
    <row r="45" spans="2:14" x14ac:dyDescent="0.25">
      <c r="B45" s="228">
        <v>0.20833333333333301</v>
      </c>
      <c r="C45" s="145">
        <f>'Cálculos iluminancia'!BA22</f>
        <v>0</v>
      </c>
      <c r="D45" s="130">
        <f>'Cálculos iluminancia'!DH22</f>
        <v>0</v>
      </c>
      <c r="E45" s="130">
        <f>'Cálculos iluminancia'!FO22</f>
        <v>0</v>
      </c>
      <c r="F45" s="130">
        <f>'Cálculos iluminancia'!HV22</f>
        <v>0</v>
      </c>
      <c r="G45" s="130">
        <f>'Cálculos iluminancia'!KC22</f>
        <v>0</v>
      </c>
      <c r="H45" s="130">
        <f>'Cálculos iluminancia'!MJ22</f>
        <v>0</v>
      </c>
      <c r="I45" s="130">
        <f>'Cálculos iluminancia'!BA53</f>
        <v>0</v>
      </c>
      <c r="J45" s="130">
        <f>'Cálculos iluminancia'!DH53</f>
        <v>0</v>
      </c>
      <c r="K45" s="130">
        <f>'Cálculos iluminancia'!FO53</f>
        <v>0</v>
      </c>
      <c r="L45" s="130">
        <f>'Cálculos iluminancia'!HV53</f>
        <v>0</v>
      </c>
      <c r="M45" s="130">
        <f>'Cálculos iluminancia'!KC53</f>
        <v>0</v>
      </c>
      <c r="N45" s="146">
        <f>'Cálculos iluminancia'!MJ53</f>
        <v>0</v>
      </c>
    </row>
    <row r="46" spans="2:14" x14ac:dyDescent="0.25">
      <c r="B46" s="228">
        <v>0.25</v>
      </c>
      <c r="C46" s="145">
        <f>'Cálculos iluminancia'!BA23</f>
        <v>0</v>
      </c>
      <c r="D46" s="130">
        <f>'Cálculos iluminancia'!DH23</f>
        <v>0</v>
      </c>
      <c r="E46" s="130">
        <f>'Cálculos iluminancia'!FO23</f>
        <v>0</v>
      </c>
      <c r="F46" s="130">
        <f>'Cálculos iluminancia'!HV23</f>
        <v>13.386597726118383</v>
      </c>
      <c r="G46" s="130">
        <f>'Cálculos iluminancia'!KC23</f>
        <v>14.841290557026475</v>
      </c>
      <c r="H46" s="130">
        <f>'Cálculos iluminancia'!MJ23</f>
        <v>16.18938681842225</v>
      </c>
      <c r="I46" s="130">
        <f>'Cálculos iluminancia'!BA54</f>
        <v>21.547830583710645</v>
      </c>
      <c r="J46" s="130">
        <f>'Cálculos iluminancia'!DH54</f>
        <v>14.757096477110556</v>
      </c>
      <c r="K46" s="130">
        <f>'Cálculos iluminancia'!FO54</f>
        <v>0</v>
      </c>
      <c r="L46" s="130">
        <f>'Cálculos iluminancia'!HV54</f>
        <v>0</v>
      </c>
      <c r="M46" s="130">
        <f>'Cálculos iluminancia'!KC54</f>
        <v>0</v>
      </c>
      <c r="N46" s="146">
        <f>'Cálculos iluminancia'!MJ54</f>
        <v>0</v>
      </c>
    </row>
    <row r="47" spans="2:14" x14ac:dyDescent="0.25">
      <c r="B47" s="228">
        <v>0.29166666666666702</v>
      </c>
      <c r="C47" s="145">
        <f>'Cálculos iluminancia'!BA24</f>
        <v>19.312030267368357</v>
      </c>
      <c r="D47" s="130">
        <f>'Cálculos iluminancia'!DH24</f>
        <v>40.490692007239559</v>
      </c>
      <c r="E47" s="130">
        <f>'Cálculos iluminancia'!FO24</f>
        <v>41.014164248241059</v>
      </c>
      <c r="F47" s="130">
        <f>'Cálculos iluminancia'!HV24</f>
        <v>35.091639927607353</v>
      </c>
      <c r="G47" s="130">
        <f>'Cálculos iluminancia'!KC24</f>
        <v>29.780283932690608</v>
      </c>
      <c r="H47" s="130">
        <f>'Cálculos iluminancia'!MJ24</f>
        <v>29.738377789952196</v>
      </c>
      <c r="I47" s="130">
        <f>'Cálculos iluminancia'!BA55</f>
        <v>43.329169548304428</v>
      </c>
      <c r="J47" s="130">
        <f>'Cálculos iluminancia'!DH55</f>
        <v>38.325363641110599</v>
      </c>
      <c r="K47" s="130">
        <f>'Cálculos iluminancia'!FO55</f>
        <v>31.417202690098275</v>
      </c>
      <c r="L47" s="130">
        <f>'Cálculos iluminancia'!HV55</f>
        <v>23.413119776740693</v>
      </c>
      <c r="M47" s="130">
        <f>'Cálculos iluminancia'!KC55</f>
        <v>13.902471553475213</v>
      </c>
      <c r="N47" s="146">
        <f>'Cálculos iluminancia'!MJ55</f>
        <v>6.6548153658426878</v>
      </c>
    </row>
    <row r="48" spans="2:14" x14ac:dyDescent="0.25">
      <c r="B48" s="228">
        <v>0.33333333333333298</v>
      </c>
      <c r="C48" s="145">
        <f>'Cálculos iluminancia'!BA25</f>
        <v>74.031188004536716</v>
      </c>
      <c r="D48" s="130">
        <f>'Cálculos iluminancia'!DH25</f>
        <v>79.921521257525896</v>
      </c>
      <c r="E48" s="130">
        <f>'Cálculos iluminancia'!FO25</f>
        <v>78.31510138800887</v>
      </c>
      <c r="F48" s="130">
        <f>'Cálculos iluminancia'!HV25</f>
        <v>58.097981220404542</v>
      </c>
      <c r="G48" s="130">
        <f>'Cálculos iluminancia'!KC25</f>
        <v>39.412064213307623</v>
      </c>
      <c r="H48" s="130">
        <f>'Cálculos iluminancia'!MJ25</f>
        <v>38.376763237354446</v>
      </c>
      <c r="I48" s="130">
        <f>'Cálculos iluminancia'!BA56</f>
        <v>57.899523188418897</v>
      </c>
      <c r="J48" s="130">
        <f>'Cálculos iluminancia'!DH56</f>
        <v>62.699287688046873</v>
      </c>
      <c r="K48" s="130">
        <f>'Cálculos iluminancia'!FO56</f>
        <v>58.773135761103916</v>
      </c>
      <c r="L48" s="130">
        <f>'Cálculos iluminancia'!HV56</f>
        <v>47.25495632060759</v>
      </c>
      <c r="M48" s="130">
        <f>'Cálculos iluminancia'!KC56</f>
        <v>51.6788371914162</v>
      </c>
      <c r="N48" s="146">
        <f>'Cálculos iluminancia'!MJ56</f>
        <v>67.790536335532153</v>
      </c>
    </row>
    <row r="49" spans="2:14" x14ac:dyDescent="0.25">
      <c r="B49" s="228">
        <v>0.375</v>
      </c>
      <c r="C49" s="145">
        <f>'Cálculos iluminancia'!BA26</f>
        <v>107.2292801664362</v>
      </c>
      <c r="D49" s="130">
        <f>'Cálculos iluminancia'!DH26</f>
        <v>113.92208821401459</v>
      </c>
      <c r="E49" s="130">
        <f>'Cálculos iluminancia'!FO26</f>
        <v>109.70992445825948</v>
      </c>
      <c r="F49" s="130">
        <f>'Cálculos iluminancia'!HV26</f>
        <v>80.695408765928931</v>
      </c>
      <c r="G49" s="130">
        <f>'Cálculos iluminancia'!KC26</f>
        <v>44.551043081209848</v>
      </c>
      <c r="H49" s="130">
        <f>'Cálculos iluminancia'!MJ26</f>
        <v>41.702614998973715</v>
      </c>
      <c r="I49" s="130">
        <f>'Cálculos iluminancia'!BA57</f>
        <v>67.02467346947715</v>
      </c>
      <c r="J49" s="130">
        <f>'Cálculos iluminancia'!DH57</f>
        <v>86.743181544949692</v>
      </c>
      <c r="K49" s="130">
        <f>'Cálculos iluminancia'!FO57</f>
        <v>80.661502833998085</v>
      </c>
      <c r="L49" s="130">
        <f>'Cálculos iluminancia'!HV57</f>
        <v>65.540567689855834</v>
      </c>
      <c r="M49" s="130">
        <f>'Cálculos iluminancia'!KC57</f>
        <v>74.453710450619141</v>
      </c>
      <c r="N49" s="146">
        <f>'Cálculos iluminancia'!MJ57</f>
        <v>103.6353199952527</v>
      </c>
    </row>
    <row r="50" spans="2:14" x14ac:dyDescent="0.25">
      <c r="B50" s="228">
        <v>0.41666666666666702</v>
      </c>
      <c r="C50" s="145">
        <f>'Cálculos iluminancia'!BA27</f>
        <v>132.84147066912112</v>
      </c>
      <c r="D50" s="130">
        <f>'Cálculos iluminancia'!DH27</f>
        <v>139.96673744934287</v>
      </c>
      <c r="E50" s="130">
        <f>'Cálculos iluminancia'!FO27</f>
        <v>133.24918227637343</v>
      </c>
      <c r="F50" s="130">
        <f>'Cálculos iluminancia'!HV27</f>
        <v>96.553152334304457</v>
      </c>
      <c r="G50" s="130">
        <f>'Cálculos iluminancia'!KC27</f>
        <v>47.849492258366539</v>
      </c>
      <c r="H50" s="130">
        <f>'Cálculos iluminancia'!MJ27</f>
        <v>42.333133900200089</v>
      </c>
      <c r="I50" s="130">
        <f>'Cálculos iluminancia'!BA58</f>
        <v>78.587620458675133</v>
      </c>
      <c r="J50" s="130">
        <f>'Cálculos iluminancia'!DH58</f>
        <v>103.54852043823993</v>
      </c>
      <c r="K50" s="130">
        <f>'Cálculos iluminancia'!FO58</f>
        <v>88.388513794694973</v>
      </c>
      <c r="L50" s="130">
        <f>'Cálculos iluminancia'!HV58</f>
        <v>77.926738925271124</v>
      </c>
      <c r="M50" s="130">
        <f>'Cálculos iluminancia'!KC58</f>
        <v>90.387261369517134</v>
      </c>
      <c r="N50" s="146">
        <f>'Cálculos iluminancia'!MJ58</f>
        <v>123.25339050331714</v>
      </c>
    </row>
    <row r="51" spans="2:14" x14ac:dyDescent="0.25">
      <c r="B51" s="228">
        <v>0.45833333333333298</v>
      </c>
      <c r="C51" s="145">
        <f>'Cálculos iluminancia'!BA28</f>
        <v>149.04721762736747</v>
      </c>
      <c r="D51" s="130">
        <f>'Cálculos iluminancia'!DH28</f>
        <v>156.37494124744381</v>
      </c>
      <c r="E51" s="130">
        <f>'Cálculos iluminancia'!FO28</f>
        <v>147.68499343399338</v>
      </c>
      <c r="F51" s="130">
        <f>'Cálculos iluminancia'!HV28</f>
        <v>101.06969865520853</v>
      </c>
      <c r="G51" s="130">
        <f>'Cálculos iluminancia'!KC28</f>
        <v>46.254114588028656</v>
      </c>
      <c r="H51" s="130">
        <f>'Cálculos iluminancia'!MJ28</f>
        <v>39.892093606268794</v>
      </c>
      <c r="I51" s="130">
        <f>'Cálculos iluminancia'!BA59</f>
        <v>82.352377911014088</v>
      </c>
      <c r="J51" s="130">
        <f>'Cálculos iluminancia'!DH59</f>
        <v>112.43867926305076</v>
      </c>
      <c r="K51" s="130">
        <f>'Cálculos iluminancia'!FO59</f>
        <v>93.724624869198678</v>
      </c>
      <c r="L51" s="130">
        <f>'Cálculos iluminancia'!HV59</f>
        <v>84.807022391340666</v>
      </c>
      <c r="M51" s="130">
        <f>'Cálculos iluminancia'!KC59</f>
        <v>99.623144500411257</v>
      </c>
      <c r="N51" s="146">
        <f>'Cálculos iluminancia'!MJ59</f>
        <v>137.94341078395513</v>
      </c>
    </row>
    <row r="52" spans="2:14" x14ac:dyDescent="0.25">
      <c r="B52" s="228">
        <v>0.5</v>
      </c>
      <c r="C52" s="145">
        <f>'Cálculos iluminancia'!BA29</f>
        <v>154.60572493518436</v>
      </c>
      <c r="D52" s="130">
        <f>'Cálculos iluminancia'!DH29</f>
        <v>161.99151044529407</v>
      </c>
      <c r="E52" s="130">
        <f>'Cálculos iluminancia'!FO29</f>
        <v>152.51378525737954</v>
      </c>
      <c r="F52" s="130">
        <f>'Cálculos iluminancia'!HV29</f>
        <v>101.8842629179715</v>
      </c>
      <c r="G52" s="130">
        <f>'Cálculos iluminancia'!KC29</f>
        <v>43.309072139505318</v>
      </c>
      <c r="H52" s="130">
        <f>'Cálculos iluminancia'!MJ29</f>
        <v>35.67839113442664</v>
      </c>
      <c r="I52" s="130">
        <f>'Cálculos iluminancia'!BA60</f>
        <v>81.02647296043753</v>
      </c>
      <c r="J52" s="130">
        <f>'Cálculos iluminancia'!DH60</f>
        <v>114.73315748028219</v>
      </c>
      <c r="K52" s="130">
        <f>'Cálculos iluminancia'!FO60</f>
        <v>95.03430056655462</v>
      </c>
      <c r="L52" s="130">
        <f>'Cálculos iluminancia'!HV60</f>
        <v>86.95794018722664</v>
      </c>
      <c r="M52" s="130">
        <f>'Cálculos iluminancia'!KC60</f>
        <v>102.61916697580276</v>
      </c>
      <c r="N52" s="146">
        <f>'Cálculos iluminancia'!MJ60</f>
        <v>142.90540045107386</v>
      </c>
    </row>
    <row r="53" spans="2:14" x14ac:dyDescent="0.25">
      <c r="B53" s="228">
        <v>0.54166666666666696</v>
      </c>
      <c r="C53" s="145">
        <f>'Cálculos iluminancia'!BA30</f>
        <v>149.04721762736747</v>
      </c>
      <c r="D53" s="130">
        <f>'Cálculos iluminancia'!DH30</f>
        <v>156.37494124744381</v>
      </c>
      <c r="E53" s="130">
        <f>'Cálculos iluminancia'!FO30</f>
        <v>147.68499343399338</v>
      </c>
      <c r="F53" s="130">
        <f>'Cálculos iluminancia'!HV30</f>
        <v>101.06969865520853</v>
      </c>
      <c r="G53" s="130">
        <f>'Cálculos iluminancia'!KC30</f>
        <v>46.254114588028656</v>
      </c>
      <c r="H53" s="130">
        <f>'Cálculos iluminancia'!MJ30</f>
        <v>39.892093606268794</v>
      </c>
      <c r="I53" s="130">
        <f>'Cálculos iluminancia'!BA61</f>
        <v>82.352377911014088</v>
      </c>
      <c r="J53" s="130">
        <f>'Cálculos iluminancia'!DH61</f>
        <v>112.43867926305076</v>
      </c>
      <c r="K53" s="130">
        <f>'Cálculos iluminancia'!FO61</f>
        <v>93.724624869198678</v>
      </c>
      <c r="L53" s="130">
        <f>'Cálculos iluminancia'!HV61</f>
        <v>84.807022391340666</v>
      </c>
      <c r="M53" s="130">
        <f>'Cálculos iluminancia'!KC61</f>
        <v>99.623144500411257</v>
      </c>
      <c r="N53" s="146">
        <f>'Cálculos iluminancia'!MJ61</f>
        <v>137.94341078395513</v>
      </c>
    </row>
    <row r="54" spans="2:14" x14ac:dyDescent="0.25">
      <c r="B54" s="228">
        <v>0.58333333333333304</v>
      </c>
      <c r="C54" s="145">
        <f>'Cálculos iluminancia'!BA31</f>
        <v>132.84147066912112</v>
      </c>
      <c r="D54" s="130">
        <f>'Cálculos iluminancia'!DH31</f>
        <v>139.96673744934287</v>
      </c>
      <c r="E54" s="130">
        <f>'Cálculos iluminancia'!FO31</f>
        <v>133.24918227637343</v>
      </c>
      <c r="F54" s="130">
        <f>'Cálculos iluminancia'!HV31</f>
        <v>96.553152334304457</v>
      </c>
      <c r="G54" s="130">
        <f>'Cálculos iluminancia'!KC31</f>
        <v>47.849492258366539</v>
      </c>
      <c r="H54" s="130">
        <f>'Cálculos iluminancia'!MJ31</f>
        <v>42.333133900200089</v>
      </c>
      <c r="I54" s="130">
        <f>'Cálculos iluminancia'!BA62</f>
        <v>78.587620458675133</v>
      </c>
      <c r="J54" s="130">
        <f>'Cálculos iluminancia'!DH62</f>
        <v>103.54852043823993</v>
      </c>
      <c r="K54" s="130">
        <f>'Cálculos iluminancia'!FO62</f>
        <v>88.388513794694973</v>
      </c>
      <c r="L54" s="130">
        <f>'Cálculos iluminancia'!HV62</f>
        <v>77.926738925271124</v>
      </c>
      <c r="M54" s="130">
        <f>'Cálculos iluminancia'!KC62</f>
        <v>90.387261369517134</v>
      </c>
      <c r="N54" s="146">
        <f>'Cálculos iluminancia'!MJ62</f>
        <v>123.25339050331714</v>
      </c>
    </row>
    <row r="55" spans="2:14" x14ac:dyDescent="0.25">
      <c r="B55" s="228">
        <v>0.625</v>
      </c>
      <c r="C55" s="145">
        <f>'Cálculos iluminancia'!BA32</f>
        <v>107.2292801664362</v>
      </c>
      <c r="D55" s="130">
        <f>'Cálculos iluminancia'!DH32</f>
        <v>113.92208821401459</v>
      </c>
      <c r="E55" s="130">
        <f>'Cálculos iluminancia'!FO32</f>
        <v>109.70992445825948</v>
      </c>
      <c r="F55" s="130">
        <f>'Cálculos iluminancia'!HV32</f>
        <v>80.695408765928931</v>
      </c>
      <c r="G55" s="130">
        <f>'Cálculos iluminancia'!KC32</f>
        <v>44.551043081209848</v>
      </c>
      <c r="H55" s="130">
        <f>'Cálculos iluminancia'!MJ32</f>
        <v>41.702614998973715</v>
      </c>
      <c r="I55" s="130">
        <f>'Cálculos iluminancia'!BA63</f>
        <v>67.02467346947715</v>
      </c>
      <c r="J55" s="130">
        <f>'Cálculos iluminancia'!DH63</f>
        <v>86.743181544949692</v>
      </c>
      <c r="K55" s="130">
        <f>'Cálculos iluminancia'!FO63</f>
        <v>80.661502833998085</v>
      </c>
      <c r="L55" s="130">
        <f>'Cálculos iluminancia'!HV63</f>
        <v>65.540567689855834</v>
      </c>
      <c r="M55" s="130">
        <f>'Cálculos iluminancia'!KC63</f>
        <v>74.453710450619141</v>
      </c>
      <c r="N55" s="146">
        <f>'Cálculos iluminancia'!MJ63</f>
        <v>103.6353199952527</v>
      </c>
    </row>
    <row r="56" spans="2:14" x14ac:dyDescent="0.25">
      <c r="B56" s="228">
        <v>0.66666666666666696</v>
      </c>
      <c r="C56" s="145">
        <f>'Cálculos iluminancia'!BA33</f>
        <v>74.031188004536716</v>
      </c>
      <c r="D56" s="130">
        <f>'Cálculos iluminancia'!DH33</f>
        <v>79.921521257525896</v>
      </c>
      <c r="E56" s="130">
        <f>'Cálculos iluminancia'!FO33</f>
        <v>78.31510138800887</v>
      </c>
      <c r="F56" s="130">
        <f>'Cálculos iluminancia'!HV33</f>
        <v>58.097981220404542</v>
      </c>
      <c r="G56" s="130">
        <f>'Cálculos iluminancia'!KC33</f>
        <v>39.412064213307623</v>
      </c>
      <c r="H56" s="130">
        <f>'Cálculos iluminancia'!MJ33</f>
        <v>38.376763237354446</v>
      </c>
      <c r="I56" s="130">
        <f>'Cálculos iluminancia'!BA64</f>
        <v>57.899523188418897</v>
      </c>
      <c r="J56" s="130">
        <f>'Cálculos iluminancia'!DH64</f>
        <v>62.699287688046873</v>
      </c>
      <c r="K56" s="130">
        <f>'Cálculos iluminancia'!FO64</f>
        <v>58.773135761103916</v>
      </c>
      <c r="L56" s="130">
        <f>'Cálculos iluminancia'!HV64</f>
        <v>47.25495632060759</v>
      </c>
      <c r="M56" s="130">
        <f>'Cálculos iluminancia'!KC64</f>
        <v>51.6788371914162</v>
      </c>
      <c r="N56" s="146">
        <f>'Cálculos iluminancia'!MJ64</f>
        <v>67.790536335532153</v>
      </c>
    </row>
    <row r="57" spans="2:14" x14ac:dyDescent="0.25">
      <c r="B57" s="228">
        <v>0.70833333333333304</v>
      </c>
      <c r="C57" s="145">
        <f>'Cálculos iluminancia'!BA34</f>
        <v>19.312030267368357</v>
      </c>
      <c r="D57" s="130">
        <f>'Cálculos iluminancia'!DH34</f>
        <v>40.490692007239559</v>
      </c>
      <c r="E57" s="130">
        <f>'Cálculos iluminancia'!FO34</f>
        <v>41.014164248241059</v>
      </c>
      <c r="F57" s="130">
        <f>'Cálculos iluminancia'!HV34</f>
        <v>35.091639927607353</v>
      </c>
      <c r="G57" s="130">
        <f>'Cálculos iluminancia'!KC34</f>
        <v>29.780283932690608</v>
      </c>
      <c r="H57" s="130">
        <f>'Cálculos iluminancia'!MJ34</f>
        <v>29.738377789952196</v>
      </c>
      <c r="I57" s="130">
        <f>'Cálculos iluminancia'!BA65</f>
        <v>43.329169548304428</v>
      </c>
      <c r="J57" s="130">
        <f>'Cálculos iluminancia'!DH65</f>
        <v>38.325363641110599</v>
      </c>
      <c r="K57" s="130">
        <f>'Cálculos iluminancia'!FO65</f>
        <v>31.417202690098275</v>
      </c>
      <c r="L57" s="130">
        <f>'Cálculos iluminancia'!HV65</f>
        <v>23.413119776740693</v>
      </c>
      <c r="M57" s="130">
        <f>'Cálculos iluminancia'!KC65</f>
        <v>13.902471553475213</v>
      </c>
      <c r="N57" s="146">
        <f>'Cálculos iluminancia'!MJ65</f>
        <v>6.6548153658426878</v>
      </c>
    </row>
    <row r="58" spans="2:14" x14ac:dyDescent="0.25">
      <c r="B58" s="228">
        <v>0.75</v>
      </c>
      <c r="C58" s="145">
        <f>'Cálculos iluminancia'!BA35</f>
        <v>0</v>
      </c>
      <c r="D58" s="130">
        <f>'Cálculos iluminancia'!DH35</f>
        <v>0</v>
      </c>
      <c r="E58" s="130">
        <f>'Cálculos iluminancia'!FO35</f>
        <v>0</v>
      </c>
      <c r="F58" s="130">
        <f>'Cálculos iluminancia'!HV35</f>
        <v>13.386597726118383</v>
      </c>
      <c r="G58" s="130">
        <f>'Cálculos iluminancia'!KC35</f>
        <v>14.841290557026475</v>
      </c>
      <c r="H58" s="130">
        <f>'Cálculos iluminancia'!MJ35</f>
        <v>16.18938681842225</v>
      </c>
      <c r="I58" s="130">
        <f>'Cálculos iluminancia'!BA66</f>
        <v>21.547830583710645</v>
      </c>
      <c r="J58" s="130">
        <f>'Cálculos iluminancia'!DH66</f>
        <v>14.757096477110556</v>
      </c>
      <c r="K58" s="130">
        <f>'Cálculos iluminancia'!FO66</f>
        <v>0</v>
      </c>
      <c r="L58" s="130">
        <f>'Cálculos iluminancia'!HV66</f>
        <v>0</v>
      </c>
      <c r="M58" s="130">
        <f>'Cálculos iluminancia'!KC66</f>
        <v>0</v>
      </c>
      <c r="N58" s="146">
        <f>'Cálculos iluminancia'!MJ66</f>
        <v>0</v>
      </c>
    </row>
    <row r="59" spans="2:14" x14ac:dyDescent="0.25">
      <c r="B59" s="228">
        <v>0.79166666666666696</v>
      </c>
      <c r="C59" s="145">
        <f>'Cálculos iluminancia'!BA36</f>
        <v>0</v>
      </c>
      <c r="D59" s="130">
        <f>'Cálculos iluminancia'!DH36</f>
        <v>0</v>
      </c>
      <c r="E59" s="130">
        <f>'Cálculos iluminancia'!FO36</f>
        <v>0</v>
      </c>
      <c r="F59" s="130">
        <f>'Cálculos iluminancia'!HV36</f>
        <v>0</v>
      </c>
      <c r="G59" s="130">
        <f>'Cálculos iluminancia'!KC36</f>
        <v>0</v>
      </c>
      <c r="H59" s="130">
        <f>'Cálculos iluminancia'!MJ36</f>
        <v>0</v>
      </c>
      <c r="I59" s="130">
        <f>'Cálculos iluminancia'!BA67</f>
        <v>0</v>
      </c>
      <c r="J59" s="130">
        <f>'Cálculos iluminancia'!DH67</f>
        <v>0</v>
      </c>
      <c r="K59" s="130">
        <f>'Cálculos iluminancia'!FO67</f>
        <v>0</v>
      </c>
      <c r="L59" s="130">
        <f>'Cálculos iluminancia'!HV67</f>
        <v>0</v>
      </c>
      <c r="M59" s="130">
        <f>'Cálculos iluminancia'!KC67</f>
        <v>0</v>
      </c>
      <c r="N59" s="146">
        <f>'Cálculos iluminancia'!MJ67</f>
        <v>0</v>
      </c>
    </row>
    <row r="60" spans="2:14" x14ac:dyDescent="0.25">
      <c r="B60" s="228">
        <v>0.83333333333333304</v>
      </c>
      <c r="C60" s="145">
        <f>'Cálculos iluminancia'!BA37</f>
        <v>0</v>
      </c>
      <c r="D60" s="130">
        <f>'Cálculos iluminancia'!DH37</f>
        <v>0</v>
      </c>
      <c r="E60" s="130">
        <f>'Cálculos iluminancia'!FO37</f>
        <v>0</v>
      </c>
      <c r="F60" s="130">
        <f>'Cálculos iluminancia'!HV37</f>
        <v>0</v>
      </c>
      <c r="G60" s="130">
        <f>'Cálculos iluminancia'!KC37</f>
        <v>0</v>
      </c>
      <c r="H60" s="130">
        <f>'Cálculos iluminancia'!MJ37</f>
        <v>0</v>
      </c>
      <c r="I60" s="130">
        <f>'Cálculos iluminancia'!BA68</f>
        <v>0</v>
      </c>
      <c r="J60" s="130">
        <f>'Cálculos iluminancia'!DH68</f>
        <v>0</v>
      </c>
      <c r="K60" s="130">
        <f>'Cálculos iluminancia'!FO68</f>
        <v>0</v>
      </c>
      <c r="L60" s="130">
        <f>'Cálculos iluminancia'!HV68</f>
        <v>0</v>
      </c>
      <c r="M60" s="130">
        <f>'Cálculos iluminancia'!KC68</f>
        <v>0</v>
      </c>
      <c r="N60" s="146">
        <f>'Cálculos iluminancia'!MJ68</f>
        <v>0</v>
      </c>
    </row>
    <row r="61" spans="2:14" x14ac:dyDescent="0.25">
      <c r="B61" s="228">
        <v>0.875</v>
      </c>
      <c r="C61" s="145">
        <f>'Cálculos iluminancia'!BA38</f>
        <v>0</v>
      </c>
      <c r="D61" s="130">
        <f>'Cálculos iluminancia'!DH38</f>
        <v>0</v>
      </c>
      <c r="E61" s="130">
        <f>'Cálculos iluminancia'!FO38</f>
        <v>0</v>
      </c>
      <c r="F61" s="130">
        <f>'Cálculos iluminancia'!HV38</f>
        <v>0</v>
      </c>
      <c r="G61" s="130">
        <f>'Cálculos iluminancia'!KC38</f>
        <v>0</v>
      </c>
      <c r="H61" s="130">
        <f>'Cálculos iluminancia'!MJ38</f>
        <v>0</v>
      </c>
      <c r="I61" s="130">
        <f>'Cálculos iluminancia'!BA69</f>
        <v>0</v>
      </c>
      <c r="J61" s="130">
        <f>'Cálculos iluminancia'!DH69</f>
        <v>0</v>
      </c>
      <c r="K61" s="130">
        <f>'Cálculos iluminancia'!FO69</f>
        <v>0</v>
      </c>
      <c r="L61" s="130">
        <f>'Cálculos iluminancia'!HV69</f>
        <v>0</v>
      </c>
      <c r="M61" s="130">
        <f>'Cálculos iluminancia'!KC69</f>
        <v>0</v>
      </c>
      <c r="N61" s="146">
        <f>'Cálculos iluminancia'!MJ69</f>
        <v>0</v>
      </c>
    </row>
    <row r="62" spans="2:14" x14ac:dyDescent="0.25">
      <c r="B62" s="228">
        <v>0.91666666666666696</v>
      </c>
      <c r="C62" s="145">
        <f>'Cálculos iluminancia'!BA39</f>
        <v>0</v>
      </c>
      <c r="D62" s="130">
        <f>'Cálculos iluminancia'!DH39</f>
        <v>0</v>
      </c>
      <c r="E62" s="130">
        <f>'Cálculos iluminancia'!FO39</f>
        <v>0</v>
      </c>
      <c r="F62" s="130">
        <f>'Cálculos iluminancia'!HV39</f>
        <v>0</v>
      </c>
      <c r="G62" s="130">
        <f>'Cálculos iluminancia'!KC39</f>
        <v>0</v>
      </c>
      <c r="H62" s="130">
        <f>'Cálculos iluminancia'!MJ39</f>
        <v>0</v>
      </c>
      <c r="I62" s="130">
        <f>'Cálculos iluminancia'!BA70</f>
        <v>0</v>
      </c>
      <c r="J62" s="130">
        <f>'Cálculos iluminancia'!DH70</f>
        <v>0</v>
      </c>
      <c r="K62" s="130">
        <f>'Cálculos iluminancia'!FO70</f>
        <v>0</v>
      </c>
      <c r="L62" s="130">
        <f>'Cálculos iluminancia'!HV70</f>
        <v>0</v>
      </c>
      <c r="M62" s="130">
        <f>'Cálculos iluminancia'!KC70</f>
        <v>0</v>
      </c>
      <c r="N62" s="146">
        <f>'Cálculos iluminancia'!MJ70</f>
        <v>0</v>
      </c>
    </row>
    <row r="63" spans="2:14" x14ac:dyDescent="0.25">
      <c r="B63" s="228">
        <v>0.95833333333333304</v>
      </c>
      <c r="C63" s="145">
        <f>'Cálculos iluminancia'!BA40</f>
        <v>0</v>
      </c>
      <c r="D63" s="130">
        <f>'Cálculos iluminancia'!DH40</f>
        <v>0</v>
      </c>
      <c r="E63" s="130">
        <f>'Cálculos iluminancia'!FO40</f>
        <v>0</v>
      </c>
      <c r="F63" s="130">
        <f>'Cálculos iluminancia'!HV40</f>
        <v>0</v>
      </c>
      <c r="G63" s="130">
        <f>'Cálculos iluminancia'!KC40</f>
        <v>0</v>
      </c>
      <c r="H63" s="130">
        <f>'Cálculos iluminancia'!MJ40</f>
        <v>0</v>
      </c>
      <c r="I63" s="130">
        <f>'Cálculos iluminancia'!BA71</f>
        <v>0</v>
      </c>
      <c r="J63" s="130">
        <f>'Cálculos iluminancia'!DH71</f>
        <v>0</v>
      </c>
      <c r="K63" s="130">
        <f>'Cálculos iluminancia'!FO71</f>
        <v>0</v>
      </c>
      <c r="L63" s="130">
        <f>'Cálculos iluminancia'!HV71</f>
        <v>0</v>
      </c>
      <c r="M63" s="130">
        <f>'Cálculos iluminancia'!KC71</f>
        <v>0</v>
      </c>
      <c r="N63" s="146">
        <f>'Cálculos iluminancia'!MJ71</f>
        <v>0</v>
      </c>
    </row>
    <row r="64" spans="2:14" ht="15.75" thickBot="1" x14ac:dyDescent="0.3">
      <c r="B64" s="228">
        <v>1</v>
      </c>
      <c r="C64" s="147">
        <f>'Cálculos iluminancia'!BA41</f>
        <v>0</v>
      </c>
      <c r="D64" s="148">
        <f>'Cálculos iluminancia'!DH41</f>
        <v>0</v>
      </c>
      <c r="E64" s="148">
        <f>'Cálculos iluminancia'!FO41</f>
        <v>0</v>
      </c>
      <c r="F64" s="148">
        <f>'Cálculos iluminancia'!HV41</f>
        <v>0</v>
      </c>
      <c r="G64" s="148">
        <f>'Cálculos iluminancia'!KC41</f>
        <v>0</v>
      </c>
      <c r="H64" s="148">
        <f>'Cálculos iluminancia'!MJ41</f>
        <v>0</v>
      </c>
      <c r="I64" s="148">
        <f>'Cálculos iluminancia'!BA72</f>
        <v>0</v>
      </c>
      <c r="J64" s="148">
        <f>'Cálculos iluminancia'!DH72</f>
        <v>0</v>
      </c>
      <c r="K64" s="148">
        <f>'Cálculos iluminancia'!FO72</f>
        <v>0</v>
      </c>
      <c r="L64" s="148">
        <f>'Cálculos iluminancia'!HV72</f>
        <v>0</v>
      </c>
      <c r="M64" s="148">
        <f>'Cálculos iluminancia'!KC72</f>
        <v>0</v>
      </c>
      <c r="N64" s="149">
        <f>'Cálculos iluminancia'!MJ72</f>
        <v>0</v>
      </c>
    </row>
    <row r="66" spans="2:14" x14ac:dyDescent="0.25">
      <c r="B66" s="306" t="s">
        <v>212</v>
      </c>
      <c r="C66" s="307"/>
      <c r="D66" s="307"/>
      <c r="E66" s="307"/>
      <c r="F66" s="307"/>
      <c r="G66" s="307"/>
      <c r="H66" s="307"/>
      <c r="I66" s="307"/>
      <c r="J66" s="307"/>
      <c r="K66" s="307"/>
      <c r="L66" s="307"/>
      <c r="M66" s="307"/>
      <c r="N66" s="308"/>
    </row>
    <row r="67" spans="2:14" x14ac:dyDescent="0.25">
      <c r="B67" s="298" t="s">
        <v>1</v>
      </c>
      <c r="C67" s="299"/>
      <c r="D67" s="213" t="str">
        <f>D37</f>
        <v>Hermosillo, Son.</v>
      </c>
      <c r="E67" s="214"/>
      <c r="F67" s="298" t="s">
        <v>170</v>
      </c>
      <c r="G67" s="299"/>
      <c r="H67" s="216">
        <f>H37</f>
        <v>29.08</v>
      </c>
      <c r="I67" s="298" t="s">
        <v>202</v>
      </c>
      <c r="J67" s="299"/>
      <c r="K67" s="215">
        <f>K37</f>
        <v>-110.93</v>
      </c>
      <c r="L67" s="298" t="s">
        <v>201</v>
      </c>
      <c r="M67" s="299"/>
      <c r="N67" s="215">
        <f>N37</f>
        <v>211</v>
      </c>
    </row>
    <row r="68" spans="2:14" x14ac:dyDescent="0.25">
      <c r="B68" s="350"/>
      <c r="C68" s="338" t="s">
        <v>178</v>
      </c>
      <c r="D68" s="339"/>
      <c r="E68" s="339"/>
      <c r="F68" s="339"/>
      <c r="G68" s="339"/>
      <c r="H68" s="339"/>
      <c r="I68" s="339"/>
      <c r="J68" s="339"/>
      <c r="K68" s="339"/>
      <c r="L68" s="339"/>
      <c r="M68" s="339"/>
      <c r="N68" s="340"/>
    </row>
    <row r="69" spans="2:14" x14ac:dyDescent="0.25">
      <c r="B69" s="351"/>
      <c r="C69" s="347" t="s">
        <v>158</v>
      </c>
      <c r="D69" s="348"/>
      <c r="E69" s="348"/>
      <c r="F69" s="349"/>
      <c r="G69" s="347" t="str">
        <f>IF(M69="Horizontal",M69,IF($N$5=0,"Sur",IF($N$5=90,"Este",IF($N$5=-90,"Oeste",IF($N$5=180,"Norte",$N$5)))))</f>
        <v>Sur</v>
      </c>
      <c r="H69" s="349"/>
      <c r="I69" s="347" t="s">
        <v>213</v>
      </c>
      <c r="J69" s="348"/>
      <c r="K69" s="348"/>
      <c r="L69" s="349"/>
      <c r="M69" s="347" t="str">
        <f>IF($N$7=0,"Horizontal",IF($N$7=90,"Vertical",$N$7))</f>
        <v>Vertical</v>
      </c>
      <c r="N69" s="349"/>
    </row>
    <row r="70" spans="2:14" ht="15.75" thickBot="1" x14ac:dyDescent="0.3">
      <c r="B70" s="210" t="s">
        <v>195</v>
      </c>
      <c r="C70" s="240" t="s">
        <v>5</v>
      </c>
      <c r="D70" s="240" t="s">
        <v>6</v>
      </c>
      <c r="E70" s="240" t="s">
        <v>7</v>
      </c>
      <c r="F70" s="240" t="s">
        <v>8</v>
      </c>
      <c r="G70" s="240" t="s">
        <v>9</v>
      </c>
      <c r="H70" s="240" t="s">
        <v>10</v>
      </c>
      <c r="I70" s="240" t="s">
        <v>11</v>
      </c>
      <c r="J70" s="240" t="s">
        <v>12</v>
      </c>
      <c r="K70" s="240" t="s">
        <v>13</v>
      </c>
      <c r="L70" s="240" t="s">
        <v>14</v>
      </c>
      <c r="M70" s="240" t="s">
        <v>15</v>
      </c>
      <c r="N70" s="240" t="s">
        <v>16</v>
      </c>
    </row>
    <row r="71" spans="2:14" x14ac:dyDescent="0.25">
      <c r="B71" s="228">
        <v>4.1666666666666699E-2</v>
      </c>
      <c r="C71" s="142">
        <f>'Cálculos iluminancia'!BC18</f>
        <v>0</v>
      </c>
      <c r="D71" s="143">
        <f>'Cálculos iluminancia'!DJ18</f>
        <v>0</v>
      </c>
      <c r="E71" s="143">
        <f>'Cálculos iluminancia'!FQ18</f>
        <v>0</v>
      </c>
      <c r="F71" s="143">
        <f>'Cálculos iluminancia'!HX18</f>
        <v>0</v>
      </c>
      <c r="G71" s="143">
        <f>'Cálculos iluminancia'!KE18</f>
        <v>0</v>
      </c>
      <c r="H71" s="143">
        <f>'Cálculos iluminancia'!ML18</f>
        <v>0</v>
      </c>
      <c r="I71" s="143">
        <f>'Cálculos iluminancia'!BC49</f>
        <v>0</v>
      </c>
      <c r="J71" s="143">
        <f>'Cálculos iluminancia'!DJ49</f>
        <v>0</v>
      </c>
      <c r="K71" s="143">
        <f>'Cálculos iluminancia'!FQ49</f>
        <v>0</v>
      </c>
      <c r="L71" s="143">
        <f>'Cálculos iluminancia'!HX49</f>
        <v>0</v>
      </c>
      <c r="M71" s="143">
        <f>'Cálculos iluminancia'!KE49</f>
        <v>0</v>
      </c>
      <c r="N71" s="144">
        <f>'Cálculos iluminancia'!ML49</f>
        <v>0</v>
      </c>
    </row>
    <row r="72" spans="2:14" x14ac:dyDescent="0.25">
      <c r="B72" s="228">
        <v>8.3333333333333301E-2</v>
      </c>
      <c r="C72" s="145">
        <f>'Cálculos iluminancia'!BC19</f>
        <v>0</v>
      </c>
      <c r="D72" s="130">
        <f>'Cálculos iluminancia'!DJ19</f>
        <v>0</v>
      </c>
      <c r="E72" s="130">
        <f>'Cálculos iluminancia'!FQ19</f>
        <v>0</v>
      </c>
      <c r="F72" s="130">
        <f>'Cálculos iluminancia'!HX19</f>
        <v>0</v>
      </c>
      <c r="G72" s="130">
        <f>'Cálculos iluminancia'!KE19</f>
        <v>0</v>
      </c>
      <c r="H72" s="130">
        <f>'Cálculos iluminancia'!ML19</f>
        <v>0</v>
      </c>
      <c r="I72" s="130">
        <f>'Cálculos iluminancia'!BC50</f>
        <v>0</v>
      </c>
      <c r="J72" s="130">
        <f>'Cálculos iluminancia'!DJ50</f>
        <v>0</v>
      </c>
      <c r="K72" s="130">
        <f>'Cálculos iluminancia'!FQ50</f>
        <v>0</v>
      </c>
      <c r="L72" s="130">
        <f>'Cálculos iluminancia'!HX50</f>
        <v>0</v>
      </c>
      <c r="M72" s="130">
        <f>'Cálculos iluminancia'!KE50</f>
        <v>0</v>
      </c>
      <c r="N72" s="146">
        <f>'Cálculos iluminancia'!ML50</f>
        <v>0</v>
      </c>
    </row>
    <row r="73" spans="2:14" x14ac:dyDescent="0.25">
      <c r="B73" s="228">
        <v>0.125</v>
      </c>
      <c r="C73" s="145">
        <f>'Cálculos iluminancia'!BC20</f>
        <v>0</v>
      </c>
      <c r="D73" s="130">
        <f>'Cálculos iluminancia'!DJ20</f>
        <v>0</v>
      </c>
      <c r="E73" s="130">
        <f>'Cálculos iluminancia'!FQ20</f>
        <v>0</v>
      </c>
      <c r="F73" s="130">
        <f>'Cálculos iluminancia'!HX20</f>
        <v>0</v>
      </c>
      <c r="G73" s="130">
        <f>'Cálculos iluminancia'!KE20</f>
        <v>0</v>
      </c>
      <c r="H73" s="130">
        <f>'Cálculos iluminancia'!ML20</f>
        <v>0</v>
      </c>
      <c r="I73" s="130">
        <f>'Cálculos iluminancia'!BC51</f>
        <v>0</v>
      </c>
      <c r="J73" s="130">
        <f>'Cálculos iluminancia'!DJ51</f>
        <v>0</v>
      </c>
      <c r="K73" s="130">
        <f>'Cálculos iluminancia'!FQ51</f>
        <v>0</v>
      </c>
      <c r="L73" s="130">
        <f>'Cálculos iluminancia'!HX51</f>
        <v>0</v>
      </c>
      <c r="M73" s="130">
        <f>'Cálculos iluminancia'!KE51</f>
        <v>0</v>
      </c>
      <c r="N73" s="146">
        <f>'Cálculos iluminancia'!ML51</f>
        <v>0</v>
      </c>
    </row>
    <row r="74" spans="2:14" x14ac:dyDescent="0.25">
      <c r="B74" s="228">
        <v>0.16666666666666699</v>
      </c>
      <c r="C74" s="145">
        <f>'Cálculos iluminancia'!BC21</f>
        <v>0</v>
      </c>
      <c r="D74" s="130">
        <f>'Cálculos iluminancia'!DJ21</f>
        <v>0</v>
      </c>
      <c r="E74" s="130">
        <f>'Cálculos iluminancia'!FQ21</f>
        <v>0</v>
      </c>
      <c r="F74" s="130">
        <f>'Cálculos iluminancia'!HX21</f>
        <v>0</v>
      </c>
      <c r="G74" s="130">
        <f>'Cálculos iluminancia'!KE21</f>
        <v>0</v>
      </c>
      <c r="H74" s="130">
        <f>'Cálculos iluminancia'!ML21</f>
        <v>0</v>
      </c>
      <c r="I74" s="130">
        <f>'Cálculos iluminancia'!BC52</f>
        <v>0</v>
      </c>
      <c r="J74" s="130">
        <f>'Cálculos iluminancia'!DJ52</f>
        <v>0</v>
      </c>
      <c r="K74" s="130">
        <f>'Cálculos iluminancia'!FQ52</f>
        <v>0</v>
      </c>
      <c r="L74" s="130">
        <f>'Cálculos iluminancia'!HX52</f>
        <v>0</v>
      </c>
      <c r="M74" s="130">
        <f>'Cálculos iluminancia'!KE52</f>
        <v>0</v>
      </c>
      <c r="N74" s="146">
        <f>'Cálculos iluminancia'!ML52</f>
        <v>0</v>
      </c>
    </row>
    <row r="75" spans="2:14" x14ac:dyDescent="0.25">
      <c r="B75" s="228">
        <v>0.20833333333333301</v>
      </c>
      <c r="C75" s="145">
        <f>'Cálculos iluminancia'!BC22</f>
        <v>0</v>
      </c>
      <c r="D75" s="130">
        <f>'Cálculos iluminancia'!DJ22</f>
        <v>0</v>
      </c>
      <c r="E75" s="130">
        <f>'Cálculos iluminancia'!FQ22</f>
        <v>0</v>
      </c>
      <c r="F75" s="130">
        <f>'Cálculos iluminancia'!HX22</f>
        <v>0</v>
      </c>
      <c r="G75" s="130">
        <f>'Cálculos iluminancia'!KE22</f>
        <v>0</v>
      </c>
      <c r="H75" s="130">
        <f>'Cálculos iluminancia'!ML22</f>
        <v>0</v>
      </c>
      <c r="I75" s="130">
        <f>'Cálculos iluminancia'!BC53</f>
        <v>0</v>
      </c>
      <c r="J75" s="130">
        <f>'Cálculos iluminancia'!DJ53</f>
        <v>0</v>
      </c>
      <c r="K75" s="130">
        <f>'Cálculos iluminancia'!FQ53</f>
        <v>0</v>
      </c>
      <c r="L75" s="130">
        <f>'Cálculos iluminancia'!HX53</f>
        <v>0</v>
      </c>
      <c r="M75" s="130">
        <f>'Cálculos iluminancia'!KE53</f>
        <v>0</v>
      </c>
      <c r="N75" s="146">
        <f>'Cálculos iluminancia'!ML53</f>
        <v>0</v>
      </c>
    </row>
    <row r="76" spans="2:14" x14ac:dyDescent="0.25">
      <c r="B76" s="228">
        <v>0.25</v>
      </c>
      <c r="C76" s="145">
        <f>'Cálculos iluminancia'!BC23</f>
        <v>0</v>
      </c>
      <c r="D76" s="130">
        <f>'Cálculos iluminancia'!DJ23</f>
        <v>0</v>
      </c>
      <c r="E76" s="130">
        <f>'Cálculos iluminancia'!FQ23</f>
        <v>0</v>
      </c>
      <c r="F76" s="130">
        <f>'Cálculos iluminancia'!HX23</f>
        <v>0</v>
      </c>
      <c r="G76" s="130">
        <f>'Cálculos iluminancia'!KE23</f>
        <v>0</v>
      </c>
      <c r="H76" s="130">
        <f>'Cálculos iluminancia'!ML23</f>
        <v>0</v>
      </c>
      <c r="I76" s="130">
        <f>'Cálculos iluminancia'!BC54</f>
        <v>0</v>
      </c>
      <c r="J76" s="130">
        <f>'Cálculos iluminancia'!DJ54</f>
        <v>0</v>
      </c>
      <c r="K76" s="130">
        <f>'Cálculos iluminancia'!FQ54</f>
        <v>0</v>
      </c>
      <c r="L76" s="130">
        <f>'Cálculos iluminancia'!HX54</f>
        <v>0</v>
      </c>
      <c r="M76" s="130">
        <f>'Cálculos iluminancia'!KE54</f>
        <v>0</v>
      </c>
      <c r="N76" s="146">
        <f>'Cálculos iluminancia'!ML54</f>
        <v>0</v>
      </c>
    </row>
    <row r="77" spans="2:14" x14ac:dyDescent="0.25">
      <c r="B77" s="228">
        <v>0.29166666666666702</v>
      </c>
      <c r="C77" s="145">
        <f>'Cálculos iluminancia'!BC24</f>
        <v>185.77421173552273</v>
      </c>
      <c r="D77" s="130">
        <f>'Cálculos iluminancia'!DJ24</f>
        <v>123.27371173927277</v>
      </c>
      <c r="E77" s="130">
        <f>'Cálculos iluminancia'!FQ24</f>
        <v>54.932448416827732</v>
      </c>
      <c r="F77" s="130">
        <f>'Cálculos iluminancia'!HX24</f>
        <v>0</v>
      </c>
      <c r="G77" s="130">
        <f>'Cálculos iluminancia'!KE24</f>
        <v>0</v>
      </c>
      <c r="H77" s="130">
        <f>'Cálculos iluminancia'!ML24</f>
        <v>0</v>
      </c>
      <c r="I77" s="130">
        <f>'Cálculos iluminancia'!BC55</f>
        <v>0</v>
      </c>
      <c r="J77" s="130">
        <f>'Cálculos iluminancia'!DJ55</f>
        <v>0</v>
      </c>
      <c r="K77" s="130">
        <f>'Cálculos iluminancia'!FQ55</f>
        <v>83.475086327592706</v>
      </c>
      <c r="L77" s="130">
        <f>'Cálculos iluminancia'!HX55</f>
        <v>214.88765192453323</v>
      </c>
      <c r="M77" s="130">
        <f>'Cálculos iluminancia'!KE55</f>
        <v>266.13873545012882</v>
      </c>
      <c r="N77" s="146">
        <f>'Cálculos iluminancia'!ML55</f>
        <v>220.87419819793897</v>
      </c>
    </row>
    <row r="78" spans="2:14" x14ac:dyDescent="0.25">
      <c r="B78" s="228">
        <v>0.33333333333333298</v>
      </c>
      <c r="C78" s="145">
        <f>'Cálculos iluminancia'!BC25</f>
        <v>295.92625701686859</v>
      </c>
      <c r="D78" s="130">
        <f>'Cálculos iluminancia'!DJ25</f>
        <v>212.6685917387174</v>
      </c>
      <c r="E78" s="130">
        <f>'Cálculos iluminancia'!FQ25</f>
        <v>125.57923973515702</v>
      </c>
      <c r="F78" s="130">
        <f>'Cálculos iluminancia'!HX25</f>
        <v>37.18593623819509</v>
      </c>
      <c r="G78" s="130">
        <f>'Cálculos iluminancia'!KE25</f>
        <v>0</v>
      </c>
      <c r="H78" s="130">
        <f>'Cálculos iluminancia'!ML25</f>
        <v>0</v>
      </c>
      <c r="I78" s="130">
        <f>'Cálculos iluminancia'!BC56</f>
        <v>0</v>
      </c>
      <c r="J78" s="130">
        <f>'Cálculos iluminancia'!DJ56</f>
        <v>33.977595650148714</v>
      </c>
      <c r="K78" s="130">
        <f>'Cálculos iluminancia'!FQ56</f>
        <v>186.04188558095433</v>
      </c>
      <c r="L78" s="130">
        <f>'Cálculos iluminancia'!HX56</f>
        <v>351.49832191998786</v>
      </c>
      <c r="M78" s="130">
        <f>'Cálculos iluminancia'!KE56</f>
        <v>409.53408696923822</v>
      </c>
      <c r="N78" s="146">
        <f>'Cálculos iluminancia'!ML56</f>
        <v>344.97407417826997</v>
      </c>
    </row>
    <row r="79" spans="2:14" x14ac:dyDescent="0.25">
      <c r="B79" s="228">
        <v>0.375</v>
      </c>
      <c r="C79" s="145">
        <f>'Cálculos iluminancia'!BC26</f>
        <v>410.88797086974273</v>
      </c>
      <c r="D79" s="130">
        <f>'Cálculos iluminancia'!DJ26</f>
        <v>307.90091263802373</v>
      </c>
      <c r="E79" s="130">
        <f>'Cálculos iluminancia'!FQ26</f>
        <v>202.64914332368642</v>
      </c>
      <c r="F79" s="130">
        <f>'Cálculos iluminancia'!HX26</f>
        <v>107.03872431219456</v>
      </c>
      <c r="G79" s="130">
        <f>'Cálculos iluminancia'!KE26</f>
        <v>19.632793873785257</v>
      </c>
      <c r="H79" s="130">
        <f>'Cálculos iluminancia'!ML26</f>
        <v>0</v>
      </c>
      <c r="I79" s="130">
        <f>'Cálculos iluminancia'!BC57</f>
        <v>10.627526395287122</v>
      </c>
      <c r="J79" s="130">
        <f>'Cálculos iluminancia'!DJ57</f>
        <v>100.91079796570685</v>
      </c>
      <c r="K79" s="130">
        <f>'Cálculos iluminancia'!FQ57</f>
        <v>294.37068749941903</v>
      </c>
      <c r="L79" s="130">
        <f>'Cálculos iluminancia'!HX57</f>
        <v>492.91089076009695</v>
      </c>
      <c r="M79" s="130">
        <f>'Cálculos iluminancia'!KE57</f>
        <v>557.1136413353704</v>
      </c>
      <c r="N79" s="146">
        <f>'Cálculos iluminancia'!ML57</f>
        <v>473.44131558949204</v>
      </c>
    </row>
    <row r="80" spans="2:14" x14ac:dyDescent="0.25">
      <c r="B80" s="228">
        <v>0.41666666666666702</v>
      </c>
      <c r="C80" s="145">
        <f>'Cálculos iluminancia'!BC27</f>
        <v>511.86466424542243</v>
      </c>
      <c r="D80" s="130">
        <f>'Cálculos iluminancia'!DJ27</f>
        <v>392.54530839778027</v>
      </c>
      <c r="E80" s="130">
        <f>'Cálculos iluminancia'!FQ27</f>
        <v>272.06447267170012</v>
      </c>
      <c r="F80" s="130">
        <f>'Cálculos iluminancia'!HX27</f>
        <v>170.02912773377923</v>
      </c>
      <c r="G80" s="130">
        <f>'Cálculos iluminancia'!KE27</f>
        <v>90.321711053671024</v>
      </c>
      <c r="H80" s="130">
        <f>'Cálculos iluminancia'!ML27</f>
        <v>37.317996321266158</v>
      </c>
      <c r="I80" s="130">
        <f>'Cálculos iluminancia'!BC58</f>
        <v>60.618929708418534</v>
      </c>
      <c r="J80" s="130">
        <f>'Cálculos iluminancia'!DJ58</f>
        <v>161.56590126041934</v>
      </c>
      <c r="K80" s="130">
        <f>'Cálculos iluminancia'!FQ58</f>
        <v>390.18301625911784</v>
      </c>
      <c r="L80" s="130">
        <f>'Cálculos iluminancia'!HX58</f>
        <v>616.52115787994535</v>
      </c>
      <c r="M80" s="130">
        <f>'Cálculos iluminancia'!KE58</f>
        <v>685.66955056249242</v>
      </c>
      <c r="N80" s="146">
        <f>'Cálculos iluminancia'!ML58</f>
        <v>585.73864611158206</v>
      </c>
    </row>
    <row r="81" spans="2:14" x14ac:dyDescent="0.25">
      <c r="B81" s="228">
        <v>0.45833333333333298</v>
      </c>
      <c r="C81" s="145">
        <f>'Cálculos iluminancia'!BC28</f>
        <v>581.01470412936533</v>
      </c>
      <c r="D81" s="130">
        <f>'Cálculos iluminancia'!DJ28</f>
        <v>450.89796257946136</v>
      </c>
      <c r="E81" s="130">
        <f>'Cálculos iluminancia'!FQ28</f>
        <v>320.26918785319145</v>
      </c>
      <c r="F81" s="130">
        <f>'Cálculos iluminancia'!HX28</f>
        <v>213.80067181813081</v>
      </c>
      <c r="G81" s="130">
        <f>'Cálculos iluminancia'!KE28</f>
        <v>138.95255234670296</v>
      </c>
      <c r="H81" s="130">
        <f>'Cálculos iluminancia'!ML28</f>
        <v>83.487947655677473</v>
      </c>
      <c r="I81" s="130">
        <f>'Cálculos iluminancia'!BC59</f>
        <v>95.56015724792627</v>
      </c>
      <c r="J81" s="130">
        <f>'Cálculos iluminancia'!DJ59</f>
        <v>203.82717594899046</v>
      </c>
      <c r="K81" s="130">
        <f>'Cálculos iluminancia'!FQ59</f>
        <v>456.05337299750164</v>
      </c>
      <c r="L81" s="130">
        <f>'Cálculos iluminancia'!HX59</f>
        <v>700.93812015716071</v>
      </c>
      <c r="M81" s="130">
        <f>'Cálculos iluminancia'!KE59</f>
        <v>773.29039664273603</v>
      </c>
      <c r="N81" s="146">
        <f>'Cálculos iluminancia'!ML59</f>
        <v>662.43074212957276</v>
      </c>
    </row>
    <row r="82" spans="2:14" x14ac:dyDescent="0.25">
      <c r="B82" s="228">
        <v>0.5</v>
      </c>
      <c r="C82" s="145">
        <f>'Cálculos iluminancia'!BC29</f>
        <v>605.60217832980834</v>
      </c>
      <c r="D82" s="130">
        <f>'Cálculos iluminancia'!DJ29</f>
        <v>471.70899080906588</v>
      </c>
      <c r="E82" s="130">
        <f>'Cálculos iluminancia'!FQ29</f>
        <v>337.51750282852078</v>
      </c>
      <c r="F82" s="130">
        <f>'Cálculos iluminancia'!HX29</f>
        <v>229.46729946963544</v>
      </c>
      <c r="G82" s="130">
        <f>'Cálculos iluminancia'!KE29</f>
        <v>156.28009322092731</v>
      </c>
      <c r="H82" s="130">
        <f>'Cálculos iluminancia'!ML29</f>
        <v>99.935224417055622</v>
      </c>
      <c r="I82" s="130">
        <f>'Cálculos iluminancia'!BC60</f>
        <v>108.09861219501394</v>
      </c>
      <c r="J82" s="130">
        <f>'Cálculos iluminancia'!DJ60</f>
        <v>218.97122136786319</v>
      </c>
      <c r="K82" s="130">
        <f>'Cálculos iluminancia'!FQ60</f>
        <v>479.51634175681028</v>
      </c>
      <c r="L82" s="130">
        <f>'Cálculos iluminancia'!HX60</f>
        <v>730.91627553606475</v>
      </c>
      <c r="M82" s="130">
        <f>'Cálculos iluminancia'!KE60</f>
        <v>804.37809645111884</v>
      </c>
      <c r="N82" s="146">
        <f>'Cálculos iluminancia'!ML60</f>
        <v>689.66581484223639</v>
      </c>
    </row>
    <row r="83" spans="2:14" x14ac:dyDescent="0.25">
      <c r="B83" s="228">
        <v>0.54166666666666696</v>
      </c>
      <c r="C83" s="145">
        <f>'Cálculos iluminancia'!BC30</f>
        <v>581.01470412936533</v>
      </c>
      <c r="D83" s="130">
        <f>'Cálculos iluminancia'!DJ30</f>
        <v>450.89796257946136</v>
      </c>
      <c r="E83" s="130">
        <f>'Cálculos iluminancia'!FQ30</f>
        <v>320.26918785319145</v>
      </c>
      <c r="F83" s="130">
        <f>'Cálculos iluminancia'!HX30</f>
        <v>213.80067181813081</v>
      </c>
      <c r="G83" s="130">
        <f>'Cálculos iluminancia'!KE30</f>
        <v>138.95255234670296</v>
      </c>
      <c r="H83" s="130">
        <f>'Cálculos iluminancia'!ML30</f>
        <v>83.487947655677473</v>
      </c>
      <c r="I83" s="130">
        <f>'Cálculos iluminancia'!BC61</f>
        <v>95.56015724792627</v>
      </c>
      <c r="J83" s="130">
        <f>'Cálculos iluminancia'!DJ61</f>
        <v>203.82717594899046</v>
      </c>
      <c r="K83" s="130">
        <f>'Cálculos iluminancia'!FQ61</f>
        <v>456.05337299750164</v>
      </c>
      <c r="L83" s="130">
        <f>'Cálculos iluminancia'!HX61</f>
        <v>700.93812015716071</v>
      </c>
      <c r="M83" s="130">
        <f>'Cálculos iluminancia'!KE61</f>
        <v>773.29039664273603</v>
      </c>
      <c r="N83" s="146">
        <f>'Cálculos iluminancia'!ML61</f>
        <v>662.43074212957276</v>
      </c>
    </row>
    <row r="84" spans="2:14" x14ac:dyDescent="0.25">
      <c r="B84" s="228">
        <v>0.58333333333333304</v>
      </c>
      <c r="C84" s="145">
        <f>'Cálculos iluminancia'!BC31</f>
        <v>511.86466424542243</v>
      </c>
      <c r="D84" s="130">
        <f>'Cálculos iluminancia'!DJ31</f>
        <v>392.54530839778027</v>
      </c>
      <c r="E84" s="130">
        <f>'Cálculos iluminancia'!FQ31</f>
        <v>272.06447267170012</v>
      </c>
      <c r="F84" s="130">
        <f>'Cálculos iluminancia'!HX31</f>
        <v>170.02912773377923</v>
      </c>
      <c r="G84" s="130">
        <f>'Cálculos iluminancia'!KE31</f>
        <v>90.321711053671024</v>
      </c>
      <c r="H84" s="130">
        <f>'Cálculos iluminancia'!ML31</f>
        <v>37.317996321266158</v>
      </c>
      <c r="I84" s="130">
        <f>'Cálculos iluminancia'!BC62</f>
        <v>60.618929708418534</v>
      </c>
      <c r="J84" s="130">
        <f>'Cálculos iluminancia'!DJ62</f>
        <v>161.56590126041934</v>
      </c>
      <c r="K84" s="130">
        <f>'Cálculos iluminancia'!FQ62</f>
        <v>390.18301625911784</v>
      </c>
      <c r="L84" s="130">
        <f>'Cálculos iluminancia'!HX62</f>
        <v>616.52115787994535</v>
      </c>
      <c r="M84" s="130">
        <f>'Cálculos iluminancia'!KE62</f>
        <v>685.66955056249242</v>
      </c>
      <c r="N84" s="146">
        <f>'Cálculos iluminancia'!ML62</f>
        <v>585.73864611158206</v>
      </c>
    </row>
    <row r="85" spans="2:14" x14ac:dyDescent="0.25">
      <c r="B85" s="228">
        <v>0.625</v>
      </c>
      <c r="C85" s="145">
        <f>'Cálculos iluminancia'!BC32</f>
        <v>410.88797086974273</v>
      </c>
      <c r="D85" s="130">
        <f>'Cálculos iluminancia'!DJ32</f>
        <v>307.90091263802373</v>
      </c>
      <c r="E85" s="130">
        <f>'Cálculos iluminancia'!FQ32</f>
        <v>202.64914332368642</v>
      </c>
      <c r="F85" s="130">
        <f>'Cálculos iluminancia'!HX32</f>
        <v>107.03872431219456</v>
      </c>
      <c r="G85" s="130">
        <f>'Cálculos iluminancia'!KE32</f>
        <v>19.632793873785257</v>
      </c>
      <c r="H85" s="130">
        <f>'Cálculos iluminancia'!ML32</f>
        <v>0</v>
      </c>
      <c r="I85" s="130">
        <f>'Cálculos iluminancia'!BC63</f>
        <v>10.627526395287122</v>
      </c>
      <c r="J85" s="130">
        <f>'Cálculos iluminancia'!DJ63</f>
        <v>100.91079796570685</v>
      </c>
      <c r="K85" s="130">
        <f>'Cálculos iluminancia'!FQ63</f>
        <v>294.37068749941903</v>
      </c>
      <c r="L85" s="130">
        <f>'Cálculos iluminancia'!HX63</f>
        <v>492.91089076009695</v>
      </c>
      <c r="M85" s="130">
        <f>'Cálculos iluminancia'!KE63</f>
        <v>557.1136413353704</v>
      </c>
      <c r="N85" s="146">
        <f>'Cálculos iluminancia'!ML63</f>
        <v>473.44131558949204</v>
      </c>
    </row>
    <row r="86" spans="2:14" x14ac:dyDescent="0.25">
      <c r="B86" s="228">
        <v>0.66666666666666696</v>
      </c>
      <c r="C86" s="145">
        <f>'Cálculos iluminancia'!BC33</f>
        <v>295.92625701686859</v>
      </c>
      <c r="D86" s="130">
        <f>'Cálculos iluminancia'!DJ33</f>
        <v>212.6685917387174</v>
      </c>
      <c r="E86" s="130">
        <f>'Cálculos iluminancia'!FQ33</f>
        <v>125.57923973515702</v>
      </c>
      <c r="F86" s="130">
        <f>'Cálculos iluminancia'!HX33</f>
        <v>37.18593623819509</v>
      </c>
      <c r="G86" s="130">
        <f>'Cálculos iluminancia'!KE33</f>
        <v>0</v>
      </c>
      <c r="H86" s="130">
        <f>'Cálculos iluminancia'!ML33</f>
        <v>0</v>
      </c>
      <c r="I86" s="130">
        <f>'Cálculos iluminancia'!BC64</f>
        <v>0</v>
      </c>
      <c r="J86" s="130">
        <f>'Cálculos iluminancia'!DJ64</f>
        <v>33.977595650148714</v>
      </c>
      <c r="K86" s="130">
        <f>'Cálculos iluminancia'!FQ64</f>
        <v>186.04188558095433</v>
      </c>
      <c r="L86" s="130">
        <f>'Cálculos iluminancia'!HX64</f>
        <v>351.49832191998786</v>
      </c>
      <c r="M86" s="130">
        <f>'Cálculos iluminancia'!KE64</f>
        <v>409.53408696923822</v>
      </c>
      <c r="N86" s="146">
        <f>'Cálculos iluminancia'!ML64</f>
        <v>344.97407417826997</v>
      </c>
    </row>
    <row r="87" spans="2:14" x14ac:dyDescent="0.25">
      <c r="B87" s="228">
        <v>0.70833333333333304</v>
      </c>
      <c r="C87" s="145">
        <f>'Cálculos iluminancia'!BC34</f>
        <v>185.77421173552273</v>
      </c>
      <c r="D87" s="130">
        <f>'Cálculos iluminancia'!DJ34</f>
        <v>123.27371173927277</v>
      </c>
      <c r="E87" s="130">
        <f>'Cálculos iluminancia'!FQ34</f>
        <v>54.932448416827732</v>
      </c>
      <c r="F87" s="130">
        <f>'Cálculos iluminancia'!HX34</f>
        <v>0</v>
      </c>
      <c r="G87" s="130">
        <f>'Cálculos iluminancia'!KE34</f>
        <v>0</v>
      </c>
      <c r="H87" s="130">
        <f>'Cálculos iluminancia'!ML34</f>
        <v>0</v>
      </c>
      <c r="I87" s="130">
        <f>'Cálculos iluminancia'!BC65</f>
        <v>0</v>
      </c>
      <c r="J87" s="130">
        <f>'Cálculos iluminancia'!DJ65</f>
        <v>0</v>
      </c>
      <c r="K87" s="130">
        <f>'Cálculos iluminancia'!FQ65</f>
        <v>83.475086327592706</v>
      </c>
      <c r="L87" s="130">
        <f>'Cálculos iluminancia'!HX65</f>
        <v>214.88765192453323</v>
      </c>
      <c r="M87" s="130">
        <f>'Cálculos iluminancia'!KE65</f>
        <v>266.13873545012882</v>
      </c>
      <c r="N87" s="146">
        <f>'Cálculos iluminancia'!ML65</f>
        <v>220.87419819793897</v>
      </c>
    </row>
    <row r="88" spans="2:14" x14ac:dyDescent="0.25">
      <c r="B88" s="228">
        <v>0.75</v>
      </c>
      <c r="C88" s="145">
        <f>'Cálculos iluminancia'!BC35</f>
        <v>0</v>
      </c>
      <c r="D88" s="130">
        <f>'Cálculos iluminancia'!DJ35</f>
        <v>0</v>
      </c>
      <c r="E88" s="130">
        <f>'Cálculos iluminancia'!FQ35</f>
        <v>0</v>
      </c>
      <c r="F88" s="130">
        <f>'Cálculos iluminancia'!HX35</f>
        <v>0</v>
      </c>
      <c r="G88" s="130">
        <f>'Cálculos iluminancia'!KE35</f>
        <v>0</v>
      </c>
      <c r="H88" s="130">
        <f>'Cálculos iluminancia'!ML35</f>
        <v>0</v>
      </c>
      <c r="I88" s="130">
        <f>'Cálculos iluminancia'!BC66</f>
        <v>0</v>
      </c>
      <c r="J88" s="130">
        <f>'Cálculos iluminancia'!DJ66</f>
        <v>0</v>
      </c>
      <c r="K88" s="130">
        <f>'Cálculos iluminancia'!FQ66</f>
        <v>0</v>
      </c>
      <c r="L88" s="130">
        <f>'Cálculos iluminancia'!HX66</f>
        <v>0</v>
      </c>
      <c r="M88" s="130">
        <f>'Cálculos iluminancia'!KE66</f>
        <v>0</v>
      </c>
      <c r="N88" s="146">
        <f>'Cálculos iluminancia'!ML66</f>
        <v>0</v>
      </c>
    </row>
    <row r="89" spans="2:14" x14ac:dyDescent="0.25">
      <c r="B89" s="228">
        <v>0.79166666666666696</v>
      </c>
      <c r="C89" s="145">
        <f>'Cálculos iluminancia'!BC36</f>
        <v>0</v>
      </c>
      <c r="D89" s="130">
        <f>'Cálculos iluminancia'!DJ36</f>
        <v>0</v>
      </c>
      <c r="E89" s="130">
        <f>'Cálculos iluminancia'!FQ36</f>
        <v>0</v>
      </c>
      <c r="F89" s="130">
        <f>'Cálculos iluminancia'!HX36</f>
        <v>0</v>
      </c>
      <c r="G89" s="130">
        <f>'Cálculos iluminancia'!KE36</f>
        <v>0</v>
      </c>
      <c r="H89" s="130">
        <f>'Cálculos iluminancia'!ML36</f>
        <v>0</v>
      </c>
      <c r="I89" s="130">
        <f>'Cálculos iluminancia'!BC67</f>
        <v>0</v>
      </c>
      <c r="J89" s="130">
        <f>'Cálculos iluminancia'!DJ67</f>
        <v>0</v>
      </c>
      <c r="K89" s="130">
        <f>'Cálculos iluminancia'!FQ67</f>
        <v>0</v>
      </c>
      <c r="L89" s="130">
        <f>'Cálculos iluminancia'!HX67</f>
        <v>0</v>
      </c>
      <c r="M89" s="130">
        <f>'Cálculos iluminancia'!KE67</f>
        <v>0</v>
      </c>
      <c r="N89" s="146">
        <f>'Cálculos iluminancia'!ML67</f>
        <v>0</v>
      </c>
    </row>
    <row r="90" spans="2:14" x14ac:dyDescent="0.25">
      <c r="B90" s="228">
        <v>0.83333333333333304</v>
      </c>
      <c r="C90" s="145">
        <f>'Cálculos iluminancia'!BC37</f>
        <v>0</v>
      </c>
      <c r="D90" s="130">
        <f>'Cálculos iluminancia'!DJ37</f>
        <v>0</v>
      </c>
      <c r="E90" s="130">
        <f>'Cálculos iluminancia'!FQ37</f>
        <v>0</v>
      </c>
      <c r="F90" s="130">
        <f>'Cálculos iluminancia'!HX37</f>
        <v>0</v>
      </c>
      <c r="G90" s="130">
        <f>'Cálculos iluminancia'!KE37</f>
        <v>0</v>
      </c>
      <c r="H90" s="130">
        <f>'Cálculos iluminancia'!ML37</f>
        <v>0</v>
      </c>
      <c r="I90" s="130">
        <f>'Cálculos iluminancia'!BC68</f>
        <v>0</v>
      </c>
      <c r="J90" s="130">
        <f>'Cálculos iluminancia'!DJ68</f>
        <v>0</v>
      </c>
      <c r="K90" s="130">
        <f>'Cálculos iluminancia'!FQ68</f>
        <v>0</v>
      </c>
      <c r="L90" s="130">
        <f>'Cálculos iluminancia'!HX68</f>
        <v>0</v>
      </c>
      <c r="M90" s="130">
        <f>'Cálculos iluminancia'!KE68</f>
        <v>0</v>
      </c>
      <c r="N90" s="146">
        <f>'Cálculos iluminancia'!ML68</f>
        <v>0</v>
      </c>
    </row>
    <row r="91" spans="2:14" x14ac:dyDescent="0.25">
      <c r="B91" s="228">
        <v>0.875</v>
      </c>
      <c r="C91" s="145">
        <f>'Cálculos iluminancia'!BC38</f>
        <v>0</v>
      </c>
      <c r="D91" s="130">
        <f>'Cálculos iluminancia'!DJ38</f>
        <v>0</v>
      </c>
      <c r="E91" s="130">
        <f>'Cálculos iluminancia'!FQ38</f>
        <v>0</v>
      </c>
      <c r="F91" s="130">
        <f>'Cálculos iluminancia'!HX38</f>
        <v>0</v>
      </c>
      <c r="G91" s="130">
        <f>'Cálculos iluminancia'!KE38</f>
        <v>0</v>
      </c>
      <c r="H91" s="130">
        <f>'Cálculos iluminancia'!ML38</f>
        <v>0</v>
      </c>
      <c r="I91" s="130">
        <f>'Cálculos iluminancia'!BC69</f>
        <v>0</v>
      </c>
      <c r="J91" s="130">
        <f>'Cálculos iluminancia'!DJ69</f>
        <v>0</v>
      </c>
      <c r="K91" s="130">
        <f>'Cálculos iluminancia'!FQ69</f>
        <v>0</v>
      </c>
      <c r="L91" s="130">
        <f>'Cálculos iluminancia'!HX69</f>
        <v>0</v>
      </c>
      <c r="M91" s="130">
        <f>'Cálculos iluminancia'!KE69</f>
        <v>0</v>
      </c>
      <c r="N91" s="146">
        <f>'Cálculos iluminancia'!ML69</f>
        <v>0</v>
      </c>
    </row>
    <row r="92" spans="2:14" x14ac:dyDescent="0.25">
      <c r="B92" s="228">
        <v>0.91666666666666696</v>
      </c>
      <c r="C92" s="145">
        <f>'Cálculos iluminancia'!BC39</f>
        <v>0</v>
      </c>
      <c r="D92" s="130">
        <f>'Cálculos iluminancia'!DJ39</f>
        <v>0</v>
      </c>
      <c r="E92" s="130">
        <f>'Cálculos iluminancia'!FQ39</f>
        <v>0</v>
      </c>
      <c r="F92" s="130">
        <f>'Cálculos iluminancia'!HX39</f>
        <v>0</v>
      </c>
      <c r="G92" s="130">
        <f>'Cálculos iluminancia'!KE39</f>
        <v>0</v>
      </c>
      <c r="H92" s="130">
        <f>'Cálculos iluminancia'!ML39</f>
        <v>0</v>
      </c>
      <c r="I92" s="130">
        <f>'Cálculos iluminancia'!BC70</f>
        <v>0</v>
      </c>
      <c r="J92" s="130">
        <f>'Cálculos iluminancia'!DJ70</f>
        <v>0</v>
      </c>
      <c r="K92" s="130">
        <f>'Cálculos iluminancia'!FQ70</f>
        <v>0</v>
      </c>
      <c r="L92" s="130">
        <f>'Cálculos iluminancia'!HX70</f>
        <v>0</v>
      </c>
      <c r="M92" s="130">
        <f>'Cálculos iluminancia'!KE70</f>
        <v>0</v>
      </c>
      <c r="N92" s="146">
        <f>'Cálculos iluminancia'!ML70</f>
        <v>0</v>
      </c>
    </row>
    <row r="93" spans="2:14" x14ac:dyDescent="0.25">
      <c r="B93" s="228">
        <v>0.95833333333333304</v>
      </c>
      <c r="C93" s="145">
        <f>'Cálculos iluminancia'!BC40</f>
        <v>0</v>
      </c>
      <c r="D93" s="130">
        <f>'Cálculos iluminancia'!DJ40</f>
        <v>0</v>
      </c>
      <c r="E93" s="130">
        <f>'Cálculos iluminancia'!FQ40</f>
        <v>0</v>
      </c>
      <c r="F93" s="130">
        <f>'Cálculos iluminancia'!HX40</f>
        <v>0</v>
      </c>
      <c r="G93" s="130">
        <f>'Cálculos iluminancia'!KE40</f>
        <v>0</v>
      </c>
      <c r="H93" s="130">
        <f>'Cálculos iluminancia'!ML40</f>
        <v>0</v>
      </c>
      <c r="I93" s="130">
        <f>'Cálculos iluminancia'!BC71</f>
        <v>0</v>
      </c>
      <c r="J93" s="130">
        <f>'Cálculos iluminancia'!DJ71</f>
        <v>0</v>
      </c>
      <c r="K93" s="130">
        <f>'Cálculos iluminancia'!FQ71</f>
        <v>0</v>
      </c>
      <c r="L93" s="130">
        <f>'Cálculos iluminancia'!HX71</f>
        <v>0</v>
      </c>
      <c r="M93" s="130">
        <f>'Cálculos iluminancia'!KE71</f>
        <v>0</v>
      </c>
      <c r="N93" s="146">
        <f>'Cálculos iluminancia'!ML71</f>
        <v>0</v>
      </c>
    </row>
    <row r="94" spans="2:14" ht="15.75" thickBot="1" x14ac:dyDescent="0.3">
      <c r="B94" s="228">
        <v>1</v>
      </c>
      <c r="C94" s="147">
        <f>'Cálculos iluminancia'!BC41</f>
        <v>0</v>
      </c>
      <c r="D94" s="148">
        <f>'Cálculos iluminancia'!DJ41</f>
        <v>0</v>
      </c>
      <c r="E94" s="148">
        <f>'Cálculos iluminancia'!FQ41</f>
        <v>0</v>
      </c>
      <c r="F94" s="148">
        <f>'Cálculos iluminancia'!HX41</f>
        <v>0</v>
      </c>
      <c r="G94" s="148">
        <f>'Cálculos iluminancia'!KE41</f>
        <v>0</v>
      </c>
      <c r="H94" s="148">
        <f>'Cálculos iluminancia'!ML41</f>
        <v>0</v>
      </c>
      <c r="I94" s="148">
        <f>'Cálculos iluminancia'!BC72</f>
        <v>0</v>
      </c>
      <c r="J94" s="148">
        <f>'Cálculos iluminancia'!DJ72</f>
        <v>0</v>
      </c>
      <c r="K94" s="148">
        <f>'Cálculos iluminancia'!FQ72</f>
        <v>0</v>
      </c>
      <c r="L94" s="148">
        <f>'Cálculos iluminancia'!HX72</f>
        <v>0</v>
      </c>
      <c r="M94" s="148">
        <f>'Cálculos iluminancia'!KE72</f>
        <v>0</v>
      </c>
      <c r="N94" s="149">
        <f>'Cálculos iluminancia'!ML72</f>
        <v>0</v>
      </c>
    </row>
  </sheetData>
  <sheetProtection password="E6CB" sheet="1" objects="1" scenarios="1"/>
  <mergeCells count="37">
    <mergeCell ref="B4:N4"/>
    <mergeCell ref="G69:H69"/>
    <mergeCell ref="G39:H39"/>
    <mergeCell ref="M69:N69"/>
    <mergeCell ref="G9:H9"/>
    <mergeCell ref="M9:N9"/>
    <mergeCell ref="M39:N39"/>
    <mergeCell ref="B5:M5"/>
    <mergeCell ref="B6:N6"/>
    <mergeCell ref="B7:M7"/>
    <mergeCell ref="C8:N8"/>
    <mergeCell ref="C9:F9"/>
    <mergeCell ref="I9:L9"/>
    <mergeCell ref="B8:B9"/>
    <mergeCell ref="B68:B69"/>
    <mergeCell ref="C68:N68"/>
    <mergeCell ref="B2:N2"/>
    <mergeCell ref="B3:C3"/>
    <mergeCell ref="F3:G3"/>
    <mergeCell ref="I3:J3"/>
    <mergeCell ref="L3:M3"/>
    <mergeCell ref="C69:F69"/>
    <mergeCell ref="I69:L69"/>
    <mergeCell ref="B36:N36"/>
    <mergeCell ref="B37:C37"/>
    <mergeCell ref="F37:G37"/>
    <mergeCell ref="I37:J37"/>
    <mergeCell ref="L37:M37"/>
    <mergeCell ref="B38:B39"/>
    <mergeCell ref="C38:N38"/>
    <mergeCell ref="C39:F39"/>
    <mergeCell ref="I39:L39"/>
    <mergeCell ref="B66:N66"/>
    <mergeCell ref="B67:C67"/>
    <mergeCell ref="F67:G67"/>
    <mergeCell ref="I67:J67"/>
    <mergeCell ref="L67:M67"/>
  </mergeCells>
  <conditionalFormatting sqref="C11:N34">
    <cfRule type="colorScale" priority="3">
      <colorScale>
        <cfvo type="min"/>
        <cfvo type="percentile" val="50"/>
        <cfvo type="max"/>
        <color rgb="FF5A8AC6"/>
        <color rgb="FFFFEB84"/>
        <color rgb="FFF8696B"/>
      </colorScale>
    </cfRule>
  </conditionalFormatting>
  <conditionalFormatting sqref="C41:N64">
    <cfRule type="colorScale" priority="2">
      <colorScale>
        <cfvo type="min"/>
        <cfvo type="percentile" val="50"/>
        <cfvo type="max"/>
        <color rgb="FF5A8AC6"/>
        <color rgb="FFFFEB84"/>
        <color rgb="FFF8696B"/>
      </colorScale>
    </cfRule>
  </conditionalFormatting>
  <conditionalFormatting sqref="C71:N94">
    <cfRule type="colorScale" priority="1">
      <colorScale>
        <cfvo type="min"/>
        <cfvo type="percentile" val="50"/>
        <cfvo type="max"/>
        <color rgb="FF5A8AC6"/>
        <color rgb="FFFFEB84"/>
        <color rgb="FFF8696B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B2:BM62"/>
  <sheetViews>
    <sheetView topLeftCell="AG1" zoomScale="60" zoomScaleNormal="60" zoomScalePageLayoutView="60" workbookViewId="0">
      <selection activeCell="AO12" sqref="AO12"/>
    </sheetView>
  </sheetViews>
  <sheetFormatPr baseColWidth="10" defaultRowHeight="15" x14ac:dyDescent="0.25"/>
  <sheetData>
    <row r="2" spans="2:65" x14ac:dyDescent="0.25">
      <c r="B2" s="99" t="str">
        <f>'Cálculos iluminancia'!D13</f>
        <v>Día</v>
      </c>
      <c r="C2" s="99">
        <f>'Cálculos iluminancia'!E13</f>
        <v>21</v>
      </c>
      <c r="D2" s="315"/>
      <c r="E2" s="315"/>
      <c r="F2" s="328"/>
      <c r="G2" s="315"/>
      <c r="H2" s="355" t="s">
        <v>136</v>
      </c>
      <c r="I2" s="355" t="s">
        <v>50</v>
      </c>
      <c r="M2" s="99" t="str">
        <f>'Cálculos iluminancia'!BK13</f>
        <v>Día</v>
      </c>
      <c r="N2" s="99">
        <f>'Cálculos iluminancia'!BL13</f>
        <v>21</v>
      </c>
      <c r="O2" s="315"/>
      <c r="P2" s="315"/>
      <c r="Q2" s="328"/>
      <c r="R2" s="315"/>
      <c r="S2" s="355" t="s">
        <v>136</v>
      </c>
      <c r="T2" s="355" t="s">
        <v>50</v>
      </c>
      <c r="X2" s="99" t="str">
        <f>'Cálculos iluminancia'!DR13</f>
        <v>Día</v>
      </c>
      <c r="Y2" s="99">
        <f>'Cálculos iluminancia'!DS13</f>
        <v>21</v>
      </c>
      <c r="Z2" s="315"/>
      <c r="AA2" s="315"/>
      <c r="AB2" s="328"/>
      <c r="AC2" s="315"/>
      <c r="AD2" s="355" t="s">
        <v>136</v>
      </c>
      <c r="AE2" s="355" t="s">
        <v>50</v>
      </c>
      <c r="AI2" s="99" t="str">
        <f>'Cálculos iluminancia'!FY13</f>
        <v>Día</v>
      </c>
      <c r="AJ2" s="99">
        <f>'Cálculos iluminancia'!FZ13</f>
        <v>21</v>
      </c>
      <c r="AK2" s="315"/>
      <c r="AL2" s="315"/>
      <c r="AM2" s="328"/>
      <c r="AN2" s="315"/>
      <c r="AO2" s="355" t="s">
        <v>136</v>
      </c>
      <c r="AP2" s="355" t="s">
        <v>50</v>
      </c>
      <c r="AT2" s="99" t="str">
        <f>'Cálculos iluminancia'!IF13</f>
        <v>Día</v>
      </c>
      <c r="AU2" s="99">
        <f>'Cálculos iluminancia'!IG13</f>
        <v>21</v>
      </c>
      <c r="AV2" s="315"/>
      <c r="AW2" s="315"/>
      <c r="AX2" s="328"/>
      <c r="AY2" s="315"/>
      <c r="AZ2" s="355" t="s">
        <v>136</v>
      </c>
      <c r="BA2" s="355" t="s">
        <v>50</v>
      </c>
      <c r="BE2" s="99" t="str">
        <f>'Cálculos iluminancia'!KM13</f>
        <v>Día</v>
      </c>
      <c r="BF2" s="99">
        <f>'Cálculos iluminancia'!KN13</f>
        <v>21</v>
      </c>
      <c r="BG2" s="315"/>
      <c r="BH2" s="315"/>
      <c r="BI2" s="328"/>
      <c r="BJ2" s="315"/>
      <c r="BK2" s="355" t="s">
        <v>136</v>
      </c>
      <c r="BL2" s="355" t="s">
        <v>50</v>
      </c>
    </row>
    <row r="3" spans="2:65" x14ac:dyDescent="0.25">
      <c r="B3" s="99" t="str">
        <f>'Cálculos iluminancia'!D14</f>
        <v>Mes</v>
      </c>
      <c r="C3" s="99">
        <f>'Cálculos iluminancia'!E14</f>
        <v>1</v>
      </c>
      <c r="D3" s="315"/>
      <c r="E3" s="315"/>
      <c r="F3" s="328"/>
      <c r="G3" s="315"/>
      <c r="H3" s="355"/>
      <c r="I3" s="355"/>
      <c r="M3" s="99" t="str">
        <f>'Cálculos iluminancia'!BK14</f>
        <v>Mes</v>
      </c>
      <c r="N3" s="99">
        <f>'Cálculos iluminancia'!BL14</f>
        <v>2</v>
      </c>
      <c r="O3" s="315"/>
      <c r="P3" s="315"/>
      <c r="Q3" s="328"/>
      <c r="R3" s="315"/>
      <c r="S3" s="355"/>
      <c r="T3" s="355"/>
      <c r="X3" s="99" t="str">
        <f>'Cálculos iluminancia'!DR14</f>
        <v>Mes</v>
      </c>
      <c r="Y3" s="99">
        <f>'Cálculos iluminancia'!DS14</f>
        <v>3</v>
      </c>
      <c r="Z3" s="315"/>
      <c r="AA3" s="315"/>
      <c r="AB3" s="328"/>
      <c r="AC3" s="315"/>
      <c r="AD3" s="355"/>
      <c r="AE3" s="355"/>
      <c r="AI3" s="99" t="str">
        <f>'Cálculos iluminancia'!FY14</f>
        <v>Mes</v>
      </c>
      <c r="AJ3" s="99">
        <f>'Cálculos iluminancia'!FZ14</f>
        <v>4</v>
      </c>
      <c r="AK3" s="315"/>
      <c r="AL3" s="315"/>
      <c r="AM3" s="328"/>
      <c r="AN3" s="315"/>
      <c r="AO3" s="355"/>
      <c r="AP3" s="355"/>
      <c r="AT3" s="99" t="str">
        <f>'Cálculos iluminancia'!IF14</f>
        <v>Mes</v>
      </c>
      <c r="AU3" s="99">
        <f>'Cálculos iluminancia'!IG14</f>
        <v>5</v>
      </c>
      <c r="AV3" s="315"/>
      <c r="AW3" s="315"/>
      <c r="AX3" s="328"/>
      <c r="AY3" s="315"/>
      <c r="AZ3" s="355"/>
      <c r="BA3" s="355"/>
      <c r="BE3" s="99" t="str">
        <f>'Cálculos iluminancia'!KM14</f>
        <v>Mes</v>
      </c>
      <c r="BF3" s="99">
        <f>'Cálculos iluminancia'!KN14</f>
        <v>6</v>
      </c>
      <c r="BG3" s="315"/>
      <c r="BH3" s="315"/>
      <c r="BI3" s="328"/>
      <c r="BJ3" s="315"/>
      <c r="BK3" s="355"/>
      <c r="BL3" s="355"/>
    </row>
    <row r="4" spans="2:65" x14ac:dyDescent="0.25">
      <c r="D4" s="97">
        <f>'Cálculos iluminancia'!F15</f>
        <v>21</v>
      </c>
      <c r="E4" s="97">
        <f>'Cálculos iluminancia'!G15</f>
        <v>-20.13801482156758</v>
      </c>
      <c r="F4" s="97">
        <f>'Cálculos iluminancia'!H15</f>
        <v>29.08</v>
      </c>
      <c r="G4" s="38">
        <f>DEGREES(ACOS((-TAN(RADIANS(F4)))*TAN(RADIANS(E4))))</f>
        <v>78.232821290237169</v>
      </c>
      <c r="H4" s="38">
        <f>0.409+0.5016*SIN(RADIANS(G4-60))</f>
        <v>0.56594013089177442</v>
      </c>
      <c r="I4" s="38">
        <f>0.6609-0.4767*SIN(RADIANS(G4-60))</f>
        <v>0.51175055742402553</v>
      </c>
      <c r="O4" s="97">
        <f>'Cálculos iluminancia'!BM15</f>
        <v>52</v>
      </c>
      <c r="P4" s="97">
        <f>'Cálculos iluminancia'!BN15</f>
        <v>-11.226308550715235</v>
      </c>
      <c r="Q4" s="97">
        <f>'Cálculos iluminancia'!BO15</f>
        <v>29.08</v>
      </c>
      <c r="R4">
        <f>DEGREES(ACOS((-TAN(RADIANS(Q4)))*TAN(RADIANS(P4))))</f>
        <v>83.662591874630266</v>
      </c>
      <c r="S4">
        <f>0.409+0.5016*SIN(RADIANS(R4-60))</f>
        <v>0.61031708954603203</v>
      </c>
      <c r="T4">
        <f>0.6609-0.4767*SIN(RADIANS(R4-60))</f>
        <v>0.46957652195655208</v>
      </c>
      <c r="Z4" s="97">
        <f>'Cálculos iluminancia'!DT15</f>
        <v>80</v>
      </c>
      <c r="AA4" s="97">
        <f>'Cálculos iluminancia'!DU15</f>
        <v>-0.40365320185431652</v>
      </c>
      <c r="AB4" s="97">
        <f>'Cálculos iluminancia'!DV15</f>
        <v>29.08</v>
      </c>
      <c r="AC4" s="38">
        <f>DEGREES(ACOS((-TAN(RADIANS(AB4)))*TAN(RADIANS(AA4))))</f>
        <v>89.775509737976279</v>
      </c>
      <c r="AD4" s="38">
        <f>0.409+0.5016*SIN(RADIANS(AC4-60))</f>
        <v>0.65809606565266876</v>
      </c>
      <c r="AE4" s="38">
        <f>0.6609-0.4767*SIN(RADIANS(AC4-60))</f>
        <v>0.42416934908965875</v>
      </c>
      <c r="AK4" s="97">
        <f>'Cálculos iluminancia'!GA15</f>
        <v>111</v>
      </c>
      <c r="AL4" s="97">
        <f>'Cálculos iluminancia'!GB15</f>
        <v>11.57903665125146</v>
      </c>
      <c r="AM4" s="97">
        <f>'Cálculos iluminancia'!GC15</f>
        <v>29.08</v>
      </c>
      <c r="AN4" s="38">
        <f>DEGREES(ACOS((-TAN(RADIANS(AM4)))*TAN(RADIANS(AL4))))</f>
        <v>96.542849352011586</v>
      </c>
      <c r="AO4" s="38">
        <f>0.409+0.5016*SIN(RADIANS(AN4-60))</f>
        <v>0.70766457535843452</v>
      </c>
      <c r="AP4" s="38">
        <f>0.6609-0.4767*SIN(RADIANS(AN4-60))</f>
        <v>0.37706147712646387</v>
      </c>
      <c r="AV4" s="97">
        <f>'Cálculos iluminancia'!IH15</f>
        <v>141</v>
      </c>
      <c r="AW4" s="97">
        <f>'Cálculos iluminancia'!II15</f>
        <v>20.138014821567584</v>
      </c>
      <c r="AX4" s="97">
        <f>'Cálculos iluminancia'!IJ15</f>
        <v>29.08</v>
      </c>
      <c r="AY4" s="38">
        <f>DEGREES(ACOS((-TAN(RADIANS(AX4)))*TAN(RADIANS(AW4))))</f>
        <v>101.76717870976283</v>
      </c>
      <c r="AZ4" s="38">
        <f>0.409+0.5016*SIN(RADIANS(AY4-60))</f>
        <v>0.74311842989390597</v>
      </c>
      <c r="BA4" s="38">
        <f>0.6609-0.4767*SIN(RADIANS(AY4-60))</f>
        <v>0.34336759264269345</v>
      </c>
      <c r="BG4" s="97">
        <f>'Cálculos iluminancia'!KO15</f>
        <v>172</v>
      </c>
      <c r="BH4" s="97">
        <f>'Cálculos iluminancia'!KP15</f>
        <v>23.449782846813658</v>
      </c>
      <c r="BI4" s="97">
        <f>'Cálculos iluminancia'!KQ15</f>
        <v>29.08</v>
      </c>
      <c r="BJ4" s="38">
        <f>DEGREES(ACOS((-TAN(RADIANS(BI4)))*TAN(RADIANS(BH4))))</f>
        <v>103.95946273560209</v>
      </c>
      <c r="BK4" s="38">
        <f>0.409+0.5016*SIN(RADIANS(BJ4-60))</f>
        <v>0.75718526753606097</v>
      </c>
      <c r="BL4" s="38">
        <f>0.6609-0.4767*SIN(RADIANS(BJ4-60))</f>
        <v>0.32999904897440147</v>
      </c>
    </row>
    <row r="5" spans="2:65" x14ac:dyDescent="0.25">
      <c r="C5" s="317" t="s">
        <v>90</v>
      </c>
      <c r="D5" s="315"/>
      <c r="E5" s="315"/>
      <c r="F5" s="315"/>
      <c r="G5" s="355"/>
      <c r="H5" s="355"/>
      <c r="I5" s="355"/>
      <c r="J5" s="355"/>
      <c r="N5" s="317" t="s">
        <v>90</v>
      </c>
      <c r="O5" s="315"/>
      <c r="P5" s="315"/>
      <c r="Q5" s="315"/>
      <c r="R5" s="323"/>
      <c r="S5" s="323"/>
      <c r="T5" s="355"/>
      <c r="U5" s="355"/>
      <c r="V5" s="101"/>
      <c r="Y5" s="317" t="s">
        <v>90</v>
      </c>
      <c r="Z5" s="315"/>
      <c r="AA5" s="315"/>
      <c r="AB5" s="315"/>
      <c r="AC5" s="355"/>
      <c r="AD5" s="355"/>
      <c r="AE5" s="355"/>
      <c r="AF5" s="355"/>
      <c r="AG5" s="101"/>
      <c r="AJ5" s="317" t="s">
        <v>90</v>
      </c>
      <c r="AK5" s="315"/>
      <c r="AL5" s="315"/>
      <c r="AM5" s="315"/>
      <c r="AN5" s="355"/>
      <c r="AO5" s="355"/>
      <c r="AP5" s="355"/>
      <c r="AQ5" s="355"/>
      <c r="AR5" s="101"/>
      <c r="AU5" s="317" t="s">
        <v>90</v>
      </c>
      <c r="AV5" s="315"/>
      <c r="AW5" s="315"/>
      <c r="AX5" s="315"/>
      <c r="AY5" s="355"/>
      <c r="AZ5" s="355"/>
      <c r="BA5" s="355"/>
      <c r="BB5" s="355"/>
      <c r="BC5" s="101"/>
      <c r="BF5" s="317" t="s">
        <v>90</v>
      </c>
      <c r="BG5" s="315"/>
      <c r="BH5" s="315"/>
      <c r="BI5" s="315"/>
      <c r="BJ5" s="355"/>
      <c r="BK5" s="355"/>
      <c r="BL5" s="355"/>
      <c r="BM5" s="355"/>
    </row>
    <row r="6" spans="2:65" x14ac:dyDescent="0.25">
      <c r="C6" s="318"/>
      <c r="D6" s="315"/>
      <c r="E6" s="315"/>
      <c r="F6" s="315"/>
      <c r="G6" s="355"/>
      <c r="H6" s="355"/>
      <c r="I6" s="355"/>
      <c r="J6" s="355"/>
      <c r="N6" s="318"/>
      <c r="O6" s="315"/>
      <c r="P6" s="315"/>
      <c r="Q6" s="315"/>
      <c r="R6" s="323"/>
      <c r="S6" s="323"/>
      <c r="T6" s="355"/>
      <c r="U6" s="355"/>
      <c r="V6" s="101"/>
      <c r="Y6" s="318"/>
      <c r="Z6" s="315"/>
      <c r="AA6" s="315"/>
      <c r="AB6" s="315"/>
      <c r="AC6" s="355"/>
      <c r="AD6" s="355"/>
      <c r="AE6" s="355"/>
      <c r="AF6" s="355"/>
      <c r="AG6" s="101"/>
      <c r="AJ6" s="318"/>
      <c r="AK6" s="315"/>
      <c r="AL6" s="315"/>
      <c r="AM6" s="315"/>
      <c r="AN6" s="355"/>
      <c r="AO6" s="355"/>
      <c r="AP6" s="355"/>
      <c r="AQ6" s="355"/>
      <c r="AR6" s="101"/>
      <c r="AU6" s="318"/>
      <c r="AV6" s="315"/>
      <c r="AW6" s="315"/>
      <c r="AX6" s="315"/>
      <c r="AY6" s="355"/>
      <c r="AZ6" s="355"/>
      <c r="BA6" s="355"/>
      <c r="BB6" s="355"/>
      <c r="BC6" s="101"/>
      <c r="BF6" s="318"/>
      <c r="BG6" s="315"/>
      <c r="BH6" s="315"/>
      <c r="BI6" s="315"/>
      <c r="BJ6" s="355"/>
      <c r="BK6" s="355"/>
      <c r="BL6" s="355"/>
      <c r="BM6" s="355"/>
    </row>
    <row r="7" spans="2:65" x14ac:dyDescent="0.25">
      <c r="C7" s="39">
        <f>'Cálculos iluminancia'!E18</f>
        <v>4.1666666666666664E-2</v>
      </c>
      <c r="D7" s="38">
        <f>'Cálculos iluminancia'!F18</f>
        <v>165</v>
      </c>
      <c r="E7" s="38">
        <f>'Cálculos iluminancia'!G18</f>
        <v>-73.716868534260627</v>
      </c>
      <c r="F7" s="38">
        <f>'Cálculos iluminancia'!H18</f>
        <v>60.072270889731158</v>
      </c>
      <c r="G7" s="38">
        <f>(PI()/24)*(H4+I4*COS(RADIANS(D7)))*((COS(RADIANS(D7))-COS(RADIANS(G4)))/(SIN(RADIANS(G4))-(RADIANS(G4))*COS(RADIANS(G4))))</f>
        <v>-1.5657597751559268E-2</v>
      </c>
      <c r="H7" s="38">
        <f>IF(E7&lt;0,0,G7*'Irradiancia Horizontal'!$C$7)</f>
        <v>0</v>
      </c>
      <c r="I7">
        <f>(PI()/24)*((COS(RADIANS(D7))-COS(RADIANS(G4)))/(SIN(RADIANS(G4))-(RADIANS(G4))*COS(RADIANS(G4))))</f>
        <v>-0.21859894500727867</v>
      </c>
      <c r="J7">
        <f>IF(E7&lt;0,0,I7*'Irradiancia Horizontal'!$C$39)</f>
        <v>0</v>
      </c>
      <c r="N7" s="39">
        <f>'Cálculos iluminancia'!BL18</f>
        <v>4.1666666666666699E-2</v>
      </c>
      <c r="O7" s="38">
        <f>'Cálculos iluminancia'!BM18</f>
        <v>165</v>
      </c>
      <c r="P7" s="38">
        <f>'Cálculos iluminancia'!BN18</f>
        <v>-67.31416291835562</v>
      </c>
      <c r="Q7" s="38">
        <f>'Cálculos iluminancia'!BO18</f>
        <v>41.165405469571056</v>
      </c>
      <c r="R7">
        <f>(PI()/24)*($S$4+$T$4*COS(RADIANS(O7)))*((COS(RADIANS(O7))-COS(RADIANS($R$4)))/(SIN(RADIANS($R$4))-(RADIANS($R$4))*COS(RADIANS($R$4))))</f>
        <v>-2.651948345594184E-2</v>
      </c>
      <c r="S7">
        <f>IF(P7&lt;0,0,R7*'Irradiancia Horizontal'!$D$7)</f>
        <v>0</v>
      </c>
      <c r="T7">
        <f>(PI()/24)*((COS(RADIANS(O7))-COS(RADIANS($R$4)))/(SIN(RADIANS($R$4))-(RADIANS($R$4))*COS(RADIANS($R$4))))</f>
        <v>-0.16919302243082374</v>
      </c>
      <c r="U7">
        <f>IF(P7&lt;0,0,T7*'Irradiancia Horizontal'!$D$39)</f>
        <v>0</v>
      </c>
      <c r="Y7" s="39">
        <f>'Cálculos iluminancia'!DS18</f>
        <v>4.1666666666666699E-2</v>
      </c>
      <c r="Z7" s="38">
        <f>'Cálculos iluminancia'!DT18</f>
        <v>165</v>
      </c>
      <c r="AA7" s="38">
        <f>'Cálculos iluminancia'!DU18</f>
        <v>-57.947937391387804</v>
      </c>
      <c r="AB7" s="38">
        <f>'Cálculos iluminancia'!DV18</f>
        <v>29.188938126724253</v>
      </c>
      <c r="AC7" s="38">
        <f>(PI()/24)*($AD$4+$AE$4*COS(RADIANS(Z7)))*((COS(RADIANS(Z7))-COS(RADIANS($AC$4)))/(SIN(RADIANS($AC$4))-(RADIANS($AC$4))*COS(RADIANS($AC$4))))</f>
        <v>-3.1727420297618235E-2</v>
      </c>
      <c r="AD7" s="38">
        <f>IF(AA7&lt;0,0,AC7*'Irradiancia Horizontal'!$E$7)</f>
        <v>0</v>
      </c>
      <c r="AE7">
        <f>(PI()/24)*((COS(RADIANS(Z7))-COS(RADIANS($AC$4)))/(SIN(RADIANS($AC$4))-(RADIANS($AC$4))*COS(RADIANS($AC$4))))</f>
        <v>-0.12773745225139607</v>
      </c>
      <c r="AF7">
        <f>IF(AA7&lt;0,0,AE7*'Irradiancia Horizontal'!$E$39)</f>
        <v>0</v>
      </c>
      <c r="AJ7" s="39">
        <f>'Cálculos iluminancia'!FZ18</f>
        <v>4.1666666666666699E-2</v>
      </c>
      <c r="AK7" s="38">
        <f>'Cálculos iluminancia'!GA18</f>
        <v>165</v>
      </c>
      <c r="AL7" s="38">
        <f>'Cálculos iluminancia'!GB18</f>
        <v>-46.838424540719231</v>
      </c>
      <c r="AM7" s="38">
        <f>'Cálculos iluminancia'!GC18</f>
        <v>21.756217560360398</v>
      </c>
      <c r="AN7" s="38">
        <f>(PI()/24)*($AO$4+$AP$4*COS(RADIANS(AK7)))*((COS(RADIANS(AK7))-COS(RADIANS($AN$4)))/(SIN(RADIANS($AN$4))-(RADIANS($AN$4))*COS(RADIANS($AN$4))))</f>
        <v>-3.2309976956018047E-2</v>
      </c>
      <c r="AO7" s="38">
        <f>IF(AL7&lt;0,0,AN7*'Irradiancia Horizontal'!$F$7)</f>
        <v>0</v>
      </c>
      <c r="AP7">
        <f>(PI()/24)*((COS(RADIANS(AK7))-COS(RADIANS($AN$4)))/(SIN(RADIANS($AN$4))-(RADIANS($AN$4))*COS(RADIANS($AN$4))))</f>
        <v>-9.4074445068027132E-2</v>
      </c>
      <c r="AQ7">
        <f>IF(AL7&lt;0,0,AP7*'Irradiancia Horizontal'!$F$39)</f>
        <v>0</v>
      </c>
      <c r="AU7" s="39">
        <f>'Cálculos iluminancia'!IG18</f>
        <v>4.1666666666666699E-2</v>
      </c>
      <c r="AV7" s="38">
        <f>'Cálculos iluminancia'!IH18</f>
        <v>165</v>
      </c>
      <c r="AW7" s="38">
        <f>'Cálculos iluminancia'!II18</f>
        <v>-38.698645677170404</v>
      </c>
      <c r="AX7" s="38">
        <f>'Cálculos iluminancia'!IJ18</f>
        <v>18.140977525375803</v>
      </c>
      <c r="AY7" s="38">
        <f>(PI()/24)*($AZ$4+$BA$4*COS(RADIANS(AV7)))*((COS(RADIANS(AV7))-COS(RADIANS($AY$4)))/(SIN(RADIANS($AY$4))-(RADIANS($AY$4))*COS(RADIANS($AY$4))))</f>
        <v>-3.0599181063246855E-2</v>
      </c>
      <c r="AZ7" s="38">
        <f>IF(AW7&lt;0,0,AY7*'Irradiancia Horizontal'!$G$7)</f>
        <v>0</v>
      </c>
      <c r="BA7">
        <f>(PI()/24)*((COS(RADIANS(AV7))-COS(RADIANS($AY$4)))/(SIN(RADIANS($AY$4))-(RADIANS($AY$4))*COS(RADIANS($AY$4))))</f>
        <v>-7.4368990769264745E-2</v>
      </c>
      <c r="BB7">
        <f>IF(AW7&lt;0,0,BA7*'Irradiancia Horizontal'!$G$39)</f>
        <v>0</v>
      </c>
      <c r="BF7" s="39">
        <f>'Cálculos iluminancia'!KN18</f>
        <v>4.1666666666666699E-2</v>
      </c>
      <c r="BG7" s="38">
        <f>'Cálculos iluminancia'!KO18</f>
        <v>165</v>
      </c>
      <c r="BH7" s="38">
        <f>'Cálculos iluminancia'!KP18</f>
        <v>-35.522989333110012</v>
      </c>
      <c r="BI7" s="38">
        <f>'Cálculos iluminancia'!KQ18</f>
        <v>16.962222906987591</v>
      </c>
      <c r="BJ7" s="38">
        <f>(PI()/24)*($BK$4+$BL$4*COS(RADIANS(BG7)))*((COS(RADIANS(BG7))-COS(RADIANS($BJ$4)))/(SIN(RADIANS($BJ$4))-(RADIANS($BJ$4))*COS(RADIANS($BJ$4))))</f>
        <v>-2.9534951349117721E-2</v>
      </c>
      <c r="BK7" s="38">
        <f>IF(BH7&lt;0,0,BJ7*'Irradiancia Horizontal'!$H$7)</f>
        <v>0</v>
      </c>
      <c r="BL7">
        <f>(PI()/24)*((COS(RADIANS(BG7))-COS(RADIANS($BJ$4)))/(SIN(RADIANS($BJ$4))-(RADIANS($BJ$4))*COS(RADIANS($BJ$4))))</f>
        <v>-6.7365158984614204E-2</v>
      </c>
      <c r="BM7">
        <f>IF(BH7&lt;0,0,BL7*'Irradiancia Horizontal'!$H$39)</f>
        <v>0</v>
      </c>
    </row>
    <row r="8" spans="2:65" x14ac:dyDescent="0.25">
      <c r="C8" s="39">
        <f>'Cálculos iluminancia'!E19</f>
        <v>8.3333333333333301E-2</v>
      </c>
      <c r="D8" s="38">
        <f>'Cálculos iluminancia'!F19</f>
        <v>150</v>
      </c>
      <c r="E8" s="38">
        <f>'Cálculos iluminancia'!G19</f>
        <v>-61.392241505320605</v>
      </c>
      <c r="F8" s="38">
        <f>'Cálculos iluminancia'!H19</f>
        <v>78.641634584200517</v>
      </c>
      <c r="G8" s="38">
        <f t="shared" ref="G8:G30" si="0">(PI()/24)*($H$4+$I$4*COS(RADIANS(D8)))*((COS(RADIANS(D8))-COS(RADIANS($G$4)))/(SIN(RADIANS($G$4))-(RADIANS($G$4))*COS(RADIANS($G$4))))</f>
        <v>-2.4541841138230026E-2</v>
      </c>
      <c r="H8" s="38">
        <f>IF(E8&lt;0,0,G8*'Irradiancia Horizontal'!$C$7)</f>
        <v>0</v>
      </c>
      <c r="I8">
        <f>(PI()/24)*((COS(RADIANS(D8))-COS(RADIANS($G$4)))/(SIN(RADIANS($G$4))-(RADIANS($G$4))*COS(RADIANS($G$4))))</f>
        <v>-0.19993166325311693</v>
      </c>
      <c r="J8">
        <f>IF(E8&lt;0,0,I8*'Irradiancia Horizontal'!$C$39)</f>
        <v>0</v>
      </c>
      <c r="N8" s="39">
        <f>'Cálculos iluminancia'!BL19</f>
        <v>8.3333333333333301E-2</v>
      </c>
      <c r="O8" s="38">
        <f>'Cálculos iluminancia'!BM19</f>
        <v>150</v>
      </c>
      <c r="P8" s="38">
        <f>'Cálculos iluminancia'!BN19</f>
        <v>-56.824338115711754</v>
      </c>
      <c r="Q8" s="38">
        <f>'Cálculos iluminancia'!BO19</f>
        <v>63.668970769506515</v>
      </c>
      <c r="R8">
        <f t="shared" ref="R8:R30" si="1">(PI()/24)*($S$4+$T$4*COS(RADIANS(O8)))*((COS(RADIANS(O8))-COS(RADIANS($R$4)))/(SIN(RADIANS($R$4))-(RADIANS($R$4))*COS(RADIANS($R$4))))</f>
        <v>-3.1258311571895916E-2</v>
      </c>
      <c r="S8">
        <f>IF(P8&lt;0,0,R8*'Irradiancia Horizontal'!$D$7)</f>
        <v>0</v>
      </c>
      <c r="T8">
        <f t="shared" ref="T8:T30" si="2">(PI()/24)*((COS(RADIANS(O8))-COS(RADIANS($R$4)))/(SIN(RADIANS($R$4))-(RADIANS($R$4))*COS(RADIANS($R$4))))</f>
        <v>-0.15348893244495793</v>
      </c>
      <c r="U8">
        <f>IF(P8&lt;0,0,T8*'Irradiancia Horizontal'!$D$39)</f>
        <v>0</v>
      </c>
      <c r="Y8" s="39">
        <f>'Cálculos iluminancia'!DS19</f>
        <v>8.3333333333333301E-2</v>
      </c>
      <c r="Z8" s="38">
        <f>'Cálculos iluminancia'!DT19</f>
        <v>150</v>
      </c>
      <c r="AA8" s="38">
        <f>'Cálculos iluminancia'!DU19</f>
        <v>-49.487232401773802</v>
      </c>
      <c r="AB8" s="38">
        <f>'Cálculos iluminancia'!DV19</f>
        <v>50.323781849922142</v>
      </c>
      <c r="AC8" s="38">
        <f t="shared" ref="AC8:AC30" si="3">(PI()/24)*($AD$4+$AE$4*COS(RADIANS(Z8)))*((COS(RADIANS(Z8))-COS(RADIANS($AC$4)))/(SIN(RADIANS($AC$4))-(RADIANS($AC$4))*COS(RADIANS($AC$4))))</f>
        <v>-3.3314560864630818E-2</v>
      </c>
      <c r="AD8" s="38">
        <f>IF(AA8&lt;0,0,AC8*'Irradiancia Horizontal'!$E$7)</f>
        <v>0</v>
      </c>
      <c r="AE8">
        <f t="shared" ref="AE8:AE30" si="4">(PI()/24)*((COS(RADIANS(Z8))-COS(RADIANS($AC$4)))/(SIN(RADIANS($AC$4))-(RADIANS($AC$4))*COS(RADIANS($AC$4))))</f>
        <v>-0.1145796385952528</v>
      </c>
      <c r="AF8">
        <f>IF(AA8&lt;0,0,AE8*'Irradiancia Horizontal'!$E$39)</f>
        <v>0</v>
      </c>
      <c r="AJ8" s="39">
        <f>'Cálculos iluminancia'!FZ19</f>
        <v>8.3333333333333301E-2</v>
      </c>
      <c r="AK8" s="38">
        <f>'Cálculos iluminancia'!GA19</f>
        <v>150</v>
      </c>
      <c r="AL8" s="38">
        <f>'Cálculos iluminancia'!GB19</f>
        <v>-40.08304052557321</v>
      </c>
      <c r="AM8" s="38">
        <f>'Cálculos iluminancia'!GC19</f>
        <v>39.806701213504226</v>
      </c>
      <c r="AN8" s="38">
        <f t="shared" ref="AN8:AN30" si="5">(PI()/24)*($AO$4+$AP$4*COS(RADIANS(AK8)))*((COS(RADIANS(AK8))-COS(RADIANS($AN$4)))/(SIN(RADIANS($AN$4))-(RADIANS($AN$4))*COS(RADIANS($AN$4))))</f>
        <v>-3.1649546861235799E-2</v>
      </c>
      <c r="AO8" s="38">
        <f>IF(AL8&lt;0,0,AN8*'Irradiancia Horizontal'!$F$7)</f>
        <v>0</v>
      </c>
      <c r="AP8">
        <f t="shared" ref="AP8:AP30" si="6">(PI()/24)*((COS(RADIANS(AK8))-COS(RADIANS($AN$4)))/(SIN(RADIANS($AN$4))-(RADIANS($AN$4))*COS(RADIANS($AN$4))))</f>
        <v>-8.3043574227009906E-2</v>
      </c>
      <c r="AQ8">
        <f>IF(AL8&lt;0,0,AP8*'Irradiancia Horizontal'!$F$39)</f>
        <v>0</v>
      </c>
      <c r="AU8" s="39">
        <f>'Cálculos iluminancia'!IG19</f>
        <v>8.3333333333333301E-2</v>
      </c>
      <c r="AV8" s="38">
        <f>'Cálculos iluminancia'!IH19</f>
        <v>150</v>
      </c>
      <c r="AW8" s="38">
        <f>'Cálculos iluminancia'!II19</f>
        <v>-32.905461024397972</v>
      </c>
      <c r="AX8" s="38">
        <f>'Cálculos iluminancia'!IJ19</f>
        <v>33.996089916728636</v>
      </c>
      <c r="AY8" s="38">
        <f t="shared" ref="AY8:AY30" si="7">(PI()/24)*($AZ$4+$BA$4*COS(RADIANS(AV8)))*((COS(RADIANS(AV8))-COS(RADIANS($AY$4)))/(SIN(RADIANS($AY$4))-(RADIANS($AY$4))*COS(RADIANS($AY$4))))</f>
        <v>-2.8804082819028062E-2</v>
      </c>
      <c r="AZ8" s="38">
        <f>IF(AW8&lt;0,0,AY8*'Irradiancia Horizontal'!$G$7)</f>
        <v>0</v>
      </c>
      <c r="BA8">
        <f t="shared" ref="BA8:BA30" si="8">(PI()/24)*((COS(RADIANS(AV8))-COS(RADIANS($AY$4)))/(SIN(RADIANS($AY$4))-(RADIANS($AY$4))*COS(RADIANS($AY$4))))</f>
        <v>-6.4618878149678177E-2</v>
      </c>
      <c r="BB8">
        <f>IF(AW8&lt;0,0,BA8*'Irradiancia Horizontal'!$G$39)</f>
        <v>0</v>
      </c>
      <c r="BF8" s="39">
        <f>'Cálculos iluminancia'!KN19</f>
        <v>8.3333333333333301E-2</v>
      </c>
      <c r="BG8" s="38">
        <f>'Cálculos iluminancia'!KO19</f>
        <v>150</v>
      </c>
      <c r="BH8" s="38">
        <f>'Cálculos iluminancia'!KP19</f>
        <v>-30.061756873161897</v>
      </c>
      <c r="BI8" s="38">
        <f>'Cálculos iluminancia'!KQ19</f>
        <v>32.005223707712958</v>
      </c>
      <c r="BJ8" s="38">
        <f t="shared" ref="BJ8:BJ30" si="9">(PI()/24)*($BK$4+$BL$4*COS(RADIANS(BG8)))*((COS(RADIANS(BG8))-COS(RADIANS($BJ$4)))/(SIN(RADIANS($BJ$4))-(RADIANS($BJ$4))*COS(RADIANS($BJ$4))))</f>
        <v>-2.7378166454873079E-2</v>
      </c>
      <c r="BK8" s="38">
        <f>IF(BH8&lt;0,0,BJ8*'Irradiancia Horizontal'!$H$7)</f>
        <v>0</v>
      </c>
      <c r="BL8">
        <f t="shared" ref="BL8:BL30" si="10">(PI()/24)*((COS(RADIANS(BG8))-COS(RADIANS($BJ$4)))/(SIN(RADIANS($BJ$4))-(RADIANS($BJ$4))*COS(RADIANS($BJ$4))))</f>
        <v>-5.8078700842365119E-2</v>
      </c>
      <c r="BM8">
        <f>IF(BH8&lt;0,0,BL8*'Irradiancia Horizontal'!$H$39)</f>
        <v>0</v>
      </c>
    </row>
    <row r="9" spans="2:65" x14ac:dyDescent="0.25">
      <c r="C9" s="39">
        <f>'Cálculos iluminancia'!E20</f>
        <v>0.125</v>
      </c>
      <c r="D9" s="38">
        <f>'Cálculos iluminancia'!F20</f>
        <v>135</v>
      </c>
      <c r="E9" s="38">
        <f>'Cálculos iluminancia'!G20</f>
        <v>-48.376276838475903</v>
      </c>
      <c r="F9" s="38">
        <f>'Cálculos iluminancia'!H20</f>
        <v>88.120784127746333</v>
      </c>
      <c r="G9" s="38">
        <f t="shared" si="0"/>
        <v>-3.4741457932174993E-2</v>
      </c>
      <c r="H9" s="38">
        <f>IF(E9&lt;0,0,G9*'Irradiancia Horizontal'!$C$7)</f>
        <v>0</v>
      </c>
      <c r="I9">
        <f t="shared" ref="I9:I30" si="11">(PI()/24)*((COS(RADIANS(D9))-COS(RADIANS($G$4)))/(SIN(RADIANS($G$4))-(RADIANS($G$4))*COS(RADIANS($G$4))))</f>
        <v>-0.17023630632026063</v>
      </c>
      <c r="J9">
        <f>IF(E9&lt;0,0,I9*'Irradiancia Horizontal'!$C$39)</f>
        <v>0</v>
      </c>
      <c r="N9" s="39">
        <f>'Cálculos iluminancia'!BL20</f>
        <v>0.125</v>
      </c>
      <c r="O9" s="38">
        <f>'Cálculos iluminancia'!BM20</f>
        <v>135</v>
      </c>
      <c r="P9" s="38">
        <f>'Cálculos iluminancia'!BN20</f>
        <v>-44.488704712458158</v>
      </c>
      <c r="Q9" s="38">
        <f>'Cálculos iluminancia'!BO20</f>
        <v>76.465390391360472</v>
      </c>
      <c r="R9">
        <f t="shared" si="1"/>
        <v>-3.5760551107834299E-2</v>
      </c>
      <c r="S9">
        <f>IF(P9&lt;0,0,R9*'Irradiancia Horizontal'!$D$7)</f>
        <v>0</v>
      </c>
      <c r="T9">
        <f t="shared" si="2"/>
        <v>-0.12850733289675292</v>
      </c>
      <c r="U9">
        <f>IF(P9&lt;0,0,T9*'Irradiancia Horizontal'!$D$39)</f>
        <v>0</v>
      </c>
      <c r="Y9" s="39">
        <f>'Cálculos iluminancia'!DS20</f>
        <v>0.125</v>
      </c>
      <c r="Z9" s="38">
        <f>'Cálculos iluminancia'!DT20</f>
        <v>135</v>
      </c>
      <c r="AA9" s="38">
        <f>'Cálculos iluminancia'!DU20</f>
        <v>-38.416908217684238</v>
      </c>
      <c r="AB9" s="38">
        <f>'Cálculos iluminancia'!DV20</f>
        <v>64.483787989037083</v>
      </c>
      <c r="AC9" s="38">
        <f t="shared" si="3"/>
        <v>-3.3541460250920647E-2</v>
      </c>
      <c r="AD9" s="38">
        <f>IF(AA9&lt;0,0,AC9*'Irradiancia Horizontal'!$E$7)</f>
        <v>0</v>
      </c>
      <c r="AE9">
        <f t="shared" si="4"/>
        <v>-9.3648579744754851E-2</v>
      </c>
      <c r="AF9">
        <f>IF(AA9&lt;0,0,AE9*'Irradiancia Horizontal'!$E$39)</f>
        <v>0</v>
      </c>
      <c r="AJ9" s="39">
        <f>'Cálculos iluminancia'!FZ20</f>
        <v>0.125</v>
      </c>
      <c r="AK9" s="38">
        <f>'Cálculos iluminancia'!GA20</f>
        <v>135</v>
      </c>
      <c r="AL9" s="38">
        <f>'Cálculos iluminancia'!GB20</f>
        <v>-30.519929247839638</v>
      </c>
      <c r="AM9" s="38">
        <f>'Cálculos iluminancia'!GC20</f>
        <v>53.525917714699233</v>
      </c>
      <c r="AN9" s="38">
        <f t="shared" si="5"/>
        <v>-2.8886473691223293E-2</v>
      </c>
      <c r="AO9" s="38">
        <f>IF(AL9&lt;0,0,AN9*'Irradiancia Horizontal'!$F$7)</f>
        <v>0</v>
      </c>
      <c r="AP9">
        <f t="shared" si="6"/>
        <v>-6.5495992783813697E-2</v>
      </c>
      <c r="AQ9">
        <f>IF(AL9&lt;0,0,AP9*'Irradiancia Horizontal'!$F$39)</f>
        <v>0</v>
      </c>
      <c r="AU9" s="39">
        <f>'Cálculos iluminancia'!IG20</f>
        <v>0.125</v>
      </c>
      <c r="AV9" s="38">
        <f>'Cálculos iluminancia'!IH20</f>
        <v>135</v>
      </c>
      <c r="AW9" s="38">
        <f>'Cálculos iluminancia'!II20</f>
        <v>-24.384588412739511</v>
      </c>
      <c r="AX9" s="38">
        <f>'Cálculos iluminancia'!IJ20</f>
        <v>46.794279070804748</v>
      </c>
      <c r="AY9" s="38">
        <f t="shared" si="7"/>
        <v>-2.4570102241249742E-2</v>
      </c>
      <c r="AZ9" s="38">
        <f>IF(AW9&lt;0,0,AY9*'Irradiancia Horizontal'!$G$7)</f>
        <v>0</v>
      </c>
      <c r="BA9">
        <f t="shared" si="8"/>
        <v>-4.9108688814821166E-2</v>
      </c>
      <c r="BB9">
        <f>IF(AW9&lt;0,0,BA9*'Irradiancia Horizontal'!$G$39)</f>
        <v>0</v>
      </c>
      <c r="BF9" s="39">
        <f>'Cálculos iluminancia'!KN20</f>
        <v>0.125</v>
      </c>
      <c r="BG9" s="38">
        <f>'Cálculos iluminancia'!KO20</f>
        <v>135</v>
      </c>
      <c r="BH9" s="38">
        <f>'Cálculos iluminancia'!KP20</f>
        <v>-21.932757611792816</v>
      </c>
      <c r="BI9" s="38">
        <f>'Cálculos iluminancia'!KQ20</f>
        <v>44.372564277814263</v>
      </c>
      <c r="BJ9" s="38">
        <f t="shared" si="9"/>
        <v>-2.2685486974198539E-2</v>
      </c>
      <c r="BK9" s="38">
        <f>IF(BH9&lt;0,0,BJ9*'Irradiancia Horizontal'!$H$7)</f>
        <v>0</v>
      </c>
      <c r="BL9">
        <f t="shared" si="10"/>
        <v>-4.3306079268008835E-2</v>
      </c>
      <c r="BM9">
        <f>IF(BH9&lt;0,0,BL9*'Irradiancia Horizontal'!$H$39)</f>
        <v>0</v>
      </c>
    </row>
    <row r="10" spans="2:65" x14ac:dyDescent="0.25">
      <c r="C10" s="39">
        <f>'Cálculos iluminancia'!E21</f>
        <v>0.16666666666666699</v>
      </c>
      <c r="D10" s="38">
        <f>'Cálculos iluminancia'!F21</f>
        <v>120</v>
      </c>
      <c r="E10" s="38">
        <f>'Cálculos iluminancia'!G21</f>
        <v>-35.281146205343312</v>
      </c>
      <c r="F10" s="38">
        <f>'Cálculos iluminancia'!H21</f>
        <v>95.111099483439872</v>
      </c>
      <c r="G10" s="38">
        <f t="shared" si="0"/>
        <v>-4.0784865182908699E-2</v>
      </c>
      <c r="H10" s="38">
        <f>IF(E10&lt;0,0,G10*'Irradiancia Horizontal'!$C$7)</f>
        <v>0</v>
      </c>
      <c r="I10">
        <f t="shared" si="11"/>
        <v>-0.13153656370978628</v>
      </c>
      <c r="J10">
        <f>IF(E10&lt;0,0,I10*'Irradiancia Horizontal'!$C$39)</f>
        <v>0</v>
      </c>
      <c r="N10" s="39">
        <f>'Cálculos iluminancia'!BL21</f>
        <v>0.16666666666666699</v>
      </c>
      <c r="O10" s="38">
        <f>'Cálculos iluminancia'!BM21</f>
        <v>120</v>
      </c>
      <c r="P10" s="38">
        <f>'Cálculos iluminancia'!BN21</f>
        <v>-31.549339111474108</v>
      </c>
      <c r="Q10" s="38">
        <f>'Cálculos iluminancia'!BO21</f>
        <v>85.408269313757486</v>
      </c>
      <c r="R10">
        <f t="shared" si="1"/>
        <v>-3.6032245901657579E-2</v>
      </c>
      <c r="S10">
        <f>IF(P10&lt;0,0,R10*'Irradiancia Horizontal'!$D$7)</f>
        <v>0</v>
      </c>
      <c r="T10">
        <f t="shared" si="2"/>
        <v>-9.5950678511373816E-2</v>
      </c>
      <c r="U10">
        <f>IF(P10&lt;0,0,T10*'Irradiancia Horizontal'!$D$39)</f>
        <v>0</v>
      </c>
      <c r="Y10" s="39">
        <f>'Cálculos iluminancia'!DS21</f>
        <v>0.16666666666666699</v>
      </c>
      <c r="Z10" s="38">
        <f>'Cálculos iluminancia'!DT21</f>
        <v>120</v>
      </c>
      <c r="AA10" s="38">
        <f>'Cálculos iluminancia'!DU21</f>
        <v>-26.128398161118344</v>
      </c>
      <c r="AB10" s="38">
        <f>'Cálculos iluminancia'!DV21</f>
        <v>74.70367218763036</v>
      </c>
      <c r="AC10" s="38">
        <f t="shared" si="3"/>
        <v>-2.9602085011296349E-2</v>
      </c>
      <c r="AD10" s="38">
        <f>IF(AA10&lt;0,0,AC10*'Irradiancia Horizontal'!$E$7)</f>
        <v>0</v>
      </c>
      <c r="AE10">
        <f t="shared" si="4"/>
        <v>-6.6370692770353415E-2</v>
      </c>
      <c r="AF10">
        <f>IF(AA10&lt;0,0,AE10*'Irradiancia Horizontal'!$E$39)</f>
        <v>0</v>
      </c>
      <c r="AJ10" s="39">
        <f>'Cálculos iluminancia'!FZ21</f>
        <v>0.16666666666666699</v>
      </c>
      <c r="AK10" s="38">
        <f>'Cálculos iluminancia'!GA21</f>
        <v>120</v>
      </c>
      <c r="AL10" s="38">
        <f>'Cálculos iluminancia'!GB21</f>
        <v>-19.300479677277462</v>
      </c>
      <c r="AM10" s="38">
        <f>'Cálculos iluminancia'!GC21</f>
        <v>64.016694998451214</v>
      </c>
      <c r="AN10" s="38">
        <f t="shared" si="5"/>
        <v>-2.2129398089669943E-2</v>
      </c>
      <c r="AO10" s="38">
        <f>IF(AL10&lt;0,0,AN10*'Irradiancia Horizontal'!$F$7)</f>
        <v>0</v>
      </c>
      <c r="AP10">
        <f t="shared" si="6"/>
        <v>-4.2627539415042895E-2</v>
      </c>
      <c r="AQ10">
        <f>IF(AL10&lt;0,0,AP10*'Irradiancia Horizontal'!$F$39)</f>
        <v>0</v>
      </c>
      <c r="AU10" s="39">
        <f>'Cálculos iluminancia'!IG21</f>
        <v>0.16666666666666699</v>
      </c>
      <c r="AV10" s="38">
        <f>'Cálculos iluminancia'!IH21</f>
        <v>120</v>
      </c>
      <c r="AW10" s="38">
        <f>'Cálculos iluminancia'!II21</f>
        <v>-14.059262104382483</v>
      </c>
      <c r="AX10" s="38">
        <f>'Cálculos iluminancia'!IJ21</f>
        <v>56.949460447538442</v>
      </c>
      <c r="AY10" s="38">
        <f t="shared" si="7"/>
        <v>-1.6511841760212451E-2</v>
      </c>
      <c r="AZ10" s="38">
        <f>IF(AW10&lt;0,0,AY10*'Irradiancia Horizontal'!$G$7)</f>
        <v>0</v>
      </c>
      <c r="BA10">
        <f t="shared" si="8"/>
        <v>-2.8895416536064433E-2</v>
      </c>
      <c r="BB10">
        <f>IF(AW10&lt;0,0,BA10*'Irradiancia Horizontal'!$G$39)</f>
        <v>0</v>
      </c>
      <c r="BF10" s="39">
        <f>'Cálculos iluminancia'!KN21</f>
        <v>0.16666666666666699</v>
      </c>
      <c r="BG10" s="38">
        <f>'Cálculos iluminancia'!KO21</f>
        <v>120</v>
      </c>
      <c r="BH10" s="38">
        <f>'Cálculos iluminancia'!KP21</f>
        <v>-11.973998043852708</v>
      </c>
      <c r="BI10" s="38">
        <f>'Cálculos iluminancia'!KQ21</f>
        <v>54.308590994652675</v>
      </c>
      <c r="BJ10" s="38">
        <f t="shared" si="9"/>
        <v>-1.4244450081041164E-2</v>
      </c>
      <c r="BK10" s="38">
        <f>IF(BH10&lt;0,0,BJ10*'Irradiancia Horizontal'!$H$7)</f>
        <v>0</v>
      </c>
      <c r="BL10">
        <f t="shared" si="10"/>
        <v>-2.4054024008926332E-2</v>
      </c>
      <c r="BM10">
        <f>IF(BH10&lt;0,0,BL10*'Irradiancia Horizontal'!$H$39)</f>
        <v>0</v>
      </c>
    </row>
    <row r="11" spans="2:65" x14ac:dyDescent="0.25">
      <c r="C11" s="39">
        <f>'Cálculos iluminancia'!E22</f>
        <v>0.20833333333333334</v>
      </c>
      <c r="D11" s="38">
        <f>'Cálculos iluminancia'!F22</f>
        <v>105</v>
      </c>
      <c r="E11" s="38">
        <f>'Cálculos iluminancia'!G22</f>
        <v>-22.314889941656389</v>
      </c>
      <c r="F11" s="38">
        <f>'Cálculos iluminancia'!H22</f>
        <v>101.39522725900767</v>
      </c>
      <c r="G11" s="38">
        <f t="shared" si="0"/>
        <v>-3.7483718751854529E-2</v>
      </c>
      <c r="H11" s="38">
        <f>IF(E11&lt;0,0,G11*'Irradiancia Horizontal'!$C$7)</f>
        <v>0</v>
      </c>
      <c r="I11">
        <f t="shared" si="11"/>
        <v>-8.6469758926249252E-2</v>
      </c>
      <c r="J11">
        <f>IF(E11&lt;0,0,I11*'Irradiancia Horizontal'!$C$39)</f>
        <v>0</v>
      </c>
      <c r="N11" s="39">
        <f>'Cálculos iluminancia'!BL22</f>
        <v>0.20833333333333334</v>
      </c>
      <c r="O11" s="38">
        <f>'Cálculos iluminancia'!BM22</f>
        <v>105</v>
      </c>
      <c r="P11" s="38">
        <f>'Cálculos iluminancia'!BN22</f>
        <v>-18.450636942948769</v>
      </c>
      <c r="Q11" s="38">
        <f>'Cálculos iluminancia'!BO22</f>
        <v>92.825247091319213</v>
      </c>
      <c r="R11">
        <f t="shared" si="1"/>
        <v>-2.8367744424135793E-2</v>
      </c>
      <c r="S11">
        <f>IF(P11&lt;0,0,R11*'Irradiancia Horizontal'!$D$7)</f>
        <v>0</v>
      </c>
      <c r="T11">
        <f t="shared" si="2"/>
        <v>-5.803765148276898E-2</v>
      </c>
      <c r="U11">
        <f>IF(P11&lt;0,0,T11*'Irradiancia Horizontal'!$D$39)</f>
        <v>0</v>
      </c>
      <c r="Y11" s="39">
        <f>'Cálculos iluminancia'!DS22</f>
        <v>0.20833333333333334</v>
      </c>
      <c r="Z11" s="38">
        <f>'Cálculos iluminancia'!DT22</f>
        <v>105</v>
      </c>
      <c r="AA11" s="38">
        <f>'Cálculos iluminancia'!DU22</f>
        <v>-13.274188224930079</v>
      </c>
      <c r="AB11" s="38">
        <f>'Cálculos iluminancia'!DV22</f>
        <v>82.939465792216424</v>
      </c>
      <c r="AC11" s="38">
        <f t="shared" si="3"/>
        <v>-1.8974326431228303E-2</v>
      </c>
      <c r="AD11" s="38">
        <f>IF(AA11&lt;0,0,AC11*'Irradiancia Horizontal'!$E$7)</f>
        <v>0</v>
      </c>
      <c r="AE11">
        <f t="shared" si="4"/>
        <v>-3.4604920590514412E-2</v>
      </c>
      <c r="AF11">
        <f>IF(AA11&lt;0,0,AE11*'Irradiancia Horizontal'!$E$39)</f>
        <v>0</v>
      </c>
      <c r="AJ11" s="39">
        <f>'Cálculos iluminancia'!FZ22</f>
        <v>0.20833333333333334</v>
      </c>
      <c r="AK11" s="38">
        <f>'Cálculos iluminancia'!GA22</f>
        <v>105</v>
      </c>
      <c r="AL11" s="38">
        <f>'Cálculos iluminancia'!GB22</f>
        <v>-7.1249590451508507</v>
      </c>
      <c r="AM11" s="38">
        <f>'Cálculos iluminancia'!GC22</f>
        <v>72.483816717921655</v>
      </c>
      <c r="AN11" s="38">
        <f t="shared" si="5"/>
        <v>-9.759145365573655E-3</v>
      </c>
      <c r="AO11" s="38">
        <f>IF(AL11&lt;0,0,AN11*'Irradiancia Horizontal'!$F$7)</f>
        <v>0</v>
      </c>
      <c r="AP11">
        <f t="shared" si="6"/>
        <v>-1.5996661425873228E-2</v>
      </c>
      <c r="AQ11">
        <f>IF(AL11&lt;0,0,AP11*'Irradiancia Horizontal'!$F$39)</f>
        <v>0</v>
      </c>
      <c r="AU11" s="39">
        <f>'Cálculos iluminancia'!IG22</f>
        <v>0.20833333333333334</v>
      </c>
      <c r="AV11" s="38">
        <f>'Cálculos iluminancia'!IH22</f>
        <v>105</v>
      </c>
      <c r="AW11" s="38">
        <f>'Cálculos iluminancia'!II22</f>
        <v>-2.5810689008028098</v>
      </c>
      <c r="AX11" s="38">
        <f>'Cálculos iluminancia'!IJ22</f>
        <v>65.202516993585633</v>
      </c>
      <c r="AY11" s="38">
        <f t="shared" si="7"/>
        <v>-3.5045221617025211E-3</v>
      </c>
      <c r="AZ11" s="38">
        <f>IF(AW11&lt;0,0,AY11*'Irradiancia Horizontal'!$G$7)</f>
        <v>0</v>
      </c>
      <c r="BA11">
        <f t="shared" si="8"/>
        <v>-5.3565624151934773E-3</v>
      </c>
      <c r="BB11">
        <f>IF(AW11&lt;0,0,BA11*'Irradiancia Horizontal'!$G$39)</f>
        <v>0</v>
      </c>
      <c r="BF11" s="39">
        <f>'Cálculos iluminancia'!KN22</f>
        <v>0.20833333333333334</v>
      </c>
      <c r="BG11" s="38">
        <f>'Cálculos iluminancia'!KO22</f>
        <v>105</v>
      </c>
      <c r="BH11" s="38">
        <f>'Cálculos iluminancia'!KP22</f>
        <v>-0.80777986614324515</v>
      </c>
      <c r="BI11" s="38">
        <f>'Cálculos iluminancia'!KQ22</f>
        <v>62.404173266606605</v>
      </c>
      <c r="BJ11" s="38">
        <f t="shared" si="9"/>
        <v>-1.0980373125552476E-3</v>
      </c>
      <c r="BK11" s="38">
        <f>IF(BH11&lt;0,0,BJ11*'Irradiancia Horizontal'!$H$7)</f>
        <v>0</v>
      </c>
      <c r="BL11">
        <f t="shared" si="10"/>
        <v>-1.634530815498518E-3</v>
      </c>
      <c r="BM11">
        <f>IF(BH11&lt;0,0,BL11*'Irradiancia Horizontal'!$H$39)</f>
        <v>0</v>
      </c>
    </row>
    <row r="12" spans="2:65" x14ac:dyDescent="0.25">
      <c r="C12" s="39">
        <f>'Cálculos iluminancia'!E23</f>
        <v>0.25</v>
      </c>
      <c r="D12" s="38">
        <f>'Cálculos iluminancia'!F23</f>
        <v>90</v>
      </c>
      <c r="E12" s="38">
        <f>'Cálculos iluminancia'!G23</f>
        <v>-9.6327224739751234</v>
      </c>
      <c r="F12" s="38">
        <f>'Cálculos iluminancia'!H23</f>
        <v>107.76935516675623</v>
      </c>
      <c r="G12" s="38">
        <f t="shared" si="0"/>
        <v>-2.1566348616099087E-2</v>
      </c>
      <c r="H12" s="38">
        <f>IF(E12&lt;0,0,G12*'Irradiancia Horizontal'!$C$7)</f>
        <v>0</v>
      </c>
      <c r="I12">
        <f t="shared" si="11"/>
        <v>-3.8107120239231192E-2</v>
      </c>
      <c r="J12">
        <f>IF(E12&lt;0,0,I12*'Irradiancia Horizontal'!$C$39)</f>
        <v>0</v>
      </c>
      <c r="N12" s="39">
        <f>'Cálculos iluminancia'!BL23</f>
        <v>0.25</v>
      </c>
      <c r="O12" s="38">
        <f>'Cálculos iluminancia'!BM23</f>
        <v>90</v>
      </c>
      <c r="P12" s="38">
        <f>'Cálculos iluminancia'!BN23</f>
        <v>-5.4296042813721792</v>
      </c>
      <c r="Q12" s="38">
        <f>'Cálculos iluminancia'!BO23</f>
        <v>99.840733192760467</v>
      </c>
      <c r="R12">
        <f t="shared" si="1"/>
        <v>-1.0590198914442951E-2</v>
      </c>
      <c r="S12">
        <f>IF(P12&lt;0,0,R12*'Irradiancia Horizontal'!$D$7)</f>
        <v>0</v>
      </c>
      <c r="T12">
        <f t="shared" si="2"/>
        <v>-1.735196194869815E-2</v>
      </c>
      <c r="U12">
        <f>IF(P12&lt;0,0,T12*'Irradiancia Horizontal'!$D$39)</f>
        <v>0</v>
      </c>
      <c r="Y12" s="39">
        <f>'Cálculos iluminancia'!DS23</f>
        <v>0.25</v>
      </c>
      <c r="Z12" s="38">
        <f>'Cálculos iluminancia'!DT23</f>
        <v>90</v>
      </c>
      <c r="AA12" s="38">
        <f>'Cálculos iluminancia'!DU23</f>
        <v>-0.19618646613255544</v>
      </c>
      <c r="AB12" s="38">
        <f>'Cálculos iluminancia'!DV23</f>
        <v>90.35277083812899</v>
      </c>
      <c r="AC12" s="38">
        <f t="shared" si="3"/>
        <v>-3.3960921368452883E-4</v>
      </c>
      <c r="AD12" s="38">
        <f>IF(AA12&lt;0,0,AC12*'Irradiancia Horizontal'!$E$7)</f>
        <v>0</v>
      </c>
      <c r="AE12">
        <f t="shared" si="4"/>
        <v>-5.1604808387316586E-4</v>
      </c>
      <c r="AF12">
        <f>IF(AA12&lt;0,0,AE12*'Irradiancia Horizontal'!$E$39)</f>
        <v>0</v>
      </c>
      <c r="AJ12" s="39">
        <f>'Cálculos iluminancia'!FZ23</f>
        <v>0.25</v>
      </c>
      <c r="AK12" s="38">
        <f>'Cálculos iluminancia'!GA23</f>
        <v>90</v>
      </c>
      <c r="AL12" s="38">
        <f>'Cálculos iluminancia'!GB23</f>
        <v>5.5984380572590657</v>
      </c>
      <c r="AM12" s="38">
        <f>'Cálculos iluminancia'!GC23</f>
        <v>79.848129908924179</v>
      </c>
      <c r="AN12" s="38">
        <f t="shared" si="5"/>
        <v>8.903687685015961E-3</v>
      </c>
      <c r="AO12" s="38">
        <f>IF(AL12&lt;0,0,AN12*'Irradiancia Horizontal'!$F$7)</f>
        <v>62.077749131925138</v>
      </c>
      <c r="AP12">
        <f t="shared" si="6"/>
        <v>1.2581790858340214E-2</v>
      </c>
      <c r="AQ12">
        <f>IF(AL12&lt;0,0,AP12*'Irradiancia Horizontal'!$F$39)</f>
        <v>20.713917494290275</v>
      </c>
      <c r="AU12" s="39">
        <f>'Cálculos iluminancia'!IG23</f>
        <v>0.25</v>
      </c>
      <c r="AV12" s="38">
        <f>'Cálculos iluminancia'!IH23</f>
        <v>90</v>
      </c>
      <c r="AW12" s="38">
        <f>'Cálculos iluminancia'!II23</f>
        <v>9.6327224739751323</v>
      </c>
      <c r="AX12" s="38">
        <f>'Cálculos iluminancia'!IJ23</f>
        <v>72.230644833243772</v>
      </c>
      <c r="AY12" s="38">
        <f t="shared" si="7"/>
        <v>1.4790835675424805E-2</v>
      </c>
      <c r="AZ12" s="38">
        <f>IF(AW12&lt;0,0,AY12*'Irradiancia Horizontal'!$G$7)</f>
        <v>128.72649440003192</v>
      </c>
      <c r="BA12">
        <f t="shared" si="8"/>
        <v>1.990373953925012E-2</v>
      </c>
      <c r="BB12">
        <f>IF(AW12&lt;0,0,BA12*'Irradiancia Horizontal'!$G$39)</f>
        <v>19.963886908512393</v>
      </c>
      <c r="BF12" s="39">
        <f>'Cálculos iluminancia'!KN23</f>
        <v>0.25</v>
      </c>
      <c r="BG12" s="38">
        <f>'Cálculos iluminancia'!KO23</f>
        <v>90</v>
      </c>
      <c r="BH12" s="38">
        <f>'Cálculos iluminancia'!KP23</f>
        <v>11.152054967319165</v>
      </c>
      <c r="BI12" s="38">
        <f>'Cálculos iluminancia'!KQ23</f>
        <v>69.238766580276192</v>
      </c>
      <c r="BJ12" s="38">
        <f t="shared" si="9"/>
        <v>1.6979538059060086E-2</v>
      </c>
      <c r="BK12" s="38">
        <f>IF(BH12&lt;0,0,BJ12*'Irradiancia Horizontal'!$H$7)</f>
        <v>152.52133573793674</v>
      </c>
      <c r="BL12">
        <f t="shared" si="10"/>
        <v>2.2424548901106869E-2</v>
      </c>
      <c r="BM12">
        <f>IF(BH12&lt;0,0,BL12*'Irradiancia Horizontal'!$H$39)</f>
        <v>21.977541840698802</v>
      </c>
    </row>
    <row r="13" spans="2:65" x14ac:dyDescent="0.25">
      <c r="C13" s="39">
        <f>'Cálculos iluminancia'!E24</f>
        <v>0.29166666666666702</v>
      </c>
      <c r="D13" s="38">
        <f>'Cálculos iluminancia'!F24</f>
        <v>75</v>
      </c>
      <c r="E13" s="38">
        <f>'Cálculos iluminancia'!G24</f>
        <v>2.5810689008028067</v>
      </c>
      <c r="F13" s="38">
        <f>'Cálculos iluminancia'!H24</f>
        <v>114.79748300641437</v>
      </c>
      <c r="G13" s="38">
        <f t="shared" si="0"/>
        <v>7.1623609791582324E-3</v>
      </c>
      <c r="H13" s="38">
        <f>IF(E13&lt;0,0,G13*'Irradiancia Horizontal'!$C$7)</f>
        <v>29.551938859154784</v>
      </c>
      <c r="I13">
        <f t="shared" si="11"/>
        <v>1.0255518447786823E-2</v>
      </c>
      <c r="J13">
        <f>IF(E13&lt;0,0,I13*'Irradiancia Horizontal'!$C$39)</f>
        <v>9.5848272442036055</v>
      </c>
      <c r="N13" s="39">
        <f>'Cálculos iluminancia'!BL24</f>
        <v>0.29166666666666702</v>
      </c>
      <c r="O13" s="38">
        <f>'Cálculos iluminancia'!BM24</f>
        <v>75</v>
      </c>
      <c r="P13" s="38">
        <f>'Cálculos iluminancia'!BN24</f>
        <v>7.3102534726872559</v>
      </c>
      <c r="Q13" s="38">
        <f>'Cálculos iluminancia'!BO24</f>
        <v>107.2136474400794</v>
      </c>
      <c r="R13">
        <f t="shared" si="1"/>
        <v>1.7076845387414687E-2</v>
      </c>
      <c r="S13">
        <f>IF(P13&lt;0,0,R13*'Irradiancia Horizontal'!$D$7)</f>
        <v>82.741772685440722</v>
      </c>
      <c r="T13">
        <f t="shared" si="2"/>
        <v>2.3333727585372655E-2</v>
      </c>
      <c r="U13">
        <f>IF(P13&lt;0,0,T13*'Irradiancia Horizontal'!$D$39)</f>
        <v>29.303961033813035</v>
      </c>
      <c r="Y13" s="39">
        <f>'Cálculos iluminancia'!DS24</f>
        <v>0.29166666666666702</v>
      </c>
      <c r="Z13" s="38">
        <f>'Cálculos iluminancia'!DT24</f>
        <v>75</v>
      </c>
      <c r="AA13" s="38">
        <f>'Cálculos iluminancia'!DU24</f>
        <v>12.871375773155972</v>
      </c>
      <c r="AB13" s="38">
        <f>'Cálculos iluminancia'!DV24</f>
        <v>97.778783184534774</v>
      </c>
      <c r="AC13" s="38">
        <f t="shared" si="3"/>
        <v>2.5779872604208141E-2</v>
      </c>
      <c r="AD13" s="38">
        <f>IF(AA13&lt;0,0,AC13*'Irradiancia Horizontal'!$E$7)</f>
        <v>146.60414724820367</v>
      </c>
      <c r="AE13">
        <f t="shared" si="4"/>
        <v>3.3572824422768058E-2</v>
      </c>
      <c r="AF13">
        <f>IF(AA13&lt;0,0,AE13*'Irradiancia Horizontal'!$E$39)</f>
        <v>53.863458056113238</v>
      </c>
      <c r="AJ13" s="39">
        <f>'Cálculos iluminancia'!FZ24</f>
        <v>0.29166666666666702</v>
      </c>
      <c r="AK13" s="38">
        <f>'Cálculos iluminancia'!GA24</f>
        <v>75</v>
      </c>
      <c r="AL13" s="38">
        <f>'Cálculos iluminancia'!GB24</f>
        <v>18.611242908560452</v>
      </c>
      <c r="AM13" s="38">
        <f>'Cálculos iluminancia'!GC24</f>
        <v>86.84353717995613</v>
      </c>
      <c r="AN13" s="38">
        <f t="shared" si="5"/>
        <v>3.3144502573855344E-2</v>
      </c>
      <c r="AO13" s="38">
        <f>IF(AL13&lt;0,0,AN13*'Irradiancia Horizontal'!$F$7)</f>
        <v>231.08808267667249</v>
      </c>
      <c r="AP13">
        <f t="shared" si="6"/>
        <v>4.1160243142553628E-2</v>
      </c>
      <c r="AQ13">
        <f>IF(AL13&lt;0,0,AP13*'Irradiancia Horizontal'!$F$39)</f>
        <v>67.763793731686334</v>
      </c>
      <c r="AU13" s="39">
        <f>'Cálculos iluminancia'!IG24</f>
        <v>0.29166666666666702</v>
      </c>
      <c r="AV13" s="38">
        <f>'Cálculos iluminancia'!IH24</f>
        <v>75</v>
      </c>
      <c r="AW13" s="38">
        <f>'Cálculos iluminancia'!II24</f>
        <v>22.314889941656379</v>
      </c>
      <c r="AX13" s="38">
        <f>'Cálculos iluminancia'!IJ24</f>
        <v>78.604772740992317</v>
      </c>
      <c r="AY13" s="38">
        <f t="shared" si="7"/>
        <v>3.7575963241997738E-2</v>
      </c>
      <c r="AZ13" s="38">
        <f>IF(AW13&lt;0,0,AY13*'Irradiancia Horizontal'!$G$7)</f>
        <v>327.02831185418489</v>
      </c>
      <c r="BA13">
        <f t="shared" si="8"/>
        <v>4.5164041493693699E-2</v>
      </c>
      <c r="BB13">
        <f>IF(AW13&lt;0,0,BA13*'Irradiancia Horizontal'!$G$39)</f>
        <v>45.300523297816028</v>
      </c>
      <c r="BF13" s="39">
        <f>'Cálculos iluminancia'!KN24</f>
        <v>0.29166666666666702</v>
      </c>
      <c r="BG13" s="38">
        <f>'Cálculos iluminancia'!KO24</f>
        <v>75</v>
      </c>
      <c r="BH13" s="38">
        <f>'Cálculos iluminancia'!KP24</f>
        <v>23.63600454935963</v>
      </c>
      <c r="BI13" s="38">
        <f>'Cálculos iluminancia'!KQ24</f>
        <v>75.306075969479892</v>
      </c>
      <c r="BJ13" s="38">
        <f t="shared" si="9"/>
        <v>3.9166887291977606E-2</v>
      </c>
      <c r="BK13" s="38">
        <f>IF(BH13&lt;0,0,BJ13*'Irradiancia Horizontal'!$H$7)</f>
        <v>351.82264356609522</v>
      </c>
      <c r="BL13">
        <f t="shared" si="10"/>
        <v>4.6483628617712235E-2</v>
      </c>
      <c r="BM13">
        <f>IF(BH13&lt;0,0,BL13*'Irradiancia Horizontal'!$H$39)</f>
        <v>45.557032043701405</v>
      </c>
    </row>
    <row r="14" spans="2:65" x14ac:dyDescent="0.25">
      <c r="C14" s="39">
        <f>'Cálculos iluminancia'!E25</f>
        <v>0.33333333333333298</v>
      </c>
      <c r="D14" s="38">
        <f>'Cálculos iluminancia'!F25</f>
        <v>60</v>
      </c>
      <c r="E14" s="38">
        <f>'Cálculos iluminancia'!G25</f>
        <v>14.059262104382505</v>
      </c>
      <c r="F14" s="38">
        <f>'Cálculos iluminancia'!H25</f>
        <v>123.05053955246156</v>
      </c>
      <c r="G14" s="38">
        <f t="shared" si="0"/>
        <v>4.5464737726583583E-2</v>
      </c>
      <c r="H14" s="38">
        <f>IF(E14&lt;0,0,G14*'Irradiancia Horizontal'!$C$7)</f>
        <v>187.58774564046217</v>
      </c>
      <c r="I14">
        <f t="shared" si="11"/>
        <v>5.5322323231323918E-2</v>
      </c>
      <c r="J14">
        <f>IF(E14&lt;0,0,I14*'Irradiancia Horizontal'!$C$39)</f>
        <v>51.704349577242716</v>
      </c>
      <c r="N14" s="39">
        <f>'Cálculos iluminancia'!BL25</f>
        <v>0.33333333333333298</v>
      </c>
      <c r="O14" s="38">
        <f>'Cálculos iluminancia'!BM25</f>
        <v>60</v>
      </c>
      <c r="P14" s="38">
        <f>'Cálculos iluminancia'!BN25</f>
        <v>19.510962189955375</v>
      </c>
      <c r="Q14" s="38">
        <f>'Cálculos iluminancia'!BO25</f>
        <v>115.68321173167392</v>
      </c>
      <c r="R14">
        <f t="shared" si="1"/>
        <v>5.1759960026521799E-2</v>
      </c>
      <c r="S14">
        <f>IF(P14&lt;0,0,R14*'Irradiancia Horizontal'!$D$7)</f>
        <v>250.79051484990561</v>
      </c>
      <c r="T14">
        <f t="shared" si="2"/>
        <v>6.1246754613977564E-2</v>
      </c>
      <c r="U14">
        <f>IF(P14&lt;0,0,T14*'Irradiancia Horizontal'!$D$39)</f>
        <v>76.917522247092933</v>
      </c>
      <c r="Y14" s="39">
        <f>'Cálculos iluminancia'!DS25</f>
        <v>0.33333333333333298</v>
      </c>
      <c r="Z14" s="38">
        <f>'Cálculos iluminancia'!DT25</f>
        <v>60</v>
      </c>
      <c r="AA14" s="38">
        <f>'Cálculos iluminancia'!DU25</f>
        <v>25.692175676161611</v>
      </c>
      <c r="AB14" s="38">
        <f>'Cálculos iluminancia'!DV25</f>
        <v>106.05155080847399</v>
      </c>
      <c r="AC14" s="38">
        <f t="shared" si="3"/>
        <v>5.6856388355122398E-2</v>
      </c>
      <c r="AD14" s="38">
        <f>IF(AA14&lt;0,0,AC14*'Irradiancia Horizontal'!$E$7)</f>
        <v>323.32907374626836</v>
      </c>
      <c r="AE14">
        <f t="shared" si="4"/>
        <v>6.5338596602607116E-2</v>
      </c>
      <c r="AF14">
        <f>IF(AA14&lt;0,0,AE14*'Irradiancia Horizontal'!$E$39)</f>
        <v>104.82772355498061</v>
      </c>
      <c r="AJ14" s="39">
        <f>'Cálculos iluminancia'!FZ25</f>
        <v>0.33333333333333298</v>
      </c>
      <c r="AK14" s="38">
        <f>'Cálculos iluminancia'!GA25</f>
        <v>60</v>
      </c>
      <c r="AL14" s="38">
        <f>'Cálculos iluminancia'!GB25</f>
        <v>31.710922299799869</v>
      </c>
      <c r="AM14" s="38">
        <f>'Cálculos iluminancia'!GC25</f>
        <v>94.223487161165693</v>
      </c>
      <c r="AN14" s="38">
        <f t="shared" si="5"/>
        <v>6.075408508374653E-2</v>
      </c>
      <c r="AO14" s="38">
        <f>IF(AL14&lt;0,0,AN14*'Irradiancia Horizontal'!$F$7)</f>
        <v>423.58593270465673</v>
      </c>
      <c r="AP14">
        <f t="shared" si="6"/>
        <v>6.779112113172335E-2</v>
      </c>
      <c r="AQ14">
        <f>IF(AL14&lt;0,0,AP14*'Irradiancia Horizontal'!$F$39)</f>
        <v>111.6072986571007</v>
      </c>
      <c r="AU14" s="39">
        <f>'Cálculos iluminancia'!IG25</f>
        <v>0.33333333333333298</v>
      </c>
      <c r="AV14" s="38">
        <f>'Cálculos iluminancia'!IH25</f>
        <v>60</v>
      </c>
      <c r="AW14" s="38">
        <f>'Cálculos iluminancia'!II25</f>
        <v>35.281146205343326</v>
      </c>
      <c r="AX14" s="38">
        <f>'Cálculos iluminancia'!IJ25</f>
        <v>84.888900516560128</v>
      </c>
      <c r="AY14" s="38">
        <f t="shared" si="7"/>
        <v>6.284956185563792E-2</v>
      </c>
      <c r="AZ14" s="38">
        <f>IF(AW14&lt;0,0,AY14*'Irradiancia Horizontal'!$G$7)</f>
        <v>546.98760433776988</v>
      </c>
      <c r="BA14">
        <f t="shared" si="8"/>
        <v>6.8702895614564705E-2</v>
      </c>
      <c r="BB14">
        <f>IF(AW14&lt;0,0,BA14*'Irradiancia Horizontal'!$G$39)</f>
        <v>68.910509787959995</v>
      </c>
      <c r="BF14" s="39">
        <f>'Cálculos iluminancia'!KN25</f>
        <v>0.33333333333333298</v>
      </c>
      <c r="BG14" s="38">
        <f>'Cálculos iluminancia'!KO25</f>
        <v>60</v>
      </c>
      <c r="BH14" s="38">
        <f>'Cálculos iluminancia'!KP25</f>
        <v>36.462362723804389</v>
      </c>
      <c r="BI14" s="38">
        <f>'Cálculos iluminancia'!KQ25</f>
        <v>81.070349439875727</v>
      </c>
      <c r="BJ14" s="38">
        <f t="shared" si="9"/>
        <v>6.3541411057159686E-2</v>
      </c>
      <c r="BK14" s="38">
        <f>IF(BH14&lt;0,0,BJ14*'Irradiancia Horizontal'!$H$7)</f>
        <v>570.77058606668447</v>
      </c>
      <c r="BL14">
        <f t="shared" si="10"/>
        <v>6.8903121811140083E-2</v>
      </c>
      <c r="BM14">
        <f>IF(BH14&lt;0,0,BL14*'Irradiancia Horizontal'!$H$39)</f>
        <v>67.529618956319382</v>
      </c>
    </row>
    <row r="15" spans="2:65" x14ac:dyDescent="0.25">
      <c r="C15" s="39">
        <f>'Cálculos iluminancia'!E26</f>
        <v>0.375</v>
      </c>
      <c r="D15" s="38">
        <f>'Cálculos iluminancia'!F26</f>
        <v>45</v>
      </c>
      <c r="E15" s="38">
        <f>'Cálculos iluminancia'!G26</f>
        <v>24.384588412739522</v>
      </c>
      <c r="F15" s="38">
        <f>'Cálculos iluminancia'!H26</f>
        <v>133.20572092919525</v>
      </c>
      <c r="G15" s="38">
        <f t="shared" si="0"/>
        <v>8.7233900251722923E-2</v>
      </c>
      <c r="H15" s="38">
        <f>IF(E15&lt;0,0,G15*'Irradiancia Horizontal'!$C$7)</f>
        <v>359.92752867190706</v>
      </c>
      <c r="I15">
        <f t="shared" si="11"/>
        <v>9.4022065841798258E-2</v>
      </c>
      <c r="J15">
        <f>IF(E15&lt;0,0,I15*'Irradiancia Horizontal'!$C$39)</f>
        <v>87.873203370937532</v>
      </c>
      <c r="N15" s="39">
        <f>'Cálculos iluminancia'!BL26</f>
        <v>0.375</v>
      </c>
      <c r="O15" s="38">
        <f>'Cálculos iluminancia'!BM26</f>
        <v>45</v>
      </c>
      <c r="P15" s="38">
        <f>'Cálculos iluminancia'!BN26</f>
        <v>30.765345417017471</v>
      </c>
      <c r="Q15" s="38">
        <f>'Cálculos iluminancia'!BO26</f>
        <v>126.17960888604199</v>
      </c>
      <c r="R15">
        <f t="shared" si="1"/>
        <v>8.8396377186448591E-2</v>
      </c>
      <c r="S15">
        <f>IF(P15&lt;0,0,R15*'Irradiancia Horizontal'!$D$7)</f>
        <v>428.30351750844693</v>
      </c>
      <c r="T15">
        <f t="shared" si="2"/>
        <v>9.3803408999356644E-2</v>
      </c>
      <c r="U15">
        <f>IF(P15&lt;0,0,T15*'Irradiancia Horizontal'!$D$39)</f>
        <v>117.80421418304108</v>
      </c>
      <c r="Y15" s="39">
        <f>'Cálculos iluminancia'!DS26</f>
        <v>0.375</v>
      </c>
      <c r="Z15" s="38">
        <f>'Cálculos iluminancia'!DT26</f>
        <v>45</v>
      </c>
      <c r="AA15" s="38">
        <f>'Cálculos iluminancia'!DU26</f>
        <v>37.917838062207871</v>
      </c>
      <c r="AB15" s="38">
        <f>'Cálculos iluminancia'!DV26</f>
        <v>116.32334178613942</v>
      </c>
      <c r="AC15" s="38">
        <f t="shared" si="3"/>
        <v>8.8729285365941754E-2</v>
      </c>
      <c r="AD15" s="38">
        <f>IF(AA15&lt;0,0,AC15*'Irradiancia Horizontal'!$E$7)</f>
        <v>504.58283548278877</v>
      </c>
      <c r="AE15">
        <f t="shared" si="4"/>
        <v>9.261648357700851E-2</v>
      </c>
      <c r="AF15">
        <f>IF(AA15&lt;0,0,AE15*'Irradiancia Horizontal'!$E$39)</f>
        <v>148.59173049115739</v>
      </c>
      <c r="AJ15" s="39">
        <f>'Cálculos iluminancia'!FZ26</f>
        <v>0.375</v>
      </c>
      <c r="AK15" s="38">
        <f>'Cálculos iluminancia'!GA26</f>
        <v>45</v>
      </c>
      <c r="AL15" s="38">
        <f>'Cálculos iluminancia'!GB26</f>
        <v>44.664130151519252</v>
      </c>
      <c r="AM15" s="38">
        <f>'Cálculos iluminancia'!GC26</f>
        <v>103.10500710121094</v>
      </c>
      <c r="AN15" s="38">
        <f t="shared" si="5"/>
        <v>8.8328472309344513E-2</v>
      </c>
      <c r="AO15" s="38">
        <f>IF(AL15&lt;0,0,AN15*'Irradiancia Horizontal'!$F$7)</f>
        <v>615.83839631453282</v>
      </c>
      <c r="AP15">
        <f t="shared" si="6"/>
        <v>9.0659574500494139E-2</v>
      </c>
      <c r="AQ15">
        <f>IF(AL15&lt;0,0,AP15*'Irradiancia Horizontal'!$F$39)</f>
        <v>149.25656986468397</v>
      </c>
      <c r="AU15" s="39">
        <f>'Cálculos iluminancia'!IG26</f>
        <v>0.375</v>
      </c>
      <c r="AV15" s="38">
        <f>'Cálculos iluminancia'!IH26</f>
        <v>45</v>
      </c>
      <c r="AW15" s="38">
        <f>'Cálculos iluminancia'!II26</f>
        <v>48.376276838475924</v>
      </c>
      <c r="AX15" s="38">
        <f>'Cálculos iluminancia'!IJ26</f>
        <v>91.879215872253667</v>
      </c>
      <c r="AY15" s="38">
        <f t="shared" si="7"/>
        <v>8.7663871081251038E-2</v>
      </c>
      <c r="AZ15" s="38">
        <f>IF(AW15&lt;0,0,AY15*'Irradiancia Horizontal'!$G$7)</f>
        <v>762.9496437835096</v>
      </c>
      <c r="BA15">
        <f t="shared" si="8"/>
        <v>8.8916167893321421E-2</v>
      </c>
      <c r="BB15">
        <f>IF(AW15&lt;0,0,BA15*'Irradiancia Horizontal'!$G$39)</f>
        <v>89.184864816988423</v>
      </c>
      <c r="BF15" s="39">
        <f>'Cálculos iluminancia'!KN26</f>
        <v>0.375</v>
      </c>
      <c r="BG15" s="38">
        <f>'Cálculos iluminancia'!KO26</f>
        <v>45</v>
      </c>
      <c r="BH15" s="38">
        <f>'Cálculos iluminancia'!KP26</f>
        <v>49.494624805188728</v>
      </c>
      <c r="BI15" s="38">
        <f>'Cálculos iluminancia'!KQ26</f>
        <v>87.132774729162193</v>
      </c>
      <c r="BJ15" s="38">
        <f t="shared" si="9"/>
        <v>8.7320332808315387E-2</v>
      </c>
      <c r="BK15" s="38">
        <f>IF(BH15&lt;0,0,BJ15*'Irradiancia Horizontal'!$H$7)</f>
        <v>784.36844104242277</v>
      </c>
      <c r="BL15">
        <f t="shared" si="10"/>
        <v>8.8155177070222565E-2</v>
      </c>
      <c r="BM15">
        <f>IF(BH15&lt;0,0,BL15*'Irradiancia Horizontal'!$H$39)</f>
        <v>86.397907091874515</v>
      </c>
    </row>
    <row r="16" spans="2:65" x14ac:dyDescent="0.25">
      <c r="C16" s="39">
        <f>'Cálculos iluminancia'!E27</f>
        <v>0.41666666666666602</v>
      </c>
      <c r="D16" s="38">
        <f>'Cálculos iluminancia'!F27</f>
        <v>30</v>
      </c>
      <c r="E16" s="38">
        <f>'Cálculos iluminancia'!G27</f>
        <v>32.905461024397972</v>
      </c>
      <c r="F16" s="38">
        <f>'Cálculos iluminancia'!H27</f>
        <v>146.00391008327136</v>
      </c>
      <c r="G16" s="38">
        <f t="shared" si="0"/>
        <v>0.12484685323365104</v>
      </c>
      <c r="H16" s="38">
        <f>IF(E16&lt;0,0,G16*'Irradiancia Horizontal'!$C$7)</f>
        <v>515.11876939108652</v>
      </c>
      <c r="I16">
        <f t="shared" si="11"/>
        <v>0.12371742277465454</v>
      </c>
      <c r="J16">
        <f>IF(E16&lt;0,0,I16*'Irradiancia Horizontal'!$C$39)</f>
        <v>115.62654101110475</v>
      </c>
      <c r="N16" s="39">
        <f>'Cálculos iluminancia'!BL27</f>
        <v>0.41666666666666602</v>
      </c>
      <c r="O16" s="38">
        <f>'Cálculos iluminancia'!BM27</f>
        <v>30</v>
      </c>
      <c r="P16" s="38">
        <f>'Cálculos iluminancia'!BN27</f>
        <v>40.372283263057838</v>
      </c>
      <c r="Q16" s="38">
        <f>'Cálculos iluminancia'!BO27</f>
        <v>139.92887778576829</v>
      </c>
      <c r="R16">
        <f t="shared" si="1"/>
        <v>0.12080224960426032</v>
      </c>
      <c r="S16">
        <f>IF(P16&lt;0,0,R16*'Irradiancia Horizontal'!$D$7)</f>
        <v>585.31842678695182</v>
      </c>
      <c r="T16">
        <f t="shared" si="2"/>
        <v>0.11878500854756159</v>
      </c>
      <c r="U16">
        <f>IF(P16&lt;0,0,T16*'Irradiancia Horizontal'!$D$39)</f>
        <v>149.17767635467581</v>
      </c>
      <c r="Y16" s="39">
        <f>'Cálculos iluminancia'!DS27</f>
        <v>0.41666666666666602</v>
      </c>
      <c r="Z16" s="38">
        <f>'Cálculos iluminancia'!DT27</f>
        <v>30</v>
      </c>
      <c r="AA16" s="38">
        <f>'Cálculos iluminancia'!DU27</f>
        <v>48.886897226423812</v>
      </c>
      <c r="AB16" s="38">
        <f>'Cálculos iluminancia'!DV27</f>
        <v>130.50207880604776</v>
      </c>
      <c r="AC16" s="38">
        <f t="shared" si="3"/>
        <v>0.11643590775084701</v>
      </c>
      <c r="AD16" s="38">
        <f>IF(AA16&lt;0,0,AC16*'Irradiancia Horizontal'!$E$7)</f>
        <v>662.14396118067089</v>
      </c>
      <c r="AE16">
        <f t="shared" si="4"/>
        <v>0.11354754242750646</v>
      </c>
      <c r="AF16">
        <f>IF(AA16&lt;0,0,AE16*'Irradiancia Horizontal'!$E$39)</f>
        <v>182.1730341153843</v>
      </c>
      <c r="AJ16" s="39">
        <f>'Cálculos iluminancia'!FZ27</f>
        <v>0.41666666666666602</v>
      </c>
      <c r="AK16" s="38">
        <f>'Cálculos iluminancia'!GA27</f>
        <v>30</v>
      </c>
      <c r="AL16" s="38">
        <f>'Cálculos iluminancia'!GB27</f>
        <v>57.035590824811003</v>
      </c>
      <c r="AM16" s="38">
        <f>'Cálculos iluminancia'!GC27</f>
        <v>115.81336219038403</v>
      </c>
      <c r="AN16" s="38">
        <f t="shared" si="5"/>
        <v>0.11190885710340166</v>
      </c>
      <c r="AO16" s="38">
        <f>IF(AL16&lt;0,0,AN16*'Irradiancia Horizontal'!$F$7)</f>
        <v>780.24411936602792</v>
      </c>
      <c r="AP16">
        <f t="shared" si="6"/>
        <v>0.10820715594369032</v>
      </c>
      <c r="AQ16">
        <f>IF(AL16&lt;0,0,AP16*'Irradiancia Horizontal'!$F$39)</f>
        <v>178.14587174000181</v>
      </c>
      <c r="AU16" s="39">
        <f>'Cálculos iluminancia'!IG27</f>
        <v>0.41666666666666602</v>
      </c>
      <c r="AV16" s="38">
        <f>'Cálculos iluminancia'!IH27</f>
        <v>30</v>
      </c>
      <c r="AW16" s="38">
        <f>'Cálculos iluminancia'!II27</f>
        <v>61.392241505320605</v>
      </c>
      <c r="AX16" s="38">
        <f>'Cálculos iluminancia'!IJ27</f>
        <v>101.35836541579947</v>
      </c>
      <c r="AY16" s="38">
        <f t="shared" si="7"/>
        <v>0.10865390040360517</v>
      </c>
      <c r="AZ16" s="38">
        <f>IF(AW16&lt;0,0,AY16*'Irradiancia Horizontal'!$G$7)</f>
        <v>945.62849650782823</v>
      </c>
      <c r="BA16">
        <f t="shared" si="8"/>
        <v>0.10442635722817842</v>
      </c>
      <c r="BB16">
        <f>IF(AW16&lt;0,0,BA16*'Irradiancia Horizontal'!$G$39)</f>
        <v>104.74192459462888</v>
      </c>
      <c r="BF16" s="39">
        <f>'Cálculos iluminancia'!KN27</f>
        <v>0.41666666666666602</v>
      </c>
      <c r="BG16" s="38">
        <f>'Cálculos iluminancia'!KO27</f>
        <v>30</v>
      </c>
      <c r="BH16" s="38">
        <f>'Cálculos iluminancia'!KP27</f>
        <v>62.593106094089499</v>
      </c>
      <c r="BI16" s="38">
        <f>'Cálculos iluminancia'!KQ27</f>
        <v>94.781580028246267</v>
      </c>
      <c r="BJ16" s="38">
        <f t="shared" si="9"/>
        <v>0.10735089714698827</v>
      </c>
      <c r="BK16" s="38">
        <f>IF(BH16&lt;0,0,BJ16*'Irradiancia Horizontal'!$H$7)</f>
        <v>964.29609383795389</v>
      </c>
      <c r="BL16">
        <f t="shared" si="10"/>
        <v>0.10292779864457884</v>
      </c>
      <c r="BM16">
        <f>IF(BH16&lt;0,0,BL16*'Irradiancia Horizontal'!$H$39)</f>
        <v>100.87605379524919</v>
      </c>
    </row>
    <row r="17" spans="3:65" x14ac:dyDescent="0.25">
      <c r="C17" s="39">
        <f>'Cálculos iluminancia'!E28</f>
        <v>0.45833333333333298</v>
      </c>
      <c r="D17" s="38">
        <f>'Cálculos iluminancia'!F28</f>
        <v>15</v>
      </c>
      <c r="E17" s="38">
        <f>'Cálculos iluminancia'!G28</f>
        <v>38.698645677170404</v>
      </c>
      <c r="F17" s="38">
        <f>'Cálculos iluminancia'!H28</f>
        <v>161.85902247462414</v>
      </c>
      <c r="G17" s="38">
        <f t="shared" si="0"/>
        <v>0.15096384016335143</v>
      </c>
      <c r="H17" s="38">
        <f>IF(E17&lt;0,0,G17*'Irradiancia Horizontal'!$C$7)</f>
        <v>622.87759405487202</v>
      </c>
      <c r="I17">
        <f t="shared" si="11"/>
        <v>0.14238470452881627</v>
      </c>
      <c r="J17">
        <f>IF(E17&lt;0,0,I17*'Irradiancia Horizontal'!$C$39)</f>
        <v>133.073018402126</v>
      </c>
      <c r="N17" s="39">
        <f>'Cálculos iluminancia'!BL28</f>
        <v>0.45833333333333298</v>
      </c>
      <c r="O17" s="38">
        <f>'Cálculos iluminancia'!BM28</f>
        <v>15</v>
      </c>
      <c r="P17" s="38">
        <f>'Cálculos iluminancia'!BN28</f>
        <v>47.171183666421868</v>
      </c>
      <c r="Q17" s="38">
        <f>'Cálculos iluminancia'!BO28</f>
        <v>158.07221451643386</v>
      </c>
      <c r="R17">
        <f t="shared" si="1"/>
        <v>0.14308203464989153</v>
      </c>
      <c r="S17">
        <f>IF(P17&lt;0,0,R17*'Irradiancia Horizontal'!$D$7)</f>
        <v>693.26980000045535</v>
      </c>
      <c r="T17">
        <f t="shared" si="2"/>
        <v>0.13448909853342744</v>
      </c>
      <c r="U17">
        <f>IF(P17&lt;0,0,T17*'Irradiancia Horizontal'!$D$39)</f>
        <v>168.8998591620979</v>
      </c>
      <c r="Y17" s="39">
        <f>'Cálculos iluminancia'!DS28</f>
        <v>0.45833333333333298</v>
      </c>
      <c r="Z17" s="38">
        <f>'Cálculos iluminancia'!DT28</f>
        <v>15</v>
      </c>
      <c r="AA17" s="38">
        <f>'Cálculos iluminancia'!DU28</f>
        <v>57.216020869058788</v>
      </c>
      <c r="AB17" s="38">
        <f>'Cálculos iluminancia'!DV28</f>
        <v>151.44653063273847</v>
      </c>
      <c r="AC17" s="38">
        <f t="shared" si="3"/>
        <v>0.13529752435468062</v>
      </c>
      <c r="AD17" s="38">
        <f>IF(AA17&lt;0,0,AC17*'Irradiancia Horizontal'!$E$7)</f>
        <v>769.40559355492144</v>
      </c>
      <c r="AE17">
        <f t="shared" si="4"/>
        <v>0.12670535608364975</v>
      </c>
      <c r="AF17">
        <f>IF(AA17&lt;0,0,AE17*'Irradiancia Horizontal'!$E$39)</f>
        <v>203.28312408139834</v>
      </c>
      <c r="AJ17" s="39">
        <f>'Cálculos iluminancia'!FZ28</f>
        <v>0.45833333333333298</v>
      </c>
      <c r="AK17" s="38">
        <f>'Cálculos iluminancia'!GA28</f>
        <v>15</v>
      </c>
      <c r="AL17" s="38">
        <f>'Cálculos iluminancia'!GB28</f>
        <v>67.598954830624706</v>
      </c>
      <c r="AM17" s="38">
        <f>'Cálculos iluminancia'!GC28</f>
        <v>138.29175263373307</v>
      </c>
      <c r="AN17" s="38">
        <f t="shared" si="5"/>
        <v>0.12780861698397875</v>
      </c>
      <c r="AO17" s="38">
        <f>IF(AL17&lt;0,0,AN17*'Irradiancia Horizontal'!$F$7)</f>
        <v>891.09945706900839</v>
      </c>
      <c r="AP17">
        <f t="shared" si="6"/>
        <v>0.11923802678470755</v>
      </c>
      <c r="AQ17">
        <f>IF(AL17&lt;0,0,AP17*'Irradiancia Horizontal'!$F$39)</f>
        <v>196.30644610208</v>
      </c>
      <c r="AU17" s="39">
        <f>'Cálculos iluminancia'!IG28</f>
        <v>0.45833333333333298</v>
      </c>
      <c r="AV17" s="38">
        <f>'Cálculos iluminancia'!IH28</f>
        <v>15</v>
      </c>
      <c r="AW17" s="38">
        <f>'Cálculos iluminancia'!II28</f>
        <v>73.716868534260627</v>
      </c>
      <c r="AX17" s="38">
        <f>'Cálculos iluminancia'!IJ28</f>
        <v>119.92772911026881</v>
      </c>
      <c r="AY17" s="38">
        <f t="shared" si="7"/>
        <v>0.12271527766295416</v>
      </c>
      <c r="AZ17" s="38">
        <f>IF(AW17&lt;0,0,AY17*'Irradiancia Horizontal'!$G$7)</f>
        <v>1068.0064229991478</v>
      </c>
      <c r="BA17">
        <f t="shared" si="8"/>
        <v>0.11417646984776499</v>
      </c>
      <c r="BB17">
        <f>IF(AW17&lt;0,0,BA17*'Irradiancia Horizontal'!$G$39)</f>
        <v>114.52150120629204</v>
      </c>
      <c r="BF17" s="39">
        <f>'Cálculos iluminancia'!KN28</f>
        <v>0.45833333333333298</v>
      </c>
      <c r="BG17" s="38">
        <f>'Cálculos iluminancia'!KO28</f>
        <v>15</v>
      </c>
      <c r="BH17" s="38">
        <f>'Cálculos iluminancia'!KP28</f>
        <v>75.433504705998018</v>
      </c>
      <c r="BI17" s="38">
        <f>'Cálculos iluminancia'!KQ28</f>
        <v>109.24906860936896</v>
      </c>
      <c r="BJ17" s="38">
        <f t="shared" si="9"/>
        <v>0.12073579303792904</v>
      </c>
      <c r="BK17" s="38">
        <f>IF(BH17&lt;0,0,BJ17*'Irradiancia Horizontal'!$H$7)</f>
        <v>1084.5279984338622</v>
      </c>
      <c r="BL17">
        <f t="shared" si="10"/>
        <v>0.11221425678682792</v>
      </c>
      <c r="BM17">
        <f>IF(BH17&lt;0,0,BL17*'Irradiancia Horizontal'!$H$39)</f>
        <v>109.97739729487711</v>
      </c>
    </row>
    <row r="18" spans="3:65" x14ac:dyDescent="0.25">
      <c r="C18" s="39">
        <f>'Cálculos iluminancia'!E29</f>
        <v>0.5</v>
      </c>
      <c r="D18" s="38">
        <f>'Cálculos iluminancia'!F29</f>
        <v>0</v>
      </c>
      <c r="E18" s="38">
        <f>'Cálculos iluminancia'!G29</f>
        <v>40.781985178432421</v>
      </c>
      <c r="F18" s="38">
        <f>'Cálculos iluminancia'!H29</f>
        <v>180</v>
      </c>
      <c r="G18" s="38">
        <f t="shared" si="0"/>
        <v>0.16030839384513926</v>
      </c>
      <c r="H18" s="38">
        <f>IF(E18&lt;0,0,G18*'Irradiancia Horizontal'!$C$7)</f>
        <v>661.4332714179443</v>
      </c>
      <c r="I18">
        <f t="shared" si="11"/>
        <v>0.14875176670187898</v>
      </c>
      <c r="J18">
        <f>IF(E18&lt;0,0,I18*'Irradiancia Horizontal'!$C$39)</f>
        <v>139.02368694147026</v>
      </c>
      <c r="N18" s="39">
        <f>'Cálculos iluminancia'!BL29</f>
        <v>0.5</v>
      </c>
      <c r="O18" s="38">
        <f>'Cálculos iluminancia'!BM29</f>
        <v>0</v>
      </c>
      <c r="P18" s="38">
        <f>'Cálculos iluminancia'!BN29</f>
        <v>49.693691449284771</v>
      </c>
      <c r="Q18" s="38">
        <f>'Cálculos iluminancia'!BO29</f>
        <v>180</v>
      </c>
      <c r="R18">
        <f t="shared" si="1"/>
        <v>0.15101823092123659</v>
      </c>
      <c r="S18">
        <f>IF(P18&lt;0,0,R18*'Irradiancia Horizontal'!$D$7)</f>
        <v>731.72274215536982</v>
      </c>
      <c r="T18">
        <f t="shared" si="2"/>
        <v>0.13984547117665325</v>
      </c>
      <c r="U18">
        <f>IF(P18&lt;0,0,T18*'Irradiancia Horizontal'!$D$39)</f>
        <v>175.6267284394296</v>
      </c>
      <c r="Y18" s="39">
        <f>'Cálculos iluminancia'!DS29</f>
        <v>0.5</v>
      </c>
      <c r="Z18" s="38">
        <f>'Cálculos iluminancia'!DT29</f>
        <v>0</v>
      </c>
      <c r="AA18" s="38">
        <f>'Cálculos iluminancia'!DU29</f>
        <v>60.51634679814569</v>
      </c>
      <c r="AB18" s="38">
        <f>'Cálculos iluminancia'!DV29</f>
        <v>180</v>
      </c>
      <c r="AC18" s="38">
        <f t="shared" si="3"/>
        <v>0.14198590769512442</v>
      </c>
      <c r="AD18" s="38">
        <f>IF(AA18&lt;0,0,AC18*'Irradiancia Horizontal'!$E$7)</f>
        <v>807.44087600758951</v>
      </c>
      <c r="AE18">
        <f t="shared" si="4"/>
        <v>0.13119324128908738</v>
      </c>
      <c r="AF18">
        <f>IF(AA18&lt;0,0,AE18*'Irradiancia Horizontal'!$E$39)</f>
        <v>210.48338264408886</v>
      </c>
      <c r="AJ18" s="39">
        <f>'Cálculos iluminancia'!FZ29</f>
        <v>0.5</v>
      </c>
      <c r="AK18" s="38">
        <f>'Cálculos iluminancia'!GA29</f>
        <v>0</v>
      </c>
      <c r="AL18" s="38">
        <f>'Cálculos iluminancia'!GB29</f>
        <v>72.499036651251458</v>
      </c>
      <c r="AM18" s="38">
        <f>'Cálculos iluminancia'!GC29</f>
        <v>180</v>
      </c>
      <c r="AN18" s="38">
        <f t="shared" si="5"/>
        <v>0.13342179410652175</v>
      </c>
      <c r="AO18" s="38">
        <f>IF(AL18&lt;0,0,AN18*'Irradiancia Horizontal'!$F$7)</f>
        <v>930.23530881644763</v>
      </c>
      <c r="AP18">
        <f t="shared" si="6"/>
        <v>0.12300045140510647</v>
      </c>
      <c r="AQ18">
        <f>IF(AL18&lt;0,0,AP18*'Irradiancia Horizontal'!$F$39)</f>
        <v>202.50067981991108</v>
      </c>
      <c r="AU18" s="39">
        <f>'Cálculos iluminancia'!IG29</f>
        <v>0.5</v>
      </c>
      <c r="AV18" s="38">
        <f>'Cálculos iluminancia'!IH29</f>
        <v>0</v>
      </c>
      <c r="AW18" s="38">
        <f>'Cálculos iluminancia'!II29</f>
        <v>81.058014821567568</v>
      </c>
      <c r="AX18" s="38">
        <f>'Cálculos iluminancia'!IJ29</f>
        <v>180</v>
      </c>
      <c r="AY18" s="38">
        <f t="shared" si="7"/>
        <v>0.12766433678042685</v>
      </c>
      <c r="AZ18" s="38">
        <f>IF(AW18&lt;0,0,AY18*'Irradiancia Horizontal'!$G$7)</f>
        <v>1111.0787040217328</v>
      </c>
      <c r="BA18">
        <f t="shared" si="8"/>
        <v>0.11750205168987926</v>
      </c>
      <c r="BB18">
        <f>IF(AW18&lt;0,0,BA18*'Irradiancia Horizontal'!$G$39)</f>
        <v>117.85713266740757</v>
      </c>
      <c r="BF18" s="39">
        <f>'Cálculos iluminancia'!KN29</f>
        <v>0.5</v>
      </c>
      <c r="BG18" s="38">
        <f>'Cálculos iluminancia'!KO29</f>
        <v>0</v>
      </c>
      <c r="BH18" s="38">
        <f>'Cálculos iluminancia'!KP29</f>
        <v>84.369782846813621</v>
      </c>
      <c r="BI18" s="38">
        <f>'Cálculos iluminancia'!KQ29</f>
        <v>180</v>
      </c>
      <c r="BJ18" s="38">
        <f t="shared" si="9"/>
        <v>0.1254411689132576</v>
      </c>
      <c r="BK18" s="38">
        <f>IF(BH18&lt;0,0,BJ18*'Irradiancia Horizontal'!$H$7)</f>
        <v>1126.7947674801046</v>
      </c>
      <c r="BL18">
        <f t="shared" si="10"/>
        <v>0.11538169472117328</v>
      </c>
      <c r="BM18">
        <f>IF(BH18&lt;0,0,BL18*'Irradiancia Horizontal'!$H$39)</f>
        <v>113.08169607193994</v>
      </c>
    </row>
    <row r="19" spans="3:65" x14ac:dyDescent="0.25">
      <c r="C19" s="39">
        <f>'Cálculos iluminancia'!E30</f>
        <v>0.54166666666666596</v>
      </c>
      <c r="D19" s="38">
        <f>'Cálculos iluminancia'!F30</f>
        <v>-15</v>
      </c>
      <c r="E19" s="38">
        <f>'Cálculos iluminancia'!G30</f>
        <v>38.698645677170404</v>
      </c>
      <c r="F19" s="38">
        <f>'Cálculos iluminancia'!H30</f>
        <v>-161.85902247462414</v>
      </c>
      <c r="G19" s="38">
        <f t="shared" si="0"/>
        <v>0.15096384016335143</v>
      </c>
      <c r="H19" s="38">
        <f>IF(E19&lt;0,0,G19*'Irradiancia Horizontal'!$C$7)</f>
        <v>622.87759405487202</v>
      </c>
      <c r="I19">
        <f t="shared" si="11"/>
        <v>0.14238470452881627</v>
      </c>
      <c r="J19">
        <f>IF(E19&lt;0,0,I19*'Irradiancia Horizontal'!$C$39)</f>
        <v>133.073018402126</v>
      </c>
      <c r="N19" s="39">
        <f>'Cálculos iluminancia'!BL30</f>
        <v>0.54166666666666596</v>
      </c>
      <c r="O19" s="38">
        <f>'Cálculos iluminancia'!BM30</f>
        <v>-15</v>
      </c>
      <c r="P19" s="38">
        <f>'Cálculos iluminancia'!BN30</f>
        <v>47.171183666421868</v>
      </c>
      <c r="Q19" s="38">
        <f>'Cálculos iluminancia'!BO30</f>
        <v>-158.07221451643386</v>
      </c>
      <c r="R19">
        <f t="shared" si="1"/>
        <v>0.14308203464989153</v>
      </c>
      <c r="S19">
        <f>IF(P19&lt;0,0,R19*'Irradiancia Horizontal'!$D$7)</f>
        <v>693.26980000045535</v>
      </c>
      <c r="T19">
        <f t="shared" si="2"/>
        <v>0.13448909853342744</v>
      </c>
      <c r="U19">
        <f>IF(P19&lt;0,0,T19*'Irradiancia Horizontal'!$D$39)</f>
        <v>168.8998591620979</v>
      </c>
      <c r="Y19" s="39">
        <f>'Cálculos iluminancia'!DS30</f>
        <v>0.54166666666666596</v>
      </c>
      <c r="Z19" s="38">
        <f>'Cálculos iluminancia'!DT30</f>
        <v>-15</v>
      </c>
      <c r="AA19" s="38">
        <f>'Cálculos iluminancia'!DU30</f>
        <v>57.216020869058788</v>
      </c>
      <c r="AB19" s="38">
        <f>'Cálculos iluminancia'!DV30</f>
        <v>-151.44653063273847</v>
      </c>
      <c r="AC19" s="38">
        <f t="shared" si="3"/>
        <v>0.13529752435468062</v>
      </c>
      <c r="AD19" s="38">
        <f>IF(AA19&lt;0,0,AC19*'Irradiancia Horizontal'!$E$7)</f>
        <v>769.40559355492144</v>
      </c>
      <c r="AE19">
        <f t="shared" si="4"/>
        <v>0.12670535608364975</v>
      </c>
      <c r="AF19">
        <f>IF(AA19&lt;0,0,AE19*'Irradiancia Horizontal'!$E$39)</f>
        <v>203.28312408139834</v>
      </c>
      <c r="AJ19" s="39">
        <f>'Cálculos iluminancia'!FZ30</f>
        <v>0.54166666666666596</v>
      </c>
      <c r="AK19" s="38">
        <f>'Cálculos iluminancia'!GA30</f>
        <v>-15</v>
      </c>
      <c r="AL19" s="38">
        <f>'Cálculos iluminancia'!GB30</f>
        <v>67.598954830624706</v>
      </c>
      <c r="AM19" s="38">
        <f>'Cálculos iluminancia'!GC30</f>
        <v>-138.29175263373307</v>
      </c>
      <c r="AN19" s="38">
        <f t="shared" si="5"/>
        <v>0.12780861698397875</v>
      </c>
      <c r="AO19" s="38">
        <f>IF(AL19&lt;0,0,AN19*'Irradiancia Horizontal'!$F$7)</f>
        <v>891.09945706900839</v>
      </c>
      <c r="AP19">
        <f t="shared" si="6"/>
        <v>0.11923802678470755</v>
      </c>
      <c r="AQ19">
        <f>IF(AL19&lt;0,0,AP19*'Irradiancia Horizontal'!$F$39)</f>
        <v>196.30644610208</v>
      </c>
      <c r="AU19" s="39">
        <f>'Cálculos iluminancia'!IG30</f>
        <v>0.54166666666666596</v>
      </c>
      <c r="AV19" s="38">
        <f>'Cálculos iluminancia'!IH30</f>
        <v>-15</v>
      </c>
      <c r="AW19" s="38">
        <f>'Cálculos iluminancia'!II30</f>
        <v>73.716868534260627</v>
      </c>
      <c r="AX19" s="38">
        <f>'Cálculos iluminancia'!IJ30</f>
        <v>-119.92772911026881</v>
      </c>
      <c r="AY19" s="38">
        <f t="shared" si="7"/>
        <v>0.12271527766295416</v>
      </c>
      <c r="AZ19" s="38">
        <f>IF(AW19&lt;0,0,AY19*'Irradiancia Horizontal'!$G$7)</f>
        <v>1068.0064229991478</v>
      </c>
      <c r="BA19">
        <f t="shared" si="8"/>
        <v>0.11417646984776499</v>
      </c>
      <c r="BB19">
        <f>IF(AW19&lt;0,0,BA19*'Irradiancia Horizontal'!$G$39)</f>
        <v>114.52150120629204</v>
      </c>
      <c r="BF19" s="39">
        <f>'Cálculos iluminancia'!KN30</f>
        <v>0.54166666666666596</v>
      </c>
      <c r="BG19" s="38">
        <f>'Cálculos iluminancia'!KO30</f>
        <v>-15</v>
      </c>
      <c r="BH19" s="38">
        <f>'Cálculos iluminancia'!KP30</f>
        <v>75.433504705998018</v>
      </c>
      <c r="BI19" s="38">
        <f>'Cálculos iluminancia'!KQ30</f>
        <v>-109.24906860936896</v>
      </c>
      <c r="BJ19" s="38">
        <f t="shared" si="9"/>
        <v>0.12073579303792904</v>
      </c>
      <c r="BK19" s="38">
        <f>IF(BH19&lt;0,0,BJ19*'Irradiancia Horizontal'!$H$7)</f>
        <v>1084.5279984338622</v>
      </c>
      <c r="BL19">
        <f t="shared" si="10"/>
        <v>0.11221425678682792</v>
      </c>
      <c r="BM19">
        <f>IF(BH19&lt;0,0,BL19*'Irradiancia Horizontal'!$H$39)</f>
        <v>109.97739729487711</v>
      </c>
    </row>
    <row r="20" spans="3:65" x14ac:dyDescent="0.25">
      <c r="C20" s="39">
        <f>'Cálculos iluminancia'!E31</f>
        <v>0.58333333333333304</v>
      </c>
      <c r="D20" s="38">
        <f>'Cálculos iluminancia'!F31</f>
        <v>-30</v>
      </c>
      <c r="E20" s="38">
        <f>'Cálculos iluminancia'!G31</f>
        <v>32.905461024397972</v>
      </c>
      <c r="F20" s="38">
        <f>'Cálculos iluminancia'!H31</f>
        <v>-146.00391008327136</v>
      </c>
      <c r="G20" s="38">
        <f t="shared" si="0"/>
        <v>0.12484685323365104</v>
      </c>
      <c r="H20" s="38">
        <f>IF(E20&lt;0,0,G20*'Irradiancia Horizontal'!$C$7)</f>
        <v>515.11876939108652</v>
      </c>
      <c r="I20">
        <f t="shared" si="11"/>
        <v>0.12371742277465454</v>
      </c>
      <c r="J20">
        <f>IF(E20&lt;0,0,I20*'Irradiancia Horizontal'!$C$39)</f>
        <v>115.62654101110475</v>
      </c>
      <c r="N20" s="39">
        <f>'Cálculos iluminancia'!BL31</f>
        <v>0.58333333333333304</v>
      </c>
      <c r="O20" s="38">
        <f>'Cálculos iluminancia'!BM31</f>
        <v>-30</v>
      </c>
      <c r="P20" s="38">
        <f>'Cálculos iluminancia'!BN31</f>
        <v>40.372283263057838</v>
      </c>
      <c r="Q20" s="38">
        <f>'Cálculos iluminancia'!BO31</f>
        <v>-139.92887778576829</v>
      </c>
      <c r="R20">
        <f t="shared" si="1"/>
        <v>0.12080224960426032</v>
      </c>
      <c r="S20">
        <f>IF(P20&lt;0,0,R20*'Irradiancia Horizontal'!$D$7)</f>
        <v>585.31842678695182</v>
      </c>
      <c r="T20">
        <f t="shared" si="2"/>
        <v>0.11878500854756159</v>
      </c>
      <c r="U20">
        <f>IF(P20&lt;0,0,T20*'Irradiancia Horizontal'!$D$39)</f>
        <v>149.17767635467581</v>
      </c>
      <c r="Y20" s="39">
        <f>'Cálculos iluminancia'!DS31</f>
        <v>0.58333333333333304</v>
      </c>
      <c r="Z20" s="38">
        <f>'Cálculos iluminancia'!DT31</f>
        <v>-30</v>
      </c>
      <c r="AA20" s="38">
        <f>'Cálculos iluminancia'!DU31</f>
        <v>48.886897226423812</v>
      </c>
      <c r="AB20" s="38">
        <f>'Cálculos iluminancia'!DV31</f>
        <v>-130.50207880604776</v>
      </c>
      <c r="AC20" s="38">
        <f t="shared" si="3"/>
        <v>0.11643590775084701</v>
      </c>
      <c r="AD20" s="38">
        <f>IF(AA20&lt;0,0,AC20*'Irradiancia Horizontal'!$E$7)</f>
        <v>662.14396118067089</v>
      </c>
      <c r="AE20">
        <f t="shared" si="4"/>
        <v>0.11354754242750646</v>
      </c>
      <c r="AF20">
        <f>IF(AA20&lt;0,0,AE20*'Irradiancia Horizontal'!$E$39)</f>
        <v>182.1730341153843</v>
      </c>
      <c r="AJ20" s="39">
        <f>'Cálculos iluminancia'!FZ31</f>
        <v>0.58333333333333304</v>
      </c>
      <c r="AK20" s="38">
        <f>'Cálculos iluminancia'!GA31</f>
        <v>-30</v>
      </c>
      <c r="AL20" s="38">
        <f>'Cálculos iluminancia'!GB31</f>
        <v>57.035590824811003</v>
      </c>
      <c r="AM20" s="38">
        <f>'Cálculos iluminancia'!GC31</f>
        <v>-115.81336219038403</v>
      </c>
      <c r="AN20" s="38">
        <f t="shared" si="5"/>
        <v>0.11190885710340166</v>
      </c>
      <c r="AO20" s="38">
        <f>IF(AL20&lt;0,0,AN20*'Irradiancia Horizontal'!$F$7)</f>
        <v>780.24411936602792</v>
      </c>
      <c r="AP20">
        <f t="shared" si="6"/>
        <v>0.10820715594369032</v>
      </c>
      <c r="AQ20">
        <f>IF(AL20&lt;0,0,AP20*'Irradiancia Horizontal'!$F$39)</f>
        <v>178.14587174000181</v>
      </c>
      <c r="AU20" s="39">
        <f>'Cálculos iluminancia'!IG31</f>
        <v>0.58333333333333304</v>
      </c>
      <c r="AV20" s="38">
        <f>'Cálculos iluminancia'!IH31</f>
        <v>-30</v>
      </c>
      <c r="AW20" s="38">
        <f>'Cálculos iluminancia'!II31</f>
        <v>61.392241505320605</v>
      </c>
      <c r="AX20" s="38">
        <f>'Cálculos iluminancia'!IJ31</f>
        <v>-101.35836541579947</v>
      </c>
      <c r="AY20" s="38">
        <f t="shared" si="7"/>
        <v>0.10865390040360517</v>
      </c>
      <c r="AZ20" s="38">
        <f>IF(AW20&lt;0,0,AY20*'Irradiancia Horizontal'!$G$7)</f>
        <v>945.62849650782823</v>
      </c>
      <c r="BA20">
        <f t="shared" si="8"/>
        <v>0.10442635722817842</v>
      </c>
      <c r="BB20">
        <f>IF(AW20&lt;0,0,BA20*'Irradiancia Horizontal'!$G$39)</f>
        <v>104.74192459462888</v>
      </c>
      <c r="BF20" s="39">
        <f>'Cálculos iluminancia'!KN31</f>
        <v>0.58333333333333304</v>
      </c>
      <c r="BG20" s="38">
        <f>'Cálculos iluminancia'!KO31</f>
        <v>-30</v>
      </c>
      <c r="BH20" s="38">
        <f>'Cálculos iluminancia'!KP31</f>
        <v>62.593106094089499</v>
      </c>
      <c r="BI20" s="38">
        <f>'Cálculos iluminancia'!KQ31</f>
        <v>-94.781580028246267</v>
      </c>
      <c r="BJ20" s="38">
        <f t="shared" si="9"/>
        <v>0.10735089714698827</v>
      </c>
      <c r="BK20" s="38">
        <f>IF(BH20&lt;0,0,BJ20*'Irradiancia Horizontal'!$H$7)</f>
        <v>964.29609383795389</v>
      </c>
      <c r="BL20">
        <f t="shared" si="10"/>
        <v>0.10292779864457884</v>
      </c>
      <c r="BM20">
        <f>IF(BH20&lt;0,0,BL20*'Irradiancia Horizontal'!$H$39)</f>
        <v>100.87605379524919</v>
      </c>
    </row>
    <row r="21" spans="3:65" x14ac:dyDescent="0.25">
      <c r="C21" s="39">
        <f>'Cálculos iluminancia'!E32</f>
        <v>0.625</v>
      </c>
      <c r="D21" s="38">
        <f>'Cálculos iluminancia'!F32</f>
        <v>-45</v>
      </c>
      <c r="E21" s="38">
        <f>'Cálculos iluminancia'!G32</f>
        <v>24.384588412739522</v>
      </c>
      <c r="F21" s="38">
        <f>'Cálculos iluminancia'!H32</f>
        <v>-133.20572092919525</v>
      </c>
      <c r="G21" s="38">
        <f t="shared" si="0"/>
        <v>8.7233900251722923E-2</v>
      </c>
      <c r="H21" s="38">
        <f>IF(E21&lt;0,0,G21*'Irradiancia Horizontal'!$C$7)</f>
        <v>359.92752867190706</v>
      </c>
      <c r="I21">
        <f t="shared" si="11"/>
        <v>9.4022065841798258E-2</v>
      </c>
      <c r="J21">
        <f>IF(E21&lt;0,0,I21*'Irradiancia Horizontal'!$C$39)</f>
        <v>87.873203370937532</v>
      </c>
      <c r="N21" s="39">
        <f>'Cálculos iluminancia'!BL32</f>
        <v>0.625</v>
      </c>
      <c r="O21" s="38">
        <f>'Cálculos iluminancia'!BM32</f>
        <v>-45</v>
      </c>
      <c r="P21" s="38">
        <f>'Cálculos iluminancia'!BN32</f>
        <v>30.765345417017471</v>
      </c>
      <c r="Q21" s="38">
        <f>'Cálculos iluminancia'!BO32</f>
        <v>-126.17960888604199</v>
      </c>
      <c r="R21">
        <f t="shared" si="1"/>
        <v>8.8396377186448591E-2</v>
      </c>
      <c r="S21">
        <f>IF(P21&lt;0,0,R21*'Irradiancia Horizontal'!$D$7)</f>
        <v>428.30351750844693</v>
      </c>
      <c r="T21">
        <f t="shared" si="2"/>
        <v>9.3803408999356644E-2</v>
      </c>
      <c r="U21">
        <f>IF(P21&lt;0,0,T21*'Irradiancia Horizontal'!$D$39)</f>
        <v>117.80421418304108</v>
      </c>
      <c r="Y21" s="39">
        <f>'Cálculos iluminancia'!DS32</f>
        <v>0.625</v>
      </c>
      <c r="Z21" s="38">
        <f>'Cálculos iluminancia'!DT32</f>
        <v>-45</v>
      </c>
      <c r="AA21" s="38">
        <f>'Cálculos iluminancia'!DU32</f>
        <v>37.917838062207871</v>
      </c>
      <c r="AB21" s="38">
        <f>'Cálculos iluminancia'!DV32</f>
        <v>-116.32334178613942</v>
      </c>
      <c r="AC21" s="38">
        <f t="shared" si="3"/>
        <v>8.8729285365941754E-2</v>
      </c>
      <c r="AD21" s="38">
        <f>IF(AA21&lt;0,0,AC21*'Irradiancia Horizontal'!$E$7)</f>
        <v>504.58283548278877</v>
      </c>
      <c r="AE21">
        <f t="shared" si="4"/>
        <v>9.261648357700851E-2</v>
      </c>
      <c r="AF21">
        <f>IF(AA21&lt;0,0,AE21*'Irradiancia Horizontal'!$E$39)</f>
        <v>148.59173049115739</v>
      </c>
      <c r="AJ21" s="39">
        <f>'Cálculos iluminancia'!FZ32</f>
        <v>0.625</v>
      </c>
      <c r="AK21" s="38">
        <f>'Cálculos iluminancia'!GA32</f>
        <v>-45</v>
      </c>
      <c r="AL21" s="38">
        <f>'Cálculos iluminancia'!GB32</f>
        <v>44.664130151519252</v>
      </c>
      <c r="AM21" s="38">
        <f>'Cálculos iluminancia'!GC32</f>
        <v>-103.10500710121094</v>
      </c>
      <c r="AN21" s="38">
        <f t="shared" si="5"/>
        <v>8.8328472309344513E-2</v>
      </c>
      <c r="AO21" s="38">
        <f>IF(AL21&lt;0,0,AN21*'Irradiancia Horizontal'!$F$7)</f>
        <v>615.83839631453282</v>
      </c>
      <c r="AP21">
        <f t="shared" si="6"/>
        <v>9.0659574500494139E-2</v>
      </c>
      <c r="AQ21">
        <f>IF(AL21&lt;0,0,AP21*'Irradiancia Horizontal'!$F$39)</f>
        <v>149.25656986468397</v>
      </c>
      <c r="AU21" s="39">
        <f>'Cálculos iluminancia'!IG32</f>
        <v>0.625</v>
      </c>
      <c r="AV21" s="38">
        <f>'Cálculos iluminancia'!IH32</f>
        <v>-45</v>
      </c>
      <c r="AW21" s="38">
        <f>'Cálculos iluminancia'!II32</f>
        <v>48.376276838475924</v>
      </c>
      <c r="AX21" s="38">
        <f>'Cálculos iluminancia'!IJ32</f>
        <v>-91.879215872253667</v>
      </c>
      <c r="AY21" s="38">
        <f t="shared" si="7"/>
        <v>8.7663871081251038E-2</v>
      </c>
      <c r="AZ21" s="38">
        <f>IF(AW21&lt;0,0,AY21*'Irradiancia Horizontal'!$G$7)</f>
        <v>762.9496437835096</v>
      </c>
      <c r="BA21">
        <f t="shared" si="8"/>
        <v>8.8916167893321421E-2</v>
      </c>
      <c r="BB21">
        <f>IF(AW21&lt;0,0,BA21*'Irradiancia Horizontal'!$G$39)</f>
        <v>89.184864816988423</v>
      </c>
      <c r="BF21" s="39">
        <f>'Cálculos iluminancia'!KN32</f>
        <v>0.625</v>
      </c>
      <c r="BG21" s="38">
        <f>'Cálculos iluminancia'!KO32</f>
        <v>-45</v>
      </c>
      <c r="BH21" s="38">
        <f>'Cálculos iluminancia'!KP32</f>
        <v>49.494624805188728</v>
      </c>
      <c r="BI21" s="38">
        <f>'Cálculos iluminancia'!KQ32</f>
        <v>-87.132774729162193</v>
      </c>
      <c r="BJ21" s="38">
        <f t="shared" si="9"/>
        <v>8.7320332808315387E-2</v>
      </c>
      <c r="BK21" s="38">
        <f>IF(BH21&lt;0,0,BJ21*'Irradiancia Horizontal'!$H$7)</f>
        <v>784.36844104242277</v>
      </c>
      <c r="BL21">
        <f t="shared" si="10"/>
        <v>8.8155177070222565E-2</v>
      </c>
      <c r="BM21">
        <f>IF(BH21&lt;0,0,BL21*'Irradiancia Horizontal'!$H$39)</f>
        <v>86.397907091874515</v>
      </c>
    </row>
    <row r="22" spans="3:65" x14ac:dyDescent="0.25">
      <c r="C22" s="39">
        <f>'Cálculos iluminancia'!E33</f>
        <v>0.66666666666666596</v>
      </c>
      <c r="D22" s="38">
        <f>'Cálculos iluminancia'!F33</f>
        <v>-60</v>
      </c>
      <c r="E22" s="38">
        <f>'Cálculos iluminancia'!G33</f>
        <v>14.059262104382505</v>
      </c>
      <c r="F22" s="38">
        <f>'Cálculos iluminancia'!H33</f>
        <v>-123.05053955246156</v>
      </c>
      <c r="G22" s="38">
        <f t="shared" si="0"/>
        <v>4.5464737726583583E-2</v>
      </c>
      <c r="H22" s="38">
        <f>IF(E22&lt;0,0,G22*'Irradiancia Horizontal'!$C$7)</f>
        <v>187.58774564046217</v>
      </c>
      <c r="I22">
        <f t="shared" si="11"/>
        <v>5.5322323231323918E-2</v>
      </c>
      <c r="J22">
        <f>IF(E22&lt;0,0,I22*'Irradiancia Horizontal'!$C$39)</f>
        <v>51.704349577242716</v>
      </c>
      <c r="N22" s="39">
        <f>'Cálculos iluminancia'!BL33</f>
        <v>0.66666666666666596</v>
      </c>
      <c r="O22" s="38">
        <f>'Cálculos iluminancia'!BM33</f>
        <v>-60</v>
      </c>
      <c r="P22" s="38">
        <f>'Cálculos iluminancia'!BN33</f>
        <v>19.510962189955375</v>
      </c>
      <c r="Q22" s="38">
        <f>'Cálculos iluminancia'!BO33</f>
        <v>-115.68321173167392</v>
      </c>
      <c r="R22">
        <f t="shared" si="1"/>
        <v>5.1759960026521799E-2</v>
      </c>
      <c r="S22">
        <f>IF(P22&lt;0,0,R22*'Irradiancia Horizontal'!$D$7)</f>
        <v>250.79051484990561</v>
      </c>
      <c r="T22">
        <f t="shared" si="2"/>
        <v>6.1246754613977564E-2</v>
      </c>
      <c r="U22">
        <f>IF(P22&lt;0,0,T22*'Irradiancia Horizontal'!$D$39)</f>
        <v>76.917522247092933</v>
      </c>
      <c r="Y22" s="39">
        <f>'Cálculos iluminancia'!DS33</f>
        <v>0.66666666666666596</v>
      </c>
      <c r="Z22" s="38">
        <f>'Cálculos iluminancia'!DT33</f>
        <v>-60</v>
      </c>
      <c r="AA22" s="38">
        <f>'Cálculos iluminancia'!DU33</f>
        <v>25.692175676161611</v>
      </c>
      <c r="AB22" s="38">
        <f>'Cálculos iluminancia'!DV33</f>
        <v>-106.05155080847399</v>
      </c>
      <c r="AC22" s="38">
        <f t="shared" si="3"/>
        <v>5.6856388355122398E-2</v>
      </c>
      <c r="AD22" s="38">
        <f>IF(AA22&lt;0,0,AC22*'Irradiancia Horizontal'!$E$7)</f>
        <v>323.32907374626836</v>
      </c>
      <c r="AE22">
        <f t="shared" si="4"/>
        <v>6.5338596602607116E-2</v>
      </c>
      <c r="AF22">
        <f>IF(AA22&lt;0,0,AE22*'Irradiancia Horizontal'!$E$39)</f>
        <v>104.82772355498061</v>
      </c>
      <c r="AJ22" s="39">
        <f>'Cálculos iluminancia'!FZ33</f>
        <v>0.66666666666666596</v>
      </c>
      <c r="AK22" s="38">
        <f>'Cálculos iluminancia'!GA33</f>
        <v>-60</v>
      </c>
      <c r="AL22" s="38">
        <f>'Cálculos iluminancia'!GB33</f>
        <v>31.710922299799869</v>
      </c>
      <c r="AM22" s="38">
        <f>'Cálculos iluminancia'!GC33</f>
        <v>-94.223487161165693</v>
      </c>
      <c r="AN22" s="38">
        <f t="shared" si="5"/>
        <v>6.075408508374653E-2</v>
      </c>
      <c r="AO22" s="38">
        <f>IF(AL22&lt;0,0,AN22*'Irradiancia Horizontal'!$F$7)</f>
        <v>423.58593270465673</v>
      </c>
      <c r="AP22">
        <f t="shared" si="6"/>
        <v>6.779112113172335E-2</v>
      </c>
      <c r="AQ22">
        <f>IF(AL22&lt;0,0,AP22*'Irradiancia Horizontal'!$F$39)</f>
        <v>111.6072986571007</v>
      </c>
      <c r="AU22" s="39">
        <f>'Cálculos iluminancia'!IG33</f>
        <v>0.66666666666666596</v>
      </c>
      <c r="AV22" s="38">
        <f>'Cálculos iluminancia'!IH33</f>
        <v>-60</v>
      </c>
      <c r="AW22" s="38">
        <f>'Cálculos iluminancia'!II33</f>
        <v>35.281146205343326</v>
      </c>
      <c r="AX22" s="38">
        <f>'Cálculos iluminancia'!IJ33</f>
        <v>-84.888900516560128</v>
      </c>
      <c r="AY22" s="38">
        <f t="shared" si="7"/>
        <v>6.284956185563792E-2</v>
      </c>
      <c r="AZ22" s="38">
        <f>IF(AW22&lt;0,0,AY22*'Irradiancia Horizontal'!$G$7)</f>
        <v>546.98760433776988</v>
      </c>
      <c r="BA22">
        <f t="shared" si="8"/>
        <v>6.8702895614564705E-2</v>
      </c>
      <c r="BB22">
        <f>IF(AW22&lt;0,0,BA22*'Irradiancia Horizontal'!$G$39)</f>
        <v>68.910509787959995</v>
      </c>
      <c r="BF22" s="39">
        <f>'Cálculos iluminancia'!KN33</f>
        <v>0.66666666666666596</v>
      </c>
      <c r="BG22" s="38">
        <f>'Cálculos iluminancia'!KO33</f>
        <v>-60</v>
      </c>
      <c r="BH22" s="38">
        <f>'Cálculos iluminancia'!KP33</f>
        <v>36.462362723804389</v>
      </c>
      <c r="BI22" s="38">
        <f>'Cálculos iluminancia'!KQ33</f>
        <v>-81.070349439875727</v>
      </c>
      <c r="BJ22" s="38">
        <f t="shared" si="9"/>
        <v>6.3541411057159686E-2</v>
      </c>
      <c r="BK22" s="38">
        <f>IF(BH22&lt;0,0,BJ22*'Irradiancia Horizontal'!$H$7)</f>
        <v>570.77058606668447</v>
      </c>
      <c r="BL22">
        <f t="shared" si="10"/>
        <v>6.8903121811140083E-2</v>
      </c>
      <c r="BM22">
        <f>IF(BH22&lt;0,0,BL22*'Irradiancia Horizontal'!$H$39)</f>
        <v>67.529618956319382</v>
      </c>
    </row>
    <row r="23" spans="3:65" x14ac:dyDescent="0.25">
      <c r="C23" s="39">
        <f>'Cálculos iluminancia'!E34</f>
        <v>0.70833333333333304</v>
      </c>
      <c r="D23" s="38">
        <f>'Cálculos iluminancia'!F34</f>
        <v>-75</v>
      </c>
      <c r="E23" s="38">
        <f>'Cálculos iluminancia'!G34</f>
        <v>2.5810689008028067</v>
      </c>
      <c r="F23" s="38">
        <f>'Cálculos iluminancia'!H34</f>
        <v>-114.79748300641437</v>
      </c>
      <c r="G23" s="38">
        <f t="shared" si="0"/>
        <v>7.1623609791582324E-3</v>
      </c>
      <c r="H23" s="38">
        <f>IF(E23&lt;0,0,G23*'Irradiancia Horizontal'!$C$7)</f>
        <v>29.551938859154784</v>
      </c>
      <c r="I23">
        <f t="shared" si="11"/>
        <v>1.0255518447786823E-2</v>
      </c>
      <c r="J23">
        <f>IF(E23&lt;0,0,I23*'Irradiancia Horizontal'!$C$39)</f>
        <v>9.5848272442036055</v>
      </c>
      <c r="N23" s="39">
        <f>'Cálculos iluminancia'!BL34</f>
        <v>0.70833333333333304</v>
      </c>
      <c r="O23" s="38">
        <f>'Cálculos iluminancia'!BM34</f>
        <v>-75</v>
      </c>
      <c r="P23" s="38">
        <f>'Cálculos iluminancia'!BN34</f>
        <v>7.3102534726872559</v>
      </c>
      <c r="Q23" s="38">
        <f>'Cálculos iluminancia'!BO34</f>
        <v>-107.2136474400794</v>
      </c>
      <c r="R23">
        <f t="shared" si="1"/>
        <v>1.7076845387414687E-2</v>
      </c>
      <c r="S23">
        <f>IF(P23&lt;0,0,R23*'Irradiancia Horizontal'!$D$7)</f>
        <v>82.741772685440722</v>
      </c>
      <c r="T23">
        <f t="shared" si="2"/>
        <v>2.3333727585372655E-2</v>
      </c>
      <c r="U23">
        <f>IF(P23&lt;0,0,T23*'Irradiancia Horizontal'!$D$39)</f>
        <v>29.303961033813035</v>
      </c>
      <c r="Y23" s="39">
        <f>'Cálculos iluminancia'!DS34</f>
        <v>0.70833333333333304</v>
      </c>
      <c r="Z23" s="38">
        <f>'Cálculos iluminancia'!DT34</f>
        <v>-75</v>
      </c>
      <c r="AA23" s="38">
        <f>'Cálculos iluminancia'!DU34</f>
        <v>12.871375773155972</v>
      </c>
      <c r="AB23" s="38">
        <f>'Cálculos iluminancia'!DV34</f>
        <v>-97.778783184534774</v>
      </c>
      <c r="AC23" s="38">
        <f t="shared" si="3"/>
        <v>2.5779872604208141E-2</v>
      </c>
      <c r="AD23" s="38">
        <f>IF(AA23&lt;0,0,AC23*'Irradiancia Horizontal'!$E$7)</f>
        <v>146.60414724820367</v>
      </c>
      <c r="AE23">
        <f t="shared" si="4"/>
        <v>3.3572824422768058E-2</v>
      </c>
      <c r="AF23">
        <f>IF(AA23&lt;0,0,AE23*'Irradiancia Horizontal'!$E$39)</f>
        <v>53.863458056113238</v>
      </c>
      <c r="AJ23" s="39">
        <f>'Cálculos iluminancia'!FZ34</f>
        <v>0.70833333333333304</v>
      </c>
      <c r="AK23" s="38">
        <f>'Cálculos iluminancia'!GA34</f>
        <v>-75</v>
      </c>
      <c r="AL23" s="38">
        <f>'Cálculos iluminancia'!GB34</f>
        <v>18.611242908560452</v>
      </c>
      <c r="AM23" s="38">
        <f>'Cálculos iluminancia'!GC34</f>
        <v>-86.84353717995613</v>
      </c>
      <c r="AN23" s="38">
        <f t="shared" si="5"/>
        <v>3.3144502573855344E-2</v>
      </c>
      <c r="AO23" s="38">
        <f>IF(AL23&lt;0,0,AN23*'Irradiancia Horizontal'!$F$7)</f>
        <v>231.08808267667249</v>
      </c>
      <c r="AP23">
        <f t="shared" si="6"/>
        <v>4.1160243142553628E-2</v>
      </c>
      <c r="AQ23">
        <f>IF(AL23&lt;0,0,AP23*'Irradiancia Horizontal'!$F$39)</f>
        <v>67.763793731686334</v>
      </c>
      <c r="AU23" s="39">
        <f>'Cálculos iluminancia'!IG34</f>
        <v>0.70833333333333304</v>
      </c>
      <c r="AV23" s="38">
        <f>'Cálculos iluminancia'!IH34</f>
        <v>-75</v>
      </c>
      <c r="AW23" s="38">
        <f>'Cálculos iluminancia'!II34</f>
        <v>22.314889941656379</v>
      </c>
      <c r="AX23" s="38">
        <f>'Cálculos iluminancia'!IJ34</f>
        <v>-78.604772740992317</v>
      </c>
      <c r="AY23" s="38">
        <f t="shared" si="7"/>
        <v>3.7575963241997738E-2</v>
      </c>
      <c r="AZ23" s="38">
        <f>IF(AW23&lt;0,0,AY23*'Irradiancia Horizontal'!$G$7)</f>
        <v>327.02831185418489</v>
      </c>
      <c r="BA23">
        <f t="shared" si="8"/>
        <v>4.5164041493693699E-2</v>
      </c>
      <c r="BB23">
        <f>IF(AW23&lt;0,0,BA23*'Irradiancia Horizontal'!$G$39)</f>
        <v>45.300523297816028</v>
      </c>
      <c r="BF23" s="39">
        <f>'Cálculos iluminancia'!KN34</f>
        <v>0.70833333333333304</v>
      </c>
      <c r="BG23" s="38">
        <f>'Cálculos iluminancia'!KO34</f>
        <v>-75</v>
      </c>
      <c r="BH23" s="38">
        <f>'Cálculos iluminancia'!KP34</f>
        <v>23.63600454935963</v>
      </c>
      <c r="BI23" s="38">
        <f>'Cálculos iluminancia'!KQ34</f>
        <v>-75.306075969479892</v>
      </c>
      <c r="BJ23" s="38">
        <f t="shared" si="9"/>
        <v>3.9166887291977606E-2</v>
      </c>
      <c r="BK23" s="38">
        <f>IF(BH23&lt;0,0,BJ23*'Irradiancia Horizontal'!$H$7)</f>
        <v>351.82264356609522</v>
      </c>
      <c r="BL23">
        <f t="shared" si="10"/>
        <v>4.6483628617712235E-2</v>
      </c>
      <c r="BM23">
        <f>IF(BH23&lt;0,0,BL23*'Irradiancia Horizontal'!$H$39)</f>
        <v>45.557032043701405</v>
      </c>
    </row>
    <row r="24" spans="3:65" x14ac:dyDescent="0.25">
      <c r="C24" s="39">
        <f>'Cálculos iluminancia'!E35</f>
        <v>0.75</v>
      </c>
      <c r="D24" s="38">
        <f>'Cálculos iluminancia'!F35</f>
        <v>-90</v>
      </c>
      <c r="E24" s="38">
        <f>'Cálculos iluminancia'!G35</f>
        <v>-9.6327224739751234</v>
      </c>
      <c r="F24" s="38">
        <f>'Cálculos iluminancia'!H35</f>
        <v>-107.76935516675623</v>
      </c>
      <c r="G24" s="38">
        <f t="shared" si="0"/>
        <v>-2.1566348616099087E-2</v>
      </c>
      <c r="H24" s="38">
        <f>IF(E24&lt;0,0,G24*'Irradiancia Horizontal'!$C$7)</f>
        <v>0</v>
      </c>
      <c r="I24">
        <f t="shared" si="11"/>
        <v>-3.8107120239231192E-2</v>
      </c>
      <c r="J24">
        <f>IF(E24&lt;0,0,I24*'Irradiancia Horizontal'!$C$39)</f>
        <v>0</v>
      </c>
      <c r="N24" s="39">
        <f>'Cálculos iluminancia'!BL35</f>
        <v>0.75</v>
      </c>
      <c r="O24" s="38">
        <f>'Cálculos iluminancia'!BM35</f>
        <v>-90</v>
      </c>
      <c r="P24" s="38">
        <f>'Cálculos iluminancia'!BN35</f>
        <v>-5.4296042813721792</v>
      </c>
      <c r="Q24" s="38">
        <f>'Cálculos iluminancia'!BO35</f>
        <v>-99.840733192760467</v>
      </c>
      <c r="R24">
        <f t="shared" si="1"/>
        <v>-1.0590198914442951E-2</v>
      </c>
      <c r="S24">
        <f>IF(P24&lt;0,0,R24*'Irradiancia Horizontal'!$D$7)</f>
        <v>0</v>
      </c>
      <c r="T24">
        <f t="shared" si="2"/>
        <v>-1.735196194869815E-2</v>
      </c>
      <c r="U24">
        <f>IF(P24&lt;0,0,T24*'Irradiancia Horizontal'!$D$39)</f>
        <v>0</v>
      </c>
      <c r="Y24" s="39">
        <f>'Cálculos iluminancia'!DS35</f>
        <v>0.75</v>
      </c>
      <c r="Z24" s="38">
        <f>'Cálculos iluminancia'!DT35</f>
        <v>-90</v>
      </c>
      <c r="AA24" s="38">
        <f>'Cálculos iluminancia'!DU35</f>
        <v>-0.19618646613255544</v>
      </c>
      <c r="AB24" s="38">
        <f>'Cálculos iluminancia'!DV35</f>
        <v>-90.35277083812899</v>
      </c>
      <c r="AC24" s="38">
        <f t="shared" si="3"/>
        <v>-3.3960921368452883E-4</v>
      </c>
      <c r="AD24" s="38">
        <f>IF(AA24&lt;0,0,AC24*'Irradiancia Horizontal'!$E$7)</f>
        <v>0</v>
      </c>
      <c r="AE24">
        <f t="shared" si="4"/>
        <v>-5.1604808387316586E-4</v>
      </c>
      <c r="AF24">
        <f>IF(AA24&lt;0,0,AE24*'Irradiancia Horizontal'!$E$39)</f>
        <v>0</v>
      </c>
      <c r="AJ24" s="39">
        <f>'Cálculos iluminancia'!FZ35</f>
        <v>0.75</v>
      </c>
      <c r="AK24" s="38">
        <f>'Cálculos iluminancia'!GA35</f>
        <v>-90</v>
      </c>
      <c r="AL24" s="38">
        <f>'Cálculos iluminancia'!GB35</f>
        <v>5.5984380572590657</v>
      </c>
      <c r="AM24" s="38">
        <f>'Cálculos iluminancia'!GC35</f>
        <v>-79.848129908924179</v>
      </c>
      <c r="AN24" s="38">
        <f t="shared" si="5"/>
        <v>8.903687685015961E-3</v>
      </c>
      <c r="AO24" s="38">
        <f>IF(AL24&lt;0,0,AN24*'Irradiancia Horizontal'!$F$7)</f>
        <v>62.077749131925138</v>
      </c>
      <c r="AP24">
        <f t="shared" si="6"/>
        <v>1.2581790858340214E-2</v>
      </c>
      <c r="AQ24">
        <f>IF(AL24&lt;0,0,AP24*'Irradiancia Horizontal'!$F$39)</f>
        <v>20.713917494290275</v>
      </c>
      <c r="AU24" s="39">
        <f>'Cálculos iluminancia'!IG35</f>
        <v>0.75</v>
      </c>
      <c r="AV24" s="38">
        <f>'Cálculos iluminancia'!IH35</f>
        <v>-90</v>
      </c>
      <c r="AW24" s="38">
        <f>'Cálculos iluminancia'!II35</f>
        <v>9.6327224739751323</v>
      </c>
      <c r="AX24" s="38">
        <f>'Cálculos iluminancia'!IJ35</f>
        <v>-72.230644833243772</v>
      </c>
      <c r="AY24" s="38">
        <f t="shared" si="7"/>
        <v>1.4790835675424805E-2</v>
      </c>
      <c r="AZ24" s="38">
        <f>IF(AW24&lt;0,0,AY24*'Irradiancia Horizontal'!$G$7)</f>
        <v>128.72649440003192</v>
      </c>
      <c r="BA24">
        <f t="shared" si="8"/>
        <v>1.990373953925012E-2</v>
      </c>
      <c r="BB24">
        <f>IF(AW24&lt;0,0,BA24*'Irradiancia Horizontal'!$G$39)</f>
        <v>19.963886908512393</v>
      </c>
      <c r="BF24" s="39">
        <f>'Cálculos iluminancia'!KN35</f>
        <v>0.75</v>
      </c>
      <c r="BG24" s="38">
        <f>'Cálculos iluminancia'!KO35</f>
        <v>-90</v>
      </c>
      <c r="BH24" s="38">
        <f>'Cálculos iluminancia'!KP35</f>
        <v>11.152054967319165</v>
      </c>
      <c r="BI24" s="38">
        <f>'Cálculos iluminancia'!KQ35</f>
        <v>-69.238766580276192</v>
      </c>
      <c r="BJ24" s="38">
        <f t="shared" si="9"/>
        <v>1.6979538059060086E-2</v>
      </c>
      <c r="BK24" s="38">
        <f>IF(BH24&lt;0,0,BJ24*'Irradiancia Horizontal'!$H$7)</f>
        <v>152.52133573793674</v>
      </c>
      <c r="BL24">
        <f t="shared" si="10"/>
        <v>2.2424548901106869E-2</v>
      </c>
      <c r="BM24">
        <f>IF(BH24&lt;0,0,BL24*'Irradiancia Horizontal'!$H$39)</f>
        <v>21.977541840698802</v>
      </c>
    </row>
    <row r="25" spans="3:65" x14ac:dyDescent="0.25">
      <c r="C25" s="39">
        <f>'Cálculos iluminancia'!E36</f>
        <v>0.79166666666666663</v>
      </c>
      <c r="D25" s="38">
        <f>'Cálculos iluminancia'!F36</f>
        <v>-105</v>
      </c>
      <c r="E25" s="38">
        <f>'Cálculos iluminancia'!G36</f>
        <v>-22.314889941656389</v>
      </c>
      <c r="F25" s="38">
        <f>'Cálculos iluminancia'!H36</f>
        <v>-101.39522725900767</v>
      </c>
      <c r="G25" s="38">
        <f t="shared" si="0"/>
        <v>-3.7483718751854529E-2</v>
      </c>
      <c r="H25" s="38">
        <f>IF(E25&lt;0,0,G25*'Irradiancia Horizontal'!$C$7)</f>
        <v>0</v>
      </c>
      <c r="I25">
        <f t="shared" si="11"/>
        <v>-8.6469758926249252E-2</v>
      </c>
      <c r="J25">
        <f>IF(E25&lt;0,0,I25*'Irradiancia Horizontal'!$C$39)</f>
        <v>0</v>
      </c>
      <c r="N25" s="39">
        <f>'Cálculos iluminancia'!BL36</f>
        <v>0.79166666666666663</v>
      </c>
      <c r="O25" s="38">
        <f>'Cálculos iluminancia'!BM36</f>
        <v>-105</v>
      </c>
      <c r="P25" s="38">
        <f>'Cálculos iluminancia'!BN36</f>
        <v>-18.450636942948769</v>
      </c>
      <c r="Q25" s="38">
        <f>'Cálculos iluminancia'!BO36</f>
        <v>-92.825247091319213</v>
      </c>
      <c r="R25">
        <f t="shared" si="1"/>
        <v>-2.8367744424135793E-2</v>
      </c>
      <c r="S25">
        <f>IF(P25&lt;0,0,R25*'Irradiancia Horizontal'!$D$7)</f>
        <v>0</v>
      </c>
      <c r="T25">
        <f t="shared" si="2"/>
        <v>-5.803765148276898E-2</v>
      </c>
      <c r="U25">
        <f>IF(P25&lt;0,0,T25*'Irradiancia Horizontal'!$D$39)</f>
        <v>0</v>
      </c>
      <c r="Y25" s="39">
        <f>'Cálculos iluminancia'!DS36</f>
        <v>0.79166666666666663</v>
      </c>
      <c r="Z25" s="38">
        <f>'Cálculos iluminancia'!DT36</f>
        <v>-105</v>
      </c>
      <c r="AA25" s="38">
        <f>'Cálculos iluminancia'!DU36</f>
        <v>-13.274188224930079</v>
      </c>
      <c r="AB25" s="38">
        <f>'Cálculos iluminancia'!DV36</f>
        <v>-82.939465792216424</v>
      </c>
      <c r="AC25" s="38">
        <f t="shared" si="3"/>
        <v>-1.8974326431228303E-2</v>
      </c>
      <c r="AD25" s="38">
        <f>IF(AA25&lt;0,0,AC25*'Irradiancia Horizontal'!$E$7)</f>
        <v>0</v>
      </c>
      <c r="AE25">
        <f t="shared" si="4"/>
        <v>-3.4604920590514412E-2</v>
      </c>
      <c r="AF25">
        <f>IF(AA25&lt;0,0,AE25*'Irradiancia Horizontal'!$E$39)</f>
        <v>0</v>
      </c>
      <c r="AJ25" s="39">
        <f>'Cálculos iluminancia'!FZ36</f>
        <v>0.79166666666666663</v>
      </c>
      <c r="AK25" s="38">
        <f>'Cálculos iluminancia'!GA36</f>
        <v>-105</v>
      </c>
      <c r="AL25" s="38">
        <f>'Cálculos iluminancia'!GB36</f>
        <v>-7.1249590451508507</v>
      </c>
      <c r="AM25" s="38">
        <f>'Cálculos iluminancia'!GC36</f>
        <v>-72.483816717921655</v>
      </c>
      <c r="AN25" s="38">
        <f t="shared" si="5"/>
        <v>-9.759145365573655E-3</v>
      </c>
      <c r="AO25" s="38">
        <f>IF(AL25&lt;0,0,AN25*'Irradiancia Horizontal'!$F$7)</f>
        <v>0</v>
      </c>
      <c r="AP25">
        <f t="shared" si="6"/>
        <v>-1.5996661425873228E-2</v>
      </c>
      <c r="AQ25">
        <f>IF(AL25&lt;0,0,AP25*'Irradiancia Horizontal'!$F$39)</f>
        <v>0</v>
      </c>
      <c r="AU25" s="39">
        <f>'Cálculos iluminancia'!IG36</f>
        <v>0.79166666666666663</v>
      </c>
      <c r="AV25" s="38">
        <f>'Cálculos iluminancia'!IH36</f>
        <v>-105</v>
      </c>
      <c r="AW25" s="38">
        <f>'Cálculos iluminancia'!II36</f>
        <v>-2.5810689008028098</v>
      </c>
      <c r="AX25" s="38">
        <f>'Cálculos iluminancia'!IJ36</f>
        <v>-65.202516993585633</v>
      </c>
      <c r="AY25" s="38">
        <f t="shared" si="7"/>
        <v>-3.5045221617025211E-3</v>
      </c>
      <c r="AZ25" s="38">
        <f>IF(AW25&lt;0,0,AY25*'Irradiancia Horizontal'!$G$7)</f>
        <v>0</v>
      </c>
      <c r="BA25">
        <f t="shared" si="8"/>
        <v>-5.3565624151934773E-3</v>
      </c>
      <c r="BB25">
        <f>IF(AW25&lt;0,0,BA25*'Irradiancia Horizontal'!$G$39)</f>
        <v>0</v>
      </c>
      <c r="BF25" s="39">
        <f>'Cálculos iluminancia'!KN36</f>
        <v>0.79166666666666663</v>
      </c>
      <c r="BG25" s="38">
        <f>'Cálculos iluminancia'!KO36</f>
        <v>-105</v>
      </c>
      <c r="BH25" s="38">
        <f>'Cálculos iluminancia'!KP36</f>
        <v>-0.80777986614324515</v>
      </c>
      <c r="BI25" s="38">
        <f>'Cálculos iluminancia'!KQ36</f>
        <v>-62.404173266606605</v>
      </c>
      <c r="BJ25" s="38">
        <f t="shared" si="9"/>
        <v>-1.0980373125552476E-3</v>
      </c>
      <c r="BK25" s="38">
        <f>IF(BH25&lt;0,0,BJ25*'Irradiancia Horizontal'!$H$7)</f>
        <v>0</v>
      </c>
      <c r="BL25">
        <f t="shared" si="10"/>
        <v>-1.634530815498518E-3</v>
      </c>
      <c r="BM25">
        <f>IF(BH25&lt;0,0,BL25*'Irradiancia Horizontal'!$H$39)</f>
        <v>0</v>
      </c>
    </row>
    <row r="26" spans="3:65" x14ac:dyDescent="0.25">
      <c r="C26" s="39">
        <f>'Cálculos iluminancia'!E37</f>
        <v>0.83333333333333304</v>
      </c>
      <c r="D26" s="38">
        <f>'Cálculos iluminancia'!F37</f>
        <v>-120</v>
      </c>
      <c r="E26" s="38">
        <f>'Cálculos iluminancia'!G37</f>
        <v>-35.281146205343312</v>
      </c>
      <c r="F26" s="38">
        <f>'Cálculos iluminancia'!H37</f>
        <v>-95.111099483439872</v>
      </c>
      <c r="G26" s="38">
        <f t="shared" si="0"/>
        <v>-4.0784865182908699E-2</v>
      </c>
      <c r="H26" s="38">
        <f>IF(E26&lt;0,0,G26*'Irradiancia Horizontal'!$C$7)</f>
        <v>0</v>
      </c>
      <c r="I26">
        <f t="shared" si="11"/>
        <v>-0.13153656370978628</v>
      </c>
      <c r="J26">
        <f>IF(E26&lt;0,0,I26*'Irradiancia Horizontal'!$C$39)</f>
        <v>0</v>
      </c>
      <c r="N26" s="39">
        <f>'Cálculos iluminancia'!BL37</f>
        <v>0.83333333333333304</v>
      </c>
      <c r="O26" s="38">
        <f>'Cálculos iluminancia'!BM37</f>
        <v>-120</v>
      </c>
      <c r="P26" s="38">
        <f>'Cálculos iluminancia'!BN37</f>
        <v>-31.549339111474108</v>
      </c>
      <c r="Q26" s="38">
        <f>'Cálculos iluminancia'!BO37</f>
        <v>-85.408269313757486</v>
      </c>
      <c r="R26">
        <f t="shared" si="1"/>
        <v>-3.6032245901657579E-2</v>
      </c>
      <c r="S26">
        <f>IF(P26&lt;0,0,R26*'Irradiancia Horizontal'!$D$7)</f>
        <v>0</v>
      </c>
      <c r="T26">
        <f t="shared" si="2"/>
        <v>-9.5950678511373816E-2</v>
      </c>
      <c r="U26">
        <f>IF(P26&lt;0,0,T26*'Irradiancia Horizontal'!$D$39)</f>
        <v>0</v>
      </c>
      <c r="Y26" s="39">
        <f>'Cálculos iluminancia'!DS37</f>
        <v>0.83333333333333304</v>
      </c>
      <c r="Z26" s="38">
        <f>'Cálculos iluminancia'!DT37</f>
        <v>-120</v>
      </c>
      <c r="AA26" s="38">
        <f>'Cálculos iluminancia'!DU37</f>
        <v>-26.128398161118344</v>
      </c>
      <c r="AB26" s="38">
        <f>'Cálculos iluminancia'!DV37</f>
        <v>-74.70367218763036</v>
      </c>
      <c r="AC26" s="38">
        <f t="shared" si="3"/>
        <v>-2.9602085011296349E-2</v>
      </c>
      <c r="AD26" s="38">
        <f>IF(AA26&lt;0,0,AC26*'Irradiancia Horizontal'!$E$7)</f>
        <v>0</v>
      </c>
      <c r="AE26">
        <f t="shared" si="4"/>
        <v>-6.6370692770353415E-2</v>
      </c>
      <c r="AF26">
        <f>IF(AA26&lt;0,0,AE26*'Irradiancia Horizontal'!$E$39)</f>
        <v>0</v>
      </c>
      <c r="AJ26" s="39">
        <f>'Cálculos iluminancia'!FZ37</f>
        <v>0.83333333333333304</v>
      </c>
      <c r="AK26" s="38">
        <f>'Cálculos iluminancia'!GA37</f>
        <v>-120</v>
      </c>
      <c r="AL26" s="38">
        <f>'Cálculos iluminancia'!GB37</f>
        <v>-19.300479677277462</v>
      </c>
      <c r="AM26" s="38">
        <f>'Cálculos iluminancia'!GC37</f>
        <v>-64.016694998451214</v>
      </c>
      <c r="AN26" s="38">
        <f t="shared" si="5"/>
        <v>-2.2129398089669943E-2</v>
      </c>
      <c r="AO26" s="38">
        <f>IF(AL26&lt;0,0,AN26*'Irradiancia Horizontal'!$F$7)</f>
        <v>0</v>
      </c>
      <c r="AP26">
        <f t="shared" si="6"/>
        <v>-4.2627539415042895E-2</v>
      </c>
      <c r="AQ26">
        <f>IF(AL26&lt;0,0,AP26*'Irradiancia Horizontal'!$F$39)</f>
        <v>0</v>
      </c>
      <c r="AU26" s="39">
        <f>'Cálculos iluminancia'!IG37</f>
        <v>0.83333333333333304</v>
      </c>
      <c r="AV26" s="38">
        <f>'Cálculos iluminancia'!IH37</f>
        <v>-120</v>
      </c>
      <c r="AW26" s="38">
        <f>'Cálculos iluminancia'!II37</f>
        <v>-14.059262104382483</v>
      </c>
      <c r="AX26" s="38">
        <f>'Cálculos iluminancia'!IJ37</f>
        <v>-56.949460447538442</v>
      </c>
      <c r="AY26" s="38">
        <f t="shared" si="7"/>
        <v>-1.6511841760212451E-2</v>
      </c>
      <c r="AZ26" s="38">
        <f>IF(AW26&lt;0,0,AY26*'Irradiancia Horizontal'!$G$7)</f>
        <v>0</v>
      </c>
      <c r="BA26">
        <f t="shared" si="8"/>
        <v>-2.8895416536064433E-2</v>
      </c>
      <c r="BB26">
        <f>IF(AW26&lt;0,0,BA26*'Irradiancia Horizontal'!$G$39)</f>
        <v>0</v>
      </c>
      <c r="BF26" s="39">
        <f>'Cálculos iluminancia'!KN37</f>
        <v>0.83333333333333304</v>
      </c>
      <c r="BG26" s="38">
        <f>'Cálculos iluminancia'!KO37</f>
        <v>-120</v>
      </c>
      <c r="BH26" s="38">
        <f>'Cálculos iluminancia'!KP37</f>
        <v>-11.973998043852708</v>
      </c>
      <c r="BI26" s="38">
        <f>'Cálculos iluminancia'!KQ37</f>
        <v>-54.308590994652675</v>
      </c>
      <c r="BJ26" s="38">
        <f t="shared" si="9"/>
        <v>-1.4244450081041164E-2</v>
      </c>
      <c r="BK26" s="38">
        <f>IF(BH26&lt;0,0,BJ26*'Irradiancia Horizontal'!$H$7)</f>
        <v>0</v>
      </c>
      <c r="BL26">
        <f t="shared" si="10"/>
        <v>-2.4054024008926332E-2</v>
      </c>
      <c r="BM26">
        <f>IF(BH26&lt;0,0,BL26*'Irradiancia Horizontal'!$H$39)</f>
        <v>0</v>
      </c>
    </row>
    <row r="27" spans="3:65" x14ac:dyDescent="0.25">
      <c r="C27" s="39">
        <f>'Cálculos iluminancia'!E38</f>
        <v>0.875</v>
      </c>
      <c r="D27" s="38">
        <f>'Cálculos iluminancia'!F38</f>
        <v>-135</v>
      </c>
      <c r="E27" s="38">
        <f>'Cálculos iluminancia'!G38</f>
        <v>-48.376276838475903</v>
      </c>
      <c r="F27" s="38">
        <f>'Cálculos iluminancia'!H38</f>
        <v>-88.120784127746333</v>
      </c>
      <c r="G27" s="38">
        <f t="shared" si="0"/>
        <v>-3.4741457932174993E-2</v>
      </c>
      <c r="H27" s="38">
        <f>IF(E27&lt;0,0,G27*'Irradiancia Horizontal'!$C$7)</f>
        <v>0</v>
      </c>
      <c r="I27">
        <f t="shared" si="11"/>
        <v>-0.17023630632026063</v>
      </c>
      <c r="J27">
        <f>IF(E27&lt;0,0,I27*'Irradiancia Horizontal'!$C$39)</f>
        <v>0</v>
      </c>
      <c r="N27" s="39">
        <f>'Cálculos iluminancia'!BL38</f>
        <v>0.875</v>
      </c>
      <c r="O27" s="38">
        <f>'Cálculos iluminancia'!BM38</f>
        <v>-135</v>
      </c>
      <c r="P27" s="38">
        <f>'Cálculos iluminancia'!BN38</f>
        <v>-44.488704712458158</v>
      </c>
      <c r="Q27" s="38">
        <f>'Cálculos iluminancia'!BO38</f>
        <v>-76.465390391360472</v>
      </c>
      <c r="R27">
        <f t="shared" si="1"/>
        <v>-3.5760551107834299E-2</v>
      </c>
      <c r="S27">
        <f>IF(P27&lt;0,0,R27*'Irradiancia Horizontal'!$D$7)</f>
        <v>0</v>
      </c>
      <c r="T27">
        <f t="shared" si="2"/>
        <v>-0.12850733289675292</v>
      </c>
      <c r="U27">
        <f>IF(P27&lt;0,0,T27*'Irradiancia Horizontal'!$D$39)</f>
        <v>0</v>
      </c>
      <c r="Y27" s="39">
        <f>'Cálculos iluminancia'!DS38</f>
        <v>0.875</v>
      </c>
      <c r="Z27" s="38">
        <f>'Cálculos iluminancia'!DT38</f>
        <v>-135</v>
      </c>
      <c r="AA27" s="38">
        <f>'Cálculos iluminancia'!DU38</f>
        <v>-38.416908217684238</v>
      </c>
      <c r="AB27" s="38">
        <f>'Cálculos iluminancia'!DV38</f>
        <v>-64.483787989037083</v>
      </c>
      <c r="AC27" s="38">
        <f t="shared" si="3"/>
        <v>-3.3541460250920647E-2</v>
      </c>
      <c r="AD27" s="38">
        <f>IF(AA27&lt;0,0,AC27*'Irradiancia Horizontal'!$E$7)</f>
        <v>0</v>
      </c>
      <c r="AE27">
        <f t="shared" si="4"/>
        <v>-9.3648579744754851E-2</v>
      </c>
      <c r="AF27">
        <f>IF(AA27&lt;0,0,AE27*'Irradiancia Horizontal'!$E$39)</f>
        <v>0</v>
      </c>
      <c r="AJ27" s="39">
        <f>'Cálculos iluminancia'!FZ38</f>
        <v>0.875</v>
      </c>
      <c r="AK27" s="38">
        <f>'Cálculos iluminancia'!GA38</f>
        <v>-135</v>
      </c>
      <c r="AL27" s="38">
        <f>'Cálculos iluminancia'!GB38</f>
        <v>-30.519929247839638</v>
      </c>
      <c r="AM27" s="38">
        <f>'Cálculos iluminancia'!GC38</f>
        <v>-53.525917714699233</v>
      </c>
      <c r="AN27" s="38">
        <f t="shared" si="5"/>
        <v>-2.8886473691223293E-2</v>
      </c>
      <c r="AO27" s="38">
        <f>IF(AL27&lt;0,0,AN27*'Irradiancia Horizontal'!$F$7)</f>
        <v>0</v>
      </c>
      <c r="AP27">
        <f t="shared" si="6"/>
        <v>-6.5495992783813697E-2</v>
      </c>
      <c r="AQ27">
        <f>IF(AL27&lt;0,0,AP27*'Irradiancia Horizontal'!$F$39)</f>
        <v>0</v>
      </c>
      <c r="AU27" s="39">
        <f>'Cálculos iluminancia'!IG38</f>
        <v>0.875</v>
      </c>
      <c r="AV27" s="38">
        <f>'Cálculos iluminancia'!IH38</f>
        <v>-135</v>
      </c>
      <c r="AW27" s="38">
        <f>'Cálculos iluminancia'!II38</f>
        <v>-24.384588412739511</v>
      </c>
      <c r="AX27" s="38">
        <f>'Cálculos iluminancia'!IJ38</f>
        <v>-46.794279070804748</v>
      </c>
      <c r="AY27" s="38">
        <f t="shared" si="7"/>
        <v>-2.4570102241249742E-2</v>
      </c>
      <c r="AZ27" s="38">
        <f>IF(AW27&lt;0,0,AY27*'Irradiancia Horizontal'!$G$7)</f>
        <v>0</v>
      </c>
      <c r="BA27">
        <f t="shared" si="8"/>
        <v>-4.9108688814821166E-2</v>
      </c>
      <c r="BB27">
        <f>IF(AW27&lt;0,0,BA27*'Irradiancia Horizontal'!$G$39)</f>
        <v>0</v>
      </c>
      <c r="BF27" s="39">
        <f>'Cálculos iluminancia'!KN38</f>
        <v>0.875</v>
      </c>
      <c r="BG27" s="38">
        <f>'Cálculos iluminancia'!KO38</f>
        <v>-135</v>
      </c>
      <c r="BH27" s="38">
        <f>'Cálculos iluminancia'!KP38</f>
        <v>-21.932757611792816</v>
      </c>
      <c r="BI27" s="38">
        <f>'Cálculos iluminancia'!KQ38</f>
        <v>-44.372564277814263</v>
      </c>
      <c r="BJ27" s="38">
        <f t="shared" si="9"/>
        <v>-2.2685486974198539E-2</v>
      </c>
      <c r="BK27" s="38">
        <f>IF(BH27&lt;0,0,BJ27*'Irradiancia Horizontal'!$H$7)</f>
        <v>0</v>
      </c>
      <c r="BL27">
        <f t="shared" si="10"/>
        <v>-4.3306079268008835E-2</v>
      </c>
      <c r="BM27">
        <f>IF(BH27&lt;0,0,BL27*'Irradiancia Horizontal'!$H$39)</f>
        <v>0</v>
      </c>
    </row>
    <row r="28" spans="3:65" x14ac:dyDescent="0.25">
      <c r="C28" s="39">
        <f>'Cálculos iluminancia'!E39</f>
        <v>0.91666666666666696</v>
      </c>
      <c r="D28" s="38">
        <f>'Cálculos iluminancia'!F39</f>
        <v>-150</v>
      </c>
      <c r="E28" s="38">
        <f>'Cálculos iluminancia'!G39</f>
        <v>-61.392241505320605</v>
      </c>
      <c r="F28" s="38">
        <f>'Cálculos iluminancia'!H39</f>
        <v>-78.641634584200517</v>
      </c>
      <c r="G28" s="38">
        <f t="shared" si="0"/>
        <v>-2.4541841138230026E-2</v>
      </c>
      <c r="H28" s="38">
        <f>IF(E28&lt;0,0,G28*'Irradiancia Horizontal'!$C$7)</f>
        <v>0</v>
      </c>
      <c r="I28">
        <f t="shared" si="11"/>
        <v>-0.19993166325311693</v>
      </c>
      <c r="J28">
        <f>IF(E28&lt;0,0,I28*'Irradiancia Horizontal'!$C$39)</f>
        <v>0</v>
      </c>
      <c r="N28" s="39">
        <f>'Cálculos iluminancia'!BL39</f>
        <v>0.91666666666666696</v>
      </c>
      <c r="O28" s="38">
        <f>'Cálculos iluminancia'!BM39</f>
        <v>-150</v>
      </c>
      <c r="P28" s="38">
        <f>'Cálculos iluminancia'!BN39</f>
        <v>-56.824338115711754</v>
      </c>
      <c r="Q28" s="38">
        <f>'Cálculos iluminancia'!BO39</f>
        <v>-63.668970769506515</v>
      </c>
      <c r="R28">
        <f t="shared" si="1"/>
        <v>-3.1258311571895916E-2</v>
      </c>
      <c r="S28">
        <f>IF(P28&lt;0,0,R28*'Irradiancia Horizontal'!$D$7)</f>
        <v>0</v>
      </c>
      <c r="T28">
        <f t="shared" si="2"/>
        <v>-0.15348893244495793</v>
      </c>
      <c r="U28">
        <f>IF(P28&lt;0,0,T28*'Irradiancia Horizontal'!$D$39)</f>
        <v>0</v>
      </c>
      <c r="Y28" s="39">
        <f>'Cálculos iluminancia'!DS39</f>
        <v>0.91666666666666696</v>
      </c>
      <c r="Z28" s="38">
        <f>'Cálculos iluminancia'!DT39</f>
        <v>-150</v>
      </c>
      <c r="AA28" s="38">
        <f>'Cálculos iluminancia'!DU39</f>
        <v>-49.487232401773802</v>
      </c>
      <c r="AB28" s="38">
        <f>'Cálculos iluminancia'!DV39</f>
        <v>-50.323781849922142</v>
      </c>
      <c r="AC28" s="38">
        <f t="shared" si="3"/>
        <v>-3.3314560864630818E-2</v>
      </c>
      <c r="AD28" s="38">
        <f>IF(AA28&lt;0,0,AC28*'Irradiancia Horizontal'!$E$7)</f>
        <v>0</v>
      </c>
      <c r="AE28">
        <f t="shared" si="4"/>
        <v>-0.1145796385952528</v>
      </c>
      <c r="AF28">
        <f>IF(AA28&lt;0,0,AE28*'Irradiancia Horizontal'!$E$39)</f>
        <v>0</v>
      </c>
      <c r="AJ28" s="39">
        <f>'Cálculos iluminancia'!FZ39</f>
        <v>0.91666666666666696</v>
      </c>
      <c r="AK28" s="38">
        <f>'Cálculos iluminancia'!GA39</f>
        <v>-150</v>
      </c>
      <c r="AL28" s="38">
        <f>'Cálculos iluminancia'!GB39</f>
        <v>-40.08304052557321</v>
      </c>
      <c r="AM28" s="38">
        <f>'Cálculos iluminancia'!GC39</f>
        <v>-39.806701213504226</v>
      </c>
      <c r="AN28" s="38">
        <f t="shared" si="5"/>
        <v>-3.1649546861235799E-2</v>
      </c>
      <c r="AO28" s="38">
        <f>IF(AL28&lt;0,0,AN28*'Irradiancia Horizontal'!$F$7)</f>
        <v>0</v>
      </c>
      <c r="AP28">
        <f t="shared" si="6"/>
        <v>-8.3043574227009906E-2</v>
      </c>
      <c r="AQ28">
        <f>IF(AL28&lt;0,0,AP28*'Irradiancia Horizontal'!$F$39)</f>
        <v>0</v>
      </c>
      <c r="AU28" s="39">
        <f>'Cálculos iluminancia'!IG39</f>
        <v>0.91666666666666696</v>
      </c>
      <c r="AV28" s="38">
        <f>'Cálculos iluminancia'!IH39</f>
        <v>-150</v>
      </c>
      <c r="AW28" s="38">
        <f>'Cálculos iluminancia'!II39</f>
        <v>-32.905461024397972</v>
      </c>
      <c r="AX28" s="38">
        <f>'Cálculos iluminancia'!IJ39</f>
        <v>-33.996089916728636</v>
      </c>
      <c r="AY28" s="38">
        <f t="shared" si="7"/>
        <v>-2.8804082819028062E-2</v>
      </c>
      <c r="AZ28" s="38">
        <f>IF(AW28&lt;0,0,AY28*'Irradiancia Horizontal'!$G$7)</f>
        <v>0</v>
      </c>
      <c r="BA28">
        <f t="shared" si="8"/>
        <v>-6.4618878149678177E-2</v>
      </c>
      <c r="BB28">
        <f>IF(AW28&lt;0,0,BA28*'Irradiancia Horizontal'!$G$39)</f>
        <v>0</v>
      </c>
      <c r="BF28" s="39">
        <f>'Cálculos iluminancia'!KN39</f>
        <v>0.91666666666666696</v>
      </c>
      <c r="BG28" s="38">
        <f>'Cálculos iluminancia'!KO39</f>
        <v>-150</v>
      </c>
      <c r="BH28" s="38">
        <f>'Cálculos iluminancia'!KP39</f>
        <v>-30.061756873161897</v>
      </c>
      <c r="BI28" s="38">
        <f>'Cálculos iluminancia'!KQ39</f>
        <v>-32.005223707712958</v>
      </c>
      <c r="BJ28" s="38">
        <f t="shared" si="9"/>
        <v>-2.7378166454873079E-2</v>
      </c>
      <c r="BK28" s="38">
        <f>IF(BH28&lt;0,0,BJ28*'Irradiancia Horizontal'!$H$7)</f>
        <v>0</v>
      </c>
      <c r="BL28">
        <f t="shared" si="10"/>
        <v>-5.8078700842365119E-2</v>
      </c>
      <c r="BM28">
        <f>IF(BH28&lt;0,0,BL28*'Irradiancia Horizontal'!$H$39)</f>
        <v>0</v>
      </c>
    </row>
    <row r="29" spans="3:65" x14ac:dyDescent="0.25">
      <c r="C29" s="39">
        <f>'Cálculos iluminancia'!E40</f>
        <v>0.95833333333333304</v>
      </c>
      <c r="D29" s="38">
        <f>'Cálculos iluminancia'!F40</f>
        <v>-165</v>
      </c>
      <c r="E29" s="38">
        <f>'Cálculos iluminancia'!G40</f>
        <v>-73.716868534260627</v>
      </c>
      <c r="F29" s="38">
        <f>'Cálculos iluminancia'!H40</f>
        <v>-60.072270889731158</v>
      </c>
      <c r="G29" s="38">
        <f t="shared" si="0"/>
        <v>-1.5657597751559268E-2</v>
      </c>
      <c r="H29" s="38">
        <f>IF(E29&lt;0,0,G29*'Irradiancia Horizontal'!$C$7)</f>
        <v>0</v>
      </c>
      <c r="I29">
        <f t="shared" si="11"/>
        <v>-0.21859894500727867</v>
      </c>
      <c r="J29">
        <f>IF(E29&lt;0,0,I29*'Irradiancia Horizontal'!$C$39)</f>
        <v>0</v>
      </c>
      <c r="N29" s="39">
        <f>'Cálculos iluminancia'!BL40</f>
        <v>0.95833333333333304</v>
      </c>
      <c r="O29" s="38">
        <f>'Cálculos iluminancia'!BM40</f>
        <v>-165</v>
      </c>
      <c r="P29" s="38">
        <f>'Cálculos iluminancia'!BN40</f>
        <v>-67.31416291835562</v>
      </c>
      <c r="Q29" s="38">
        <f>'Cálculos iluminancia'!BO40</f>
        <v>-41.165405469571056</v>
      </c>
      <c r="R29">
        <f t="shared" si="1"/>
        <v>-2.651948345594184E-2</v>
      </c>
      <c r="S29">
        <f>IF(P29&lt;0,0,R29*'Irradiancia Horizontal'!$D$7)</f>
        <v>0</v>
      </c>
      <c r="T29">
        <f t="shared" si="2"/>
        <v>-0.16919302243082374</v>
      </c>
      <c r="U29">
        <f>IF(P29&lt;0,0,T29*'Irradiancia Horizontal'!$D$39)</f>
        <v>0</v>
      </c>
      <c r="Y29" s="39">
        <f>'Cálculos iluminancia'!DS40</f>
        <v>0.95833333333333304</v>
      </c>
      <c r="Z29" s="38">
        <f>'Cálculos iluminancia'!DT40</f>
        <v>-165</v>
      </c>
      <c r="AA29" s="38">
        <f>'Cálculos iluminancia'!DU40</f>
        <v>-57.947937391387804</v>
      </c>
      <c r="AB29" s="38">
        <f>'Cálculos iluminancia'!DV40</f>
        <v>-29.188938126724253</v>
      </c>
      <c r="AC29" s="38">
        <f t="shared" si="3"/>
        <v>-3.1727420297618235E-2</v>
      </c>
      <c r="AD29" s="38">
        <f>IF(AA29&lt;0,0,AC29*'Irradiancia Horizontal'!$E$7)</f>
        <v>0</v>
      </c>
      <c r="AE29">
        <f t="shared" si="4"/>
        <v>-0.12773745225139607</v>
      </c>
      <c r="AF29">
        <f>IF(AA29&lt;0,0,AE29*'Irradiancia Horizontal'!$E$39)</f>
        <v>0</v>
      </c>
      <c r="AJ29" s="39">
        <f>'Cálculos iluminancia'!FZ40</f>
        <v>0.95833333333333304</v>
      </c>
      <c r="AK29" s="38">
        <f>'Cálculos iluminancia'!GA40</f>
        <v>-165</v>
      </c>
      <c r="AL29" s="38">
        <f>'Cálculos iluminancia'!GB40</f>
        <v>-46.838424540719231</v>
      </c>
      <c r="AM29" s="38">
        <f>'Cálculos iluminancia'!GC40</f>
        <v>-21.756217560360398</v>
      </c>
      <c r="AN29" s="38">
        <f t="shared" si="5"/>
        <v>-3.2309976956018047E-2</v>
      </c>
      <c r="AO29" s="38">
        <f>IF(AL29&lt;0,0,AN29*'Irradiancia Horizontal'!$F$7)</f>
        <v>0</v>
      </c>
      <c r="AP29">
        <f t="shared" si="6"/>
        <v>-9.4074445068027132E-2</v>
      </c>
      <c r="AQ29">
        <f>IF(AL29&lt;0,0,AP29*'Irradiancia Horizontal'!$F$39)</f>
        <v>0</v>
      </c>
      <c r="AU29" s="39">
        <f>'Cálculos iluminancia'!IG40</f>
        <v>0.95833333333333304</v>
      </c>
      <c r="AV29" s="38">
        <f>'Cálculos iluminancia'!IH40</f>
        <v>-165</v>
      </c>
      <c r="AW29" s="38">
        <f>'Cálculos iluminancia'!II40</f>
        <v>-38.698645677170404</v>
      </c>
      <c r="AX29" s="38">
        <f>'Cálculos iluminancia'!IJ40</f>
        <v>-18.140977525375803</v>
      </c>
      <c r="AY29" s="38">
        <f t="shared" si="7"/>
        <v>-3.0599181063246855E-2</v>
      </c>
      <c r="AZ29" s="38">
        <f>IF(AW29&lt;0,0,AY29*'Irradiancia Horizontal'!$G$7)</f>
        <v>0</v>
      </c>
      <c r="BA29">
        <f t="shared" si="8"/>
        <v>-7.4368990769264745E-2</v>
      </c>
      <c r="BB29">
        <f>IF(AW29&lt;0,0,BA29*'Irradiancia Horizontal'!$G$39)</f>
        <v>0</v>
      </c>
      <c r="BF29" s="39">
        <f>'Cálculos iluminancia'!KN40</f>
        <v>0.95833333333333304</v>
      </c>
      <c r="BG29" s="38">
        <f>'Cálculos iluminancia'!KO40</f>
        <v>-165</v>
      </c>
      <c r="BH29" s="38">
        <f>'Cálculos iluminancia'!KP40</f>
        <v>-35.522989333110012</v>
      </c>
      <c r="BI29" s="38">
        <f>'Cálculos iluminancia'!KQ40</f>
        <v>-16.962222906987591</v>
      </c>
      <c r="BJ29" s="38">
        <f t="shared" si="9"/>
        <v>-2.9534951349117721E-2</v>
      </c>
      <c r="BK29" s="38">
        <f>IF(BH29&lt;0,0,BJ29*'Irradiancia Horizontal'!$H$7)</f>
        <v>0</v>
      </c>
      <c r="BL29">
        <f t="shared" si="10"/>
        <v>-6.7365158984614204E-2</v>
      </c>
      <c r="BM29">
        <f>IF(BH29&lt;0,0,BL29*'Irradiancia Horizontal'!$H$39)</f>
        <v>0</v>
      </c>
    </row>
    <row r="30" spans="3:65" x14ac:dyDescent="0.25">
      <c r="C30" s="39">
        <f>'Cálculos iluminancia'!E41</f>
        <v>1</v>
      </c>
      <c r="D30" s="38">
        <f>'Cálculos iluminancia'!F41</f>
        <v>-180</v>
      </c>
      <c r="E30" s="38">
        <f>'Cálculos iluminancia'!G41</f>
        <v>-81.058014821567568</v>
      </c>
      <c r="F30" s="38">
        <f>'Cálculos iluminancia'!H41</f>
        <v>0</v>
      </c>
      <c r="G30" s="38">
        <f t="shared" si="0"/>
        <v>-1.2190811973845235E-2</v>
      </c>
      <c r="H30" s="38">
        <f>IF(E30&lt;0,0,G30*'Irradiancia Horizontal'!$C$7)</f>
        <v>0</v>
      </c>
      <c r="I30">
        <f t="shared" si="11"/>
        <v>-0.22496600718034143</v>
      </c>
      <c r="J30">
        <f>IF(E30&lt;0,0,I30*'Irradiancia Horizontal'!$C$39)</f>
        <v>0</v>
      </c>
      <c r="N30" s="39">
        <f>'Cálculos iluminancia'!BL41</f>
        <v>1</v>
      </c>
      <c r="O30" s="38">
        <f>'Cálculos iluminancia'!BM41</f>
        <v>-180</v>
      </c>
      <c r="P30" s="38">
        <f>'Cálculos iluminancia'!BN41</f>
        <v>-72.146308550715247</v>
      </c>
      <c r="Q30" s="38">
        <f>'Cálculos iluminancia'!BO41</f>
        <v>0</v>
      </c>
      <c r="R30">
        <f t="shared" si="1"/>
        <v>-2.4566180935122108E-2</v>
      </c>
      <c r="S30">
        <f>IF(P30&lt;0,0,R30*'Irradiancia Horizontal'!$D$7)</f>
        <v>0</v>
      </c>
      <c r="T30">
        <f t="shared" si="2"/>
        <v>-0.17454939507404954</v>
      </c>
      <c r="U30">
        <f>IF(P30&lt;0,0,T30*'Irradiancia Horizontal'!$D$39)</f>
        <v>0</v>
      </c>
      <c r="Y30" s="39">
        <f>'Cálculos iluminancia'!DS41</f>
        <v>1</v>
      </c>
      <c r="Z30" s="38">
        <f>'Cálculos iluminancia'!DT41</f>
        <v>-180</v>
      </c>
      <c r="AA30" s="38">
        <f>'Cálculos iluminancia'!DU41</f>
        <v>-61.323653201854306</v>
      </c>
      <c r="AB30" s="38">
        <f>'Cálculos iluminancia'!DV41</f>
        <v>0</v>
      </c>
      <c r="AC30" s="38">
        <f t="shared" si="3"/>
        <v>-3.093103903771309E-2</v>
      </c>
      <c r="AD30" s="38">
        <f>IF(AA30&lt;0,0,AC30*'Irradiancia Horizontal'!$E$7)</f>
        <v>0</v>
      </c>
      <c r="AE30">
        <f t="shared" si="4"/>
        <v>-0.13222533745683371</v>
      </c>
      <c r="AF30">
        <f>IF(AA30&lt;0,0,AE30*'Irradiancia Horizontal'!$E$39)</f>
        <v>0</v>
      </c>
      <c r="AJ30" s="39">
        <f>'Cálculos iluminancia'!FZ41</f>
        <v>1</v>
      </c>
      <c r="AK30" s="38">
        <f>'Cálculos iluminancia'!GA41</f>
        <v>-180</v>
      </c>
      <c r="AL30" s="38">
        <f>'Cálculos iluminancia'!GB41</f>
        <v>-49.340963348748545</v>
      </c>
      <c r="AM30" s="38">
        <f>'Cálculos iluminancia'!GC41</f>
        <v>0</v>
      </c>
      <c r="AN30" s="38">
        <f t="shared" si="5"/>
        <v>-3.2345172240311228E-2</v>
      </c>
      <c r="AO30" s="38">
        <f>IF(AL30&lt;0,0,AN30*'Irradiancia Horizontal'!$F$7)</f>
        <v>0</v>
      </c>
      <c r="AP30">
        <f t="shared" si="6"/>
        <v>-9.7836869688426059E-2</v>
      </c>
      <c r="AQ30">
        <f>IF(AL30&lt;0,0,AP30*'Irradiancia Horizontal'!$F$39)</f>
        <v>0</v>
      </c>
      <c r="AU30" s="39">
        <f>'Cálculos iluminancia'!IG41</f>
        <v>1</v>
      </c>
      <c r="AV30" s="38">
        <f>'Cálculos iluminancia'!IH41</f>
        <v>-180</v>
      </c>
      <c r="AW30" s="38">
        <f>'Cálculos iluminancia'!II41</f>
        <v>-40.781985178432421</v>
      </c>
      <c r="AX30" s="38">
        <f>'Cálculos iluminancia'!IJ41</f>
        <v>0</v>
      </c>
      <c r="AY30" s="38">
        <f t="shared" si="7"/>
        <v>-3.1058470451273894E-2</v>
      </c>
      <c r="AZ30" s="38">
        <f>IF(AW30&lt;0,0,AY30*'Irradiancia Horizontal'!$G$7)</f>
        <v>0</v>
      </c>
      <c r="BA30">
        <f t="shared" si="8"/>
        <v>-7.7694572611379034E-2</v>
      </c>
      <c r="BB30">
        <f>IF(AW30&lt;0,0,BA30*'Irradiancia Horizontal'!$G$39)</f>
        <v>0</v>
      </c>
      <c r="BF30" s="39">
        <f>'Cálculos iluminancia'!KN41</f>
        <v>1</v>
      </c>
      <c r="BG30" s="38">
        <f>'Cálculos iluminancia'!KO41</f>
        <v>-180</v>
      </c>
      <c r="BH30" s="38">
        <f>'Cálculos iluminancia'!KP41</f>
        <v>-37.47021715318634</v>
      </c>
      <c r="BI30" s="38">
        <f>'Cálculos iluminancia'!KQ41</f>
        <v>0</v>
      </c>
      <c r="BJ30" s="38">
        <f t="shared" si="9"/>
        <v>-3.0130553363144089E-2</v>
      </c>
      <c r="BK30" s="38">
        <f>IF(BH30&lt;0,0,BJ30*'Irradiancia Horizontal'!$H$7)</f>
        <v>0</v>
      </c>
      <c r="BL30">
        <f t="shared" si="10"/>
        <v>-7.053259691895955E-2</v>
      </c>
      <c r="BM30">
        <f>IF(BH30&lt;0,0,BL30*'Irradiancia Horizontal'!$H$39)</f>
        <v>0</v>
      </c>
    </row>
    <row r="34" spans="2:65" x14ac:dyDescent="0.25">
      <c r="B34" s="99" t="str">
        <f>'Cálculos iluminancia'!D44</f>
        <v>Día</v>
      </c>
      <c r="C34" s="99">
        <f>'Cálculos iluminancia'!E44</f>
        <v>21</v>
      </c>
      <c r="D34" s="315"/>
      <c r="E34" s="315"/>
      <c r="F34" s="328"/>
      <c r="G34" s="315"/>
      <c r="H34" s="355" t="s">
        <v>136</v>
      </c>
      <c r="I34" s="355" t="s">
        <v>50</v>
      </c>
      <c r="M34" s="99" t="str">
        <f>'Cálculos iluminancia'!BK44</f>
        <v>Día</v>
      </c>
      <c r="N34" s="99">
        <f>'Cálculos iluminancia'!BL44</f>
        <v>21</v>
      </c>
      <c r="O34" s="315"/>
      <c r="P34" s="315"/>
      <c r="Q34" s="328"/>
      <c r="R34" s="315"/>
      <c r="S34" s="355" t="s">
        <v>136</v>
      </c>
      <c r="T34" s="355" t="s">
        <v>50</v>
      </c>
      <c r="X34" s="99" t="str">
        <f>'Cálculos iluminancia'!DR44</f>
        <v>Día</v>
      </c>
      <c r="Y34" s="99">
        <f>'Cálculos iluminancia'!DS44</f>
        <v>21</v>
      </c>
      <c r="Z34" s="315"/>
      <c r="AA34" s="315"/>
      <c r="AB34" s="328"/>
      <c r="AC34" s="315"/>
      <c r="AD34" s="355" t="s">
        <v>136</v>
      </c>
      <c r="AE34" s="355" t="s">
        <v>50</v>
      </c>
      <c r="AI34" s="99" t="str">
        <f>'Cálculos iluminancia'!FY44</f>
        <v>Día</v>
      </c>
      <c r="AJ34" s="99">
        <f>'Cálculos iluminancia'!FZ44</f>
        <v>21</v>
      </c>
      <c r="AK34" s="315"/>
      <c r="AL34" s="315"/>
      <c r="AM34" s="328"/>
      <c r="AN34" s="315"/>
      <c r="AO34" s="355" t="s">
        <v>136</v>
      </c>
      <c r="AP34" s="355" t="s">
        <v>50</v>
      </c>
      <c r="AT34" s="99" t="str">
        <f>'Cálculos iluminancia'!IF44</f>
        <v>Día</v>
      </c>
      <c r="AU34" s="99">
        <f>'Cálculos iluminancia'!IG44</f>
        <v>21</v>
      </c>
      <c r="AV34" s="315"/>
      <c r="AW34" s="315"/>
      <c r="AX34" s="328"/>
      <c r="AY34" s="315"/>
      <c r="AZ34" s="355" t="s">
        <v>136</v>
      </c>
      <c r="BA34" s="355" t="s">
        <v>50</v>
      </c>
      <c r="BE34" s="99" t="str">
        <f>'Cálculos iluminancia'!KM44</f>
        <v>Día</v>
      </c>
      <c r="BF34" s="99">
        <f>'Cálculos iluminancia'!KN44</f>
        <v>21</v>
      </c>
      <c r="BG34" s="315"/>
      <c r="BH34" s="315"/>
      <c r="BI34" s="328"/>
      <c r="BJ34" s="315"/>
      <c r="BK34" s="355" t="s">
        <v>136</v>
      </c>
      <c r="BL34" s="355" t="s">
        <v>50</v>
      </c>
    </row>
    <row r="35" spans="2:65" x14ac:dyDescent="0.25">
      <c r="B35" s="99" t="str">
        <f>'Cálculos iluminancia'!D45</f>
        <v>Mes</v>
      </c>
      <c r="C35" s="99">
        <f>'Cálculos iluminancia'!E45</f>
        <v>7</v>
      </c>
      <c r="D35" s="315"/>
      <c r="E35" s="315"/>
      <c r="F35" s="328"/>
      <c r="G35" s="315"/>
      <c r="H35" s="355"/>
      <c r="I35" s="355"/>
      <c r="M35" s="99" t="str">
        <f>'Cálculos iluminancia'!BK45</f>
        <v>Mes</v>
      </c>
      <c r="N35" s="99">
        <f>'Cálculos iluminancia'!BL45</f>
        <v>8</v>
      </c>
      <c r="O35" s="315"/>
      <c r="P35" s="315"/>
      <c r="Q35" s="328"/>
      <c r="R35" s="315"/>
      <c r="S35" s="355"/>
      <c r="T35" s="355"/>
      <c r="X35" s="99" t="str">
        <f>'Cálculos iluminancia'!DR45</f>
        <v>Mes</v>
      </c>
      <c r="Y35" s="99">
        <f>'Cálculos iluminancia'!DS45</f>
        <v>9</v>
      </c>
      <c r="Z35" s="315"/>
      <c r="AA35" s="315"/>
      <c r="AB35" s="328"/>
      <c r="AC35" s="315"/>
      <c r="AD35" s="355"/>
      <c r="AE35" s="355"/>
      <c r="AI35" s="99" t="str">
        <f>'Cálculos iluminancia'!FY45</f>
        <v>Mes</v>
      </c>
      <c r="AJ35" s="99">
        <f>'Cálculos iluminancia'!FZ45</f>
        <v>10</v>
      </c>
      <c r="AK35" s="315"/>
      <c r="AL35" s="315"/>
      <c r="AM35" s="328"/>
      <c r="AN35" s="315"/>
      <c r="AO35" s="355"/>
      <c r="AP35" s="355"/>
      <c r="AT35" s="99" t="str">
        <f>'Cálculos iluminancia'!IF45</f>
        <v>Mes</v>
      </c>
      <c r="AU35" s="99">
        <f>'Cálculos iluminancia'!IG45</f>
        <v>11</v>
      </c>
      <c r="AV35" s="315"/>
      <c r="AW35" s="315"/>
      <c r="AX35" s="328"/>
      <c r="AY35" s="315"/>
      <c r="AZ35" s="355"/>
      <c r="BA35" s="355"/>
      <c r="BE35" s="99" t="str">
        <f>'Cálculos iluminancia'!KM45</f>
        <v>Mes</v>
      </c>
      <c r="BF35" s="99">
        <f>'Cálculos iluminancia'!KN45</f>
        <v>12</v>
      </c>
      <c r="BG35" s="315"/>
      <c r="BH35" s="315"/>
      <c r="BI35" s="328"/>
      <c r="BJ35" s="315"/>
      <c r="BK35" s="355"/>
      <c r="BL35" s="355"/>
    </row>
    <row r="36" spans="2:65" x14ac:dyDescent="0.25">
      <c r="D36" s="97">
        <f>'Cálculos iluminancia'!F46</f>
        <v>202</v>
      </c>
      <c r="E36" s="97">
        <f>'Cálculos iluminancia'!G46</f>
        <v>20.44151317373359</v>
      </c>
      <c r="F36" s="97">
        <f>'Cálculos iluminancia'!H46</f>
        <v>29.08</v>
      </c>
      <c r="G36" s="38">
        <f>DEGREES(ACOS((-TAN(RADIANS(F36)))*TAN(RADIANS(E36))))</f>
        <v>101.96322483458354</v>
      </c>
      <c r="H36" s="38">
        <f>0.409+0.5016*SIN(RADIANS(G36-60))</f>
        <v>0.74439658694728505</v>
      </c>
      <c r="I36" s="38">
        <f>0.6609-0.4767*SIN(RADIANS(G36-60))</f>
        <v>0.34215288477318423</v>
      </c>
      <c r="O36" s="97">
        <f>'Cálculos iluminancia'!BM46</f>
        <v>233</v>
      </c>
      <c r="P36" s="97">
        <f>'Cálculos iluminancia'!BN46</f>
        <v>11.754120525303437</v>
      </c>
      <c r="Q36" s="97">
        <f>'Cálculos iluminancia'!BO46</f>
        <v>29.08</v>
      </c>
      <c r="R36" s="38">
        <f>DEGREES(ACOS((-TAN(RADIANS(Q36)))*TAN(RADIANS(P36))))</f>
        <v>96.645047265110051</v>
      </c>
      <c r="S36" s="38">
        <f>0.409+0.5016*SIN(RADIANS(R36-60))</f>
        <v>0.70838291154661048</v>
      </c>
      <c r="T36" s="38">
        <f>0.6609-0.4767*SIN(RADIANS(R36-60))</f>
        <v>0.3763787999715526</v>
      </c>
      <c r="Z36" s="97">
        <f>'Cálculos iluminancia'!DT46</f>
        <v>264</v>
      </c>
      <c r="AA36" s="97">
        <f>'Cálculos iluminancia'!DU46</f>
        <v>-0.20183407703972808</v>
      </c>
      <c r="AB36" s="97">
        <f>'Cálculos iluminancia'!DV46</f>
        <v>29.08</v>
      </c>
      <c r="AC36" s="38">
        <f>DEGREES(ACOS((-TAN(RADIANS(AB36)))*TAN(RADIANS(AA36))))</f>
        <v>89.887752319365745</v>
      </c>
      <c r="AD36" s="38">
        <f>0.409+0.5016*SIN(RADIANS(AC36-60))</f>
        <v>0.6589484931083236</v>
      </c>
      <c r="AE36" s="38">
        <f>0.6609-0.4767*SIN(RADIANS(AC36-60))</f>
        <v>0.42335923711176671</v>
      </c>
      <c r="AK36" s="97">
        <f>'Cálculos iluminancia'!GA46</f>
        <v>294</v>
      </c>
      <c r="AL36" s="97">
        <f>'Cálculos iluminancia'!GB46</f>
        <v>-11.754120525303421</v>
      </c>
      <c r="AM36" s="97">
        <f>'Cálculos iluminancia'!GC46</f>
        <v>29.08</v>
      </c>
      <c r="AN36" s="38">
        <f>DEGREES(ACOS((-TAN(RADIANS(AM36)))*TAN(RADIANS(AL36))))</f>
        <v>83.354952734889963</v>
      </c>
      <c r="AO36" s="38">
        <f>0.409+0.5016*SIN(RADIANS(AN36-60))</f>
        <v>0.60784738597235421</v>
      </c>
      <c r="AP36" s="38">
        <f>0.6609-0.4767*SIN(RADIANS(AN36-60))</f>
        <v>0.47192362660880938</v>
      </c>
      <c r="AV36" s="97">
        <f>'Cálculos iluminancia'!IH46</f>
        <v>325</v>
      </c>
      <c r="AW36" s="97">
        <f>'Cálculos iluminancia'!II46</f>
        <v>-20.441513173733579</v>
      </c>
      <c r="AX36" s="97">
        <f>'Cálculos iluminancia'!IJ46</f>
        <v>29.08</v>
      </c>
      <c r="AY36" s="38">
        <f>DEGREES(ACOS((-TAN(RADIANS(AX36)))*TAN(RADIANS(AW36))))</f>
        <v>78.036775165416472</v>
      </c>
      <c r="AZ36" s="38">
        <f>0.409+0.5016*SIN(RADIANS(AY36-60))</f>
        <v>0.56430908585086181</v>
      </c>
      <c r="BA36" s="38">
        <f>0.6609-0.4767*SIN(RADIANS(AY36-60))</f>
        <v>0.51330063551613681</v>
      </c>
      <c r="BG36" s="97">
        <f>'Cálculos iluminancia'!KO46</f>
        <v>355</v>
      </c>
      <c r="BH36" s="97">
        <f>'Cálculos iluminancia'!KP46</f>
        <v>-23.449782846813658</v>
      </c>
      <c r="BI36" s="97">
        <f>'Cálculos iluminancia'!KQ46</f>
        <v>29.08</v>
      </c>
      <c r="BJ36" s="38">
        <f>DEGREES(ACOS((-TAN(RADIANS(BI36)))*TAN(RADIANS(BH36))))</f>
        <v>76.040537264397912</v>
      </c>
      <c r="BK36" s="38">
        <f>0.409+0.5016*SIN(RADIANS(BJ36-60))</f>
        <v>0.5476008017293128</v>
      </c>
      <c r="BL36" s="38">
        <f>0.6609-0.4767*SIN(RADIANS(BJ36-60))</f>
        <v>0.52917950122734569</v>
      </c>
    </row>
    <row r="37" spans="2:65" x14ac:dyDescent="0.25">
      <c r="C37" s="317" t="s">
        <v>90</v>
      </c>
      <c r="D37" s="315"/>
      <c r="E37" s="315"/>
      <c r="F37" s="315"/>
      <c r="G37" s="355"/>
      <c r="H37" s="355"/>
      <c r="I37" s="355"/>
      <c r="J37" s="355"/>
      <c r="K37" s="101"/>
      <c r="N37" s="317" t="s">
        <v>90</v>
      </c>
      <c r="O37" s="315"/>
      <c r="P37" s="315"/>
      <c r="Q37" s="315"/>
      <c r="R37" s="355"/>
      <c r="S37" s="355"/>
      <c r="T37" s="355"/>
      <c r="U37" s="355"/>
      <c r="V37" s="101"/>
      <c r="Y37" s="317" t="s">
        <v>90</v>
      </c>
      <c r="Z37" s="315"/>
      <c r="AA37" s="315"/>
      <c r="AB37" s="315"/>
      <c r="AC37" s="355"/>
      <c r="AD37" s="355"/>
      <c r="AE37" s="355"/>
      <c r="AF37" s="355"/>
      <c r="AG37" s="101"/>
      <c r="AJ37" s="317" t="s">
        <v>90</v>
      </c>
      <c r="AK37" s="315"/>
      <c r="AL37" s="315"/>
      <c r="AM37" s="315"/>
      <c r="AN37" s="355"/>
      <c r="AO37" s="355"/>
      <c r="AP37" s="355"/>
      <c r="AQ37" s="355"/>
      <c r="AR37" s="101"/>
      <c r="AU37" s="317" t="s">
        <v>90</v>
      </c>
      <c r="AV37" s="315"/>
      <c r="AW37" s="315"/>
      <c r="AX37" s="315"/>
      <c r="AY37" s="355"/>
      <c r="AZ37" s="355"/>
      <c r="BA37" s="355"/>
      <c r="BB37" s="355"/>
      <c r="BC37" s="101"/>
      <c r="BF37" s="317" t="s">
        <v>90</v>
      </c>
      <c r="BG37" s="315"/>
      <c r="BH37" s="315"/>
      <c r="BI37" s="315"/>
      <c r="BJ37" s="355"/>
      <c r="BK37" s="355"/>
      <c r="BL37" s="355"/>
      <c r="BM37" s="355"/>
    </row>
    <row r="38" spans="2:65" x14ac:dyDescent="0.25">
      <c r="C38" s="318"/>
      <c r="D38" s="315"/>
      <c r="E38" s="315"/>
      <c r="F38" s="315"/>
      <c r="G38" s="355"/>
      <c r="H38" s="355"/>
      <c r="I38" s="355"/>
      <c r="J38" s="355"/>
      <c r="K38" s="101"/>
      <c r="N38" s="318"/>
      <c r="O38" s="315"/>
      <c r="P38" s="315"/>
      <c r="Q38" s="315"/>
      <c r="R38" s="355"/>
      <c r="S38" s="355"/>
      <c r="T38" s="355"/>
      <c r="U38" s="355"/>
      <c r="V38" s="101"/>
      <c r="Y38" s="318"/>
      <c r="Z38" s="315"/>
      <c r="AA38" s="315"/>
      <c r="AB38" s="315"/>
      <c r="AC38" s="355"/>
      <c r="AD38" s="355"/>
      <c r="AE38" s="355"/>
      <c r="AF38" s="355"/>
      <c r="AG38" s="101"/>
      <c r="AJ38" s="318"/>
      <c r="AK38" s="315"/>
      <c r="AL38" s="315"/>
      <c r="AM38" s="315"/>
      <c r="AN38" s="355"/>
      <c r="AO38" s="355"/>
      <c r="AP38" s="355"/>
      <c r="AQ38" s="355"/>
      <c r="AR38" s="101"/>
      <c r="AU38" s="318"/>
      <c r="AV38" s="315"/>
      <c r="AW38" s="315"/>
      <c r="AX38" s="315"/>
      <c r="AY38" s="355"/>
      <c r="AZ38" s="355"/>
      <c r="BA38" s="355"/>
      <c r="BB38" s="355"/>
      <c r="BC38" s="101"/>
      <c r="BF38" s="318"/>
      <c r="BG38" s="315"/>
      <c r="BH38" s="315"/>
      <c r="BI38" s="315"/>
      <c r="BJ38" s="355"/>
      <c r="BK38" s="355"/>
      <c r="BL38" s="355"/>
      <c r="BM38" s="355"/>
    </row>
    <row r="39" spans="2:65" x14ac:dyDescent="0.25">
      <c r="C39" s="39">
        <f>'Cálculos iluminancia'!E49</f>
        <v>4.1666666666666664E-2</v>
      </c>
      <c r="D39" s="38">
        <f>'Cálculos iluminancia'!F49</f>
        <v>165</v>
      </c>
      <c r="E39" s="38">
        <f>'Cálculos iluminancia'!G49</f>
        <v>-38.408119853513838</v>
      </c>
      <c r="F39" s="38">
        <f>'Cálculos iluminancia'!H49</f>
        <v>18.028725663187345</v>
      </c>
      <c r="G39" s="38">
        <f>(PI()/24)*($H$36+$I$36*COS(RADIANS(D39)))*((COS(RADIANS(D39))-COS(RADIANS($G$36)))/(SIN(RADIANS($G$36))-(RADIANS($G$36))*COS(RADIANS($G$36))))</f>
        <v>-3.0510796132852396E-2</v>
      </c>
      <c r="H39" s="38">
        <f>IF(E39&lt;0,0,G39*'Irradiancia Horizontal'!$I$7)</f>
        <v>0</v>
      </c>
      <c r="I39">
        <f>(PI()/24)*((COS(RADIANS(D39))-COS(RADIANS($G$36)))/(SIN(RADIANS($G$36))-(RADIANS($G$36))*COS(RADIANS($G$36))))</f>
        <v>-7.3714974960170807E-2</v>
      </c>
      <c r="J39">
        <f>IF(E39&lt;0,0,I39*'Irradiancia Horizontal'!$I$39)</f>
        <v>0</v>
      </c>
      <c r="N39" s="39">
        <f>'Cálculos iluminancia'!BL49</f>
        <v>4.1666666666666699E-2</v>
      </c>
      <c r="O39" s="38">
        <f>'Cálculos iluminancia'!BM49</f>
        <v>165</v>
      </c>
      <c r="P39" s="38">
        <f>'Cálculos iluminancia'!BN49</f>
        <v>-46.673158273074598</v>
      </c>
      <c r="Q39" s="38">
        <f>'Cálculos iluminancia'!BO49</f>
        <v>21.671843965141704</v>
      </c>
      <c r="R39" s="38">
        <f>(PI()/24)*($S$36+$T$36*COS(RADIANS(O39)))*((COS(RADIANS(O39))-COS(RADIANS($R$36)))/(SIN(RADIANS($R$36))-(RADIANS($R$36))*COS(RADIANS($R$36))))</f>
        <v>-3.229075587023008E-2</v>
      </c>
      <c r="S39" s="38">
        <f>IF(P39&lt;0,0,R39*'Irradiancia Horizontal'!$J$7)</f>
        <v>0</v>
      </c>
      <c r="T39">
        <f>(PI()/24)*((COS(RADIANS(O39))-COS(RADIANS($R$36)))/(SIN(RADIANS($R$36))-(RADIANS($R$36))*COS(RADIANS($R$36))))</f>
        <v>-9.3642833021339966E-2</v>
      </c>
      <c r="U39">
        <f>IF(P39&lt;0,0,T39*'Irradiancia Horizontal'!$J$39)</f>
        <v>0</v>
      </c>
      <c r="Y39" s="39">
        <f>'Cálculos iluminancia'!DS49</f>
        <v>4.1666666666666699E-2</v>
      </c>
      <c r="Z39" s="38">
        <f>'Cálculos iluminancia'!DT49</f>
        <v>165</v>
      </c>
      <c r="AA39" s="38">
        <f>'Cálculos iluminancia'!DU49</f>
        <v>-57.765265737180506</v>
      </c>
      <c r="AB39" s="38">
        <f>'Cálculos iluminancia'!DV49</f>
        <v>29.027667227369875</v>
      </c>
      <c r="AC39" s="38">
        <f>(PI()/24)*($AD$36+$AE$36*COS(RADIANS(Z39)))*((COS(RADIANS(Z39))-COS(RADIANS($AC$36)))/(SIN(RADIANS($AC$36))-(RADIANS($AC$36))*COS(RADIANS($AC$36))))</f>
        <v>-3.1773560892776796E-2</v>
      </c>
      <c r="AD39" s="38">
        <f>IF(AA39&lt;0,0,AC39*'Irradiancia Horizontal'!$K$7)</f>
        <v>0</v>
      </c>
      <c r="AE39">
        <f>(PI()/24)*((COS(RADIANS(Z39))-COS(RADIANS($AC$36)))/(SIN(RADIANS($AC$36))-(RADIANS($AC$36))*COS(RADIANS($AC$36))))</f>
        <v>-0.12708668334493692</v>
      </c>
      <c r="AF39">
        <f>IF(AA39&lt;0,0,AE39*'Irradiancia Horizontal'!$K$39)</f>
        <v>0</v>
      </c>
      <c r="AJ39" s="39">
        <f>'Cálculos iluminancia'!FZ49</f>
        <v>4.1666666666666699E-2</v>
      </c>
      <c r="AK39" s="38">
        <f>'Cálculos iluminancia'!GA49</f>
        <v>165</v>
      </c>
      <c r="AL39" s="38">
        <f>'Cálculos iluminancia'!GB49</f>
        <v>-67.739632253222211</v>
      </c>
      <c r="AM39" s="38">
        <f>'Cálculos iluminancia'!GC49</f>
        <v>41.982577246800219</v>
      </c>
      <c r="AN39" s="38">
        <f>(PI()/24)*($AO$36+$AP$36*COS(RADIANS(AK39)))*((COS(RADIANS(AK39))-COS(RADIANS($AN$36)))/(SIN(RADIANS($AN$36))-(RADIANS($AN$36))*COS(RADIANS($AN$36))))</f>
        <v>-2.6089133264490354E-2</v>
      </c>
      <c r="AO39" s="38">
        <f>IF(AL39&lt;0,0,AN39*'Irradiancia Horizontal'!$L$7)</f>
        <v>0</v>
      </c>
      <c r="AP39">
        <f>(PI()/24)*((COS(RADIANS(AK39))-COS(RADIANS($AN$36)))/(SIN(RADIANS($AN$36))-(RADIANS($AN$36))*COS(RADIANS($AN$36))))</f>
        <v>-0.17163432937575063</v>
      </c>
      <c r="AQ39">
        <f>IF(AL39&lt;0,0,AP39*'Irradiancia Horizontal'!$L$39)</f>
        <v>0</v>
      </c>
      <c r="AU39" s="39">
        <f>'Cálculos iluminancia'!IG49</f>
        <v>4.1666666666666699E-2</v>
      </c>
      <c r="AV39" s="38">
        <f>'Cálculos iluminancia'!IH49</f>
        <v>165</v>
      </c>
      <c r="AW39" s="38">
        <f>'Cálculos iluminancia'!II49</f>
        <v>-73.894403228018092</v>
      </c>
      <c r="AX39" s="38">
        <f>'Cálculos iluminancia'!IJ49</f>
        <v>60.954897692664431</v>
      </c>
      <c r="AY39" s="38">
        <f>(PI()/24)*($AZ$36+$BA$36*COS(RADIANS(AV39)))*((COS(RADIANS(AV39))-COS(RADIANS($AY$36)))/(SIN(RADIANS($AY$36))-(RADIANS($AY$36))*COS(RADIANS($AY$36))))</f>
        <v>-1.5115142682827926E-2</v>
      </c>
      <c r="AZ39" s="38">
        <f>IF(AW39&lt;0,0,AY39*'Irradiancia Horizontal'!$M$7)</f>
        <v>0</v>
      </c>
      <c r="BA39">
        <f>(PI()/24)*((COS(RADIANS(AV39))-COS(RADIANS($AY$36)))/(SIN(RADIANS($AY$36))-(RADIANS($AY$36))*COS(RADIANS($AY$36))))</f>
        <v>-0.22066305892817462</v>
      </c>
      <c r="BB39">
        <f>IF(AW39&lt;0,0,BA39*'Irradiancia Horizontal'!$M$39)</f>
        <v>0</v>
      </c>
      <c r="BF39" s="39">
        <f>'Cálculos iluminancia'!KN49</f>
        <v>4.1666666666666699E-2</v>
      </c>
      <c r="BG39" s="38">
        <f>'Cálculos iluminancia'!KO49</f>
        <v>165</v>
      </c>
      <c r="BH39" s="38">
        <f>'Cálculos iluminancia'!KP49</f>
        <v>-75.43350470599799</v>
      </c>
      <c r="BI39" s="38">
        <f>'Cálculos iluminancia'!KQ49</f>
        <v>70.750931390631095</v>
      </c>
      <c r="BJ39" s="38">
        <f>(PI()/24)*($BK$36+$BL$36*COS(RADIANS(BG39)))*((COS(RADIANS(BG39))-COS(RADIANS($BJ$36)))/(SIN(RADIANS($BJ$36))-(RADIANS($BJ$36))*COS(RADIANS($BJ$36))))</f>
        <v>-8.8575393368721354E-3</v>
      </c>
      <c r="BK39" s="38">
        <f>IF(BH39&lt;0,0,BJ39*'Irradiancia Horizontal'!$N$7)</f>
        <v>0</v>
      </c>
      <c r="BL39">
        <f>(PI()/24)*((COS(RADIANS(BG39))-COS(RADIANS($BJ$36)))/(SIN(RADIANS($BJ$36))-(RADIANS($BJ$36))*COS(RADIANS($BJ$36))))</f>
        <v>-0.24298749699749975</v>
      </c>
      <c r="BM39">
        <f>IF(BH39&lt;0,0,BL39*'Irradiancia Horizontal'!$N$39)</f>
        <v>0</v>
      </c>
    </row>
    <row r="40" spans="2:65" x14ac:dyDescent="0.25">
      <c r="C40" s="39">
        <f>'Cálculos iluminancia'!E50</f>
        <v>8.3333333333333301E-2</v>
      </c>
      <c r="D40" s="38">
        <f>'Cálculos iluminancia'!F50</f>
        <v>150</v>
      </c>
      <c r="E40" s="38">
        <f>'Cálculos iluminancia'!G50</f>
        <v>-32.646169918095012</v>
      </c>
      <c r="F40" s="38">
        <f>'Cálculos iluminancia'!H50</f>
        <v>33.808490976895825</v>
      </c>
      <c r="G40" s="38">
        <f t="shared" ref="G40:G62" si="12">(PI()/24)*($H$36+$I$36*COS(RADIANS(D40)))*((COS(RADIANS(D40))-COS(RADIANS($G$36)))/(SIN(RADIANS($G$36))-(RADIANS($G$36))*COS(RADIANS($G$36))))</f>
        <v>-2.868090587128172E-2</v>
      </c>
      <c r="H40" s="38">
        <f>IF(E40&lt;0,0,G40*'Irradiancia Horizontal'!$I$7)</f>
        <v>0</v>
      </c>
      <c r="I40">
        <f t="shared" ref="I40:I62" si="13">(PI()/24)*((COS(RADIANS(D40))-COS(RADIANS($G$36)))/(SIN(RADIANS($G$36))-(RADIANS($G$36))*COS(RADIANS($G$36))))</f>
        <v>-6.4007949587410698E-2</v>
      </c>
      <c r="J40">
        <f>IF(E40&lt;0,0,I40*'Irradiancia Horizontal'!$I$39)</f>
        <v>0</v>
      </c>
      <c r="N40" s="39">
        <f>'Cálculos iluminancia'!BL50</f>
        <v>8.3333333333333301E-2</v>
      </c>
      <c r="O40" s="38">
        <f>'Cálculos iluminancia'!BM50</f>
        <v>150</v>
      </c>
      <c r="P40" s="38">
        <f>'Cálculos iluminancia'!BN50</f>
        <v>-39.939246849075218</v>
      </c>
      <c r="Q40" s="38">
        <f>'Cálculos iluminancia'!BO50</f>
        <v>39.676284442541061</v>
      </c>
      <c r="R40" s="38">
        <f t="shared" ref="R40:R62" si="14">(PI()/24)*($S$36+$T$36*COS(RADIANS(O40)))*((COS(RADIANS(O40))-COS(RADIANS($R$36)))/(SIN(RADIANS($R$36))-(RADIANS($R$36))*COS(RADIANS($R$36))))</f>
        <v>-3.1603838815805994E-2</v>
      </c>
      <c r="S40" s="38">
        <f>IF(P40&lt;0,0,R40*'Irradiancia Horizontal'!$J$7)</f>
        <v>0</v>
      </c>
      <c r="T40">
        <f t="shared" ref="T40:T62" si="15">(PI()/24)*((COS(RADIANS(O40))-COS(RADIANS($R$36)))/(SIN(RADIANS($R$36))-(RADIANS($R$36))*COS(RADIANS($R$36))))</f>
        <v>-8.2639688029035596E-2</v>
      </c>
      <c r="U40">
        <f>IF(P40&lt;0,0,T40*'Irradiancia Horizontal'!$J$39)</f>
        <v>0</v>
      </c>
      <c r="Y40" s="39">
        <f>'Cálculos iluminancia'!DS50</f>
        <v>8.3333333333333301E-2</v>
      </c>
      <c r="Z40" s="38">
        <f>'Cálculos iluminancia'!DT50</f>
        <v>150</v>
      </c>
      <c r="AA40" s="38">
        <f>'Cálculos iluminancia'!DU50</f>
        <v>-49.337708282446648</v>
      </c>
      <c r="AB40" s="38">
        <f>'Cálculos iluminancia'!DV50</f>
        <v>50.115439938979534</v>
      </c>
      <c r="AC40" s="38">
        <f t="shared" ref="AC40:AC62" si="16">(PI()/24)*($AD$36+$AE$36*COS(RADIANS(Z40)))*((COS(RADIANS(Z40))-COS(RADIANS($AC$36)))/(SIN(RADIANS($AC$36))-(RADIANS($AC$36))*COS(RADIANS($AC$36))))</f>
        <v>-3.3314242399249683E-2</v>
      </c>
      <c r="AD40" s="38">
        <f>IF(AA40&lt;0,0,AC40*'Irradiancia Horizontal'!$K$7)</f>
        <v>0</v>
      </c>
      <c r="AE40">
        <f t="shared" ref="AE40:AE62" si="17">(PI()/24)*((COS(RADIANS(Z40))-COS(RADIANS($AC$36)))/(SIN(RADIANS($AC$36))-(RADIANS($AC$36))*COS(RADIANS($AC$36))))</f>
        <v>-0.1139694075794086</v>
      </c>
      <c r="AF40">
        <f>IF(AA40&lt;0,0,AE40*'Irradiancia Horizontal'!$K$39)</f>
        <v>0</v>
      </c>
      <c r="AJ40" s="39">
        <f>'Cálculos iluminancia'!FZ50</f>
        <v>8.3333333333333301E-2</v>
      </c>
      <c r="AK40" s="38">
        <f>'Cálculos iluminancia'!GA50</f>
        <v>150</v>
      </c>
      <c r="AL40" s="38">
        <f>'Cálculos iluminancia'!GB50</f>
        <v>-57.139651075019273</v>
      </c>
      <c r="AM40" s="38">
        <f>'Cálculos iluminancia'!GC50</f>
        <v>64.445776384922439</v>
      </c>
      <c r="AN40" s="38">
        <f t="shared" ref="AN40:AN62" si="18">(PI()/24)*($AO$36+$AP$36*COS(RADIANS(AK40)))*((COS(RADIANS(AK40))-COS(RADIANS($AN$36)))/(SIN(RADIANS($AN$36))-(RADIANS($AN$36))*COS(RADIANS($AN$36))))</f>
        <v>-3.1023956244198049E-2</v>
      </c>
      <c r="AO40" s="38">
        <f>IF(AL40&lt;0,0,AN40*'Irradiancia Horizontal'!$L$7)</f>
        <v>0</v>
      </c>
      <c r="AP40">
        <f t="shared" ref="AP40:AP62" si="19">(PI()/24)*((COS(RADIANS(AK40))-COS(RADIANS($AN$36)))/(SIN(RADIANS($AN$36))-(RADIANS($AN$36))*COS(RADIANS($AN$36))))</f>
        <v>-0.15578221652392921</v>
      </c>
      <c r="AQ40">
        <f>IF(AL40&lt;0,0,AP40*'Irradiancia Horizontal'!$L$39)</f>
        <v>0</v>
      </c>
      <c r="AU40" s="39">
        <f>'Cálculos iluminancia'!IG50</f>
        <v>8.3333333333333301E-2</v>
      </c>
      <c r="AV40" s="38">
        <f>'Cálculos iluminancia'!IH50</f>
        <v>150</v>
      </c>
      <c r="AW40" s="38">
        <f>'Cálculos iluminancia'!II50</f>
        <v>-61.515083298976833</v>
      </c>
      <c r="AX40" s="38">
        <f>'Cálculos iluminancia'!IJ50</f>
        <v>79.22239655881755</v>
      </c>
      <c r="AY40" s="38">
        <f t="shared" ref="AY40:AY62" si="20">(PI()/24)*($AZ$36+$BA$36*COS(RADIANS(AV40)))*((COS(RADIANS(AV40))-COS(RADIANS($AY$36)))/(SIN(RADIANS($AY$36))-(RADIANS($AY$36))*COS(RADIANS($AY$36))))</f>
        <v>-2.4179918059771648E-2</v>
      </c>
      <c r="AZ40" s="38">
        <f>IF(AW40&lt;0,0,AY40*'Irradiancia Horizontal'!$M$7)</f>
        <v>0</v>
      </c>
      <c r="BA40">
        <f t="shared" ref="BA40:BA62" si="21">(PI()/24)*((COS(RADIANS(AV40))-COS(RADIANS($AY$36)))/(SIN(RADIANS($AY$36))-(RADIANS($AY$36))*COS(RADIANS($AY$36))))</f>
        <v>-0.20187329465134388</v>
      </c>
      <c r="BB40">
        <f>IF(AW40&lt;0,0,BA40*'Irradiancia Horizontal'!$M$39)</f>
        <v>0</v>
      </c>
      <c r="BF40" s="39">
        <f>'Cálculos iluminancia'!KN50</f>
        <v>8.3333333333333301E-2</v>
      </c>
      <c r="BG40" s="38">
        <f>'Cálculos iluminancia'!KO50</f>
        <v>150</v>
      </c>
      <c r="BH40" s="38">
        <f>'Cálculos iluminancia'!KP50</f>
        <v>-62.593106094089499</v>
      </c>
      <c r="BI40" s="38">
        <f>'Cálculos iluminancia'!KQ50</f>
        <v>85.218419971753733</v>
      </c>
      <c r="BJ40" s="38">
        <f t="shared" ref="BJ40:BJ62" si="22">(PI()/24)*($BK$36+$BL$36*COS(RADIANS(BG40)))*((COS(RADIANS(BG40))-COS(RADIANS($BJ$36)))/(SIN(RADIANS($BJ$36))-(RADIANS($BJ$36))*COS(RADIANS($BJ$36))))</f>
        <v>-1.9907060169964151E-2</v>
      </c>
      <c r="BK40" s="38">
        <f>IF(BH40&lt;0,0,BJ40*'Irradiancia Horizontal'!$N$7)</f>
        <v>0</v>
      </c>
      <c r="BL40">
        <f t="shared" ref="BL40:BL62" si="23">(PI()/24)*((COS(RADIANS(BG40))-COS(RADIANS($BJ$36)))/(SIN(RADIANS($BJ$36))-(RADIANS($BJ$36))*COS(RADIANS($BJ$36))))</f>
        <v>-0.22287870436659735</v>
      </c>
      <c r="BM40">
        <f>IF(BH40&lt;0,0,BL40*'Irradiancia Horizontal'!$N$39)</f>
        <v>0</v>
      </c>
    </row>
    <row r="41" spans="2:65" x14ac:dyDescent="0.25">
      <c r="C41" s="39">
        <f>'Cálculos iluminancia'!E51</f>
        <v>0.125</v>
      </c>
      <c r="D41" s="38">
        <f>'Cálculos iluminancia'!F51</f>
        <v>135</v>
      </c>
      <c r="E41" s="38">
        <f>'Cálculos iluminancia'!G51</f>
        <v>-24.161470214332297</v>
      </c>
      <c r="F41" s="38">
        <f>'Cálculos iluminancia'!H51</f>
        <v>46.568585429046891</v>
      </c>
      <c r="G41" s="38">
        <f t="shared" si="12"/>
        <v>-2.440252520341565E-2</v>
      </c>
      <c r="H41" s="38">
        <f>IF(E41&lt;0,0,G41*'Irradiancia Horizontal'!$I$7)</f>
        <v>0</v>
      </c>
      <c r="I41">
        <f t="shared" si="13"/>
        <v>-4.8566302164044395E-2</v>
      </c>
      <c r="J41">
        <f>IF(E41&lt;0,0,I41*'Irradiancia Horizontal'!$I$39)</f>
        <v>0</v>
      </c>
      <c r="N41" s="39">
        <f>'Cálculos iluminancia'!BL51</f>
        <v>0.125</v>
      </c>
      <c r="O41" s="38">
        <f>'Cálculos iluminancia'!BM51</f>
        <v>135</v>
      </c>
      <c r="P41" s="38">
        <f>'Cálculos iluminancia'!BN51</f>
        <v>-30.397866606469517</v>
      </c>
      <c r="Q41" s="38">
        <f>'Cálculos iluminancia'!BO51</f>
        <v>53.380302526991059</v>
      </c>
      <c r="R41" s="38">
        <f t="shared" si="14"/>
        <v>-2.8806027946197323E-2</v>
      </c>
      <c r="S41" s="38">
        <f>IF(P41&lt;0,0,R41*'Irradiancia Horizontal'!$J$7)</f>
        <v>0</v>
      </c>
      <c r="T41">
        <f t="shared" si="15"/>
        <v>-6.5136212041825806E-2</v>
      </c>
      <c r="U41">
        <f>IF(P41&lt;0,0,T41*'Irradiancia Horizontal'!$J$39)</f>
        <v>0</v>
      </c>
      <c r="Y41" s="39">
        <f>'Cálculos iluminancia'!DS51</f>
        <v>0.125</v>
      </c>
      <c r="Z41" s="38">
        <f>'Cálculos iluminancia'!DT51</f>
        <v>135</v>
      </c>
      <c r="AA41" s="38">
        <f>'Cálculos iluminancia'!DU51</f>
        <v>-38.292664540459405</v>
      </c>
      <c r="AB41" s="38">
        <f>'Cálculos iluminancia'!DV51</f>
        <v>64.280975136579571</v>
      </c>
      <c r="AC41" s="38">
        <f t="shared" si="16"/>
        <v>-3.3478690762628459E-2</v>
      </c>
      <c r="AD41" s="38">
        <f>IF(AA41&lt;0,0,AC41*'Irradiancia Horizontal'!$K$7)</f>
        <v>0</v>
      </c>
      <c r="AE41">
        <f t="shared" si="17"/>
        <v>-9.3102835200319201E-2</v>
      </c>
      <c r="AF41">
        <f>IF(AA41&lt;0,0,AE41*'Irradiancia Horizontal'!$K$39)</f>
        <v>0</v>
      </c>
      <c r="AJ41" s="39">
        <f>'Cálculos iluminancia'!FZ51</f>
        <v>0.125</v>
      </c>
      <c r="AK41" s="38">
        <f>'Cálculos iluminancia'!GA51</f>
        <v>135</v>
      </c>
      <c r="AL41" s="38">
        <f>'Cálculos iluminancia'!GB51</f>
        <v>-44.750605705383343</v>
      </c>
      <c r="AM41" s="38">
        <f>'Cálculos iluminancia'!GC51</f>
        <v>77.109198540105993</v>
      </c>
      <c r="AN41" s="38">
        <f t="shared" si="18"/>
        <v>-3.5794041860463456E-2</v>
      </c>
      <c r="AO41" s="38">
        <f>IF(AL41&lt;0,0,AN41*'Irradiancia Horizontal'!$L$7)</f>
        <v>0</v>
      </c>
      <c r="AP41">
        <f t="shared" si="19"/>
        <v>-0.13056514660051569</v>
      </c>
      <c r="AQ41">
        <f>IF(AL41&lt;0,0,AP41*'Irradiancia Horizontal'!$L$39)</f>
        <v>0</v>
      </c>
      <c r="AU41" s="39">
        <f>'Cálculos iluminancia'!IG51</f>
        <v>0.125</v>
      </c>
      <c r="AV41" s="38">
        <f>'Cálculos iluminancia'!IH51</f>
        <v>135</v>
      </c>
      <c r="AW41" s="38">
        <f>'Cálculos iluminancia'!II51</f>
        <v>-48.486777985752788</v>
      </c>
      <c r="AX41" s="38">
        <f>'Cálculos iluminancia'!IJ51</f>
        <v>88.546800017478972</v>
      </c>
      <c r="AY41" s="38">
        <f t="shared" si="20"/>
        <v>-3.4628921218677798E-2</v>
      </c>
      <c r="AZ41" s="38">
        <f>IF(AW41&lt;0,0,AY41*'Irradiancia Horizontal'!$M$7)</f>
        <v>0</v>
      </c>
      <c r="BA41">
        <f t="shared" si="21"/>
        <v>-0.17198309616219698</v>
      </c>
      <c r="BB41">
        <f>IF(AW41&lt;0,0,BA41*'Irradiancia Horizontal'!$M$39)</f>
        <v>0</v>
      </c>
      <c r="BF41" s="39">
        <f>'Cálculos iluminancia'!KN51</f>
        <v>0.125</v>
      </c>
      <c r="BG41" s="38">
        <f>'Cálculos iluminancia'!KO51</f>
        <v>135</v>
      </c>
      <c r="BH41" s="38">
        <f>'Cálculos iluminancia'!KP51</f>
        <v>-49.494624805188721</v>
      </c>
      <c r="BI41" s="38">
        <f>'Cálculos iluminancia'!KQ51</f>
        <v>92.867225270837807</v>
      </c>
      <c r="BJ41" s="38">
        <f t="shared" si="22"/>
        <v>-3.3103113229289674E-2</v>
      </c>
      <c r="BK41" s="38">
        <f>IF(BH41&lt;0,0,BJ41*'Irradiancia Horizontal'!$N$7)</f>
        <v>0</v>
      </c>
      <c r="BL41">
        <f t="shared" si="23"/>
        <v>-0.19089023477967892</v>
      </c>
      <c r="BM41">
        <f>IF(BH41&lt;0,0,BL41*'Irradiancia Horizontal'!$N$39)</f>
        <v>0</v>
      </c>
    </row>
    <row r="42" spans="2:65" x14ac:dyDescent="0.25">
      <c r="C42" s="39">
        <f>'Cálculos iluminancia'!E52</f>
        <v>0.16666666666666699</v>
      </c>
      <c r="D42" s="38">
        <f>'Cálculos iluminancia'!F52</f>
        <v>120</v>
      </c>
      <c r="E42" s="38">
        <f>'Cálculos iluminancia'!G52</f>
        <v>-13.869303302725935</v>
      </c>
      <c r="F42" s="38">
        <f>'Cálculos iluminancia'!H52</f>
        <v>56.705551891658374</v>
      </c>
      <c r="G42" s="38">
        <f t="shared" si="12"/>
        <v>-1.630657533448273E-2</v>
      </c>
      <c r="H42" s="38">
        <f>IF(E42&lt;0,0,G42*'Irradiancia Horizontal'!$I$7)</f>
        <v>0</v>
      </c>
      <c r="I42">
        <f t="shared" si="13"/>
        <v>-2.8442355443445397E-2</v>
      </c>
      <c r="J42">
        <f>IF(E42&lt;0,0,I42*'Irradiancia Horizontal'!$I$39)</f>
        <v>0</v>
      </c>
      <c r="N42" s="39">
        <f>'Cálculos iluminancia'!BL52</f>
        <v>0.16666666666666699</v>
      </c>
      <c r="O42" s="38">
        <f>'Cálculos iluminancia'!BM52</f>
        <v>120</v>
      </c>
      <c r="P42" s="38">
        <f>'Cálculos iluminancia'!BN52</f>
        <v>-19.195820278510361</v>
      </c>
      <c r="Q42" s="38">
        <f>'Cálculos iluminancia'!BO52</f>
        <v>63.868024811432448</v>
      </c>
      <c r="R42" s="38">
        <f t="shared" si="14"/>
        <v>-2.2017314194508562E-2</v>
      </c>
      <c r="S42" s="38">
        <f>IF(P42&lt;0,0,R42*'Irradiancia Horizontal'!$J$7)</f>
        <v>0</v>
      </c>
      <c r="T42">
        <f t="shared" si="15"/>
        <v>-4.2325238022377247E-2</v>
      </c>
      <c r="U42">
        <f>IF(P42&lt;0,0,T42*'Irradiancia Horizontal'!$J$39)</f>
        <v>0</v>
      </c>
      <c r="Y42" s="39">
        <f>'Cálculos iluminancia'!DS52</f>
        <v>0.16666666666666699</v>
      </c>
      <c r="Z42" s="38">
        <f>'Cálculos iluminancia'!DT52</f>
        <v>120</v>
      </c>
      <c r="AA42" s="38">
        <f>'Cálculos iluminancia'!DU52</f>
        <v>-26.019714198290455</v>
      </c>
      <c r="AB42" s="38">
        <f>'Cálculos iluminancia'!DV52</f>
        <v>74.514348919386748</v>
      </c>
      <c r="AC42" s="38">
        <f t="shared" si="16"/>
        <v>-2.9479039168173241E-2</v>
      </c>
      <c r="AD42" s="38">
        <f>IF(AA42&lt;0,0,AC42*'Irradiancia Horizontal'!$K$7)</f>
        <v>0</v>
      </c>
      <c r="AE42">
        <f t="shared" si="17"/>
        <v>-6.5908988631662432E-2</v>
      </c>
      <c r="AF42">
        <f>IF(AA42&lt;0,0,AE42*'Irradiancia Horizontal'!$K$39)</f>
        <v>0</v>
      </c>
      <c r="AJ42" s="39">
        <f>'Cálculos iluminancia'!FZ52</f>
        <v>0.16666666666666699</v>
      </c>
      <c r="AK42" s="38">
        <f>'Cálculos iluminancia'!GA52</f>
        <v>120</v>
      </c>
      <c r="AL42" s="38">
        <f>'Cálculos iluminancia'!GB52</f>
        <v>-31.790733696612147</v>
      </c>
      <c r="AM42" s="38">
        <f>'Cálculos iluminancia'!GC52</f>
        <v>85.959773722349823</v>
      </c>
      <c r="AN42" s="38">
        <f t="shared" si="18"/>
        <v>-3.6333823368255455E-2</v>
      </c>
      <c r="AO42" s="38">
        <f>IF(AL42&lt;0,0,AN42*'Irradiancia Horizontal'!$L$7)</f>
        <v>0</v>
      </c>
      <c r="AP42">
        <f t="shared" si="19"/>
        <v>-9.7701621247612405E-2</v>
      </c>
      <c r="AQ42">
        <f>IF(AL42&lt;0,0,AP42*'Irradiancia Horizontal'!$L$39)</f>
        <v>0</v>
      </c>
      <c r="AU42" s="39">
        <f>'Cálculos iluminancia'!IG52</f>
        <v>0.16666666666666699</v>
      </c>
      <c r="AV42" s="38">
        <f>'Cálculos iluminancia'!IH52</f>
        <v>120</v>
      </c>
      <c r="AW42" s="38">
        <f>'Cálculos iluminancia'!II52</f>
        <v>-35.394376206101413</v>
      </c>
      <c r="AX42" s="38">
        <f>'Cálculos iluminancia'!IJ52</f>
        <v>95.456282657838045</v>
      </c>
      <c r="AY42" s="38">
        <f t="shared" si="20"/>
        <v>-4.092767088981325E-2</v>
      </c>
      <c r="AZ42" s="38">
        <f>IF(AW42&lt;0,0,AY42*'Irradiancia Horizontal'!$M$7)</f>
        <v>0</v>
      </c>
      <c r="BA42">
        <f t="shared" si="21"/>
        <v>-0.13302943109188092</v>
      </c>
      <c r="BB42">
        <f>IF(AW42&lt;0,0,BA42*'Irradiancia Horizontal'!$M$39)</f>
        <v>0</v>
      </c>
      <c r="BF42" s="39">
        <f>'Cálculos iluminancia'!KN52</f>
        <v>0.16666666666666699</v>
      </c>
      <c r="BG42" s="38">
        <f>'Cálculos iluminancia'!KO52</f>
        <v>120</v>
      </c>
      <c r="BH42" s="38">
        <f>'Cálculos iluminancia'!KP52</f>
        <v>-36.462362723804368</v>
      </c>
      <c r="BI42" s="38">
        <f>'Cálculos iluminancia'!KQ52</f>
        <v>98.929650560124273</v>
      </c>
      <c r="BJ42" s="38">
        <f t="shared" si="22"/>
        <v>-4.2225828879011877E-2</v>
      </c>
      <c r="BK42" s="38">
        <f>IF(BH42&lt;0,0,BJ42*'Irradiancia Horizontal'!$N$7)</f>
        <v>0</v>
      </c>
      <c r="BL42">
        <f t="shared" si="23"/>
        <v>-0.14920204957564764</v>
      </c>
      <c r="BM42">
        <f>IF(BH42&lt;0,0,BL42*'Irradiancia Horizontal'!$N$39)</f>
        <v>0</v>
      </c>
    </row>
    <row r="43" spans="2:65" x14ac:dyDescent="0.25">
      <c r="C43" s="39">
        <f>'Cálculos iluminancia'!E53</f>
        <v>0.20833333333333334</v>
      </c>
      <c r="D43" s="38">
        <f>'Cálculos iluminancia'!F53</f>
        <v>105</v>
      </c>
      <c r="E43" s="38">
        <f>'Cálculos iluminancia'!G53</f>
        <v>-2.4187526411256099</v>
      </c>
      <c r="F43" s="38">
        <f>'Cálculos iluminancia'!H53</f>
        <v>64.945826356938582</v>
      </c>
      <c r="G43" s="38">
        <f t="shared" si="12"/>
        <v>-3.2841385019328211E-3</v>
      </c>
      <c r="H43" s="38">
        <f>IF(E43&lt;0,0,G43*'Irradiancia Horizontal'!$I$7)</f>
        <v>0</v>
      </c>
      <c r="I43">
        <f t="shared" si="13"/>
        <v>-5.0075231382282056E-3</v>
      </c>
      <c r="J43">
        <f>IF(E43&lt;0,0,I43*'Irradiancia Horizontal'!$I$39)</f>
        <v>0</v>
      </c>
      <c r="N43" s="39">
        <f>'Cálculos iluminancia'!BL53</f>
        <v>0.20833333333333334</v>
      </c>
      <c r="O43" s="38">
        <f>'Cálculos iluminancia'!BM53</f>
        <v>105</v>
      </c>
      <c r="P43" s="38">
        <f>'Cálculos iluminancia'!BN53</f>
        <v>-7.0329110421435894</v>
      </c>
      <c r="Q43" s="38">
        <f>'Cálculos iluminancia'!BO53</f>
        <v>72.333738054171704</v>
      </c>
      <c r="R43" s="38">
        <f t="shared" si="14"/>
        <v>-9.6296619299791452E-3</v>
      </c>
      <c r="S43" s="38">
        <f>IF(P43&lt;0,0,R43*'Irradiancia Horizontal'!$J$7)</f>
        <v>0</v>
      </c>
      <c r="T43">
        <f t="shared" si="15"/>
        <v>-1.5761296153198445E-2</v>
      </c>
      <c r="U43">
        <f>IF(P43&lt;0,0,T43*'Irradiancia Horizontal'!$J$39)</f>
        <v>0</v>
      </c>
      <c r="Y43" s="39">
        <f>'Cálculos iluminancia'!DS53</f>
        <v>0.20833333333333334</v>
      </c>
      <c r="Z43" s="38">
        <f>'Cálculos iluminancia'!DT53</f>
        <v>105</v>
      </c>
      <c r="AA43" s="38">
        <f>'Cálculos iluminancia'!DU53</f>
        <v>-13.173675365510617</v>
      </c>
      <c r="AB43" s="38">
        <f>'Cálculos iluminancia'!DV53</f>
        <v>82.759689794839844</v>
      </c>
      <c r="AC43" s="38">
        <f t="shared" si="16"/>
        <v>-1.881119733177003E-2</v>
      </c>
      <c r="AD43" s="38">
        <f>IF(AA43&lt;0,0,AC43*'Irradiancia Horizontal'!$K$7)</f>
        <v>0</v>
      </c>
      <c r="AE43">
        <f t="shared" si="17"/>
        <v>-3.4241083577136018E-2</v>
      </c>
      <c r="AF43">
        <f>IF(AA43&lt;0,0,AE43*'Irradiancia Horizontal'!$K$39)</f>
        <v>0</v>
      </c>
      <c r="AJ43" s="39">
        <f>'Cálculos iluminancia'!FZ53</f>
        <v>0.20833333333333334</v>
      </c>
      <c r="AK43" s="38">
        <f>'Cálculos iluminancia'!GA53</f>
        <v>105</v>
      </c>
      <c r="AL43" s="38">
        <f>'Cálculos iluminancia'!GB53</f>
        <v>-18.690747924130889</v>
      </c>
      <c r="AM43" s="38">
        <f>'Cálculos iluminancia'!GC53</f>
        <v>93.321100316012661</v>
      </c>
      <c r="AN43" s="38">
        <f t="shared" si="18"/>
        <v>-2.8866022256627273E-2</v>
      </c>
      <c r="AO43" s="38">
        <f>IF(AL43&lt;0,0,AN43*'Irradiancia Horizontal'!$L$7)</f>
        <v>0</v>
      </c>
      <c r="AP43">
        <f t="shared" si="19"/>
        <v>-5.9431235408476231E-2</v>
      </c>
      <c r="AQ43">
        <f>IF(AL43&lt;0,0,AP43*'Irradiancia Horizontal'!$L$39)</f>
        <v>0</v>
      </c>
      <c r="AU43" s="39">
        <f>'Cálculos iluminancia'!IG53</f>
        <v>0.20833333333333334</v>
      </c>
      <c r="AV43" s="38">
        <f>'Cálculos iluminancia'!IH53</f>
        <v>105</v>
      </c>
      <c r="AW43" s="38">
        <f>'Cálculos iluminancia'!II53</f>
        <v>-22.438769178429386</v>
      </c>
      <c r="AX43" s="38">
        <f>'Cálculos iluminancia'!IJ53</f>
        <v>101.6948546143569</v>
      </c>
      <c r="AY43" s="38">
        <f t="shared" si="20"/>
        <v>-3.7824518720018296E-2</v>
      </c>
      <c r="AZ43" s="38">
        <f>IF(AW43&lt;0,0,AY43*'Irradiancia Horizontal'!$M$7)</f>
        <v>0</v>
      </c>
      <c r="BA43">
        <f t="shared" si="21"/>
        <v>-8.7666927340962569E-2</v>
      </c>
      <c r="BB43">
        <f>IF(AW43&lt;0,0,BA43*'Irradiancia Horizontal'!$M$39)</f>
        <v>0</v>
      </c>
      <c r="BF43" s="39">
        <f>'Cálculos iluminancia'!KN53</f>
        <v>0.20833333333333334</v>
      </c>
      <c r="BG43" s="38">
        <f>'Cálculos iluminancia'!KO53</f>
        <v>105</v>
      </c>
      <c r="BH43" s="38">
        <f>'Cálculos iluminancia'!KP53</f>
        <v>-23.636004549359633</v>
      </c>
      <c r="BI43" s="38">
        <f>'Cálculos iluminancia'!KQ53</f>
        <v>104.69392403052011</v>
      </c>
      <c r="BJ43" s="38">
        <f t="shared" si="22"/>
        <v>-4.1332928696250076E-2</v>
      </c>
      <c r="BK43" s="38">
        <f>IF(BH43&lt;0,0,BJ43*'Irradiancia Horizontal'!$N$7)</f>
        <v>0</v>
      </c>
      <c r="BL43">
        <f t="shared" si="23"/>
        <v>-0.10065512968317486</v>
      </c>
      <c r="BM43">
        <f>IF(BH43&lt;0,0,BL43*'Irradiancia Horizontal'!$N$39)</f>
        <v>0</v>
      </c>
    </row>
    <row r="44" spans="2:65" x14ac:dyDescent="0.25">
      <c r="C44" s="39">
        <f>'Cálculos iluminancia'!E54</f>
        <v>0.25</v>
      </c>
      <c r="D44" s="38">
        <f>'Cálculos iluminancia'!F54</f>
        <v>90</v>
      </c>
      <c r="E44" s="38">
        <f>'Cálculos iluminancia'!G54</f>
        <v>9.7730868529410237</v>
      </c>
      <c r="F44" s="38">
        <f>'Cálculos iluminancia'!H54</f>
        <v>71.957650170580621</v>
      </c>
      <c r="G44" s="38">
        <f t="shared" si="12"/>
        <v>1.4993003062533913E-2</v>
      </c>
      <c r="H44" s="38">
        <f>IF(E44&lt;0,0,G44*'Irradiancia Horizontal'!$I$7)</f>
        <v>110.24776527233657</v>
      </c>
      <c r="I44">
        <f t="shared" si="13"/>
        <v>2.0141149657898219E-2</v>
      </c>
      <c r="J44">
        <f>IF(E44&lt;0,0,I44*'Irradiancia Horizontal'!$I$39)</f>
        <v>38.755126943331845</v>
      </c>
      <c r="N44" s="39">
        <f>'Cálculos iluminancia'!BL54</f>
        <v>0.25</v>
      </c>
      <c r="O44" s="38">
        <f>'Cálculos iluminancia'!BM54</f>
        <v>90</v>
      </c>
      <c r="P44" s="38">
        <f>'Cálculos iluminancia'!BN54</f>
        <v>5.6821815467779757</v>
      </c>
      <c r="Q44" s="38">
        <f>'Cálculos iluminancia'!BO54</f>
        <v>79.693624283554726</v>
      </c>
      <c r="R44" s="38">
        <f t="shared" si="14"/>
        <v>9.0285703090728277E-3</v>
      </c>
      <c r="S44" s="38">
        <f>IF(P44&lt;0,0,R44*'Irradiancia Horizontal'!$J$7)</f>
        <v>62.581784953993029</v>
      </c>
      <c r="T44">
        <f t="shared" si="15"/>
        <v>1.2745324826315721E-2</v>
      </c>
      <c r="U44">
        <f>IF(P44&lt;0,0,T44*'Irradiancia Horizontal'!$J$39)</f>
        <v>23.0324023661003</v>
      </c>
      <c r="Y44" s="39">
        <f>'Cálculos iluminancia'!DS54</f>
        <v>0.25</v>
      </c>
      <c r="Z44" s="38">
        <f>'Cálculos iluminancia'!DT54</f>
        <v>90</v>
      </c>
      <c r="AA44" s="38">
        <f>'Cálculos iluminancia'!DU54</f>
        <v>-9.8097331492219067E-2</v>
      </c>
      <c r="AB44" s="38">
        <f>'Cálculos iluminancia'!DV54</f>
        <v>90.176391435763364</v>
      </c>
      <c r="AC44" s="38">
        <f t="shared" si="16"/>
        <v>-1.6950490063198515E-4</v>
      </c>
      <c r="AD44" s="38">
        <f>IF(AA44&lt;0,0,AC44*'Irradiancia Horizontal'!$K$7)</f>
        <v>0</v>
      </c>
      <c r="AE44">
        <f t="shared" si="17"/>
        <v>-2.5723543251827497E-4</v>
      </c>
      <c r="AF44">
        <f>IF(AA44&lt;0,0,AE44*'Irradiancia Horizontal'!$K$39)</f>
        <v>0</v>
      </c>
      <c r="AJ44" s="39">
        <f>'Cálculos iluminancia'!FZ54</f>
        <v>0.25</v>
      </c>
      <c r="AK44" s="38">
        <f>'Cálculos iluminancia'!GA54</f>
        <v>90</v>
      </c>
      <c r="AL44" s="38">
        <f>'Cálculos iluminancia'!GB54</f>
        <v>-5.6821815467779615</v>
      </c>
      <c r="AM44" s="38">
        <f>'Cálculos iluminancia'!GC54</f>
        <v>100.30637571644526</v>
      </c>
      <c r="AN44" s="38">
        <f t="shared" si="18"/>
        <v>-1.1161325694202494E-2</v>
      </c>
      <c r="AO44" s="38">
        <f>IF(AL44&lt;0,0,AN44*'Irradiancia Horizontal'!$L$7)</f>
        <v>0</v>
      </c>
      <c r="AP44">
        <f t="shared" si="19"/>
        <v>-1.8362052633241276E-2</v>
      </c>
      <c r="AQ44">
        <f>IF(AL44&lt;0,0,AP44*'Irradiancia Horizontal'!$L$39)</f>
        <v>0</v>
      </c>
      <c r="AU44" s="39">
        <f>'Cálculos iluminancia'!IG54</f>
        <v>0.25</v>
      </c>
      <c r="AV44" s="38">
        <f>'Cálculos iluminancia'!IH54</f>
        <v>90</v>
      </c>
      <c r="AW44" s="38">
        <f>'Cálculos iluminancia'!II54</f>
        <v>-9.7730868529410131</v>
      </c>
      <c r="AX44" s="38">
        <f>'Cálculos iluminancia'!IJ54</f>
        <v>108.04234982941938</v>
      </c>
      <c r="AY44" s="38">
        <f t="shared" si="20"/>
        <v>-2.2000698339409659E-2</v>
      </c>
      <c r="AZ44" s="38">
        <f>IF(AW44&lt;0,0,AY44*'Irradiancia Horizontal'!$M$7)</f>
        <v>0</v>
      </c>
      <c r="BA44">
        <f t="shared" si="21"/>
        <v>-3.8986964574984892E-2</v>
      </c>
      <c r="BB44">
        <f>IF(AW44&lt;0,0,BA44*'Irradiancia Horizontal'!$M$39)</f>
        <v>0</v>
      </c>
      <c r="BF44" s="39">
        <f>'Cálculos iluminancia'!KN54</f>
        <v>0.25</v>
      </c>
      <c r="BG44" s="38">
        <f>'Cálculos iluminancia'!KO54</f>
        <v>90</v>
      </c>
      <c r="BH44" s="38">
        <f>'Cálculos iluminancia'!KP54</f>
        <v>-11.15205496731916</v>
      </c>
      <c r="BI44" s="38">
        <f>'Cálculos iluminancia'!KQ54</f>
        <v>110.76123341972382</v>
      </c>
      <c r="BJ44" s="38">
        <f t="shared" si="22"/>
        <v>-2.6590327154293564E-2</v>
      </c>
      <c r="BK44" s="38">
        <f>IF(BH44&lt;0,0,BJ44*'Irradiancia Horizontal'!$N$7)</f>
        <v>0</v>
      </c>
      <c r="BL44">
        <f t="shared" si="23"/>
        <v>-4.8557867465354003E-2</v>
      </c>
      <c r="BM44">
        <f>IF(BH44&lt;0,0,BL44*'Irradiancia Horizontal'!$N$39)</f>
        <v>0</v>
      </c>
    </row>
    <row r="45" spans="2:65" x14ac:dyDescent="0.25">
      <c r="C45" s="39">
        <f>'Cálculos iluminancia'!E55</f>
        <v>0.29166666666666702</v>
      </c>
      <c r="D45" s="38">
        <f>'Cálculos iluminancia'!F55</f>
        <v>75</v>
      </c>
      <c r="E45" s="38">
        <f>'Cálculos iluminancia'!G55</f>
        <v>22.438769178429386</v>
      </c>
      <c r="F45" s="38">
        <f>'Cálculos iluminancia'!H55</f>
        <v>78.305145385643101</v>
      </c>
      <c r="G45" s="38">
        <f t="shared" si="12"/>
        <v>3.7724260414788081E-2</v>
      </c>
      <c r="H45" s="38">
        <f>IF(E45&lt;0,0,G45*'Irradiancia Horizontal'!$I$7)</f>
        <v>277.39708915787776</v>
      </c>
      <c r="I45">
        <f t="shared" si="13"/>
        <v>4.5289822454024631E-2</v>
      </c>
      <c r="J45">
        <f>IF(E45&lt;0,0,I45*'Irradiancia Horizontal'!$I$39)</f>
        <v>87.145612254481733</v>
      </c>
      <c r="N45" s="39">
        <f>'Cálculos iluminancia'!BL55</f>
        <v>0.29166666666666702</v>
      </c>
      <c r="O45" s="38">
        <f>'Cálculos iluminancia'!BM55</f>
        <v>75</v>
      </c>
      <c r="P45" s="38">
        <f>'Cálculos iluminancia'!BN55</f>
        <v>18.690747924130896</v>
      </c>
      <c r="Q45" s="38">
        <f>'Cálculos iluminancia'!BO55</f>
        <v>86.678899683987325</v>
      </c>
      <c r="R45" s="38">
        <f t="shared" si="14"/>
        <v>3.3240690591854617E-2</v>
      </c>
      <c r="S45" s="38">
        <f>IF(P45&lt;0,0,R45*'Irradiancia Horizontal'!$J$7)</f>
        <v>230.40876674031168</v>
      </c>
      <c r="T45">
        <f t="shared" si="15"/>
        <v>4.1251945805829866E-2</v>
      </c>
      <c r="U45">
        <f>IF(P45&lt;0,0,T45*'Irradiancia Horizontal'!$J$39)</f>
        <v>74.547445995465509</v>
      </c>
      <c r="Y45" s="39">
        <f>'Cálculos iluminancia'!DS55</f>
        <v>0.29166666666666702</v>
      </c>
      <c r="Z45" s="38">
        <f>'Cálculos iluminancia'!DT55</f>
        <v>75</v>
      </c>
      <c r="AA45" s="38">
        <f>'Cálculos iluminancia'!DU55</f>
        <v>12.972260588788428</v>
      </c>
      <c r="AB45" s="38">
        <f>'Cálculos iluminancia'!DV55</f>
        <v>97.599446887905543</v>
      </c>
      <c r="AC45" s="38">
        <f t="shared" si="16"/>
        <v>2.5919641378956016E-2</v>
      </c>
      <c r="AD45" s="38">
        <f>IF(AA45&lt;0,0,AC45*'Irradiancia Horizontal'!$K$7)</f>
        <v>182.89189267342664</v>
      </c>
      <c r="AE45">
        <f t="shared" si="17"/>
        <v>3.3726612712099431E-2</v>
      </c>
      <c r="AF45">
        <f>IF(AA45&lt;0,0,AE45*'Irradiancia Horizontal'!$K$39)</f>
        <v>37.48817941281709</v>
      </c>
      <c r="AJ45" s="39">
        <f>'Cálculos iluminancia'!FZ55</f>
        <v>0.29166666666666702</v>
      </c>
      <c r="AK45" s="38">
        <f>'Cálculos iluminancia'!GA55</f>
        <v>75</v>
      </c>
      <c r="AL45" s="38">
        <f>'Cálculos iluminancia'!GB55</f>
        <v>7.0329110421435939</v>
      </c>
      <c r="AM45" s="38">
        <f>'Cálculos iluminancia'!GC55</f>
        <v>107.66626194582828</v>
      </c>
      <c r="AN45" s="38">
        <f t="shared" si="18"/>
        <v>1.6575982663896881E-2</v>
      </c>
      <c r="AO45" s="38">
        <f>IF(AL45&lt;0,0,AN45*'Irradiancia Horizontal'!$L$7)</f>
        <v>103.32721454650468</v>
      </c>
      <c r="AP45">
        <f t="shared" si="19"/>
        <v>2.2707130141993642E-2</v>
      </c>
      <c r="AQ45">
        <f>IF(AL45&lt;0,0,AP45*'Irradiancia Horizontal'!$L$39)</f>
        <v>15.970935450386678</v>
      </c>
      <c r="AU45" s="39">
        <f>'Cálculos iluminancia'!IG55</f>
        <v>0.29166666666666702</v>
      </c>
      <c r="AV45" s="38">
        <f>'Cálculos iluminancia'!IH55</f>
        <v>75</v>
      </c>
      <c r="AW45" s="38">
        <f>'Cálculos iluminancia'!II55</f>
        <v>2.4187526411256099</v>
      </c>
      <c r="AX45" s="38">
        <f>'Cálculos iluminancia'!IJ55</f>
        <v>115.05417364306142</v>
      </c>
      <c r="AY45" s="38">
        <f t="shared" si="20"/>
        <v>6.7575809533682229E-3</v>
      </c>
      <c r="AZ45" s="38">
        <f>IF(AW45&lt;0,0,AY45*'Irradiancia Horizontal'!$M$7)</f>
        <v>33.135312442891831</v>
      </c>
      <c r="BA45">
        <f t="shared" si="21"/>
        <v>9.6929981909927385E-3</v>
      </c>
      <c r="BB45">
        <f>IF(AW45&lt;0,0,BA45*'Irradiancia Horizontal'!$M$39)</f>
        <v>6.5888143804307262</v>
      </c>
      <c r="BF45" s="39">
        <f>'Cálculos iluminancia'!KN55</f>
        <v>0.29166666666666702</v>
      </c>
      <c r="BG45" s="38">
        <f>'Cálculos iluminancia'!KO55</f>
        <v>75</v>
      </c>
      <c r="BH45" s="38">
        <f>'Cálculos iluminancia'!KP55</f>
        <v>0.80777986614324049</v>
      </c>
      <c r="BI45" s="38">
        <f>'Cálculos iluminancia'!KQ55</f>
        <v>117.59582673339338</v>
      </c>
      <c r="BJ45" s="38">
        <f t="shared" si="22"/>
        <v>2.4229370438482241E-3</v>
      </c>
      <c r="BK45" s="38">
        <f>IF(BH45&lt;0,0,BJ45*'Irradiancia Horizontal'!$N$7)</f>
        <v>9.6480105806504834</v>
      </c>
      <c r="BL45">
        <f t="shared" si="23"/>
        <v>3.5393947524668106E-3</v>
      </c>
      <c r="BM45">
        <f>IF(BH45&lt;0,0,BL45*'Irradiancia Horizontal'!$N$39)</f>
        <v>2.9252741750074618</v>
      </c>
    </row>
    <row r="46" spans="2:65" x14ac:dyDescent="0.25">
      <c r="C46" s="39">
        <f>'Cálculos iluminancia'!E56</f>
        <v>0.33333333333333298</v>
      </c>
      <c r="D46" s="38">
        <f>'Cálculos iluminancia'!F56</f>
        <v>60</v>
      </c>
      <c r="E46" s="38">
        <f>'Cálculos iluminancia'!G56</f>
        <v>35.394376206101434</v>
      </c>
      <c r="F46" s="38">
        <f>'Cálculos iluminancia'!H56</f>
        <v>84.543717342161969</v>
      </c>
      <c r="G46" s="38">
        <f t="shared" si="12"/>
        <v>6.2915567882368004E-2</v>
      </c>
      <c r="H46" s="38">
        <f>IF(E46&lt;0,0,G46*'Irradiancia Horizontal'!$I$7)</f>
        <v>462.63585293357409</v>
      </c>
      <c r="I46">
        <f t="shared" si="13"/>
        <v>6.872465475924186E-2</v>
      </c>
      <c r="J46">
        <f>IF(E46&lt;0,0,I46*'Irradiancia Horizontal'!$I$39)</f>
        <v>132.23836596073482</v>
      </c>
      <c r="N46" s="39">
        <f>'Cálculos iluminancia'!BL56</f>
        <v>0.33333333333333298</v>
      </c>
      <c r="O46" s="38">
        <f>'Cálculos iluminancia'!BM56</f>
        <v>60</v>
      </c>
      <c r="P46" s="38">
        <f>'Cálculos iluminancia'!BN56</f>
        <v>31.790733696612165</v>
      </c>
      <c r="Q46" s="38">
        <f>'Cálculos iluminancia'!BO56</f>
        <v>94.040226277650163</v>
      </c>
      <c r="R46" s="38">
        <f t="shared" si="14"/>
        <v>6.0801847171403273E-2</v>
      </c>
      <c r="S46" s="38">
        <f>IF(P46&lt;0,0,R46*'Irradiancia Horizontal'!$J$7)</f>
        <v>421.44968629890036</v>
      </c>
      <c r="T46">
        <f t="shared" si="15"/>
        <v>6.7815887675008721E-2</v>
      </c>
      <c r="U46">
        <f>IF(P46&lt;0,0,T46*'Irradiancia Horizontal'!$J$39)</f>
        <v>122.55182453412434</v>
      </c>
      <c r="Y46" s="39">
        <f>'Cálculos iluminancia'!DS56</f>
        <v>0.33333333333333298</v>
      </c>
      <c r="Z46" s="38">
        <f>'Cálculos iluminancia'!DT56</f>
        <v>60</v>
      </c>
      <c r="AA46" s="38">
        <f>'Cálculos iluminancia'!DU56</f>
        <v>25.801593239999558</v>
      </c>
      <c r="AB46" s="38">
        <f>'Cálculos iluminancia'!DV56</f>
        <v>105.86327501254968</v>
      </c>
      <c r="AC46" s="38">
        <f t="shared" si="16"/>
        <v>5.6934305516348954E-2</v>
      </c>
      <c r="AD46" s="38">
        <f>IF(AA46&lt;0,0,AC46*'Irradiancia Horizontal'!$K$7)</f>
        <v>401.73483659331328</v>
      </c>
      <c r="AE46">
        <f t="shared" si="17"/>
        <v>6.5394517766625915E-2</v>
      </c>
      <c r="AF46">
        <f>IF(AA46&lt;0,0,AE46*'Irradiancia Horizontal'!$K$39)</f>
        <v>72.688041208788306</v>
      </c>
      <c r="AJ46" s="39">
        <f>'Cálculos iluminancia'!FZ56</f>
        <v>0.33333333333333298</v>
      </c>
      <c r="AK46" s="38">
        <f>'Cálculos iluminancia'!GA56</f>
        <v>60</v>
      </c>
      <c r="AL46" s="38">
        <f>'Cálculos iluminancia'!GB56</f>
        <v>19.195820278510393</v>
      </c>
      <c r="AM46" s="38">
        <f>'Cálculos iluminancia'!GC56</f>
        <v>116.13197518856757</v>
      </c>
      <c r="AN46" s="38">
        <f t="shared" si="18"/>
        <v>5.1453388933922962E-2</v>
      </c>
      <c r="AO46" s="38">
        <f>IF(AL46&lt;0,0,AN46*'Irradiancia Horizontal'!$L$7)</f>
        <v>320.73726579720812</v>
      </c>
      <c r="AP46">
        <f t="shared" si="19"/>
        <v>6.0977515981129875E-2</v>
      </c>
      <c r="AQ46">
        <f>IF(AL46&lt;0,0,AP46*'Irradiancia Horizontal'!$L$39)</f>
        <v>42.888201440239051</v>
      </c>
      <c r="AU46" s="39">
        <f>'Cálculos iluminancia'!IG56</f>
        <v>0.33333333333333298</v>
      </c>
      <c r="AV46" s="38">
        <f>'Cálculos iluminancia'!IH56</f>
        <v>60</v>
      </c>
      <c r="AW46" s="38">
        <f>'Cálculos iluminancia'!II56</f>
        <v>13.869303302725958</v>
      </c>
      <c r="AX46" s="38">
        <f>'Cálculos iluminancia'!IJ56</f>
        <v>123.29444810834164</v>
      </c>
      <c r="AY46" s="38">
        <f t="shared" si="20"/>
        <v>4.5198332039621709E-2</v>
      </c>
      <c r="AZ46" s="38">
        <f>IF(AW46&lt;0,0,AY46*'Irradiancia Horizontal'!$M$7)</f>
        <v>221.62677211938473</v>
      </c>
      <c r="BA46">
        <f t="shared" si="21"/>
        <v>5.5055501941911181E-2</v>
      </c>
      <c r="BB46">
        <f>IF(AW46&lt;0,0,BA46*'Irradiancia Horizontal'!$M$39)</f>
        <v>37.42397097048709</v>
      </c>
      <c r="BF46" s="39">
        <f>'Cálculos iluminancia'!KN56</f>
        <v>0.33333333333333298</v>
      </c>
      <c r="BG46" s="38">
        <f>'Cálculos iluminancia'!KO56</f>
        <v>60</v>
      </c>
      <c r="BH46" s="38">
        <f>'Cálculos iluminancia'!KP56</f>
        <v>11.973998043852726</v>
      </c>
      <c r="BI46" s="38">
        <f>'Cálculos iluminancia'!KQ56</f>
        <v>125.69140900534735</v>
      </c>
      <c r="BJ46" s="38">
        <f t="shared" si="22"/>
        <v>4.2304012660984117E-2</v>
      </c>
      <c r="BK46" s="38">
        <f>IF(BH46&lt;0,0,BJ46*'Irradiancia Horizontal'!$N$7)</f>
        <v>168.45240069007497</v>
      </c>
      <c r="BL46">
        <f t="shared" si="23"/>
        <v>5.2086314644939687E-2</v>
      </c>
      <c r="BM46">
        <f>IF(BH46&lt;0,0,BL46*'Irradiancia Horizontal'!$N$39)</f>
        <v>43.048815336566157</v>
      </c>
    </row>
    <row r="47" spans="2:65" x14ac:dyDescent="0.25">
      <c r="C47" s="39">
        <f>'Cálculos iluminancia'!E57</f>
        <v>0.375</v>
      </c>
      <c r="D47" s="38">
        <f>'Cálculos iluminancia'!F57</f>
        <v>45</v>
      </c>
      <c r="E47" s="38">
        <f>'Cálculos iluminancia'!G57</f>
        <v>48.486777985752788</v>
      </c>
      <c r="F47" s="38">
        <f>'Cálculos iluminancia'!H57</f>
        <v>91.453199982521028</v>
      </c>
      <c r="G47" s="38">
        <f t="shared" si="12"/>
        <v>8.7634504174118361E-2</v>
      </c>
      <c r="H47" s="38">
        <f>IF(E47&lt;0,0,G47*'Irradiancia Horizontal'!$I$7)</f>
        <v>644.40113869442132</v>
      </c>
      <c r="I47">
        <f t="shared" si="13"/>
        <v>8.8848601479840847E-2</v>
      </c>
      <c r="J47">
        <f>IF(E47&lt;0,0,I47*'Irradiancia Horizontal'!$I$39)</f>
        <v>170.96039141630882</v>
      </c>
      <c r="N47" s="39">
        <f>'Cálculos iluminancia'!BL57</f>
        <v>0.375</v>
      </c>
      <c r="O47" s="38">
        <f>'Cálculos iluminancia'!BM57</f>
        <v>45</v>
      </c>
      <c r="P47" s="38">
        <f>'Cálculos iluminancia'!BN57</f>
        <v>44.750605705383357</v>
      </c>
      <c r="Q47" s="38">
        <f>'Cálculos iluminancia'!BO57</f>
        <v>102.89080145989399</v>
      </c>
      <c r="R47" s="38">
        <f t="shared" si="14"/>
        <v>8.8317953281841041E-2</v>
      </c>
      <c r="S47" s="38">
        <f>IF(P47&lt;0,0,R47*'Irradiancia Horizontal'!$J$7)</f>
        <v>612.17833728412018</v>
      </c>
      <c r="T47">
        <f t="shared" si="15"/>
        <v>9.0626861694457259E-2</v>
      </c>
      <c r="U47">
        <f>IF(P47&lt;0,0,T47*'Irradiancia Horizontal'!$J$39)</f>
        <v>163.7741189156535</v>
      </c>
      <c r="Y47" s="39">
        <f>'Cálculos iluminancia'!DS57</f>
        <v>0.375</v>
      </c>
      <c r="Z47" s="38">
        <f>'Cálculos iluminancia'!DT57</f>
        <v>45</v>
      </c>
      <c r="AA47" s="38">
        <f>'Cálculos iluminancia'!DU57</f>
        <v>38.043117489966257</v>
      </c>
      <c r="AB47" s="38">
        <f>'Cálculos iluminancia'!DV57</f>
        <v>116.12260115072581</v>
      </c>
      <c r="AC47" s="38">
        <f t="shared" si="16"/>
        <v>8.872823326024383E-2</v>
      </c>
      <c r="AD47" s="38">
        <f>IF(AA47&lt;0,0,AC47*'Irradiancia Horizontal'!$K$7)</f>
        <v>626.07635180131854</v>
      </c>
      <c r="AE47">
        <f t="shared" si="17"/>
        <v>9.2588364335282655E-2</v>
      </c>
      <c r="AF47">
        <f>IF(AA47&lt;0,0,AE47*'Irradiancia Horizontal'!$K$39)</f>
        <v>102.91484779006994</v>
      </c>
      <c r="AJ47" s="39">
        <f>'Cálculos iluminancia'!FZ57</f>
        <v>0.375</v>
      </c>
      <c r="AK47" s="38">
        <f>'Cálculos iluminancia'!GA57</f>
        <v>45</v>
      </c>
      <c r="AL47" s="38">
        <f>'Cálculos iluminancia'!GB57</f>
        <v>30.397866606469542</v>
      </c>
      <c r="AM47" s="38">
        <f>'Cálculos iluminancia'!GC57</f>
        <v>126.61969747300897</v>
      </c>
      <c r="AN47" s="38">
        <f t="shared" si="18"/>
        <v>8.8355824380203479E-2</v>
      </c>
      <c r="AO47" s="38">
        <f>IF(AL47&lt;0,0,AN47*'Irradiancia Horizontal'!$L$7)</f>
        <v>550.77043740224849</v>
      </c>
      <c r="AP47">
        <f t="shared" si="19"/>
        <v>9.3841041334033148E-2</v>
      </c>
      <c r="AQ47">
        <f>IF(AL47&lt;0,0,AP47*'Irradiancia Horizontal'!$L$39)</f>
        <v>66.002581760485128</v>
      </c>
      <c r="AU47" s="39">
        <f>'Cálculos iluminancia'!IG57</f>
        <v>0.375</v>
      </c>
      <c r="AV47" s="38">
        <f>'Cálculos iluminancia'!IH57</f>
        <v>45</v>
      </c>
      <c r="AW47" s="38">
        <f>'Cálculos iluminancia'!II57</f>
        <v>24.161470214332304</v>
      </c>
      <c r="AX47" s="38">
        <f>'Cálculos iluminancia'!IJ57</f>
        <v>133.43141457095311</v>
      </c>
      <c r="AY47" s="38">
        <f t="shared" si="20"/>
        <v>8.7171640197114014E-2</v>
      </c>
      <c r="AZ47" s="38">
        <f>IF(AW47&lt;0,0,AY47*'Irradiancia Horizontal'!$M$7)</f>
        <v>427.43987146036466</v>
      </c>
      <c r="BA47">
        <f t="shared" si="21"/>
        <v>9.400916701222721E-2</v>
      </c>
      <c r="BB47">
        <f>IF(AW47&lt;0,0,BA47*'Irradiancia Horizontal'!$M$39)</f>
        <v>63.902720221083399</v>
      </c>
      <c r="BF47" s="39">
        <f>'Cálculos iluminancia'!KN57</f>
        <v>0.375</v>
      </c>
      <c r="BG47" s="38">
        <f>'Cálculos iluminancia'!KO57</f>
        <v>45</v>
      </c>
      <c r="BH47" s="38">
        <f>'Cálculos iluminancia'!KP57</f>
        <v>21.932757611792816</v>
      </c>
      <c r="BI47" s="38">
        <f>'Cálculos iluminancia'!KQ57</f>
        <v>135.62743572218571</v>
      </c>
      <c r="BJ47" s="38">
        <f t="shared" si="22"/>
        <v>8.6440135101821261E-2</v>
      </c>
      <c r="BK47" s="38">
        <f>IF(BH47&lt;0,0,BJ47*'Irradiancia Horizontal'!$N$7)</f>
        <v>344.20016821017742</v>
      </c>
      <c r="BL47">
        <f t="shared" si="23"/>
        <v>9.3774499848970946E-2</v>
      </c>
      <c r="BM47">
        <f>IF(BH47&lt;0,0,BL47*'Irradiancia Horizontal'!$N$39)</f>
        <v>77.503681241333396</v>
      </c>
    </row>
    <row r="48" spans="2:65" x14ac:dyDescent="0.25">
      <c r="C48" s="39">
        <f>'Cálculos iluminancia'!E58</f>
        <v>0.41666666666666602</v>
      </c>
      <c r="D48" s="38">
        <f>'Cálculos iluminancia'!F58</f>
        <v>30</v>
      </c>
      <c r="E48" s="38">
        <f>'Cálculos iluminancia'!G58</f>
        <v>61.515083298976819</v>
      </c>
      <c r="F48" s="38">
        <f>'Cálculos iluminancia'!H58</f>
        <v>100.77760344118244</v>
      </c>
      <c r="G48" s="38">
        <f t="shared" si="12"/>
        <v>0.10853587126480187</v>
      </c>
      <c r="H48" s="38">
        <f>IF(E48&lt;0,0,G48*'Irradiancia Horizontal'!$I$7)</f>
        <v>798.09476519963528</v>
      </c>
      <c r="I48">
        <f t="shared" si="13"/>
        <v>0.10429024890320714</v>
      </c>
      <c r="J48">
        <f>IF(E48&lt;0,0,I48*'Irradiancia Horizontal'!$I$39)</f>
        <v>200.67284657757904</v>
      </c>
      <c r="N48" s="39">
        <f>'Cálculos iluminancia'!BL58</f>
        <v>0.41666666666666602</v>
      </c>
      <c r="O48" s="38">
        <f>'Cálculos iluminancia'!BM58</f>
        <v>30</v>
      </c>
      <c r="P48" s="38">
        <f>'Cálculos iluminancia'!BN58</f>
        <v>57.139651075019302</v>
      </c>
      <c r="Q48" s="38">
        <f>'Cálculos iluminancia'!BO58</f>
        <v>115.55422361507756</v>
      </c>
      <c r="R48" s="38">
        <f t="shared" si="14"/>
        <v>0.11184315651019874</v>
      </c>
      <c r="S48" s="38">
        <f>IF(P48&lt;0,0,R48*'Irradiancia Horizontal'!$J$7)</f>
        <v>775.24393449795571</v>
      </c>
      <c r="T48">
        <f t="shared" si="15"/>
        <v>0.10813033768166702</v>
      </c>
      <c r="U48">
        <f>IF(P48&lt;0,0,T48*'Irradiancia Horizontal'!$J$39)</f>
        <v>195.4050979010143</v>
      </c>
      <c r="Y48" s="39">
        <f>'Cálculos iluminancia'!DS58</f>
        <v>0.41666666666666602</v>
      </c>
      <c r="Z48" s="38">
        <f>'Cálculos iluminancia'!DT58</f>
        <v>30</v>
      </c>
      <c r="AA48" s="38">
        <f>'Cálculos iluminancia'!DU58</f>
        <v>49.037525394311317</v>
      </c>
      <c r="AB48" s="38">
        <f>'Cálculos iluminancia'!DV58</f>
        <v>130.29749452432006</v>
      </c>
      <c r="AC48" s="38">
        <f t="shared" si="16"/>
        <v>0.11635806104630474</v>
      </c>
      <c r="AD48" s="38">
        <f>IF(AA48&lt;0,0,AC48*'Irradiancia Horizontal'!$K$7)</f>
        <v>821.03551131099562</v>
      </c>
      <c r="AE48">
        <f t="shared" si="17"/>
        <v>0.11345493671437204</v>
      </c>
      <c r="AF48">
        <f>IF(AA48&lt;0,0,AE48*'Irradiancia Horizontal'!$K$39)</f>
        <v>126.10869224030742</v>
      </c>
      <c r="AJ48" s="39">
        <f>'Cálculos iluminancia'!FZ58</f>
        <v>0.41666666666666602</v>
      </c>
      <c r="AK48" s="38">
        <f>'Cálculos iluminancia'!GA58</f>
        <v>30</v>
      </c>
      <c r="AL48" s="38">
        <f>'Cálculos iluminancia'!GB58</f>
        <v>39.939246849075232</v>
      </c>
      <c r="AM48" s="38">
        <f>'Cálculos iluminancia'!GC58</f>
        <v>140.32371555745891</v>
      </c>
      <c r="AN48" s="38">
        <f t="shared" si="18"/>
        <v>0.12102795571801055</v>
      </c>
      <c r="AO48" s="38">
        <f>IF(AL48&lt;0,0,AN48*'Irradiancia Horizontal'!$L$7)</f>
        <v>754.43379739031434</v>
      </c>
      <c r="AP48">
        <f t="shared" si="19"/>
        <v>0.11905811125744661</v>
      </c>
      <c r="AQ48">
        <f>IF(AL48&lt;0,0,AP48*'Irradiancia Horizontal'!$L$39)</f>
        <v>83.7388695906197</v>
      </c>
      <c r="AU48" s="39">
        <f>'Cálculos iluminancia'!IG58</f>
        <v>0.41666666666666602</v>
      </c>
      <c r="AV48" s="38">
        <f>'Cálculos iluminancia'!IH58</f>
        <v>30</v>
      </c>
      <c r="AW48" s="38">
        <f>'Cálculos iluminancia'!II58</f>
        <v>32.646169918095019</v>
      </c>
      <c r="AX48" s="38">
        <f>'Cálculos iluminancia'!IJ58</f>
        <v>146.19150902310417</v>
      </c>
      <c r="AY48" s="38">
        <f t="shared" si="20"/>
        <v>0.12499469486683565</v>
      </c>
      <c r="AZ48" s="38">
        <f>IF(AW48&lt;0,0,AY48*'Irradiancia Horizontal'!$M$7)</f>
        <v>612.90250116088282</v>
      </c>
      <c r="BA48">
        <f t="shared" si="21"/>
        <v>0.12389936550137404</v>
      </c>
      <c r="BB48">
        <f>IF(AW48&lt;0,0,BA48*'Irradiancia Horizontal'!$M$39)</f>
        <v>84.220579128993606</v>
      </c>
      <c r="BF48" s="39">
        <f>'Cálculos iluminancia'!KN58</f>
        <v>0.41666666666666602</v>
      </c>
      <c r="BG48" s="38">
        <f>'Cálculos iluminancia'!KO58</f>
        <v>30</v>
      </c>
      <c r="BH48" s="38">
        <f>'Cálculos iluminancia'!KP58</f>
        <v>30.061756873161897</v>
      </c>
      <c r="BI48" s="38">
        <f>'Cálculos iluminancia'!KQ58</f>
        <v>147.99477629228704</v>
      </c>
      <c r="BJ48" s="38">
        <f t="shared" si="22"/>
        <v>0.12650292013305511</v>
      </c>
      <c r="BK48" s="38">
        <f>IF(BH48&lt;0,0,BJ48*'Irradiancia Horizontal'!$N$7)</f>
        <v>503.72811585250275</v>
      </c>
      <c r="BL48">
        <f t="shared" si="23"/>
        <v>0.12576296943588933</v>
      </c>
      <c r="BM48">
        <f>IF(BH48&lt;0,0,BL48*'Irradiancia Horizontal'!$N$39)</f>
        <v>103.94182971725743</v>
      </c>
    </row>
    <row r="49" spans="3:65" x14ac:dyDescent="0.25">
      <c r="C49" s="39">
        <f>'Cálculos iluminancia'!E59</f>
        <v>0.45833333333333298</v>
      </c>
      <c r="D49" s="38">
        <f>'Cálculos iluminancia'!F59</f>
        <v>15</v>
      </c>
      <c r="E49" s="38">
        <f>'Cálculos iluminancia'!G59</f>
        <v>73.894403228018106</v>
      </c>
      <c r="F49" s="38">
        <f>'Cálculos iluminancia'!H59</f>
        <v>119.04510230733558</v>
      </c>
      <c r="G49" s="38">
        <f t="shared" si="12"/>
        <v>0.12253463216140251</v>
      </c>
      <c r="H49" s="38">
        <f>IF(E49&lt;0,0,G49*'Irradiancia Horizontal'!$I$7)</f>
        <v>901.03158839609216</v>
      </c>
      <c r="I49">
        <f t="shared" si="13"/>
        <v>0.11399727427596724</v>
      </c>
      <c r="J49">
        <f>IF(E49&lt;0,0,I49*'Irradiancia Horizontal'!$I$39)</f>
        <v>219.35087672745868</v>
      </c>
      <c r="N49" s="39">
        <f>'Cálculos iluminancia'!BL59</f>
        <v>0.45833333333333298</v>
      </c>
      <c r="O49" s="38">
        <f>'Cálculos iluminancia'!BM59</f>
        <v>15</v>
      </c>
      <c r="P49" s="38">
        <f>'Cálculos iluminancia'!BN59</f>
        <v>67.739632253222226</v>
      </c>
      <c r="Q49" s="38">
        <f>'Cálculos iluminancia'!BO59</f>
        <v>138.01742275319981</v>
      </c>
      <c r="R49" s="38">
        <f t="shared" si="14"/>
        <v>0.12770357787964204</v>
      </c>
      <c r="S49" s="38">
        <f>IF(P49&lt;0,0,R49*'Irradiancia Horizontal'!$J$7)</f>
        <v>885.18088414155295</v>
      </c>
      <c r="T49">
        <f t="shared" si="15"/>
        <v>0.11913348267397139</v>
      </c>
      <c r="U49">
        <f>IF(P49&lt;0,0,T49*'Irradiancia Horizontal'!$J$39)</f>
        <v>215.28916254501871</v>
      </c>
      <c r="Y49" s="39">
        <f>'Cálculos iluminancia'!DS59</f>
        <v>0.45833333333333298</v>
      </c>
      <c r="Z49" s="38">
        <f>'Cálculos iluminancia'!DT59</f>
        <v>15</v>
      </c>
      <c r="AA49" s="38">
        <f>'Cálculos iluminancia'!DU59</f>
        <v>57.399290508538691</v>
      </c>
      <c r="AB49" s="38">
        <f>'Cálculos iluminancia'!DV59</f>
        <v>151.29005331477052</v>
      </c>
      <c r="AC49" s="38">
        <f t="shared" si="16"/>
        <v>0.13516420184082154</v>
      </c>
      <c r="AD49" s="38">
        <f>IF(AA49&lt;0,0,AC49*'Irradiancia Horizontal'!$K$7)</f>
        <v>953.73374712009968</v>
      </c>
      <c r="AE49">
        <f t="shared" si="17"/>
        <v>0.12657221247990036</v>
      </c>
      <c r="AF49">
        <f>IF(AA49&lt;0,0,AE49*'Irradiancia Horizontal'!$K$39)</f>
        <v>140.68895238985723</v>
      </c>
      <c r="AJ49" s="39">
        <f>'Cálculos iluminancia'!FZ59</f>
        <v>0.45833333333333298</v>
      </c>
      <c r="AK49" s="38">
        <f>'Cálculos iluminancia'!GA59</f>
        <v>15</v>
      </c>
      <c r="AL49" s="38">
        <f>'Cálculos iluminancia'!GB59</f>
        <v>46.673158273074627</v>
      </c>
      <c r="AM49" s="38">
        <f>'Cálculos iluminancia'!GC59</f>
        <v>158.32815603485838</v>
      </c>
      <c r="AN49" s="38">
        <f t="shared" si="18"/>
        <v>0.14350273789670071</v>
      </c>
      <c r="AO49" s="38">
        <f>IF(AL49&lt;0,0,AN49*'Irradiancia Horizontal'!$L$7)</f>
        <v>894.53147287361719</v>
      </c>
      <c r="AP49">
        <f t="shared" si="19"/>
        <v>0.13491022410926806</v>
      </c>
      <c r="AQ49">
        <f>IF(AL49&lt;0,0,AP49*'Irradiancia Horizontal'!$L$39)</f>
        <v>94.888366225620587</v>
      </c>
      <c r="AU49" s="39">
        <f>'Cálculos iluminancia'!IG59</f>
        <v>0.45833333333333298</v>
      </c>
      <c r="AV49" s="38">
        <f>'Cálculos iluminancia'!IH59</f>
        <v>15</v>
      </c>
      <c r="AW49" s="38">
        <f>'Cálculos iluminancia'!II59</f>
        <v>38.40811985351386</v>
      </c>
      <c r="AX49" s="38">
        <f>'Cálculos iluminancia'!IJ59</f>
        <v>161.97127433681268</v>
      </c>
      <c r="AY49" s="38">
        <f t="shared" si="20"/>
        <v>0.15126751840635042</v>
      </c>
      <c r="AZ49" s="38">
        <f>IF(AW49&lt;0,0,AY49*'Irradiancia Horizontal'!$M$7)</f>
        <v>741.72940279124612</v>
      </c>
      <c r="BA49">
        <f t="shared" si="21"/>
        <v>0.14268912977820486</v>
      </c>
      <c r="BB49">
        <f>IF(AW49&lt;0,0,BA49*'Irradiancia Horizontal'!$M$39)</f>
        <v>96.992919186493083</v>
      </c>
      <c r="BF49" s="39">
        <f>'Cálculos iluminancia'!KN59</f>
        <v>0.45833333333333298</v>
      </c>
      <c r="BG49" s="38">
        <f>'Cálculos iluminancia'!KO59</f>
        <v>15</v>
      </c>
      <c r="BH49" s="38">
        <f>'Cálculos iluminancia'!KP59</f>
        <v>35.522989333110019</v>
      </c>
      <c r="BI49" s="38">
        <f>'Cálculos iluminancia'!KQ59</f>
        <v>163.03777709301244</v>
      </c>
      <c r="BJ49" s="38">
        <f t="shared" si="22"/>
        <v>0.15444157473433712</v>
      </c>
      <c r="BK49" s="38">
        <f>IF(BH49&lt;0,0,BJ49*'Irradiancia Horizontal'!$N$7)</f>
        <v>614.97840024874608</v>
      </c>
      <c r="BL49">
        <f t="shared" si="23"/>
        <v>0.14587176206679175</v>
      </c>
      <c r="BM49">
        <f>IF(BH49&lt;0,0,BL49*'Irradiancia Horizontal'!$N$39)</f>
        <v>120.56154463681015</v>
      </c>
    </row>
    <row r="50" spans="3:65" x14ac:dyDescent="0.25">
      <c r="C50" s="39">
        <f>'Cálculos iluminancia'!E60</f>
        <v>0.5</v>
      </c>
      <c r="D50" s="38">
        <f>'Cálculos iluminancia'!F60</f>
        <v>0</v>
      </c>
      <c r="E50" s="38">
        <f>'Cálculos iluminancia'!G60</f>
        <v>81.361513173733542</v>
      </c>
      <c r="F50" s="38">
        <f>'Cálculos iluminancia'!H60</f>
        <v>180</v>
      </c>
      <c r="G50" s="38">
        <f t="shared" si="12"/>
        <v>0.12746111912501953</v>
      </c>
      <c r="H50" s="38">
        <f>IF(E50&lt;0,0,G50*'Irradiancia Horizontal'!$I$7)</f>
        <v>937.25743161887635</v>
      </c>
      <c r="I50">
        <f t="shared" si="13"/>
        <v>0.1173081598605855</v>
      </c>
      <c r="J50">
        <f>IF(E50&lt;0,0,I50*'Irradiancia Horizontal'!$I$39)</f>
        <v>225.72160497813778</v>
      </c>
      <c r="N50" s="39">
        <f>'Cálculos iluminancia'!BL60</f>
        <v>0.5</v>
      </c>
      <c r="O50" s="38">
        <f>'Cálculos iluminancia'!BM60</f>
        <v>0</v>
      </c>
      <c r="P50" s="38">
        <f>'Cálculos iluminancia'!BN60</f>
        <v>72.674120525303422</v>
      </c>
      <c r="Q50" s="38">
        <f>'Cálculos iluminancia'!BO60</f>
        <v>180</v>
      </c>
      <c r="R50" s="38">
        <f t="shared" si="14"/>
        <v>0.13330251639248272</v>
      </c>
      <c r="S50" s="38">
        <f>IF(P50&lt;0,0,R50*'Irradiancia Horizontal'!$J$7)</f>
        <v>923.99008138833256</v>
      </c>
      <c r="T50">
        <f t="shared" si="15"/>
        <v>0.12288645052370169</v>
      </c>
      <c r="U50">
        <f>IF(P50&lt;0,0,T50*'Irradiancia Horizontal'!$J$39)</f>
        <v>222.0712467021483</v>
      </c>
      <c r="Y50" s="39">
        <f>'Cálculos iluminancia'!DS60</f>
        <v>0.5</v>
      </c>
      <c r="Z50" s="38">
        <f>'Cálculos iluminancia'!DT60</f>
        <v>0</v>
      </c>
      <c r="AA50" s="38">
        <f>'Cálculos iluminancia'!DU60</f>
        <v>60.71816592296026</v>
      </c>
      <c r="AB50" s="38">
        <f>'Cálculos iluminancia'!DV60</f>
        <v>180</v>
      </c>
      <c r="AC50" s="38">
        <f t="shared" si="16"/>
        <v>0.14183239208276954</v>
      </c>
      <c r="AD50" s="38">
        <f>IF(AA50&lt;0,0,AC50*'Irradiancia Horizontal'!$K$7)</f>
        <v>1000.7852443312647</v>
      </c>
      <c r="AE50">
        <f t="shared" si="17"/>
        <v>0.1310462709657701</v>
      </c>
      <c r="AF50">
        <f>IF(AA50&lt;0,0,AE50*'Irradiancia Horizontal'!$K$39)</f>
        <v>145.6620076045468</v>
      </c>
      <c r="AJ50" s="39">
        <f>'Cálculos iluminancia'!FZ60</f>
        <v>0.5</v>
      </c>
      <c r="AK50" s="38">
        <f>'Cálculos iluminancia'!GA60</f>
        <v>0</v>
      </c>
      <c r="AL50" s="38">
        <f>'Cálculos iluminancia'!GB60</f>
        <v>49.165879474696581</v>
      </c>
      <c r="AM50" s="38">
        <f>'Cálculos iluminancia'!GC60</f>
        <v>180</v>
      </c>
      <c r="AN50" s="38">
        <f t="shared" si="18"/>
        <v>0.15151032051612093</v>
      </c>
      <c r="AO50" s="38">
        <f>IF(AL50&lt;0,0,AN50*'Irradiancia Horizontal'!$L$7)</f>
        <v>944.44713845390322</v>
      </c>
      <c r="AP50">
        <f t="shared" si="19"/>
        <v>0.14031708459550102</v>
      </c>
      <c r="AQ50">
        <f>IF(AL50&lt;0,0,AP50*'Irradiancia Horizontal'!$L$39)</f>
        <v>98.691251895226884</v>
      </c>
      <c r="AU50" s="39">
        <f>'Cálculos iluminancia'!IG60</f>
        <v>0.5</v>
      </c>
      <c r="AV50" s="38">
        <f>'Cálculos iluminancia'!IH60</f>
        <v>0</v>
      </c>
      <c r="AW50" s="38">
        <f>'Cálculos iluminancia'!II60</f>
        <v>40.478486826266419</v>
      </c>
      <c r="AX50" s="38">
        <f>'Cálculos iluminancia'!IJ60</f>
        <v>180</v>
      </c>
      <c r="AY50" s="38">
        <f t="shared" si="20"/>
        <v>0.16066942024728079</v>
      </c>
      <c r="AZ50" s="38">
        <f>IF(AW50&lt;0,0,AY50*'Irradiancia Horizontal'!$M$7)</f>
        <v>787.83095262193626</v>
      </c>
      <c r="BA50">
        <f t="shared" si="21"/>
        <v>0.14909796845880724</v>
      </c>
      <c r="BB50">
        <f>IF(AW50&lt;0,0,BA50*'Irradiancia Horizontal'!$M$39)</f>
        <v>101.34932652595312</v>
      </c>
      <c r="BF50" s="39">
        <f>'Cálculos iluminancia'!KN60</f>
        <v>0.5</v>
      </c>
      <c r="BG50" s="38">
        <f>'Cálculos iluminancia'!KO60</f>
        <v>0</v>
      </c>
      <c r="BH50" s="38">
        <f>'Cálculos iluminancia'!KP60</f>
        <v>37.47021715318634</v>
      </c>
      <c r="BI50" s="38">
        <f>'Cálculos iluminancia'!KQ60</f>
        <v>180</v>
      </c>
      <c r="BJ50" s="38">
        <f t="shared" si="22"/>
        <v>0.16445719056682115</v>
      </c>
      <c r="BK50" s="38">
        <f>IF(BH50&lt;0,0,BJ50*'Irradiancia Horizontal'!$N$7)</f>
        <v>654.86006690982572</v>
      </c>
      <c r="BL50">
        <f t="shared" si="23"/>
        <v>0.15273049675523337</v>
      </c>
      <c r="BM50">
        <f>IF(BH50&lt;0,0,BL50*'Irradiancia Horizontal'!$N$39)</f>
        <v>126.2302198936016</v>
      </c>
    </row>
    <row r="51" spans="3:65" x14ac:dyDescent="0.25">
      <c r="C51" s="39">
        <f>'Cálculos iluminancia'!E61</f>
        <v>0.54166666666666596</v>
      </c>
      <c r="D51" s="38">
        <f>'Cálculos iluminancia'!F61</f>
        <v>-15</v>
      </c>
      <c r="E51" s="38">
        <f>'Cálculos iluminancia'!G61</f>
        <v>73.894403228018106</v>
      </c>
      <c r="F51" s="38">
        <f>'Cálculos iluminancia'!H61</f>
        <v>-119.04510230733558</v>
      </c>
      <c r="G51" s="38">
        <f t="shared" si="12"/>
        <v>0.12253463216140251</v>
      </c>
      <c r="H51" s="38">
        <f>IF(E51&lt;0,0,G51*'Irradiancia Horizontal'!$I$7)</f>
        <v>901.03158839609216</v>
      </c>
      <c r="I51">
        <f t="shared" si="13"/>
        <v>0.11399727427596724</v>
      </c>
      <c r="J51">
        <f>IF(E51&lt;0,0,I51*'Irradiancia Horizontal'!$I$39)</f>
        <v>219.35087672745868</v>
      </c>
      <c r="N51" s="39">
        <f>'Cálculos iluminancia'!BL61</f>
        <v>0.54166666666666596</v>
      </c>
      <c r="O51" s="38">
        <f>'Cálculos iluminancia'!BM61</f>
        <v>-15</v>
      </c>
      <c r="P51" s="38">
        <f>'Cálculos iluminancia'!BN61</f>
        <v>67.739632253222226</v>
      </c>
      <c r="Q51" s="38">
        <f>'Cálculos iluminancia'!BO61</f>
        <v>-138.01742275319981</v>
      </c>
      <c r="R51" s="38">
        <f t="shared" si="14"/>
        <v>0.12770357787964204</v>
      </c>
      <c r="S51" s="38">
        <f>IF(P51&lt;0,0,R51*'Irradiancia Horizontal'!$J$7)</f>
        <v>885.18088414155295</v>
      </c>
      <c r="T51">
        <f t="shared" si="15"/>
        <v>0.11913348267397139</v>
      </c>
      <c r="U51">
        <f>IF(P51&lt;0,0,T51*'Irradiancia Horizontal'!$J$39)</f>
        <v>215.28916254501871</v>
      </c>
      <c r="Y51" s="39">
        <f>'Cálculos iluminancia'!DS61</f>
        <v>0.54166666666666596</v>
      </c>
      <c r="Z51" s="38">
        <f>'Cálculos iluminancia'!DT61</f>
        <v>-15</v>
      </c>
      <c r="AA51" s="38">
        <f>'Cálculos iluminancia'!DU61</f>
        <v>57.399290508538691</v>
      </c>
      <c r="AB51" s="38">
        <f>'Cálculos iluminancia'!DV61</f>
        <v>-151.29005331477052</v>
      </c>
      <c r="AC51" s="38">
        <f t="shared" si="16"/>
        <v>0.13516420184082154</v>
      </c>
      <c r="AD51" s="38">
        <f>IF(AA51&lt;0,0,AC51*'Irradiancia Horizontal'!$K$7)</f>
        <v>953.73374712009968</v>
      </c>
      <c r="AE51">
        <f t="shared" si="17"/>
        <v>0.12657221247990036</v>
      </c>
      <c r="AF51">
        <f>IF(AA51&lt;0,0,AE51*'Irradiancia Horizontal'!$K$39)</f>
        <v>140.68895238985723</v>
      </c>
      <c r="AJ51" s="39">
        <f>'Cálculos iluminancia'!FZ61</f>
        <v>0.54166666666666596</v>
      </c>
      <c r="AK51" s="38">
        <f>'Cálculos iluminancia'!GA61</f>
        <v>-15</v>
      </c>
      <c r="AL51" s="38">
        <f>'Cálculos iluminancia'!GB61</f>
        <v>46.673158273074627</v>
      </c>
      <c r="AM51" s="38">
        <f>'Cálculos iluminancia'!GC61</f>
        <v>-158.32815603485838</v>
      </c>
      <c r="AN51" s="38">
        <f t="shared" si="18"/>
        <v>0.14350273789670071</v>
      </c>
      <c r="AO51" s="38">
        <f>IF(AL51&lt;0,0,AN51*'Irradiancia Horizontal'!$L$7)</f>
        <v>894.53147287361719</v>
      </c>
      <c r="AP51">
        <f t="shared" si="19"/>
        <v>0.13491022410926806</v>
      </c>
      <c r="AQ51">
        <f>IF(AL51&lt;0,0,AP51*'Irradiancia Horizontal'!$L$39)</f>
        <v>94.888366225620587</v>
      </c>
      <c r="AU51" s="39">
        <f>'Cálculos iluminancia'!IG61</f>
        <v>0.54166666666666596</v>
      </c>
      <c r="AV51" s="38">
        <f>'Cálculos iluminancia'!IH61</f>
        <v>-15</v>
      </c>
      <c r="AW51" s="38">
        <f>'Cálculos iluminancia'!II61</f>
        <v>38.40811985351386</v>
      </c>
      <c r="AX51" s="38">
        <f>'Cálculos iluminancia'!IJ61</f>
        <v>-161.97127433681268</v>
      </c>
      <c r="AY51" s="38">
        <f t="shared" si="20"/>
        <v>0.15126751840635042</v>
      </c>
      <c r="AZ51" s="38">
        <f>IF(AW51&lt;0,0,AY51*'Irradiancia Horizontal'!$M$7)</f>
        <v>741.72940279124612</v>
      </c>
      <c r="BA51">
        <f t="shared" si="21"/>
        <v>0.14268912977820486</v>
      </c>
      <c r="BB51">
        <f>IF(AW51&lt;0,0,BA51*'Irradiancia Horizontal'!$M$39)</f>
        <v>96.992919186493083</v>
      </c>
      <c r="BF51" s="39">
        <f>'Cálculos iluminancia'!KN61</f>
        <v>0.54166666666666596</v>
      </c>
      <c r="BG51" s="38">
        <f>'Cálculos iluminancia'!KO61</f>
        <v>-15</v>
      </c>
      <c r="BH51" s="38">
        <f>'Cálculos iluminancia'!KP61</f>
        <v>35.522989333110019</v>
      </c>
      <c r="BI51" s="38">
        <f>'Cálculos iluminancia'!KQ61</f>
        <v>-163.03777709301244</v>
      </c>
      <c r="BJ51" s="38">
        <f t="shared" si="22"/>
        <v>0.15444157473433712</v>
      </c>
      <c r="BK51" s="38">
        <f>IF(BH51&lt;0,0,BJ51*'Irradiancia Horizontal'!$N$7)</f>
        <v>614.97840024874608</v>
      </c>
      <c r="BL51">
        <f t="shared" si="23"/>
        <v>0.14587176206679175</v>
      </c>
      <c r="BM51">
        <f>IF(BH51&lt;0,0,BL51*'Irradiancia Horizontal'!$N$39)</f>
        <v>120.56154463681015</v>
      </c>
    </row>
    <row r="52" spans="3:65" x14ac:dyDescent="0.25">
      <c r="C52" s="39">
        <f>'Cálculos iluminancia'!E62</f>
        <v>0.58333333333333304</v>
      </c>
      <c r="D52" s="38">
        <f>'Cálculos iluminancia'!F62</f>
        <v>-30</v>
      </c>
      <c r="E52" s="38">
        <f>'Cálculos iluminancia'!G62</f>
        <v>61.515083298976819</v>
      </c>
      <c r="F52" s="38">
        <f>'Cálculos iluminancia'!H62</f>
        <v>-100.77760344118244</v>
      </c>
      <c r="G52" s="38">
        <f t="shared" si="12"/>
        <v>0.10853587126480187</v>
      </c>
      <c r="H52" s="38">
        <f>IF(E52&lt;0,0,G52*'Irradiancia Horizontal'!$I$7)</f>
        <v>798.09476519963528</v>
      </c>
      <c r="I52">
        <f t="shared" si="13"/>
        <v>0.10429024890320714</v>
      </c>
      <c r="J52">
        <f>IF(E52&lt;0,0,I52*'Irradiancia Horizontal'!$I$39)</f>
        <v>200.67284657757904</v>
      </c>
      <c r="N52" s="39">
        <f>'Cálculos iluminancia'!BL62</f>
        <v>0.58333333333333304</v>
      </c>
      <c r="O52" s="38">
        <f>'Cálculos iluminancia'!BM62</f>
        <v>-30</v>
      </c>
      <c r="P52" s="38">
        <f>'Cálculos iluminancia'!BN62</f>
        <v>57.139651075019302</v>
      </c>
      <c r="Q52" s="38">
        <f>'Cálculos iluminancia'!BO62</f>
        <v>-115.55422361507756</v>
      </c>
      <c r="R52" s="38">
        <f t="shared" si="14"/>
        <v>0.11184315651019874</v>
      </c>
      <c r="S52" s="38">
        <f>IF(P52&lt;0,0,R52*'Irradiancia Horizontal'!$J$7)</f>
        <v>775.24393449795571</v>
      </c>
      <c r="T52">
        <f t="shared" si="15"/>
        <v>0.10813033768166702</v>
      </c>
      <c r="U52">
        <f>IF(P52&lt;0,0,T52*'Irradiancia Horizontal'!$J$39)</f>
        <v>195.4050979010143</v>
      </c>
      <c r="Y52" s="39">
        <f>'Cálculos iluminancia'!DS62</f>
        <v>0.58333333333333304</v>
      </c>
      <c r="Z52" s="38">
        <f>'Cálculos iluminancia'!DT62</f>
        <v>-30</v>
      </c>
      <c r="AA52" s="38">
        <f>'Cálculos iluminancia'!DU62</f>
        <v>49.037525394311317</v>
      </c>
      <c r="AB52" s="38">
        <f>'Cálculos iluminancia'!DV62</f>
        <v>-130.29749452432006</v>
      </c>
      <c r="AC52" s="38">
        <f t="shared" si="16"/>
        <v>0.11635806104630474</v>
      </c>
      <c r="AD52" s="38">
        <f>IF(AA52&lt;0,0,AC52*'Irradiancia Horizontal'!$K$7)</f>
        <v>821.03551131099562</v>
      </c>
      <c r="AE52">
        <f t="shared" si="17"/>
        <v>0.11345493671437204</v>
      </c>
      <c r="AF52">
        <f>IF(AA52&lt;0,0,AE52*'Irradiancia Horizontal'!$K$39)</f>
        <v>126.10869224030742</v>
      </c>
      <c r="AJ52" s="39">
        <f>'Cálculos iluminancia'!FZ62</f>
        <v>0.58333333333333304</v>
      </c>
      <c r="AK52" s="38">
        <f>'Cálculos iluminancia'!GA62</f>
        <v>-30</v>
      </c>
      <c r="AL52" s="38">
        <f>'Cálculos iluminancia'!GB62</f>
        <v>39.939246849075232</v>
      </c>
      <c r="AM52" s="38">
        <f>'Cálculos iluminancia'!GC62</f>
        <v>-140.32371555745891</v>
      </c>
      <c r="AN52" s="38">
        <f t="shared" si="18"/>
        <v>0.12102795571801055</v>
      </c>
      <c r="AO52" s="38">
        <f>IF(AL52&lt;0,0,AN52*'Irradiancia Horizontal'!$L$7)</f>
        <v>754.43379739031434</v>
      </c>
      <c r="AP52">
        <f t="shared" si="19"/>
        <v>0.11905811125744661</v>
      </c>
      <c r="AQ52">
        <f>IF(AL52&lt;0,0,AP52*'Irradiancia Horizontal'!$L$39)</f>
        <v>83.7388695906197</v>
      </c>
      <c r="AU52" s="39">
        <f>'Cálculos iluminancia'!IG62</f>
        <v>0.58333333333333304</v>
      </c>
      <c r="AV52" s="38">
        <f>'Cálculos iluminancia'!IH62</f>
        <v>-30</v>
      </c>
      <c r="AW52" s="38">
        <f>'Cálculos iluminancia'!II62</f>
        <v>32.646169918095019</v>
      </c>
      <c r="AX52" s="38">
        <f>'Cálculos iluminancia'!IJ62</f>
        <v>-146.19150902310417</v>
      </c>
      <c r="AY52" s="38">
        <f t="shared" si="20"/>
        <v>0.12499469486683565</v>
      </c>
      <c r="AZ52" s="38">
        <f>IF(AW52&lt;0,0,AY52*'Irradiancia Horizontal'!$M$7)</f>
        <v>612.90250116088282</v>
      </c>
      <c r="BA52">
        <f t="shared" si="21"/>
        <v>0.12389936550137404</v>
      </c>
      <c r="BB52">
        <f>IF(AW52&lt;0,0,BA52*'Irradiancia Horizontal'!$M$39)</f>
        <v>84.220579128993606</v>
      </c>
      <c r="BF52" s="39">
        <f>'Cálculos iluminancia'!KN62</f>
        <v>0.58333333333333304</v>
      </c>
      <c r="BG52" s="38">
        <f>'Cálculos iluminancia'!KO62</f>
        <v>-30</v>
      </c>
      <c r="BH52" s="38">
        <f>'Cálculos iluminancia'!KP62</f>
        <v>30.061756873161897</v>
      </c>
      <c r="BI52" s="38">
        <f>'Cálculos iluminancia'!KQ62</f>
        <v>-147.99477629228704</v>
      </c>
      <c r="BJ52" s="38">
        <f t="shared" si="22"/>
        <v>0.12650292013305511</v>
      </c>
      <c r="BK52" s="38">
        <f>IF(BH52&lt;0,0,BJ52*'Irradiancia Horizontal'!$N$7)</f>
        <v>503.72811585250275</v>
      </c>
      <c r="BL52">
        <f t="shared" si="23"/>
        <v>0.12576296943588933</v>
      </c>
      <c r="BM52">
        <f>IF(BH52&lt;0,0,BL52*'Irradiancia Horizontal'!$N$39)</f>
        <v>103.94182971725743</v>
      </c>
    </row>
    <row r="53" spans="3:65" x14ac:dyDescent="0.25">
      <c r="C53" s="39">
        <f>'Cálculos iluminancia'!E63</f>
        <v>0.625</v>
      </c>
      <c r="D53" s="38">
        <f>'Cálculos iluminancia'!F63</f>
        <v>-45</v>
      </c>
      <c r="E53" s="38">
        <f>'Cálculos iluminancia'!G63</f>
        <v>48.486777985752788</v>
      </c>
      <c r="F53" s="38">
        <f>'Cálculos iluminancia'!H63</f>
        <v>-91.453199982521028</v>
      </c>
      <c r="G53" s="38">
        <f t="shared" si="12"/>
        <v>8.7634504174118361E-2</v>
      </c>
      <c r="H53" s="38">
        <f>IF(E53&lt;0,0,G53*'Irradiancia Horizontal'!$I$7)</f>
        <v>644.40113869442132</v>
      </c>
      <c r="I53">
        <f t="shared" si="13"/>
        <v>8.8848601479840847E-2</v>
      </c>
      <c r="J53">
        <f>IF(E53&lt;0,0,I53*'Irradiancia Horizontal'!$I$39)</f>
        <v>170.96039141630882</v>
      </c>
      <c r="N53" s="39">
        <f>'Cálculos iluminancia'!BL63</f>
        <v>0.625</v>
      </c>
      <c r="O53" s="38">
        <f>'Cálculos iluminancia'!BM63</f>
        <v>-45</v>
      </c>
      <c r="P53" s="38">
        <f>'Cálculos iluminancia'!BN63</f>
        <v>44.750605705383357</v>
      </c>
      <c r="Q53" s="38">
        <f>'Cálculos iluminancia'!BO63</f>
        <v>-102.89080145989399</v>
      </c>
      <c r="R53" s="38">
        <f t="shared" si="14"/>
        <v>8.8317953281841041E-2</v>
      </c>
      <c r="S53" s="38">
        <f>IF(P53&lt;0,0,R53*'Irradiancia Horizontal'!$J$7)</f>
        <v>612.17833728412018</v>
      </c>
      <c r="T53">
        <f t="shared" si="15"/>
        <v>9.0626861694457259E-2</v>
      </c>
      <c r="U53">
        <f>IF(P53&lt;0,0,T53*'Irradiancia Horizontal'!$J$39)</f>
        <v>163.7741189156535</v>
      </c>
      <c r="Y53" s="39">
        <f>'Cálculos iluminancia'!DS63</f>
        <v>0.625</v>
      </c>
      <c r="Z53" s="38">
        <f>'Cálculos iluminancia'!DT63</f>
        <v>-45</v>
      </c>
      <c r="AA53" s="38">
        <f>'Cálculos iluminancia'!DU63</f>
        <v>38.043117489966257</v>
      </c>
      <c r="AB53" s="38">
        <f>'Cálculos iluminancia'!DV63</f>
        <v>-116.12260115072581</v>
      </c>
      <c r="AC53" s="38">
        <f t="shared" si="16"/>
        <v>8.872823326024383E-2</v>
      </c>
      <c r="AD53" s="38">
        <f>IF(AA53&lt;0,0,AC53*'Irradiancia Horizontal'!$K$7)</f>
        <v>626.07635180131854</v>
      </c>
      <c r="AE53">
        <f t="shared" si="17"/>
        <v>9.2588364335282655E-2</v>
      </c>
      <c r="AF53">
        <f>IF(AA53&lt;0,0,AE53*'Irradiancia Horizontal'!$K$39)</f>
        <v>102.91484779006994</v>
      </c>
      <c r="AJ53" s="39">
        <f>'Cálculos iluminancia'!FZ63</f>
        <v>0.625</v>
      </c>
      <c r="AK53" s="38">
        <f>'Cálculos iluminancia'!GA63</f>
        <v>-45</v>
      </c>
      <c r="AL53" s="38">
        <f>'Cálculos iluminancia'!GB63</f>
        <v>30.397866606469542</v>
      </c>
      <c r="AM53" s="38">
        <f>'Cálculos iluminancia'!GC63</f>
        <v>-126.61969747300897</v>
      </c>
      <c r="AN53" s="38">
        <f t="shared" si="18"/>
        <v>8.8355824380203479E-2</v>
      </c>
      <c r="AO53" s="38">
        <f>IF(AL53&lt;0,0,AN53*'Irradiancia Horizontal'!$L$7)</f>
        <v>550.77043740224849</v>
      </c>
      <c r="AP53">
        <f t="shared" si="19"/>
        <v>9.3841041334033148E-2</v>
      </c>
      <c r="AQ53">
        <f>IF(AL53&lt;0,0,AP53*'Irradiancia Horizontal'!$L$39)</f>
        <v>66.002581760485128</v>
      </c>
      <c r="AU53" s="39">
        <f>'Cálculos iluminancia'!IG63</f>
        <v>0.625</v>
      </c>
      <c r="AV53" s="38">
        <f>'Cálculos iluminancia'!IH63</f>
        <v>-45</v>
      </c>
      <c r="AW53" s="38">
        <f>'Cálculos iluminancia'!II63</f>
        <v>24.161470214332304</v>
      </c>
      <c r="AX53" s="38">
        <f>'Cálculos iluminancia'!IJ63</f>
        <v>-133.43141457095311</v>
      </c>
      <c r="AY53" s="38">
        <f t="shared" si="20"/>
        <v>8.7171640197114014E-2</v>
      </c>
      <c r="AZ53" s="38">
        <f>IF(AW53&lt;0,0,AY53*'Irradiancia Horizontal'!$M$7)</f>
        <v>427.43987146036466</v>
      </c>
      <c r="BA53">
        <f t="shared" si="21"/>
        <v>9.400916701222721E-2</v>
      </c>
      <c r="BB53">
        <f>IF(AW53&lt;0,0,BA53*'Irradiancia Horizontal'!$M$39)</f>
        <v>63.902720221083399</v>
      </c>
      <c r="BF53" s="39">
        <f>'Cálculos iluminancia'!KN63</f>
        <v>0.625</v>
      </c>
      <c r="BG53" s="38">
        <f>'Cálculos iluminancia'!KO63</f>
        <v>-45</v>
      </c>
      <c r="BH53" s="38">
        <f>'Cálculos iluminancia'!KP63</f>
        <v>21.932757611792816</v>
      </c>
      <c r="BI53" s="38">
        <f>'Cálculos iluminancia'!KQ63</f>
        <v>-135.62743572218571</v>
      </c>
      <c r="BJ53" s="38">
        <f t="shared" si="22"/>
        <v>8.6440135101821261E-2</v>
      </c>
      <c r="BK53" s="38">
        <f>IF(BH53&lt;0,0,BJ53*'Irradiancia Horizontal'!$N$7)</f>
        <v>344.20016821017742</v>
      </c>
      <c r="BL53">
        <f t="shared" si="23"/>
        <v>9.3774499848970946E-2</v>
      </c>
      <c r="BM53">
        <f>IF(BH53&lt;0,0,BL53*'Irradiancia Horizontal'!$N$39)</f>
        <v>77.503681241333396</v>
      </c>
    </row>
    <row r="54" spans="3:65" x14ac:dyDescent="0.25">
      <c r="C54" s="39">
        <f>'Cálculos iluminancia'!E64</f>
        <v>0.66666666666666596</v>
      </c>
      <c r="D54" s="38">
        <f>'Cálculos iluminancia'!F64</f>
        <v>-60</v>
      </c>
      <c r="E54" s="38">
        <f>'Cálculos iluminancia'!G64</f>
        <v>35.394376206101434</v>
      </c>
      <c r="F54" s="38">
        <f>'Cálculos iluminancia'!H64</f>
        <v>-84.543717342161969</v>
      </c>
      <c r="G54" s="38">
        <f t="shared" si="12"/>
        <v>6.2915567882368004E-2</v>
      </c>
      <c r="H54" s="38">
        <f>IF(E54&lt;0,0,G54*'Irradiancia Horizontal'!$I$7)</f>
        <v>462.63585293357409</v>
      </c>
      <c r="I54">
        <f t="shared" si="13"/>
        <v>6.872465475924186E-2</v>
      </c>
      <c r="J54">
        <f>IF(E54&lt;0,0,I54*'Irradiancia Horizontal'!$I$39)</f>
        <v>132.23836596073482</v>
      </c>
      <c r="N54" s="39">
        <f>'Cálculos iluminancia'!BL64</f>
        <v>0.66666666666666596</v>
      </c>
      <c r="O54" s="38">
        <f>'Cálculos iluminancia'!BM64</f>
        <v>-60</v>
      </c>
      <c r="P54" s="38">
        <f>'Cálculos iluminancia'!BN64</f>
        <v>31.790733696612165</v>
      </c>
      <c r="Q54" s="38">
        <f>'Cálculos iluminancia'!BO64</f>
        <v>-94.040226277650163</v>
      </c>
      <c r="R54" s="38">
        <f t="shared" si="14"/>
        <v>6.0801847171403273E-2</v>
      </c>
      <c r="S54" s="38">
        <f>IF(P54&lt;0,0,R54*'Irradiancia Horizontal'!$J$7)</f>
        <v>421.44968629890036</v>
      </c>
      <c r="T54">
        <f t="shared" si="15"/>
        <v>6.7815887675008721E-2</v>
      </c>
      <c r="U54">
        <f>IF(P54&lt;0,0,T54*'Irradiancia Horizontal'!$J$39)</f>
        <v>122.55182453412434</v>
      </c>
      <c r="Y54" s="39">
        <f>'Cálculos iluminancia'!DS64</f>
        <v>0.66666666666666596</v>
      </c>
      <c r="Z54" s="38">
        <f>'Cálculos iluminancia'!DT64</f>
        <v>-60</v>
      </c>
      <c r="AA54" s="38">
        <f>'Cálculos iluminancia'!DU64</f>
        <v>25.801593239999558</v>
      </c>
      <c r="AB54" s="38">
        <f>'Cálculos iluminancia'!DV64</f>
        <v>-105.86327501254968</v>
      </c>
      <c r="AC54" s="38">
        <f t="shared" si="16"/>
        <v>5.6934305516348954E-2</v>
      </c>
      <c r="AD54" s="38">
        <f>IF(AA54&lt;0,0,AC54*'Irradiancia Horizontal'!$K$7)</f>
        <v>401.73483659331328</v>
      </c>
      <c r="AE54">
        <f t="shared" si="17"/>
        <v>6.5394517766625915E-2</v>
      </c>
      <c r="AF54">
        <f>IF(AA54&lt;0,0,AE54*'Irradiancia Horizontal'!$K$39)</f>
        <v>72.688041208788306</v>
      </c>
      <c r="AJ54" s="39">
        <f>'Cálculos iluminancia'!FZ64</f>
        <v>0.66666666666666596</v>
      </c>
      <c r="AK54" s="38">
        <f>'Cálculos iluminancia'!GA64</f>
        <v>-60</v>
      </c>
      <c r="AL54" s="38">
        <f>'Cálculos iluminancia'!GB64</f>
        <v>19.195820278510393</v>
      </c>
      <c r="AM54" s="38">
        <f>'Cálculos iluminancia'!GC64</f>
        <v>-116.13197518856757</v>
      </c>
      <c r="AN54" s="38">
        <f t="shared" si="18"/>
        <v>5.1453388933922962E-2</v>
      </c>
      <c r="AO54" s="38">
        <f>IF(AL54&lt;0,0,AN54*'Irradiancia Horizontal'!$L$7)</f>
        <v>320.73726579720812</v>
      </c>
      <c r="AP54">
        <f t="shared" si="19"/>
        <v>6.0977515981129875E-2</v>
      </c>
      <c r="AQ54">
        <f>IF(AL54&lt;0,0,AP54*'Irradiancia Horizontal'!$L$39)</f>
        <v>42.888201440239051</v>
      </c>
      <c r="AU54" s="39">
        <f>'Cálculos iluminancia'!IG64</f>
        <v>0.66666666666666596</v>
      </c>
      <c r="AV54" s="38">
        <f>'Cálculos iluminancia'!IH64</f>
        <v>-60</v>
      </c>
      <c r="AW54" s="38">
        <f>'Cálculos iluminancia'!II64</f>
        <v>13.869303302725958</v>
      </c>
      <c r="AX54" s="38">
        <f>'Cálculos iluminancia'!IJ64</f>
        <v>-123.29444810834164</v>
      </c>
      <c r="AY54" s="38">
        <f t="shared" si="20"/>
        <v>4.5198332039621709E-2</v>
      </c>
      <c r="AZ54" s="38">
        <f>IF(AW54&lt;0,0,AY54*'Irradiancia Horizontal'!$M$7)</f>
        <v>221.62677211938473</v>
      </c>
      <c r="BA54">
        <f t="shared" si="21"/>
        <v>5.5055501941911181E-2</v>
      </c>
      <c r="BB54">
        <f>IF(AW54&lt;0,0,BA54*'Irradiancia Horizontal'!$M$39)</f>
        <v>37.42397097048709</v>
      </c>
      <c r="BF54" s="39">
        <f>'Cálculos iluminancia'!KN64</f>
        <v>0.66666666666666596</v>
      </c>
      <c r="BG54" s="38">
        <f>'Cálculos iluminancia'!KO64</f>
        <v>-60</v>
      </c>
      <c r="BH54" s="38">
        <f>'Cálculos iluminancia'!KP64</f>
        <v>11.973998043852726</v>
      </c>
      <c r="BI54" s="38">
        <f>'Cálculos iluminancia'!KQ64</f>
        <v>-125.69140900534735</v>
      </c>
      <c r="BJ54" s="38">
        <f t="shared" si="22"/>
        <v>4.2304012660984117E-2</v>
      </c>
      <c r="BK54" s="38">
        <f>IF(BH54&lt;0,0,BJ54*'Irradiancia Horizontal'!$N$7)</f>
        <v>168.45240069007497</v>
      </c>
      <c r="BL54">
        <f t="shared" si="23"/>
        <v>5.2086314644939687E-2</v>
      </c>
      <c r="BM54">
        <f>IF(BH54&lt;0,0,BL54*'Irradiancia Horizontal'!$N$39)</f>
        <v>43.048815336566157</v>
      </c>
    </row>
    <row r="55" spans="3:65" x14ac:dyDescent="0.25">
      <c r="C55" s="39">
        <f>'Cálculos iluminancia'!E65</f>
        <v>0.70833333333333304</v>
      </c>
      <c r="D55" s="38">
        <f>'Cálculos iluminancia'!F65</f>
        <v>-75</v>
      </c>
      <c r="E55" s="38">
        <f>'Cálculos iluminancia'!G65</f>
        <v>22.438769178429386</v>
      </c>
      <c r="F55" s="38">
        <f>'Cálculos iluminancia'!H65</f>
        <v>-78.305145385643101</v>
      </c>
      <c r="G55" s="38">
        <f t="shared" si="12"/>
        <v>3.7724260414788081E-2</v>
      </c>
      <c r="H55" s="38">
        <f>IF(E55&lt;0,0,G55*'Irradiancia Horizontal'!$I$7)</f>
        <v>277.39708915787776</v>
      </c>
      <c r="I55">
        <f t="shared" si="13"/>
        <v>4.5289822454024631E-2</v>
      </c>
      <c r="J55">
        <f>IF(E55&lt;0,0,I55*'Irradiancia Horizontal'!$I$39)</f>
        <v>87.145612254481733</v>
      </c>
      <c r="N55" s="39">
        <f>'Cálculos iluminancia'!BL65</f>
        <v>0.70833333333333304</v>
      </c>
      <c r="O55" s="38">
        <f>'Cálculos iluminancia'!BM65</f>
        <v>-75</v>
      </c>
      <c r="P55" s="38">
        <f>'Cálculos iluminancia'!BN65</f>
        <v>18.690747924130896</v>
      </c>
      <c r="Q55" s="38">
        <f>'Cálculos iluminancia'!BO65</f>
        <v>-86.678899683987325</v>
      </c>
      <c r="R55" s="38">
        <f t="shared" si="14"/>
        <v>3.3240690591854617E-2</v>
      </c>
      <c r="S55" s="38">
        <f>IF(P55&lt;0,0,R55*'Irradiancia Horizontal'!$J$7)</f>
        <v>230.40876674031168</v>
      </c>
      <c r="T55">
        <f t="shared" si="15"/>
        <v>4.1251945805829866E-2</v>
      </c>
      <c r="U55">
        <f>IF(P55&lt;0,0,T55*'Irradiancia Horizontal'!$J$39)</f>
        <v>74.547445995465509</v>
      </c>
      <c r="Y55" s="39">
        <f>'Cálculos iluminancia'!DS65</f>
        <v>0.70833333333333304</v>
      </c>
      <c r="Z55" s="38">
        <f>'Cálculos iluminancia'!DT65</f>
        <v>-75</v>
      </c>
      <c r="AA55" s="38">
        <f>'Cálculos iluminancia'!DU65</f>
        <v>12.972260588788428</v>
      </c>
      <c r="AB55" s="38">
        <f>'Cálculos iluminancia'!DV65</f>
        <v>-97.599446887905543</v>
      </c>
      <c r="AC55" s="38">
        <f t="shared" si="16"/>
        <v>2.5919641378956016E-2</v>
      </c>
      <c r="AD55" s="38">
        <f>IF(AA55&lt;0,0,AC55*'Irradiancia Horizontal'!$K$7)</f>
        <v>182.89189267342664</v>
      </c>
      <c r="AE55">
        <f t="shared" si="17"/>
        <v>3.3726612712099431E-2</v>
      </c>
      <c r="AF55">
        <f>IF(AA55&lt;0,0,AE55*'Irradiancia Horizontal'!$K$39)</f>
        <v>37.48817941281709</v>
      </c>
      <c r="AJ55" s="39">
        <f>'Cálculos iluminancia'!FZ65</f>
        <v>0.70833333333333304</v>
      </c>
      <c r="AK55" s="38">
        <f>'Cálculos iluminancia'!GA65</f>
        <v>-75</v>
      </c>
      <c r="AL55" s="38">
        <f>'Cálculos iluminancia'!GB65</f>
        <v>7.0329110421435939</v>
      </c>
      <c r="AM55" s="38">
        <f>'Cálculos iluminancia'!GC65</f>
        <v>-107.66626194582828</v>
      </c>
      <c r="AN55" s="38">
        <f t="shared" si="18"/>
        <v>1.6575982663896881E-2</v>
      </c>
      <c r="AO55" s="38">
        <f>IF(AL55&lt;0,0,AN55*'Irradiancia Horizontal'!$L$7)</f>
        <v>103.32721454650468</v>
      </c>
      <c r="AP55">
        <f t="shared" si="19"/>
        <v>2.2707130141993642E-2</v>
      </c>
      <c r="AQ55">
        <f>IF(AL55&lt;0,0,AP55*'Irradiancia Horizontal'!$L$39)</f>
        <v>15.970935450386678</v>
      </c>
      <c r="AU55" s="39">
        <f>'Cálculos iluminancia'!IG65</f>
        <v>0.70833333333333304</v>
      </c>
      <c r="AV55" s="38">
        <f>'Cálculos iluminancia'!IH65</f>
        <v>-75</v>
      </c>
      <c r="AW55" s="38">
        <f>'Cálculos iluminancia'!II65</f>
        <v>2.4187526411256099</v>
      </c>
      <c r="AX55" s="38">
        <f>'Cálculos iluminancia'!IJ65</f>
        <v>-115.05417364306142</v>
      </c>
      <c r="AY55" s="38">
        <f t="shared" si="20"/>
        <v>6.7575809533682229E-3</v>
      </c>
      <c r="AZ55" s="38">
        <f>IF(AW55&lt;0,0,AY55*'Irradiancia Horizontal'!$M$7)</f>
        <v>33.135312442891831</v>
      </c>
      <c r="BA55">
        <f t="shared" si="21"/>
        <v>9.6929981909927385E-3</v>
      </c>
      <c r="BB55">
        <f>IF(AW55&lt;0,0,BA55*'Irradiancia Horizontal'!$M$39)</f>
        <v>6.5888143804307262</v>
      </c>
      <c r="BF55" s="39">
        <f>'Cálculos iluminancia'!KN65</f>
        <v>0.70833333333333304</v>
      </c>
      <c r="BG55" s="38">
        <f>'Cálculos iluminancia'!KO65</f>
        <v>-75</v>
      </c>
      <c r="BH55" s="38">
        <f>'Cálculos iluminancia'!KP65</f>
        <v>0.80777986614324049</v>
      </c>
      <c r="BI55" s="38">
        <f>'Cálculos iluminancia'!KQ65</f>
        <v>-117.59582673339338</v>
      </c>
      <c r="BJ55" s="38">
        <f t="shared" si="22"/>
        <v>2.4229370438482241E-3</v>
      </c>
      <c r="BK55" s="38">
        <f>IF(BH55&lt;0,0,BJ55*'Irradiancia Horizontal'!$N$7)</f>
        <v>9.6480105806504834</v>
      </c>
      <c r="BL55">
        <f t="shared" si="23"/>
        <v>3.5393947524668106E-3</v>
      </c>
      <c r="BM55">
        <f>IF(BH55&lt;0,0,BL55*'Irradiancia Horizontal'!$N$39)</f>
        <v>2.9252741750074618</v>
      </c>
    </row>
    <row r="56" spans="3:65" x14ac:dyDescent="0.25">
      <c r="C56" s="39">
        <f>'Cálculos iluminancia'!E66</f>
        <v>0.75</v>
      </c>
      <c r="D56" s="38">
        <f>'Cálculos iluminancia'!F66</f>
        <v>-90</v>
      </c>
      <c r="E56" s="38">
        <f>'Cálculos iluminancia'!G66</f>
        <v>9.7730868529410237</v>
      </c>
      <c r="F56" s="38">
        <f>'Cálculos iluminancia'!H66</f>
        <v>-71.957650170580621</v>
      </c>
      <c r="G56" s="38">
        <f t="shared" si="12"/>
        <v>1.4993003062533913E-2</v>
      </c>
      <c r="H56" s="38">
        <f>IF(E56&lt;0,0,G56*'Irradiancia Horizontal'!$I$7)</f>
        <v>110.24776527233657</v>
      </c>
      <c r="I56">
        <f t="shared" si="13"/>
        <v>2.0141149657898219E-2</v>
      </c>
      <c r="J56">
        <f>IF(E56&lt;0,0,I56*'Irradiancia Horizontal'!$I$39)</f>
        <v>38.755126943331845</v>
      </c>
      <c r="N56" s="39">
        <f>'Cálculos iluminancia'!BL66</f>
        <v>0.75</v>
      </c>
      <c r="O56" s="38">
        <f>'Cálculos iluminancia'!BM66</f>
        <v>-90</v>
      </c>
      <c r="P56" s="38">
        <f>'Cálculos iluminancia'!BN66</f>
        <v>5.6821815467779757</v>
      </c>
      <c r="Q56" s="38">
        <f>'Cálculos iluminancia'!BO66</f>
        <v>-79.693624283554726</v>
      </c>
      <c r="R56" s="38">
        <f t="shared" si="14"/>
        <v>9.0285703090728277E-3</v>
      </c>
      <c r="S56" s="38">
        <f>IF(P56&lt;0,0,R56*'Irradiancia Horizontal'!$J$7)</f>
        <v>62.581784953993029</v>
      </c>
      <c r="T56">
        <f t="shared" si="15"/>
        <v>1.2745324826315721E-2</v>
      </c>
      <c r="U56">
        <f>IF(P56&lt;0,0,T56*'Irradiancia Horizontal'!$J$39)</f>
        <v>23.0324023661003</v>
      </c>
      <c r="Y56" s="39">
        <f>'Cálculos iluminancia'!DS66</f>
        <v>0.75</v>
      </c>
      <c r="Z56" s="38">
        <f>'Cálculos iluminancia'!DT66</f>
        <v>-90</v>
      </c>
      <c r="AA56" s="38">
        <f>'Cálculos iluminancia'!DU66</f>
        <v>-9.8097331492219067E-2</v>
      </c>
      <c r="AB56" s="38">
        <f>'Cálculos iluminancia'!DV66</f>
        <v>-90.176391435763364</v>
      </c>
      <c r="AC56" s="38">
        <f t="shared" si="16"/>
        <v>-1.6950490063198515E-4</v>
      </c>
      <c r="AD56" s="38">
        <f>IF(AA56&lt;0,0,AC56*'Irradiancia Horizontal'!$K$7)</f>
        <v>0</v>
      </c>
      <c r="AE56">
        <f t="shared" si="17"/>
        <v>-2.5723543251827497E-4</v>
      </c>
      <c r="AF56">
        <f>IF(AA56&lt;0,0,AE56*'Irradiancia Horizontal'!$K$39)</f>
        <v>0</v>
      </c>
      <c r="AJ56" s="39">
        <f>'Cálculos iluminancia'!FZ66</f>
        <v>0.75</v>
      </c>
      <c r="AK56" s="38">
        <f>'Cálculos iluminancia'!GA66</f>
        <v>-90</v>
      </c>
      <c r="AL56" s="38">
        <f>'Cálculos iluminancia'!GB66</f>
        <v>-5.6821815467779615</v>
      </c>
      <c r="AM56" s="38">
        <f>'Cálculos iluminancia'!GC66</f>
        <v>-100.30637571644526</v>
      </c>
      <c r="AN56" s="38">
        <f t="shared" si="18"/>
        <v>-1.1161325694202494E-2</v>
      </c>
      <c r="AO56" s="38">
        <f>IF(AL56&lt;0,0,AN56*'Irradiancia Horizontal'!$L$7)</f>
        <v>0</v>
      </c>
      <c r="AP56">
        <f t="shared" si="19"/>
        <v>-1.8362052633241276E-2</v>
      </c>
      <c r="AQ56">
        <f>IF(AL56&lt;0,0,AP56*'Irradiancia Horizontal'!$L$39)</f>
        <v>0</v>
      </c>
      <c r="AU56" s="39">
        <f>'Cálculos iluminancia'!IG66</f>
        <v>0.75</v>
      </c>
      <c r="AV56" s="38">
        <f>'Cálculos iluminancia'!IH66</f>
        <v>-90</v>
      </c>
      <c r="AW56" s="38">
        <f>'Cálculos iluminancia'!II66</f>
        <v>-9.7730868529410131</v>
      </c>
      <c r="AX56" s="38">
        <f>'Cálculos iluminancia'!IJ66</f>
        <v>-108.04234982941938</v>
      </c>
      <c r="AY56" s="38">
        <f t="shared" si="20"/>
        <v>-2.2000698339409659E-2</v>
      </c>
      <c r="AZ56" s="38">
        <f>IF(AW56&lt;0,0,AY56*'Irradiancia Horizontal'!$M$7)</f>
        <v>0</v>
      </c>
      <c r="BA56">
        <f t="shared" si="21"/>
        <v>-3.8986964574984892E-2</v>
      </c>
      <c r="BB56">
        <f>IF(AW56&lt;0,0,BA56*'Irradiancia Horizontal'!$M$39)</f>
        <v>0</v>
      </c>
      <c r="BF56" s="39">
        <f>'Cálculos iluminancia'!KN66</f>
        <v>0.75</v>
      </c>
      <c r="BG56" s="38">
        <f>'Cálculos iluminancia'!KO66</f>
        <v>-90</v>
      </c>
      <c r="BH56" s="38">
        <f>'Cálculos iluminancia'!KP66</f>
        <v>-11.15205496731916</v>
      </c>
      <c r="BI56" s="38">
        <f>'Cálculos iluminancia'!KQ66</f>
        <v>-110.76123341972382</v>
      </c>
      <c r="BJ56" s="38">
        <f t="shared" si="22"/>
        <v>-2.6590327154293564E-2</v>
      </c>
      <c r="BK56" s="38">
        <f>IF(BH56&lt;0,0,BJ56*'Irradiancia Horizontal'!$N$7)</f>
        <v>0</v>
      </c>
      <c r="BL56">
        <f t="shared" si="23"/>
        <v>-4.8557867465354003E-2</v>
      </c>
      <c r="BM56">
        <f>IF(BH56&lt;0,0,BL56*'Irradiancia Horizontal'!$N$39)</f>
        <v>0</v>
      </c>
    </row>
    <row r="57" spans="3:65" x14ac:dyDescent="0.25">
      <c r="C57" s="39">
        <f>'Cálculos iluminancia'!E67</f>
        <v>0.79166666666666663</v>
      </c>
      <c r="D57" s="38">
        <f>'Cálculos iluminancia'!F67</f>
        <v>-105</v>
      </c>
      <c r="E57" s="38">
        <f>'Cálculos iluminancia'!G67</f>
        <v>-2.4187526411256099</v>
      </c>
      <c r="F57" s="38">
        <f>'Cálculos iluminancia'!H67</f>
        <v>-64.945826356938582</v>
      </c>
      <c r="G57" s="38">
        <f t="shared" si="12"/>
        <v>-3.2841385019328211E-3</v>
      </c>
      <c r="H57" s="38">
        <f>IF(E57&lt;0,0,G57*'Irradiancia Horizontal'!$I$7)</f>
        <v>0</v>
      </c>
      <c r="I57">
        <f t="shared" si="13"/>
        <v>-5.0075231382282056E-3</v>
      </c>
      <c r="J57">
        <f>IF(E57&lt;0,0,I57*'Irradiancia Horizontal'!$I$39)</f>
        <v>0</v>
      </c>
      <c r="N57" s="39">
        <f>'Cálculos iluminancia'!BL67</f>
        <v>0.79166666666666663</v>
      </c>
      <c r="O57" s="38">
        <f>'Cálculos iluminancia'!BM67</f>
        <v>-105</v>
      </c>
      <c r="P57" s="38">
        <f>'Cálculos iluminancia'!BN67</f>
        <v>-7.0329110421435894</v>
      </c>
      <c r="Q57" s="38">
        <f>'Cálculos iluminancia'!BO67</f>
        <v>-72.333738054171704</v>
      </c>
      <c r="R57" s="38">
        <f t="shared" si="14"/>
        <v>-9.6296619299791452E-3</v>
      </c>
      <c r="S57" s="38">
        <f>IF(P57&lt;0,0,R57*'Irradiancia Horizontal'!$J$7)</f>
        <v>0</v>
      </c>
      <c r="T57">
        <f t="shared" si="15"/>
        <v>-1.5761296153198445E-2</v>
      </c>
      <c r="U57">
        <f>IF(P57&lt;0,0,T57*'Irradiancia Horizontal'!$J$39)</f>
        <v>0</v>
      </c>
      <c r="Y57" s="39">
        <f>'Cálculos iluminancia'!DS67</f>
        <v>0.79166666666666663</v>
      </c>
      <c r="Z57" s="38">
        <f>'Cálculos iluminancia'!DT67</f>
        <v>-105</v>
      </c>
      <c r="AA57" s="38">
        <f>'Cálculos iluminancia'!DU67</f>
        <v>-13.173675365510617</v>
      </c>
      <c r="AB57" s="38">
        <f>'Cálculos iluminancia'!DV67</f>
        <v>-82.759689794839844</v>
      </c>
      <c r="AC57" s="38">
        <f t="shared" si="16"/>
        <v>-1.881119733177003E-2</v>
      </c>
      <c r="AD57" s="38">
        <f>IF(AA57&lt;0,0,AC57*'Irradiancia Horizontal'!$K$7)</f>
        <v>0</v>
      </c>
      <c r="AE57">
        <f t="shared" si="17"/>
        <v>-3.4241083577136018E-2</v>
      </c>
      <c r="AF57">
        <f>IF(AA57&lt;0,0,AE57*'Irradiancia Horizontal'!$K$39)</f>
        <v>0</v>
      </c>
      <c r="AJ57" s="39">
        <f>'Cálculos iluminancia'!FZ67</f>
        <v>0.79166666666666663</v>
      </c>
      <c r="AK57" s="38">
        <f>'Cálculos iluminancia'!GA67</f>
        <v>-105</v>
      </c>
      <c r="AL57" s="38">
        <f>'Cálculos iluminancia'!GB67</f>
        <v>-18.690747924130889</v>
      </c>
      <c r="AM57" s="38">
        <f>'Cálculos iluminancia'!GC67</f>
        <v>-93.321100316012661</v>
      </c>
      <c r="AN57" s="38">
        <f t="shared" si="18"/>
        <v>-2.8866022256627273E-2</v>
      </c>
      <c r="AO57" s="38">
        <f>IF(AL57&lt;0,0,AN57*'Irradiancia Horizontal'!$L$7)</f>
        <v>0</v>
      </c>
      <c r="AP57">
        <f t="shared" si="19"/>
        <v>-5.9431235408476231E-2</v>
      </c>
      <c r="AQ57">
        <f>IF(AL57&lt;0,0,AP57*'Irradiancia Horizontal'!$L$39)</f>
        <v>0</v>
      </c>
      <c r="AU57" s="39">
        <f>'Cálculos iluminancia'!IG67</f>
        <v>0.79166666666666663</v>
      </c>
      <c r="AV57" s="38">
        <f>'Cálculos iluminancia'!IH67</f>
        <v>-105</v>
      </c>
      <c r="AW57" s="38">
        <f>'Cálculos iluminancia'!II67</f>
        <v>-22.438769178429386</v>
      </c>
      <c r="AX57" s="38">
        <f>'Cálculos iluminancia'!IJ67</f>
        <v>-101.6948546143569</v>
      </c>
      <c r="AY57" s="38">
        <f t="shared" si="20"/>
        <v>-3.7824518720018296E-2</v>
      </c>
      <c r="AZ57" s="38">
        <f>IF(AW57&lt;0,0,AY57*'Irradiancia Horizontal'!$M$7)</f>
        <v>0</v>
      </c>
      <c r="BA57">
        <f t="shared" si="21"/>
        <v>-8.7666927340962569E-2</v>
      </c>
      <c r="BB57">
        <f>IF(AW57&lt;0,0,BA57*'Irradiancia Horizontal'!$M$39)</f>
        <v>0</v>
      </c>
      <c r="BF57" s="39">
        <f>'Cálculos iluminancia'!KN67</f>
        <v>0.79166666666666663</v>
      </c>
      <c r="BG57" s="38">
        <f>'Cálculos iluminancia'!KO67</f>
        <v>-105</v>
      </c>
      <c r="BH57" s="38">
        <f>'Cálculos iluminancia'!KP67</f>
        <v>-23.636004549359633</v>
      </c>
      <c r="BI57" s="38">
        <f>'Cálculos iluminancia'!KQ67</f>
        <v>-104.69392403052011</v>
      </c>
      <c r="BJ57" s="38">
        <f t="shared" si="22"/>
        <v>-4.1332928696250076E-2</v>
      </c>
      <c r="BK57" s="38">
        <f>IF(BH57&lt;0,0,BJ57*'Irradiancia Horizontal'!$N$7)</f>
        <v>0</v>
      </c>
      <c r="BL57">
        <f t="shared" si="23"/>
        <v>-0.10065512968317486</v>
      </c>
      <c r="BM57">
        <f>IF(BH57&lt;0,0,BL57*'Irradiancia Horizontal'!$N$39)</f>
        <v>0</v>
      </c>
    </row>
    <row r="58" spans="3:65" x14ac:dyDescent="0.25">
      <c r="C58" s="39">
        <f>'Cálculos iluminancia'!E68</f>
        <v>0.83333333333333304</v>
      </c>
      <c r="D58" s="38">
        <f>'Cálculos iluminancia'!F68</f>
        <v>-120</v>
      </c>
      <c r="E58" s="38">
        <f>'Cálculos iluminancia'!G68</f>
        <v>-13.869303302725935</v>
      </c>
      <c r="F58" s="38">
        <f>'Cálculos iluminancia'!H68</f>
        <v>-56.705551891658374</v>
      </c>
      <c r="G58" s="38">
        <f t="shared" si="12"/>
        <v>-1.630657533448273E-2</v>
      </c>
      <c r="H58" s="38">
        <f>IF(E58&lt;0,0,G58*'Irradiancia Horizontal'!$I$7)</f>
        <v>0</v>
      </c>
      <c r="I58">
        <f t="shared" si="13"/>
        <v>-2.8442355443445397E-2</v>
      </c>
      <c r="J58">
        <f>IF(E58&lt;0,0,I58*'Irradiancia Horizontal'!$I$39)</f>
        <v>0</v>
      </c>
      <c r="N58" s="39">
        <f>'Cálculos iluminancia'!BL68</f>
        <v>0.83333333333333304</v>
      </c>
      <c r="O58" s="38">
        <f>'Cálculos iluminancia'!BM68</f>
        <v>-120</v>
      </c>
      <c r="P58" s="38">
        <f>'Cálculos iluminancia'!BN68</f>
        <v>-19.195820278510361</v>
      </c>
      <c r="Q58" s="38">
        <f>'Cálculos iluminancia'!BO68</f>
        <v>-63.868024811432448</v>
      </c>
      <c r="R58" s="38">
        <f t="shared" si="14"/>
        <v>-2.2017314194508562E-2</v>
      </c>
      <c r="S58" s="38">
        <f>IF(P58&lt;0,0,R58*'Irradiancia Horizontal'!$J$7)</f>
        <v>0</v>
      </c>
      <c r="T58">
        <f t="shared" si="15"/>
        <v>-4.2325238022377247E-2</v>
      </c>
      <c r="U58">
        <f>IF(P58&lt;0,0,T58*'Irradiancia Horizontal'!$J$39)</f>
        <v>0</v>
      </c>
      <c r="Y58" s="39">
        <f>'Cálculos iluminancia'!DS68</f>
        <v>0.83333333333333304</v>
      </c>
      <c r="Z58" s="38">
        <f>'Cálculos iluminancia'!DT68</f>
        <v>-120</v>
      </c>
      <c r="AA58" s="38">
        <f>'Cálculos iluminancia'!DU68</f>
        <v>-26.019714198290455</v>
      </c>
      <c r="AB58" s="38">
        <f>'Cálculos iluminancia'!DV68</f>
        <v>-74.514348919386748</v>
      </c>
      <c r="AC58" s="38">
        <f t="shared" si="16"/>
        <v>-2.9479039168173241E-2</v>
      </c>
      <c r="AD58" s="38">
        <f>IF(AA58&lt;0,0,AC58*'Irradiancia Horizontal'!$K$7)</f>
        <v>0</v>
      </c>
      <c r="AE58">
        <f t="shared" si="17"/>
        <v>-6.5908988631662432E-2</v>
      </c>
      <c r="AF58">
        <f>IF(AA58&lt;0,0,AE58*'Irradiancia Horizontal'!$K$39)</f>
        <v>0</v>
      </c>
      <c r="AJ58" s="39">
        <f>'Cálculos iluminancia'!FZ68</f>
        <v>0.83333333333333304</v>
      </c>
      <c r="AK58" s="38">
        <f>'Cálculos iluminancia'!GA68</f>
        <v>-120</v>
      </c>
      <c r="AL58" s="38">
        <f>'Cálculos iluminancia'!GB68</f>
        <v>-31.790733696612147</v>
      </c>
      <c r="AM58" s="38">
        <f>'Cálculos iluminancia'!GC68</f>
        <v>-85.959773722349823</v>
      </c>
      <c r="AN58" s="38">
        <f t="shared" si="18"/>
        <v>-3.6333823368255455E-2</v>
      </c>
      <c r="AO58" s="38">
        <f>IF(AL58&lt;0,0,AN58*'Irradiancia Horizontal'!$L$7)</f>
        <v>0</v>
      </c>
      <c r="AP58">
        <f t="shared" si="19"/>
        <v>-9.7701621247612405E-2</v>
      </c>
      <c r="AQ58">
        <f>IF(AL58&lt;0,0,AP58*'Irradiancia Horizontal'!$L$39)</f>
        <v>0</v>
      </c>
      <c r="AU58" s="39">
        <f>'Cálculos iluminancia'!IG68</f>
        <v>0.83333333333333304</v>
      </c>
      <c r="AV58" s="38">
        <f>'Cálculos iluminancia'!IH68</f>
        <v>-120</v>
      </c>
      <c r="AW58" s="38">
        <f>'Cálculos iluminancia'!II68</f>
        <v>-35.394376206101413</v>
      </c>
      <c r="AX58" s="38">
        <f>'Cálculos iluminancia'!IJ68</f>
        <v>-95.456282657838045</v>
      </c>
      <c r="AY58" s="38">
        <f t="shared" si="20"/>
        <v>-4.092767088981325E-2</v>
      </c>
      <c r="AZ58" s="38">
        <f>IF(AW58&lt;0,0,AY58*'Irradiancia Horizontal'!$M$7)</f>
        <v>0</v>
      </c>
      <c r="BA58">
        <f t="shared" si="21"/>
        <v>-0.13302943109188092</v>
      </c>
      <c r="BB58">
        <f>IF(AW58&lt;0,0,BA58*'Irradiancia Horizontal'!$M$39)</f>
        <v>0</v>
      </c>
      <c r="BF58" s="39">
        <f>'Cálculos iluminancia'!KN68</f>
        <v>0.83333333333333304</v>
      </c>
      <c r="BG58" s="38">
        <f>'Cálculos iluminancia'!KO68</f>
        <v>-120</v>
      </c>
      <c r="BH58" s="38">
        <f>'Cálculos iluminancia'!KP68</f>
        <v>-36.462362723804368</v>
      </c>
      <c r="BI58" s="38">
        <f>'Cálculos iluminancia'!KQ68</f>
        <v>-98.929650560124273</v>
      </c>
      <c r="BJ58" s="38">
        <f t="shared" si="22"/>
        <v>-4.2225828879011877E-2</v>
      </c>
      <c r="BK58" s="38">
        <f>IF(BH58&lt;0,0,BJ58*'Irradiancia Horizontal'!$N$7)</f>
        <v>0</v>
      </c>
      <c r="BL58">
        <f t="shared" si="23"/>
        <v>-0.14920204957564764</v>
      </c>
      <c r="BM58">
        <f>IF(BH58&lt;0,0,BL58*'Irradiancia Horizontal'!$N$39)</f>
        <v>0</v>
      </c>
    </row>
    <row r="59" spans="3:65" x14ac:dyDescent="0.25">
      <c r="C59" s="39">
        <f>'Cálculos iluminancia'!E69</f>
        <v>0.875</v>
      </c>
      <c r="D59" s="38">
        <f>'Cálculos iluminancia'!F69</f>
        <v>-135</v>
      </c>
      <c r="E59" s="38">
        <f>'Cálculos iluminancia'!G69</f>
        <v>-24.161470214332297</v>
      </c>
      <c r="F59" s="38">
        <f>'Cálculos iluminancia'!H69</f>
        <v>-46.568585429046891</v>
      </c>
      <c r="G59" s="38">
        <f t="shared" si="12"/>
        <v>-2.440252520341565E-2</v>
      </c>
      <c r="H59" s="38">
        <f>IF(E59&lt;0,0,G59*'Irradiancia Horizontal'!$I$7)</f>
        <v>0</v>
      </c>
      <c r="I59">
        <f t="shared" si="13"/>
        <v>-4.8566302164044395E-2</v>
      </c>
      <c r="J59">
        <f>IF(E59&lt;0,0,I59*'Irradiancia Horizontal'!$I$39)</f>
        <v>0</v>
      </c>
      <c r="N59" s="39">
        <f>'Cálculos iluminancia'!BL69</f>
        <v>0.875</v>
      </c>
      <c r="O59" s="38">
        <f>'Cálculos iluminancia'!BM69</f>
        <v>-135</v>
      </c>
      <c r="P59" s="38">
        <f>'Cálculos iluminancia'!BN69</f>
        <v>-30.397866606469517</v>
      </c>
      <c r="Q59" s="38">
        <f>'Cálculos iluminancia'!BO69</f>
        <v>-53.380302526991059</v>
      </c>
      <c r="R59" s="38">
        <f t="shared" si="14"/>
        <v>-2.8806027946197323E-2</v>
      </c>
      <c r="S59" s="38">
        <f>IF(P59&lt;0,0,R59*'Irradiancia Horizontal'!$J$7)</f>
        <v>0</v>
      </c>
      <c r="T59">
        <f t="shared" si="15"/>
        <v>-6.5136212041825806E-2</v>
      </c>
      <c r="U59">
        <f>IF(P59&lt;0,0,T59*'Irradiancia Horizontal'!$J$39)</f>
        <v>0</v>
      </c>
      <c r="Y59" s="39">
        <f>'Cálculos iluminancia'!DS69</f>
        <v>0.875</v>
      </c>
      <c r="Z59" s="38">
        <f>'Cálculos iluminancia'!DT69</f>
        <v>-135</v>
      </c>
      <c r="AA59" s="38">
        <f>'Cálculos iluminancia'!DU69</f>
        <v>-38.292664540459405</v>
      </c>
      <c r="AB59" s="38">
        <f>'Cálculos iluminancia'!DV69</f>
        <v>-64.280975136579571</v>
      </c>
      <c r="AC59" s="38">
        <f t="shared" si="16"/>
        <v>-3.3478690762628459E-2</v>
      </c>
      <c r="AD59" s="38">
        <f>IF(AA59&lt;0,0,AC59*'Irradiancia Horizontal'!$K$7)</f>
        <v>0</v>
      </c>
      <c r="AE59">
        <f t="shared" si="17"/>
        <v>-9.3102835200319201E-2</v>
      </c>
      <c r="AF59">
        <f>IF(AA59&lt;0,0,AE59*'Irradiancia Horizontal'!$K$39)</f>
        <v>0</v>
      </c>
      <c r="AJ59" s="39">
        <f>'Cálculos iluminancia'!FZ69</f>
        <v>0.875</v>
      </c>
      <c r="AK59" s="38">
        <f>'Cálculos iluminancia'!GA69</f>
        <v>-135</v>
      </c>
      <c r="AL59" s="38">
        <f>'Cálculos iluminancia'!GB69</f>
        <v>-44.750605705383343</v>
      </c>
      <c r="AM59" s="38">
        <f>'Cálculos iluminancia'!GC69</f>
        <v>-77.109198540105993</v>
      </c>
      <c r="AN59" s="38">
        <f t="shared" si="18"/>
        <v>-3.5794041860463456E-2</v>
      </c>
      <c r="AO59" s="38">
        <f>IF(AL59&lt;0,0,AN59*'Irradiancia Horizontal'!$L$7)</f>
        <v>0</v>
      </c>
      <c r="AP59">
        <f t="shared" si="19"/>
        <v>-0.13056514660051569</v>
      </c>
      <c r="AQ59">
        <f>IF(AL59&lt;0,0,AP59*'Irradiancia Horizontal'!$L$39)</f>
        <v>0</v>
      </c>
      <c r="AU59" s="39">
        <f>'Cálculos iluminancia'!IG69</f>
        <v>0.875</v>
      </c>
      <c r="AV59" s="38">
        <f>'Cálculos iluminancia'!IH69</f>
        <v>-135</v>
      </c>
      <c r="AW59" s="38">
        <f>'Cálculos iluminancia'!II69</f>
        <v>-48.486777985752788</v>
      </c>
      <c r="AX59" s="38">
        <f>'Cálculos iluminancia'!IJ69</f>
        <v>-88.546800017478972</v>
      </c>
      <c r="AY59" s="38">
        <f t="shared" si="20"/>
        <v>-3.4628921218677798E-2</v>
      </c>
      <c r="AZ59" s="38">
        <f>IF(AW59&lt;0,0,AY59*'Irradiancia Horizontal'!$M$7)</f>
        <v>0</v>
      </c>
      <c r="BA59">
        <f t="shared" si="21"/>
        <v>-0.17198309616219698</v>
      </c>
      <c r="BB59">
        <f>IF(AW59&lt;0,0,BA59*'Irradiancia Horizontal'!$M$39)</f>
        <v>0</v>
      </c>
      <c r="BF59" s="39">
        <f>'Cálculos iluminancia'!KN69</f>
        <v>0.875</v>
      </c>
      <c r="BG59" s="38">
        <f>'Cálculos iluminancia'!KO69</f>
        <v>-135</v>
      </c>
      <c r="BH59" s="38">
        <f>'Cálculos iluminancia'!KP69</f>
        <v>-49.494624805188721</v>
      </c>
      <c r="BI59" s="38">
        <f>'Cálculos iluminancia'!KQ69</f>
        <v>-92.867225270837807</v>
      </c>
      <c r="BJ59" s="38">
        <f t="shared" si="22"/>
        <v>-3.3103113229289674E-2</v>
      </c>
      <c r="BK59" s="38">
        <f>IF(BH59&lt;0,0,BJ59*'Irradiancia Horizontal'!$N$7)</f>
        <v>0</v>
      </c>
      <c r="BL59">
        <f t="shared" si="23"/>
        <v>-0.19089023477967892</v>
      </c>
      <c r="BM59">
        <f>IF(BH59&lt;0,0,BL59*'Irradiancia Horizontal'!$N$39)</f>
        <v>0</v>
      </c>
    </row>
    <row r="60" spans="3:65" x14ac:dyDescent="0.25">
      <c r="C60" s="39">
        <f>'Cálculos iluminancia'!E70</f>
        <v>0.91666666666666696</v>
      </c>
      <c r="D60" s="38">
        <f>'Cálculos iluminancia'!F70</f>
        <v>-150</v>
      </c>
      <c r="E60" s="38">
        <f>'Cálculos iluminancia'!G70</f>
        <v>-32.646169918095012</v>
      </c>
      <c r="F60" s="38">
        <f>'Cálculos iluminancia'!H70</f>
        <v>-33.808490976895825</v>
      </c>
      <c r="G60" s="38">
        <f t="shared" si="12"/>
        <v>-2.868090587128172E-2</v>
      </c>
      <c r="H60" s="38">
        <f>IF(E60&lt;0,0,G60*'Irradiancia Horizontal'!$I$7)</f>
        <v>0</v>
      </c>
      <c r="I60">
        <f t="shared" si="13"/>
        <v>-6.4007949587410698E-2</v>
      </c>
      <c r="J60">
        <f>IF(E60&lt;0,0,I60*'Irradiancia Horizontal'!$I$39)</f>
        <v>0</v>
      </c>
      <c r="N60" s="39">
        <f>'Cálculos iluminancia'!BL70</f>
        <v>0.91666666666666696</v>
      </c>
      <c r="O60" s="38">
        <f>'Cálculos iluminancia'!BM70</f>
        <v>-150</v>
      </c>
      <c r="P60" s="38">
        <f>'Cálculos iluminancia'!BN70</f>
        <v>-39.939246849075218</v>
      </c>
      <c r="Q60" s="38">
        <f>'Cálculos iluminancia'!BO70</f>
        <v>-39.676284442541061</v>
      </c>
      <c r="R60" s="38">
        <f t="shared" si="14"/>
        <v>-3.1603838815805994E-2</v>
      </c>
      <c r="S60" s="38">
        <f>IF(P60&lt;0,0,R60*'Irradiancia Horizontal'!$J$7)</f>
        <v>0</v>
      </c>
      <c r="T60">
        <f t="shared" si="15"/>
        <v>-8.2639688029035596E-2</v>
      </c>
      <c r="U60">
        <f>IF(P60&lt;0,0,T60*'Irradiancia Horizontal'!$J$39)</f>
        <v>0</v>
      </c>
      <c r="Y60" s="39">
        <f>'Cálculos iluminancia'!DS70</f>
        <v>0.91666666666666696</v>
      </c>
      <c r="Z60" s="38">
        <f>'Cálculos iluminancia'!DT70</f>
        <v>-150</v>
      </c>
      <c r="AA60" s="38">
        <f>'Cálculos iluminancia'!DU70</f>
        <v>-49.337708282446648</v>
      </c>
      <c r="AB60" s="38">
        <f>'Cálculos iluminancia'!DV70</f>
        <v>-50.115439938979534</v>
      </c>
      <c r="AC60" s="38">
        <f t="shared" si="16"/>
        <v>-3.3314242399249683E-2</v>
      </c>
      <c r="AD60" s="38">
        <f>IF(AA60&lt;0,0,AC60*'Irradiancia Horizontal'!$K$7)</f>
        <v>0</v>
      </c>
      <c r="AE60">
        <f t="shared" si="17"/>
        <v>-0.1139694075794086</v>
      </c>
      <c r="AF60">
        <f>IF(AA60&lt;0,0,AE60*'Irradiancia Horizontal'!$K$39)</f>
        <v>0</v>
      </c>
      <c r="AJ60" s="39">
        <f>'Cálculos iluminancia'!FZ70</f>
        <v>0.91666666666666696</v>
      </c>
      <c r="AK60" s="38">
        <f>'Cálculos iluminancia'!GA70</f>
        <v>-150</v>
      </c>
      <c r="AL60" s="38">
        <f>'Cálculos iluminancia'!GB70</f>
        <v>-57.139651075019273</v>
      </c>
      <c r="AM60" s="38">
        <f>'Cálculos iluminancia'!GC70</f>
        <v>-64.445776384922439</v>
      </c>
      <c r="AN60" s="38">
        <f t="shared" si="18"/>
        <v>-3.1023956244198049E-2</v>
      </c>
      <c r="AO60" s="38">
        <f>IF(AL60&lt;0,0,AN60*'Irradiancia Horizontal'!$L$7)</f>
        <v>0</v>
      </c>
      <c r="AP60">
        <f t="shared" si="19"/>
        <v>-0.15578221652392921</v>
      </c>
      <c r="AQ60">
        <f>IF(AL60&lt;0,0,AP60*'Irradiancia Horizontal'!$L$39)</f>
        <v>0</v>
      </c>
      <c r="AU60" s="39">
        <f>'Cálculos iluminancia'!IG70</f>
        <v>0.91666666666666696</v>
      </c>
      <c r="AV60" s="38">
        <f>'Cálculos iluminancia'!IH70</f>
        <v>-150</v>
      </c>
      <c r="AW60" s="38">
        <f>'Cálculos iluminancia'!II70</f>
        <v>-61.515083298976833</v>
      </c>
      <c r="AX60" s="38">
        <f>'Cálculos iluminancia'!IJ70</f>
        <v>-79.22239655881755</v>
      </c>
      <c r="AY60" s="38">
        <f t="shared" si="20"/>
        <v>-2.4179918059771648E-2</v>
      </c>
      <c r="AZ60" s="38">
        <f>IF(AW60&lt;0,0,AY60*'Irradiancia Horizontal'!$M$7)</f>
        <v>0</v>
      </c>
      <c r="BA60">
        <f t="shared" si="21"/>
        <v>-0.20187329465134388</v>
      </c>
      <c r="BB60">
        <f>IF(AW60&lt;0,0,BA60*'Irradiancia Horizontal'!$M$39)</f>
        <v>0</v>
      </c>
      <c r="BF60" s="39">
        <f>'Cálculos iluminancia'!KN70</f>
        <v>0.91666666666666696</v>
      </c>
      <c r="BG60" s="38">
        <f>'Cálculos iluminancia'!KO70</f>
        <v>-150</v>
      </c>
      <c r="BH60" s="38">
        <f>'Cálculos iluminancia'!KP70</f>
        <v>-62.593106094089499</v>
      </c>
      <c r="BI60" s="38">
        <f>'Cálculos iluminancia'!KQ70</f>
        <v>-85.218419971753733</v>
      </c>
      <c r="BJ60" s="38">
        <f t="shared" si="22"/>
        <v>-1.9907060169964151E-2</v>
      </c>
      <c r="BK60" s="38">
        <f>IF(BH60&lt;0,0,BJ60*'Irradiancia Horizontal'!$N$7)</f>
        <v>0</v>
      </c>
      <c r="BL60">
        <f t="shared" si="23"/>
        <v>-0.22287870436659735</v>
      </c>
      <c r="BM60">
        <f>IF(BH60&lt;0,0,BL60*'Irradiancia Horizontal'!$N$39)</f>
        <v>0</v>
      </c>
    </row>
    <row r="61" spans="3:65" x14ac:dyDescent="0.25">
      <c r="C61" s="39">
        <f>'Cálculos iluminancia'!E71</f>
        <v>0.95833333333333304</v>
      </c>
      <c r="D61" s="38">
        <f>'Cálculos iluminancia'!F71</f>
        <v>-165</v>
      </c>
      <c r="E61" s="38">
        <f>'Cálculos iluminancia'!G71</f>
        <v>-38.408119853513838</v>
      </c>
      <c r="F61" s="38">
        <f>'Cálculos iluminancia'!H71</f>
        <v>-18.028725663187345</v>
      </c>
      <c r="G61" s="38">
        <f t="shared" si="12"/>
        <v>-3.0510796132852396E-2</v>
      </c>
      <c r="H61" s="38">
        <f>IF(E61&lt;0,0,G61*'Irradiancia Horizontal'!$I$7)</f>
        <v>0</v>
      </c>
      <c r="I61">
        <f t="shared" si="13"/>
        <v>-7.3714974960170807E-2</v>
      </c>
      <c r="J61">
        <f>IF(E61&lt;0,0,I61*'Irradiancia Horizontal'!$I$39)</f>
        <v>0</v>
      </c>
      <c r="N61" s="39">
        <f>'Cálculos iluminancia'!BL71</f>
        <v>0.95833333333333304</v>
      </c>
      <c r="O61" s="38">
        <f>'Cálculos iluminancia'!BM71</f>
        <v>-165</v>
      </c>
      <c r="P61" s="38">
        <f>'Cálculos iluminancia'!BN71</f>
        <v>-46.673158273074598</v>
      </c>
      <c r="Q61" s="38">
        <f>'Cálculos iluminancia'!BO71</f>
        <v>-21.671843965141704</v>
      </c>
      <c r="R61" s="38">
        <f t="shared" si="14"/>
        <v>-3.229075587023008E-2</v>
      </c>
      <c r="S61" s="38">
        <f>IF(P61&lt;0,0,R61*'Irradiancia Horizontal'!$J$7)</f>
        <v>0</v>
      </c>
      <c r="T61">
        <f t="shared" si="15"/>
        <v>-9.3642833021339966E-2</v>
      </c>
      <c r="U61">
        <f>IF(P61&lt;0,0,T61*'Irradiancia Horizontal'!$J$39)</f>
        <v>0</v>
      </c>
      <c r="Y61" s="39">
        <f>'Cálculos iluminancia'!DS71</f>
        <v>0.95833333333333304</v>
      </c>
      <c r="Z61" s="38">
        <f>'Cálculos iluminancia'!DT71</f>
        <v>-165</v>
      </c>
      <c r="AA61" s="38">
        <f>'Cálculos iluminancia'!DU71</f>
        <v>-57.765265737180506</v>
      </c>
      <c r="AB61" s="38">
        <f>'Cálculos iluminancia'!DV71</f>
        <v>-29.027667227369875</v>
      </c>
      <c r="AC61" s="38">
        <f t="shared" si="16"/>
        <v>-3.1773560892776796E-2</v>
      </c>
      <c r="AD61" s="38">
        <f>IF(AA61&lt;0,0,AC61*'Irradiancia Horizontal'!$K$7)</f>
        <v>0</v>
      </c>
      <c r="AE61">
        <f t="shared" si="17"/>
        <v>-0.12708668334493692</v>
      </c>
      <c r="AF61">
        <f>IF(AA61&lt;0,0,AE61*'Irradiancia Horizontal'!$K$39)</f>
        <v>0</v>
      </c>
      <c r="AJ61" s="39">
        <f>'Cálculos iluminancia'!FZ71</f>
        <v>0.95833333333333304</v>
      </c>
      <c r="AK61" s="38">
        <f>'Cálculos iluminancia'!GA71</f>
        <v>-165</v>
      </c>
      <c r="AL61" s="38">
        <f>'Cálculos iluminancia'!GB71</f>
        <v>-67.739632253222211</v>
      </c>
      <c r="AM61" s="38">
        <f>'Cálculos iluminancia'!GC71</f>
        <v>-41.982577246800219</v>
      </c>
      <c r="AN61" s="38">
        <f t="shared" si="18"/>
        <v>-2.6089133264490354E-2</v>
      </c>
      <c r="AO61" s="38">
        <f>IF(AL61&lt;0,0,AN61*'Irradiancia Horizontal'!$L$7)</f>
        <v>0</v>
      </c>
      <c r="AP61">
        <f t="shared" si="19"/>
        <v>-0.17163432937575063</v>
      </c>
      <c r="AQ61">
        <f>IF(AL61&lt;0,0,AP61*'Irradiancia Horizontal'!$L$39)</f>
        <v>0</v>
      </c>
      <c r="AU61" s="39">
        <f>'Cálculos iluminancia'!IG71</f>
        <v>0.95833333333333304</v>
      </c>
      <c r="AV61" s="38">
        <f>'Cálculos iluminancia'!IH71</f>
        <v>-165</v>
      </c>
      <c r="AW61" s="38">
        <f>'Cálculos iluminancia'!II71</f>
        <v>-73.894403228018092</v>
      </c>
      <c r="AX61" s="38">
        <f>'Cálculos iluminancia'!IJ71</f>
        <v>-60.954897692664431</v>
      </c>
      <c r="AY61" s="38">
        <f t="shared" si="20"/>
        <v>-1.5115142682827926E-2</v>
      </c>
      <c r="AZ61" s="38">
        <f>IF(AW61&lt;0,0,AY61*'Irradiancia Horizontal'!$M$7)</f>
        <v>0</v>
      </c>
      <c r="BA61">
        <f t="shared" si="21"/>
        <v>-0.22066305892817462</v>
      </c>
      <c r="BB61">
        <f>IF(AW61&lt;0,0,BA61*'Irradiancia Horizontal'!$M$39)</f>
        <v>0</v>
      </c>
      <c r="BF61" s="39">
        <f>'Cálculos iluminancia'!KN71</f>
        <v>0.95833333333333304</v>
      </c>
      <c r="BG61" s="38">
        <f>'Cálculos iluminancia'!KO71</f>
        <v>-165</v>
      </c>
      <c r="BH61" s="38">
        <f>'Cálculos iluminancia'!KP71</f>
        <v>-75.43350470599799</v>
      </c>
      <c r="BI61" s="38">
        <f>'Cálculos iluminancia'!KQ71</f>
        <v>-70.750931390631095</v>
      </c>
      <c r="BJ61" s="38">
        <f t="shared" si="22"/>
        <v>-8.8575393368721354E-3</v>
      </c>
      <c r="BK61" s="38">
        <f>IF(BH61&lt;0,0,BJ61*'Irradiancia Horizontal'!$N$7)</f>
        <v>0</v>
      </c>
      <c r="BL61">
        <f t="shared" si="23"/>
        <v>-0.24298749699749975</v>
      </c>
      <c r="BM61">
        <f>IF(BH61&lt;0,0,BL61*'Irradiancia Horizontal'!$N$39)</f>
        <v>0</v>
      </c>
    </row>
    <row r="62" spans="3:65" x14ac:dyDescent="0.25">
      <c r="C62" s="39">
        <f>'Cálculos iluminancia'!E72</f>
        <v>1</v>
      </c>
      <c r="D62" s="38">
        <f>'Cálculos iluminancia'!F72</f>
        <v>-180</v>
      </c>
      <c r="E62" s="38">
        <f>'Cálculos iluminancia'!G72</f>
        <v>-40.478486826266412</v>
      </c>
      <c r="F62" s="38">
        <f>'Cálculos iluminancia'!H72</f>
        <v>0</v>
      </c>
      <c r="G62" s="38">
        <f t="shared" si="12"/>
        <v>-3.098316730868195E-2</v>
      </c>
      <c r="H62" s="38">
        <f>IF(E62&lt;0,0,G62*'Irradiancia Horizontal'!$I$7)</f>
        <v>0</v>
      </c>
      <c r="I62">
        <f t="shared" si="13"/>
        <v>-7.7025860544789049E-2</v>
      </c>
      <c r="J62">
        <f>IF(E62&lt;0,0,I62*'Irradiancia Horizontal'!$I$39)</f>
        <v>0</v>
      </c>
      <c r="N62" s="39">
        <f>'Cálculos iluminancia'!BL72</f>
        <v>1</v>
      </c>
      <c r="O62" s="38">
        <f>'Cálculos iluminancia'!BM72</f>
        <v>-180</v>
      </c>
      <c r="P62" s="38">
        <f>'Cálculos iluminancia'!BN72</f>
        <v>-49.165879474696567</v>
      </c>
      <c r="Q62" s="38">
        <f>'Cálculos iluminancia'!BO72</f>
        <v>0</v>
      </c>
      <c r="R62" s="38">
        <f t="shared" si="14"/>
        <v>-3.2335806339340932E-2</v>
      </c>
      <c r="S62" s="38">
        <f>IF(P62&lt;0,0,R62*'Irradiancia Horizontal'!$J$7)</f>
        <v>0</v>
      </c>
      <c r="T62">
        <f t="shared" si="15"/>
        <v>-9.7395800871070262E-2</v>
      </c>
      <c r="U62">
        <f>IF(P62&lt;0,0,T62*'Irradiancia Horizontal'!$J$39)</f>
        <v>0</v>
      </c>
      <c r="Y62" s="39">
        <f>'Cálculos iluminancia'!DS72</f>
        <v>1</v>
      </c>
      <c r="Z62" s="38">
        <f>'Cálculos iluminancia'!DT72</f>
        <v>-180</v>
      </c>
      <c r="AA62" s="38">
        <f>'Cálculos iluminancia'!DU72</f>
        <v>-61.121834077039729</v>
      </c>
      <c r="AB62" s="38">
        <f>'Cálculos iluminancia'!DV72</f>
        <v>0</v>
      </c>
      <c r="AC62" s="38">
        <f t="shared" si="16"/>
        <v>-3.0994297286274845E-2</v>
      </c>
      <c r="AD62" s="38">
        <f>IF(AA62&lt;0,0,AC62*'Irradiancia Horizontal'!$K$7)</f>
        <v>0</v>
      </c>
      <c r="AE62">
        <f t="shared" si="17"/>
        <v>-0.13156074183080665</v>
      </c>
      <c r="AF62">
        <f>IF(AA62&lt;0,0,AE62*'Irradiancia Horizontal'!$K$39)</f>
        <v>0</v>
      </c>
      <c r="AJ62" s="39">
        <f>'Cálculos iluminancia'!FZ72</f>
        <v>1</v>
      </c>
      <c r="AK62" s="38">
        <f>'Cálculos iluminancia'!GA72</f>
        <v>-180</v>
      </c>
      <c r="AL62" s="38">
        <f>'Cálculos iluminancia'!GB72</f>
        <v>-72.674120525303422</v>
      </c>
      <c r="AM62" s="38">
        <f>'Cálculos iluminancia'!GC72</f>
        <v>0</v>
      </c>
      <c r="AN62" s="38">
        <f t="shared" si="18"/>
        <v>-2.4064104088235911E-2</v>
      </c>
      <c r="AO62" s="38">
        <f>IF(AL62&lt;0,0,AN62*'Irradiancia Horizontal'!$L$7)</f>
        <v>0</v>
      </c>
      <c r="AP62">
        <f t="shared" si="19"/>
        <v>-0.17704118986198358</v>
      </c>
      <c r="AQ62">
        <f>IF(AL62&lt;0,0,AP62*'Irradiancia Horizontal'!$L$39)</f>
        <v>0</v>
      </c>
      <c r="AU62" s="39">
        <f>'Cálculos iluminancia'!IG72</f>
        <v>1</v>
      </c>
      <c r="AV62" s="38">
        <f>'Cálculos iluminancia'!IH72</f>
        <v>-180</v>
      </c>
      <c r="AW62" s="38">
        <f>'Cálculos iluminancia'!II72</f>
        <v>-81.361513173733599</v>
      </c>
      <c r="AX62" s="38">
        <f>'Cálculos iluminancia'!IJ72</f>
        <v>0</v>
      </c>
      <c r="AY62" s="38">
        <f t="shared" si="20"/>
        <v>-1.1582585611589065E-2</v>
      </c>
      <c r="AZ62" s="38">
        <f>IF(AW62&lt;0,0,AY62*'Irradiancia Horizontal'!$M$7)</f>
        <v>0</v>
      </c>
      <c r="BA62">
        <f t="shared" si="21"/>
        <v>-0.22707189760877702</v>
      </c>
      <c r="BB62">
        <f>IF(AW62&lt;0,0,BA62*'Irradiancia Horizontal'!$M$39)</f>
        <v>0</v>
      </c>
      <c r="BF62" s="39">
        <f>'Cálculos iluminancia'!KN72</f>
        <v>1</v>
      </c>
      <c r="BG62" s="38">
        <f>'Cálculos iluminancia'!KO72</f>
        <v>-180</v>
      </c>
      <c r="BH62" s="38">
        <f>'Cálculos iluminancia'!KP72</f>
        <v>-84.369782846813692</v>
      </c>
      <c r="BI62" s="38">
        <f>'Cálculos iluminancia'!KQ72</f>
        <v>0</v>
      </c>
      <c r="BJ62" s="38">
        <f t="shared" si="22"/>
        <v>-4.6024925131708215E-3</v>
      </c>
      <c r="BK62" s="38">
        <f>IF(BH62&lt;0,0,BJ62*'Irradiancia Horizontal'!$N$7)</f>
        <v>0</v>
      </c>
      <c r="BL62">
        <f t="shared" si="23"/>
        <v>-0.24984623168594136</v>
      </c>
      <c r="BM62">
        <f>IF(BH62&lt;0,0,BL62*'Irradiancia Horizontal'!$N$39)</f>
        <v>0</v>
      </c>
    </row>
  </sheetData>
  <sheetProtection password="E6CB" sheet="1" objects="1" scenarios="1"/>
  <mergeCells count="168">
    <mergeCell ref="BJ2:BJ3"/>
    <mergeCell ref="BK2:BK3"/>
    <mergeCell ref="BL2:BL3"/>
    <mergeCell ref="G34:G35"/>
    <mergeCell ref="H34:H35"/>
    <mergeCell ref="I34:I35"/>
    <mergeCell ref="R34:R35"/>
    <mergeCell ref="S34:S35"/>
    <mergeCell ref="T34:T35"/>
    <mergeCell ref="AC34:AC35"/>
    <mergeCell ref="AD34:AD35"/>
    <mergeCell ref="AE34:AE35"/>
    <mergeCell ref="AN34:AN35"/>
    <mergeCell ref="AO34:AO35"/>
    <mergeCell ref="AP34:AP35"/>
    <mergeCell ref="AO2:AO3"/>
    <mergeCell ref="AP2:AP3"/>
    <mergeCell ref="AY2:AY3"/>
    <mergeCell ref="AZ2:AZ3"/>
    <mergeCell ref="T2:T3"/>
    <mergeCell ref="AC2:AC3"/>
    <mergeCell ref="AD2:AD3"/>
    <mergeCell ref="AE2:AE3"/>
    <mergeCell ref="Y5:Y6"/>
    <mergeCell ref="BM5:BM6"/>
    <mergeCell ref="J37:J38"/>
    <mergeCell ref="U37:U38"/>
    <mergeCell ref="AF37:AF38"/>
    <mergeCell ref="AQ37:AQ38"/>
    <mergeCell ref="BB37:BB38"/>
    <mergeCell ref="BM37:BM38"/>
    <mergeCell ref="H5:H6"/>
    <mergeCell ref="AY34:AY35"/>
    <mergeCell ref="AZ34:AZ35"/>
    <mergeCell ref="BA34:BA35"/>
    <mergeCell ref="BJ34:BJ35"/>
    <mergeCell ref="BK34:BK35"/>
    <mergeCell ref="BL34:BL35"/>
    <mergeCell ref="BK5:BK6"/>
    <mergeCell ref="BL5:BL6"/>
    <mergeCell ref="H37:H38"/>
    <mergeCell ref="AV37:AV38"/>
    <mergeCell ref="AW37:AW38"/>
    <mergeCell ref="AX37:AX38"/>
    <mergeCell ref="AU37:AU38"/>
    <mergeCell ref="BK37:BK38"/>
    <mergeCell ref="BL37:BL38"/>
    <mergeCell ref="BJ5:BJ6"/>
    <mergeCell ref="BJ37:BJ38"/>
    <mergeCell ref="AY37:AY38"/>
    <mergeCell ref="AN37:AN38"/>
    <mergeCell ref="AC37:AC38"/>
    <mergeCell ref="AD5:AD6"/>
    <mergeCell ref="AE5:AE6"/>
    <mergeCell ref="AO5:AO6"/>
    <mergeCell ref="AP5:AP6"/>
    <mergeCell ref="AZ5:AZ6"/>
    <mergeCell ref="BA5:BA6"/>
    <mergeCell ref="AF5:AF6"/>
    <mergeCell ref="AQ5:AQ6"/>
    <mergeCell ref="BB5:BB6"/>
    <mergeCell ref="AC5:AC6"/>
    <mergeCell ref="AN5:AN6"/>
    <mergeCell ref="AY5:AY6"/>
    <mergeCell ref="AM5:AM6"/>
    <mergeCell ref="BF37:BF38"/>
    <mergeCell ref="BG37:BG38"/>
    <mergeCell ref="BH37:BH38"/>
    <mergeCell ref="BI37:BI38"/>
    <mergeCell ref="AJ37:AJ38"/>
    <mergeCell ref="AK37:AK38"/>
    <mergeCell ref="AL37:AL38"/>
    <mergeCell ref="Q2:Q3"/>
    <mergeCell ref="Q5:Q6"/>
    <mergeCell ref="Z2:Z3"/>
    <mergeCell ref="C5:C6"/>
    <mergeCell ref="D5:D6"/>
    <mergeCell ref="E5:E6"/>
    <mergeCell ref="F5:F6"/>
    <mergeCell ref="O2:O3"/>
    <mergeCell ref="P2:P3"/>
    <mergeCell ref="N5:N6"/>
    <mergeCell ref="O5:O6"/>
    <mergeCell ref="P5:P6"/>
    <mergeCell ref="G2:G3"/>
    <mergeCell ref="H2:H3"/>
    <mergeCell ref="I2:I3"/>
    <mergeCell ref="G5:G6"/>
    <mergeCell ref="I5:I6"/>
    <mergeCell ref="J5:J6"/>
    <mergeCell ref="D2:D3"/>
    <mergeCell ref="E2:E3"/>
    <mergeCell ref="F2:F3"/>
    <mergeCell ref="D34:D35"/>
    <mergeCell ref="E34:E35"/>
    <mergeCell ref="F34:F35"/>
    <mergeCell ref="Z34:Z35"/>
    <mergeCell ref="AA34:AA35"/>
    <mergeCell ref="AB34:AB35"/>
    <mergeCell ref="AA2:AA3"/>
    <mergeCell ref="AB2:AB3"/>
    <mergeCell ref="AN2:AN3"/>
    <mergeCell ref="Z5:Z6"/>
    <mergeCell ref="AA5:AA6"/>
    <mergeCell ref="AB5:AB6"/>
    <mergeCell ref="AK2:AK3"/>
    <mergeCell ref="AL2:AL3"/>
    <mergeCell ref="AK5:AK6"/>
    <mergeCell ref="AL5:AL6"/>
    <mergeCell ref="AM2:AM3"/>
    <mergeCell ref="AJ5:AJ6"/>
    <mergeCell ref="R2:R3"/>
    <mergeCell ref="S2:S3"/>
    <mergeCell ref="S5:S6"/>
    <mergeCell ref="R5:R6"/>
    <mergeCell ref="T5:T6"/>
    <mergeCell ref="U5:U6"/>
    <mergeCell ref="AK34:AK35"/>
    <mergeCell ref="AL34:AL35"/>
    <mergeCell ref="AM34:AM35"/>
    <mergeCell ref="O34:O35"/>
    <mergeCell ref="P34:P35"/>
    <mergeCell ref="Q34:Q35"/>
    <mergeCell ref="AU5:AU6"/>
    <mergeCell ref="AV5:AV6"/>
    <mergeCell ref="AW5:AW6"/>
    <mergeCell ref="BI2:BI3"/>
    <mergeCell ref="BF5:BF6"/>
    <mergeCell ref="BG5:BG6"/>
    <mergeCell ref="BH5:BH6"/>
    <mergeCell ref="BI5:BI6"/>
    <mergeCell ref="AV34:AV35"/>
    <mergeCell ref="AW34:AW35"/>
    <mergeCell ref="AX34:AX35"/>
    <mergeCell ref="BG34:BG35"/>
    <mergeCell ref="BH34:BH35"/>
    <mergeCell ref="BI34:BI35"/>
    <mergeCell ref="BG2:BG3"/>
    <mergeCell ref="BH2:BH3"/>
    <mergeCell ref="BA2:BA3"/>
    <mergeCell ref="AV2:AV3"/>
    <mergeCell ref="AW2:AW3"/>
    <mergeCell ref="AX2:AX3"/>
    <mergeCell ref="AX5:AX6"/>
    <mergeCell ref="AE37:AE38"/>
    <mergeCell ref="AO37:AO38"/>
    <mergeCell ref="AP37:AP38"/>
    <mergeCell ref="AZ37:AZ38"/>
    <mergeCell ref="BA37:BA38"/>
    <mergeCell ref="C37:C38"/>
    <mergeCell ref="D37:D38"/>
    <mergeCell ref="E37:E38"/>
    <mergeCell ref="F37:F38"/>
    <mergeCell ref="G37:G38"/>
    <mergeCell ref="Y37:Y38"/>
    <mergeCell ref="Z37:Z38"/>
    <mergeCell ref="AA37:AA38"/>
    <mergeCell ref="AB37:AB38"/>
    <mergeCell ref="AM37:AM38"/>
    <mergeCell ref="R37:R38"/>
    <mergeCell ref="N37:N38"/>
    <mergeCell ref="O37:O38"/>
    <mergeCell ref="P37:P38"/>
    <mergeCell ref="Q37:Q38"/>
    <mergeCell ref="I37:I38"/>
    <mergeCell ref="S37:S38"/>
    <mergeCell ref="T37:T38"/>
    <mergeCell ref="AD37:AD38"/>
  </mergeCells>
  <pageMargins left="0.7" right="0.7" top="0.75" bottom="0.75" header="0.3" footer="0.3"/>
  <pageSetup paperSize="9" orientation="portrait" horizontalDpi="0" verticalDpi="0"/>
  <drawing r:id="rId1"/>
  <legacyDrawing r:id="rId2"/>
  <oleObjects>
    <mc:AlternateContent xmlns:mc="http://schemas.openxmlformats.org/markup-compatibility/2006">
      <mc:Choice Requires="x14">
        <oleObject progId="Equation.DSMT4" shapeId="5121" r:id="rId3">
          <objectPr defaultSize="0" r:id="rId4">
            <anchor moveWithCells="1">
              <from>
                <xdr:col>3</xdr:col>
                <xdr:colOff>428625</xdr:colOff>
                <xdr:row>1</xdr:row>
                <xdr:rowOff>152400</xdr:rowOff>
              </from>
              <to>
                <xdr:col>3</xdr:col>
                <xdr:colOff>600075</xdr:colOff>
                <xdr:row>2</xdr:row>
                <xdr:rowOff>114300</xdr:rowOff>
              </to>
            </anchor>
          </objectPr>
        </oleObject>
      </mc:Choice>
      <mc:Fallback>
        <oleObject progId="Equation.DSMT4" shapeId="5121" r:id="rId3"/>
      </mc:Fallback>
    </mc:AlternateContent>
    <mc:AlternateContent xmlns:mc="http://schemas.openxmlformats.org/markup-compatibility/2006">
      <mc:Choice Requires="x14">
        <oleObject progId="Equation.DSMT4" shapeId="5122" r:id="rId5">
          <objectPr defaultSize="0" r:id="rId6">
            <anchor moveWithCells="1">
              <from>
                <xdr:col>4</xdr:col>
                <xdr:colOff>257175</xdr:colOff>
                <xdr:row>1</xdr:row>
                <xdr:rowOff>85725</xdr:rowOff>
              </from>
              <to>
                <xdr:col>4</xdr:col>
                <xdr:colOff>647700</xdr:colOff>
                <xdr:row>2</xdr:row>
                <xdr:rowOff>180975</xdr:rowOff>
              </to>
            </anchor>
          </objectPr>
        </oleObject>
      </mc:Choice>
      <mc:Fallback>
        <oleObject progId="Equation.DSMT4" shapeId="5122" r:id="rId5"/>
      </mc:Fallback>
    </mc:AlternateContent>
    <mc:AlternateContent xmlns:mc="http://schemas.openxmlformats.org/markup-compatibility/2006">
      <mc:Choice Requires="x14">
        <oleObject progId="Equation.DSMT4" shapeId="5123" r:id="rId7">
          <objectPr defaultSize="0" r:id="rId8">
            <anchor moveWithCells="1">
              <from>
                <xdr:col>5</xdr:col>
                <xdr:colOff>314325</xdr:colOff>
                <xdr:row>1</xdr:row>
                <xdr:rowOff>85725</xdr:rowOff>
              </from>
              <to>
                <xdr:col>5</xdr:col>
                <xdr:colOff>714375</xdr:colOff>
                <xdr:row>2</xdr:row>
                <xdr:rowOff>180975</xdr:rowOff>
              </to>
            </anchor>
          </objectPr>
        </oleObject>
      </mc:Choice>
      <mc:Fallback>
        <oleObject progId="Equation.DSMT4" shapeId="5123" r:id="rId7"/>
      </mc:Fallback>
    </mc:AlternateContent>
    <mc:AlternateContent xmlns:mc="http://schemas.openxmlformats.org/markup-compatibility/2006">
      <mc:Choice Requires="x14">
        <oleObject progId="Equation.DSMT4" shapeId="5124" r:id="rId9">
          <objectPr defaultSize="0" r:id="rId4">
            <anchor moveWithCells="1">
              <from>
                <xdr:col>14</xdr:col>
                <xdr:colOff>428625</xdr:colOff>
                <xdr:row>1</xdr:row>
                <xdr:rowOff>152400</xdr:rowOff>
              </from>
              <to>
                <xdr:col>14</xdr:col>
                <xdr:colOff>600075</xdr:colOff>
                <xdr:row>2</xdr:row>
                <xdr:rowOff>114300</xdr:rowOff>
              </to>
            </anchor>
          </objectPr>
        </oleObject>
      </mc:Choice>
      <mc:Fallback>
        <oleObject progId="Equation.DSMT4" shapeId="5124" r:id="rId9"/>
      </mc:Fallback>
    </mc:AlternateContent>
    <mc:AlternateContent xmlns:mc="http://schemas.openxmlformats.org/markup-compatibility/2006">
      <mc:Choice Requires="x14">
        <oleObject progId="Equation.DSMT4" shapeId="5125" r:id="rId10">
          <objectPr defaultSize="0" r:id="rId6">
            <anchor moveWithCells="1">
              <from>
                <xdr:col>15</xdr:col>
                <xdr:colOff>257175</xdr:colOff>
                <xdr:row>1</xdr:row>
                <xdr:rowOff>85725</xdr:rowOff>
              </from>
              <to>
                <xdr:col>15</xdr:col>
                <xdr:colOff>647700</xdr:colOff>
                <xdr:row>2</xdr:row>
                <xdr:rowOff>180975</xdr:rowOff>
              </to>
            </anchor>
          </objectPr>
        </oleObject>
      </mc:Choice>
      <mc:Fallback>
        <oleObject progId="Equation.DSMT4" shapeId="5125" r:id="rId10"/>
      </mc:Fallback>
    </mc:AlternateContent>
    <mc:AlternateContent xmlns:mc="http://schemas.openxmlformats.org/markup-compatibility/2006">
      <mc:Choice Requires="x14">
        <oleObject progId="Equation.DSMT4" shapeId="5126" r:id="rId11">
          <objectPr defaultSize="0" r:id="rId8">
            <anchor moveWithCells="1">
              <from>
                <xdr:col>16</xdr:col>
                <xdr:colOff>314325</xdr:colOff>
                <xdr:row>1</xdr:row>
                <xdr:rowOff>85725</xdr:rowOff>
              </from>
              <to>
                <xdr:col>16</xdr:col>
                <xdr:colOff>714375</xdr:colOff>
                <xdr:row>2</xdr:row>
                <xdr:rowOff>180975</xdr:rowOff>
              </to>
            </anchor>
          </objectPr>
        </oleObject>
      </mc:Choice>
      <mc:Fallback>
        <oleObject progId="Equation.DSMT4" shapeId="5126" r:id="rId11"/>
      </mc:Fallback>
    </mc:AlternateContent>
    <mc:AlternateContent xmlns:mc="http://schemas.openxmlformats.org/markup-compatibility/2006">
      <mc:Choice Requires="x14">
        <oleObject progId="Equation.DSMT4" shapeId="5127" r:id="rId12">
          <objectPr defaultSize="0" r:id="rId4">
            <anchor moveWithCells="1">
              <from>
                <xdr:col>25</xdr:col>
                <xdr:colOff>428625</xdr:colOff>
                <xdr:row>1</xdr:row>
                <xdr:rowOff>152400</xdr:rowOff>
              </from>
              <to>
                <xdr:col>25</xdr:col>
                <xdr:colOff>600075</xdr:colOff>
                <xdr:row>2</xdr:row>
                <xdr:rowOff>114300</xdr:rowOff>
              </to>
            </anchor>
          </objectPr>
        </oleObject>
      </mc:Choice>
      <mc:Fallback>
        <oleObject progId="Equation.DSMT4" shapeId="5127" r:id="rId12"/>
      </mc:Fallback>
    </mc:AlternateContent>
    <mc:AlternateContent xmlns:mc="http://schemas.openxmlformats.org/markup-compatibility/2006">
      <mc:Choice Requires="x14">
        <oleObject progId="Equation.DSMT4" shapeId="5128" r:id="rId13">
          <objectPr defaultSize="0" r:id="rId6">
            <anchor moveWithCells="1">
              <from>
                <xdr:col>26</xdr:col>
                <xdr:colOff>257175</xdr:colOff>
                <xdr:row>1</xdr:row>
                <xdr:rowOff>85725</xdr:rowOff>
              </from>
              <to>
                <xdr:col>26</xdr:col>
                <xdr:colOff>647700</xdr:colOff>
                <xdr:row>2</xdr:row>
                <xdr:rowOff>180975</xdr:rowOff>
              </to>
            </anchor>
          </objectPr>
        </oleObject>
      </mc:Choice>
      <mc:Fallback>
        <oleObject progId="Equation.DSMT4" shapeId="5128" r:id="rId13"/>
      </mc:Fallback>
    </mc:AlternateContent>
    <mc:AlternateContent xmlns:mc="http://schemas.openxmlformats.org/markup-compatibility/2006">
      <mc:Choice Requires="x14">
        <oleObject progId="Equation.DSMT4" shapeId="5129" r:id="rId14">
          <objectPr defaultSize="0" r:id="rId8">
            <anchor moveWithCells="1">
              <from>
                <xdr:col>27</xdr:col>
                <xdr:colOff>314325</xdr:colOff>
                <xdr:row>1</xdr:row>
                <xdr:rowOff>85725</xdr:rowOff>
              </from>
              <to>
                <xdr:col>27</xdr:col>
                <xdr:colOff>714375</xdr:colOff>
                <xdr:row>2</xdr:row>
                <xdr:rowOff>180975</xdr:rowOff>
              </to>
            </anchor>
          </objectPr>
        </oleObject>
      </mc:Choice>
      <mc:Fallback>
        <oleObject progId="Equation.DSMT4" shapeId="5129" r:id="rId14"/>
      </mc:Fallback>
    </mc:AlternateContent>
    <mc:AlternateContent xmlns:mc="http://schemas.openxmlformats.org/markup-compatibility/2006">
      <mc:Choice Requires="x14">
        <oleObject progId="Equation.DSMT4" shapeId="5130" r:id="rId15">
          <objectPr defaultSize="0" r:id="rId4">
            <anchor moveWithCells="1">
              <from>
                <xdr:col>36</xdr:col>
                <xdr:colOff>428625</xdr:colOff>
                <xdr:row>1</xdr:row>
                <xdr:rowOff>152400</xdr:rowOff>
              </from>
              <to>
                <xdr:col>36</xdr:col>
                <xdr:colOff>600075</xdr:colOff>
                <xdr:row>2</xdr:row>
                <xdr:rowOff>114300</xdr:rowOff>
              </to>
            </anchor>
          </objectPr>
        </oleObject>
      </mc:Choice>
      <mc:Fallback>
        <oleObject progId="Equation.DSMT4" shapeId="5130" r:id="rId15"/>
      </mc:Fallback>
    </mc:AlternateContent>
    <mc:AlternateContent xmlns:mc="http://schemas.openxmlformats.org/markup-compatibility/2006">
      <mc:Choice Requires="x14">
        <oleObject progId="Equation.DSMT4" shapeId="5131" r:id="rId16">
          <objectPr defaultSize="0" r:id="rId6">
            <anchor moveWithCells="1">
              <from>
                <xdr:col>37</xdr:col>
                <xdr:colOff>257175</xdr:colOff>
                <xdr:row>1</xdr:row>
                <xdr:rowOff>85725</xdr:rowOff>
              </from>
              <to>
                <xdr:col>37</xdr:col>
                <xdr:colOff>647700</xdr:colOff>
                <xdr:row>2</xdr:row>
                <xdr:rowOff>180975</xdr:rowOff>
              </to>
            </anchor>
          </objectPr>
        </oleObject>
      </mc:Choice>
      <mc:Fallback>
        <oleObject progId="Equation.DSMT4" shapeId="5131" r:id="rId16"/>
      </mc:Fallback>
    </mc:AlternateContent>
    <mc:AlternateContent xmlns:mc="http://schemas.openxmlformats.org/markup-compatibility/2006">
      <mc:Choice Requires="x14">
        <oleObject progId="Equation.DSMT4" shapeId="5132" r:id="rId17">
          <objectPr defaultSize="0" r:id="rId8">
            <anchor moveWithCells="1">
              <from>
                <xdr:col>38</xdr:col>
                <xdr:colOff>314325</xdr:colOff>
                <xdr:row>1</xdr:row>
                <xdr:rowOff>85725</xdr:rowOff>
              </from>
              <to>
                <xdr:col>38</xdr:col>
                <xdr:colOff>714375</xdr:colOff>
                <xdr:row>2</xdr:row>
                <xdr:rowOff>180975</xdr:rowOff>
              </to>
            </anchor>
          </objectPr>
        </oleObject>
      </mc:Choice>
      <mc:Fallback>
        <oleObject progId="Equation.DSMT4" shapeId="5132" r:id="rId17"/>
      </mc:Fallback>
    </mc:AlternateContent>
    <mc:AlternateContent xmlns:mc="http://schemas.openxmlformats.org/markup-compatibility/2006">
      <mc:Choice Requires="x14">
        <oleObject progId="Equation.DSMT4" shapeId="5133" r:id="rId18">
          <objectPr defaultSize="0" r:id="rId4">
            <anchor moveWithCells="1">
              <from>
                <xdr:col>47</xdr:col>
                <xdr:colOff>428625</xdr:colOff>
                <xdr:row>1</xdr:row>
                <xdr:rowOff>152400</xdr:rowOff>
              </from>
              <to>
                <xdr:col>47</xdr:col>
                <xdr:colOff>600075</xdr:colOff>
                <xdr:row>2</xdr:row>
                <xdr:rowOff>114300</xdr:rowOff>
              </to>
            </anchor>
          </objectPr>
        </oleObject>
      </mc:Choice>
      <mc:Fallback>
        <oleObject progId="Equation.DSMT4" shapeId="5133" r:id="rId18"/>
      </mc:Fallback>
    </mc:AlternateContent>
    <mc:AlternateContent xmlns:mc="http://schemas.openxmlformats.org/markup-compatibility/2006">
      <mc:Choice Requires="x14">
        <oleObject progId="Equation.DSMT4" shapeId="5134" r:id="rId19">
          <objectPr defaultSize="0" r:id="rId6">
            <anchor moveWithCells="1">
              <from>
                <xdr:col>48</xdr:col>
                <xdr:colOff>257175</xdr:colOff>
                <xdr:row>1</xdr:row>
                <xdr:rowOff>85725</xdr:rowOff>
              </from>
              <to>
                <xdr:col>48</xdr:col>
                <xdr:colOff>647700</xdr:colOff>
                <xdr:row>2</xdr:row>
                <xdr:rowOff>180975</xdr:rowOff>
              </to>
            </anchor>
          </objectPr>
        </oleObject>
      </mc:Choice>
      <mc:Fallback>
        <oleObject progId="Equation.DSMT4" shapeId="5134" r:id="rId19"/>
      </mc:Fallback>
    </mc:AlternateContent>
    <mc:AlternateContent xmlns:mc="http://schemas.openxmlformats.org/markup-compatibility/2006">
      <mc:Choice Requires="x14">
        <oleObject progId="Equation.DSMT4" shapeId="5135" r:id="rId20">
          <objectPr defaultSize="0" r:id="rId8">
            <anchor moveWithCells="1">
              <from>
                <xdr:col>49</xdr:col>
                <xdr:colOff>314325</xdr:colOff>
                <xdr:row>1</xdr:row>
                <xdr:rowOff>85725</xdr:rowOff>
              </from>
              <to>
                <xdr:col>49</xdr:col>
                <xdr:colOff>714375</xdr:colOff>
                <xdr:row>2</xdr:row>
                <xdr:rowOff>180975</xdr:rowOff>
              </to>
            </anchor>
          </objectPr>
        </oleObject>
      </mc:Choice>
      <mc:Fallback>
        <oleObject progId="Equation.DSMT4" shapeId="5135" r:id="rId20"/>
      </mc:Fallback>
    </mc:AlternateContent>
    <mc:AlternateContent xmlns:mc="http://schemas.openxmlformats.org/markup-compatibility/2006">
      <mc:Choice Requires="x14">
        <oleObject progId="Equation.DSMT4" shapeId="5136" r:id="rId21">
          <objectPr defaultSize="0" r:id="rId4">
            <anchor moveWithCells="1">
              <from>
                <xdr:col>58</xdr:col>
                <xdr:colOff>428625</xdr:colOff>
                <xdr:row>1</xdr:row>
                <xdr:rowOff>152400</xdr:rowOff>
              </from>
              <to>
                <xdr:col>58</xdr:col>
                <xdr:colOff>600075</xdr:colOff>
                <xdr:row>2</xdr:row>
                <xdr:rowOff>114300</xdr:rowOff>
              </to>
            </anchor>
          </objectPr>
        </oleObject>
      </mc:Choice>
      <mc:Fallback>
        <oleObject progId="Equation.DSMT4" shapeId="5136" r:id="rId21"/>
      </mc:Fallback>
    </mc:AlternateContent>
    <mc:AlternateContent xmlns:mc="http://schemas.openxmlformats.org/markup-compatibility/2006">
      <mc:Choice Requires="x14">
        <oleObject progId="Equation.DSMT4" shapeId="5137" r:id="rId22">
          <objectPr defaultSize="0" r:id="rId6">
            <anchor moveWithCells="1">
              <from>
                <xdr:col>59</xdr:col>
                <xdr:colOff>257175</xdr:colOff>
                <xdr:row>1</xdr:row>
                <xdr:rowOff>85725</xdr:rowOff>
              </from>
              <to>
                <xdr:col>59</xdr:col>
                <xdr:colOff>647700</xdr:colOff>
                <xdr:row>2</xdr:row>
                <xdr:rowOff>180975</xdr:rowOff>
              </to>
            </anchor>
          </objectPr>
        </oleObject>
      </mc:Choice>
      <mc:Fallback>
        <oleObject progId="Equation.DSMT4" shapeId="5137" r:id="rId22"/>
      </mc:Fallback>
    </mc:AlternateContent>
    <mc:AlternateContent xmlns:mc="http://schemas.openxmlformats.org/markup-compatibility/2006">
      <mc:Choice Requires="x14">
        <oleObject progId="Equation.DSMT4" shapeId="5138" r:id="rId23">
          <objectPr defaultSize="0" r:id="rId8">
            <anchor moveWithCells="1">
              <from>
                <xdr:col>60</xdr:col>
                <xdr:colOff>314325</xdr:colOff>
                <xdr:row>1</xdr:row>
                <xdr:rowOff>85725</xdr:rowOff>
              </from>
              <to>
                <xdr:col>60</xdr:col>
                <xdr:colOff>714375</xdr:colOff>
                <xdr:row>2</xdr:row>
                <xdr:rowOff>180975</xdr:rowOff>
              </to>
            </anchor>
          </objectPr>
        </oleObject>
      </mc:Choice>
      <mc:Fallback>
        <oleObject progId="Equation.DSMT4" shapeId="5138" r:id="rId23"/>
      </mc:Fallback>
    </mc:AlternateContent>
    <mc:AlternateContent xmlns:mc="http://schemas.openxmlformats.org/markup-compatibility/2006">
      <mc:Choice Requires="x14">
        <oleObject progId="Equation.DSMT4" shapeId="5139" r:id="rId24">
          <objectPr defaultSize="0" r:id="rId4">
            <anchor moveWithCells="1">
              <from>
                <xdr:col>3</xdr:col>
                <xdr:colOff>428625</xdr:colOff>
                <xdr:row>33</xdr:row>
                <xdr:rowOff>152400</xdr:rowOff>
              </from>
              <to>
                <xdr:col>3</xdr:col>
                <xdr:colOff>600075</xdr:colOff>
                <xdr:row>34</xdr:row>
                <xdr:rowOff>114300</xdr:rowOff>
              </to>
            </anchor>
          </objectPr>
        </oleObject>
      </mc:Choice>
      <mc:Fallback>
        <oleObject progId="Equation.DSMT4" shapeId="5139" r:id="rId24"/>
      </mc:Fallback>
    </mc:AlternateContent>
    <mc:AlternateContent xmlns:mc="http://schemas.openxmlformats.org/markup-compatibility/2006">
      <mc:Choice Requires="x14">
        <oleObject progId="Equation.DSMT4" shapeId="5140" r:id="rId25">
          <objectPr defaultSize="0" r:id="rId6">
            <anchor moveWithCells="1">
              <from>
                <xdr:col>4</xdr:col>
                <xdr:colOff>257175</xdr:colOff>
                <xdr:row>33</xdr:row>
                <xdr:rowOff>85725</xdr:rowOff>
              </from>
              <to>
                <xdr:col>4</xdr:col>
                <xdr:colOff>647700</xdr:colOff>
                <xdr:row>34</xdr:row>
                <xdr:rowOff>180975</xdr:rowOff>
              </to>
            </anchor>
          </objectPr>
        </oleObject>
      </mc:Choice>
      <mc:Fallback>
        <oleObject progId="Equation.DSMT4" shapeId="5140" r:id="rId25"/>
      </mc:Fallback>
    </mc:AlternateContent>
    <mc:AlternateContent xmlns:mc="http://schemas.openxmlformats.org/markup-compatibility/2006">
      <mc:Choice Requires="x14">
        <oleObject progId="Equation.DSMT4" shapeId="5141" r:id="rId26">
          <objectPr defaultSize="0" r:id="rId8">
            <anchor moveWithCells="1">
              <from>
                <xdr:col>5</xdr:col>
                <xdr:colOff>314325</xdr:colOff>
                <xdr:row>33</xdr:row>
                <xdr:rowOff>85725</xdr:rowOff>
              </from>
              <to>
                <xdr:col>5</xdr:col>
                <xdr:colOff>714375</xdr:colOff>
                <xdr:row>34</xdr:row>
                <xdr:rowOff>180975</xdr:rowOff>
              </to>
            </anchor>
          </objectPr>
        </oleObject>
      </mc:Choice>
      <mc:Fallback>
        <oleObject progId="Equation.DSMT4" shapeId="5141" r:id="rId26"/>
      </mc:Fallback>
    </mc:AlternateContent>
    <mc:AlternateContent xmlns:mc="http://schemas.openxmlformats.org/markup-compatibility/2006">
      <mc:Choice Requires="x14">
        <oleObject progId="Equation.DSMT4" shapeId="5142" r:id="rId27">
          <objectPr defaultSize="0" r:id="rId4">
            <anchor moveWithCells="1">
              <from>
                <xdr:col>14</xdr:col>
                <xdr:colOff>428625</xdr:colOff>
                <xdr:row>33</xdr:row>
                <xdr:rowOff>152400</xdr:rowOff>
              </from>
              <to>
                <xdr:col>14</xdr:col>
                <xdr:colOff>600075</xdr:colOff>
                <xdr:row>34</xdr:row>
                <xdr:rowOff>114300</xdr:rowOff>
              </to>
            </anchor>
          </objectPr>
        </oleObject>
      </mc:Choice>
      <mc:Fallback>
        <oleObject progId="Equation.DSMT4" shapeId="5142" r:id="rId27"/>
      </mc:Fallback>
    </mc:AlternateContent>
    <mc:AlternateContent xmlns:mc="http://schemas.openxmlformats.org/markup-compatibility/2006">
      <mc:Choice Requires="x14">
        <oleObject progId="Equation.DSMT4" shapeId="5143" r:id="rId28">
          <objectPr defaultSize="0" r:id="rId6">
            <anchor moveWithCells="1">
              <from>
                <xdr:col>15</xdr:col>
                <xdr:colOff>257175</xdr:colOff>
                <xdr:row>33</xdr:row>
                <xdr:rowOff>85725</xdr:rowOff>
              </from>
              <to>
                <xdr:col>15</xdr:col>
                <xdr:colOff>647700</xdr:colOff>
                <xdr:row>34</xdr:row>
                <xdr:rowOff>180975</xdr:rowOff>
              </to>
            </anchor>
          </objectPr>
        </oleObject>
      </mc:Choice>
      <mc:Fallback>
        <oleObject progId="Equation.DSMT4" shapeId="5143" r:id="rId28"/>
      </mc:Fallback>
    </mc:AlternateContent>
    <mc:AlternateContent xmlns:mc="http://schemas.openxmlformats.org/markup-compatibility/2006">
      <mc:Choice Requires="x14">
        <oleObject progId="Equation.DSMT4" shapeId="5144" r:id="rId29">
          <objectPr defaultSize="0" r:id="rId8">
            <anchor moveWithCells="1">
              <from>
                <xdr:col>16</xdr:col>
                <xdr:colOff>314325</xdr:colOff>
                <xdr:row>33</xdr:row>
                <xdr:rowOff>85725</xdr:rowOff>
              </from>
              <to>
                <xdr:col>16</xdr:col>
                <xdr:colOff>714375</xdr:colOff>
                <xdr:row>34</xdr:row>
                <xdr:rowOff>180975</xdr:rowOff>
              </to>
            </anchor>
          </objectPr>
        </oleObject>
      </mc:Choice>
      <mc:Fallback>
        <oleObject progId="Equation.DSMT4" shapeId="5144" r:id="rId29"/>
      </mc:Fallback>
    </mc:AlternateContent>
    <mc:AlternateContent xmlns:mc="http://schemas.openxmlformats.org/markup-compatibility/2006">
      <mc:Choice Requires="x14">
        <oleObject progId="Equation.DSMT4" shapeId="5145" r:id="rId30">
          <objectPr defaultSize="0" r:id="rId4">
            <anchor moveWithCells="1">
              <from>
                <xdr:col>25</xdr:col>
                <xdr:colOff>428625</xdr:colOff>
                <xdr:row>33</xdr:row>
                <xdr:rowOff>152400</xdr:rowOff>
              </from>
              <to>
                <xdr:col>25</xdr:col>
                <xdr:colOff>600075</xdr:colOff>
                <xdr:row>34</xdr:row>
                <xdr:rowOff>114300</xdr:rowOff>
              </to>
            </anchor>
          </objectPr>
        </oleObject>
      </mc:Choice>
      <mc:Fallback>
        <oleObject progId="Equation.DSMT4" shapeId="5145" r:id="rId30"/>
      </mc:Fallback>
    </mc:AlternateContent>
    <mc:AlternateContent xmlns:mc="http://schemas.openxmlformats.org/markup-compatibility/2006">
      <mc:Choice Requires="x14">
        <oleObject progId="Equation.DSMT4" shapeId="5146" r:id="rId31">
          <objectPr defaultSize="0" r:id="rId6">
            <anchor moveWithCells="1">
              <from>
                <xdr:col>26</xdr:col>
                <xdr:colOff>257175</xdr:colOff>
                <xdr:row>33</xdr:row>
                <xdr:rowOff>85725</xdr:rowOff>
              </from>
              <to>
                <xdr:col>26</xdr:col>
                <xdr:colOff>647700</xdr:colOff>
                <xdr:row>34</xdr:row>
                <xdr:rowOff>180975</xdr:rowOff>
              </to>
            </anchor>
          </objectPr>
        </oleObject>
      </mc:Choice>
      <mc:Fallback>
        <oleObject progId="Equation.DSMT4" shapeId="5146" r:id="rId31"/>
      </mc:Fallback>
    </mc:AlternateContent>
    <mc:AlternateContent xmlns:mc="http://schemas.openxmlformats.org/markup-compatibility/2006">
      <mc:Choice Requires="x14">
        <oleObject progId="Equation.DSMT4" shapeId="5147" r:id="rId32">
          <objectPr defaultSize="0" r:id="rId8">
            <anchor moveWithCells="1">
              <from>
                <xdr:col>27</xdr:col>
                <xdr:colOff>314325</xdr:colOff>
                <xdr:row>33</xdr:row>
                <xdr:rowOff>85725</xdr:rowOff>
              </from>
              <to>
                <xdr:col>27</xdr:col>
                <xdr:colOff>714375</xdr:colOff>
                <xdr:row>34</xdr:row>
                <xdr:rowOff>180975</xdr:rowOff>
              </to>
            </anchor>
          </objectPr>
        </oleObject>
      </mc:Choice>
      <mc:Fallback>
        <oleObject progId="Equation.DSMT4" shapeId="5147" r:id="rId32"/>
      </mc:Fallback>
    </mc:AlternateContent>
    <mc:AlternateContent xmlns:mc="http://schemas.openxmlformats.org/markup-compatibility/2006">
      <mc:Choice Requires="x14">
        <oleObject progId="Equation.DSMT4" shapeId="5148" r:id="rId33">
          <objectPr defaultSize="0" r:id="rId4">
            <anchor moveWithCells="1">
              <from>
                <xdr:col>36</xdr:col>
                <xdr:colOff>428625</xdr:colOff>
                <xdr:row>33</xdr:row>
                <xdr:rowOff>152400</xdr:rowOff>
              </from>
              <to>
                <xdr:col>36</xdr:col>
                <xdr:colOff>600075</xdr:colOff>
                <xdr:row>34</xdr:row>
                <xdr:rowOff>114300</xdr:rowOff>
              </to>
            </anchor>
          </objectPr>
        </oleObject>
      </mc:Choice>
      <mc:Fallback>
        <oleObject progId="Equation.DSMT4" shapeId="5148" r:id="rId33"/>
      </mc:Fallback>
    </mc:AlternateContent>
    <mc:AlternateContent xmlns:mc="http://schemas.openxmlformats.org/markup-compatibility/2006">
      <mc:Choice Requires="x14">
        <oleObject progId="Equation.DSMT4" shapeId="5149" r:id="rId34">
          <objectPr defaultSize="0" r:id="rId6">
            <anchor moveWithCells="1">
              <from>
                <xdr:col>37</xdr:col>
                <xdr:colOff>257175</xdr:colOff>
                <xdr:row>33</xdr:row>
                <xdr:rowOff>85725</xdr:rowOff>
              </from>
              <to>
                <xdr:col>37</xdr:col>
                <xdr:colOff>647700</xdr:colOff>
                <xdr:row>34</xdr:row>
                <xdr:rowOff>180975</xdr:rowOff>
              </to>
            </anchor>
          </objectPr>
        </oleObject>
      </mc:Choice>
      <mc:Fallback>
        <oleObject progId="Equation.DSMT4" shapeId="5149" r:id="rId34"/>
      </mc:Fallback>
    </mc:AlternateContent>
    <mc:AlternateContent xmlns:mc="http://schemas.openxmlformats.org/markup-compatibility/2006">
      <mc:Choice Requires="x14">
        <oleObject progId="Equation.DSMT4" shapeId="5150" r:id="rId35">
          <objectPr defaultSize="0" r:id="rId8">
            <anchor moveWithCells="1">
              <from>
                <xdr:col>38</xdr:col>
                <xdr:colOff>314325</xdr:colOff>
                <xdr:row>33</xdr:row>
                <xdr:rowOff>85725</xdr:rowOff>
              </from>
              <to>
                <xdr:col>38</xdr:col>
                <xdr:colOff>714375</xdr:colOff>
                <xdr:row>34</xdr:row>
                <xdr:rowOff>180975</xdr:rowOff>
              </to>
            </anchor>
          </objectPr>
        </oleObject>
      </mc:Choice>
      <mc:Fallback>
        <oleObject progId="Equation.DSMT4" shapeId="5150" r:id="rId35"/>
      </mc:Fallback>
    </mc:AlternateContent>
    <mc:AlternateContent xmlns:mc="http://schemas.openxmlformats.org/markup-compatibility/2006">
      <mc:Choice Requires="x14">
        <oleObject progId="Equation.DSMT4" shapeId="5151" r:id="rId36">
          <objectPr defaultSize="0" r:id="rId4">
            <anchor moveWithCells="1">
              <from>
                <xdr:col>47</xdr:col>
                <xdr:colOff>428625</xdr:colOff>
                <xdr:row>33</xdr:row>
                <xdr:rowOff>152400</xdr:rowOff>
              </from>
              <to>
                <xdr:col>47</xdr:col>
                <xdr:colOff>600075</xdr:colOff>
                <xdr:row>34</xdr:row>
                <xdr:rowOff>114300</xdr:rowOff>
              </to>
            </anchor>
          </objectPr>
        </oleObject>
      </mc:Choice>
      <mc:Fallback>
        <oleObject progId="Equation.DSMT4" shapeId="5151" r:id="rId36"/>
      </mc:Fallback>
    </mc:AlternateContent>
    <mc:AlternateContent xmlns:mc="http://schemas.openxmlformats.org/markup-compatibility/2006">
      <mc:Choice Requires="x14">
        <oleObject progId="Equation.DSMT4" shapeId="5152" r:id="rId37">
          <objectPr defaultSize="0" r:id="rId6">
            <anchor moveWithCells="1">
              <from>
                <xdr:col>48</xdr:col>
                <xdr:colOff>257175</xdr:colOff>
                <xdr:row>33</xdr:row>
                <xdr:rowOff>85725</xdr:rowOff>
              </from>
              <to>
                <xdr:col>48</xdr:col>
                <xdr:colOff>647700</xdr:colOff>
                <xdr:row>34</xdr:row>
                <xdr:rowOff>180975</xdr:rowOff>
              </to>
            </anchor>
          </objectPr>
        </oleObject>
      </mc:Choice>
      <mc:Fallback>
        <oleObject progId="Equation.DSMT4" shapeId="5152" r:id="rId37"/>
      </mc:Fallback>
    </mc:AlternateContent>
    <mc:AlternateContent xmlns:mc="http://schemas.openxmlformats.org/markup-compatibility/2006">
      <mc:Choice Requires="x14">
        <oleObject progId="Equation.DSMT4" shapeId="5153" r:id="rId38">
          <objectPr defaultSize="0" r:id="rId8">
            <anchor moveWithCells="1">
              <from>
                <xdr:col>49</xdr:col>
                <xdr:colOff>314325</xdr:colOff>
                <xdr:row>33</xdr:row>
                <xdr:rowOff>85725</xdr:rowOff>
              </from>
              <to>
                <xdr:col>49</xdr:col>
                <xdr:colOff>714375</xdr:colOff>
                <xdr:row>34</xdr:row>
                <xdr:rowOff>180975</xdr:rowOff>
              </to>
            </anchor>
          </objectPr>
        </oleObject>
      </mc:Choice>
      <mc:Fallback>
        <oleObject progId="Equation.DSMT4" shapeId="5153" r:id="rId38"/>
      </mc:Fallback>
    </mc:AlternateContent>
    <mc:AlternateContent xmlns:mc="http://schemas.openxmlformats.org/markup-compatibility/2006">
      <mc:Choice Requires="x14">
        <oleObject progId="Equation.DSMT4" shapeId="5154" r:id="rId39">
          <objectPr defaultSize="0" r:id="rId4">
            <anchor moveWithCells="1">
              <from>
                <xdr:col>58</xdr:col>
                <xdr:colOff>428625</xdr:colOff>
                <xdr:row>33</xdr:row>
                <xdr:rowOff>152400</xdr:rowOff>
              </from>
              <to>
                <xdr:col>58</xdr:col>
                <xdr:colOff>600075</xdr:colOff>
                <xdr:row>34</xdr:row>
                <xdr:rowOff>114300</xdr:rowOff>
              </to>
            </anchor>
          </objectPr>
        </oleObject>
      </mc:Choice>
      <mc:Fallback>
        <oleObject progId="Equation.DSMT4" shapeId="5154" r:id="rId39"/>
      </mc:Fallback>
    </mc:AlternateContent>
    <mc:AlternateContent xmlns:mc="http://schemas.openxmlformats.org/markup-compatibility/2006">
      <mc:Choice Requires="x14">
        <oleObject progId="Equation.DSMT4" shapeId="5155" r:id="rId40">
          <objectPr defaultSize="0" r:id="rId6">
            <anchor moveWithCells="1">
              <from>
                <xdr:col>59</xdr:col>
                <xdr:colOff>257175</xdr:colOff>
                <xdr:row>33</xdr:row>
                <xdr:rowOff>85725</xdr:rowOff>
              </from>
              <to>
                <xdr:col>59</xdr:col>
                <xdr:colOff>647700</xdr:colOff>
                <xdr:row>34</xdr:row>
                <xdr:rowOff>180975</xdr:rowOff>
              </to>
            </anchor>
          </objectPr>
        </oleObject>
      </mc:Choice>
      <mc:Fallback>
        <oleObject progId="Equation.DSMT4" shapeId="5155" r:id="rId40"/>
      </mc:Fallback>
    </mc:AlternateContent>
    <mc:AlternateContent xmlns:mc="http://schemas.openxmlformats.org/markup-compatibility/2006">
      <mc:Choice Requires="x14">
        <oleObject progId="Equation.DSMT4" shapeId="5156" r:id="rId41">
          <objectPr defaultSize="0" r:id="rId8">
            <anchor moveWithCells="1">
              <from>
                <xdr:col>60</xdr:col>
                <xdr:colOff>314325</xdr:colOff>
                <xdr:row>33</xdr:row>
                <xdr:rowOff>85725</xdr:rowOff>
              </from>
              <to>
                <xdr:col>60</xdr:col>
                <xdr:colOff>714375</xdr:colOff>
                <xdr:row>34</xdr:row>
                <xdr:rowOff>180975</xdr:rowOff>
              </to>
            </anchor>
          </objectPr>
        </oleObject>
      </mc:Choice>
      <mc:Fallback>
        <oleObject progId="Equation.DSMT4" shapeId="5156" r:id="rId41"/>
      </mc:Fallback>
    </mc:AlternateContent>
    <mc:AlternateContent xmlns:mc="http://schemas.openxmlformats.org/markup-compatibility/2006">
      <mc:Choice Requires="x14">
        <oleObject progId="Equation.DSMT4" shapeId="5157" r:id="rId42">
          <objectPr defaultSize="0" r:id="rId43">
            <anchor moveWithCells="1">
              <from>
                <xdr:col>3</xdr:col>
                <xdr:colOff>295275</xdr:colOff>
                <xdr:row>4</xdr:row>
                <xdr:rowOff>104775</xdr:rowOff>
              </from>
              <to>
                <xdr:col>3</xdr:col>
                <xdr:colOff>714375</xdr:colOff>
                <xdr:row>5</xdr:row>
                <xdr:rowOff>200025</xdr:rowOff>
              </to>
            </anchor>
          </objectPr>
        </oleObject>
      </mc:Choice>
      <mc:Fallback>
        <oleObject progId="Equation.DSMT4" shapeId="5157" r:id="rId42"/>
      </mc:Fallback>
    </mc:AlternateContent>
    <mc:AlternateContent xmlns:mc="http://schemas.openxmlformats.org/markup-compatibility/2006">
      <mc:Choice Requires="x14">
        <oleObject progId="Equation.DSMT4" shapeId="5158" r:id="rId44">
          <objectPr defaultSize="0" r:id="rId45">
            <anchor moveWithCells="1">
              <from>
                <xdr:col>4</xdr:col>
                <xdr:colOff>295275</xdr:colOff>
                <xdr:row>4</xdr:row>
                <xdr:rowOff>104775</xdr:rowOff>
              </from>
              <to>
                <xdr:col>4</xdr:col>
                <xdr:colOff>714375</xdr:colOff>
                <xdr:row>5</xdr:row>
                <xdr:rowOff>200025</xdr:rowOff>
              </to>
            </anchor>
          </objectPr>
        </oleObject>
      </mc:Choice>
      <mc:Fallback>
        <oleObject progId="Equation.DSMT4" shapeId="5158" r:id="rId44"/>
      </mc:Fallback>
    </mc:AlternateContent>
    <mc:AlternateContent xmlns:mc="http://schemas.openxmlformats.org/markup-compatibility/2006">
      <mc:Choice Requires="x14">
        <oleObject progId="Equation.DSMT4" shapeId="5159" r:id="rId46">
          <objectPr defaultSize="0" r:id="rId47">
            <anchor moveWithCells="1">
              <from>
                <xdr:col>5</xdr:col>
                <xdr:colOff>304800</xdr:colOff>
                <xdr:row>4</xdr:row>
                <xdr:rowOff>85725</xdr:rowOff>
              </from>
              <to>
                <xdr:col>5</xdr:col>
                <xdr:colOff>714375</xdr:colOff>
                <xdr:row>5</xdr:row>
                <xdr:rowOff>180975</xdr:rowOff>
              </to>
            </anchor>
          </objectPr>
        </oleObject>
      </mc:Choice>
      <mc:Fallback>
        <oleObject progId="Equation.DSMT4" shapeId="5159" r:id="rId46"/>
      </mc:Fallback>
    </mc:AlternateContent>
    <mc:AlternateContent xmlns:mc="http://schemas.openxmlformats.org/markup-compatibility/2006">
      <mc:Choice Requires="x14">
        <oleObject progId="Equation.DSMT4" shapeId="5160" r:id="rId48">
          <objectPr defaultSize="0" r:id="rId43">
            <anchor moveWithCells="1">
              <from>
                <xdr:col>14</xdr:col>
                <xdr:colOff>295275</xdr:colOff>
                <xdr:row>4</xdr:row>
                <xdr:rowOff>104775</xdr:rowOff>
              </from>
              <to>
                <xdr:col>14</xdr:col>
                <xdr:colOff>714375</xdr:colOff>
                <xdr:row>5</xdr:row>
                <xdr:rowOff>200025</xdr:rowOff>
              </to>
            </anchor>
          </objectPr>
        </oleObject>
      </mc:Choice>
      <mc:Fallback>
        <oleObject progId="Equation.DSMT4" shapeId="5160" r:id="rId48"/>
      </mc:Fallback>
    </mc:AlternateContent>
    <mc:AlternateContent xmlns:mc="http://schemas.openxmlformats.org/markup-compatibility/2006">
      <mc:Choice Requires="x14">
        <oleObject progId="Equation.DSMT4" shapeId="5161" r:id="rId49">
          <objectPr defaultSize="0" r:id="rId45">
            <anchor moveWithCells="1">
              <from>
                <xdr:col>15</xdr:col>
                <xdr:colOff>295275</xdr:colOff>
                <xdr:row>4</xdr:row>
                <xdr:rowOff>104775</xdr:rowOff>
              </from>
              <to>
                <xdr:col>15</xdr:col>
                <xdr:colOff>714375</xdr:colOff>
                <xdr:row>5</xdr:row>
                <xdr:rowOff>200025</xdr:rowOff>
              </to>
            </anchor>
          </objectPr>
        </oleObject>
      </mc:Choice>
      <mc:Fallback>
        <oleObject progId="Equation.DSMT4" shapeId="5161" r:id="rId49"/>
      </mc:Fallback>
    </mc:AlternateContent>
    <mc:AlternateContent xmlns:mc="http://schemas.openxmlformats.org/markup-compatibility/2006">
      <mc:Choice Requires="x14">
        <oleObject progId="Equation.DSMT4" shapeId="5162" r:id="rId50">
          <objectPr defaultSize="0" r:id="rId47">
            <anchor moveWithCells="1">
              <from>
                <xdr:col>16</xdr:col>
                <xdr:colOff>304800</xdr:colOff>
                <xdr:row>4</xdr:row>
                <xdr:rowOff>85725</xdr:rowOff>
              </from>
              <to>
                <xdr:col>16</xdr:col>
                <xdr:colOff>714375</xdr:colOff>
                <xdr:row>5</xdr:row>
                <xdr:rowOff>180975</xdr:rowOff>
              </to>
            </anchor>
          </objectPr>
        </oleObject>
      </mc:Choice>
      <mc:Fallback>
        <oleObject progId="Equation.DSMT4" shapeId="5162" r:id="rId50"/>
      </mc:Fallback>
    </mc:AlternateContent>
    <mc:AlternateContent xmlns:mc="http://schemas.openxmlformats.org/markup-compatibility/2006">
      <mc:Choice Requires="x14">
        <oleObject progId="Equation.DSMT4" shapeId="5163" r:id="rId51">
          <objectPr defaultSize="0" r:id="rId43">
            <anchor moveWithCells="1">
              <from>
                <xdr:col>25</xdr:col>
                <xdr:colOff>295275</xdr:colOff>
                <xdr:row>4</xdr:row>
                <xdr:rowOff>104775</xdr:rowOff>
              </from>
              <to>
                <xdr:col>25</xdr:col>
                <xdr:colOff>714375</xdr:colOff>
                <xdr:row>5</xdr:row>
                <xdr:rowOff>200025</xdr:rowOff>
              </to>
            </anchor>
          </objectPr>
        </oleObject>
      </mc:Choice>
      <mc:Fallback>
        <oleObject progId="Equation.DSMT4" shapeId="5163" r:id="rId51"/>
      </mc:Fallback>
    </mc:AlternateContent>
    <mc:AlternateContent xmlns:mc="http://schemas.openxmlformats.org/markup-compatibility/2006">
      <mc:Choice Requires="x14">
        <oleObject progId="Equation.DSMT4" shapeId="5164" r:id="rId52">
          <objectPr defaultSize="0" r:id="rId45">
            <anchor moveWithCells="1">
              <from>
                <xdr:col>26</xdr:col>
                <xdr:colOff>295275</xdr:colOff>
                <xdr:row>4</xdr:row>
                <xdr:rowOff>104775</xdr:rowOff>
              </from>
              <to>
                <xdr:col>26</xdr:col>
                <xdr:colOff>714375</xdr:colOff>
                <xdr:row>5</xdr:row>
                <xdr:rowOff>200025</xdr:rowOff>
              </to>
            </anchor>
          </objectPr>
        </oleObject>
      </mc:Choice>
      <mc:Fallback>
        <oleObject progId="Equation.DSMT4" shapeId="5164" r:id="rId52"/>
      </mc:Fallback>
    </mc:AlternateContent>
    <mc:AlternateContent xmlns:mc="http://schemas.openxmlformats.org/markup-compatibility/2006">
      <mc:Choice Requires="x14">
        <oleObject progId="Equation.DSMT4" shapeId="5165" r:id="rId53">
          <objectPr defaultSize="0" r:id="rId47">
            <anchor moveWithCells="1">
              <from>
                <xdr:col>27</xdr:col>
                <xdr:colOff>304800</xdr:colOff>
                <xdr:row>4</xdr:row>
                <xdr:rowOff>85725</xdr:rowOff>
              </from>
              <to>
                <xdr:col>27</xdr:col>
                <xdr:colOff>714375</xdr:colOff>
                <xdr:row>5</xdr:row>
                <xdr:rowOff>180975</xdr:rowOff>
              </to>
            </anchor>
          </objectPr>
        </oleObject>
      </mc:Choice>
      <mc:Fallback>
        <oleObject progId="Equation.DSMT4" shapeId="5165" r:id="rId53"/>
      </mc:Fallback>
    </mc:AlternateContent>
    <mc:AlternateContent xmlns:mc="http://schemas.openxmlformats.org/markup-compatibility/2006">
      <mc:Choice Requires="x14">
        <oleObject progId="Equation.DSMT4" shapeId="5166" r:id="rId54">
          <objectPr defaultSize="0" r:id="rId43">
            <anchor moveWithCells="1">
              <from>
                <xdr:col>36</xdr:col>
                <xdr:colOff>295275</xdr:colOff>
                <xdr:row>4</xdr:row>
                <xdr:rowOff>104775</xdr:rowOff>
              </from>
              <to>
                <xdr:col>36</xdr:col>
                <xdr:colOff>714375</xdr:colOff>
                <xdr:row>5</xdr:row>
                <xdr:rowOff>200025</xdr:rowOff>
              </to>
            </anchor>
          </objectPr>
        </oleObject>
      </mc:Choice>
      <mc:Fallback>
        <oleObject progId="Equation.DSMT4" shapeId="5166" r:id="rId54"/>
      </mc:Fallback>
    </mc:AlternateContent>
    <mc:AlternateContent xmlns:mc="http://schemas.openxmlformats.org/markup-compatibility/2006">
      <mc:Choice Requires="x14">
        <oleObject progId="Equation.DSMT4" shapeId="5167" r:id="rId55">
          <objectPr defaultSize="0" r:id="rId45">
            <anchor moveWithCells="1">
              <from>
                <xdr:col>37</xdr:col>
                <xdr:colOff>295275</xdr:colOff>
                <xdr:row>4</xdr:row>
                <xdr:rowOff>104775</xdr:rowOff>
              </from>
              <to>
                <xdr:col>37</xdr:col>
                <xdr:colOff>714375</xdr:colOff>
                <xdr:row>5</xdr:row>
                <xdr:rowOff>200025</xdr:rowOff>
              </to>
            </anchor>
          </objectPr>
        </oleObject>
      </mc:Choice>
      <mc:Fallback>
        <oleObject progId="Equation.DSMT4" shapeId="5167" r:id="rId55"/>
      </mc:Fallback>
    </mc:AlternateContent>
    <mc:AlternateContent xmlns:mc="http://schemas.openxmlformats.org/markup-compatibility/2006">
      <mc:Choice Requires="x14">
        <oleObject progId="Equation.DSMT4" shapeId="5168" r:id="rId56">
          <objectPr defaultSize="0" r:id="rId47">
            <anchor moveWithCells="1">
              <from>
                <xdr:col>38</xdr:col>
                <xdr:colOff>304800</xdr:colOff>
                <xdr:row>4</xdr:row>
                <xdr:rowOff>85725</xdr:rowOff>
              </from>
              <to>
                <xdr:col>38</xdr:col>
                <xdr:colOff>714375</xdr:colOff>
                <xdr:row>5</xdr:row>
                <xdr:rowOff>180975</xdr:rowOff>
              </to>
            </anchor>
          </objectPr>
        </oleObject>
      </mc:Choice>
      <mc:Fallback>
        <oleObject progId="Equation.DSMT4" shapeId="5168" r:id="rId56"/>
      </mc:Fallback>
    </mc:AlternateContent>
    <mc:AlternateContent xmlns:mc="http://schemas.openxmlformats.org/markup-compatibility/2006">
      <mc:Choice Requires="x14">
        <oleObject progId="Equation.DSMT4" shapeId="5169" r:id="rId57">
          <objectPr defaultSize="0" r:id="rId43">
            <anchor moveWithCells="1">
              <from>
                <xdr:col>47</xdr:col>
                <xdr:colOff>295275</xdr:colOff>
                <xdr:row>4</xdr:row>
                <xdr:rowOff>104775</xdr:rowOff>
              </from>
              <to>
                <xdr:col>47</xdr:col>
                <xdr:colOff>714375</xdr:colOff>
                <xdr:row>5</xdr:row>
                <xdr:rowOff>200025</xdr:rowOff>
              </to>
            </anchor>
          </objectPr>
        </oleObject>
      </mc:Choice>
      <mc:Fallback>
        <oleObject progId="Equation.DSMT4" shapeId="5169" r:id="rId57"/>
      </mc:Fallback>
    </mc:AlternateContent>
    <mc:AlternateContent xmlns:mc="http://schemas.openxmlformats.org/markup-compatibility/2006">
      <mc:Choice Requires="x14">
        <oleObject progId="Equation.DSMT4" shapeId="5170" r:id="rId58">
          <objectPr defaultSize="0" r:id="rId45">
            <anchor moveWithCells="1">
              <from>
                <xdr:col>48</xdr:col>
                <xdr:colOff>295275</xdr:colOff>
                <xdr:row>4</xdr:row>
                <xdr:rowOff>104775</xdr:rowOff>
              </from>
              <to>
                <xdr:col>48</xdr:col>
                <xdr:colOff>714375</xdr:colOff>
                <xdr:row>5</xdr:row>
                <xdr:rowOff>200025</xdr:rowOff>
              </to>
            </anchor>
          </objectPr>
        </oleObject>
      </mc:Choice>
      <mc:Fallback>
        <oleObject progId="Equation.DSMT4" shapeId="5170" r:id="rId58"/>
      </mc:Fallback>
    </mc:AlternateContent>
    <mc:AlternateContent xmlns:mc="http://schemas.openxmlformats.org/markup-compatibility/2006">
      <mc:Choice Requires="x14">
        <oleObject progId="Equation.DSMT4" shapeId="5171" r:id="rId59">
          <objectPr defaultSize="0" r:id="rId47">
            <anchor moveWithCells="1">
              <from>
                <xdr:col>49</xdr:col>
                <xdr:colOff>304800</xdr:colOff>
                <xdr:row>4</xdr:row>
                <xdr:rowOff>85725</xdr:rowOff>
              </from>
              <to>
                <xdr:col>49</xdr:col>
                <xdr:colOff>714375</xdr:colOff>
                <xdr:row>5</xdr:row>
                <xdr:rowOff>180975</xdr:rowOff>
              </to>
            </anchor>
          </objectPr>
        </oleObject>
      </mc:Choice>
      <mc:Fallback>
        <oleObject progId="Equation.DSMT4" shapeId="5171" r:id="rId59"/>
      </mc:Fallback>
    </mc:AlternateContent>
    <mc:AlternateContent xmlns:mc="http://schemas.openxmlformats.org/markup-compatibility/2006">
      <mc:Choice Requires="x14">
        <oleObject progId="Equation.DSMT4" shapeId="5172" r:id="rId60">
          <objectPr defaultSize="0" r:id="rId43">
            <anchor moveWithCells="1">
              <from>
                <xdr:col>58</xdr:col>
                <xdr:colOff>295275</xdr:colOff>
                <xdr:row>4</xdr:row>
                <xdr:rowOff>104775</xdr:rowOff>
              </from>
              <to>
                <xdr:col>58</xdr:col>
                <xdr:colOff>714375</xdr:colOff>
                <xdr:row>5</xdr:row>
                <xdr:rowOff>200025</xdr:rowOff>
              </to>
            </anchor>
          </objectPr>
        </oleObject>
      </mc:Choice>
      <mc:Fallback>
        <oleObject progId="Equation.DSMT4" shapeId="5172" r:id="rId60"/>
      </mc:Fallback>
    </mc:AlternateContent>
    <mc:AlternateContent xmlns:mc="http://schemas.openxmlformats.org/markup-compatibility/2006">
      <mc:Choice Requires="x14">
        <oleObject progId="Equation.DSMT4" shapeId="5173" r:id="rId61">
          <objectPr defaultSize="0" r:id="rId45">
            <anchor moveWithCells="1">
              <from>
                <xdr:col>59</xdr:col>
                <xdr:colOff>295275</xdr:colOff>
                <xdr:row>4</xdr:row>
                <xdr:rowOff>104775</xdr:rowOff>
              </from>
              <to>
                <xdr:col>59</xdr:col>
                <xdr:colOff>714375</xdr:colOff>
                <xdr:row>5</xdr:row>
                <xdr:rowOff>200025</xdr:rowOff>
              </to>
            </anchor>
          </objectPr>
        </oleObject>
      </mc:Choice>
      <mc:Fallback>
        <oleObject progId="Equation.DSMT4" shapeId="5173" r:id="rId61"/>
      </mc:Fallback>
    </mc:AlternateContent>
    <mc:AlternateContent xmlns:mc="http://schemas.openxmlformats.org/markup-compatibility/2006">
      <mc:Choice Requires="x14">
        <oleObject progId="Equation.DSMT4" shapeId="5174" r:id="rId62">
          <objectPr defaultSize="0" r:id="rId47">
            <anchor moveWithCells="1">
              <from>
                <xdr:col>60</xdr:col>
                <xdr:colOff>304800</xdr:colOff>
                <xdr:row>4</xdr:row>
                <xdr:rowOff>85725</xdr:rowOff>
              </from>
              <to>
                <xdr:col>60</xdr:col>
                <xdr:colOff>714375</xdr:colOff>
                <xdr:row>5</xdr:row>
                <xdr:rowOff>180975</xdr:rowOff>
              </to>
            </anchor>
          </objectPr>
        </oleObject>
      </mc:Choice>
      <mc:Fallback>
        <oleObject progId="Equation.DSMT4" shapeId="5174" r:id="rId62"/>
      </mc:Fallback>
    </mc:AlternateContent>
    <mc:AlternateContent xmlns:mc="http://schemas.openxmlformats.org/markup-compatibility/2006">
      <mc:Choice Requires="x14">
        <oleObject progId="Equation.DSMT4" shapeId="5175" r:id="rId63">
          <objectPr defaultSize="0" r:id="rId43">
            <anchor moveWithCells="1">
              <from>
                <xdr:col>3</xdr:col>
                <xdr:colOff>295275</xdr:colOff>
                <xdr:row>36</xdr:row>
                <xdr:rowOff>104775</xdr:rowOff>
              </from>
              <to>
                <xdr:col>3</xdr:col>
                <xdr:colOff>714375</xdr:colOff>
                <xdr:row>37</xdr:row>
                <xdr:rowOff>200025</xdr:rowOff>
              </to>
            </anchor>
          </objectPr>
        </oleObject>
      </mc:Choice>
      <mc:Fallback>
        <oleObject progId="Equation.DSMT4" shapeId="5175" r:id="rId63"/>
      </mc:Fallback>
    </mc:AlternateContent>
    <mc:AlternateContent xmlns:mc="http://schemas.openxmlformats.org/markup-compatibility/2006">
      <mc:Choice Requires="x14">
        <oleObject progId="Equation.DSMT4" shapeId="5176" r:id="rId64">
          <objectPr defaultSize="0" r:id="rId45">
            <anchor moveWithCells="1">
              <from>
                <xdr:col>4</xdr:col>
                <xdr:colOff>295275</xdr:colOff>
                <xdr:row>36</xdr:row>
                <xdr:rowOff>104775</xdr:rowOff>
              </from>
              <to>
                <xdr:col>4</xdr:col>
                <xdr:colOff>714375</xdr:colOff>
                <xdr:row>37</xdr:row>
                <xdr:rowOff>200025</xdr:rowOff>
              </to>
            </anchor>
          </objectPr>
        </oleObject>
      </mc:Choice>
      <mc:Fallback>
        <oleObject progId="Equation.DSMT4" shapeId="5176" r:id="rId64"/>
      </mc:Fallback>
    </mc:AlternateContent>
    <mc:AlternateContent xmlns:mc="http://schemas.openxmlformats.org/markup-compatibility/2006">
      <mc:Choice Requires="x14">
        <oleObject progId="Equation.DSMT4" shapeId="5177" r:id="rId65">
          <objectPr defaultSize="0" r:id="rId47">
            <anchor moveWithCells="1">
              <from>
                <xdr:col>5</xdr:col>
                <xdr:colOff>304800</xdr:colOff>
                <xdr:row>36</xdr:row>
                <xdr:rowOff>85725</xdr:rowOff>
              </from>
              <to>
                <xdr:col>5</xdr:col>
                <xdr:colOff>714375</xdr:colOff>
                <xdr:row>37</xdr:row>
                <xdr:rowOff>180975</xdr:rowOff>
              </to>
            </anchor>
          </objectPr>
        </oleObject>
      </mc:Choice>
      <mc:Fallback>
        <oleObject progId="Equation.DSMT4" shapeId="5177" r:id="rId65"/>
      </mc:Fallback>
    </mc:AlternateContent>
    <mc:AlternateContent xmlns:mc="http://schemas.openxmlformats.org/markup-compatibility/2006">
      <mc:Choice Requires="x14">
        <oleObject progId="Equation.DSMT4" shapeId="5178" r:id="rId66">
          <objectPr defaultSize="0" r:id="rId43">
            <anchor moveWithCells="1">
              <from>
                <xdr:col>14</xdr:col>
                <xdr:colOff>295275</xdr:colOff>
                <xdr:row>36</xdr:row>
                <xdr:rowOff>104775</xdr:rowOff>
              </from>
              <to>
                <xdr:col>14</xdr:col>
                <xdr:colOff>714375</xdr:colOff>
                <xdr:row>37</xdr:row>
                <xdr:rowOff>200025</xdr:rowOff>
              </to>
            </anchor>
          </objectPr>
        </oleObject>
      </mc:Choice>
      <mc:Fallback>
        <oleObject progId="Equation.DSMT4" shapeId="5178" r:id="rId66"/>
      </mc:Fallback>
    </mc:AlternateContent>
    <mc:AlternateContent xmlns:mc="http://schemas.openxmlformats.org/markup-compatibility/2006">
      <mc:Choice Requires="x14">
        <oleObject progId="Equation.DSMT4" shapeId="5179" r:id="rId67">
          <objectPr defaultSize="0" r:id="rId45">
            <anchor moveWithCells="1">
              <from>
                <xdr:col>15</xdr:col>
                <xdr:colOff>295275</xdr:colOff>
                <xdr:row>36</xdr:row>
                <xdr:rowOff>104775</xdr:rowOff>
              </from>
              <to>
                <xdr:col>15</xdr:col>
                <xdr:colOff>714375</xdr:colOff>
                <xdr:row>37</xdr:row>
                <xdr:rowOff>200025</xdr:rowOff>
              </to>
            </anchor>
          </objectPr>
        </oleObject>
      </mc:Choice>
      <mc:Fallback>
        <oleObject progId="Equation.DSMT4" shapeId="5179" r:id="rId67"/>
      </mc:Fallback>
    </mc:AlternateContent>
    <mc:AlternateContent xmlns:mc="http://schemas.openxmlformats.org/markup-compatibility/2006">
      <mc:Choice Requires="x14">
        <oleObject progId="Equation.DSMT4" shapeId="5180" r:id="rId68">
          <objectPr defaultSize="0" r:id="rId47">
            <anchor moveWithCells="1">
              <from>
                <xdr:col>16</xdr:col>
                <xdr:colOff>304800</xdr:colOff>
                <xdr:row>36</xdr:row>
                <xdr:rowOff>85725</xdr:rowOff>
              </from>
              <to>
                <xdr:col>16</xdr:col>
                <xdr:colOff>714375</xdr:colOff>
                <xdr:row>37</xdr:row>
                <xdr:rowOff>180975</xdr:rowOff>
              </to>
            </anchor>
          </objectPr>
        </oleObject>
      </mc:Choice>
      <mc:Fallback>
        <oleObject progId="Equation.DSMT4" shapeId="5180" r:id="rId68"/>
      </mc:Fallback>
    </mc:AlternateContent>
    <mc:AlternateContent xmlns:mc="http://schemas.openxmlformats.org/markup-compatibility/2006">
      <mc:Choice Requires="x14">
        <oleObject progId="Equation.DSMT4" shapeId="5181" r:id="rId69">
          <objectPr defaultSize="0" r:id="rId43">
            <anchor moveWithCells="1">
              <from>
                <xdr:col>25</xdr:col>
                <xdr:colOff>295275</xdr:colOff>
                <xdr:row>36</xdr:row>
                <xdr:rowOff>104775</xdr:rowOff>
              </from>
              <to>
                <xdr:col>25</xdr:col>
                <xdr:colOff>714375</xdr:colOff>
                <xdr:row>37</xdr:row>
                <xdr:rowOff>200025</xdr:rowOff>
              </to>
            </anchor>
          </objectPr>
        </oleObject>
      </mc:Choice>
      <mc:Fallback>
        <oleObject progId="Equation.DSMT4" shapeId="5181" r:id="rId69"/>
      </mc:Fallback>
    </mc:AlternateContent>
    <mc:AlternateContent xmlns:mc="http://schemas.openxmlformats.org/markup-compatibility/2006">
      <mc:Choice Requires="x14">
        <oleObject progId="Equation.DSMT4" shapeId="5182" r:id="rId70">
          <objectPr defaultSize="0" r:id="rId45">
            <anchor moveWithCells="1">
              <from>
                <xdr:col>26</xdr:col>
                <xdr:colOff>295275</xdr:colOff>
                <xdr:row>36</xdr:row>
                <xdr:rowOff>104775</xdr:rowOff>
              </from>
              <to>
                <xdr:col>26</xdr:col>
                <xdr:colOff>714375</xdr:colOff>
                <xdr:row>37</xdr:row>
                <xdr:rowOff>200025</xdr:rowOff>
              </to>
            </anchor>
          </objectPr>
        </oleObject>
      </mc:Choice>
      <mc:Fallback>
        <oleObject progId="Equation.DSMT4" shapeId="5182" r:id="rId70"/>
      </mc:Fallback>
    </mc:AlternateContent>
    <mc:AlternateContent xmlns:mc="http://schemas.openxmlformats.org/markup-compatibility/2006">
      <mc:Choice Requires="x14">
        <oleObject progId="Equation.DSMT4" shapeId="5183" r:id="rId71">
          <objectPr defaultSize="0" r:id="rId47">
            <anchor moveWithCells="1">
              <from>
                <xdr:col>27</xdr:col>
                <xdr:colOff>304800</xdr:colOff>
                <xdr:row>36</xdr:row>
                <xdr:rowOff>85725</xdr:rowOff>
              </from>
              <to>
                <xdr:col>27</xdr:col>
                <xdr:colOff>714375</xdr:colOff>
                <xdr:row>37</xdr:row>
                <xdr:rowOff>180975</xdr:rowOff>
              </to>
            </anchor>
          </objectPr>
        </oleObject>
      </mc:Choice>
      <mc:Fallback>
        <oleObject progId="Equation.DSMT4" shapeId="5183" r:id="rId71"/>
      </mc:Fallback>
    </mc:AlternateContent>
    <mc:AlternateContent xmlns:mc="http://schemas.openxmlformats.org/markup-compatibility/2006">
      <mc:Choice Requires="x14">
        <oleObject progId="Equation.DSMT4" shapeId="5184" r:id="rId72">
          <objectPr defaultSize="0" r:id="rId43">
            <anchor moveWithCells="1">
              <from>
                <xdr:col>36</xdr:col>
                <xdr:colOff>295275</xdr:colOff>
                <xdr:row>36</xdr:row>
                <xdr:rowOff>104775</xdr:rowOff>
              </from>
              <to>
                <xdr:col>36</xdr:col>
                <xdr:colOff>714375</xdr:colOff>
                <xdr:row>37</xdr:row>
                <xdr:rowOff>200025</xdr:rowOff>
              </to>
            </anchor>
          </objectPr>
        </oleObject>
      </mc:Choice>
      <mc:Fallback>
        <oleObject progId="Equation.DSMT4" shapeId="5184" r:id="rId72"/>
      </mc:Fallback>
    </mc:AlternateContent>
    <mc:AlternateContent xmlns:mc="http://schemas.openxmlformats.org/markup-compatibility/2006">
      <mc:Choice Requires="x14">
        <oleObject progId="Equation.DSMT4" shapeId="5185" r:id="rId73">
          <objectPr defaultSize="0" r:id="rId45">
            <anchor moveWithCells="1">
              <from>
                <xdr:col>37</xdr:col>
                <xdr:colOff>295275</xdr:colOff>
                <xdr:row>36</xdr:row>
                <xdr:rowOff>104775</xdr:rowOff>
              </from>
              <to>
                <xdr:col>37</xdr:col>
                <xdr:colOff>714375</xdr:colOff>
                <xdr:row>37</xdr:row>
                <xdr:rowOff>200025</xdr:rowOff>
              </to>
            </anchor>
          </objectPr>
        </oleObject>
      </mc:Choice>
      <mc:Fallback>
        <oleObject progId="Equation.DSMT4" shapeId="5185" r:id="rId73"/>
      </mc:Fallback>
    </mc:AlternateContent>
    <mc:AlternateContent xmlns:mc="http://schemas.openxmlformats.org/markup-compatibility/2006">
      <mc:Choice Requires="x14">
        <oleObject progId="Equation.DSMT4" shapeId="5186" r:id="rId74">
          <objectPr defaultSize="0" r:id="rId47">
            <anchor moveWithCells="1">
              <from>
                <xdr:col>38</xdr:col>
                <xdr:colOff>304800</xdr:colOff>
                <xdr:row>36</xdr:row>
                <xdr:rowOff>85725</xdr:rowOff>
              </from>
              <to>
                <xdr:col>38</xdr:col>
                <xdr:colOff>714375</xdr:colOff>
                <xdr:row>37</xdr:row>
                <xdr:rowOff>180975</xdr:rowOff>
              </to>
            </anchor>
          </objectPr>
        </oleObject>
      </mc:Choice>
      <mc:Fallback>
        <oleObject progId="Equation.DSMT4" shapeId="5186" r:id="rId74"/>
      </mc:Fallback>
    </mc:AlternateContent>
    <mc:AlternateContent xmlns:mc="http://schemas.openxmlformats.org/markup-compatibility/2006">
      <mc:Choice Requires="x14">
        <oleObject progId="Equation.DSMT4" shapeId="5187" r:id="rId75">
          <objectPr defaultSize="0" r:id="rId43">
            <anchor moveWithCells="1">
              <from>
                <xdr:col>47</xdr:col>
                <xdr:colOff>295275</xdr:colOff>
                <xdr:row>36</xdr:row>
                <xdr:rowOff>104775</xdr:rowOff>
              </from>
              <to>
                <xdr:col>47</xdr:col>
                <xdr:colOff>714375</xdr:colOff>
                <xdr:row>37</xdr:row>
                <xdr:rowOff>200025</xdr:rowOff>
              </to>
            </anchor>
          </objectPr>
        </oleObject>
      </mc:Choice>
      <mc:Fallback>
        <oleObject progId="Equation.DSMT4" shapeId="5187" r:id="rId75"/>
      </mc:Fallback>
    </mc:AlternateContent>
    <mc:AlternateContent xmlns:mc="http://schemas.openxmlformats.org/markup-compatibility/2006">
      <mc:Choice Requires="x14">
        <oleObject progId="Equation.DSMT4" shapeId="5188" r:id="rId76">
          <objectPr defaultSize="0" r:id="rId45">
            <anchor moveWithCells="1">
              <from>
                <xdr:col>48</xdr:col>
                <xdr:colOff>295275</xdr:colOff>
                <xdr:row>36</xdr:row>
                <xdr:rowOff>104775</xdr:rowOff>
              </from>
              <to>
                <xdr:col>48</xdr:col>
                <xdr:colOff>714375</xdr:colOff>
                <xdr:row>37</xdr:row>
                <xdr:rowOff>200025</xdr:rowOff>
              </to>
            </anchor>
          </objectPr>
        </oleObject>
      </mc:Choice>
      <mc:Fallback>
        <oleObject progId="Equation.DSMT4" shapeId="5188" r:id="rId76"/>
      </mc:Fallback>
    </mc:AlternateContent>
    <mc:AlternateContent xmlns:mc="http://schemas.openxmlformats.org/markup-compatibility/2006">
      <mc:Choice Requires="x14">
        <oleObject progId="Equation.DSMT4" shapeId="5189" r:id="rId77">
          <objectPr defaultSize="0" r:id="rId47">
            <anchor moveWithCells="1">
              <from>
                <xdr:col>49</xdr:col>
                <xdr:colOff>304800</xdr:colOff>
                <xdr:row>36</xdr:row>
                <xdr:rowOff>85725</xdr:rowOff>
              </from>
              <to>
                <xdr:col>49</xdr:col>
                <xdr:colOff>714375</xdr:colOff>
                <xdr:row>37</xdr:row>
                <xdr:rowOff>180975</xdr:rowOff>
              </to>
            </anchor>
          </objectPr>
        </oleObject>
      </mc:Choice>
      <mc:Fallback>
        <oleObject progId="Equation.DSMT4" shapeId="5189" r:id="rId77"/>
      </mc:Fallback>
    </mc:AlternateContent>
    <mc:AlternateContent xmlns:mc="http://schemas.openxmlformats.org/markup-compatibility/2006">
      <mc:Choice Requires="x14">
        <oleObject progId="Equation.DSMT4" shapeId="5190" r:id="rId78">
          <objectPr defaultSize="0" r:id="rId43">
            <anchor moveWithCells="1">
              <from>
                <xdr:col>58</xdr:col>
                <xdr:colOff>295275</xdr:colOff>
                <xdr:row>36</xdr:row>
                <xdr:rowOff>104775</xdr:rowOff>
              </from>
              <to>
                <xdr:col>58</xdr:col>
                <xdr:colOff>714375</xdr:colOff>
                <xdr:row>37</xdr:row>
                <xdr:rowOff>200025</xdr:rowOff>
              </to>
            </anchor>
          </objectPr>
        </oleObject>
      </mc:Choice>
      <mc:Fallback>
        <oleObject progId="Equation.DSMT4" shapeId="5190" r:id="rId78"/>
      </mc:Fallback>
    </mc:AlternateContent>
    <mc:AlternateContent xmlns:mc="http://schemas.openxmlformats.org/markup-compatibility/2006">
      <mc:Choice Requires="x14">
        <oleObject progId="Equation.DSMT4" shapeId="5191" r:id="rId79">
          <objectPr defaultSize="0" r:id="rId45">
            <anchor moveWithCells="1">
              <from>
                <xdr:col>59</xdr:col>
                <xdr:colOff>295275</xdr:colOff>
                <xdr:row>36</xdr:row>
                <xdr:rowOff>104775</xdr:rowOff>
              </from>
              <to>
                <xdr:col>59</xdr:col>
                <xdr:colOff>714375</xdr:colOff>
                <xdr:row>37</xdr:row>
                <xdr:rowOff>200025</xdr:rowOff>
              </to>
            </anchor>
          </objectPr>
        </oleObject>
      </mc:Choice>
      <mc:Fallback>
        <oleObject progId="Equation.DSMT4" shapeId="5191" r:id="rId79"/>
      </mc:Fallback>
    </mc:AlternateContent>
    <mc:AlternateContent xmlns:mc="http://schemas.openxmlformats.org/markup-compatibility/2006">
      <mc:Choice Requires="x14">
        <oleObject progId="Equation.DSMT4" shapeId="5192" r:id="rId80">
          <objectPr defaultSize="0" r:id="rId47">
            <anchor moveWithCells="1">
              <from>
                <xdr:col>60</xdr:col>
                <xdr:colOff>304800</xdr:colOff>
                <xdr:row>36</xdr:row>
                <xdr:rowOff>85725</xdr:rowOff>
              </from>
              <to>
                <xdr:col>60</xdr:col>
                <xdr:colOff>714375</xdr:colOff>
                <xdr:row>37</xdr:row>
                <xdr:rowOff>180975</xdr:rowOff>
              </to>
            </anchor>
          </objectPr>
        </oleObject>
      </mc:Choice>
      <mc:Fallback>
        <oleObject progId="Equation.DSMT4" shapeId="5192" r:id="rId80"/>
      </mc:Fallback>
    </mc:AlternateContent>
    <mc:AlternateContent xmlns:mc="http://schemas.openxmlformats.org/markup-compatibility/2006">
      <mc:Choice Requires="x14">
        <oleObject progId="Equation.DSMT4" shapeId="5205" r:id="rId81">
          <objectPr defaultSize="0" r:id="rId82">
            <anchor moveWithCells="1">
              <from>
                <xdr:col>6</xdr:col>
                <xdr:colOff>428625</xdr:colOff>
                <xdr:row>4</xdr:row>
                <xdr:rowOff>114300</xdr:rowOff>
              </from>
              <to>
                <xdr:col>6</xdr:col>
                <xdr:colOff>619125</xdr:colOff>
                <xdr:row>5</xdr:row>
                <xdr:rowOff>123825</xdr:rowOff>
              </to>
            </anchor>
          </objectPr>
        </oleObject>
      </mc:Choice>
      <mc:Fallback>
        <oleObject progId="Equation.DSMT4" shapeId="5205" r:id="rId81"/>
      </mc:Fallback>
    </mc:AlternateContent>
    <mc:AlternateContent xmlns:mc="http://schemas.openxmlformats.org/markup-compatibility/2006">
      <mc:Choice Requires="x14">
        <oleObject progId="Equation.DSMT4" shapeId="5217" r:id="rId83">
          <objectPr defaultSize="0" r:id="rId84">
            <anchor moveWithCells="1">
              <from>
                <xdr:col>7</xdr:col>
                <xdr:colOff>123825</xdr:colOff>
                <xdr:row>4</xdr:row>
                <xdr:rowOff>114300</xdr:rowOff>
              </from>
              <to>
                <xdr:col>7</xdr:col>
                <xdr:colOff>942975</xdr:colOff>
                <xdr:row>5</xdr:row>
                <xdr:rowOff>180975</xdr:rowOff>
              </to>
            </anchor>
          </objectPr>
        </oleObject>
      </mc:Choice>
      <mc:Fallback>
        <oleObject progId="Equation.DSMT4" shapeId="5217" r:id="rId83"/>
      </mc:Fallback>
    </mc:AlternateContent>
    <mc:AlternateContent xmlns:mc="http://schemas.openxmlformats.org/markup-compatibility/2006">
      <mc:Choice Requires="x14">
        <oleObject progId="Equation.DSMT4" shapeId="5218" r:id="rId85">
          <objectPr defaultSize="0" r:id="rId86">
            <anchor moveWithCells="1">
              <from>
                <xdr:col>6</xdr:col>
                <xdr:colOff>295275</xdr:colOff>
                <xdr:row>1</xdr:row>
                <xdr:rowOff>104775</xdr:rowOff>
              </from>
              <to>
                <xdr:col>6</xdr:col>
                <xdr:colOff>771525</xdr:colOff>
                <xdr:row>2</xdr:row>
                <xdr:rowOff>200025</xdr:rowOff>
              </to>
            </anchor>
          </objectPr>
        </oleObject>
      </mc:Choice>
      <mc:Fallback>
        <oleObject progId="Equation.DSMT4" shapeId="5218" r:id="rId85"/>
      </mc:Fallback>
    </mc:AlternateContent>
    <mc:AlternateContent xmlns:mc="http://schemas.openxmlformats.org/markup-compatibility/2006">
      <mc:Choice Requires="x14">
        <oleObject progId="Equation.DSMT4" shapeId="5219" r:id="rId87">
          <objectPr defaultSize="0" r:id="rId82">
            <anchor moveWithCells="1">
              <from>
                <xdr:col>17</xdr:col>
                <xdr:colOff>428625</xdr:colOff>
                <xdr:row>4</xdr:row>
                <xdr:rowOff>114300</xdr:rowOff>
              </from>
              <to>
                <xdr:col>17</xdr:col>
                <xdr:colOff>619125</xdr:colOff>
                <xdr:row>5</xdr:row>
                <xdr:rowOff>123825</xdr:rowOff>
              </to>
            </anchor>
          </objectPr>
        </oleObject>
      </mc:Choice>
      <mc:Fallback>
        <oleObject progId="Equation.DSMT4" shapeId="5219" r:id="rId87"/>
      </mc:Fallback>
    </mc:AlternateContent>
    <mc:AlternateContent xmlns:mc="http://schemas.openxmlformats.org/markup-compatibility/2006">
      <mc:Choice Requires="x14">
        <oleObject progId="Equation.DSMT4" shapeId="5220" r:id="rId88">
          <objectPr defaultSize="0" r:id="rId84">
            <anchor moveWithCells="1">
              <from>
                <xdr:col>18</xdr:col>
                <xdr:colOff>123825</xdr:colOff>
                <xdr:row>4</xdr:row>
                <xdr:rowOff>114300</xdr:rowOff>
              </from>
              <to>
                <xdr:col>18</xdr:col>
                <xdr:colOff>942975</xdr:colOff>
                <xdr:row>5</xdr:row>
                <xdr:rowOff>180975</xdr:rowOff>
              </to>
            </anchor>
          </objectPr>
        </oleObject>
      </mc:Choice>
      <mc:Fallback>
        <oleObject progId="Equation.DSMT4" shapeId="5220" r:id="rId88"/>
      </mc:Fallback>
    </mc:AlternateContent>
    <mc:AlternateContent xmlns:mc="http://schemas.openxmlformats.org/markup-compatibility/2006">
      <mc:Choice Requires="x14">
        <oleObject progId="Equation.DSMT4" shapeId="5221" r:id="rId89">
          <objectPr defaultSize="0" r:id="rId86">
            <anchor moveWithCells="1">
              <from>
                <xdr:col>17</xdr:col>
                <xdr:colOff>295275</xdr:colOff>
                <xdr:row>1</xdr:row>
                <xdr:rowOff>104775</xdr:rowOff>
              </from>
              <to>
                <xdr:col>17</xdr:col>
                <xdr:colOff>771525</xdr:colOff>
                <xdr:row>2</xdr:row>
                <xdr:rowOff>200025</xdr:rowOff>
              </to>
            </anchor>
          </objectPr>
        </oleObject>
      </mc:Choice>
      <mc:Fallback>
        <oleObject progId="Equation.DSMT4" shapeId="5221" r:id="rId89"/>
      </mc:Fallback>
    </mc:AlternateContent>
    <mc:AlternateContent xmlns:mc="http://schemas.openxmlformats.org/markup-compatibility/2006">
      <mc:Choice Requires="x14">
        <oleObject progId="Equation.DSMT4" shapeId="5222" r:id="rId90">
          <objectPr defaultSize="0" r:id="rId82">
            <anchor moveWithCells="1">
              <from>
                <xdr:col>28</xdr:col>
                <xdr:colOff>428625</xdr:colOff>
                <xdr:row>4</xdr:row>
                <xdr:rowOff>114300</xdr:rowOff>
              </from>
              <to>
                <xdr:col>28</xdr:col>
                <xdr:colOff>619125</xdr:colOff>
                <xdr:row>5</xdr:row>
                <xdr:rowOff>123825</xdr:rowOff>
              </to>
            </anchor>
          </objectPr>
        </oleObject>
      </mc:Choice>
      <mc:Fallback>
        <oleObject progId="Equation.DSMT4" shapeId="5222" r:id="rId90"/>
      </mc:Fallback>
    </mc:AlternateContent>
    <mc:AlternateContent xmlns:mc="http://schemas.openxmlformats.org/markup-compatibility/2006">
      <mc:Choice Requires="x14">
        <oleObject progId="Equation.DSMT4" shapeId="5223" r:id="rId91">
          <objectPr defaultSize="0" r:id="rId84">
            <anchor moveWithCells="1">
              <from>
                <xdr:col>29</xdr:col>
                <xdr:colOff>123825</xdr:colOff>
                <xdr:row>4</xdr:row>
                <xdr:rowOff>114300</xdr:rowOff>
              </from>
              <to>
                <xdr:col>29</xdr:col>
                <xdr:colOff>942975</xdr:colOff>
                <xdr:row>5</xdr:row>
                <xdr:rowOff>180975</xdr:rowOff>
              </to>
            </anchor>
          </objectPr>
        </oleObject>
      </mc:Choice>
      <mc:Fallback>
        <oleObject progId="Equation.DSMT4" shapeId="5223" r:id="rId91"/>
      </mc:Fallback>
    </mc:AlternateContent>
    <mc:AlternateContent xmlns:mc="http://schemas.openxmlformats.org/markup-compatibility/2006">
      <mc:Choice Requires="x14">
        <oleObject progId="Equation.DSMT4" shapeId="5224" r:id="rId92">
          <objectPr defaultSize="0" r:id="rId86">
            <anchor moveWithCells="1">
              <from>
                <xdr:col>28</xdr:col>
                <xdr:colOff>295275</xdr:colOff>
                <xdr:row>1</xdr:row>
                <xdr:rowOff>104775</xdr:rowOff>
              </from>
              <to>
                <xdr:col>28</xdr:col>
                <xdr:colOff>771525</xdr:colOff>
                <xdr:row>2</xdr:row>
                <xdr:rowOff>200025</xdr:rowOff>
              </to>
            </anchor>
          </objectPr>
        </oleObject>
      </mc:Choice>
      <mc:Fallback>
        <oleObject progId="Equation.DSMT4" shapeId="5224" r:id="rId92"/>
      </mc:Fallback>
    </mc:AlternateContent>
    <mc:AlternateContent xmlns:mc="http://schemas.openxmlformats.org/markup-compatibility/2006">
      <mc:Choice Requires="x14">
        <oleObject progId="Equation.DSMT4" shapeId="5230" r:id="rId93">
          <objectPr defaultSize="0" r:id="rId82">
            <anchor moveWithCells="1">
              <from>
                <xdr:col>39</xdr:col>
                <xdr:colOff>428625</xdr:colOff>
                <xdr:row>4</xdr:row>
                <xdr:rowOff>114300</xdr:rowOff>
              </from>
              <to>
                <xdr:col>39</xdr:col>
                <xdr:colOff>619125</xdr:colOff>
                <xdr:row>5</xdr:row>
                <xdr:rowOff>123825</xdr:rowOff>
              </to>
            </anchor>
          </objectPr>
        </oleObject>
      </mc:Choice>
      <mc:Fallback>
        <oleObject progId="Equation.DSMT4" shapeId="5230" r:id="rId93"/>
      </mc:Fallback>
    </mc:AlternateContent>
    <mc:AlternateContent xmlns:mc="http://schemas.openxmlformats.org/markup-compatibility/2006">
      <mc:Choice Requires="x14">
        <oleObject progId="Equation.DSMT4" shapeId="5231" r:id="rId94">
          <objectPr defaultSize="0" r:id="rId84">
            <anchor moveWithCells="1">
              <from>
                <xdr:col>40</xdr:col>
                <xdr:colOff>123825</xdr:colOff>
                <xdr:row>4</xdr:row>
                <xdr:rowOff>114300</xdr:rowOff>
              </from>
              <to>
                <xdr:col>40</xdr:col>
                <xdr:colOff>942975</xdr:colOff>
                <xdr:row>5</xdr:row>
                <xdr:rowOff>180975</xdr:rowOff>
              </to>
            </anchor>
          </objectPr>
        </oleObject>
      </mc:Choice>
      <mc:Fallback>
        <oleObject progId="Equation.DSMT4" shapeId="5231" r:id="rId94"/>
      </mc:Fallback>
    </mc:AlternateContent>
    <mc:AlternateContent xmlns:mc="http://schemas.openxmlformats.org/markup-compatibility/2006">
      <mc:Choice Requires="x14">
        <oleObject progId="Equation.DSMT4" shapeId="5232" r:id="rId95">
          <objectPr defaultSize="0" r:id="rId86">
            <anchor moveWithCells="1">
              <from>
                <xdr:col>39</xdr:col>
                <xdr:colOff>295275</xdr:colOff>
                <xdr:row>1</xdr:row>
                <xdr:rowOff>104775</xdr:rowOff>
              </from>
              <to>
                <xdr:col>39</xdr:col>
                <xdr:colOff>771525</xdr:colOff>
                <xdr:row>2</xdr:row>
                <xdr:rowOff>200025</xdr:rowOff>
              </to>
            </anchor>
          </objectPr>
        </oleObject>
      </mc:Choice>
      <mc:Fallback>
        <oleObject progId="Equation.DSMT4" shapeId="5232" r:id="rId95"/>
      </mc:Fallback>
    </mc:AlternateContent>
    <mc:AlternateContent xmlns:mc="http://schemas.openxmlformats.org/markup-compatibility/2006">
      <mc:Choice Requires="x14">
        <oleObject progId="Equation.DSMT4" shapeId="5233" r:id="rId96">
          <objectPr defaultSize="0" r:id="rId82">
            <anchor moveWithCells="1">
              <from>
                <xdr:col>50</xdr:col>
                <xdr:colOff>428625</xdr:colOff>
                <xdr:row>4</xdr:row>
                <xdr:rowOff>114300</xdr:rowOff>
              </from>
              <to>
                <xdr:col>50</xdr:col>
                <xdr:colOff>619125</xdr:colOff>
                <xdr:row>5</xdr:row>
                <xdr:rowOff>123825</xdr:rowOff>
              </to>
            </anchor>
          </objectPr>
        </oleObject>
      </mc:Choice>
      <mc:Fallback>
        <oleObject progId="Equation.DSMT4" shapeId="5233" r:id="rId96"/>
      </mc:Fallback>
    </mc:AlternateContent>
    <mc:AlternateContent xmlns:mc="http://schemas.openxmlformats.org/markup-compatibility/2006">
      <mc:Choice Requires="x14">
        <oleObject progId="Equation.DSMT4" shapeId="5234" r:id="rId97">
          <objectPr defaultSize="0" r:id="rId84">
            <anchor moveWithCells="1">
              <from>
                <xdr:col>51</xdr:col>
                <xdr:colOff>123825</xdr:colOff>
                <xdr:row>4</xdr:row>
                <xdr:rowOff>114300</xdr:rowOff>
              </from>
              <to>
                <xdr:col>51</xdr:col>
                <xdr:colOff>942975</xdr:colOff>
                <xdr:row>5</xdr:row>
                <xdr:rowOff>180975</xdr:rowOff>
              </to>
            </anchor>
          </objectPr>
        </oleObject>
      </mc:Choice>
      <mc:Fallback>
        <oleObject progId="Equation.DSMT4" shapeId="5234" r:id="rId97"/>
      </mc:Fallback>
    </mc:AlternateContent>
    <mc:AlternateContent xmlns:mc="http://schemas.openxmlformats.org/markup-compatibility/2006">
      <mc:Choice Requires="x14">
        <oleObject progId="Equation.DSMT4" shapeId="5235" r:id="rId98">
          <objectPr defaultSize="0" r:id="rId86">
            <anchor moveWithCells="1">
              <from>
                <xdr:col>50</xdr:col>
                <xdr:colOff>295275</xdr:colOff>
                <xdr:row>1</xdr:row>
                <xdr:rowOff>104775</xdr:rowOff>
              </from>
              <to>
                <xdr:col>50</xdr:col>
                <xdr:colOff>771525</xdr:colOff>
                <xdr:row>2</xdr:row>
                <xdr:rowOff>200025</xdr:rowOff>
              </to>
            </anchor>
          </objectPr>
        </oleObject>
      </mc:Choice>
      <mc:Fallback>
        <oleObject progId="Equation.DSMT4" shapeId="5235" r:id="rId98"/>
      </mc:Fallback>
    </mc:AlternateContent>
    <mc:AlternateContent xmlns:mc="http://schemas.openxmlformats.org/markup-compatibility/2006">
      <mc:Choice Requires="x14">
        <oleObject progId="Equation.DSMT4" shapeId="5236" r:id="rId99">
          <objectPr defaultSize="0" r:id="rId82">
            <anchor moveWithCells="1">
              <from>
                <xdr:col>61</xdr:col>
                <xdr:colOff>428625</xdr:colOff>
                <xdr:row>4</xdr:row>
                <xdr:rowOff>114300</xdr:rowOff>
              </from>
              <to>
                <xdr:col>61</xdr:col>
                <xdr:colOff>619125</xdr:colOff>
                <xdr:row>5</xdr:row>
                <xdr:rowOff>123825</xdr:rowOff>
              </to>
            </anchor>
          </objectPr>
        </oleObject>
      </mc:Choice>
      <mc:Fallback>
        <oleObject progId="Equation.DSMT4" shapeId="5236" r:id="rId99"/>
      </mc:Fallback>
    </mc:AlternateContent>
    <mc:AlternateContent xmlns:mc="http://schemas.openxmlformats.org/markup-compatibility/2006">
      <mc:Choice Requires="x14">
        <oleObject progId="Equation.DSMT4" shapeId="5237" r:id="rId100">
          <objectPr defaultSize="0" r:id="rId84">
            <anchor moveWithCells="1">
              <from>
                <xdr:col>62</xdr:col>
                <xdr:colOff>123825</xdr:colOff>
                <xdr:row>4</xdr:row>
                <xdr:rowOff>114300</xdr:rowOff>
              </from>
              <to>
                <xdr:col>62</xdr:col>
                <xdr:colOff>942975</xdr:colOff>
                <xdr:row>5</xdr:row>
                <xdr:rowOff>180975</xdr:rowOff>
              </to>
            </anchor>
          </objectPr>
        </oleObject>
      </mc:Choice>
      <mc:Fallback>
        <oleObject progId="Equation.DSMT4" shapeId="5237" r:id="rId100"/>
      </mc:Fallback>
    </mc:AlternateContent>
    <mc:AlternateContent xmlns:mc="http://schemas.openxmlformats.org/markup-compatibility/2006">
      <mc:Choice Requires="x14">
        <oleObject progId="Equation.DSMT4" shapeId="5238" r:id="rId101">
          <objectPr defaultSize="0" r:id="rId86">
            <anchor moveWithCells="1">
              <from>
                <xdr:col>61</xdr:col>
                <xdr:colOff>295275</xdr:colOff>
                <xdr:row>1</xdr:row>
                <xdr:rowOff>104775</xdr:rowOff>
              </from>
              <to>
                <xdr:col>61</xdr:col>
                <xdr:colOff>771525</xdr:colOff>
                <xdr:row>2</xdr:row>
                <xdr:rowOff>200025</xdr:rowOff>
              </to>
            </anchor>
          </objectPr>
        </oleObject>
      </mc:Choice>
      <mc:Fallback>
        <oleObject progId="Equation.DSMT4" shapeId="5238" r:id="rId101"/>
      </mc:Fallback>
    </mc:AlternateContent>
    <mc:AlternateContent xmlns:mc="http://schemas.openxmlformats.org/markup-compatibility/2006">
      <mc:Choice Requires="x14">
        <oleObject progId="Equation.DSMT4" shapeId="5239" r:id="rId102">
          <objectPr defaultSize="0" r:id="rId82">
            <anchor moveWithCells="1">
              <from>
                <xdr:col>6</xdr:col>
                <xdr:colOff>428625</xdr:colOff>
                <xdr:row>36</xdr:row>
                <xdr:rowOff>114300</xdr:rowOff>
              </from>
              <to>
                <xdr:col>6</xdr:col>
                <xdr:colOff>619125</xdr:colOff>
                <xdr:row>37</xdr:row>
                <xdr:rowOff>123825</xdr:rowOff>
              </to>
            </anchor>
          </objectPr>
        </oleObject>
      </mc:Choice>
      <mc:Fallback>
        <oleObject progId="Equation.DSMT4" shapeId="5239" r:id="rId102"/>
      </mc:Fallback>
    </mc:AlternateContent>
    <mc:AlternateContent xmlns:mc="http://schemas.openxmlformats.org/markup-compatibility/2006">
      <mc:Choice Requires="x14">
        <oleObject progId="Equation.DSMT4" shapeId="5240" r:id="rId103">
          <objectPr defaultSize="0" r:id="rId84">
            <anchor moveWithCells="1">
              <from>
                <xdr:col>7</xdr:col>
                <xdr:colOff>123825</xdr:colOff>
                <xdr:row>36</xdr:row>
                <xdr:rowOff>114300</xdr:rowOff>
              </from>
              <to>
                <xdr:col>7</xdr:col>
                <xdr:colOff>942975</xdr:colOff>
                <xdr:row>37</xdr:row>
                <xdr:rowOff>180975</xdr:rowOff>
              </to>
            </anchor>
          </objectPr>
        </oleObject>
      </mc:Choice>
      <mc:Fallback>
        <oleObject progId="Equation.DSMT4" shapeId="5240" r:id="rId103"/>
      </mc:Fallback>
    </mc:AlternateContent>
    <mc:AlternateContent xmlns:mc="http://schemas.openxmlformats.org/markup-compatibility/2006">
      <mc:Choice Requires="x14">
        <oleObject progId="Equation.DSMT4" shapeId="5241" r:id="rId104">
          <objectPr defaultSize="0" r:id="rId86">
            <anchor moveWithCells="1">
              <from>
                <xdr:col>6</xdr:col>
                <xdr:colOff>295275</xdr:colOff>
                <xdr:row>33</xdr:row>
                <xdr:rowOff>104775</xdr:rowOff>
              </from>
              <to>
                <xdr:col>6</xdr:col>
                <xdr:colOff>771525</xdr:colOff>
                <xdr:row>34</xdr:row>
                <xdr:rowOff>200025</xdr:rowOff>
              </to>
            </anchor>
          </objectPr>
        </oleObject>
      </mc:Choice>
      <mc:Fallback>
        <oleObject progId="Equation.DSMT4" shapeId="5241" r:id="rId104"/>
      </mc:Fallback>
    </mc:AlternateContent>
    <mc:AlternateContent xmlns:mc="http://schemas.openxmlformats.org/markup-compatibility/2006">
      <mc:Choice Requires="x14">
        <oleObject progId="Equation.DSMT4" shapeId="5242" r:id="rId105">
          <objectPr defaultSize="0" r:id="rId82">
            <anchor moveWithCells="1">
              <from>
                <xdr:col>17</xdr:col>
                <xdr:colOff>428625</xdr:colOff>
                <xdr:row>36</xdr:row>
                <xdr:rowOff>114300</xdr:rowOff>
              </from>
              <to>
                <xdr:col>17</xdr:col>
                <xdr:colOff>619125</xdr:colOff>
                <xdr:row>37</xdr:row>
                <xdr:rowOff>123825</xdr:rowOff>
              </to>
            </anchor>
          </objectPr>
        </oleObject>
      </mc:Choice>
      <mc:Fallback>
        <oleObject progId="Equation.DSMT4" shapeId="5242" r:id="rId105"/>
      </mc:Fallback>
    </mc:AlternateContent>
    <mc:AlternateContent xmlns:mc="http://schemas.openxmlformats.org/markup-compatibility/2006">
      <mc:Choice Requires="x14">
        <oleObject progId="Equation.DSMT4" shapeId="5243" r:id="rId106">
          <objectPr defaultSize="0" r:id="rId84">
            <anchor moveWithCells="1">
              <from>
                <xdr:col>18</xdr:col>
                <xdr:colOff>123825</xdr:colOff>
                <xdr:row>36</xdr:row>
                <xdr:rowOff>114300</xdr:rowOff>
              </from>
              <to>
                <xdr:col>18</xdr:col>
                <xdr:colOff>942975</xdr:colOff>
                <xdr:row>37</xdr:row>
                <xdr:rowOff>180975</xdr:rowOff>
              </to>
            </anchor>
          </objectPr>
        </oleObject>
      </mc:Choice>
      <mc:Fallback>
        <oleObject progId="Equation.DSMT4" shapeId="5243" r:id="rId106"/>
      </mc:Fallback>
    </mc:AlternateContent>
    <mc:AlternateContent xmlns:mc="http://schemas.openxmlformats.org/markup-compatibility/2006">
      <mc:Choice Requires="x14">
        <oleObject progId="Equation.DSMT4" shapeId="5244" r:id="rId107">
          <objectPr defaultSize="0" r:id="rId86">
            <anchor moveWithCells="1">
              <from>
                <xdr:col>17</xdr:col>
                <xdr:colOff>295275</xdr:colOff>
                <xdr:row>33</xdr:row>
                <xdr:rowOff>104775</xdr:rowOff>
              </from>
              <to>
                <xdr:col>17</xdr:col>
                <xdr:colOff>771525</xdr:colOff>
                <xdr:row>34</xdr:row>
                <xdr:rowOff>200025</xdr:rowOff>
              </to>
            </anchor>
          </objectPr>
        </oleObject>
      </mc:Choice>
      <mc:Fallback>
        <oleObject progId="Equation.DSMT4" shapeId="5244" r:id="rId107"/>
      </mc:Fallback>
    </mc:AlternateContent>
    <mc:AlternateContent xmlns:mc="http://schemas.openxmlformats.org/markup-compatibility/2006">
      <mc:Choice Requires="x14">
        <oleObject progId="Equation.DSMT4" shapeId="5245" r:id="rId108">
          <objectPr defaultSize="0" r:id="rId82">
            <anchor moveWithCells="1">
              <from>
                <xdr:col>28</xdr:col>
                <xdr:colOff>428625</xdr:colOff>
                <xdr:row>36</xdr:row>
                <xdr:rowOff>114300</xdr:rowOff>
              </from>
              <to>
                <xdr:col>28</xdr:col>
                <xdr:colOff>619125</xdr:colOff>
                <xdr:row>37</xdr:row>
                <xdr:rowOff>123825</xdr:rowOff>
              </to>
            </anchor>
          </objectPr>
        </oleObject>
      </mc:Choice>
      <mc:Fallback>
        <oleObject progId="Equation.DSMT4" shapeId="5245" r:id="rId108"/>
      </mc:Fallback>
    </mc:AlternateContent>
    <mc:AlternateContent xmlns:mc="http://schemas.openxmlformats.org/markup-compatibility/2006">
      <mc:Choice Requires="x14">
        <oleObject progId="Equation.DSMT4" shapeId="5246" r:id="rId109">
          <objectPr defaultSize="0" r:id="rId84">
            <anchor moveWithCells="1">
              <from>
                <xdr:col>29</xdr:col>
                <xdr:colOff>123825</xdr:colOff>
                <xdr:row>36</xdr:row>
                <xdr:rowOff>114300</xdr:rowOff>
              </from>
              <to>
                <xdr:col>29</xdr:col>
                <xdr:colOff>942975</xdr:colOff>
                <xdr:row>37</xdr:row>
                <xdr:rowOff>180975</xdr:rowOff>
              </to>
            </anchor>
          </objectPr>
        </oleObject>
      </mc:Choice>
      <mc:Fallback>
        <oleObject progId="Equation.DSMT4" shapeId="5246" r:id="rId109"/>
      </mc:Fallback>
    </mc:AlternateContent>
    <mc:AlternateContent xmlns:mc="http://schemas.openxmlformats.org/markup-compatibility/2006">
      <mc:Choice Requires="x14">
        <oleObject progId="Equation.DSMT4" shapeId="5247" r:id="rId110">
          <objectPr defaultSize="0" r:id="rId86">
            <anchor moveWithCells="1">
              <from>
                <xdr:col>28</xdr:col>
                <xdr:colOff>295275</xdr:colOff>
                <xdr:row>33</xdr:row>
                <xdr:rowOff>104775</xdr:rowOff>
              </from>
              <to>
                <xdr:col>28</xdr:col>
                <xdr:colOff>771525</xdr:colOff>
                <xdr:row>34</xdr:row>
                <xdr:rowOff>200025</xdr:rowOff>
              </to>
            </anchor>
          </objectPr>
        </oleObject>
      </mc:Choice>
      <mc:Fallback>
        <oleObject progId="Equation.DSMT4" shapeId="5247" r:id="rId110"/>
      </mc:Fallback>
    </mc:AlternateContent>
    <mc:AlternateContent xmlns:mc="http://schemas.openxmlformats.org/markup-compatibility/2006">
      <mc:Choice Requires="x14">
        <oleObject progId="Equation.DSMT4" shapeId="5248" r:id="rId111">
          <objectPr defaultSize="0" r:id="rId82">
            <anchor moveWithCells="1">
              <from>
                <xdr:col>39</xdr:col>
                <xdr:colOff>428625</xdr:colOff>
                <xdr:row>36</xdr:row>
                <xdr:rowOff>114300</xdr:rowOff>
              </from>
              <to>
                <xdr:col>39</xdr:col>
                <xdr:colOff>619125</xdr:colOff>
                <xdr:row>37</xdr:row>
                <xdr:rowOff>123825</xdr:rowOff>
              </to>
            </anchor>
          </objectPr>
        </oleObject>
      </mc:Choice>
      <mc:Fallback>
        <oleObject progId="Equation.DSMT4" shapeId="5248" r:id="rId111"/>
      </mc:Fallback>
    </mc:AlternateContent>
    <mc:AlternateContent xmlns:mc="http://schemas.openxmlformats.org/markup-compatibility/2006">
      <mc:Choice Requires="x14">
        <oleObject progId="Equation.DSMT4" shapeId="5249" r:id="rId112">
          <objectPr defaultSize="0" r:id="rId84">
            <anchor moveWithCells="1">
              <from>
                <xdr:col>40</xdr:col>
                <xdr:colOff>123825</xdr:colOff>
                <xdr:row>36</xdr:row>
                <xdr:rowOff>114300</xdr:rowOff>
              </from>
              <to>
                <xdr:col>40</xdr:col>
                <xdr:colOff>942975</xdr:colOff>
                <xdr:row>37</xdr:row>
                <xdr:rowOff>180975</xdr:rowOff>
              </to>
            </anchor>
          </objectPr>
        </oleObject>
      </mc:Choice>
      <mc:Fallback>
        <oleObject progId="Equation.DSMT4" shapeId="5249" r:id="rId112"/>
      </mc:Fallback>
    </mc:AlternateContent>
    <mc:AlternateContent xmlns:mc="http://schemas.openxmlformats.org/markup-compatibility/2006">
      <mc:Choice Requires="x14">
        <oleObject progId="Equation.DSMT4" shapeId="5250" r:id="rId113">
          <objectPr defaultSize="0" r:id="rId86">
            <anchor moveWithCells="1">
              <from>
                <xdr:col>39</xdr:col>
                <xdr:colOff>295275</xdr:colOff>
                <xdr:row>33</xdr:row>
                <xdr:rowOff>104775</xdr:rowOff>
              </from>
              <to>
                <xdr:col>39</xdr:col>
                <xdr:colOff>771525</xdr:colOff>
                <xdr:row>34</xdr:row>
                <xdr:rowOff>200025</xdr:rowOff>
              </to>
            </anchor>
          </objectPr>
        </oleObject>
      </mc:Choice>
      <mc:Fallback>
        <oleObject progId="Equation.DSMT4" shapeId="5250" r:id="rId113"/>
      </mc:Fallback>
    </mc:AlternateContent>
    <mc:AlternateContent xmlns:mc="http://schemas.openxmlformats.org/markup-compatibility/2006">
      <mc:Choice Requires="x14">
        <oleObject progId="Equation.DSMT4" shapeId="5251" r:id="rId114">
          <objectPr defaultSize="0" r:id="rId82">
            <anchor moveWithCells="1">
              <from>
                <xdr:col>50</xdr:col>
                <xdr:colOff>428625</xdr:colOff>
                <xdr:row>36</xdr:row>
                <xdr:rowOff>114300</xdr:rowOff>
              </from>
              <to>
                <xdr:col>50</xdr:col>
                <xdr:colOff>619125</xdr:colOff>
                <xdr:row>37</xdr:row>
                <xdr:rowOff>123825</xdr:rowOff>
              </to>
            </anchor>
          </objectPr>
        </oleObject>
      </mc:Choice>
      <mc:Fallback>
        <oleObject progId="Equation.DSMT4" shapeId="5251" r:id="rId114"/>
      </mc:Fallback>
    </mc:AlternateContent>
    <mc:AlternateContent xmlns:mc="http://schemas.openxmlformats.org/markup-compatibility/2006">
      <mc:Choice Requires="x14">
        <oleObject progId="Equation.DSMT4" shapeId="5252" r:id="rId115">
          <objectPr defaultSize="0" r:id="rId84">
            <anchor moveWithCells="1">
              <from>
                <xdr:col>51</xdr:col>
                <xdr:colOff>123825</xdr:colOff>
                <xdr:row>36</xdr:row>
                <xdr:rowOff>114300</xdr:rowOff>
              </from>
              <to>
                <xdr:col>51</xdr:col>
                <xdr:colOff>942975</xdr:colOff>
                <xdr:row>37</xdr:row>
                <xdr:rowOff>180975</xdr:rowOff>
              </to>
            </anchor>
          </objectPr>
        </oleObject>
      </mc:Choice>
      <mc:Fallback>
        <oleObject progId="Equation.DSMT4" shapeId="5252" r:id="rId115"/>
      </mc:Fallback>
    </mc:AlternateContent>
    <mc:AlternateContent xmlns:mc="http://schemas.openxmlformats.org/markup-compatibility/2006">
      <mc:Choice Requires="x14">
        <oleObject progId="Equation.DSMT4" shapeId="5253" r:id="rId116">
          <objectPr defaultSize="0" r:id="rId86">
            <anchor moveWithCells="1">
              <from>
                <xdr:col>50</xdr:col>
                <xdr:colOff>295275</xdr:colOff>
                <xdr:row>33</xdr:row>
                <xdr:rowOff>104775</xdr:rowOff>
              </from>
              <to>
                <xdr:col>50</xdr:col>
                <xdr:colOff>771525</xdr:colOff>
                <xdr:row>34</xdr:row>
                <xdr:rowOff>200025</xdr:rowOff>
              </to>
            </anchor>
          </objectPr>
        </oleObject>
      </mc:Choice>
      <mc:Fallback>
        <oleObject progId="Equation.DSMT4" shapeId="5253" r:id="rId116"/>
      </mc:Fallback>
    </mc:AlternateContent>
    <mc:AlternateContent xmlns:mc="http://schemas.openxmlformats.org/markup-compatibility/2006">
      <mc:Choice Requires="x14">
        <oleObject progId="Equation.DSMT4" shapeId="5254" r:id="rId117">
          <objectPr defaultSize="0" r:id="rId82">
            <anchor moveWithCells="1">
              <from>
                <xdr:col>61</xdr:col>
                <xdr:colOff>428625</xdr:colOff>
                <xdr:row>36</xdr:row>
                <xdr:rowOff>114300</xdr:rowOff>
              </from>
              <to>
                <xdr:col>61</xdr:col>
                <xdr:colOff>619125</xdr:colOff>
                <xdr:row>37</xdr:row>
                <xdr:rowOff>123825</xdr:rowOff>
              </to>
            </anchor>
          </objectPr>
        </oleObject>
      </mc:Choice>
      <mc:Fallback>
        <oleObject progId="Equation.DSMT4" shapeId="5254" r:id="rId117"/>
      </mc:Fallback>
    </mc:AlternateContent>
    <mc:AlternateContent xmlns:mc="http://schemas.openxmlformats.org/markup-compatibility/2006">
      <mc:Choice Requires="x14">
        <oleObject progId="Equation.DSMT4" shapeId="5255" r:id="rId118">
          <objectPr defaultSize="0" r:id="rId84">
            <anchor moveWithCells="1">
              <from>
                <xdr:col>62</xdr:col>
                <xdr:colOff>123825</xdr:colOff>
                <xdr:row>36</xdr:row>
                <xdr:rowOff>114300</xdr:rowOff>
              </from>
              <to>
                <xdr:col>62</xdr:col>
                <xdr:colOff>942975</xdr:colOff>
                <xdr:row>37</xdr:row>
                <xdr:rowOff>180975</xdr:rowOff>
              </to>
            </anchor>
          </objectPr>
        </oleObject>
      </mc:Choice>
      <mc:Fallback>
        <oleObject progId="Equation.DSMT4" shapeId="5255" r:id="rId118"/>
      </mc:Fallback>
    </mc:AlternateContent>
    <mc:AlternateContent xmlns:mc="http://schemas.openxmlformats.org/markup-compatibility/2006">
      <mc:Choice Requires="x14">
        <oleObject progId="Equation.DSMT4" shapeId="5256" r:id="rId119">
          <objectPr defaultSize="0" r:id="rId86">
            <anchor moveWithCells="1">
              <from>
                <xdr:col>61</xdr:col>
                <xdr:colOff>295275</xdr:colOff>
                <xdr:row>33</xdr:row>
                <xdr:rowOff>104775</xdr:rowOff>
              </from>
              <to>
                <xdr:col>61</xdr:col>
                <xdr:colOff>771525</xdr:colOff>
                <xdr:row>34</xdr:row>
                <xdr:rowOff>200025</xdr:rowOff>
              </to>
            </anchor>
          </objectPr>
        </oleObject>
      </mc:Choice>
      <mc:Fallback>
        <oleObject progId="Equation.DSMT4" shapeId="5256" r:id="rId119"/>
      </mc:Fallback>
    </mc:AlternateContent>
    <mc:AlternateContent xmlns:mc="http://schemas.openxmlformats.org/markup-compatibility/2006">
      <mc:Choice Requires="x14">
        <oleObject progId="Equation.DSMT4" shapeId="5257" r:id="rId120">
          <objectPr defaultSize="0" r:id="rId121">
            <anchor moveWithCells="1">
              <from>
                <xdr:col>8</xdr:col>
                <xdr:colOff>428625</xdr:colOff>
                <xdr:row>4</xdr:row>
                <xdr:rowOff>114300</xdr:rowOff>
              </from>
              <to>
                <xdr:col>8</xdr:col>
                <xdr:colOff>619125</xdr:colOff>
                <xdr:row>5</xdr:row>
                <xdr:rowOff>114300</xdr:rowOff>
              </to>
            </anchor>
          </objectPr>
        </oleObject>
      </mc:Choice>
      <mc:Fallback>
        <oleObject progId="Equation.DSMT4" shapeId="5257" r:id="rId120"/>
      </mc:Fallback>
    </mc:AlternateContent>
    <mc:AlternateContent xmlns:mc="http://schemas.openxmlformats.org/markup-compatibility/2006">
      <mc:Choice Requires="x14">
        <oleObject progId="Equation.DSMT4" shapeId="5258" r:id="rId122">
          <objectPr defaultSize="0" r:id="rId123">
            <anchor moveWithCells="1">
              <from>
                <xdr:col>9</xdr:col>
                <xdr:colOff>123825</xdr:colOff>
                <xdr:row>4</xdr:row>
                <xdr:rowOff>114300</xdr:rowOff>
              </from>
              <to>
                <xdr:col>9</xdr:col>
                <xdr:colOff>942975</xdr:colOff>
                <xdr:row>5</xdr:row>
                <xdr:rowOff>180975</xdr:rowOff>
              </to>
            </anchor>
          </objectPr>
        </oleObject>
      </mc:Choice>
      <mc:Fallback>
        <oleObject progId="Equation.DSMT4" shapeId="5258" r:id="rId122"/>
      </mc:Fallback>
    </mc:AlternateContent>
    <mc:AlternateContent xmlns:mc="http://schemas.openxmlformats.org/markup-compatibility/2006">
      <mc:Choice Requires="x14">
        <oleObject progId="Equation.DSMT4" shapeId="5259" r:id="rId124">
          <objectPr defaultSize="0" r:id="rId121">
            <anchor moveWithCells="1">
              <from>
                <xdr:col>19</xdr:col>
                <xdr:colOff>428625</xdr:colOff>
                <xdr:row>4</xdr:row>
                <xdr:rowOff>114300</xdr:rowOff>
              </from>
              <to>
                <xdr:col>19</xdr:col>
                <xdr:colOff>619125</xdr:colOff>
                <xdr:row>5</xdr:row>
                <xdr:rowOff>114300</xdr:rowOff>
              </to>
            </anchor>
          </objectPr>
        </oleObject>
      </mc:Choice>
      <mc:Fallback>
        <oleObject progId="Equation.DSMT4" shapeId="5259" r:id="rId124"/>
      </mc:Fallback>
    </mc:AlternateContent>
    <mc:AlternateContent xmlns:mc="http://schemas.openxmlformats.org/markup-compatibility/2006">
      <mc:Choice Requires="x14">
        <oleObject progId="Equation.DSMT4" shapeId="5260" r:id="rId125">
          <objectPr defaultSize="0" r:id="rId123">
            <anchor moveWithCells="1">
              <from>
                <xdr:col>20</xdr:col>
                <xdr:colOff>123825</xdr:colOff>
                <xdr:row>4</xdr:row>
                <xdr:rowOff>114300</xdr:rowOff>
              </from>
              <to>
                <xdr:col>20</xdr:col>
                <xdr:colOff>942975</xdr:colOff>
                <xdr:row>5</xdr:row>
                <xdr:rowOff>180975</xdr:rowOff>
              </to>
            </anchor>
          </objectPr>
        </oleObject>
      </mc:Choice>
      <mc:Fallback>
        <oleObject progId="Equation.DSMT4" shapeId="5260" r:id="rId125"/>
      </mc:Fallback>
    </mc:AlternateContent>
    <mc:AlternateContent xmlns:mc="http://schemas.openxmlformats.org/markup-compatibility/2006">
      <mc:Choice Requires="x14">
        <oleObject progId="Equation.DSMT4" shapeId="5261" r:id="rId126">
          <objectPr defaultSize="0" r:id="rId121">
            <anchor moveWithCells="1">
              <from>
                <xdr:col>30</xdr:col>
                <xdr:colOff>428625</xdr:colOff>
                <xdr:row>4</xdr:row>
                <xdr:rowOff>114300</xdr:rowOff>
              </from>
              <to>
                <xdr:col>30</xdr:col>
                <xdr:colOff>619125</xdr:colOff>
                <xdr:row>5</xdr:row>
                <xdr:rowOff>114300</xdr:rowOff>
              </to>
            </anchor>
          </objectPr>
        </oleObject>
      </mc:Choice>
      <mc:Fallback>
        <oleObject progId="Equation.DSMT4" shapeId="5261" r:id="rId126"/>
      </mc:Fallback>
    </mc:AlternateContent>
    <mc:AlternateContent xmlns:mc="http://schemas.openxmlformats.org/markup-compatibility/2006">
      <mc:Choice Requires="x14">
        <oleObject progId="Equation.DSMT4" shapeId="5262" r:id="rId127">
          <objectPr defaultSize="0" r:id="rId123">
            <anchor moveWithCells="1">
              <from>
                <xdr:col>31</xdr:col>
                <xdr:colOff>123825</xdr:colOff>
                <xdr:row>4</xdr:row>
                <xdr:rowOff>114300</xdr:rowOff>
              </from>
              <to>
                <xdr:col>31</xdr:col>
                <xdr:colOff>942975</xdr:colOff>
                <xdr:row>5</xdr:row>
                <xdr:rowOff>180975</xdr:rowOff>
              </to>
            </anchor>
          </objectPr>
        </oleObject>
      </mc:Choice>
      <mc:Fallback>
        <oleObject progId="Equation.DSMT4" shapeId="5262" r:id="rId127"/>
      </mc:Fallback>
    </mc:AlternateContent>
    <mc:AlternateContent xmlns:mc="http://schemas.openxmlformats.org/markup-compatibility/2006">
      <mc:Choice Requires="x14">
        <oleObject progId="Equation.DSMT4" shapeId="5263" r:id="rId128">
          <objectPr defaultSize="0" r:id="rId121">
            <anchor moveWithCells="1">
              <from>
                <xdr:col>41</xdr:col>
                <xdr:colOff>428625</xdr:colOff>
                <xdr:row>4</xdr:row>
                <xdr:rowOff>114300</xdr:rowOff>
              </from>
              <to>
                <xdr:col>41</xdr:col>
                <xdr:colOff>619125</xdr:colOff>
                <xdr:row>5</xdr:row>
                <xdr:rowOff>114300</xdr:rowOff>
              </to>
            </anchor>
          </objectPr>
        </oleObject>
      </mc:Choice>
      <mc:Fallback>
        <oleObject progId="Equation.DSMT4" shapeId="5263" r:id="rId128"/>
      </mc:Fallback>
    </mc:AlternateContent>
    <mc:AlternateContent xmlns:mc="http://schemas.openxmlformats.org/markup-compatibility/2006">
      <mc:Choice Requires="x14">
        <oleObject progId="Equation.DSMT4" shapeId="5264" r:id="rId129">
          <objectPr defaultSize="0" r:id="rId123">
            <anchor moveWithCells="1">
              <from>
                <xdr:col>42</xdr:col>
                <xdr:colOff>123825</xdr:colOff>
                <xdr:row>4</xdr:row>
                <xdr:rowOff>114300</xdr:rowOff>
              </from>
              <to>
                <xdr:col>42</xdr:col>
                <xdr:colOff>942975</xdr:colOff>
                <xdr:row>5</xdr:row>
                <xdr:rowOff>180975</xdr:rowOff>
              </to>
            </anchor>
          </objectPr>
        </oleObject>
      </mc:Choice>
      <mc:Fallback>
        <oleObject progId="Equation.DSMT4" shapeId="5264" r:id="rId129"/>
      </mc:Fallback>
    </mc:AlternateContent>
    <mc:AlternateContent xmlns:mc="http://schemas.openxmlformats.org/markup-compatibility/2006">
      <mc:Choice Requires="x14">
        <oleObject progId="Equation.DSMT4" shapeId="5265" r:id="rId130">
          <objectPr defaultSize="0" r:id="rId121">
            <anchor moveWithCells="1">
              <from>
                <xdr:col>52</xdr:col>
                <xdr:colOff>428625</xdr:colOff>
                <xdr:row>4</xdr:row>
                <xdr:rowOff>114300</xdr:rowOff>
              </from>
              <to>
                <xdr:col>52</xdr:col>
                <xdr:colOff>619125</xdr:colOff>
                <xdr:row>5</xdr:row>
                <xdr:rowOff>114300</xdr:rowOff>
              </to>
            </anchor>
          </objectPr>
        </oleObject>
      </mc:Choice>
      <mc:Fallback>
        <oleObject progId="Equation.DSMT4" shapeId="5265" r:id="rId130"/>
      </mc:Fallback>
    </mc:AlternateContent>
    <mc:AlternateContent xmlns:mc="http://schemas.openxmlformats.org/markup-compatibility/2006">
      <mc:Choice Requires="x14">
        <oleObject progId="Equation.DSMT4" shapeId="5266" r:id="rId131">
          <objectPr defaultSize="0" r:id="rId123">
            <anchor moveWithCells="1">
              <from>
                <xdr:col>53</xdr:col>
                <xdr:colOff>123825</xdr:colOff>
                <xdr:row>4</xdr:row>
                <xdr:rowOff>114300</xdr:rowOff>
              </from>
              <to>
                <xdr:col>53</xdr:col>
                <xdr:colOff>942975</xdr:colOff>
                <xdr:row>5</xdr:row>
                <xdr:rowOff>180975</xdr:rowOff>
              </to>
            </anchor>
          </objectPr>
        </oleObject>
      </mc:Choice>
      <mc:Fallback>
        <oleObject progId="Equation.DSMT4" shapeId="5266" r:id="rId131"/>
      </mc:Fallback>
    </mc:AlternateContent>
    <mc:AlternateContent xmlns:mc="http://schemas.openxmlformats.org/markup-compatibility/2006">
      <mc:Choice Requires="x14">
        <oleObject progId="Equation.DSMT4" shapeId="5267" r:id="rId132">
          <objectPr defaultSize="0" r:id="rId121">
            <anchor moveWithCells="1">
              <from>
                <xdr:col>63</xdr:col>
                <xdr:colOff>428625</xdr:colOff>
                <xdr:row>4</xdr:row>
                <xdr:rowOff>114300</xdr:rowOff>
              </from>
              <to>
                <xdr:col>63</xdr:col>
                <xdr:colOff>619125</xdr:colOff>
                <xdr:row>5</xdr:row>
                <xdr:rowOff>114300</xdr:rowOff>
              </to>
            </anchor>
          </objectPr>
        </oleObject>
      </mc:Choice>
      <mc:Fallback>
        <oleObject progId="Equation.DSMT4" shapeId="5267" r:id="rId132"/>
      </mc:Fallback>
    </mc:AlternateContent>
    <mc:AlternateContent xmlns:mc="http://schemas.openxmlformats.org/markup-compatibility/2006">
      <mc:Choice Requires="x14">
        <oleObject progId="Equation.DSMT4" shapeId="5268" r:id="rId133">
          <objectPr defaultSize="0" r:id="rId123">
            <anchor moveWithCells="1">
              <from>
                <xdr:col>64</xdr:col>
                <xdr:colOff>123825</xdr:colOff>
                <xdr:row>4</xdr:row>
                <xdr:rowOff>114300</xdr:rowOff>
              </from>
              <to>
                <xdr:col>64</xdr:col>
                <xdr:colOff>942975</xdr:colOff>
                <xdr:row>5</xdr:row>
                <xdr:rowOff>180975</xdr:rowOff>
              </to>
            </anchor>
          </objectPr>
        </oleObject>
      </mc:Choice>
      <mc:Fallback>
        <oleObject progId="Equation.DSMT4" shapeId="5268" r:id="rId133"/>
      </mc:Fallback>
    </mc:AlternateContent>
    <mc:AlternateContent xmlns:mc="http://schemas.openxmlformats.org/markup-compatibility/2006">
      <mc:Choice Requires="x14">
        <oleObject progId="Equation.DSMT4" shapeId="5269" r:id="rId134">
          <objectPr defaultSize="0" r:id="rId121">
            <anchor moveWithCells="1">
              <from>
                <xdr:col>63</xdr:col>
                <xdr:colOff>428625</xdr:colOff>
                <xdr:row>36</xdr:row>
                <xdr:rowOff>114300</xdr:rowOff>
              </from>
              <to>
                <xdr:col>63</xdr:col>
                <xdr:colOff>619125</xdr:colOff>
                <xdr:row>37</xdr:row>
                <xdr:rowOff>114300</xdr:rowOff>
              </to>
            </anchor>
          </objectPr>
        </oleObject>
      </mc:Choice>
      <mc:Fallback>
        <oleObject progId="Equation.DSMT4" shapeId="5269" r:id="rId134"/>
      </mc:Fallback>
    </mc:AlternateContent>
    <mc:AlternateContent xmlns:mc="http://schemas.openxmlformats.org/markup-compatibility/2006">
      <mc:Choice Requires="x14">
        <oleObject progId="Equation.DSMT4" shapeId="5270" r:id="rId135">
          <objectPr defaultSize="0" r:id="rId123">
            <anchor moveWithCells="1">
              <from>
                <xdr:col>64</xdr:col>
                <xdr:colOff>123825</xdr:colOff>
                <xdr:row>36</xdr:row>
                <xdr:rowOff>114300</xdr:rowOff>
              </from>
              <to>
                <xdr:col>64</xdr:col>
                <xdr:colOff>942975</xdr:colOff>
                <xdr:row>37</xdr:row>
                <xdr:rowOff>180975</xdr:rowOff>
              </to>
            </anchor>
          </objectPr>
        </oleObject>
      </mc:Choice>
      <mc:Fallback>
        <oleObject progId="Equation.DSMT4" shapeId="5270" r:id="rId135"/>
      </mc:Fallback>
    </mc:AlternateContent>
    <mc:AlternateContent xmlns:mc="http://schemas.openxmlformats.org/markup-compatibility/2006">
      <mc:Choice Requires="x14">
        <oleObject progId="Equation.DSMT4" shapeId="5271" r:id="rId136">
          <objectPr defaultSize="0" r:id="rId121">
            <anchor moveWithCells="1">
              <from>
                <xdr:col>52</xdr:col>
                <xdr:colOff>428625</xdr:colOff>
                <xdr:row>36</xdr:row>
                <xdr:rowOff>114300</xdr:rowOff>
              </from>
              <to>
                <xdr:col>52</xdr:col>
                <xdr:colOff>619125</xdr:colOff>
                <xdr:row>37</xdr:row>
                <xdr:rowOff>114300</xdr:rowOff>
              </to>
            </anchor>
          </objectPr>
        </oleObject>
      </mc:Choice>
      <mc:Fallback>
        <oleObject progId="Equation.DSMT4" shapeId="5271" r:id="rId136"/>
      </mc:Fallback>
    </mc:AlternateContent>
    <mc:AlternateContent xmlns:mc="http://schemas.openxmlformats.org/markup-compatibility/2006">
      <mc:Choice Requires="x14">
        <oleObject progId="Equation.DSMT4" shapeId="5272" r:id="rId137">
          <objectPr defaultSize="0" r:id="rId123">
            <anchor moveWithCells="1">
              <from>
                <xdr:col>53</xdr:col>
                <xdr:colOff>123825</xdr:colOff>
                <xdr:row>36</xdr:row>
                <xdr:rowOff>114300</xdr:rowOff>
              </from>
              <to>
                <xdr:col>53</xdr:col>
                <xdr:colOff>942975</xdr:colOff>
                <xdr:row>37</xdr:row>
                <xdr:rowOff>180975</xdr:rowOff>
              </to>
            </anchor>
          </objectPr>
        </oleObject>
      </mc:Choice>
      <mc:Fallback>
        <oleObject progId="Equation.DSMT4" shapeId="5272" r:id="rId137"/>
      </mc:Fallback>
    </mc:AlternateContent>
    <mc:AlternateContent xmlns:mc="http://schemas.openxmlformats.org/markup-compatibility/2006">
      <mc:Choice Requires="x14">
        <oleObject progId="Equation.DSMT4" shapeId="5273" r:id="rId138">
          <objectPr defaultSize="0" r:id="rId121">
            <anchor moveWithCells="1">
              <from>
                <xdr:col>41</xdr:col>
                <xdr:colOff>428625</xdr:colOff>
                <xdr:row>36</xdr:row>
                <xdr:rowOff>114300</xdr:rowOff>
              </from>
              <to>
                <xdr:col>41</xdr:col>
                <xdr:colOff>619125</xdr:colOff>
                <xdr:row>37</xdr:row>
                <xdr:rowOff>114300</xdr:rowOff>
              </to>
            </anchor>
          </objectPr>
        </oleObject>
      </mc:Choice>
      <mc:Fallback>
        <oleObject progId="Equation.DSMT4" shapeId="5273" r:id="rId138"/>
      </mc:Fallback>
    </mc:AlternateContent>
    <mc:AlternateContent xmlns:mc="http://schemas.openxmlformats.org/markup-compatibility/2006">
      <mc:Choice Requires="x14">
        <oleObject progId="Equation.DSMT4" shapeId="5274" r:id="rId139">
          <objectPr defaultSize="0" r:id="rId123">
            <anchor moveWithCells="1">
              <from>
                <xdr:col>42</xdr:col>
                <xdr:colOff>123825</xdr:colOff>
                <xdr:row>36</xdr:row>
                <xdr:rowOff>114300</xdr:rowOff>
              </from>
              <to>
                <xdr:col>42</xdr:col>
                <xdr:colOff>942975</xdr:colOff>
                <xdr:row>37</xdr:row>
                <xdr:rowOff>180975</xdr:rowOff>
              </to>
            </anchor>
          </objectPr>
        </oleObject>
      </mc:Choice>
      <mc:Fallback>
        <oleObject progId="Equation.DSMT4" shapeId="5274" r:id="rId139"/>
      </mc:Fallback>
    </mc:AlternateContent>
    <mc:AlternateContent xmlns:mc="http://schemas.openxmlformats.org/markup-compatibility/2006">
      <mc:Choice Requires="x14">
        <oleObject progId="Equation.DSMT4" shapeId="5275" r:id="rId140">
          <objectPr defaultSize="0" r:id="rId121">
            <anchor moveWithCells="1">
              <from>
                <xdr:col>30</xdr:col>
                <xdr:colOff>428625</xdr:colOff>
                <xdr:row>36</xdr:row>
                <xdr:rowOff>114300</xdr:rowOff>
              </from>
              <to>
                <xdr:col>30</xdr:col>
                <xdr:colOff>619125</xdr:colOff>
                <xdr:row>37</xdr:row>
                <xdr:rowOff>114300</xdr:rowOff>
              </to>
            </anchor>
          </objectPr>
        </oleObject>
      </mc:Choice>
      <mc:Fallback>
        <oleObject progId="Equation.DSMT4" shapeId="5275" r:id="rId140"/>
      </mc:Fallback>
    </mc:AlternateContent>
    <mc:AlternateContent xmlns:mc="http://schemas.openxmlformats.org/markup-compatibility/2006">
      <mc:Choice Requires="x14">
        <oleObject progId="Equation.DSMT4" shapeId="5276" r:id="rId141">
          <objectPr defaultSize="0" r:id="rId123">
            <anchor moveWithCells="1">
              <from>
                <xdr:col>31</xdr:col>
                <xdr:colOff>123825</xdr:colOff>
                <xdr:row>36</xdr:row>
                <xdr:rowOff>114300</xdr:rowOff>
              </from>
              <to>
                <xdr:col>31</xdr:col>
                <xdr:colOff>942975</xdr:colOff>
                <xdr:row>37</xdr:row>
                <xdr:rowOff>180975</xdr:rowOff>
              </to>
            </anchor>
          </objectPr>
        </oleObject>
      </mc:Choice>
      <mc:Fallback>
        <oleObject progId="Equation.DSMT4" shapeId="5276" r:id="rId141"/>
      </mc:Fallback>
    </mc:AlternateContent>
    <mc:AlternateContent xmlns:mc="http://schemas.openxmlformats.org/markup-compatibility/2006">
      <mc:Choice Requires="x14">
        <oleObject progId="Equation.DSMT4" shapeId="5277" r:id="rId142">
          <objectPr defaultSize="0" r:id="rId121">
            <anchor moveWithCells="1">
              <from>
                <xdr:col>19</xdr:col>
                <xdr:colOff>428625</xdr:colOff>
                <xdr:row>36</xdr:row>
                <xdr:rowOff>114300</xdr:rowOff>
              </from>
              <to>
                <xdr:col>19</xdr:col>
                <xdr:colOff>619125</xdr:colOff>
                <xdr:row>37</xdr:row>
                <xdr:rowOff>114300</xdr:rowOff>
              </to>
            </anchor>
          </objectPr>
        </oleObject>
      </mc:Choice>
      <mc:Fallback>
        <oleObject progId="Equation.DSMT4" shapeId="5277" r:id="rId142"/>
      </mc:Fallback>
    </mc:AlternateContent>
    <mc:AlternateContent xmlns:mc="http://schemas.openxmlformats.org/markup-compatibility/2006">
      <mc:Choice Requires="x14">
        <oleObject progId="Equation.DSMT4" shapeId="5278" r:id="rId143">
          <objectPr defaultSize="0" r:id="rId123">
            <anchor moveWithCells="1">
              <from>
                <xdr:col>20</xdr:col>
                <xdr:colOff>123825</xdr:colOff>
                <xdr:row>36</xdr:row>
                <xdr:rowOff>114300</xdr:rowOff>
              </from>
              <to>
                <xdr:col>20</xdr:col>
                <xdr:colOff>942975</xdr:colOff>
                <xdr:row>37</xdr:row>
                <xdr:rowOff>180975</xdr:rowOff>
              </to>
            </anchor>
          </objectPr>
        </oleObject>
      </mc:Choice>
      <mc:Fallback>
        <oleObject progId="Equation.DSMT4" shapeId="5278" r:id="rId143"/>
      </mc:Fallback>
    </mc:AlternateContent>
    <mc:AlternateContent xmlns:mc="http://schemas.openxmlformats.org/markup-compatibility/2006">
      <mc:Choice Requires="x14">
        <oleObject progId="Equation.DSMT4" shapeId="5279" r:id="rId144">
          <objectPr defaultSize="0" r:id="rId121">
            <anchor moveWithCells="1">
              <from>
                <xdr:col>8</xdr:col>
                <xdr:colOff>428625</xdr:colOff>
                <xdr:row>36</xdr:row>
                <xdr:rowOff>114300</xdr:rowOff>
              </from>
              <to>
                <xdr:col>8</xdr:col>
                <xdr:colOff>619125</xdr:colOff>
                <xdr:row>37</xdr:row>
                <xdr:rowOff>114300</xdr:rowOff>
              </to>
            </anchor>
          </objectPr>
        </oleObject>
      </mc:Choice>
      <mc:Fallback>
        <oleObject progId="Equation.DSMT4" shapeId="5279" r:id="rId144"/>
      </mc:Fallback>
    </mc:AlternateContent>
    <mc:AlternateContent xmlns:mc="http://schemas.openxmlformats.org/markup-compatibility/2006">
      <mc:Choice Requires="x14">
        <oleObject progId="Equation.DSMT4" shapeId="5280" r:id="rId145">
          <objectPr defaultSize="0" r:id="rId123">
            <anchor moveWithCells="1">
              <from>
                <xdr:col>9</xdr:col>
                <xdr:colOff>123825</xdr:colOff>
                <xdr:row>36</xdr:row>
                <xdr:rowOff>114300</xdr:rowOff>
              </from>
              <to>
                <xdr:col>9</xdr:col>
                <xdr:colOff>942975</xdr:colOff>
                <xdr:row>37</xdr:row>
                <xdr:rowOff>180975</xdr:rowOff>
              </to>
            </anchor>
          </objectPr>
        </oleObject>
      </mc:Choice>
      <mc:Fallback>
        <oleObject progId="Equation.DSMT4" shapeId="5280" r:id="rId145"/>
      </mc:Fallback>
    </mc:AlternateContent>
  </oleObjects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2:MR108"/>
  <sheetViews>
    <sheetView showGridLines="0" zoomScale="70" zoomScaleNormal="70" zoomScalePageLayoutView="70" workbookViewId="0">
      <selection activeCell="C4" sqref="C4"/>
    </sheetView>
  </sheetViews>
  <sheetFormatPr baseColWidth="10" defaultRowHeight="15" x14ac:dyDescent="0.25"/>
  <cols>
    <col min="1" max="1" width="11.42578125" bestFit="1" customWidth="1"/>
    <col min="2" max="2" width="12.7109375" bestFit="1" customWidth="1"/>
    <col min="34" max="34" width="13.42578125" bestFit="1" customWidth="1"/>
    <col min="121" max="121" width="13" bestFit="1" customWidth="1"/>
    <col min="123" max="123" width="11.42578125" customWidth="1"/>
    <col min="243" max="243" width="11.42578125" customWidth="1"/>
  </cols>
  <sheetData>
    <row r="2" spans="1:356" x14ac:dyDescent="0.25">
      <c r="A2" s="73" t="s">
        <v>111</v>
      </c>
      <c r="B2" s="366" t="str">
        <f>Temp!B2</f>
        <v>Hermosillo, Son.</v>
      </c>
      <c r="C2" s="366"/>
      <c r="M2" s="40"/>
      <c r="N2" s="40"/>
      <c r="O2" s="40"/>
      <c r="P2" s="40"/>
      <c r="Q2" s="40"/>
      <c r="R2" s="72"/>
      <c r="S2" s="72"/>
      <c r="T2" s="72"/>
      <c r="U2" s="72"/>
      <c r="V2" s="40"/>
      <c r="W2" s="72"/>
      <c r="X2" s="72"/>
      <c r="Y2" s="72"/>
      <c r="Z2" s="72"/>
      <c r="AA2" s="72"/>
      <c r="AB2" s="72"/>
      <c r="AC2" s="72"/>
      <c r="AD2" s="40"/>
      <c r="AE2" s="72"/>
      <c r="AF2" s="72"/>
      <c r="AG2" s="76"/>
      <c r="AH2" s="76"/>
      <c r="AI2" s="76"/>
      <c r="AJ2" s="85"/>
      <c r="AK2" s="85"/>
      <c r="AL2" s="85"/>
      <c r="AM2" s="85"/>
      <c r="AN2" s="85"/>
      <c r="AO2" s="85"/>
      <c r="AP2" s="85"/>
      <c r="AQ2" s="76"/>
      <c r="AR2" s="85"/>
      <c r="AS2" s="85"/>
      <c r="AT2" s="85"/>
      <c r="AU2" s="85"/>
      <c r="AV2" s="85"/>
      <c r="AW2" s="85"/>
      <c r="AX2" s="85"/>
      <c r="AY2" s="85"/>
      <c r="AZ2" s="85"/>
      <c r="BA2" s="85"/>
      <c r="BB2" s="85"/>
      <c r="BC2" s="85"/>
      <c r="BD2" s="85"/>
      <c r="BE2" s="76"/>
      <c r="BF2" s="85"/>
      <c r="BG2" s="107"/>
      <c r="BH2" s="107"/>
      <c r="BI2" s="107"/>
      <c r="BJ2" s="72"/>
    </row>
    <row r="4" spans="1:356" ht="15" customHeight="1" x14ac:dyDescent="0.25">
      <c r="A4" s="366" t="s">
        <v>109</v>
      </c>
      <c r="B4" s="366"/>
      <c r="C4" s="41">
        <f>Temp!D2</f>
        <v>29.08</v>
      </c>
      <c r="D4" s="57"/>
    </row>
    <row r="5" spans="1:356" x14ac:dyDescent="0.25">
      <c r="C5" s="57"/>
      <c r="D5" s="57"/>
    </row>
    <row r="6" spans="1:356" x14ac:dyDescent="0.25">
      <c r="A6" s="315"/>
      <c r="B6" s="315"/>
      <c r="C6" s="57"/>
      <c r="D6" s="57"/>
    </row>
    <row r="7" spans="1:356" x14ac:dyDescent="0.25">
      <c r="A7" s="315"/>
      <c r="B7" s="315"/>
      <c r="C7" s="57"/>
      <c r="D7" s="57"/>
    </row>
    <row r="8" spans="1:356" x14ac:dyDescent="0.25">
      <c r="A8" s="89">
        <f>'Irradiancia Sup Inclinadas'!N5</f>
        <v>0</v>
      </c>
      <c r="B8" s="89">
        <f>'Irradiancia Sup Inclinadas'!N7</f>
        <v>90</v>
      </c>
      <c r="C8" s="57"/>
    </row>
    <row r="9" spans="1:356" x14ac:dyDescent="0.25">
      <c r="C9" s="57"/>
    </row>
    <row r="10" spans="1:356" x14ac:dyDescent="0.25">
      <c r="C10" s="57"/>
      <c r="D10" s="58"/>
    </row>
    <row r="11" spans="1:356" x14ac:dyDescent="0.25">
      <c r="C11" s="57"/>
    </row>
    <row r="13" spans="1:356" x14ac:dyDescent="0.25">
      <c r="D13" s="41" t="s">
        <v>92</v>
      </c>
      <c r="E13" s="41">
        <v>21</v>
      </c>
      <c r="F13" s="315"/>
      <c r="G13" s="315"/>
      <c r="H13" s="328"/>
      <c r="I13" s="328"/>
      <c r="J13" s="363" t="s">
        <v>135</v>
      </c>
      <c r="K13" s="315"/>
      <c r="L13" s="315"/>
      <c r="M13" s="315"/>
      <c r="N13" s="315"/>
      <c r="BK13" s="41" t="s">
        <v>92</v>
      </c>
      <c r="BL13" s="41">
        <v>21</v>
      </c>
      <c r="BM13" s="315"/>
      <c r="BN13" s="315"/>
      <c r="BO13" s="316"/>
      <c r="BP13" s="328"/>
      <c r="BQ13" s="363" t="s">
        <v>135</v>
      </c>
      <c r="BR13" s="315"/>
      <c r="BS13" s="315"/>
      <c r="BT13" s="315"/>
      <c r="BU13" s="315"/>
      <c r="DR13" s="41" t="s">
        <v>92</v>
      </c>
      <c r="DS13" s="41">
        <v>21</v>
      </c>
      <c r="DT13" s="315"/>
      <c r="DU13" s="315"/>
      <c r="DV13" s="316"/>
      <c r="DW13" s="328"/>
      <c r="DX13" s="363" t="s">
        <v>135</v>
      </c>
      <c r="DY13" s="315"/>
      <c r="DZ13" s="315"/>
      <c r="EA13" s="315"/>
      <c r="EB13" s="315"/>
      <c r="FY13" s="41" t="s">
        <v>92</v>
      </c>
      <c r="FZ13" s="41">
        <v>21</v>
      </c>
      <c r="GA13" s="315"/>
      <c r="GB13" s="315"/>
      <c r="GC13" s="316"/>
      <c r="GD13" s="328"/>
      <c r="GE13" s="363" t="s">
        <v>135</v>
      </c>
      <c r="GF13" s="315"/>
      <c r="GG13" s="315"/>
      <c r="GH13" s="315"/>
      <c r="GI13" s="315"/>
      <c r="IF13" s="41" t="s">
        <v>92</v>
      </c>
      <c r="IG13" s="41">
        <v>21</v>
      </c>
      <c r="IH13" s="315"/>
      <c r="II13" s="315"/>
      <c r="IJ13" s="316"/>
      <c r="IK13" s="328"/>
      <c r="IL13" s="363" t="s">
        <v>135</v>
      </c>
      <c r="IM13" s="315"/>
      <c r="IN13" s="315"/>
      <c r="IO13" s="315"/>
      <c r="IP13" s="315"/>
      <c r="KM13" s="41" t="s">
        <v>92</v>
      </c>
      <c r="KN13" s="41">
        <v>21</v>
      </c>
      <c r="KO13" s="315"/>
      <c r="KP13" s="315"/>
      <c r="KQ13" s="316"/>
      <c r="KR13" s="328"/>
      <c r="KS13" s="363" t="s">
        <v>135</v>
      </c>
      <c r="KT13" s="315"/>
      <c r="KU13" s="315"/>
      <c r="KV13" s="315"/>
      <c r="KW13" s="315"/>
    </row>
    <row r="14" spans="1:356" x14ac:dyDescent="0.25">
      <c r="C14" s="56"/>
      <c r="D14" s="41" t="s">
        <v>91</v>
      </c>
      <c r="E14" s="41">
        <v>1</v>
      </c>
      <c r="F14" s="315"/>
      <c r="G14" s="315"/>
      <c r="H14" s="328"/>
      <c r="I14" s="362"/>
      <c r="J14" s="364"/>
      <c r="K14" s="317"/>
      <c r="L14" s="317"/>
      <c r="M14" s="315"/>
      <c r="N14" s="315"/>
      <c r="BE14" s="31" t="s">
        <v>118</v>
      </c>
      <c r="BF14" s="31" t="s">
        <v>118</v>
      </c>
      <c r="BK14" s="41" t="s">
        <v>91</v>
      </c>
      <c r="BL14" s="41">
        <v>2</v>
      </c>
      <c r="BM14" s="315"/>
      <c r="BN14" s="315"/>
      <c r="BO14" s="316"/>
      <c r="BP14" s="362"/>
      <c r="BQ14" s="364"/>
      <c r="BR14" s="317"/>
      <c r="BS14" s="317"/>
      <c r="BT14" s="315"/>
      <c r="BU14" s="315"/>
      <c r="DR14" s="41" t="s">
        <v>91</v>
      </c>
      <c r="DS14" s="41">
        <v>3</v>
      </c>
      <c r="DT14" s="315"/>
      <c r="DU14" s="315"/>
      <c r="DV14" s="316"/>
      <c r="DW14" s="362"/>
      <c r="DX14" s="364"/>
      <c r="DY14" s="317"/>
      <c r="DZ14" s="317"/>
      <c r="EA14" s="315"/>
      <c r="EB14" s="315"/>
      <c r="FY14" s="41" t="s">
        <v>91</v>
      </c>
      <c r="FZ14" s="41">
        <v>4</v>
      </c>
      <c r="GA14" s="315"/>
      <c r="GB14" s="315"/>
      <c r="GC14" s="316"/>
      <c r="GD14" s="362"/>
      <c r="GE14" s="364"/>
      <c r="GF14" s="317"/>
      <c r="GG14" s="317"/>
      <c r="GH14" s="315"/>
      <c r="GI14" s="315"/>
      <c r="IF14" s="41" t="s">
        <v>91</v>
      </c>
      <c r="IG14" s="41">
        <v>5</v>
      </c>
      <c r="IH14" s="315"/>
      <c r="II14" s="315"/>
      <c r="IJ14" s="316"/>
      <c r="IK14" s="362"/>
      <c r="IL14" s="364"/>
      <c r="IM14" s="317"/>
      <c r="IN14" s="317"/>
      <c r="IO14" s="315"/>
      <c r="IP14" s="315"/>
      <c r="KM14" s="41" t="s">
        <v>91</v>
      </c>
      <c r="KN14" s="41">
        <v>6</v>
      </c>
      <c r="KO14" s="315"/>
      <c r="KP14" s="315"/>
      <c r="KQ14" s="316"/>
      <c r="KR14" s="362"/>
      <c r="KS14" s="364"/>
      <c r="KT14" s="317"/>
      <c r="KU14" s="317"/>
      <c r="KV14" s="315"/>
      <c r="KW14" s="315"/>
    </row>
    <row r="15" spans="1:356" x14ac:dyDescent="0.25">
      <c r="C15" s="56"/>
      <c r="F15" s="36">
        <f>+IF(E14=$A$76,E13,IF(E14=$B$76,$A$77+E13,IF(E14=$C$76,$A$77+$B$77+E13,IF(E14=$D$76,$A$77+$B$77+$C$77+E13,IF(E14=$E$76,$A$77+$B$77+$C$77+$D$77+E13,IF(E14=$F$76,$A$77+$B$77+$C$77+$D$77+$E$77+E13,IF(E14=$G$76,$A$77+$B$77+$C$77+$D$77+$E$77+$F$77+E13,IF(E14=$H$76,$A$77+$B$77+$C$77+$D$77+$E$77+$F$77+$G$77+E13,IF(E14=$I$76,$A$77+$B$77+$C$77+$D$77+$E$77+$F$77+$G$77+$H$77+E13,IF(E14=$J$76,$A$77+$B$77+$C$77+$D$77+$E$77+$F$77+$G$77+$H$77+$I$77+E13,IF(E14=$K$76,$A$77+$B$77+$C$77+$D$77+$E$77+$F$77+$G$77+$H$77+$I$77+$J$77+E13,IF(E14=$L$76,$A$77+$B$77+$C$77+$D$77+$E$77+$F$77+$G$77+$H$77+$I$77+$J$77+$K$77+E13,"error"))))))))))))</f>
        <v>21</v>
      </c>
      <c r="G15" s="38">
        <f>23.45*SIN(RADIANS(360*((284+F15)/365)))</f>
        <v>-20.13801482156758</v>
      </c>
      <c r="H15" s="41">
        <f>+IF($C$4&gt;89.9,89.9,IF($C$4&lt;-89.9,-89.9,$C$4))</f>
        <v>29.08</v>
      </c>
      <c r="I15" s="36">
        <f>(F15-1)*2*PI()/365</f>
        <v>0.34428412642079925</v>
      </c>
      <c r="J15" s="36">
        <f>Temp!H2</f>
        <v>211</v>
      </c>
      <c r="K15" s="36">
        <f>EXP(-0.0001184*J15)</f>
        <v>0.9753270776338413</v>
      </c>
      <c r="L15" s="38">
        <f>1387*(1.00011+0.034221*COS(I15)+0.00128*SIN(I15)+0.000719*COS(2*I15)+0.000077*SIN(2*I15))</f>
        <v>1433.268874892344</v>
      </c>
      <c r="M15" s="75">
        <f>+A8</f>
        <v>0</v>
      </c>
      <c r="N15" s="75">
        <f>+B8</f>
        <v>90</v>
      </c>
      <c r="O15" s="45"/>
      <c r="P15" s="45"/>
      <c r="Q15" s="45"/>
      <c r="R15" s="45"/>
      <c r="S15" s="359" t="s">
        <v>139</v>
      </c>
      <c r="T15" s="360"/>
      <c r="U15" s="360"/>
      <c r="V15" s="360"/>
      <c r="W15" s="360"/>
      <c r="X15" s="361"/>
      <c r="Y15" s="359" t="s">
        <v>140</v>
      </c>
      <c r="Z15" s="360"/>
      <c r="AA15" s="360"/>
      <c r="AB15" s="360"/>
      <c r="AC15" s="360"/>
      <c r="AD15" s="361"/>
      <c r="AE15" s="315" t="s">
        <v>153</v>
      </c>
      <c r="AF15" s="315"/>
      <c r="AJ15" s="315" t="s">
        <v>154</v>
      </c>
      <c r="AK15" s="315"/>
      <c r="AL15" s="315"/>
      <c r="AM15" s="315"/>
      <c r="AN15" s="315"/>
      <c r="AO15" s="315"/>
      <c r="AP15" s="315"/>
      <c r="AQ15" s="315"/>
      <c r="AR15" s="315"/>
      <c r="AS15" s="315" t="s">
        <v>155</v>
      </c>
      <c r="AT15" s="315"/>
      <c r="AU15" s="315"/>
      <c r="AV15" s="315"/>
      <c r="AW15" s="315"/>
      <c r="AX15" s="315"/>
      <c r="AY15" s="315"/>
      <c r="AZ15" s="315"/>
      <c r="BA15" s="315"/>
      <c r="BB15" s="315" t="s">
        <v>156</v>
      </c>
      <c r="BC15" s="315"/>
      <c r="BD15" s="315" t="s">
        <v>157</v>
      </c>
      <c r="BE15" s="315"/>
      <c r="BM15" s="36">
        <f>+IF(BL14=$A$76,BL13,IF(BL14=$B$76,$A$77+BL13,IF(BL14=$C$76,$A$77+$B$77+BL13,IF(BL14=$D$76,$A$77+$B$77+$C$77+BL13,IF(BL14=$E$76,$A$77+$B$77+$C$77+$D$77+BL13,IF(BL14=$F$76,$A$77+$B$77+$C$77+$D$77+$E$77+BL13,IF(BL14=$G$76,$A$77+$B$77+$C$77+$D$77+$E$77+$F$77+BL13,IF(BL14=$H$76,$A$77+$B$77+$C$77+$D$77+$E$77+$F$77+$G$77+BL13,IF(BL14=$I$76,$A$77+$B$77+$C$77+$D$77+$E$77+$F$77+$G$77+$H$77+BL13,IF(BL14=$J$76,$A$77+$B$77+$C$77+$D$77+$E$77+$F$77+$G$77+$H$77+$I$77+BL13,IF(BL14=$K$76,$A$77+$B$77+$C$77+$D$77+$E$77+$F$77+$G$77+$H$77+$I$77+$J$77+BL13,IF(BL14=$L$76,$A$77+$B$77+$C$77+$D$77+$E$77+$F$77+$G$77+$H$77+$I$77+$J$77+$K$77+BL13,"error"))))))))))))</f>
        <v>52</v>
      </c>
      <c r="BN15" s="38">
        <f>23.45*SIN(RADIANS(360*((284+BM15)/365)))</f>
        <v>-11.226308550715235</v>
      </c>
      <c r="BO15" s="41">
        <f>+IF($C$4&gt;89.9,89.9,IF($C$4&lt;-89.9,-89.9,$C$4))</f>
        <v>29.08</v>
      </c>
      <c r="BP15" s="84">
        <f>(BM15-1)*2*PI()/365</f>
        <v>0.87792452237303809</v>
      </c>
      <c r="BQ15" s="84">
        <f>J15</f>
        <v>211</v>
      </c>
      <c r="BR15" s="84">
        <f>EXP(-0.0001184*BQ15)</f>
        <v>0.9753270776338413</v>
      </c>
      <c r="BS15" s="38">
        <f>1387*(1.00011+0.034221*COS(BP15)+0.00128*SIN(BP15)+0.000719*COS(2*BP15)+0.000077*SIN(2*BP15))</f>
        <v>1418.7579801608952</v>
      </c>
      <c r="BT15" s="84">
        <f>+A8</f>
        <v>0</v>
      </c>
      <c r="BU15" s="84">
        <f>+B8</f>
        <v>90</v>
      </c>
      <c r="BV15" s="45"/>
      <c r="BW15" s="45"/>
      <c r="BX15" s="45"/>
      <c r="BY15" s="45"/>
      <c r="BZ15" s="359" t="s">
        <v>139</v>
      </c>
      <c r="CA15" s="360"/>
      <c r="CB15" s="360"/>
      <c r="CC15" s="360"/>
      <c r="CD15" s="360"/>
      <c r="CE15" s="361"/>
      <c r="CF15" s="359" t="s">
        <v>140</v>
      </c>
      <c r="CG15" s="360"/>
      <c r="CH15" s="360"/>
      <c r="CI15" s="360"/>
      <c r="CJ15" s="360"/>
      <c r="CK15" s="361"/>
      <c r="CL15" s="315" t="s">
        <v>153</v>
      </c>
      <c r="CM15" s="315"/>
      <c r="CQ15" s="315" t="s">
        <v>154</v>
      </c>
      <c r="CR15" s="315"/>
      <c r="CS15" s="315"/>
      <c r="CT15" s="315"/>
      <c r="CU15" s="315"/>
      <c r="CV15" s="315"/>
      <c r="CW15" s="315"/>
      <c r="CX15" s="315"/>
      <c r="CY15" s="315"/>
      <c r="CZ15" s="315" t="s">
        <v>155</v>
      </c>
      <c r="DA15" s="315"/>
      <c r="DB15" s="315"/>
      <c r="DC15" s="315"/>
      <c r="DD15" s="315"/>
      <c r="DE15" s="315"/>
      <c r="DF15" s="315"/>
      <c r="DG15" s="315"/>
      <c r="DH15" s="315"/>
      <c r="DI15" s="315" t="s">
        <v>156</v>
      </c>
      <c r="DJ15" s="315"/>
      <c r="DK15" s="315" t="s">
        <v>157</v>
      </c>
      <c r="DL15" s="315"/>
      <c r="DT15" s="36">
        <f>+IF(DS14=$A$76,DS13,IF(DS14=$B$76,$A$77+DS13,IF(DS14=$C$76,$A$77+$B$77+DS13,IF(DS14=$D$76,$A$77+$B$77+$C$77+DS13,IF(DS14=$E$76,$A$77+$B$77+$C$77+$D$77+DS13,IF(DS14=$F$76,$A$77+$B$77+$C$77+$D$77+$E$77+DS13,IF(DS14=$G$76,$A$77+$B$77+$C$77+$D$77+$E$77+$F$77+DS13,IF(DS14=$H$76,$A$77+$B$77+$C$77+$D$77+$E$77+$F$77+$G$77+DS13,IF(DS14=$I$76,$A$77+$B$77+$C$77+$D$77+$E$77+$F$77+$G$77+$H$77+DS13,IF(DS14=$J$76,$A$77+$B$77+$C$77+$D$77+$E$77+$F$77+$G$77+$H$77+$I$77+DS13,IF(DS14=$K$76,$A$77+$B$77+$C$77+$D$77+$E$77+$F$77+$G$77+$H$77+$I$77+$J$77+DS13,IF(DS14=$L$76,$A$77+$B$77+$C$77+$D$77+$E$77+$F$77+$G$77+$H$77+$I$77+$J$77+$K$77+DS13,"error"))))))))))))</f>
        <v>80</v>
      </c>
      <c r="DU15" s="38">
        <f>23.45*SIN(RADIANS(360*((284+DT15)/365)))</f>
        <v>-0.40365320185431652</v>
      </c>
      <c r="DV15" s="41">
        <f>+IF($C$4&gt;89.9,89.9,IF($C$4&lt;-89.9,-89.9,$C$4))</f>
        <v>29.08</v>
      </c>
      <c r="DW15" s="84">
        <f>(DT15-1)*2*PI()/365</f>
        <v>1.3599222993621571</v>
      </c>
      <c r="DX15" s="84">
        <f>J15</f>
        <v>211</v>
      </c>
      <c r="DY15" s="84">
        <f>EXP(-0.0001184*DX15)</f>
        <v>0.9753270776338413</v>
      </c>
      <c r="DZ15" s="38">
        <f>1387*(1.00011+0.034221*COS(DW15)+0.00128*SIN(DW15)+0.000719*COS(2*DW15)+0.000077*SIN(2*DW15))</f>
        <v>1397.957473838919</v>
      </c>
      <c r="EA15" s="84">
        <f>+A8</f>
        <v>0</v>
      </c>
      <c r="EB15" s="84">
        <f>+B8</f>
        <v>90</v>
      </c>
      <c r="EC15" s="45"/>
      <c r="ED15" s="45"/>
      <c r="EE15" s="45"/>
      <c r="EF15" s="45"/>
      <c r="EG15" s="359" t="s">
        <v>139</v>
      </c>
      <c r="EH15" s="360"/>
      <c r="EI15" s="360"/>
      <c r="EJ15" s="360"/>
      <c r="EK15" s="360"/>
      <c r="EL15" s="361"/>
      <c r="EM15" s="359" t="s">
        <v>140</v>
      </c>
      <c r="EN15" s="360"/>
      <c r="EO15" s="360"/>
      <c r="EP15" s="360"/>
      <c r="EQ15" s="360"/>
      <c r="ER15" s="361"/>
      <c r="ES15" s="315" t="s">
        <v>153</v>
      </c>
      <c r="ET15" s="315"/>
      <c r="EX15" s="315" t="s">
        <v>154</v>
      </c>
      <c r="EY15" s="315"/>
      <c r="EZ15" s="315"/>
      <c r="FA15" s="315"/>
      <c r="FB15" s="315"/>
      <c r="FC15" s="315"/>
      <c r="FD15" s="315"/>
      <c r="FE15" s="315"/>
      <c r="FF15" s="315"/>
      <c r="FG15" s="315" t="s">
        <v>155</v>
      </c>
      <c r="FH15" s="315"/>
      <c r="FI15" s="315"/>
      <c r="FJ15" s="315"/>
      <c r="FK15" s="315"/>
      <c r="FL15" s="315"/>
      <c r="FM15" s="315"/>
      <c r="FN15" s="315"/>
      <c r="FO15" s="315"/>
      <c r="FP15" s="315" t="s">
        <v>156</v>
      </c>
      <c r="FQ15" s="315"/>
      <c r="FR15" s="315" t="s">
        <v>157</v>
      </c>
      <c r="FS15" s="315"/>
      <c r="GA15" s="36">
        <f>+IF(FZ14=$A$76,FZ13,IF(FZ14=$B$76,$A$77+FZ13,IF(FZ14=$C$76,$A$77+$B$77+FZ13,IF(FZ14=$D$76,$A$77+$B$77+$C$77+FZ13,IF(FZ14=$E$76,$A$77+$B$77+$C$77+$D$77+FZ13,IF(FZ14=$F$76,$A$77+$B$77+$C$77+$D$77+$E$77+FZ13,IF(FZ14=$G$76,$A$77+$B$77+$C$77+$D$77+$E$77+$F$77+FZ13,IF(FZ14=$H$76,$A$77+$B$77+$C$77+$D$77+$E$77+$F$77+$G$77+FZ13,IF(FZ14=$I$76,$A$77+$B$77+$C$77+$D$77+$E$77+$F$77+$G$77+$H$77+FZ13,IF(FZ14=$J$76,$A$77+$B$77+$C$77+$D$77+$E$77+$F$77+$G$77+$H$77+$I$77+FZ13,IF(FZ14=$K$76,$A$77+$B$77+$C$77+$D$77+$E$77+$F$77+$G$77+$H$77+$I$77+$J$77+FZ13,IF(FZ14=$L$76,$A$77+$B$77+$C$77+$D$77+$E$77+$F$77+$G$77+$H$77+$I$77+$J$77+$K$77+FZ13,"error"))))))))))))</f>
        <v>111</v>
      </c>
      <c r="GB15" s="38">
        <f>23.45*SIN(RADIANS(360*((284+GA15)/365)))</f>
        <v>11.57903665125146</v>
      </c>
      <c r="GC15" s="41">
        <f>+IF($C$4&gt;89.9,89.9,IF($C$4&lt;-89.9,-89.9,$C$4))</f>
        <v>29.08</v>
      </c>
      <c r="GD15" s="84">
        <f>(GA15-1)*2*PI()/365</f>
        <v>1.893562695314396</v>
      </c>
      <c r="GE15" s="84">
        <f>J15</f>
        <v>211</v>
      </c>
      <c r="GF15" s="84">
        <f>EXP(-0.0001184*GE15)</f>
        <v>0.9753270776338413</v>
      </c>
      <c r="GG15" s="38">
        <f>1387*(1.00011+0.034221*COS(GD15)+0.00128*SIN(GD15)+0.000719*COS(2*GD15)+0.000077*SIN(2*GD15))</f>
        <v>1372.9200807590109</v>
      </c>
      <c r="GH15" s="84">
        <f>+A8</f>
        <v>0</v>
      </c>
      <c r="GI15" s="84">
        <f>+B8</f>
        <v>90</v>
      </c>
      <c r="GJ15" s="45"/>
      <c r="GK15" s="45"/>
      <c r="GL15" s="45"/>
      <c r="GM15" s="45"/>
      <c r="GN15" s="359" t="s">
        <v>139</v>
      </c>
      <c r="GO15" s="360"/>
      <c r="GP15" s="360"/>
      <c r="GQ15" s="360"/>
      <c r="GR15" s="360"/>
      <c r="GS15" s="361"/>
      <c r="GT15" s="359" t="s">
        <v>140</v>
      </c>
      <c r="GU15" s="360"/>
      <c r="GV15" s="360"/>
      <c r="GW15" s="360"/>
      <c r="GX15" s="360"/>
      <c r="GY15" s="361"/>
      <c r="GZ15" s="315" t="s">
        <v>153</v>
      </c>
      <c r="HA15" s="315"/>
      <c r="HE15" s="315" t="s">
        <v>154</v>
      </c>
      <c r="HF15" s="315"/>
      <c r="HG15" s="315"/>
      <c r="HH15" s="315"/>
      <c r="HI15" s="315"/>
      <c r="HJ15" s="315"/>
      <c r="HK15" s="315"/>
      <c r="HL15" s="315"/>
      <c r="HM15" s="315"/>
      <c r="HN15" s="315" t="s">
        <v>155</v>
      </c>
      <c r="HO15" s="315"/>
      <c r="HP15" s="315"/>
      <c r="HQ15" s="315"/>
      <c r="HR15" s="315"/>
      <c r="HS15" s="315"/>
      <c r="HT15" s="315"/>
      <c r="HU15" s="315"/>
      <c r="HV15" s="315"/>
      <c r="HW15" s="315" t="s">
        <v>156</v>
      </c>
      <c r="HX15" s="315"/>
      <c r="HY15" s="315" t="s">
        <v>157</v>
      </c>
      <c r="HZ15" s="315"/>
      <c r="IH15" s="36">
        <f>+IF(IG14=$A$76,IG13,IF(IG14=$B$76,$A$77+IG13,IF(IG14=$C$76,$A$77+$B$77+IG13,IF(IG14=$D$76,$A$77+$B$77+$C$77+IG13,IF(IG14=$E$76,$A$77+$B$77+$C$77+$D$77+IG13,IF(IG14=$F$76,$A$77+$B$77+$C$77+$D$77+$E$77+IG13,IF(IG14=$G$76,$A$77+$B$77+$C$77+$D$77+$E$77+$F$77+IG13,IF(IG14=$H$76,$A$77+$B$77+$C$77+$D$77+$E$77+$F$77+$G$77+IG13,IF(IG14=$I$76,$A$77+$B$77+$C$77+$D$77+$E$77+$F$77+$G$77+$H$77+IG13,IF(IG14=$J$76,$A$77+$B$77+$C$77+$D$77+$E$77+$F$77+$G$77+$H$77+$I$77+IG13,IF(IG14=$K$76,$A$77+$B$77+$C$77+$D$77+$E$77+$F$77+$G$77+$H$77+$I$77+$J$77+IG13,IF(IG14=$L$76,$A$77+$B$77+$C$77+$D$77+$E$77+$F$77+$G$77+$H$77+$I$77+$J$77+$K$77+IG13,"error"))))))))))))</f>
        <v>141</v>
      </c>
      <c r="II15" s="38">
        <f>23.45*SIN(RADIANS(360*((284+IH15)/365)))</f>
        <v>20.138014821567584</v>
      </c>
      <c r="IJ15" s="41">
        <f>+IF($C$4&gt;89.9,89.9,IF($C$4&lt;-89.9,-89.9,$C$4))</f>
        <v>29.08</v>
      </c>
      <c r="IK15" s="87">
        <f>(IH15-1)*2*PI()/365</f>
        <v>2.4099888849455948</v>
      </c>
      <c r="IL15" s="87">
        <f>J15</f>
        <v>211</v>
      </c>
      <c r="IM15" s="87">
        <f>EXP(-0.0001184*IL15)</f>
        <v>0.9753270776338413</v>
      </c>
      <c r="IN15" s="38">
        <f>1387*(1.00011+0.034221*COS(IK15)+0.00128*SIN(IK15)+0.000719*COS(2*IK15)+0.000077*SIN(2*IK15))</f>
        <v>1353.0209872090061</v>
      </c>
      <c r="IO15" s="87">
        <f>+A8</f>
        <v>0</v>
      </c>
      <c r="IP15" s="88">
        <f>+B8</f>
        <v>90</v>
      </c>
      <c r="IQ15" s="45"/>
      <c r="IR15" s="45"/>
      <c r="IS15" s="45"/>
      <c r="IT15" s="45"/>
      <c r="IU15" s="359" t="s">
        <v>139</v>
      </c>
      <c r="IV15" s="360"/>
      <c r="IW15" s="360"/>
      <c r="IX15" s="360"/>
      <c r="IY15" s="360"/>
      <c r="IZ15" s="361"/>
      <c r="JA15" s="359" t="s">
        <v>140</v>
      </c>
      <c r="JB15" s="360"/>
      <c r="JC15" s="360"/>
      <c r="JD15" s="360"/>
      <c r="JE15" s="360"/>
      <c r="JF15" s="361"/>
      <c r="JG15" s="315" t="s">
        <v>153</v>
      </c>
      <c r="JH15" s="315"/>
      <c r="JL15" s="315" t="s">
        <v>154</v>
      </c>
      <c r="JM15" s="315"/>
      <c r="JN15" s="315"/>
      <c r="JO15" s="315"/>
      <c r="JP15" s="315"/>
      <c r="JQ15" s="315"/>
      <c r="JR15" s="315"/>
      <c r="JS15" s="315"/>
      <c r="JT15" s="315"/>
      <c r="JU15" s="315" t="s">
        <v>155</v>
      </c>
      <c r="JV15" s="315"/>
      <c r="JW15" s="315"/>
      <c r="JX15" s="315"/>
      <c r="JY15" s="315"/>
      <c r="JZ15" s="315"/>
      <c r="KA15" s="315"/>
      <c r="KB15" s="315"/>
      <c r="KC15" s="315"/>
      <c r="KD15" s="315" t="s">
        <v>156</v>
      </c>
      <c r="KE15" s="315"/>
      <c r="KF15" s="315" t="s">
        <v>157</v>
      </c>
      <c r="KG15" s="315"/>
      <c r="KO15" s="36">
        <f>+IF(KN14=$A$76,KN13,IF(KN14=$B$76,$A$77+KN13,IF(KN14=$C$76,$A$77+$B$77+KN13,IF(KN14=$D$76,$A$77+$B$77+$C$77+KN13,IF(KN14=$E$76,$A$77+$B$77+$C$77+$D$77+KN13,IF(KN14=$F$76,$A$77+$B$77+$C$77+$D$77+$E$77+KN13,IF(KN14=$G$76,$A$77+$B$77+$C$77+$D$77+$E$77+$F$77+KN13,IF(KN14=$H$76,$A$77+$B$77+$C$77+$D$77+$E$77+$F$77+$G$77+KN13,IF(KN14=$I$76,$A$77+$B$77+$C$77+$D$77+$E$77+$F$77+$G$77+$H$77+KN13,IF(KN14=$J$76,$A$77+$B$77+$C$77+$D$77+$E$77+$F$77+$G$77+$H$77+$I$77+KN13,IF(KN14=$K$76,$A$77+$B$77+$C$77+$D$77+$E$77+$F$77+$G$77+$H$77+$I$77+$J$77+KN13,IF(KN14=$L$76,$A$77+$B$77+$C$77+$D$77+$E$77+$F$77+$G$77+$H$77+$I$77+$J$77+$K$77+KN13,"error"))))))))))))</f>
        <v>172</v>
      </c>
      <c r="KP15" s="38">
        <f>23.45*SIN(RADIANS(360*((284+KO15)/365)))</f>
        <v>23.449782846813658</v>
      </c>
      <c r="KQ15" s="41">
        <f>+IF($C$4&gt;89.9,89.9,IF($C$4&lt;-89.9,-89.9,$C$4))</f>
        <v>29.08</v>
      </c>
      <c r="KR15" s="87">
        <f>(KO15-1)*2*PI()/365</f>
        <v>2.9436292808978335</v>
      </c>
      <c r="KS15" s="87">
        <f>J15</f>
        <v>211</v>
      </c>
      <c r="KT15" s="87">
        <f>EXP(-0.0001184*KS15)</f>
        <v>0.9753270776338413</v>
      </c>
      <c r="KU15" s="38">
        <f>1387*(1.00011+0.034221*COS(KR15)+0.00128*SIN(KR15)+0.000719*COS(2*KR15)+0.000077*SIN(2*KR15))</f>
        <v>1341.8431468388483</v>
      </c>
      <c r="KV15" s="87">
        <f>+A8</f>
        <v>0</v>
      </c>
      <c r="KW15" s="87">
        <f>+B8</f>
        <v>90</v>
      </c>
      <c r="KX15" s="45"/>
      <c r="KY15" s="45"/>
      <c r="KZ15" s="45"/>
      <c r="LA15" s="45"/>
      <c r="LB15" s="359" t="s">
        <v>139</v>
      </c>
      <c r="LC15" s="360"/>
      <c r="LD15" s="360"/>
      <c r="LE15" s="360"/>
      <c r="LF15" s="360"/>
      <c r="LG15" s="361"/>
      <c r="LH15" s="359" t="s">
        <v>140</v>
      </c>
      <c r="LI15" s="360"/>
      <c r="LJ15" s="360"/>
      <c r="LK15" s="360"/>
      <c r="LL15" s="360"/>
      <c r="LM15" s="361"/>
      <c r="LN15" s="315" t="s">
        <v>153</v>
      </c>
      <c r="LO15" s="315"/>
      <c r="LS15" s="315" t="s">
        <v>154</v>
      </c>
      <c r="LT15" s="315"/>
      <c r="LU15" s="315"/>
      <c r="LV15" s="315"/>
      <c r="LW15" s="315"/>
      <c r="LX15" s="315"/>
      <c r="LY15" s="315"/>
      <c r="LZ15" s="315"/>
      <c r="MA15" s="315"/>
      <c r="MB15" s="315" t="s">
        <v>155</v>
      </c>
      <c r="MC15" s="315"/>
      <c r="MD15" s="315"/>
      <c r="ME15" s="315"/>
      <c r="MF15" s="315"/>
      <c r="MG15" s="315"/>
      <c r="MH15" s="315"/>
      <c r="MI15" s="315"/>
      <c r="MJ15" s="315"/>
      <c r="MK15" s="315" t="s">
        <v>156</v>
      </c>
      <c r="ML15" s="315"/>
      <c r="MM15" s="315" t="s">
        <v>157</v>
      </c>
      <c r="MN15" s="315"/>
    </row>
    <row r="16" spans="1:356" ht="15" customHeight="1" x14ac:dyDescent="0.25">
      <c r="E16" s="317" t="s">
        <v>90</v>
      </c>
      <c r="F16" s="315"/>
      <c r="G16" s="315"/>
      <c r="H16" s="315"/>
      <c r="I16" s="355" t="s">
        <v>134</v>
      </c>
      <c r="J16" s="315"/>
      <c r="K16" s="365" t="s">
        <v>133</v>
      </c>
      <c r="L16" s="355" t="s">
        <v>49</v>
      </c>
      <c r="M16" s="356" t="s">
        <v>132</v>
      </c>
      <c r="N16" s="356"/>
      <c r="O16" s="357" t="s">
        <v>137</v>
      </c>
      <c r="P16" s="356"/>
      <c r="Q16" s="356" t="s">
        <v>138</v>
      </c>
      <c r="R16" s="358" t="s">
        <v>152</v>
      </c>
      <c r="S16" s="355" t="s">
        <v>136</v>
      </c>
      <c r="T16" s="355" t="s">
        <v>50</v>
      </c>
      <c r="U16" s="355" t="s">
        <v>150</v>
      </c>
      <c r="V16" s="355" t="s">
        <v>151</v>
      </c>
      <c r="W16" s="355"/>
      <c r="X16" s="355"/>
      <c r="Y16" s="355" t="s">
        <v>136</v>
      </c>
      <c r="Z16" s="355" t="s">
        <v>50</v>
      </c>
      <c r="AA16" s="355" t="s">
        <v>150</v>
      </c>
      <c r="AB16" s="355" t="s">
        <v>151</v>
      </c>
      <c r="AC16" s="355"/>
      <c r="AD16" s="355"/>
      <c r="AE16" s="355"/>
      <c r="AF16" s="355"/>
      <c r="AG16" s="315"/>
      <c r="AH16" s="355" t="s">
        <v>136</v>
      </c>
      <c r="AI16" s="355" t="s">
        <v>50</v>
      </c>
      <c r="AJ16" s="355"/>
      <c r="AK16" s="355"/>
      <c r="AL16" s="355"/>
      <c r="AM16" s="355"/>
      <c r="AN16" s="355"/>
      <c r="AO16" s="355"/>
      <c r="AP16" s="355"/>
      <c r="AQ16" s="355"/>
      <c r="AR16" s="355"/>
      <c r="AS16" s="355"/>
      <c r="AT16" s="355"/>
      <c r="AU16" s="355"/>
      <c r="AV16" s="355"/>
      <c r="AW16" s="355"/>
      <c r="AX16" s="355"/>
      <c r="AY16" s="355"/>
      <c r="AZ16" s="355"/>
      <c r="BA16" s="355"/>
      <c r="BB16" s="355"/>
      <c r="BC16" s="355"/>
      <c r="BD16" s="355"/>
      <c r="BE16" s="355"/>
      <c r="BF16" s="355"/>
      <c r="BG16" s="355"/>
      <c r="BH16" s="355"/>
      <c r="BI16" s="355"/>
      <c r="BJ16" s="323"/>
      <c r="BL16" s="317" t="s">
        <v>90</v>
      </c>
      <c r="BM16" s="317"/>
      <c r="BN16" s="315"/>
      <c r="BO16" s="315"/>
      <c r="BP16" s="355" t="s">
        <v>134</v>
      </c>
      <c r="BQ16" s="315"/>
      <c r="BR16" s="365" t="s">
        <v>133</v>
      </c>
      <c r="BS16" s="355" t="s">
        <v>49</v>
      </c>
      <c r="BT16" s="356" t="s">
        <v>132</v>
      </c>
      <c r="BU16" s="356"/>
      <c r="BV16" s="357" t="s">
        <v>137</v>
      </c>
      <c r="BW16" s="356"/>
      <c r="BX16" s="356" t="s">
        <v>138</v>
      </c>
      <c r="BY16" s="358" t="s">
        <v>152</v>
      </c>
      <c r="BZ16" s="355" t="s">
        <v>136</v>
      </c>
      <c r="CA16" s="355" t="s">
        <v>50</v>
      </c>
      <c r="CB16" s="355" t="s">
        <v>150</v>
      </c>
      <c r="CC16" s="355" t="s">
        <v>151</v>
      </c>
      <c r="CD16" s="355"/>
      <c r="CE16" s="355"/>
      <c r="CF16" s="355" t="s">
        <v>136</v>
      </c>
      <c r="CG16" s="355" t="s">
        <v>50</v>
      </c>
      <c r="CH16" s="355" t="s">
        <v>150</v>
      </c>
      <c r="CI16" s="355" t="s">
        <v>151</v>
      </c>
      <c r="CJ16" s="355"/>
      <c r="CK16" s="355"/>
      <c r="CL16" s="355"/>
      <c r="CM16" s="355"/>
      <c r="CN16" s="315"/>
      <c r="CO16" s="355" t="s">
        <v>136</v>
      </c>
      <c r="CP16" s="355" t="s">
        <v>50</v>
      </c>
      <c r="CQ16" s="355"/>
      <c r="CR16" s="355"/>
      <c r="CS16" s="355"/>
      <c r="CT16" s="355"/>
      <c r="CU16" s="355"/>
      <c r="CV16" s="355"/>
      <c r="CW16" s="355"/>
      <c r="CX16" s="355"/>
      <c r="CY16" s="355"/>
      <c r="CZ16" s="355"/>
      <c r="DA16" s="355"/>
      <c r="DB16" s="355"/>
      <c r="DC16" s="355"/>
      <c r="DD16" s="355"/>
      <c r="DE16" s="355"/>
      <c r="DF16" s="355"/>
      <c r="DG16" s="355"/>
      <c r="DH16" s="355"/>
      <c r="DI16" s="355"/>
      <c r="DJ16" s="355"/>
      <c r="DK16" s="355"/>
      <c r="DL16" s="355"/>
      <c r="DM16" s="355"/>
      <c r="DN16" s="355"/>
      <c r="DO16" s="355"/>
      <c r="DP16" s="355"/>
      <c r="DS16" s="317" t="s">
        <v>90</v>
      </c>
      <c r="DT16" s="315"/>
      <c r="DU16" s="315"/>
      <c r="DV16" s="315"/>
      <c r="DW16" s="355" t="s">
        <v>134</v>
      </c>
      <c r="DX16" s="315"/>
      <c r="DY16" s="365" t="s">
        <v>133</v>
      </c>
      <c r="DZ16" s="355" t="s">
        <v>49</v>
      </c>
      <c r="EA16" s="356" t="s">
        <v>132</v>
      </c>
      <c r="EB16" s="356"/>
      <c r="EC16" s="357" t="s">
        <v>137</v>
      </c>
      <c r="ED16" s="356"/>
      <c r="EE16" s="356" t="s">
        <v>138</v>
      </c>
      <c r="EF16" s="358" t="s">
        <v>152</v>
      </c>
      <c r="EG16" s="355" t="s">
        <v>136</v>
      </c>
      <c r="EH16" s="355" t="s">
        <v>50</v>
      </c>
      <c r="EI16" s="355" t="s">
        <v>150</v>
      </c>
      <c r="EJ16" s="355" t="s">
        <v>151</v>
      </c>
      <c r="EK16" s="355"/>
      <c r="EL16" s="355"/>
      <c r="EM16" s="355" t="s">
        <v>136</v>
      </c>
      <c r="EN16" s="355" t="s">
        <v>50</v>
      </c>
      <c r="EO16" s="355" t="s">
        <v>150</v>
      </c>
      <c r="EP16" s="355" t="s">
        <v>151</v>
      </c>
      <c r="EQ16" s="355"/>
      <c r="ER16" s="355"/>
      <c r="ES16" s="355"/>
      <c r="ET16" s="355"/>
      <c r="EU16" s="315"/>
      <c r="EV16" s="355" t="s">
        <v>136</v>
      </c>
      <c r="EW16" s="355" t="s">
        <v>50</v>
      </c>
      <c r="EX16" s="355"/>
      <c r="EY16" s="355"/>
      <c r="EZ16" s="355"/>
      <c r="FA16" s="355"/>
      <c r="FB16" s="355"/>
      <c r="FC16" s="355"/>
      <c r="FD16" s="355"/>
      <c r="FE16" s="355"/>
      <c r="FF16" s="355"/>
      <c r="FG16" s="355"/>
      <c r="FH16" s="355"/>
      <c r="FI16" s="355"/>
      <c r="FJ16" s="355"/>
      <c r="FK16" s="355"/>
      <c r="FL16" s="355"/>
      <c r="FM16" s="355"/>
      <c r="FN16" s="355"/>
      <c r="FO16" s="355"/>
      <c r="FP16" s="355"/>
      <c r="FQ16" s="355"/>
      <c r="FR16" s="355"/>
      <c r="FS16" s="355"/>
      <c r="FT16" s="355"/>
      <c r="FU16" s="355"/>
      <c r="FV16" s="355"/>
      <c r="FW16" s="355"/>
      <c r="FX16" s="50"/>
      <c r="FZ16" s="317" t="s">
        <v>90</v>
      </c>
      <c r="GA16" s="315"/>
      <c r="GB16" s="315"/>
      <c r="GC16" s="315"/>
      <c r="GD16" s="355" t="s">
        <v>134</v>
      </c>
      <c r="GE16" s="315"/>
      <c r="GF16" s="365" t="s">
        <v>133</v>
      </c>
      <c r="GG16" s="355" t="s">
        <v>49</v>
      </c>
      <c r="GH16" s="356" t="s">
        <v>132</v>
      </c>
      <c r="GI16" s="356"/>
      <c r="GJ16" s="357" t="s">
        <v>137</v>
      </c>
      <c r="GK16" s="356"/>
      <c r="GL16" s="356" t="s">
        <v>138</v>
      </c>
      <c r="GM16" s="358" t="s">
        <v>152</v>
      </c>
      <c r="GN16" s="355" t="s">
        <v>136</v>
      </c>
      <c r="GO16" s="355" t="s">
        <v>50</v>
      </c>
      <c r="GP16" s="355" t="s">
        <v>150</v>
      </c>
      <c r="GQ16" s="355" t="s">
        <v>151</v>
      </c>
      <c r="GR16" s="355"/>
      <c r="GS16" s="355"/>
      <c r="GT16" s="355" t="s">
        <v>136</v>
      </c>
      <c r="GU16" s="355" t="s">
        <v>50</v>
      </c>
      <c r="GV16" s="355" t="s">
        <v>150</v>
      </c>
      <c r="GW16" s="355" t="s">
        <v>151</v>
      </c>
      <c r="GX16" s="355"/>
      <c r="GY16" s="355"/>
      <c r="GZ16" s="355"/>
      <c r="HA16" s="355"/>
      <c r="HB16" s="315"/>
      <c r="HC16" s="355" t="s">
        <v>136</v>
      </c>
      <c r="HD16" s="355" t="s">
        <v>50</v>
      </c>
      <c r="HE16" s="355"/>
      <c r="HF16" s="355"/>
      <c r="HG16" s="355"/>
      <c r="HH16" s="355"/>
      <c r="HI16" s="355"/>
      <c r="HJ16" s="355"/>
      <c r="HK16" s="355"/>
      <c r="HL16" s="355"/>
      <c r="HM16" s="355"/>
      <c r="HN16" s="355"/>
      <c r="HO16" s="355"/>
      <c r="HP16" s="355"/>
      <c r="HQ16" s="355"/>
      <c r="HR16" s="355"/>
      <c r="HS16" s="355"/>
      <c r="HT16" s="355"/>
      <c r="HU16" s="355"/>
      <c r="HV16" s="355"/>
      <c r="HW16" s="355"/>
      <c r="HX16" s="355"/>
      <c r="HY16" s="355"/>
      <c r="HZ16" s="355"/>
      <c r="IA16" s="355"/>
      <c r="IB16" s="355"/>
      <c r="IC16" s="355"/>
      <c r="ID16" s="355"/>
      <c r="IE16" s="50"/>
      <c r="IG16" s="317" t="s">
        <v>90</v>
      </c>
      <c r="IH16" s="315"/>
      <c r="II16" s="315"/>
      <c r="IJ16" s="315"/>
      <c r="IK16" s="355" t="s">
        <v>134</v>
      </c>
      <c r="IL16" s="315"/>
      <c r="IM16" s="365" t="s">
        <v>133</v>
      </c>
      <c r="IN16" s="355" t="s">
        <v>49</v>
      </c>
      <c r="IO16" s="356" t="s">
        <v>132</v>
      </c>
      <c r="IP16" s="356"/>
      <c r="IQ16" s="357" t="s">
        <v>137</v>
      </c>
      <c r="IR16" s="356"/>
      <c r="IS16" s="356" t="s">
        <v>138</v>
      </c>
      <c r="IT16" s="358" t="s">
        <v>152</v>
      </c>
      <c r="IU16" s="355" t="s">
        <v>136</v>
      </c>
      <c r="IV16" s="355" t="s">
        <v>50</v>
      </c>
      <c r="IW16" s="355" t="s">
        <v>150</v>
      </c>
      <c r="IX16" s="355" t="s">
        <v>151</v>
      </c>
      <c r="IY16" s="355"/>
      <c r="IZ16" s="355"/>
      <c r="JA16" s="355" t="s">
        <v>136</v>
      </c>
      <c r="JB16" s="355" t="s">
        <v>50</v>
      </c>
      <c r="JC16" s="355" t="s">
        <v>150</v>
      </c>
      <c r="JD16" s="355" t="s">
        <v>151</v>
      </c>
      <c r="JE16" s="355"/>
      <c r="JF16" s="355"/>
      <c r="JG16" s="355"/>
      <c r="JH16" s="355"/>
      <c r="JI16" s="315"/>
      <c r="JJ16" s="355" t="s">
        <v>136</v>
      </c>
      <c r="JK16" s="355" t="s">
        <v>50</v>
      </c>
      <c r="JL16" s="355"/>
      <c r="JM16" s="355"/>
      <c r="JN16" s="355"/>
      <c r="JO16" s="355"/>
      <c r="JP16" s="355"/>
      <c r="JQ16" s="355"/>
      <c r="JR16" s="355"/>
      <c r="JS16" s="355"/>
      <c r="JT16" s="355"/>
      <c r="JU16" s="355"/>
      <c r="JV16" s="355"/>
      <c r="JW16" s="355"/>
      <c r="JX16" s="355"/>
      <c r="JY16" s="355"/>
      <c r="JZ16" s="355"/>
      <c r="KA16" s="355"/>
      <c r="KB16" s="355"/>
      <c r="KC16" s="355"/>
      <c r="KD16" s="355"/>
      <c r="KE16" s="355"/>
      <c r="KF16" s="355"/>
      <c r="KG16" s="355"/>
      <c r="KH16" s="355"/>
      <c r="KI16" s="355"/>
      <c r="KJ16" s="355"/>
      <c r="KK16" s="355"/>
      <c r="KL16" s="50"/>
      <c r="KN16" s="317" t="s">
        <v>90</v>
      </c>
      <c r="KO16" s="315"/>
      <c r="KP16" s="315"/>
      <c r="KQ16" s="315"/>
      <c r="KR16" s="355" t="s">
        <v>134</v>
      </c>
      <c r="KS16" s="315"/>
      <c r="KT16" s="365" t="s">
        <v>133</v>
      </c>
      <c r="KU16" s="355" t="s">
        <v>49</v>
      </c>
      <c r="KV16" s="356" t="s">
        <v>132</v>
      </c>
      <c r="KW16" s="356"/>
      <c r="KX16" s="357" t="s">
        <v>137</v>
      </c>
      <c r="KY16" s="356"/>
      <c r="KZ16" s="356" t="s">
        <v>138</v>
      </c>
      <c r="LA16" s="358" t="s">
        <v>152</v>
      </c>
      <c r="LB16" s="355" t="s">
        <v>136</v>
      </c>
      <c r="LC16" s="355" t="s">
        <v>50</v>
      </c>
      <c r="LD16" s="355" t="s">
        <v>150</v>
      </c>
      <c r="LE16" s="355" t="s">
        <v>151</v>
      </c>
      <c r="LF16" s="355"/>
      <c r="LG16" s="355"/>
      <c r="LH16" s="355" t="s">
        <v>136</v>
      </c>
      <c r="LI16" s="355" t="s">
        <v>50</v>
      </c>
      <c r="LJ16" s="355" t="s">
        <v>150</v>
      </c>
      <c r="LK16" s="355" t="s">
        <v>151</v>
      </c>
      <c r="LL16" s="355"/>
      <c r="LM16" s="355"/>
      <c r="LN16" s="355"/>
      <c r="LO16" s="355"/>
      <c r="LP16" s="315"/>
      <c r="LQ16" s="355" t="s">
        <v>136</v>
      </c>
      <c r="LR16" s="355" t="s">
        <v>50</v>
      </c>
      <c r="LS16" s="355"/>
      <c r="LT16" s="355"/>
      <c r="LU16" s="355"/>
      <c r="LV16" s="355"/>
      <c r="LW16" s="355"/>
      <c r="LX16" s="355"/>
      <c r="LY16" s="355"/>
      <c r="LZ16" s="355"/>
      <c r="MA16" s="355"/>
      <c r="MB16" s="355"/>
      <c r="MC16" s="355"/>
      <c r="MD16" s="355"/>
      <c r="ME16" s="355"/>
      <c r="MF16" s="355"/>
      <c r="MG16" s="355"/>
      <c r="MH16" s="355"/>
      <c r="MI16" s="355"/>
      <c r="MJ16" s="355"/>
      <c r="MK16" s="355"/>
      <c r="ML16" s="355"/>
      <c r="MM16" s="355"/>
      <c r="MN16" s="355"/>
      <c r="MO16" s="355"/>
      <c r="MP16" s="355"/>
      <c r="MQ16" s="355"/>
      <c r="MR16" s="355"/>
    </row>
    <row r="17" spans="5:356" ht="15" customHeight="1" x14ac:dyDescent="0.25">
      <c r="E17" s="318"/>
      <c r="F17" s="315"/>
      <c r="G17" s="315"/>
      <c r="H17" s="315"/>
      <c r="I17" s="355"/>
      <c r="J17" s="315"/>
      <c r="K17" s="355"/>
      <c r="L17" s="355"/>
      <c r="M17" s="355"/>
      <c r="N17" s="355"/>
      <c r="O17" s="355"/>
      <c r="P17" s="355"/>
      <c r="Q17" s="355"/>
      <c r="R17" s="355"/>
      <c r="S17" s="355"/>
      <c r="T17" s="355"/>
      <c r="U17" s="355"/>
      <c r="V17" s="355"/>
      <c r="W17" s="355"/>
      <c r="X17" s="355"/>
      <c r="Y17" s="355"/>
      <c r="Z17" s="355"/>
      <c r="AA17" s="355"/>
      <c r="AB17" s="355"/>
      <c r="AC17" s="355"/>
      <c r="AD17" s="355"/>
      <c r="AE17" s="355"/>
      <c r="AF17" s="355"/>
      <c r="AG17" s="315"/>
      <c r="AH17" s="355"/>
      <c r="AI17" s="355"/>
      <c r="AJ17" s="355"/>
      <c r="AK17" s="355"/>
      <c r="AL17" s="355"/>
      <c r="AM17" s="355"/>
      <c r="AN17" s="355"/>
      <c r="AO17" s="355"/>
      <c r="AP17" s="355"/>
      <c r="AQ17" s="355"/>
      <c r="AR17" s="355"/>
      <c r="AS17" s="355"/>
      <c r="AT17" s="355"/>
      <c r="AU17" s="355"/>
      <c r="AV17" s="355"/>
      <c r="AW17" s="355"/>
      <c r="AX17" s="355"/>
      <c r="AY17" s="355"/>
      <c r="AZ17" s="355"/>
      <c r="BA17" s="355"/>
      <c r="BB17" s="355"/>
      <c r="BC17" s="355"/>
      <c r="BD17" s="355"/>
      <c r="BE17" s="355"/>
      <c r="BF17" s="355"/>
      <c r="BG17" s="355"/>
      <c r="BH17" s="355"/>
      <c r="BI17" s="355"/>
      <c r="BJ17" s="323"/>
      <c r="BL17" s="318"/>
      <c r="BM17" s="318"/>
      <c r="BN17" s="315"/>
      <c r="BO17" s="315"/>
      <c r="BP17" s="355"/>
      <c r="BQ17" s="315"/>
      <c r="BR17" s="355"/>
      <c r="BS17" s="355"/>
      <c r="BT17" s="355"/>
      <c r="BU17" s="355"/>
      <c r="BV17" s="355"/>
      <c r="BW17" s="355"/>
      <c r="BX17" s="355"/>
      <c r="BY17" s="355"/>
      <c r="BZ17" s="355"/>
      <c r="CA17" s="355"/>
      <c r="CB17" s="355"/>
      <c r="CC17" s="355"/>
      <c r="CD17" s="355"/>
      <c r="CE17" s="355"/>
      <c r="CF17" s="355"/>
      <c r="CG17" s="355"/>
      <c r="CH17" s="355"/>
      <c r="CI17" s="355"/>
      <c r="CJ17" s="355"/>
      <c r="CK17" s="355"/>
      <c r="CL17" s="355"/>
      <c r="CM17" s="355"/>
      <c r="CN17" s="315"/>
      <c r="CO17" s="355"/>
      <c r="CP17" s="355"/>
      <c r="CQ17" s="355"/>
      <c r="CR17" s="355"/>
      <c r="CS17" s="355"/>
      <c r="CT17" s="355"/>
      <c r="CU17" s="355"/>
      <c r="CV17" s="355"/>
      <c r="CW17" s="355"/>
      <c r="CX17" s="355"/>
      <c r="CY17" s="355"/>
      <c r="CZ17" s="355"/>
      <c r="DA17" s="355"/>
      <c r="DB17" s="355"/>
      <c r="DC17" s="355"/>
      <c r="DD17" s="355"/>
      <c r="DE17" s="355"/>
      <c r="DF17" s="355"/>
      <c r="DG17" s="355"/>
      <c r="DH17" s="355"/>
      <c r="DI17" s="355"/>
      <c r="DJ17" s="355"/>
      <c r="DK17" s="355"/>
      <c r="DL17" s="355"/>
      <c r="DM17" s="355"/>
      <c r="DN17" s="355"/>
      <c r="DO17" s="355"/>
      <c r="DP17" s="355"/>
      <c r="DS17" s="318"/>
      <c r="DT17" s="315"/>
      <c r="DU17" s="315"/>
      <c r="DV17" s="315"/>
      <c r="DW17" s="355"/>
      <c r="DX17" s="315"/>
      <c r="DY17" s="355"/>
      <c r="DZ17" s="355"/>
      <c r="EA17" s="355"/>
      <c r="EB17" s="355"/>
      <c r="EC17" s="355"/>
      <c r="ED17" s="355"/>
      <c r="EE17" s="355"/>
      <c r="EF17" s="355"/>
      <c r="EG17" s="355"/>
      <c r="EH17" s="355"/>
      <c r="EI17" s="355"/>
      <c r="EJ17" s="355"/>
      <c r="EK17" s="355"/>
      <c r="EL17" s="355"/>
      <c r="EM17" s="355"/>
      <c r="EN17" s="355"/>
      <c r="EO17" s="355"/>
      <c r="EP17" s="355"/>
      <c r="EQ17" s="355"/>
      <c r="ER17" s="355"/>
      <c r="ES17" s="355"/>
      <c r="ET17" s="355"/>
      <c r="EU17" s="315"/>
      <c r="EV17" s="355"/>
      <c r="EW17" s="355"/>
      <c r="EX17" s="355"/>
      <c r="EY17" s="355"/>
      <c r="EZ17" s="355"/>
      <c r="FA17" s="355"/>
      <c r="FB17" s="355"/>
      <c r="FC17" s="355"/>
      <c r="FD17" s="355"/>
      <c r="FE17" s="355"/>
      <c r="FF17" s="355"/>
      <c r="FG17" s="355"/>
      <c r="FH17" s="355"/>
      <c r="FI17" s="355"/>
      <c r="FJ17" s="355"/>
      <c r="FK17" s="355"/>
      <c r="FL17" s="355"/>
      <c r="FM17" s="355"/>
      <c r="FN17" s="355"/>
      <c r="FO17" s="355"/>
      <c r="FP17" s="355"/>
      <c r="FQ17" s="355"/>
      <c r="FR17" s="355"/>
      <c r="FS17" s="355"/>
      <c r="FT17" s="355"/>
      <c r="FU17" s="355"/>
      <c r="FV17" s="355"/>
      <c r="FW17" s="355"/>
      <c r="FX17" s="50"/>
      <c r="FZ17" s="318"/>
      <c r="GA17" s="315"/>
      <c r="GB17" s="315"/>
      <c r="GC17" s="315"/>
      <c r="GD17" s="355"/>
      <c r="GE17" s="315"/>
      <c r="GF17" s="355"/>
      <c r="GG17" s="355"/>
      <c r="GH17" s="355"/>
      <c r="GI17" s="355"/>
      <c r="GJ17" s="355"/>
      <c r="GK17" s="355"/>
      <c r="GL17" s="355"/>
      <c r="GM17" s="355"/>
      <c r="GN17" s="355"/>
      <c r="GO17" s="355"/>
      <c r="GP17" s="355"/>
      <c r="GQ17" s="355"/>
      <c r="GR17" s="355"/>
      <c r="GS17" s="355"/>
      <c r="GT17" s="355"/>
      <c r="GU17" s="355"/>
      <c r="GV17" s="355"/>
      <c r="GW17" s="355"/>
      <c r="GX17" s="355"/>
      <c r="GY17" s="355"/>
      <c r="GZ17" s="355"/>
      <c r="HA17" s="355"/>
      <c r="HB17" s="315"/>
      <c r="HC17" s="355"/>
      <c r="HD17" s="355"/>
      <c r="HE17" s="355"/>
      <c r="HF17" s="355"/>
      <c r="HG17" s="355"/>
      <c r="HH17" s="355"/>
      <c r="HI17" s="355"/>
      <c r="HJ17" s="355"/>
      <c r="HK17" s="355"/>
      <c r="HL17" s="355"/>
      <c r="HM17" s="355"/>
      <c r="HN17" s="355"/>
      <c r="HO17" s="355"/>
      <c r="HP17" s="355"/>
      <c r="HQ17" s="355"/>
      <c r="HR17" s="355"/>
      <c r="HS17" s="355"/>
      <c r="HT17" s="355"/>
      <c r="HU17" s="355"/>
      <c r="HV17" s="355"/>
      <c r="HW17" s="355"/>
      <c r="HX17" s="355"/>
      <c r="HY17" s="355"/>
      <c r="HZ17" s="355"/>
      <c r="IA17" s="355"/>
      <c r="IB17" s="355"/>
      <c r="IC17" s="355"/>
      <c r="ID17" s="355"/>
      <c r="IE17" s="50"/>
      <c r="IG17" s="318"/>
      <c r="IH17" s="315"/>
      <c r="II17" s="315"/>
      <c r="IJ17" s="315"/>
      <c r="IK17" s="355"/>
      <c r="IL17" s="315"/>
      <c r="IM17" s="355"/>
      <c r="IN17" s="355"/>
      <c r="IO17" s="355"/>
      <c r="IP17" s="355"/>
      <c r="IQ17" s="355"/>
      <c r="IR17" s="355"/>
      <c r="IS17" s="355"/>
      <c r="IT17" s="355"/>
      <c r="IU17" s="355"/>
      <c r="IV17" s="355"/>
      <c r="IW17" s="355"/>
      <c r="IX17" s="355"/>
      <c r="IY17" s="355"/>
      <c r="IZ17" s="355"/>
      <c r="JA17" s="355"/>
      <c r="JB17" s="355"/>
      <c r="JC17" s="355"/>
      <c r="JD17" s="355"/>
      <c r="JE17" s="355"/>
      <c r="JF17" s="355"/>
      <c r="JG17" s="355"/>
      <c r="JH17" s="355"/>
      <c r="JI17" s="315"/>
      <c r="JJ17" s="355"/>
      <c r="JK17" s="355"/>
      <c r="JL17" s="355"/>
      <c r="JM17" s="355"/>
      <c r="JN17" s="355"/>
      <c r="JO17" s="355"/>
      <c r="JP17" s="355"/>
      <c r="JQ17" s="355"/>
      <c r="JR17" s="355"/>
      <c r="JS17" s="355"/>
      <c r="JT17" s="355"/>
      <c r="JU17" s="355"/>
      <c r="JV17" s="355"/>
      <c r="JW17" s="355"/>
      <c r="JX17" s="355"/>
      <c r="JY17" s="355"/>
      <c r="JZ17" s="355"/>
      <c r="KA17" s="355"/>
      <c r="KB17" s="355"/>
      <c r="KC17" s="355"/>
      <c r="KD17" s="355"/>
      <c r="KE17" s="355"/>
      <c r="KF17" s="355"/>
      <c r="KG17" s="355"/>
      <c r="KH17" s="355"/>
      <c r="KI17" s="355"/>
      <c r="KJ17" s="355"/>
      <c r="KK17" s="355"/>
      <c r="KL17" s="50"/>
      <c r="KN17" s="318"/>
      <c r="KO17" s="315"/>
      <c r="KP17" s="315"/>
      <c r="KQ17" s="315"/>
      <c r="KR17" s="355"/>
      <c r="KS17" s="315"/>
      <c r="KT17" s="355"/>
      <c r="KU17" s="355"/>
      <c r="KV17" s="355"/>
      <c r="KW17" s="355"/>
      <c r="KX17" s="355"/>
      <c r="KY17" s="355"/>
      <c r="KZ17" s="355"/>
      <c r="LA17" s="355"/>
      <c r="LB17" s="355"/>
      <c r="LC17" s="355"/>
      <c r="LD17" s="355"/>
      <c r="LE17" s="355"/>
      <c r="LF17" s="355"/>
      <c r="LG17" s="355"/>
      <c r="LH17" s="355"/>
      <c r="LI17" s="355"/>
      <c r="LJ17" s="355"/>
      <c r="LK17" s="355"/>
      <c r="LL17" s="355"/>
      <c r="LM17" s="355"/>
      <c r="LN17" s="355"/>
      <c r="LO17" s="355"/>
      <c r="LP17" s="315"/>
      <c r="LQ17" s="355"/>
      <c r="LR17" s="355"/>
      <c r="LS17" s="355"/>
      <c r="LT17" s="355"/>
      <c r="LU17" s="355"/>
      <c r="LV17" s="355"/>
      <c r="LW17" s="355"/>
      <c r="LX17" s="355"/>
      <c r="LY17" s="355"/>
      <c r="LZ17" s="355"/>
      <c r="MA17" s="355"/>
      <c r="MB17" s="355"/>
      <c r="MC17" s="355"/>
      <c r="MD17" s="355"/>
      <c r="ME17" s="355"/>
      <c r="MF17" s="355"/>
      <c r="MG17" s="355"/>
      <c r="MH17" s="355"/>
      <c r="MI17" s="355"/>
      <c r="MJ17" s="355"/>
      <c r="MK17" s="355"/>
      <c r="ML17" s="355"/>
      <c r="MM17" s="355"/>
      <c r="MN17" s="355"/>
      <c r="MO17" s="355"/>
      <c r="MP17" s="355"/>
      <c r="MQ17" s="355"/>
      <c r="MR17" s="355"/>
    </row>
    <row r="18" spans="5:356" x14ac:dyDescent="0.25">
      <c r="E18" s="39">
        <v>4.1666666666666664E-2</v>
      </c>
      <c r="F18" s="38">
        <v>165</v>
      </c>
      <c r="G18" s="38">
        <f t="shared" ref="G18:G41" si="0">+DEGREES(ASIN(COS(RADIANS($H$15))*COS(RADIANS($G$15))*COS(RADIANS(F18))+SIN(RADIANS($H$15))*SIN(RADIANS($G$15))))</f>
        <v>-73.716868534260627</v>
      </c>
      <c r="H18" s="38">
        <f t="shared" ref="H18:H28" si="1">180-DEGREES(ACOS((((SIN(RADIANS(G18)))*SIN(RADIANS($H$15)))-SIN(RADIANS($G$15)))/((COS(RADIANS(G18)))*COS(RADIANS($H$15)))))</f>
        <v>60.072270889731158</v>
      </c>
      <c r="I18" s="38">
        <f t="shared" ref="I18:I41" si="2">90-G18</f>
        <v>163.71686853426064</v>
      </c>
      <c r="J18" s="38">
        <f>'Irradiancia Horizontal'!C70/COS(RADIANS(I18))</f>
        <v>0</v>
      </c>
      <c r="K18" s="38" t="e">
        <f>((('Irradiancia Horizontal'!C41+J18)/'Irradiancia Horizontal'!C41)+1.041*((RADIANS('Cálculos iluminancia'!I18))^3))/(1+1.041*((RADIANS('Cálculos iluminancia'!I18))^3))</f>
        <v>#DIV/0!</v>
      </c>
      <c r="L18" s="36" t="e">
        <f t="shared" ref="L18:L41" si="3">1/(SIN(RADIANS(G18))+((0.50572)/((G18+6.07995)^1.6364)))</f>
        <v>#NUM!</v>
      </c>
      <c r="M18" s="36" t="e">
        <f t="shared" ref="M18:M41" si="4">L18*$K$15</f>
        <v>#NUM!</v>
      </c>
      <c r="N18" s="36" t="e">
        <f>'Irradiancia Horizontal'!C41*M18/$L$15</f>
        <v>#NUM!</v>
      </c>
      <c r="O18" s="71">
        <f>((17.27*Temp!B11)/(237.7+Temp!B11))+LN(HR!B22/100)</f>
        <v>0.4045054435639337</v>
      </c>
      <c r="P18" s="71">
        <f>(237.7*O18)/(17.27-O18)</f>
        <v>5.7010450309300147</v>
      </c>
      <c r="Q18" s="71">
        <f>EXP((0.07*P18)-0.075)</f>
        <v>1.382748454463095</v>
      </c>
      <c r="R18" s="71" t="e">
        <f t="shared" ref="R18:R23" si="5">IF(K18&lt;$E$81,1,IF(K18&lt;$E$82,2,IF(K18&lt;$E$83,3,IF(K18&lt;$E$84,4,IF(K18&lt;$E$85,5,IF(K18&lt;$E$86,6,IF(K18&lt;$E$87,7,8)))))))</f>
        <v>#DIV/0!</v>
      </c>
      <c r="S18" s="71" t="e">
        <f t="shared" ref="S18:S41" si="6">IF(R18=1,$H$81,IF(R18=2,$H$82,IF(R18=3,$H$83,IF(R18=4,$H$84,IF(R18=5,$H$85,IF(R18=6,$H$86,IF(R18=7,$H$87,$H$88)))))))</f>
        <v>#DIV/0!</v>
      </c>
      <c r="T18" s="71" t="e">
        <f t="shared" ref="T18:T41" si="7">IF(R18=1,$I$81,IF(R18=2,$I$82,IF(R18=3,$I$83,IF(R18=4,$I$84,IF(R18=5,$I$85,IF(R18=6,$I$86,IF(R18=7,$I$87,$I$88)))))))</f>
        <v>#DIV/0!</v>
      </c>
      <c r="U18" s="71" t="e">
        <f t="shared" ref="U18:U41" si="8">IF(R18=1,$J$81,IF(R18=2,$J$82,IF(R18=3,$J$83,IF(R18=4,$J$84,IF(R18=5,$J$85,IF(R18=6,$J$86,IF(R18=7,$J$87,$J$88)))))))</f>
        <v>#DIV/0!</v>
      </c>
      <c r="V18" s="71" t="e">
        <f t="shared" ref="V18:V41" si="9">IF(R18=1,$K$81,IF(R18=2,$K$82,IF(R18=3,$K$83,IF(R18=4,$K$84,IF(R18=5,$K$85,IF(R18=6,$K$86,IF(R18=7,$K$87,$K$88)))))))</f>
        <v>#DIV/0!</v>
      </c>
      <c r="W18" s="71">
        <f t="shared" ref="W18:W41" si="10">IF(G18&lt;0,0,S18+T18*Q18+U18*COS(RADIANS(I18))+V18*LN(N18))</f>
        <v>0</v>
      </c>
      <c r="X18" s="165">
        <f>IF(AD18&gt;(W18*'Irradiancia Horizontal'!C9),AD18,W18*'Irradiancia Horizontal'!C9)</f>
        <v>0</v>
      </c>
      <c r="Y18" s="71" t="e">
        <f t="shared" ref="Y18:Y23" si="11">IF(R18=1,$N$81,IF(R18=2,$N$82,IF(R18=3,$N$83,IF(R18=4,$N$84,IF(R18=5,$N$85,IF(R18=6,$N$86,IF(R18=7,$N$87,$N$88)))))))</f>
        <v>#DIV/0!</v>
      </c>
      <c r="Z18" s="71" t="e">
        <f t="shared" ref="Z18:Z23" si="12">IF(R18=1,$O$81,IF(R18=2,$O$82,IF(R18=3,$O$83,IF(R18=4,$O$84,IF(R18=5,$O$85,IF(R18=6,$O$86,IF(R18=7,$O$87,$O$88)))))))</f>
        <v>#DIV/0!</v>
      </c>
      <c r="AA18" s="71" t="e">
        <f t="shared" ref="AA18:AA23" si="13">IF(R18=1,$P$81,IF(R18=2,$P$82,IF(R18=3,$P$83,IF(R18=4,$P$84,IF(R18=5,$P$85,IF(R18=6,$P$86,IF(R18=7,$P$87,$P$88)))))))</f>
        <v>#DIV/0!</v>
      </c>
      <c r="AB18" s="71" t="e">
        <f t="shared" ref="AB18:AB23" si="14">IF(R18=1,$Q$81,IF(R18=2,$Q$82,IF(R18=3,$Q$83,IF(R18=4,$Q$84,IF(R18=5,$Q$85,IF(R18=6,$Q$86,IF(R18=7,$Q$87,$Q$88)))))))</f>
        <v>#DIV/0!</v>
      </c>
      <c r="AC18" s="71">
        <f t="shared" ref="AC18:AC41" si="15">IF(G18&lt;0,0,Y18+Z18*Q18+AA18*COS(RADIANS(I18))+AB18*LN(N18))</f>
        <v>0</v>
      </c>
      <c r="AD18" s="71">
        <f>+AC18*'Irradiancia Horizontal'!C41</f>
        <v>0</v>
      </c>
      <c r="AE18" s="71">
        <f t="shared" ref="AE18:AE41" si="16">X18-AD18</f>
        <v>0</v>
      </c>
      <c r="AF18" s="71" t="e">
        <f>+AE18/'Irradiancia Horizontal'!C70</f>
        <v>#DIV/0!</v>
      </c>
      <c r="AG18" s="38">
        <f t="shared" ref="AG18:AG23" si="17">SIN(RADIANS($G$15))*SIN(RADIANS($H$15))*COS(RADIANS($N$15))-SIN(RADIANS($G$15))*COS(RADIANS($H$15))*SIN(RADIANS($N$15))*COS(RADIANS($M$15))+COS(RADIANS($G$15))*COS(RADIANS($H$15))*COS(RADIANS($N$15))*COS(RADIANS(F18))+COS(RADIANS($G$15))*SIN(RADIANS($H$15))*SIN(RADIANS($N$15))*COS(RADIANS($M$15))*COS(RADIANS(F18))+COS(RADIANS($G$15))*SIN(RADIANS($N$15))*SIN(RADIANS($M$15))*SIN(RADIANS(F18))</f>
        <v>-0.13988566374197947</v>
      </c>
      <c r="AH18" s="84">
        <f>IF(AG18&lt;0,0,AG18)</f>
        <v>0</v>
      </c>
      <c r="AI18" s="84">
        <f>IF(COS(RADIANS(I18))&lt;0.087,0.087,COS(RADIANS(I18)))</f>
        <v>8.6999999999999994E-2</v>
      </c>
      <c r="AJ18" s="84" t="e">
        <f>IF(R18=1,$T$81,IF(R18=2,$T$82,IF(R18=3,$T$83,IF(R18=4,$T$84,IF(R18=5,$T$85,IF(R18=6,$T$86,IF(R18=7,$T$87,$T$88)))))))</f>
        <v>#DIV/0!</v>
      </c>
      <c r="AK18" s="84" t="e">
        <f>IF(R18=1,$U$81,IF(R18=2,$U$82,IF(R18=3,$U$83,IF(R18=4,$U$84,IF(R18=5,$U$85,IF(R18=6,$U$86,IF(R18=7,$U$87,$U$88)))))))</f>
        <v>#DIV/0!</v>
      </c>
      <c r="AL18" s="84" t="e">
        <f>IF(R18=1,$V$81,IF(R18=2,$V$82,IF(R18=3,$V$83,IF(R18=4,$V$84,IF(R18=5,$V$85,IF(R18=6,$V$86,IF(R18=7,$V$87,$V$88)))))))</f>
        <v>#DIV/0!</v>
      </c>
      <c r="AM18" s="84" t="e">
        <f>IF(R18=1,$W$81,IF(R18=2,$W$82,IF(R18=3,$W$83,IF(R18=4,$W$84,IF(R18=5,$W$85,IF(R18=6,$W$86,IF(R18=7,$W$87,$W$88)))))))</f>
        <v>#DIV/0!</v>
      </c>
      <c r="AN18" s="84" t="e">
        <f>IF(R18=1,$X$81,IF(R18=2,$X$82,IF(R18=3,$X$83,IF(R18=4,$X$84,IF(R18=5,$X$85,IF(R18=6,$X$86,IF(R18=7,$X$87,$X$88)))))))</f>
        <v>#DIV/0!</v>
      </c>
      <c r="AO18" s="84" t="e">
        <f>IF(R18=1,$Y$81,IF(R18=2,$Y$82,IF(R18=3,$Y$83,IF(R18=4,$Y$84,IF(R18=5,$Y$85,IF(R18=6,$Y$86,IF(R18=7,$Y$87,$Y$88)))))))</f>
        <v>#DIV/0!</v>
      </c>
      <c r="AP18" s="84" t="e">
        <f t="shared" ref="AP18:AP41" si="18">IF(AJ18+AK18*N18+AL18*RADIANS(I18)&lt;0,0,AJ18+AK18*N18+AL18*RADIANS(I18))</f>
        <v>#DIV/0!</v>
      </c>
      <c r="AQ18" s="84" t="e">
        <f t="shared" ref="AQ18:AQ41" si="19">AM18+AN18*N18+AO18*RADIANS(I18)</f>
        <v>#DIV/0!</v>
      </c>
      <c r="AR18" s="84">
        <f t="shared" ref="AR18:AR41" si="20">IF(G18&lt;0,0,((0.5*(1-AP18)*(1+COS(RADIANS($N$15))))+(AP18*(AH18/AI18))+(AQ18*SIN(RADIANS($N$15))))*AD18)</f>
        <v>0</v>
      </c>
      <c r="AS18" s="84" t="e">
        <f t="shared" ref="AS18:AS23" si="21">IF(R18=1,$AB$81,IF(R18=2,$AB$82,IF(R18=3,$AB$83,IF(R18=4,$AB$84,IF(R18=5,$AB$85,IF(R18=6,$AB$86,IF(R18=7,$AB$87,$AB$88)))))))</f>
        <v>#DIV/0!</v>
      </c>
      <c r="AT18" s="84" t="e">
        <f t="shared" ref="AT18:AT23" si="22">IF(R18=1,$AC$81,IF(R18=2,$AC$82,IF(R18=3,$AC$83,IF(R18=4,$AC$84,IF(R18=5,$AC$85,IF(R18=6,$AC$86,IF(R18=7,$AC$87,$AC$88)))))))</f>
        <v>#DIV/0!</v>
      </c>
      <c r="AU18" s="84" t="e">
        <f t="shared" ref="AU18:AU23" si="23">IF(R18=1,$AD$81,IF(R18=2,$AD$82,IF(R18=3,$AD$83,IF(R18=4,$AD$84,IF(R18=5,$AD$85,IF(R18=6,$AD$86,IF(R18=7,$AD$87,$AD$88)))))))</f>
        <v>#DIV/0!</v>
      </c>
      <c r="AV18" s="84" t="e">
        <f t="shared" ref="AV18:AV23" si="24">IF(R18=1,$AE$81,IF(R18=2,$AE$82,IF(R18=3,$AE$83,IF(R18=4,$AE$84,IF(R18=5,$AE$85,IF(R18=6,$AE$86,IF(R18=7,$AE$87,$AE$88)))))))</f>
        <v>#DIV/0!</v>
      </c>
      <c r="AW18" s="84" t="e">
        <f t="shared" ref="AW18:AW23" si="25">IF(R18=1,$AF$81,IF(R18=2,$AF$82,IF(R18=3,$AF$83,IF(R18=4,$AF$84,IF(R18=5,$AF$85,IF(R18=6,$AF$86,IF(R18=7,$AF$87,$AF$88)))))))</f>
        <v>#DIV/0!</v>
      </c>
      <c r="AX18" s="84" t="e">
        <f t="shared" ref="AX18:AX23" si="26">IF(R18=1,$AG$81,IF(R18=2,$AG$82,IF(R18=3,$AG$83,IF(R18=4,$AG$84,IF(R18=5,$AG$85,IF(R18=6,$AG$86,IF(R18=7,$AG$87,$AG$88)))))))</f>
        <v>#DIV/0!</v>
      </c>
      <c r="AY18" s="84" t="e">
        <f t="shared" ref="AY18:AY41" si="27">IF(AS18+AT18*N18+AU18*RADIANS(I18)&lt;0,0,AS18+AT18*N18+AU18*RADIANS(I18))</f>
        <v>#DIV/0!</v>
      </c>
      <c r="AZ18" s="84" t="e">
        <f t="shared" ref="AZ18:AZ41" si="28">AV18+AW18*N18+AX18*RADIANS(I18)</f>
        <v>#DIV/0!</v>
      </c>
      <c r="BA18" s="84">
        <f>IF(G18&lt;0,0,((0.5*(1-AY18)*(1+COS(RADIANS($N$15))))+(AY18*(AH18/AI18))+(AZ18*SIN(RADIANS($N$15))))*'Irradiancia Horizontal'!C41)</f>
        <v>0</v>
      </c>
      <c r="BB18" s="84">
        <f>AH18/COS(RADIANS(I18))</f>
        <v>0</v>
      </c>
      <c r="BC18" s="84">
        <f>BB18*'Irradiancia Horizontal'!C70</f>
        <v>0</v>
      </c>
      <c r="BD18" s="84">
        <f>+BA18+BC18</f>
        <v>0</v>
      </c>
      <c r="BE18" s="84">
        <f t="shared" ref="BE18:BE41" si="29">IF(G18&lt;0,0,BD18*W18)</f>
        <v>0</v>
      </c>
      <c r="BF18" s="84">
        <f>BE18-AR18</f>
        <v>0</v>
      </c>
      <c r="BG18" s="106">
        <f>AE18/COS(RADIANS(I18))</f>
        <v>0</v>
      </c>
      <c r="BH18" s="106">
        <f>IF(AG18&lt;0,0,BG18*AG18)</f>
        <v>0</v>
      </c>
      <c r="BI18" s="106">
        <f>BH18+AR18</f>
        <v>0</v>
      </c>
      <c r="BJ18" s="72"/>
      <c r="BL18" s="39">
        <v>4.1666666666666699E-2</v>
      </c>
      <c r="BM18" s="38">
        <v>165</v>
      </c>
      <c r="BN18" s="38">
        <f t="shared" ref="BN18:BN41" si="30">+DEGREES(ASIN(COS(RADIANS($BO$15))*COS(RADIANS($BN$15))*COS(RADIANS(BM18))+SIN(RADIANS($BO$15))*SIN(RADIANS($BN$15))))</f>
        <v>-67.31416291835562</v>
      </c>
      <c r="BO18" s="38">
        <f t="shared" ref="BO18:BO28" si="31">180-DEGREES(ACOS((((SIN(RADIANS(BN18)))*SIN(RADIANS($BO$15)))-SIN(RADIANS($BN$15)))/((COS(RADIANS(BN18)))*COS(RADIANS($BO$15)))))</f>
        <v>41.165405469571056</v>
      </c>
      <c r="BP18" s="38">
        <f t="shared" ref="BP18:BP41" si="32">90-BN18</f>
        <v>157.31416291835563</v>
      </c>
      <c r="BQ18" s="38">
        <f>+'Irradiancia Horizontal'!D70/COS(RADIANS(BP18))</f>
        <v>0</v>
      </c>
      <c r="BR18" s="38" t="e">
        <f>((('Irradiancia Horizontal'!D41+BQ18)/'Irradiancia Horizontal'!D41)+1.041*((RADIANS('Cálculos iluminancia'!BP18))^3))/(1+1.041*((RADIANS('Cálculos iluminancia'!BP18))^3))</f>
        <v>#DIV/0!</v>
      </c>
      <c r="BS18" s="84" t="e">
        <f t="shared" ref="BS18:BS41" si="33">1/(SIN(RADIANS(BN18))+((0.50572)/((BN18+6.07995)^1.6364)))</f>
        <v>#NUM!</v>
      </c>
      <c r="BT18" s="84" t="e">
        <f>BS18*$BR$15</f>
        <v>#NUM!</v>
      </c>
      <c r="BU18" s="84" t="e">
        <f>'Irradiancia Horizontal'!D41*BT18/$BS$15</f>
        <v>#NUM!</v>
      </c>
      <c r="BV18" s="84">
        <f>((17.27*Temp!C11)/(237.7+Temp!C11))+LN(HR!C22/100)</f>
        <v>0.45513771803018249</v>
      </c>
      <c r="BW18" s="84">
        <f>(237.7*BV18)/(17.27-BV18)</f>
        <v>6.4339650103337416</v>
      </c>
      <c r="BX18" s="84">
        <f>EXP((0.07*BW18)-0.075)</f>
        <v>1.4555408513928751</v>
      </c>
      <c r="BY18" s="84" t="e">
        <f t="shared" ref="BY18:BY23" si="34">IF(BR18&lt;$E$81,1,IF(BR18&lt;$E$82,2,IF(BR18&lt;$E$83,3,IF(BR18&lt;$E$84,4,IF(BR18&lt;$E$85,5,IF(BR18&lt;$E$86,6,IF(BR18&lt;$E$87,7,8)))))))</f>
        <v>#DIV/0!</v>
      </c>
      <c r="BZ18" s="84" t="e">
        <f t="shared" ref="BZ18:BZ23" si="35">IF(BY18=1,$H$81,IF(BY18=2,$H$82,IF(BY18=3,$H$83,IF(BY18=4,$H$84,IF(BY18=5,$H$85,IF(BY18=6,$H$86,IF(BY18=7,$H$87,$H$88)))))))</f>
        <v>#DIV/0!</v>
      </c>
      <c r="CA18" s="84" t="e">
        <f t="shared" ref="CA18:CA23" si="36">IF(BY18=1,$I$81,IF(BY18=2,$I$82,IF(BY18=3,$I$83,IF(BY18=4,$I$84,IF(BY18=5,$I$85,IF(BY18=6,$I$86,IF(BY18=7,$I$87,$I$88)))))))</f>
        <v>#DIV/0!</v>
      </c>
      <c r="CB18" s="84" t="e">
        <f t="shared" ref="CB18:CB23" si="37">IF(BY18=1,$J$81,IF(BY18=2,$J$82,IF(BY18=3,$J$83,IF(BY18=4,$J$84,IF(BY18=5,$J$85,IF(BY18=6,$J$86,IF(BY18=7,$J$87,$J$88)))))))</f>
        <v>#DIV/0!</v>
      </c>
      <c r="CC18" s="84" t="e">
        <f t="shared" ref="CC18:CC23" si="38">IF(BY18=1,$K$81,IF(BY18=2,$K$82,IF(BY18=3,$K$83,IF(BY18=4,$K$84,IF(BY18=5,$K$85,IF(BY18=6,$K$86,IF(BY18=7,$K$87,$K$88)))))))</f>
        <v>#DIV/0!</v>
      </c>
      <c r="CD18" s="84">
        <f t="shared" ref="CD18:CD41" si="39">IF(BN18&lt;0,0,BZ18+CA18*BX18+CB18*COS(RADIANS(BP18))+CC18*LN(BU18))</f>
        <v>0</v>
      </c>
      <c r="CE18" s="165">
        <f>IF(CK18&gt;(CD18*'Irradiancia Horizontal'!D9),CK18,CD18*'Irradiancia Horizontal'!D9)</f>
        <v>0</v>
      </c>
      <c r="CF18" s="84" t="e">
        <f t="shared" ref="CF18:CF23" si="40">IF(BY18=1,$N$81,IF(BY18=2,$N$82,IF(BY18=3,$N$83,IF(BY18=4,$N$84,IF(BY18=5,$N$85,IF(BY18=6,$N$86,IF(BY18=7,$N$87,$N$88)))))))</f>
        <v>#DIV/0!</v>
      </c>
      <c r="CG18" s="84" t="e">
        <f t="shared" ref="CG18:CG23" si="41">IF(BY18=1,$O$81,IF(BY18=2,$O$82,IF(BY18=3,$O$83,IF(BY18=4,$O$84,IF(BY18=5,$O$85,IF(BY18=6,$O$86,IF(BY18=7,$O$87,$O$88)))))))</f>
        <v>#DIV/0!</v>
      </c>
      <c r="CH18" s="84" t="e">
        <f t="shared" ref="CH18:CH23" si="42">IF(BY18=1,$P$81,IF(BY18=2,$P$82,IF(BY18=3,$P$83,IF(BY18=4,$P$84,IF(BY18=5,$P$85,IF(BY18=6,$P$86,IF(BY18=7,$P$87,$P$88)))))))</f>
        <v>#DIV/0!</v>
      </c>
      <c r="CI18" s="84" t="e">
        <f t="shared" ref="CI18:CI23" si="43">IF(BY18=1,$Q$81,IF(BY18=2,$Q$82,IF(BY18=3,$Q$83,IF(BY18=4,$Q$84,IF(BY18=5,$Q$85,IF(BY18=6,$Q$86,IF(BY18=7,$Q$87,$Q$88)))))))</f>
        <v>#DIV/0!</v>
      </c>
      <c r="CJ18" s="84">
        <f t="shared" ref="CJ18:CJ41" si="44">IF(BN18&lt;0,0,CF18+CG18*BX18+CH18*COS(RADIANS(BP18))+CI18*LN(BU18))</f>
        <v>0</v>
      </c>
      <c r="CK18" s="84">
        <f>+CJ18*'Irradiancia Horizontal'!D41</f>
        <v>0</v>
      </c>
      <c r="CL18" s="84">
        <f>CE18-CK18</f>
        <v>0</v>
      </c>
      <c r="CM18" s="84" t="e">
        <f>+CL18/'Irradiancia Horizontal'!D70</f>
        <v>#DIV/0!</v>
      </c>
      <c r="CN18" s="38">
        <f t="shared" ref="CN18:CN41" si="45">SIN(RADIANS($BN$15))*SIN(RADIANS($BO$15))*COS(RADIANS($BU$15))-SIN(RADIANS($BN$15))*COS(RADIANS($BO$15))*SIN(RADIANS($BU$15))*COS(RADIANS($BT$15))+COS(RADIANS($BN$15))*COS(RADIANS($BO$15))*COS(RADIANS($BU$15))*COS(RADIANS(BM18))+COS(RADIANS($BN$15))*SIN(RADIANS($BO$15))*SIN(RADIANS($BU$15))*COS(RADIANS($BT$15))*COS(RADIANS(BM18))+COS(RADIANS($BN$15))*SIN(RADIANS($BU$15))*SIN(RADIANS($BT$15))*SIN(RADIANS(BM18))</f>
        <v>-0.2903432035105748</v>
      </c>
      <c r="CO18" s="84">
        <f>IF(CN18&lt;0,0,CN18)</f>
        <v>0</v>
      </c>
      <c r="CP18" s="84">
        <f>IF(COS(RADIANS(BP18))&lt;0.087,0.087,COS(RADIANS(BP18)))</f>
        <v>8.6999999999999994E-2</v>
      </c>
      <c r="CQ18" s="84" t="e">
        <f>IF(BY18=1,$T$81,IF(BY18=2,$T$82,IF(BY18=3,$T$83,IF(BY18=4,$T$84,IF(BY18=5,$T$85,IF(BY18=6,$T$86,IF(BY18=7,$T$87,$T$88)))))))</f>
        <v>#DIV/0!</v>
      </c>
      <c r="CR18" s="84" t="e">
        <f>IF(BY18=1,$U$81,IF(BY18=2,$U$82,IF(BY18=3,$U$83,IF(BY18=4,$U$84,IF(BY18=5,$U$85,IF(BY18=6,$U$86,IF(BY18=7,$U$87,$U$88)))))))</f>
        <v>#DIV/0!</v>
      </c>
      <c r="CS18" s="84" t="e">
        <f>IF(BY18=1,$V$81,IF(BY18=2,$V$82,IF(BY18=3,$V$83,IF(BY18=4,$V$84,IF(BY18=5,$V$85,IF(BY18=6,$V$86,IF(BY18=7,$V$87,$V$88)))))))</f>
        <v>#DIV/0!</v>
      </c>
      <c r="CT18" s="84" t="e">
        <f>IF(BY18=1,$W$81,IF(BY18=2,$W$82,IF(BY18=3,$W$83,IF(BY18=4,$W$84,IF(BY18=5,$W$85,IF(BY18=6,$W$86,IF(BY18=7,$W$87,$W$88)))))))</f>
        <v>#DIV/0!</v>
      </c>
      <c r="CU18" s="84" t="e">
        <f>IF(BY18=1,$X$81,IF(BY18=2,$X$82,IF(BY18=3,$X$83,IF(BY18=4,$X$84,IF(BY18=5,$X$85,IF(BY18=6,$X$86,IF(BY18=7,$X$87,$X$88)))))))</f>
        <v>#DIV/0!</v>
      </c>
      <c r="CV18" s="84" t="e">
        <f>IF(BY18=1,$Y$81,IF(BY18=2,$Y$82,IF(BY18=3,$Y$83,IF(BY18=4,$Y$84,IF(BY18=5,$Y$85,IF(BY18=6,$Y$86,IF(BY18=7,$Y$87,$Y$88)))))))</f>
        <v>#DIV/0!</v>
      </c>
      <c r="CW18" s="84" t="e">
        <f t="shared" ref="CW18:CW41" si="46">IF(CQ18+CR18*BU18+CS18*RADIANS(BP18)&lt;0,0,CQ18+CR18*BU18+CS18*RADIANS(BP18))</f>
        <v>#DIV/0!</v>
      </c>
      <c r="CX18" s="84" t="e">
        <f t="shared" ref="CX18:CX41" si="47">CT18+CU18*BU18+CV18*RADIANS(BP18)</f>
        <v>#DIV/0!</v>
      </c>
      <c r="CY18" s="84">
        <f t="shared" ref="CY18:CY41" si="48">IF(BN18&lt;0,0,((0.5*(1-CW18)*(1+COS(RADIANS($BU$15))))+(CW18*(CO18/CP18))+(CX18*SIN(RADIANS($BU$15))))*CK18)</f>
        <v>0</v>
      </c>
      <c r="CZ18" s="84" t="e">
        <f t="shared" ref="CZ18:CZ23" si="49">IF(BY18=1,$AB$81,IF(BY18=2,$AB$82,IF(BY18=3,$AB$83,IF(BY18=4,$AB$84,IF(BY18=5,$AB$85,IF(BY18=6,$AB$86,IF(BY18=7,$AB$87,$AB$88)))))))</f>
        <v>#DIV/0!</v>
      </c>
      <c r="DA18" s="84" t="e">
        <f t="shared" ref="DA18:DA23" si="50">IF(BY18=1,$AC$81,IF(BY18=2,$AC$82,IF(BY18=3,$AC$83,IF(BY18=4,$AC$84,IF(BY18=5,$AC$85,IF(BY18=6,$AC$86,IF(BY18=7,$AC$87,$AC$88)))))))</f>
        <v>#DIV/0!</v>
      </c>
      <c r="DB18" s="84" t="e">
        <f t="shared" ref="DB18:DB23" si="51">IF(BY18=1,$AD$81,IF(BY18=2,$AD$82,IF(BY18=3,$AD$83,IF(BY18=4,$AD$84,IF(BY18=5,$AD$85,IF(BY18=6,$AD$86,IF(BY18=7,$AD$87,$AD$88)))))))</f>
        <v>#DIV/0!</v>
      </c>
      <c r="DC18" s="84" t="e">
        <f t="shared" ref="DC18:DC23" si="52">IF(BY18=1,$AE$81,IF(BY18=2,$AE$82,IF(BY18=3,$AE$83,IF(BY18=4,$AE$84,IF(BY18=5,$AE$85,IF(BY18=6,$AE$86,IF(BY18=7,$AE$87,$AE$88)))))))</f>
        <v>#DIV/0!</v>
      </c>
      <c r="DD18" s="84" t="e">
        <f t="shared" ref="DD18:DD23" si="53">IF(BY18=1,$AF$81,IF(BY18=2,$AF$82,IF(BY18=3,$AF$83,IF(BY18=4,$AF$84,IF(BY18=5,$AF$85,IF(BY18=6,$AF$86,IF(BY18=7,$AF$87,$AF$88)))))))</f>
        <v>#DIV/0!</v>
      </c>
      <c r="DE18" s="84" t="e">
        <f t="shared" ref="DE18:DE23" si="54">IF(BY18=1,$AG$81,IF(BY18=2,$AG$82,IF(BY18=3,$AG$83,IF(BY18=4,$AG$84,IF(BY18=5,$AG$85,IF(BY18=6,$AG$86,IF(BY18=7,$AG$87,$AG$88)))))))</f>
        <v>#DIV/0!</v>
      </c>
      <c r="DF18" s="84" t="e">
        <f t="shared" ref="DF18:DF41" si="55">IF(CZ18+DA18*BU18+DB18*RADIANS(BP18)&lt;0,0,CZ18+DA18*BU18+DB18*RADIANS(BP18))</f>
        <v>#DIV/0!</v>
      </c>
      <c r="DG18" s="84" t="e">
        <f t="shared" ref="DG18:DG41" si="56">DC18+DD18*BU18+DE18*RADIANS(BP18)</f>
        <v>#DIV/0!</v>
      </c>
      <c r="DH18" s="84">
        <f>IF(BN18&lt;0,0,((0.5*(1-DF18)*(1+COS(RADIANS($BU$15))))+(DF18*(CO18/CP18))+(DG18*SIN(RADIANS($BU$15))))*'Irradiancia Horizontal'!D41)</f>
        <v>0</v>
      </c>
      <c r="DI18" s="84">
        <f>CO18/COS(RADIANS(BP18))</f>
        <v>0</v>
      </c>
      <c r="DJ18" s="84">
        <f>DI18*'Irradiancia Horizontal'!D70</f>
        <v>0</v>
      </c>
      <c r="DK18" s="84">
        <f>+DH18+DJ18</f>
        <v>0</v>
      </c>
      <c r="DL18" s="88">
        <f t="shared" ref="DL18:DL41" si="57">IF(BN18&lt;0,0,DK18*CD18)</f>
        <v>0</v>
      </c>
      <c r="DM18" s="84">
        <f>DL18-CY18</f>
        <v>0</v>
      </c>
      <c r="DN18" s="106">
        <f>CL18/COS(RADIANS(BP18))</f>
        <v>0</v>
      </c>
      <c r="DO18" s="106">
        <f>IF(CN18&lt;0,0,DN18*CN18)</f>
        <v>0</v>
      </c>
      <c r="DP18" s="106">
        <f>DO18+CY18</f>
        <v>0</v>
      </c>
      <c r="DQ18" s="44"/>
      <c r="DS18" s="39">
        <v>4.1666666666666699E-2</v>
      </c>
      <c r="DT18" s="38">
        <v>165</v>
      </c>
      <c r="DU18" s="38">
        <f t="shared" ref="DU18:DU41" si="58">+DEGREES(ASIN(COS(RADIANS($DV$15))*COS(RADIANS($DU$15))*COS(RADIANS(DT18))+SIN(RADIANS($DV$15))*SIN(RADIANS($DU$15))))</f>
        <v>-57.947937391387804</v>
      </c>
      <c r="DV18" s="38">
        <f t="shared" ref="DV18:DV28" si="59">180-DEGREES(ACOS((((SIN(RADIANS(DU18)))*SIN(RADIANS($DV$15)))-SIN(RADIANS($DU$15)))/((COS(RADIANS(DU18)))*COS(RADIANS($DV$15)))))</f>
        <v>29.188938126724253</v>
      </c>
      <c r="DW18" s="38">
        <f t="shared" ref="DW18:DW41" si="60">90-DU18</f>
        <v>147.9479373913878</v>
      </c>
      <c r="DX18" s="38">
        <f>+'Irradiancia Horizontal'!E70/COS(RADIANS(DW18))</f>
        <v>0</v>
      </c>
      <c r="DY18" s="38" t="e">
        <f>((('Irradiancia Horizontal'!E41+DX18)/'Irradiancia Horizontal'!E41)+1.041*((RADIANS('Cálculos iluminancia'!DW18))^3))/(1+1.041*((RADIANS('Cálculos iluminancia'!DW18))^3))</f>
        <v>#DIV/0!</v>
      </c>
      <c r="DZ18" s="84" t="e">
        <f t="shared" ref="DZ18:DZ41" si="61">1/(SIN(RADIANS(DU18))+((0.50572)/((DU18+6.07995)^1.6364)))</f>
        <v>#NUM!</v>
      </c>
      <c r="EA18" s="84" t="e">
        <f>DZ18*$DY$15</f>
        <v>#NUM!</v>
      </c>
      <c r="EB18" s="84" t="e">
        <f>'Irradiancia Horizontal'!E41*EA18/$DZ$15</f>
        <v>#NUM!</v>
      </c>
      <c r="EC18" s="84">
        <f>((17.27*Temp!D11)/(237.7+Temp!D11))+LN(HR!D22/100)</f>
        <v>0.496581745542789</v>
      </c>
      <c r="ED18" s="84">
        <f>(237.7*EC18)/(17.27-EC18)</f>
        <v>7.0371750781421527</v>
      </c>
      <c r="EE18" s="84">
        <f>EXP((0.07*ED18)-0.075)</f>
        <v>1.5183166521436555</v>
      </c>
      <c r="EF18" s="84" t="e">
        <f t="shared" ref="EF18:EF23" si="62">IF(DY18&lt;$E$81,1,IF(DY18&lt;$E$82,2,IF(DY18&lt;$E$83,3,IF(DY18&lt;$E$84,4,IF(DY18&lt;$E$85,5,IF(DY18&lt;$E$86,6,IF(DY18&lt;$E$87,7,8)))))))</f>
        <v>#DIV/0!</v>
      </c>
      <c r="EG18" s="84" t="e">
        <f t="shared" ref="EG18:EG23" si="63">IF(EF18=1,$H$81,IF(EF18=2,$H$82,IF(EF18=3,$H$83,IF(EF18=4,$H$84,IF(EF18=5,$H$85,IF(EF18=6,$H$86,IF(EF18=7,$H$87,$H$88)))))))</f>
        <v>#DIV/0!</v>
      </c>
      <c r="EH18" s="84" t="e">
        <f t="shared" ref="EH18:EH23" si="64">IF(EF18=1,$I$81,IF(EF18=2,$I$82,IF(EF18=3,$I$83,IF(EF18=4,$I$84,IF(EF18=5,$I$85,IF(EF18=6,$I$86,IF(EF18=7,$I$87,$I$88)))))))</f>
        <v>#DIV/0!</v>
      </c>
      <c r="EI18" s="84" t="e">
        <f t="shared" ref="EI18:EI23" si="65">IF(EF18=1,$J$81,IF(EF18=2,$J$82,IF(EF18=3,$J$83,IF(EF18=4,$J$84,IF(EF18=5,$J$85,IF(EF18=6,$J$86,IF(EF18=7,$J$87,$J$88)))))))</f>
        <v>#DIV/0!</v>
      </c>
      <c r="EJ18" s="84" t="e">
        <f t="shared" ref="EJ18:EJ23" si="66">IF(EF18=1,$K$81,IF(EF18=2,$K$82,IF(EF18=3,$K$83,IF(EF18=4,$K$84,IF(EF18=5,$K$85,IF(EF18=6,$K$86,IF(EF18=7,$K$87,$K$88)))))))</f>
        <v>#DIV/0!</v>
      </c>
      <c r="EK18" s="84">
        <f t="shared" ref="EK18:EK41" si="67">IF(DU18&lt;0,0,EG18+EH18*EE18+EI18*COS(RADIANS(DW18))+EJ18*LN(EB18))</f>
        <v>0</v>
      </c>
      <c r="EL18" s="165">
        <f>IF(ER18&gt;(EK18*'Irradiancia Horizontal'!E9),ER18,EK18*'Irradiancia Horizontal'!E9)</f>
        <v>0</v>
      </c>
      <c r="EM18" s="84" t="e">
        <f t="shared" ref="EM18:EM23" si="68">IF(EF18=1,$N$81,IF(EF18=2,$N$82,IF(EF18=3,$N$83,IF(EF18=4,$N$84,IF(EF18=5,$N$85,IF(EF18=6,$N$86,IF(EF18=7,$N$87,$N$88)))))))</f>
        <v>#DIV/0!</v>
      </c>
      <c r="EN18" s="84" t="e">
        <f t="shared" ref="EN18:EN23" si="69">IF(EF18=1,$O$81,IF(EF18=2,$O$82,IF(EF18=3,$O$83,IF(EF18=4,$O$84,IF(EF18=5,$O$85,IF(EF18=6,$O$86,IF(EF18=7,$O$87,$O$88)))))))</f>
        <v>#DIV/0!</v>
      </c>
      <c r="EO18" s="84" t="e">
        <f t="shared" ref="EO18:EO23" si="70">IF(EF18=1,$P$81,IF(EF18=2,$P$82,IF(EF18=3,$P$83,IF(EF18=4,$P$84,IF(EF18=5,$P$85,IF(EF18=6,$P$86,IF(EF18=7,$P$87,$P$88)))))))</f>
        <v>#DIV/0!</v>
      </c>
      <c r="EP18" s="84" t="e">
        <f t="shared" ref="EP18:EP23" si="71">IF(EF18=1,$Q$81,IF(EF18=2,$Q$82,IF(EF18=3,$Q$83,IF(EF18=4,$Q$84,IF(EF18=5,$Q$85,IF(EF18=6,$Q$86,IF(EF18=7,$Q$87,$Q$88)))))))</f>
        <v>#DIV/0!</v>
      </c>
      <c r="EQ18" s="84">
        <f t="shared" ref="EQ18:EQ41" si="72">IF(DU18&lt;0,0,EM18+EN18*EE18+EO18*COS(RADIANS(DW18))+EP18*LN(EB18))</f>
        <v>0</v>
      </c>
      <c r="ER18" s="84">
        <f>+EQ18*'Irradiancia Horizontal'!E41</f>
        <v>0</v>
      </c>
      <c r="ES18" s="84">
        <f>EL18-ER18</f>
        <v>0</v>
      </c>
      <c r="ET18" s="84" t="e">
        <f>+ES18/'Irradiancia Horizontal'!E70</f>
        <v>#DIV/0!</v>
      </c>
      <c r="EU18" s="38">
        <f t="shared" ref="EU18:EU41" si="73">SIN(RADIANS($DU$15))*SIN(RADIANS($DV$15))*COS(RADIANS($EB$15))-SIN(RADIANS($DU$15))*COS(RADIANS($DV$15))*SIN(RADIANS($EB$15))*COS(RADIANS($EA$15))+COS(RADIANS($DU$15))*COS(RADIANS($DV$15))*COS(RADIANS($EB$15))*COS(RADIANS(DT18))+COS(RADIANS($DU$15))*SIN(RADIANS($DV$15))*SIN(RADIANS($EB$15))*COS(RADIANS($EA$15))*COS(RADIANS(DT18))+COS(RADIANS($DU$15))*SIN(RADIANS($EB$15))*SIN(RADIANS($EA$15))*SIN(RADIANS(DT18))</f>
        <v>-0.46330067609316905</v>
      </c>
      <c r="EV18" s="84">
        <f>IF(EU18&lt;0,0,EU18)</f>
        <v>0</v>
      </c>
      <c r="EW18" s="84">
        <f>IF(COS(RADIANS(DW18))&lt;0.087,0.087,COS(RADIANS(DW18)))</f>
        <v>8.6999999999999994E-2</v>
      </c>
      <c r="EX18" s="84" t="e">
        <f>IF(EF18=1,$T$81,IF(EF18=2,$T$82,IF(EF18=3,$T$83,IF(EF18=4,$T$84,IF(EF18=5,$T$85,IF(EF18=6,$T$86,IF(EF18=7,$T$87,$T$88)))))))</f>
        <v>#DIV/0!</v>
      </c>
      <c r="EY18" s="84" t="e">
        <f>IF(EF18=1,$U$81,IF(EF18=2,$U$82,IF(EF18=3,$U$83,IF(EF18=4,$U$84,IF(EF18=5,$U$85,IF(EF18=6,$U$86,IF(EF18=7,$U$87,$U$88)))))))</f>
        <v>#DIV/0!</v>
      </c>
      <c r="EZ18" s="84" t="e">
        <f>IF(EF18=1,$V$81,IF(EF18=2,$V$82,IF(EF18=3,$V$83,IF(EF18=4,$V$84,IF(EF18=5,$V$85,IF(EF18=6,$V$86,IF(EF18=7,$V$87,$V$88)))))))</f>
        <v>#DIV/0!</v>
      </c>
      <c r="FA18" s="84" t="e">
        <f>IF(EF18=1,$W$81,IF(EF18=2,$W$82,IF(EF18=3,$W$83,IF(EF18=4,$W$84,IF(EF18=5,$W$85,IF(EF18=6,$W$86,IF(EF18=7,$W$87,$W$88)))))))</f>
        <v>#DIV/0!</v>
      </c>
      <c r="FB18" s="84" t="e">
        <f>IF(EF18=1,$X$81,IF(EF18=2,$X$82,IF(EF18=3,$X$83,IF(EF18=4,$X$84,IF(EF18=5,$X$85,IF(EF18=6,$X$86,IF(EF18=7,$X$87,$X$88)))))))</f>
        <v>#DIV/0!</v>
      </c>
      <c r="FC18" s="84" t="e">
        <f>IF(EF18=1,$Y$81,IF(EF18=2,$Y$82,IF(EF18=3,$Y$83,IF(EF18=4,$Y$84,IF(EF18=5,$Y$85,IF(EF18=6,$Y$86,IF(EF18=7,$Y$87,$Y$88)))))))</f>
        <v>#DIV/0!</v>
      </c>
      <c r="FD18" s="84" t="e">
        <f t="shared" ref="FD18:FD41" si="74">IF(EX18+EY18*EB18+EZ18*RADIANS(DW18)&lt;0,0,EX18+EY18*EB18+EZ18*RADIANS(DW18))</f>
        <v>#DIV/0!</v>
      </c>
      <c r="FE18" s="84" t="e">
        <f t="shared" ref="FE18:FE41" si="75">FA18+FB18*EB18+FC18*RADIANS(DW18)</f>
        <v>#DIV/0!</v>
      </c>
      <c r="FF18" s="84">
        <f t="shared" ref="FF18:FF41" si="76">IF(DU18&lt;0,0,((0.5*(1-FD18)*(1+COS(RADIANS($EB$15))))+(FD18*(EV18/EW18))+(FE18*SIN(RADIANS($EB$15))))*ER18)</f>
        <v>0</v>
      </c>
      <c r="FG18" s="84" t="e">
        <f t="shared" ref="FG18:FG23" si="77">IF(EF18=1,$AB$81,IF(EF18=2,$AB$82,IF(EF18=3,$AB$83,IF(EF18=4,$AB$84,IF(EF18=5,$AB$85,IF(EF18=6,$AB$86,IF(EF18=7,$AB$87,$AB$88)))))))</f>
        <v>#DIV/0!</v>
      </c>
      <c r="FH18" s="84" t="e">
        <f t="shared" ref="FH18:FH23" si="78">IF(EF18=1,$AC$81,IF(EF18=2,$AC$82,IF(EF18=3,$AC$83,IF(EF18=4,$AC$84,IF(EF18=5,$AC$85,IF(EF18=6,$AC$86,IF(EF18=7,$AC$87,$AC$88)))))))</f>
        <v>#DIV/0!</v>
      </c>
      <c r="FI18" s="84" t="e">
        <f t="shared" ref="FI18:FI23" si="79">IF(EF18=1,$AD$81,IF(EF18=2,$AD$82,IF(EF18=3,$AD$83,IF(EF18=4,$AD$84,IF(EF18=5,$AD$85,IF(EF18=6,$AD$86,IF(EF18=7,$AD$87,$AD$88)))))))</f>
        <v>#DIV/0!</v>
      </c>
      <c r="FJ18" s="84" t="e">
        <f t="shared" ref="FJ18:FJ23" si="80">IF(EF18=1,$AE$81,IF(EF18=2,$AE$82,IF(EF18=3,$AE$83,IF(EF18=4,$AE$84,IF(EF18=5,$AE$85,IF(EF18=6,$AE$86,IF(EF18=7,$AE$87,$AE$88)))))))</f>
        <v>#DIV/0!</v>
      </c>
      <c r="FK18" s="84" t="e">
        <f t="shared" ref="FK18:FK23" si="81">IF(EF18=1,$AF$81,IF(EF18=2,$AF$82,IF(EF18=3,$AF$83,IF(EF18=4,$AF$84,IF(EF18=5,$AF$85,IF(EF18=6,$AF$86,IF(EF18=7,$AF$87,$AF$88)))))))</f>
        <v>#DIV/0!</v>
      </c>
      <c r="FL18" s="84" t="e">
        <f t="shared" ref="FL18:FL23" si="82">IF(EF18=1,$AG$81,IF(EF18=2,$AG$82,IF(EF18=3,$AG$83,IF(EF18=4,$AG$84,IF(EF18=5,$AG$85,IF(EF18=6,$AG$86,IF(EF18=7,$AG$87,$AG$88)))))))</f>
        <v>#DIV/0!</v>
      </c>
      <c r="FM18" s="84" t="e">
        <f t="shared" ref="FM18:FM41" si="83">IF(FG18+FH18*EB18+FI18*RADIANS(DW18)&lt;0,0,FG18+FH18*EB18+FI18*RADIANS(DW18))</f>
        <v>#DIV/0!</v>
      </c>
      <c r="FN18" s="84" t="e">
        <f t="shared" ref="FN18:FN41" si="84">FJ18+FK18*EB18+FL18*RADIANS(DW18)</f>
        <v>#DIV/0!</v>
      </c>
      <c r="FO18" s="84">
        <f>IF(DU18&lt;0,0,((0.5*(1-FM18)*(1+COS(RADIANS($EB$15))))+(FM18*(EV18/EW18))+(FN18*SIN(RADIANS($EB$15))))*'Irradiancia Horizontal'!E41)</f>
        <v>0</v>
      </c>
      <c r="FP18" s="84">
        <f>EV18/COS(RADIANS(DW18))</f>
        <v>0</v>
      </c>
      <c r="FQ18" s="84">
        <f>FP18*'Irradiancia Horizontal'!E70</f>
        <v>0</v>
      </c>
      <c r="FR18" s="84">
        <f>+FO18+FQ18</f>
        <v>0</v>
      </c>
      <c r="FS18" s="88">
        <f t="shared" ref="FS18:FS41" si="85">IF(DU18&lt;0,0,FR18*EK18)</f>
        <v>0</v>
      </c>
      <c r="FT18" s="84">
        <f>FS18-FF18</f>
        <v>0</v>
      </c>
      <c r="FU18" s="106">
        <f>ES18/COS(RADIANS(DW18))</f>
        <v>0</v>
      </c>
      <c r="FV18" s="106">
        <f>IF(EU18&lt;0,0,FU18*EU18)</f>
        <v>0</v>
      </c>
      <c r="FW18" s="106">
        <f>FV18+FF18</f>
        <v>0</v>
      </c>
      <c r="FX18" s="83"/>
      <c r="FZ18" s="39">
        <v>4.1666666666666699E-2</v>
      </c>
      <c r="GA18" s="38">
        <v>165</v>
      </c>
      <c r="GB18" s="38">
        <f t="shared" ref="GB18:GB41" si="86">+DEGREES(ASIN(COS(RADIANS($GC$15))*COS(RADIANS($GB$15))*COS(RADIANS(GA18))+SIN(RADIANS($GC$15))*SIN(RADIANS($GB$15))))</f>
        <v>-46.838424540719231</v>
      </c>
      <c r="GC18" s="38">
        <f t="shared" ref="GC18:GC28" si="87">180-DEGREES(ACOS((((SIN(RADIANS(GB18)))*SIN(RADIANS($GC$15)))-SIN(RADIANS($GB$15)))/((COS(RADIANS(GB18)))*COS(RADIANS($GC$15)))))</f>
        <v>21.756217560360398</v>
      </c>
      <c r="GD18" s="38">
        <f t="shared" ref="GD18:GD41" si="88">90-GB18</f>
        <v>136.83842454071925</v>
      </c>
      <c r="GE18" s="38">
        <f>+'Irradiancia Horizontal'!F70/COS(RADIANS(GD18))</f>
        <v>0</v>
      </c>
      <c r="GF18" s="38" t="e">
        <f>((('Irradiancia Horizontal'!F41+GE18)/'Irradiancia Horizontal'!F41)+1.041*((RADIANS('Cálculos iluminancia'!GD18))^3))/(1+1.041*((RADIANS('Cálculos iluminancia'!GD18))^3))</f>
        <v>#DIV/0!</v>
      </c>
      <c r="GG18" s="84" t="e">
        <f t="shared" ref="GG18:GG41" si="89">1/(SIN(RADIANS(GB18))+((0.50572)/((GB18+6.07995)^1.6364)))</f>
        <v>#NUM!</v>
      </c>
      <c r="GH18" s="84" t="e">
        <f t="shared" ref="GH18:GH22" si="90">GG18*$GF$15</f>
        <v>#NUM!</v>
      </c>
      <c r="GI18" s="84" t="e">
        <f>'Irradiancia Horizontal'!F41*GH18/$GG$15</f>
        <v>#NUM!</v>
      </c>
      <c r="GJ18" s="84">
        <f>((17.27*Temp!E11)/(237.7+Temp!E11))+LN(HR!E22/100)</f>
        <v>0.61784868173940788</v>
      </c>
      <c r="GK18" s="84">
        <f>(237.7*GJ18)/(17.27-GJ18)</f>
        <v>8.8194389326986879</v>
      </c>
      <c r="GL18" s="84">
        <f>EXP((0.07*GK18)-0.075)</f>
        <v>1.7200626684189382</v>
      </c>
      <c r="GM18" s="84" t="e">
        <f t="shared" ref="GM18:GM23" si="91">IF(GF18&lt;$E$81,1,IF(GF18&lt;$E$82,2,IF(GF18&lt;$E$83,3,IF(GF18&lt;$E$84,4,IF(GF18&lt;$E$85,5,IF(GF18&lt;$E$86,6,IF(GF18&lt;$E$87,7,8)))))))</f>
        <v>#DIV/0!</v>
      </c>
      <c r="GN18" s="84" t="e">
        <f t="shared" ref="GN18:GN23" si="92">IF(GM18=1,$H$81,IF(GM18=2,$H$82,IF(GM18=3,$H$83,IF(GM18=4,$H$84,IF(GM18=5,$H$85,IF(GM18=6,$H$86,IF(GM18=7,$H$87,$H$88)))))))</f>
        <v>#DIV/0!</v>
      </c>
      <c r="GO18" s="84" t="e">
        <f t="shared" ref="GO18:GO23" si="93">IF(GM18=1,$I$81,IF(GM18=2,$I$82,IF(GM18=3,$I$83,IF(GM18=4,$I$84,IF(GM18=5,$I$85,IF(GM18=6,$I$86,IF(GM18=7,$I$87,$I$88)))))))</f>
        <v>#DIV/0!</v>
      </c>
      <c r="GP18" s="84" t="e">
        <f t="shared" ref="GP18:GP23" si="94">IF(GM18=1,$J$81,IF(GM18=2,$J$82,IF(GM18=3,$J$83,IF(GM18=4,$J$84,IF(GM18=5,$J$85,IF(GM18=6,$J$86,IF(GM18=7,$J$87,$J$88)))))))</f>
        <v>#DIV/0!</v>
      </c>
      <c r="GQ18" s="84" t="e">
        <f t="shared" ref="GQ18:GQ23" si="95">IF(GM18=1,$K$81,IF(GM18=2,$K$82,IF(GM18=3,$K$83,IF(GM18=4,$K$84,IF(GM18=5,$K$85,IF(GM18=6,$K$86,IF(GM18=7,$K$87,$K$88)))))))</f>
        <v>#DIV/0!</v>
      </c>
      <c r="GR18" s="84">
        <f t="shared" ref="GR18:GR41" si="96">IF(GB18&lt;0,0,GN18+GO18*GL18+GP18*COS(RADIANS(GD18))+GQ18*LN(GI18))</f>
        <v>0</v>
      </c>
      <c r="GS18" s="165">
        <f>IF(GY18&gt;(GR18*'Irradiancia Horizontal'!F9),GY18,GR18*'Irradiancia Horizontal'!F9)</f>
        <v>0</v>
      </c>
      <c r="GT18" s="84" t="e">
        <f t="shared" ref="GT18:GT23" si="97">IF(GM18=1,$N$81,IF(GM18=2,$N$82,IF(GM18=3,$N$83,IF(GM18=4,$N$84,IF(GM18=5,$N$85,IF(GM18=6,$N$86,IF(GM18=7,$N$87,$N$88)))))))</f>
        <v>#DIV/0!</v>
      </c>
      <c r="GU18" s="84" t="e">
        <f t="shared" ref="GU18:GU23" si="98">IF(GM18=1,$O$81,IF(GM18=2,$O$82,IF(GM18=3,$O$83,IF(GM18=4,$O$84,IF(GM18=5,$O$85,IF(GM18=6,$O$86,IF(GM18=7,$O$87,$O$88)))))))</f>
        <v>#DIV/0!</v>
      </c>
      <c r="GV18" s="84" t="e">
        <f t="shared" ref="GV18:GV23" si="99">IF(GM18=1,$P$81,IF(GM18=2,$P$82,IF(GM18=3,$P$83,IF(GM18=4,$P$84,IF(GM18=5,$P$85,IF(GM18=6,$P$86,IF(GM18=7,$P$87,$P$88)))))))</f>
        <v>#DIV/0!</v>
      </c>
      <c r="GW18" s="84" t="e">
        <f t="shared" ref="GW18:GW23" si="100">IF(GM18=1,$Q$81,IF(GM18=2,$Q$82,IF(GM18=3,$Q$83,IF(GM18=4,$Q$84,IF(GM18=5,$Q$85,IF(GM18=6,$Q$86,IF(GM18=7,$Q$87,$Q$88)))))))</f>
        <v>#DIV/0!</v>
      </c>
      <c r="GX18" s="84">
        <f t="shared" ref="GX18:GX41" si="101">IF(GB18&lt;0,0,GT18+GU18*GL18+GV18*COS(RADIANS(GD18))+GW18*LN(GI18))</f>
        <v>0</v>
      </c>
      <c r="GY18" s="84">
        <f>+GX18*'Irradiancia Horizontal'!F41</f>
        <v>0</v>
      </c>
      <c r="GZ18" s="84">
        <f>GS18-GY18</f>
        <v>0</v>
      </c>
      <c r="HA18" s="84" t="e">
        <f>+GZ18/'Irradiancia Horizontal'!F70</f>
        <v>#DIV/0!</v>
      </c>
      <c r="HB18" s="38">
        <f t="shared" ref="HB18:HB41" si="102">SIN(RADIANS($GB$15))*SIN(RADIANS($GC$15))*COS(RADIANS($GI$15))-SIN(RADIANS($GB$15))*COS(RADIANS($GC$15))*SIN(RADIANS($GI$15))*COS(RADIANS($GH$15))+COS(RADIANS($GB$15))*COS(RADIANS($GC$15))*COS(RADIANS($GI$15))*COS(RADIANS(GA18))+COS(RADIANS($GB$15))*SIN(RADIANS($GC$15))*SIN(RADIANS($GI$15))*COS(RADIANS($GH$15))*COS(RADIANS(GA18))+COS(RADIANS($GB$15))*SIN(RADIANS($GI$15))*SIN(RADIANS($GH$15))*SIN(RADIANS(GA18))</f>
        <v>-0.6353321688247735</v>
      </c>
      <c r="HC18" s="84">
        <f>IF(HB18&lt;0,0,HB18)</f>
        <v>0</v>
      </c>
      <c r="HD18" s="84">
        <f>IF(COS(RADIANS(GD18))&lt;0.087,0.087,COS(RADIANS(GD18)))</f>
        <v>8.6999999999999994E-2</v>
      </c>
      <c r="HE18" s="84" t="e">
        <f>IF(GM18=1,$T$81,IF(GM18=2,$T$82,IF(GM18=3,$T$83,IF(GM18=4,$T$84,IF(GM18=5,$T$85,IF(GM18=6,$T$86,IF(GM18=7,$T$87,$T$88)))))))</f>
        <v>#DIV/0!</v>
      </c>
      <c r="HF18" s="84" t="e">
        <f>IF(GM18=1,$U$81,IF(GM18=2,$U$82,IF(GM18=3,$U$83,IF(GM18=4,$U$84,IF(GM18=5,$U$85,IF(GM18=6,$U$86,IF(GM18=7,$U$87,$U$88)))))))</f>
        <v>#DIV/0!</v>
      </c>
      <c r="HG18" s="84" t="e">
        <f>IF(GM18=1,$V$81,IF(GM18=2,$V$82,IF(GM18=3,$V$83,IF(GM18=4,$V$84,IF(GM18=5,$V$85,IF(GM18=6,$V$86,IF(GM18=7,$V$87,$V$88)))))))</f>
        <v>#DIV/0!</v>
      </c>
      <c r="HH18" s="84" t="e">
        <f>IF(GM18=1,$W$81,IF(GM18=2,$W$82,IF(GM18=3,$W$83,IF(GM18=4,$W$84,IF(GM18=5,$W$85,IF(GM18=6,$W$86,IF(GM18=7,$W$87,$W$88)))))))</f>
        <v>#DIV/0!</v>
      </c>
      <c r="HI18" s="84" t="e">
        <f>IF(GM18=1,$X$81,IF(GM18=2,$X$82,IF(GM18=3,$X$83,IF(GM18=4,$X$84,IF(GM18=5,$X$85,IF(GM18=6,$X$86,IF(GM18=7,$X$87,$X$88)))))))</f>
        <v>#DIV/0!</v>
      </c>
      <c r="HJ18" s="84" t="e">
        <f>IF(GM18=1,$Y$81,IF(GM18=2,$Y$82,IF(GM18=3,$Y$83,IF(GM18=4,$Y$84,IF(GM18=5,$Y$85,IF(GM18=6,$Y$86,IF(GM18=7,$Y$87,$Y$88)))))))</f>
        <v>#DIV/0!</v>
      </c>
      <c r="HK18" s="84" t="e">
        <f t="shared" ref="HK18:HK41" si="103">IF(HE18+HF18*GI18+HG18*RADIANS(GD18)&lt;0,0,HE18+HF18*GI18+HG18*RADIANS(GD18))</f>
        <v>#DIV/0!</v>
      </c>
      <c r="HL18" s="84" t="e">
        <f t="shared" ref="HL18:HL41" si="104">HH18+HI18*GI18+HJ18*RADIANS(GD18)</f>
        <v>#DIV/0!</v>
      </c>
      <c r="HM18" s="84">
        <f t="shared" ref="HM18:HM41" si="105">IF(GB18&lt;0,0,((0.5*(1-HK18)*(1+COS(RADIANS($GI$15))))+(HK18*(HC18/HD18))+(HL18*SIN(RADIANS($GI$15))))*GY18)</f>
        <v>0</v>
      </c>
      <c r="HN18" s="84" t="e">
        <f t="shared" ref="HN18:HN23" si="106">IF(GM18=1,$AB$81,IF(GM18=2,$AB$82,IF(GM18=3,$AB$83,IF(GM18=4,$AB$84,IF(GM18=5,$AB$85,IF(GM18=6,$AB$86,IF(GM18=7,$AB$87,$AB$88)))))))</f>
        <v>#DIV/0!</v>
      </c>
      <c r="HO18" s="84" t="e">
        <f t="shared" ref="HO18:HO23" si="107">IF(GM18=1,$AC$81,IF(GM18=2,$AC$82,IF(GM18=3,$AC$83,IF(GM18=4,$AC$84,IF(GM18=5,$AC$85,IF(GM18=6,$AC$86,IF(GM18=7,$AC$87,$AC$88)))))))</f>
        <v>#DIV/0!</v>
      </c>
      <c r="HP18" s="84" t="e">
        <f t="shared" ref="HP18:HP23" si="108">IF(GM18=1,$AD$81,IF(GM18=2,$AD$82,IF(GM18=3,$AD$83,IF(GM18=4,$AD$84,IF(GM18=5,$AD$85,IF(GM18=6,$AD$86,IF(GM18=7,$AD$87,$AD$88)))))))</f>
        <v>#DIV/0!</v>
      </c>
      <c r="HQ18" s="84" t="e">
        <f t="shared" ref="HQ18:HQ23" si="109">IF(GM18=1,$AE$81,IF(GM18=2,$AE$82,IF(GM18=3,$AE$83,IF(GM18=4,$AE$84,IF(GM18=5,$AE$85,IF(GM18=6,$AE$86,IF(GM18=7,$AE$87,$AE$88)))))))</f>
        <v>#DIV/0!</v>
      </c>
      <c r="HR18" s="84" t="e">
        <f t="shared" ref="HR18:HR23" si="110">IF(GM18=1,$AF$81,IF(GM18=2,$AF$82,IF(GM18=3,$AF$83,IF(GM18=4,$AF$84,IF(GM18=5,$AF$85,IF(GM18=6,$AF$86,IF(GM18=7,$AF$87,$AF$88)))))))</f>
        <v>#DIV/0!</v>
      </c>
      <c r="HS18" s="84" t="e">
        <f t="shared" ref="HS18:HS23" si="111">IF(GM18=1,$AG$81,IF(GM18=2,$AG$82,IF(GM18=3,$AG$83,IF(GM18=4,$AG$84,IF(GM18=5,$AG$85,IF(GM18=6,$AG$86,IF(GM18=7,$AG$87,$AG$88)))))))</f>
        <v>#DIV/0!</v>
      </c>
      <c r="HT18" s="84" t="e">
        <f t="shared" ref="HT18:HT41" si="112">IF(HN18+HO18*GI18+HP18*RADIANS(GD18)&lt;0,0,HN18+HO18*GI18+HP18*RADIANS(GD18))</f>
        <v>#DIV/0!</v>
      </c>
      <c r="HU18" s="84" t="e">
        <f t="shared" ref="HU18:HU41" si="113">HQ18+HR18*GI18+HS18*RADIANS(GD18)</f>
        <v>#DIV/0!</v>
      </c>
      <c r="HV18" s="84">
        <f>IF(GB18&lt;0,0,((0.5*(1-HT18)*(1+COS(RADIANS($GI$15))))+(HT18*(HC18/HD18))+(HU18*SIN(RADIANS($GI$15))))*'Irradiancia Horizontal'!F41)</f>
        <v>0</v>
      </c>
      <c r="HW18" s="84">
        <f t="shared" ref="HW18:HW41" si="114">HC18/COS(RADIANS(GD18))</f>
        <v>0</v>
      </c>
      <c r="HX18" s="84">
        <f>HW18*'Irradiancia Horizontal'!F70</f>
        <v>0</v>
      </c>
      <c r="HY18" s="84">
        <f>+HV18+HX18</f>
        <v>0</v>
      </c>
      <c r="HZ18" s="88">
        <f t="shared" ref="HZ18:HZ41" si="115">IF(GB18&lt;0,0,HY18*GR18)</f>
        <v>0</v>
      </c>
      <c r="IA18" s="84">
        <f>HZ18-HM18</f>
        <v>0</v>
      </c>
      <c r="IB18" s="106">
        <f>GZ18/COS(RADIANS(GD18))</f>
        <v>0</v>
      </c>
      <c r="IC18" s="106">
        <f>IF(HB18&lt;0,0,IB18*HB18)</f>
        <v>0</v>
      </c>
      <c r="ID18" s="106">
        <f>IC18+HM18</f>
        <v>0</v>
      </c>
      <c r="IE18" s="83"/>
      <c r="IG18" s="39">
        <v>4.1666666666666699E-2</v>
      </c>
      <c r="IH18" s="38">
        <v>165</v>
      </c>
      <c r="II18" s="38">
        <f t="shared" ref="II18:II41" si="116">+DEGREES(ASIN(COS(RADIANS($IJ$15))*COS(RADIANS($II$15))*COS(RADIANS(IH18))+SIN(RADIANS($IJ$15))*SIN(RADIANS($II$15))))</f>
        <v>-38.698645677170404</v>
      </c>
      <c r="IJ18" s="38">
        <f t="shared" ref="IJ18:IJ28" si="117">180-DEGREES(ACOS((((SIN(RADIANS(II18)))*SIN(RADIANS($IJ$15)))-SIN(RADIANS($II$15)))/((COS(RADIANS(II18)))*COS(RADIANS($IJ$15)))))</f>
        <v>18.140977525375803</v>
      </c>
      <c r="IK18" s="38">
        <f t="shared" ref="IK18:IK41" si="118">90-II18</f>
        <v>128.69864567717042</v>
      </c>
      <c r="IL18" s="38">
        <f>+'Irradiancia Horizontal'!G70/COS(RADIANS(IK18))</f>
        <v>0</v>
      </c>
      <c r="IM18" s="38" t="e">
        <f>((('Irradiancia Horizontal'!G41+IL18)/'Irradiancia Horizontal'!G41)+1.041*((RADIANS('Cálculos iluminancia'!IK18))^3))/(1+1.041*((RADIANS('Cálculos iluminancia'!IK18))^3))</f>
        <v>#DIV/0!</v>
      </c>
      <c r="IN18" s="87" t="e">
        <f t="shared" ref="IN18:IN41" si="119">1/(SIN(RADIANS(II18))+((0.50572)/((II18+6.07995)^1.6364)))</f>
        <v>#NUM!</v>
      </c>
      <c r="IO18" s="87" t="e">
        <f t="shared" ref="IO18:IO23" si="120">IN18*$IM$15</f>
        <v>#NUM!</v>
      </c>
      <c r="IP18" s="87" t="e">
        <f>'Irradiancia Horizontal'!G41*IO18/$IN$15</f>
        <v>#NUM!</v>
      </c>
      <c r="IQ18" s="87">
        <f>((17.27*Temp!F11)/(237.7+Temp!F11))+LN(HR!F22/100)</f>
        <v>0.78144151273777707</v>
      </c>
      <c r="IR18" s="87">
        <f>(237.7*IQ18)/(17.27-IQ18)</f>
        <v>11.265305437177213</v>
      </c>
      <c r="IS18" s="87">
        <f>EXP((0.07*IR18)-0.075)</f>
        <v>2.0412684025638059</v>
      </c>
      <c r="IT18" s="87" t="e">
        <f t="shared" ref="IT18:IT23" si="121">IF(IM18&lt;$E$81,1,IF(IM18&lt;$E$82,2,IF(IM18&lt;$E$83,3,IF(IM18&lt;$E$84,4,IF(IM18&lt;$E$85,5,IF(IM18&lt;$E$86,6,IF(IM18&lt;$E$87,7,8)))))))</f>
        <v>#DIV/0!</v>
      </c>
      <c r="IU18" s="87" t="e">
        <f t="shared" ref="IU18:IU23" si="122">IF(IT18=1,$H$81,IF(IT18=2,$H$82,IF(IT18=3,$H$83,IF(IT18=4,$H$84,IF(IT18=5,$H$85,IF(IT18=6,$H$86,IF(IT18=7,$H$87,$H$88)))))))</f>
        <v>#DIV/0!</v>
      </c>
      <c r="IV18" s="87" t="e">
        <f t="shared" ref="IV18:IV23" si="123">IF(IT18=1,$I$81,IF(IT18=2,$I$82,IF(IT18=3,$I$83,IF(IT18=4,$I$84,IF(IT18=5,$I$85,IF(IT18=6,$I$86,IF(IT18=7,$I$87,$I$88)))))))</f>
        <v>#DIV/0!</v>
      </c>
      <c r="IW18" s="87" t="e">
        <f t="shared" ref="IW18:IW23" si="124">IF(IT18=1,$J$81,IF(IT18=2,$J$82,IF(IT18=3,$J$83,IF(IT18=4,$J$84,IF(IT18=5,$J$85,IF(IT18=6,$J$86,IF(IT18=7,$J$87,$J$88)))))))</f>
        <v>#DIV/0!</v>
      </c>
      <c r="IX18" s="87" t="e">
        <f t="shared" ref="IX18:IX23" si="125">IF(IT18=1,$K$81,IF(IT18=2,$K$82,IF(IT18=3,$K$83,IF(IT18=4,$K$84,IF(IT18=5,$K$85,IF(IT18=6,$K$86,IF(IT18=7,$K$87,$K$88)))))))</f>
        <v>#DIV/0!</v>
      </c>
      <c r="IY18" s="87">
        <f t="shared" ref="IY18:IY41" si="126">IF(II18&lt;0,0,IU18+IV18*IS18+IW18*COS(RADIANS(IK18))+IX18*LN(IP18))</f>
        <v>0</v>
      </c>
      <c r="IZ18" s="165">
        <f>IF(JF18&gt;(IY18*'Irradiancia Horizontal'!G9),JF18,IY18*'Irradiancia Horizontal'!G9)</f>
        <v>0</v>
      </c>
      <c r="JA18" s="87" t="e">
        <f t="shared" ref="JA18:JA23" si="127">IF(IT18=1,$N$81,IF(IT18=2,$N$82,IF(IT18=3,$N$83,IF(IT18=4,$N$84,IF(IT18=5,$N$85,IF(IT18=6,$N$86,IF(IT18=7,$N$87,$N$88)))))))</f>
        <v>#DIV/0!</v>
      </c>
      <c r="JB18" s="87" t="e">
        <f t="shared" ref="JB18:JB23" si="128">IF(IT18=1,$O$81,IF(IT18=2,$O$82,IF(IT18=3,$O$83,IF(IT18=4,$O$84,IF(IT18=5,$O$85,IF(IT18=6,$O$86,IF(IT18=7,$O$87,$O$88)))))))</f>
        <v>#DIV/0!</v>
      </c>
      <c r="JC18" s="87" t="e">
        <f t="shared" ref="JC18:JC23" si="129">IF(IT18=1,$P$81,IF(IT18=2,$P$82,IF(IT18=3,$P$83,IF(IT18=4,$P$84,IF(IT18=5,$P$85,IF(IT18=6,$P$86,IF(IT18=7,$P$87,$P$88)))))))</f>
        <v>#DIV/0!</v>
      </c>
      <c r="JD18" s="87" t="e">
        <f t="shared" ref="JD18:JD23" si="130">IF(IT18=1,$Q$81,IF(IT18=2,$Q$82,IF(IT18=3,$Q$83,IF(IT18=4,$Q$84,IF(IT18=5,$Q$85,IF(IT18=6,$Q$86,IF(IT18=7,$Q$87,$Q$88)))))))</f>
        <v>#DIV/0!</v>
      </c>
      <c r="JE18" s="87">
        <f t="shared" ref="JE18:JE41" si="131">IF(II18&lt;0,0,JA18+JB18*IS18+JC18*COS(RADIANS(IK18))+JD18*LN(IP18))</f>
        <v>0</v>
      </c>
      <c r="JF18" s="87">
        <f>+JE18*'Irradiancia Horizontal'!G41</f>
        <v>0</v>
      </c>
      <c r="JG18" s="87">
        <f>IZ18-JF18</f>
        <v>0</v>
      </c>
      <c r="JH18" s="87" t="e">
        <f>+JG18/'Irradiancia Horizontal'!G70</f>
        <v>#DIV/0!</v>
      </c>
      <c r="JI18" s="38">
        <f t="shared" ref="JI18:JI41" si="132">SIN(RADIANS($II$15))*SIN(RADIANS($IJ$15))*COS(RADIANS($IP$15))-SIN(RADIANS($II$15))*COS(RADIANS($IJ$15))*SIN(RADIANS($IP$15))*COS(RADIANS($IO$15))+COS(RADIANS($II$15))*COS(RADIANS($IJ$15))*COS(RADIANS($IP$15))*COS(RADIANS(IH18))+COS(RADIANS($II$15))*SIN(RADIANS($IJ$15))*SIN(RADIANS($IP$15))*COS(RADIANS($IO$15))*COS(RADIANS(IH18))+COS(RADIANS($II$15))*SIN(RADIANS($IP$15))*SIN(RADIANS($IO$15))*SIN(RADIANS(IH18))</f>
        <v>-0.74165182760622228</v>
      </c>
      <c r="JJ18" s="87">
        <f>IF(JI18&lt;0,0,JI18)</f>
        <v>0</v>
      </c>
      <c r="JK18" s="87">
        <f>IF(COS(RADIANS(IK18))&lt;0.087,0.087,COS(RADIANS(IK18)))</f>
        <v>8.6999999999999994E-2</v>
      </c>
      <c r="JL18" s="87" t="e">
        <f>IF(IT18=1,$T$81,IF(IT18=2,$T$82,IF(IT18=3,$T$83,IF(IT18=4,$T$84,IF(IT18=5,$T$85,IF(IT18=6,$T$86,IF(IT18=7,$T$87,$T$88)))))))</f>
        <v>#DIV/0!</v>
      </c>
      <c r="JM18" s="87" t="e">
        <f>IF(IT18=1,$U$81,IF(IT18=2,$U$82,IF(IT18=3,$U$83,IF(IT18=4,$U$84,IF(IT18=5,$U$85,IF(IT18=6,$U$86,IF(IT18=7,$U$87,$U$88)))))))</f>
        <v>#DIV/0!</v>
      </c>
      <c r="JN18" s="87" t="e">
        <f>IF(IT18=1,$V$81,IF(IT18=2,$V$82,IF(IT18=3,$V$83,IF(IT18=4,$V$84,IF(IT18=5,$V$85,IF(IT18=6,$V$86,IF(IT18=7,$V$87,$V$88)))))))</f>
        <v>#DIV/0!</v>
      </c>
      <c r="JO18" s="87" t="e">
        <f>IF(IT18=1,$W$81,IF(IT18=2,$W$82,IF(IT18=3,$W$83,IF(IT18=4,$W$84,IF(IT18=5,$W$85,IF(IT18=6,$W$86,IF(IT18=7,$W$87,$W$88)))))))</f>
        <v>#DIV/0!</v>
      </c>
      <c r="JP18" s="87" t="e">
        <f>IF(IT18=1,$X$81,IF(IT18=2,$X$82,IF(IT18=3,$X$83,IF(IT18=4,$X$84,IF(IT18=5,$X$85,IF(IT18=6,$X$86,IF(IT18=7,$X$87,$X$88)))))))</f>
        <v>#DIV/0!</v>
      </c>
      <c r="JQ18" s="87" t="e">
        <f>IF(IT18=1,$Y$81,IF(IT18=2,$Y$82,IF(IT18=3,$Y$83,IF(IT18=4,$Y$84,IF(IT18=5,$Y$85,IF(IT18=6,$Y$86,IF(IT18=7,$Y$87,$Y$88)))))))</f>
        <v>#DIV/0!</v>
      </c>
      <c r="JR18" s="87" t="e">
        <f t="shared" ref="JR18:JR41" si="133">IF(JL18+JM18*IP18+JN18*RADIANS(IK18)&lt;0,0,JL18+JM18*IP18+JN18*RADIANS(IK18))</f>
        <v>#DIV/0!</v>
      </c>
      <c r="JS18" s="87" t="e">
        <f t="shared" ref="JS18:JS41" si="134">JO18+JP18*IP18+JQ18*RADIANS(IK18)</f>
        <v>#DIV/0!</v>
      </c>
      <c r="JT18" s="87">
        <f t="shared" ref="JT18:JT41" si="135">IF(II18&lt;0,0,((0.5*(1-JR18)*(1+COS(RADIANS($IP$15))))+(JR18*(JJ18/JK18))+(JS18*SIN(RADIANS($IP$15))))*JF18)</f>
        <v>0</v>
      </c>
      <c r="JU18" s="87" t="e">
        <f t="shared" ref="JU18:JU23" si="136">IF(IT18=1,$AB$81,IF(IT18=2,$AB$82,IF(IT18=3,$AB$83,IF(IT18=4,$AB$84,IF(IT18=5,$AB$85,IF(IT18=6,$AB$86,IF(IT18=7,$AB$87,$AB$88)))))))</f>
        <v>#DIV/0!</v>
      </c>
      <c r="JV18" s="87" t="e">
        <f t="shared" ref="JV18:JV23" si="137">IF(IT18=1,$AC$81,IF(IT18=2,$AC$82,IF(IT18=3,$AC$83,IF(IT18=4,$AC$84,IF(IT18=5,$AC$85,IF(IT18=6,$AC$86,IF(IT18=7,$AC$87,$AC$88)))))))</f>
        <v>#DIV/0!</v>
      </c>
      <c r="JW18" s="87" t="e">
        <f t="shared" ref="JW18:JW23" si="138">IF(IT18=1,$AD$81,IF(IT18=2,$AD$82,IF(IT18=3,$AD$83,IF(IT18=4,$AD$84,IF(IT18=5,$AD$85,IF(IT18=6,$AD$86,IF(IT18=7,$AD$87,$AD$88)))))))</f>
        <v>#DIV/0!</v>
      </c>
      <c r="JX18" s="87" t="e">
        <f t="shared" ref="JX18:JX23" si="139">IF(IT18=1,$AE$81,IF(IT18=2,$AE$82,IF(IT18=3,$AE$83,IF(IT18=4,$AE$84,IF(IT18=5,$AE$85,IF(IT18=6,$AE$86,IF(IT18=7,$AE$87,$AE$88)))))))</f>
        <v>#DIV/0!</v>
      </c>
      <c r="JY18" s="87" t="e">
        <f t="shared" ref="JY18:JY23" si="140">IF(IT18=1,$AF$81,IF(IT18=2,$AF$82,IF(IT18=3,$AF$83,IF(IT18=4,$AF$84,IF(IT18=5,$AF$85,IF(IT18=6,$AF$86,IF(IT18=7,$AF$87,$AF$88)))))))</f>
        <v>#DIV/0!</v>
      </c>
      <c r="JZ18" s="87" t="e">
        <f t="shared" ref="JZ18:JZ23" si="141">IF(IT18=1,$AG$81,IF(IT18=2,$AG$82,IF(IT18=3,$AG$83,IF(IT18=4,$AG$84,IF(IT18=5,$AG$85,IF(IT18=6,$AG$86,IF(IT18=7,$AG$87,$AG$88)))))))</f>
        <v>#DIV/0!</v>
      </c>
      <c r="KA18" s="87" t="e">
        <f t="shared" ref="KA18:KA41" si="142">IF(JU18+JV18*IP18+JW18*RADIANS(IK18)&lt;0,0,JU18+JV18*IP18+JW18*RADIANS(IK18))</f>
        <v>#DIV/0!</v>
      </c>
      <c r="KB18" s="87" t="e">
        <f t="shared" ref="KB18:KB41" si="143">JX18+JY18*IP18+JZ18*RADIANS(IK18)</f>
        <v>#DIV/0!</v>
      </c>
      <c r="KC18" s="87">
        <f>IF(II18&lt;0,0,((0.5*(1-KA18)*(1+COS(RADIANS($IP$15))))+(KA18*(JJ18/JK18))+(KB18*SIN(RADIANS($IP$15))))*'Irradiancia Horizontal'!G41)</f>
        <v>0</v>
      </c>
      <c r="KD18" s="87">
        <f t="shared" ref="KD18:KD41" si="144">JJ18/COS(RADIANS(IK18))</f>
        <v>0</v>
      </c>
      <c r="KE18" s="87">
        <f>KD18*'Irradiancia Horizontal'!G70</f>
        <v>0</v>
      </c>
      <c r="KF18" s="87">
        <f>+KC18+KE18</f>
        <v>0</v>
      </c>
      <c r="KG18" s="88">
        <f t="shared" ref="KG18:KG41" si="145">IF(II18&lt;0,0,KF18*IY18)</f>
        <v>0</v>
      </c>
      <c r="KH18" s="87">
        <f>KG18-JT18</f>
        <v>0</v>
      </c>
      <c r="KI18" s="106">
        <f>JG18/COS(RADIANS(IK18))</f>
        <v>0</v>
      </c>
      <c r="KJ18" s="106">
        <f>IF(JI18&lt;0,0,KI18*JI18)</f>
        <v>0</v>
      </c>
      <c r="KK18" s="106">
        <f>KJ18+JT18</f>
        <v>0</v>
      </c>
      <c r="KL18" s="86"/>
      <c r="KN18" s="39">
        <v>4.1666666666666699E-2</v>
      </c>
      <c r="KO18" s="38">
        <v>165</v>
      </c>
      <c r="KP18" s="38">
        <f t="shared" ref="KP18:KP41" si="146">+DEGREES(ASIN(COS(RADIANS($KQ$15))*COS(RADIANS($KP$15))*COS(RADIANS(KO18))+SIN(RADIANS($KQ$15))*SIN(RADIANS($KP$15))))</f>
        <v>-35.522989333110012</v>
      </c>
      <c r="KQ18" s="38">
        <f t="shared" ref="KQ18:KQ28" si="147">180-DEGREES(ACOS((((SIN(RADIANS(KP18)))*SIN(RADIANS($KQ$15)))-SIN(RADIANS($KP$15)))/((COS(RADIANS(KP18)))*COS(RADIANS($KQ$15)))))</f>
        <v>16.962222906987591</v>
      </c>
      <c r="KR18" s="38">
        <f t="shared" ref="KR18:KR41" si="148">90-KP18</f>
        <v>125.52298933311002</v>
      </c>
      <c r="KS18" s="38">
        <f>+'Irradiancia Horizontal'!H70/COS(RADIANS(KR18))</f>
        <v>0</v>
      </c>
      <c r="KT18" s="38" t="e">
        <f>((('Irradiancia Horizontal'!H41+KS18)/'Irradiancia Horizontal'!H41)+1.041*((RADIANS('Cálculos iluminancia'!KR18))^3))/(1+1.041*((RADIANS('Cálculos iluminancia'!KR18))^3))</f>
        <v>#DIV/0!</v>
      </c>
      <c r="KU18" s="87" t="e">
        <f t="shared" ref="KU18:KU41" si="149">1/(SIN(RADIANS(KP18))+((0.50572)/((KP18+6.07995)^1.6364)))</f>
        <v>#NUM!</v>
      </c>
      <c r="KV18" s="87" t="e">
        <f t="shared" ref="KV18:KV23" si="150">KU18*$KT$15</f>
        <v>#NUM!</v>
      </c>
      <c r="KW18" s="87" t="e">
        <f>'Irradiancia Horizontal'!H41*KV18/$KU$15</f>
        <v>#NUM!</v>
      </c>
      <c r="KX18" s="87">
        <f>((17.27*Temp!G11)/(237.7+Temp!G11))+LN(HR!G22/100)</f>
        <v>1.0798870175400499</v>
      </c>
      <c r="KY18" s="87">
        <f>(237.7*KX18)/(17.27-KX18)</f>
        <v>15.85468516170096</v>
      </c>
      <c r="KZ18" s="87">
        <f>EXP((0.07*KY18)-0.075)</f>
        <v>2.814621970117996</v>
      </c>
      <c r="LA18" s="87" t="e">
        <f t="shared" ref="LA18:LA23" si="151">IF(KT18&lt;$E$81,1,IF(KT18&lt;$E$82,2,IF(KT18&lt;$E$83,3,IF(KT18&lt;$E$84,4,IF(KT18&lt;$E$85,5,IF(KT18&lt;$E$86,6,IF(KT18&lt;$E$87,7,8)))))))</f>
        <v>#DIV/0!</v>
      </c>
      <c r="LB18" s="87" t="e">
        <f t="shared" ref="LB18:LB23" si="152">IF(LA18=1,$H$81,IF(LA18=2,$H$82,IF(LA18=3,$H$83,IF(LA18=4,$H$84,IF(LA18=5,$H$85,IF(LA18=6,$H$86,IF(LA18=7,$H$87,$H$88)))))))</f>
        <v>#DIV/0!</v>
      </c>
      <c r="LC18" s="87" t="e">
        <f t="shared" ref="LC18:LC23" si="153">IF(LA18=1,$I$81,IF(LA18=2,$I$82,IF(LA18=3,$I$83,IF(LA18=4,$I$84,IF(LA18=5,$I$85,IF(LA18=6,$I$86,IF(LA18=7,$I$87,$I$88)))))))</f>
        <v>#DIV/0!</v>
      </c>
      <c r="LD18" s="87" t="e">
        <f t="shared" ref="LD18:LD23" si="154">IF(LA18=1,$J$81,IF(LA18=2,$J$82,IF(LA18=3,$J$83,IF(LA18=4,$J$84,IF(LA18=5,$J$85,IF(LA18=6,$J$86,IF(LA18=7,$J$87,$J$88)))))))</f>
        <v>#DIV/0!</v>
      </c>
      <c r="LE18" s="87" t="e">
        <f t="shared" ref="LE18:LE23" si="155">IF(LA18=1,$K$81,IF(LA18=2,$K$82,IF(LA18=3,$K$83,IF(LA18=4,$K$84,IF(LA18=5,$K$85,IF(LA18=6,$K$86,IF(LA18=7,$K$87,$K$88)))))))</f>
        <v>#DIV/0!</v>
      </c>
      <c r="LF18" s="87">
        <f t="shared" ref="LF18:LF41" si="156">IF(KP18&lt;0,0,LB18+LC18*KZ18+LD18*COS(RADIANS(KR18))+LE18*LN(KW18))</f>
        <v>0</v>
      </c>
      <c r="LG18" s="165">
        <f>IF(LM18&gt;(LF18*'Irradiancia Horizontal'!H9),LM18,LF18*'Irradiancia Horizontal'!H9)</f>
        <v>0</v>
      </c>
      <c r="LH18" s="87" t="e">
        <f t="shared" ref="LH18:LH23" si="157">IF(LA18=1,$N$81,IF(LA18=2,$N$82,IF(LA18=3,$N$83,IF(LA18=4,$N$84,IF(LA18=5,$N$85,IF(LA18=6,$N$86,IF(LA18=7,$N$87,$N$88)))))))</f>
        <v>#DIV/0!</v>
      </c>
      <c r="LI18" s="87" t="e">
        <f t="shared" ref="LI18:LI23" si="158">IF(LA18=1,$O$81,IF(LA18=2,$O$82,IF(LA18=3,$O$83,IF(LA18=4,$O$84,IF(LA18=5,$O$85,IF(LA18=6,$O$86,IF(LA18=7,$O$87,$O$88)))))))</f>
        <v>#DIV/0!</v>
      </c>
      <c r="LJ18" s="87" t="e">
        <f t="shared" ref="LJ18:LJ23" si="159">IF(LA18=1,$P$81,IF(LA18=2,$P$82,IF(LA18=3,$P$83,IF(LA18=4,$P$84,IF(LA18=5,$P$85,IF(LA18=6,$P$86,IF(LA18=7,$P$87,$P$88)))))))</f>
        <v>#DIV/0!</v>
      </c>
      <c r="LK18" s="87" t="e">
        <f t="shared" ref="LK18:LK23" si="160">IF(LA18=1,$Q$81,IF(LA18=2,$Q$82,IF(LA18=3,$Q$83,IF(LA18=4,$Q$84,IF(LA18=5,$Q$85,IF(LA18=6,$Q$86,IF(LA18=7,$Q$87,$Q$88)))))))</f>
        <v>#DIV/0!</v>
      </c>
      <c r="LL18" s="87">
        <f t="shared" ref="LL18:LL41" si="161">IF(KP18&lt;0,0,LH18+LI18*KZ18+LJ18*COS(RADIANS(KR18))+LK18*LN(KW18))</f>
        <v>0</v>
      </c>
      <c r="LM18" s="87">
        <f>+LL18*'Irradiancia Horizontal'!H41</f>
        <v>0</v>
      </c>
      <c r="LN18" s="87">
        <f>LG18-LM18</f>
        <v>0</v>
      </c>
      <c r="LO18" s="87" t="e">
        <f>+LN18/'Irradiancia Horizontal'!H70</f>
        <v>#DIV/0!</v>
      </c>
      <c r="LP18" s="38">
        <f t="shared" ref="LP18:LP41" si="162">SIN(RADIANS($KP$15))*SIN(RADIANS($KQ$15))*COS(RADIANS($KW$15))-SIN(RADIANS($KP$15))*COS(RADIANS($KQ$15))*SIN(RADIANS($KW$15))*COS(RADIANS($KV$15))+COS(RADIANS($KP$15))*COS(RADIANS($KQ$15))*COS(RADIANS($KW$15))*COS(RADIANS(KO18))+COS(RADIANS($KP$15))*SIN(RADIANS($KQ$15))*SIN(RADIANS($KW$15))*COS(RADIANS($KV$15))*COS(RADIANS(KO18))+COS(RADIANS($KP$15))*SIN(RADIANS($KW$15))*SIN(RADIANS($KV$15))*SIN(RADIANS(KO18))</f>
        <v>-0.77847638306406575</v>
      </c>
      <c r="LQ18" s="87">
        <f>IF(LP18&lt;0,0,LP18)</f>
        <v>0</v>
      </c>
      <c r="LR18" s="87">
        <f>IF(COS(RADIANS(KR18))&lt;0.087,0.087,COS(RADIANS(KR18)))</f>
        <v>8.6999999999999994E-2</v>
      </c>
      <c r="LS18" s="87" t="e">
        <f>IF(LA18=1,$T$81,IF(LA18=2,$T$82,IF(LA18=3,$T$83,IF(LA18=4,$T$84,IF(LA18=5,$T$85,IF(LA18=6,$T$86,IF(LA18=7,$T$87,$T$88)))))))</f>
        <v>#DIV/0!</v>
      </c>
      <c r="LT18" s="87" t="e">
        <f>IF(LA18=1,$U$81,IF(LA18=2,$U$82,IF(LA18=3,$U$83,IF(LA18=4,$U$84,IF(LA18=5,$U$85,IF(LA18=6,$U$86,IF(LA18=7,$U$87,$U$88)))))))</f>
        <v>#DIV/0!</v>
      </c>
      <c r="LU18" s="87" t="e">
        <f>IF(LA18=1,$V$81,IF(LA18=2,$V$82,IF(LA18=3,$V$83,IF(LA18=4,$V$84,IF(LA18=5,$V$85,IF(LA18=6,$V$86,IF(LA18=7,$V$87,$V$88)))))))</f>
        <v>#DIV/0!</v>
      </c>
      <c r="LV18" s="87" t="e">
        <f>IF(LA18=1,$W$81,IF(LA18=2,$W$82,IF(LA18=3,$W$83,IF(LA18=4,$W$84,IF(LA18=5,$W$85,IF(LA18=6,$W$86,IF(LA18=7,$W$87,$W$88)))))))</f>
        <v>#DIV/0!</v>
      </c>
      <c r="LW18" s="87" t="e">
        <f>IF(LA18=1,$X$81,IF(LA18=2,$X$82,IF(LA18=3,$X$83,IF(LA18=4,$X$84,IF(LA18=5,$X$85,IF(LA18=6,$X$86,IF(LA18=7,$X$87,$X$88)))))))</f>
        <v>#DIV/0!</v>
      </c>
      <c r="LX18" s="87" t="e">
        <f>IF(LA18=1,$Y$81,IF(LA18=2,$Y$82,IF(LA18=3,$Y$83,IF(LA18=4,$Y$84,IF(LA18=5,$Y$85,IF(LA18=6,$Y$86,IF(LA18=7,$Y$87,$Y$88)))))))</f>
        <v>#DIV/0!</v>
      </c>
      <c r="LY18" s="87" t="e">
        <f t="shared" ref="LY18:LY41" si="163">IF(LS18+LT18*KW18+LU18*RADIANS(KR18)&lt;0,0,LS18+LT18*KW18+LU18*RADIANS(KR18))</f>
        <v>#DIV/0!</v>
      </c>
      <c r="LZ18" s="87" t="e">
        <f t="shared" ref="LZ18:LZ41" si="164">LV18+LW18*KW18+LX18*RADIANS(KR18)</f>
        <v>#DIV/0!</v>
      </c>
      <c r="MA18" s="87">
        <f t="shared" ref="MA18:MA41" si="165">IF(KP18&lt;0,0,((0.5*(1-LY18)*(1+COS(RADIANS($KW$15))))+(LY18*(LQ18/LR18))+(LZ18*SIN(RADIANS($KW$15))))*LM18)</f>
        <v>0</v>
      </c>
      <c r="MB18" s="87" t="e">
        <f t="shared" ref="MB18:MB23" si="166">IF(LA18=1,$AB$81,IF(LA18=2,$AB$82,IF(LA18=3,$AB$83,IF(LA18=4,$AB$84,IF(LA18=5,$AB$85,IF(LA18=6,$AB$86,IF(LA18=7,$AB$87,$AB$88)))))))</f>
        <v>#DIV/0!</v>
      </c>
      <c r="MC18" s="87" t="e">
        <f t="shared" ref="MC18:MC23" si="167">IF(LA18=1,$AC$81,IF(LA18=2,$AC$82,IF(LA18=3,$AC$83,IF(LA18=4,$AC$84,IF(LA18=5,$AC$85,IF(LA18=6,$AC$86,IF(LA18=7,$AC$87,$AC$88)))))))</f>
        <v>#DIV/0!</v>
      </c>
      <c r="MD18" s="87" t="e">
        <f t="shared" ref="MD18:MD23" si="168">IF(LA18=1,$AD$81,IF(LA18=2,$AD$82,IF(LA18=3,$AD$83,IF(LA18=4,$AD$84,IF(LA18=5,$AD$85,IF(LA18=6,$AD$86,IF(LA18=7,$AD$87,$AD$88)))))))</f>
        <v>#DIV/0!</v>
      </c>
      <c r="ME18" s="87" t="e">
        <f t="shared" ref="ME18:ME23" si="169">IF(LA18=1,$AE$81,IF(LA18=2,$AE$82,IF(LA18=3,$AE$83,IF(LA18=4,$AE$84,IF(LA18=5,$AE$85,IF(LA18=6,$AE$86,IF(LA18=7,$AE$87,$AE$88)))))))</f>
        <v>#DIV/0!</v>
      </c>
      <c r="MF18" s="87" t="e">
        <f t="shared" ref="MF18:MF23" si="170">IF(LA18=1,$AF$81,IF(LA18=2,$AF$82,IF(LA18=3,$AF$83,IF(LA18=4,$AF$84,IF(LA18=5,$AF$85,IF(LA18=6,$AF$86,IF(LA18=7,$AF$87,$AF$88)))))))</f>
        <v>#DIV/0!</v>
      </c>
      <c r="MG18" s="87" t="e">
        <f t="shared" ref="MG18:MG23" si="171">IF(LA18=1,$AG$81,IF(LA18=2,$AG$82,IF(LA18=3,$AG$83,IF(LA18=4,$AG$84,IF(LA18=5,$AG$85,IF(LA18=6,$AG$86,IF(LA18=7,$AG$87,$AG$88)))))))</f>
        <v>#DIV/0!</v>
      </c>
      <c r="MH18" s="87" t="e">
        <f t="shared" ref="MH18:MH41" si="172">IF(MB18+MC18*KW18+MD18*RADIANS(KR18)&lt;0,0,MB18+MC18*KW18+MD18*RADIANS(KR18))</f>
        <v>#DIV/0!</v>
      </c>
      <c r="MI18" s="87" t="e">
        <f t="shared" ref="MI18:MI41" si="173">ME18+MF18*KW18+MG18*RADIANS(KR18)</f>
        <v>#DIV/0!</v>
      </c>
      <c r="MJ18" s="87">
        <f>IF(KP18&lt;0,0,((0.5*(1-MH18)*(1+COS(RADIANS($KW$15))))+(MH18*(LQ18/LR18))+(MI18*SIN(RADIANS($KW$15))))*'Irradiancia Horizontal'!H41)</f>
        <v>0</v>
      </c>
      <c r="MK18" s="87">
        <f t="shared" ref="MK18:MK41" si="174">LQ18/COS(RADIANS(KR18))</f>
        <v>0</v>
      </c>
      <c r="ML18" s="87">
        <f>MK18*'Irradiancia Horizontal'!H70</f>
        <v>0</v>
      </c>
      <c r="MM18" s="87">
        <f>+MJ18+ML18</f>
        <v>0</v>
      </c>
      <c r="MN18" s="88">
        <f t="shared" ref="MN18:MN41" si="175">IF(KP18&lt;0,0,MM18*LF18)</f>
        <v>0</v>
      </c>
      <c r="MO18" s="87">
        <f>MN18-MA18</f>
        <v>0</v>
      </c>
      <c r="MP18" s="106">
        <f>LN18/COS(RADIANS(KR18))</f>
        <v>0</v>
      </c>
      <c r="MQ18" s="106">
        <f>IF(LP18&lt;0,0,MP18*LP18)</f>
        <v>0</v>
      </c>
      <c r="MR18" s="106">
        <f>MQ18+MA18</f>
        <v>0</v>
      </c>
    </row>
    <row r="19" spans="5:356" x14ac:dyDescent="0.25">
      <c r="E19" s="39">
        <v>8.3333333333333301E-2</v>
      </c>
      <c r="F19" s="38">
        <v>150</v>
      </c>
      <c r="G19" s="38">
        <f t="shared" si="0"/>
        <v>-61.392241505320605</v>
      </c>
      <c r="H19" s="38">
        <f t="shared" si="1"/>
        <v>78.641634584200517</v>
      </c>
      <c r="I19" s="38">
        <f t="shared" si="2"/>
        <v>151.39224150532061</v>
      </c>
      <c r="J19" s="38">
        <f>'Irradiancia Horizontal'!C71/COS(RADIANS(I19))</f>
        <v>0</v>
      </c>
      <c r="K19" s="38" t="e">
        <f>((('Irradiancia Horizontal'!C42+J19)/'Irradiancia Horizontal'!C42)+1.041*((RADIANS('Cálculos iluminancia'!I19))^3))/(1+1.041*((RADIANS('Cálculos iluminancia'!I19))^3))</f>
        <v>#DIV/0!</v>
      </c>
      <c r="L19" s="36" t="e">
        <f t="shared" si="3"/>
        <v>#NUM!</v>
      </c>
      <c r="M19" s="36" t="e">
        <f t="shared" si="4"/>
        <v>#NUM!</v>
      </c>
      <c r="N19" s="106" t="e">
        <f>'Irradiancia Horizontal'!C42*M19/$L$15</f>
        <v>#NUM!</v>
      </c>
      <c r="O19" s="71">
        <f>((17.27*Temp!B12)/(237.7+Temp!B12))+LN(HR!B23/100)</f>
        <v>0.38747028331506006</v>
      </c>
      <c r="P19" s="71">
        <f t="shared" ref="P19:P41" si="176">(237.7*O19)/(17.27-O19)</f>
        <v>5.4554434607608613</v>
      </c>
      <c r="Q19" s="71">
        <f t="shared" ref="Q19:Q41" si="177">EXP((0.07*P19)-0.075)</f>
        <v>1.3591792735509665</v>
      </c>
      <c r="R19" s="71" t="e">
        <f t="shared" si="5"/>
        <v>#DIV/0!</v>
      </c>
      <c r="S19" s="71" t="e">
        <f t="shared" si="6"/>
        <v>#DIV/0!</v>
      </c>
      <c r="T19" s="71" t="e">
        <f t="shared" si="7"/>
        <v>#DIV/0!</v>
      </c>
      <c r="U19" s="71" t="e">
        <f t="shared" si="8"/>
        <v>#DIV/0!</v>
      </c>
      <c r="V19" s="71" t="e">
        <f t="shared" si="9"/>
        <v>#DIV/0!</v>
      </c>
      <c r="W19" s="103">
        <f t="shared" si="10"/>
        <v>0</v>
      </c>
      <c r="X19" s="165">
        <f>IF(AD19&gt;(W19*'Irradiancia Horizontal'!C10),AD19,W19*'Irradiancia Horizontal'!C10)</f>
        <v>0</v>
      </c>
      <c r="Y19" s="71" t="e">
        <f t="shared" si="11"/>
        <v>#DIV/0!</v>
      </c>
      <c r="Z19" s="71" t="e">
        <f t="shared" si="12"/>
        <v>#DIV/0!</v>
      </c>
      <c r="AA19" s="71" t="e">
        <f t="shared" si="13"/>
        <v>#DIV/0!</v>
      </c>
      <c r="AB19" s="71" t="e">
        <f t="shared" si="14"/>
        <v>#DIV/0!</v>
      </c>
      <c r="AC19" s="103">
        <f t="shared" si="15"/>
        <v>0</v>
      </c>
      <c r="AD19" s="71">
        <f>+AC19*'Irradiancia Horizontal'!C42</f>
        <v>0</v>
      </c>
      <c r="AE19" s="71">
        <f t="shared" si="16"/>
        <v>0</v>
      </c>
      <c r="AF19" s="71" t="e">
        <f>+AE19/'Irradiancia Horizontal'!C71</f>
        <v>#DIV/0!</v>
      </c>
      <c r="AG19" s="38">
        <f t="shared" si="17"/>
        <v>-9.4299364337556368E-2</v>
      </c>
      <c r="AH19" s="84">
        <f t="shared" ref="AH19:AH41" si="178">IF(AG19&lt;0,0,AG19)</f>
        <v>0</v>
      </c>
      <c r="AI19" s="84">
        <f t="shared" ref="AI19:AI41" si="179">IF(COS(RADIANS(I19))&lt;0.087,0.087,COS(RADIANS(I19)))</f>
        <v>8.6999999999999994E-2</v>
      </c>
      <c r="AJ19" s="84" t="e">
        <f t="shared" ref="AJ19:AJ41" si="180">IF(R19=1,$T$81,IF(R19=2,$T$82,IF(R19=3,$T$83,IF(R19=4,$T$84,IF(R19=5,$T$85,IF(R19=6,$T$86,IF(R19=7,$T$87,$T$88)))))))</f>
        <v>#DIV/0!</v>
      </c>
      <c r="AK19" s="84" t="e">
        <f t="shared" ref="AK19:AK41" si="181">IF(R19=1,$U$81,IF(R19=2,$U$82,IF(R19=3,$U$83,IF(R19=4,$U$84,IF(R19=5,$U$85,IF(R19=6,$U$86,IF(R19=7,$U$87,$U$88)))))))</f>
        <v>#DIV/0!</v>
      </c>
      <c r="AL19" s="84" t="e">
        <f t="shared" ref="AL19:AL41" si="182">IF(R19=1,$V$81,IF(R19=2,$V$82,IF(R19=3,$V$83,IF(R19=4,$V$84,IF(R19=5,$V$85,IF(R19=6,$V$86,IF(R19=7,$V$87,$V$88)))))))</f>
        <v>#DIV/0!</v>
      </c>
      <c r="AM19" s="84" t="e">
        <f t="shared" ref="AM19:AM41" si="183">IF(R19=1,$W$81,IF(R19=2,$W$82,IF(R19=3,$W$83,IF(R19=4,$W$84,IF(R19=5,$W$85,IF(R19=6,$W$86,IF(R19=7,$W$87,$W$88)))))))</f>
        <v>#DIV/0!</v>
      </c>
      <c r="AN19" s="84" t="e">
        <f t="shared" ref="AN19:AN41" si="184">IF(R19=1,$X$81,IF(R19=2,$X$82,IF(R19=3,$X$83,IF(R19=4,$X$84,IF(R19=5,$X$85,IF(R19=6,$X$86,IF(R19=7,$X$87,$X$88)))))))</f>
        <v>#DIV/0!</v>
      </c>
      <c r="AO19" s="84" t="e">
        <f t="shared" ref="AO19:AO41" si="185">IF(R19=1,$Y$81,IF(R19=2,$Y$82,IF(R19=3,$Y$83,IF(R19=4,$Y$84,IF(R19=5,$Y$85,IF(R19=6,$Y$86,IF(R19=7,$Y$87,$Y$88)))))))</f>
        <v>#DIV/0!</v>
      </c>
      <c r="AP19" s="84" t="e">
        <f t="shared" si="18"/>
        <v>#DIV/0!</v>
      </c>
      <c r="AQ19" s="84" t="e">
        <f t="shared" si="19"/>
        <v>#DIV/0!</v>
      </c>
      <c r="AR19" s="88">
        <f t="shared" si="20"/>
        <v>0</v>
      </c>
      <c r="AS19" s="84" t="e">
        <f t="shared" si="21"/>
        <v>#DIV/0!</v>
      </c>
      <c r="AT19" s="84" t="e">
        <f t="shared" si="22"/>
        <v>#DIV/0!</v>
      </c>
      <c r="AU19" s="84" t="e">
        <f t="shared" si="23"/>
        <v>#DIV/0!</v>
      </c>
      <c r="AV19" s="84" t="e">
        <f t="shared" si="24"/>
        <v>#DIV/0!</v>
      </c>
      <c r="AW19" s="84" t="e">
        <f t="shared" si="25"/>
        <v>#DIV/0!</v>
      </c>
      <c r="AX19" s="84" t="e">
        <f t="shared" si="26"/>
        <v>#DIV/0!</v>
      </c>
      <c r="AY19" s="84" t="e">
        <f t="shared" si="27"/>
        <v>#DIV/0!</v>
      </c>
      <c r="AZ19" s="84" t="e">
        <f t="shared" si="28"/>
        <v>#DIV/0!</v>
      </c>
      <c r="BA19" s="106">
        <f>IF(G19&lt;0,0,((0.5*(1-AY19)*(1+COS(RADIANS($N$15))))+(AY19*(AH19/AI19))+(AZ19*SIN(RADIANS($N$15))))*'Irradiancia Horizontal'!C42)</f>
        <v>0</v>
      </c>
      <c r="BB19" s="106">
        <f t="shared" ref="BB19:BB41" si="186">AH19/COS(RADIANS(I19))</f>
        <v>0</v>
      </c>
      <c r="BC19" s="84">
        <f>BB19*'Irradiancia Horizontal'!C71</f>
        <v>0</v>
      </c>
      <c r="BD19" s="84">
        <f t="shared" ref="BD19:BD41" si="187">+BA19+BC19</f>
        <v>0</v>
      </c>
      <c r="BE19" s="88">
        <f t="shared" si="29"/>
        <v>0</v>
      </c>
      <c r="BF19" s="84">
        <f t="shared" ref="BF19:BF41" si="188">BE19-AR19</f>
        <v>0</v>
      </c>
      <c r="BG19" s="106">
        <f t="shared" ref="BG19:BG41" si="189">AE19/COS(RADIANS(I19))</f>
        <v>0</v>
      </c>
      <c r="BH19" s="106">
        <f t="shared" ref="BH19:BH41" si="190">IF(AG19&lt;0,0,BG19*AG19)</f>
        <v>0</v>
      </c>
      <c r="BI19" s="106">
        <f t="shared" ref="BI19:BI41" si="191">BH19+AR19</f>
        <v>0</v>
      </c>
      <c r="BJ19" s="72"/>
      <c r="BL19" s="39">
        <v>8.3333333333333301E-2</v>
      </c>
      <c r="BM19" s="38">
        <v>150</v>
      </c>
      <c r="BN19" s="38">
        <f t="shared" si="30"/>
        <v>-56.824338115711754</v>
      </c>
      <c r="BO19" s="38">
        <f t="shared" si="31"/>
        <v>63.668970769506515</v>
      </c>
      <c r="BP19" s="38">
        <f t="shared" si="32"/>
        <v>146.82433811571175</v>
      </c>
      <c r="BQ19" s="38">
        <f>+'Irradiancia Horizontal'!D71/COS(RADIANS(BP19))</f>
        <v>0</v>
      </c>
      <c r="BR19" s="38" t="e">
        <f>((('Irradiancia Horizontal'!D42+BQ19)/'Irradiancia Horizontal'!D42)+1.041*((RADIANS('Cálculos iluminancia'!BP19))^3))/(1+1.041*((RADIANS('Cálculos iluminancia'!BP19))^3))</f>
        <v>#DIV/0!</v>
      </c>
      <c r="BS19" s="84" t="e">
        <f t="shared" si="33"/>
        <v>#NUM!</v>
      </c>
      <c r="BT19" s="84" t="e">
        <f t="shared" ref="BT19:BT41" si="192">BS19*$BR$15</f>
        <v>#NUM!</v>
      </c>
      <c r="BU19" s="106" t="e">
        <f>'Irradiancia Horizontal'!D42*BT19/$BS$15</f>
        <v>#NUM!</v>
      </c>
      <c r="BV19" s="84">
        <f>((17.27*Temp!C12)/(237.7+Temp!C12))+LN(HR!C23/100)</f>
        <v>0.43690087484001044</v>
      </c>
      <c r="BW19" s="84">
        <f t="shared" ref="BW19:BW41" si="193">(237.7*BV19)/(17.27-BV19)</f>
        <v>6.1694722509087239</v>
      </c>
      <c r="BX19" s="84">
        <f t="shared" ref="BX19:BX41" si="194">EXP((0.07*BW19)-0.075)</f>
        <v>1.4288401875990797</v>
      </c>
      <c r="BY19" s="84" t="e">
        <f t="shared" si="34"/>
        <v>#DIV/0!</v>
      </c>
      <c r="BZ19" s="84" t="e">
        <f t="shared" si="35"/>
        <v>#DIV/0!</v>
      </c>
      <c r="CA19" s="84" t="e">
        <f t="shared" si="36"/>
        <v>#DIV/0!</v>
      </c>
      <c r="CB19" s="84" t="e">
        <f t="shared" si="37"/>
        <v>#DIV/0!</v>
      </c>
      <c r="CC19" s="84" t="e">
        <f t="shared" si="38"/>
        <v>#DIV/0!</v>
      </c>
      <c r="CD19" s="103">
        <f t="shared" si="39"/>
        <v>0</v>
      </c>
      <c r="CE19" s="165">
        <f>IF(CK19&gt;(CD19*'Irradiancia Horizontal'!D10),CK19,CD19*'Irradiancia Horizontal'!D10)</f>
        <v>0</v>
      </c>
      <c r="CF19" s="84" t="e">
        <f t="shared" si="40"/>
        <v>#DIV/0!</v>
      </c>
      <c r="CG19" s="84" t="e">
        <f t="shared" si="41"/>
        <v>#DIV/0!</v>
      </c>
      <c r="CH19" s="84" t="e">
        <f t="shared" si="42"/>
        <v>#DIV/0!</v>
      </c>
      <c r="CI19" s="84" t="e">
        <f t="shared" si="43"/>
        <v>#DIV/0!</v>
      </c>
      <c r="CJ19" s="103">
        <f t="shared" si="44"/>
        <v>0</v>
      </c>
      <c r="CK19" s="84">
        <f>+CJ19*'Irradiancia Horizontal'!D42</f>
        <v>0</v>
      </c>
      <c r="CL19" s="84">
        <f t="shared" ref="CL19:CL41" si="195">CE19-CK19</f>
        <v>0</v>
      </c>
      <c r="CM19" s="84" t="e">
        <f>+CL19/'Irradiancia Horizontal'!D71</f>
        <v>#DIV/0!</v>
      </c>
      <c r="CN19" s="38">
        <f t="shared" si="45"/>
        <v>-0.24271761748925696</v>
      </c>
      <c r="CO19" s="84">
        <f t="shared" ref="CO19:CO41" si="196">IF(CN19&lt;0,0,CN19)</f>
        <v>0</v>
      </c>
      <c r="CP19" s="84">
        <f t="shared" ref="CP19:CP41" si="197">IF(COS(RADIANS(BP19))&lt;0.087,0.087,COS(RADIANS(BP19)))</f>
        <v>8.6999999999999994E-2</v>
      </c>
      <c r="CQ19" s="84" t="e">
        <f t="shared" ref="CQ19:CQ41" si="198">IF(BY19=1,$T$81,IF(BY19=2,$T$82,IF(BY19=3,$T$83,IF(BY19=4,$T$84,IF(BY19=5,$T$85,IF(BY19=6,$T$86,IF(BY19=7,$T$87,$T$88)))))))</f>
        <v>#DIV/0!</v>
      </c>
      <c r="CR19" s="84" t="e">
        <f t="shared" ref="CR19:CR41" si="199">IF(BY19=1,$U$81,IF(BY19=2,$U$82,IF(BY19=3,$U$83,IF(BY19=4,$U$84,IF(BY19=5,$U$85,IF(BY19=6,$U$86,IF(BY19=7,$U$87,$U$88)))))))</f>
        <v>#DIV/0!</v>
      </c>
      <c r="CS19" s="84" t="e">
        <f t="shared" ref="CS19:CS41" si="200">IF(BY19=1,$V$81,IF(BY19=2,$V$82,IF(BY19=3,$V$83,IF(BY19=4,$V$84,IF(BY19=5,$V$85,IF(BY19=6,$V$86,IF(BY19=7,$V$87,$V$88)))))))</f>
        <v>#DIV/0!</v>
      </c>
      <c r="CT19" s="84" t="e">
        <f t="shared" ref="CT19:CT41" si="201">IF(BY19=1,$W$81,IF(BY19=2,$W$82,IF(BY19=3,$W$83,IF(BY19=4,$W$84,IF(BY19=5,$W$85,IF(BY19=6,$W$86,IF(BY19=7,$W$87,$W$88)))))))</f>
        <v>#DIV/0!</v>
      </c>
      <c r="CU19" s="84" t="e">
        <f t="shared" ref="CU19:CU41" si="202">IF(BY19=1,$X$81,IF(BY19=2,$X$82,IF(BY19=3,$X$83,IF(BY19=4,$X$84,IF(BY19=5,$X$85,IF(BY19=6,$X$86,IF(BY19=7,$X$87,$X$88)))))))</f>
        <v>#DIV/0!</v>
      </c>
      <c r="CV19" s="84" t="e">
        <f t="shared" ref="CV19:CV41" si="203">IF(BY19=1,$Y$81,IF(BY19=2,$Y$82,IF(BY19=3,$Y$83,IF(BY19=4,$Y$84,IF(BY19=5,$Y$85,IF(BY19=6,$Y$86,IF(BY19=7,$Y$87,$Y$88)))))))</f>
        <v>#DIV/0!</v>
      </c>
      <c r="CW19" s="84" t="e">
        <f t="shared" si="46"/>
        <v>#DIV/0!</v>
      </c>
      <c r="CX19" s="84" t="e">
        <f t="shared" si="47"/>
        <v>#DIV/0!</v>
      </c>
      <c r="CY19" s="88">
        <f t="shared" si="48"/>
        <v>0</v>
      </c>
      <c r="CZ19" s="84" t="e">
        <f t="shared" si="49"/>
        <v>#DIV/0!</v>
      </c>
      <c r="DA19" s="84" t="e">
        <f t="shared" si="50"/>
        <v>#DIV/0!</v>
      </c>
      <c r="DB19" s="84" t="e">
        <f t="shared" si="51"/>
        <v>#DIV/0!</v>
      </c>
      <c r="DC19" s="84" t="e">
        <f t="shared" si="52"/>
        <v>#DIV/0!</v>
      </c>
      <c r="DD19" s="84" t="e">
        <f t="shared" si="53"/>
        <v>#DIV/0!</v>
      </c>
      <c r="DE19" s="84" t="e">
        <f t="shared" si="54"/>
        <v>#DIV/0!</v>
      </c>
      <c r="DF19" s="84" t="e">
        <f t="shared" si="55"/>
        <v>#DIV/0!</v>
      </c>
      <c r="DG19" s="84" t="e">
        <f t="shared" si="56"/>
        <v>#DIV/0!</v>
      </c>
      <c r="DH19" s="106">
        <f>IF(BN19&lt;0,0,((0.5*(1-DF19)*(1+COS(RADIANS($BU$15))))+(DF19*(CO19/CP19))+(DG19*SIN(RADIANS($BU$15))))*'Irradiancia Horizontal'!D42)</f>
        <v>0</v>
      </c>
      <c r="DI19" s="106">
        <f t="shared" ref="DI19:DI41" si="204">CO19/COS(RADIANS(BP19))</f>
        <v>0</v>
      </c>
      <c r="DJ19" s="84">
        <f>DI19*'Irradiancia Horizontal'!D71</f>
        <v>0</v>
      </c>
      <c r="DK19" s="84">
        <f t="shared" ref="DK19:DK41" si="205">+DH19+DJ19</f>
        <v>0</v>
      </c>
      <c r="DL19" s="88">
        <f t="shared" si="57"/>
        <v>0</v>
      </c>
      <c r="DM19" s="84">
        <f t="shared" ref="DM19:DM41" si="206">DL19-CY19</f>
        <v>0</v>
      </c>
      <c r="DN19" s="106">
        <f t="shared" ref="DN19:DN41" si="207">CL19/COS(RADIANS(BP19))</f>
        <v>0</v>
      </c>
      <c r="DO19" s="106">
        <f t="shared" ref="DO19:DO41" si="208">IF(CN19&lt;0,0,DN19*CN19)</f>
        <v>0</v>
      </c>
      <c r="DP19" s="106">
        <f t="shared" ref="DP19:DP41" si="209">DO19+CY19</f>
        <v>0</v>
      </c>
      <c r="DQ19" s="44"/>
      <c r="DS19" s="39">
        <v>8.3333333333333301E-2</v>
      </c>
      <c r="DT19" s="38">
        <v>150</v>
      </c>
      <c r="DU19" s="38">
        <f t="shared" si="58"/>
        <v>-49.487232401773802</v>
      </c>
      <c r="DV19" s="38">
        <f t="shared" si="59"/>
        <v>50.323781849922142</v>
      </c>
      <c r="DW19" s="38">
        <f t="shared" si="60"/>
        <v>139.48723240177381</v>
      </c>
      <c r="DX19" s="38">
        <f>+'Irradiancia Horizontal'!E71/COS(RADIANS(DW19))</f>
        <v>0</v>
      </c>
      <c r="DY19" s="38" t="e">
        <f>((('Irradiancia Horizontal'!E42+DX19)/'Irradiancia Horizontal'!E42)+1.041*((RADIANS('Cálculos iluminancia'!DW19))^3))/(1+1.041*((RADIANS('Cálculos iluminancia'!DW19))^3))</f>
        <v>#DIV/0!</v>
      </c>
      <c r="DZ19" s="84" t="e">
        <f t="shared" si="61"/>
        <v>#NUM!</v>
      </c>
      <c r="EA19" s="84" t="e">
        <f t="shared" ref="EA19:EA41" si="210">DZ19*$DY$15</f>
        <v>#NUM!</v>
      </c>
      <c r="EB19" s="106" t="e">
        <f>'Irradiancia Horizontal'!E42*EA19/$DZ$15</f>
        <v>#NUM!</v>
      </c>
      <c r="EC19" s="84">
        <f>((17.27*Temp!D12)/(237.7+Temp!D12))+LN(HR!D23/100)</f>
        <v>0.47704213004495599</v>
      </c>
      <c r="ED19" s="84">
        <f t="shared" ref="ED19:ED41" si="211">(237.7*EC19)/(17.27-EC19)</f>
        <v>6.7524086697413717</v>
      </c>
      <c r="EE19" s="84">
        <f t="shared" ref="EE19:EE41" si="212">EXP((0.07*ED19)-0.075)</f>
        <v>1.488350718986273</v>
      </c>
      <c r="EF19" s="84" t="e">
        <f t="shared" si="62"/>
        <v>#DIV/0!</v>
      </c>
      <c r="EG19" s="84" t="e">
        <f t="shared" si="63"/>
        <v>#DIV/0!</v>
      </c>
      <c r="EH19" s="84" t="e">
        <f t="shared" si="64"/>
        <v>#DIV/0!</v>
      </c>
      <c r="EI19" s="84" t="e">
        <f t="shared" si="65"/>
        <v>#DIV/0!</v>
      </c>
      <c r="EJ19" s="84" t="e">
        <f t="shared" si="66"/>
        <v>#DIV/0!</v>
      </c>
      <c r="EK19" s="103">
        <f t="shared" si="67"/>
        <v>0</v>
      </c>
      <c r="EL19" s="165">
        <f>IF(ER19&gt;(EK19*'Irradiancia Horizontal'!E10),ER19,EK19*'Irradiancia Horizontal'!E10)</f>
        <v>0</v>
      </c>
      <c r="EM19" s="84" t="e">
        <f t="shared" si="68"/>
        <v>#DIV/0!</v>
      </c>
      <c r="EN19" s="84" t="e">
        <f t="shared" si="69"/>
        <v>#DIV/0!</v>
      </c>
      <c r="EO19" s="84" t="e">
        <f t="shared" si="70"/>
        <v>#DIV/0!</v>
      </c>
      <c r="EP19" s="84" t="e">
        <f t="shared" si="71"/>
        <v>#DIV/0!</v>
      </c>
      <c r="EQ19" s="103">
        <f t="shared" si="72"/>
        <v>0</v>
      </c>
      <c r="ER19" s="84">
        <f>+EQ19*'Irradiancia Horizontal'!E42</f>
        <v>0</v>
      </c>
      <c r="ES19" s="84">
        <f t="shared" ref="ES19:ES41" si="213">EL19-ER19</f>
        <v>0</v>
      </c>
      <c r="ET19" s="84" t="e">
        <f>+ES19/'Irradiancia Horizontal'!E71</f>
        <v>#DIV/0!</v>
      </c>
      <c r="EU19" s="38">
        <f t="shared" si="73"/>
        <v>-0.4147472440561118</v>
      </c>
      <c r="EV19" s="84">
        <f t="shared" ref="EV19:EV41" si="214">IF(EU19&lt;0,0,EU19)</f>
        <v>0</v>
      </c>
      <c r="EW19" s="84">
        <f t="shared" ref="EW19:EW41" si="215">IF(COS(RADIANS(DW19))&lt;0.087,0.087,COS(RADIANS(DW19)))</f>
        <v>8.6999999999999994E-2</v>
      </c>
      <c r="EX19" s="84" t="e">
        <f t="shared" ref="EX19:EX41" si="216">IF(EF19=1,$T$81,IF(EF19=2,$T$82,IF(EF19=3,$T$83,IF(EF19=4,$T$84,IF(EF19=5,$T$85,IF(EF19=6,$T$86,IF(EF19=7,$T$87,$T$88)))))))</f>
        <v>#DIV/0!</v>
      </c>
      <c r="EY19" s="84" t="e">
        <f t="shared" ref="EY19:EY41" si="217">IF(EF19=1,$U$81,IF(EF19=2,$U$82,IF(EF19=3,$U$83,IF(EF19=4,$U$84,IF(EF19=5,$U$85,IF(EF19=6,$U$86,IF(EF19=7,$U$87,$U$88)))))))</f>
        <v>#DIV/0!</v>
      </c>
      <c r="EZ19" s="84" t="e">
        <f t="shared" ref="EZ19:EZ41" si="218">IF(EF19=1,$V$81,IF(EF19=2,$V$82,IF(EF19=3,$V$83,IF(EF19=4,$V$84,IF(EF19=5,$V$85,IF(EF19=6,$V$86,IF(EF19=7,$V$87,$V$88)))))))</f>
        <v>#DIV/0!</v>
      </c>
      <c r="FA19" s="84" t="e">
        <f t="shared" ref="FA19:FA41" si="219">IF(EF19=1,$W$81,IF(EF19=2,$W$82,IF(EF19=3,$W$83,IF(EF19=4,$W$84,IF(EF19=5,$W$85,IF(EF19=6,$W$86,IF(EF19=7,$W$87,$W$88)))))))</f>
        <v>#DIV/0!</v>
      </c>
      <c r="FB19" s="84" t="e">
        <f t="shared" ref="FB19:FB41" si="220">IF(EF19=1,$X$81,IF(EF19=2,$X$82,IF(EF19=3,$X$83,IF(EF19=4,$X$84,IF(EF19=5,$X$85,IF(EF19=6,$X$86,IF(EF19=7,$X$87,$X$88)))))))</f>
        <v>#DIV/0!</v>
      </c>
      <c r="FC19" s="84" t="e">
        <f t="shared" ref="FC19:FC41" si="221">IF(EF19=1,$Y$81,IF(EF19=2,$Y$82,IF(EF19=3,$Y$83,IF(EF19=4,$Y$84,IF(EF19=5,$Y$85,IF(EF19=6,$Y$86,IF(EF19=7,$Y$87,$Y$88)))))))</f>
        <v>#DIV/0!</v>
      </c>
      <c r="FD19" s="84" t="e">
        <f t="shared" si="74"/>
        <v>#DIV/0!</v>
      </c>
      <c r="FE19" s="84" t="e">
        <f t="shared" si="75"/>
        <v>#DIV/0!</v>
      </c>
      <c r="FF19" s="88">
        <f t="shared" si="76"/>
        <v>0</v>
      </c>
      <c r="FG19" s="84" t="e">
        <f t="shared" si="77"/>
        <v>#DIV/0!</v>
      </c>
      <c r="FH19" s="84" t="e">
        <f t="shared" si="78"/>
        <v>#DIV/0!</v>
      </c>
      <c r="FI19" s="84" t="e">
        <f t="shared" si="79"/>
        <v>#DIV/0!</v>
      </c>
      <c r="FJ19" s="84" t="e">
        <f t="shared" si="80"/>
        <v>#DIV/0!</v>
      </c>
      <c r="FK19" s="84" t="e">
        <f t="shared" si="81"/>
        <v>#DIV/0!</v>
      </c>
      <c r="FL19" s="84" t="e">
        <f t="shared" si="82"/>
        <v>#DIV/0!</v>
      </c>
      <c r="FM19" s="84" t="e">
        <f t="shared" si="83"/>
        <v>#DIV/0!</v>
      </c>
      <c r="FN19" s="84" t="e">
        <f t="shared" si="84"/>
        <v>#DIV/0!</v>
      </c>
      <c r="FO19" s="106">
        <f>IF(DU19&lt;0,0,((0.5*(1-FM19)*(1+COS(RADIANS($EB$15))))+(FM19*(EV19/EW19))+(FN19*SIN(RADIANS($EB$15))))*'Irradiancia Horizontal'!E42)</f>
        <v>0</v>
      </c>
      <c r="FP19" s="106">
        <f t="shared" ref="FP19:FP41" si="222">EV19/COS(RADIANS(DW19))</f>
        <v>0</v>
      </c>
      <c r="FQ19" s="84">
        <f>FP19*'Irradiancia Horizontal'!E71</f>
        <v>0</v>
      </c>
      <c r="FR19" s="84">
        <f t="shared" ref="FR19:FR41" si="223">+FO19+FQ19</f>
        <v>0</v>
      </c>
      <c r="FS19" s="88">
        <f t="shared" si="85"/>
        <v>0</v>
      </c>
      <c r="FT19" s="84">
        <f t="shared" ref="FT19:FT41" si="224">FS19-FF19</f>
        <v>0</v>
      </c>
      <c r="FU19" s="106">
        <f t="shared" ref="FU19:FU41" si="225">ES19/COS(RADIANS(DW19))</f>
        <v>0</v>
      </c>
      <c r="FV19" s="106">
        <f t="shared" ref="FV19:FV41" si="226">IF(EU19&lt;0,0,FU19*EU19)</f>
        <v>0</v>
      </c>
      <c r="FW19" s="106">
        <f t="shared" ref="FW19:FW41" si="227">FV19+FF19</f>
        <v>0</v>
      </c>
      <c r="FX19" s="83"/>
      <c r="FZ19" s="39">
        <v>8.3333333333333301E-2</v>
      </c>
      <c r="GA19" s="38">
        <v>150</v>
      </c>
      <c r="GB19" s="38">
        <f t="shared" si="86"/>
        <v>-40.08304052557321</v>
      </c>
      <c r="GC19" s="38">
        <f t="shared" si="87"/>
        <v>39.806701213504226</v>
      </c>
      <c r="GD19" s="38">
        <f t="shared" si="88"/>
        <v>130.08304052557321</v>
      </c>
      <c r="GE19" s="38">
        <f>+'Irradiancia Horizontal'!F71/COS(RADIANS(GD19))</f>
        <v>0</v>
      </c>
      <c r="GF19" s="38" t="e">
        <f>((('Irradiancia Horizontal'!F42+GE19)/'Irradiancia Horizontal'!F42)+1.041*((RADIANS('Cálculos iluminancia'!GD19))^3))/(1+1.041*((RADIANS('Cálculos iluminancia'!GD19))^3))</f>
        <v>#DIV/0!</v>
      </c>
      <c r="GG19" s="84" t="e">
        <f t="shared" si="89"/>
        <v>#NUM!</v>
      </c>
      <c r="GH19" s="84" t="e">
        <f t="shared" si="90"/>
        <v>#NUM!</v>
      </c>
      <c r="GI19" s="106" t="e">
        <f>'Irradiancia Horizontal'!F42*GH19/$GG$15</f>
        <v>#NUM!</v>
      </c>
      <c r="GJ19" s="84">
        <f>((17.27*Temp!E12)/(237.7+Temp!E12))+LN(HR!E23/100)</f>
        <v>0.5988784400039987</v>
      </c>
      <c r="GK19" s="84">
        <f t="shared" ref="GK19:GK41" si="228">(237.7*GJ19)/(17.27-GJ19)</f>
        <v>8.538921912161058</v>
      </c>
      <c r="GL19" s="84">
        <f t="shared" ref="GL19:GL41" si="229">EXP((0.07*GK19)-0.075)</f>
        <v>1.6866166395596749</v>
      </c>
      <c r="GM19" s="84" t="e">
        <f t="shared" si="91"/>
        <v>#DIV/0!</v>
      </c>
      <c r="GN19" s="84" t="e">
        <f t="shared" si="92"/>
        <v>#DIV/0!</v>
      </c>
      <c r="GO19" s="84" t="e">
        <f t="shared" si="93"/>
        <v>#DIV/0!</v>
      </c>
      <c r="GP19" s="84" t="e">
        <f t="shared" si="94"/>
        <v>#DIV/0!</v>
      </c>
      <c r="GQ19" s="84" t="e">
        <f t="shared" si="95"/>
        <v>#DIV/0!</v>
      </c>
      <c r="GR19" s="103">
        <f t="shared" si="96"/>
        <v>0</v>
      </c>
      <c r="GS19" s="165">
        <f>IF(GY19&gt;(GR19*'Irradiancia Horizontal'!F10),GY19,GR19*'Irradiancia Horizontal'!F10)</f>
        <v>0</v>
      </c>
      <c r="GT19" s="84" t="e">
        <f t="shared" si="97"/>
        <v>#DIV/0!</v>
      </c>
      <c r="GU19" s="84" t="e">
        <f t="shared" si="98"/>
        <v>#DIV/0!</v>
      </c>
      <c r="GV19" s="84" t="e">
        <f t="shared" si="99"/>
        <v>#DIV/0!</v>
      </c>
      <c r="GW19" s="84" t="e">
        <f t="shared" si="100"/>
        <v>#DIV/0!</v>
      </c>
      <c r="GX19" s="103">
        <f t="shared" si="101"/>
        <v>0</v>
      </c>
      <c r="GY19" s="84">
        <f>+GX19*'Irradiancia Horizontal'!F42</f>
        <v>0</v>
      </c>
      <c r="GZ19" s="84">
        <f t="shared" ref="GZ19:GZ41" si="230">GS19-GY19</f>
        <v>0</v>
      </c>
      <c r="HA19" s="84" t="e">
        <f>+GZ19/'Irradiancia Horizontal'!F71</f>
        <v>#DIV/0!</v>
      </c>
      <c r="HB19" s="38">
        <f t="shared" si="102"/>
        <v>-0.58776567918045286</v>
      </c>
      <c r="HC19" s="84">
        <f t="shared" ref="HC19:HC41" si="231">IF(HB19&lt;0,0,HB19)</f>
        <v>0</v>
      </c>
      <c r="HD19" s="84">
        <f t="shared" ref="HD19:HD41" si="232">IF(COS(RADIANS(GD19))&lt;0.087,0.087,COS(RADIANS(GD19)))</f>
        <v>8.6999999999999994E-2</v>
      </c>
      <c r="HE19" s="84" t="e">
        <f t="shared" ref="HE19:HE41" si="233">IF(GM19=1,$T$81,IF(GM19=2,$T$82,IF(GM19=3,$T$83,IF(GM19=4,$T$84,IF(GM19=5,$T$85,IF(GM19=6,$T$86,IF(GM19=7,$T$87,$T$88)))))))</f>
        <v>#DIV/0!</v>
      </c>
      <c r="HF19" s="84" t="e">
        <f t="shared" ref="HF19:HF41" si="234">IF(GM19=1,$U$81,IF(GM19=2,$U$82,IF(GM19=3,$U$83,IF(GM19=4,$U$84,IF(GM19=5,$U$85,IF(GM19=6,$U$86,IF(GM19=7,$U$87,$U$88)))))))</f>
        <v>#DIV/0!</v>
      </c>
      <c r="HG19" s="84" t="e">
        <f t="shared" ref="HG19:HG41" si="235">IF(GM19=1,$V$81,IF(GM19=2,$V$82,IF(GM19=3,$V$83,IF(GM19=4,$V$84,IF(GM19=5,$V$85,IF(GM19=6,$V$86,IF(GM19=7,$V$87,$V$88)))))))</f>
        <v>#DIV/0!</v>
      </c>
      <c r="HH19" s="84" t="e">
        <f t="shared" ref="HH19:HH41" si="236">IF(GM19=1,$W$81,IF(GM19=2,$W$82,IF(GM19=3,$W$83,IF(GM19=4,$W$84,IF(GM19=5,$W$85,IF(GM19=6,$W$86,IF(GM19=7,$W$87,$W$88)))))))</f>
        <v>#DIV/0!</v>
      </c>
      <c r="HI19" s="84" t="e">
        <f t="shared" ref="HI19:HI41" si="237">IF(GM19=1,$X$81,IF(GM19=2,$X$82,IF(GM19=3,$X$83,IF(GM19=4,$X$84,IF(GM19=5,$X$85,IF(GM19=6,$X$86,IF(GM19=7,$X$87,$X$88)))))))</f>
        <v>#DIV/0!</v>
      </c>
      <c r="HJ19" s="84" t="e">
        <f t="shared" ref="HJ19:HJ41" si="238">IF(GM19=1,$Y$81,IF(GM19=2,$Y$82,IF(GM19=3,$Y$83,IF(GM19=4,$Y$84,IF(GM19=5,$Y$85,IF(GM19=6,$Y$86,IF(GM19=7,$Y$87,$Y$88)))))))</f>
        <v>#DIV/0!</v>
      </c>
      <c r="HK19" s="84" t="e">
        <f t="shared" si="103"/>
        <v>#DIV/0!</v>
      </c>
      <c r="HL19" s="84" t="e">
        <f t="shared" si="104"/>
        <v>#DIV/0!</v>
      </c>
      <c r="HM19" s="88">
        <f t="shared" si="105"/>
        <v>0</v>
      </c>
      <c r="HN19" s="84" t="e">
        <f t="shared" si="106"/>
        <v>#DIV/0!</v>
      </c>
      <c r="HO19" s="84" t="e">
        <f t="shared" si="107"/>
        <v>#DIV/0!</v>
      </c>
      <c r="HP19" s="84" t="e">
        <f t="shared" si="108"/>
        <v>#DIV/0!</v>
      </c>
      <c r="HQ19" s="84" t="e">
        <f t="shared" si="109"/>
        <v>#DIV/0!</v>
      </c>
      <c r="HR19" s="84" t="e">
        <f t="shared" si="110"/>
        <v>#DIV/0!</v>
      </c>
      <c r="HS19" s="84" t="e">
        <f t="shared" si="111"/>
        <v>#DIV/0!</v>
      </c>
      <c r="HT19" s="84" t="e">
        <f t="shared" si="112"/>
        <v>#DIV/0!</v>
      </c>
      <c r="HU19" s="84" t="e">
        <f t="shared" si="113"/>
        <v>#DIV/0!</v>
      </c>
      <c r="HV19" s="106">
        <f>IF(GB19&lt;0,0,((0.5*(1-HT19)*(1+COS(RADIANS($GI$15))))+(HT19*(HC19/HD19))+(HU19*SIN(RADIANS($GI$15))))*'Irradiancia Horizontal'!F42)</f>
        <v>0</v>
      </c>
      <c r="HW19" s="84">
        <f t="shared" si="114"/>
        <v>0</v>
      </c>
      <c r="HX19" s="84">
        <f>HW19*'Irradiancia Horizontal'!F71</f>
        <v>0</v>
      </c>
      <c r="HY19" s="84">
        <f t="shared" ref="HY19:HY41" si="239">+HV19+HX19</f>
        <v>0</v>
      </c>
      <c r="HZ19" s="88">
        <f t="shared" si="115"/>
        <v>0</v>
      </c>
      <c r="IA19" s="84">
        <f t="shared" ref="IA19:IA41" si="240">HZ19-HM19</f>
        <v>0</v>
      </c>
      <c r="IB19" s="106">
        <f t="shared" ref="IB19:IB41" si="241">GZ19/COS(RADIANS(GD19))</f>
        <v>0</v>
      </c>
      <c r="IC19" s="106">
        <f t="shared" ref="IC19:IC41" si="242">IF(HB19&lt;0,0,IB19*HB19)</f>
        <v>0</v>
      </c>
      <c r="ID19" s="106">
        <f t="shared" ref="ID19:ID41" si="243">IC19+HM19</f>
        <v>0</v>
      </c>
      <c r="IE19" s="83"/>
      <c r="IG19" s="39">
        <v>8.3333333333333301E-2</v>
      </c>
      <c r="IH19" s="38">
        <v>150</v>
      </c>
      <c r="II19" s="38">
        <f t="shared" si="116"/>
        <v>-32.905461024397972</v>
      </c>
      <c r="IJ19" s="38">
        <f t="shared" si="117"/>
        <v>33.996089916728636</v>
      </c>
      <c r="IK19" s="38">
        <f t="shared" si="118"/>
        <v>122.90546102439797</v>
      </c>
      <c r="IL19" s="38">
        <f>+'Irradiancia Horizontal'!G71/COS(RADIANS(IK19))</f>
        <v>0</v>
      </c>
      <c r="IM19" s="38" t="e">
        <f>((('Irradiancia Horizontal'!G42+IL19)/'Irradiancia Horizontal'!G42)+1.041*((RADIANS('Cálculos iluminancia'!IK19))^3))/(1+1.041*((RADIANS('Cálculos iluminancia'!IK19))^3))</f>
        <v>#DIV/0!</v>
      </c>
      <c r="IN19" s="87" t="e">
        <f t="shared" si="119"/>
        <v>#NUM!</v>
      </c>
      <c r="IO19" s="87" t="e">
        <f t="shared" si="120"/>
        <v>#NUM!</v>
      </c>
      <c r="IP19" s="106" t="e">
        <f>'Irradiancia Horizontal'!G42*IO19/$IN$15</f>
        <v>#NUM!</v>
      </c>
      <c r="IQ19" s="87">
        <f>((17.27*Temp!F12)/(237.7+Temp!F12))+LN(HR!F23/100)</f>
        <v>0.76300541122164822</v>
      </c>
      <c r="IR19" s="87">
        <f t="shared" ref="IR19:IR41" si="244">(237.7*IQ19)/(17.27-IQ19)</f>
        <v>10.987244544847719</v>
      </c>
      <c r="IS19" s="87">
        <f t="shared" ref="IS19:IS41" si="245">EXP((0.07*IR19)-0.075)</f>
        <v>2.0019207969338719</v>
      </c>
      <c r="IT19" s="87" t="e">
        <f t="shared" si="121"/>
        <v>#DIV/0!</v>
      </c>
      <c r="IU19" s="87" t="e">
        <f t="shared" si="122"/>
        <v>#DIV/0!</v>
      </c>
      <c r="IV19" s="87" t="e">
        <f t="shared" si="123"/>
        <v>#DIV/0!</v>
      </c>
      <c r="IW19" s="87" t="e">
        <f t="shared" si="124"/>
        <v>#DIV/0!</v>
      </c>
      <c r="IX19" s="87" t="e">
        <f t="shared" si="125"/>
        <v>#DIV/0!</v>
      </c>
      <c r="IY19" s="103">
        <f t="shared" si="126"/>
        <v>0</v>
      </c>
      <c r="IZ19" s="165">
        <f>IF(JF19&gt;(IY19*'Irradiancia Horizontal'!G10),JF19,IY19*'Irradiancia Horizontal'!G10)</f>
        <v>0</v>
      </c>
      <c r="JA19" s="87" t="e">
        <f t="shared" si="127"/>
        <v>#DIV/0!</v>
      </c>
      <c r="JB19" s="87" t="e">
        <f t="shared" si="128"/>
        <v>#DIV/0!</v>
      </c>
      <c r="JC19" s="87" t="e">
        <f t="shared" si="129"/>
        <v>#DIV/0!</v>
      </c>
      <c r="JD19" s="87" t="e">
        <f t="shared" si="130"/>
        <v>#DIV/0!</v>
      </c>
      <c r="JE19" s="103">
        <f t="shared" si="131"/>
        <v>0</v>
      </c>
      <c r="JF19" s="87">
        <f>+JE19*'Irradiancia Horizontal'!G42</f>
        <v>0</v>
      </c>
      <c r="JG19" s="87">
        <f t="shared" ref="JG19:JG41" si="246">IZ19-JF19</f>
        <v>0</v>
      </c>
      <c r="JH19" s="87" t="e">
        <f>+JG19/'Irradiancia Horizontal'!G71</f>
        <v>#DIV/0!</v>
      </c>
      <c r="JI19" s="38">
        <f t="shared" si="132"/>
        <v>-0.69606552820179923</v>
      </c>
      <c r="JJ19" s="87">
        <f t="shared" ref="JJ19:JJ41" si="247">IF(JI19&lt;0,0,JI19)</f>
        <v>0</v>
      </c>
      <c r="JK19" s="87">
        <f t="shared" ref="JK19:JK41" si="248">IF(COS(RADIANS(IK19))&lt;0.087,0.087,COS(RADIANS(IK19)))</f>
        <v>8.6999999999999994E-2</v>
      </c>
      <c r="JL19" s="87" t="e">
        <f t="shared" ref="JL19:JL41" si="249">IF(IT19=1,$T$81,IF(IT19=2,$T$82,IF(IT19=3,$T$83,IF(IT19=4,$T$84,IF(IT19=5,$T$85,IF(IT19=6,$T$86,IF(IT19=7,$T$87,$T$88)))))))</f>
        <v>#DIV/0!</v>
      </c>
      <c r="JM19" s="87" t="e">
        <f t="shared" ref="JM19:JM41" si="250">IF(IT19=1,$U$81,IF(IT19=2,$U$82,IF(IT19=3,$U$83,IF(IT19=4,$U$84,IF(IT19=5,$U$85,IF(IT19=6,$U$86,IF(IT19=7,$U$87,$U$88)))))))</f>
        <v>#DIV/0!</v>
      </c>
      <c r="JN19" s="87" t="e">
        <f t="shared" ref="JN19:JN41" si="251">IF(IT19=1,$V$81,IF(IT19=2,$V$82,IF(IT19=3,$V$83,IF(IT19=4,$V$84,IF(IT19=5,$V$85,IF(IT19=6,$V$86,IF(IT19=7,$V$87,$V$88)))))))</f>
        <v>#DIV/0!</v>
      </c>
      <c r="JO19" s="87" t="e">
        <f t="shared" ref="JO19:JO41" si="252">IF(IT19=1,$W$81,IF(IT19=2,$W$82,IF(IT19=3,$W$83,IF(IT19=4,$W$84,IF(IT19=5,$W$85,IF(IT19=6,$W$86,IF(IT19=7,$W$87,$W$88)))))))</f>
        <v>#DIV/0!</v>
      </c>
      <c r="JP19" s="87" t="e">
        <f t="shared" ref="JP19:JP41" si="253">IF(IT19=1,$X$81,IF(IT19=2,$X$82,IF(IT19=3,$X$83,IF(IT19=4,$X$84,IF(IT19=5,$X$85,IF(IT19=6,$X$86,IF(IT19=7,$X$87,$X$88)))))))</f>
        <v>#DIV/0!</v>
      </c>
      <c r="JQ19" s="87" t="e">
        <f t="shared" ref="JQ19:JQ41" si="254">IF(IT19=1,$Y$81,IF(IT19=2,$Y$82,IF(IT19=3,$Y$83,IF(IT19=4,$Y$84,IF(IT19=5,$Y$85,IF(IT19=6,$Y$86,IF(IT19=7,$Y$87,$Y$88)))))))</f>
        <v>#DIV/0!</v>
      </c>
      <c r="JR19" s="87" t="e">
        <f t="shared" si="133"/>
        <v>#DIV/0!</v>
      </c>
      <c r="JS19" s="87" t="e">
        <f t="shared" si="134"/>
        <v>#DIV/0!</v>
      </c>
      <c r="JT19" s="88">
        <f t="shared" si="135"/>
        <v>0</v>
      </c>
      <c r="JU19" s="87" t="e">
        <f t="shared" si="136"/>
        <v>#DIV/0!</v>
      </c>
      <c r="JV19" s="87" t="e">
        <f t="shared" si="137"/>
        <v>#DIV/0!</v>
      </c>
      <c r="JW19" s="87" t="e">
        <f t="shared" si="138"/>
        <v>#DIV/0!</v>
      </c>
      <c r="JX19" s="87" t="e">
        <f t="shared" si="139"/>
        <v>#DIV/0!</v>
      </c>
      <c r="JY19" s="87" t="e">
        <f t="shared" si="140"/>
        <v>#DIV/0!</v>
      </c>
      <c r="JZ19" s="87" t="e">
        <f t="shared" si="141"/>
        <v>#DIV/0!</v>
      </c>
      <c r="KA19" s="87" t="e">
        <f t="shared" si="142"/>
        <v>#DIV/0!</v>
      </c>
      <c r="KB19" s="87" t="e">
        <f t="shared" si="143"/>
        <v>#DIV/0!</v>
      </c>
      <c r="KC19" s="106">
        <f>IF(II19&lt;0,0,((0.5*(1-KA19)*(1+COS(RADIANS($IP$15))))+(KA19*(JJ19/JK19))+(KB19*SIN(RADIANS($IP$15))))*'Irradiancia Horizontal'!G42)</f>
        <v>0</v>
      </c>
      <c r="KD19" s="87">
        <f t="shared" si="144"/>
        <v>0</v>
      </c>
      <c r="KE19" s="87">
        <f>KD19*'Irradiancia Horizontal'!G71</f>
        <v>0</v>
      </c>
      <c r="KF19" s="87">
        <f t="shared" ref="KF19:KF41" si="255">+KC19+KE19</f>
        <v>0</v>
      </c>
      <c r="KG19" s="88">
        <f t="shared" si="145"/>
        <v>0</v>
      </c>
      <c r="KH19" s="87">
        <f t="shared" ref="KH19:KH41" si="256">KG19-JT19</f>
        <v>0</v>
      </c>
      <c r="KI19" s="106">
        <f t="shared" ref="KI19:KI41" si="257">JG19/COS(RADIANS(IK19))</f>
        <v>0</v>
      </c>
      <c r="KJ19" s="106">
        <f t="shared" ref="KJ19:KJ41" si="258">IF(JI19&lt;0,0,KI19*JI19)</f>
        <v>0</v>
      </c>
      <c r="KK19" s="106">
        <f t="shared" ref="KK19:KK41" si="259">KJ19+JT19</f>
        <v>0</v>
      </c>
      <c r="KL19" s="86"/>
      <c r="KN19" s="39">
        <v>8.3333333333333301E-2</v>
      </c>
      <c r="KO19" s="38">
        <v>150</v>
      </c>
      <c r="KP19" s="38">
        <f t="shared" si="146"/>
        <v>-30.061756873161897</v>
      </c>
      <c r="KQ19" s="38">
        <f t="shared" si="147"/>
        <v>32.005223707712958</v>
      </c>
      <c r="KR19" s="38">
        <f t="shared" si="148"/>
        <v>120.0617568731619</v>
      </c>
      <c r="KS19" s="38">
        <f>+'Irradiancia Horizontal'!H71/COS(RADIANS(KR19))</f>
        <v>0</v>
      </c>
      <c r="KT19" s="38" t="e">
        <f>((('Irradiancia Horizontal'!H42+KS19)/'Irradiancia Horizontal'!H42)+1.041*((RADIANS('Cálculos iluminancia'!KR19))^3))/(1+1.041*((RADIANS('Cálculos iluminancia'!KR19))^3))</f>
        <v>#DIV/0!</v>
      </c>
      <c r="KU19" s="87" t="e">
        <f t="shared" si="149"/>
        <v>#NUM!</v>
      </c>
      <c r="KV19" s="87" t="e">
        <f t="shared" si="150"/>
        <v>#NUM!</v>
      </c>
      <c r="KW19" s="106" t="e">
        <f>'Irradiancia Horizontal'!H42*KV19/$KU$15</f>
        <v>#NUM!</v>
      </c>
      <c r="KX19" s="87">
        <f>((17.27*Temp!G12)/(237.7+Temp!G12))+LN(HR!G23/100)</f>
        <v>1.0645832061815863</v>
      </c>
      <c r="KY19" s="87">
        <f t="shared" ref="KY19:KY41" si="260">(237.7*KX19)/(17.27-KX19)</f>
        <v>15.61523725856221</v>
      </c>
      <c r="KZ19" s="87">
        <f t="shared" ref="KZ19:KZ41" si="261">EXP((0.07*KY19)-0.075)</f>
        <v>2.7678382714369212</v>
      </c>
      <c r="LA19" s="87" t="e">
        <f t="shared" si="151"/>
        <v>#DIV/0!</v>
      </c>
      <c r="LB19" s="87" t="e">
        <f t="shared" si="152"/>
        <v>#DIV/0!</v>
      </c>
      <c r="LC19" s="87" t="e">
        <f t="shared" si="153"/>
        <v>#DIV/0!</v>
      </c>
      <c r="LD19" s="87" t="e">
        <f t="shared" si="154"/>
        <v>#DIV/0!</v>
      </c>
      <c r="LE19" s="87" t="e">
        <f t="shared" si="155"/>
        <v>#DIV/0!</v>
      </c>
      <c r="LF19" s="103">
        <f t="shared" si="156"/>
        <v>0</v>
      </c>
      <c r="LG19" s="165">
        <f>IF(LM19&gt;(LF19*'Irradiancia Horizontal'!H10),LM19,LF19*'Irradiancia Horizontal'!H10)</f>
        <v>0</v>
      </c>
      <c r="LH19" s="87" t="e">
        <f t="shared" si="157"/>
        <v>#DIV/0!</v>
      </c>
      <c r="LI19" s="87" t="e">
        <f t="shared" si="158"/>
        <v>#DIV/0!</v>
      </c>
      <c r="LJ19" s="87" t="e">
        <f t="shared" si="159"/>
        <v>#DIV/0!</v>
      </c>
      <c r="LK19" s="87" t="e">
        <f t="shared" si="160"/>
        <v>#DIV/0!</v>
      </c>
      <c r="LL19" s="103">
        <f t="shared" si="161"/>
        <v>0</v>
      </c>
      <c r="LM19" s="87">
        <f>+LL19*'Irradiancia Horizontal'!H42</f>
        <v>0</v>
      </c>
      <c r="LN19" s="87">
        <f t="shared" ref="LN19:LN41" si="262">LG19-LM19</f>
        <v>0</v>
      </c>
      <c r="LO19" s="87" t="e">
        <f>+LN19/'Irradiancia Horizontal'!H71</f>
        <v>#DIV/0!</v>
      </c>
      <c r="LP19" s="38">
        <f t="shared" si="162"/>
        <v>-0.73393191201723762</v>
      </c>
      <c r="LQ19" s="87">
        <f t="shared" ref="LQ19:LQ41" si="263">IF(LP19&lt;0,0,LP19)</f>
        <v>0</v>
      </c>
      <c r="LR19" s="87">
        <f t="shared" ref="LR19:LR41" si="264">IF(COS(RADIANS(KR19))&lt;0.087,0.087,COS(RADIANS(KR19)))</f>
        <v>8.6999999999999994E-2</v>
      </c>
      <c r="LS19" s="87" t="e">
        <f t="shared" ref="LS19:LS41" si="265">IF(LA19=1,$T$81,IF(LA19=2,$T$82,IF(LA19=3,$T$83,IF(LA19=4,$T$84,IF(LA19=5,$T$85,IF(LA19=6,$T$86,IF(LA19=7,$T$87,$T$88)))))))</f>
        <v>#DIV/0!</v>
      </c>
      <c r="LT19" s="87" t="e">
        <f t="shared" ref="LT19:LT41" si="266">IF(LA19=1,$U$81,IF(LA19=2,$U$82,IF(LA19=3,$U$83,IF(LA19=4,$U$84,IF(LA19=5,$U$85,IF(LA19=6,$U$86,IF(LA19=7,$U$87,$U$88)))))))</f>
        <v>#DIV/0!</v>
      </c>
      <c r="LU19" s="87" t="e">
        <f t="shared" ref="LU19:LU41" si="267">IF(LA19=1,$V$81,IF(LA19=2,$V$82,IF(LA19=3,$V$83,IF(LA19=4,$V$84,IF(LA19=5,$V$85,IF(LA19=6,$V$86,IF(LA19=7,$V$87,$V$88)))))))</f>
        <v>#DIV/0!</v>
      </c>
      <c r="LV19" s="87" t="e">
        <f t="shared" ref="LV19:LV41" si="268">IF(LA19=1,$W$81,IF(LA19=2,$W$82,IF(LA19=3,$W$83,IF(LA19=4,$W$84,IF(LA19=5,$W$85,IF(LA19=6,$W$86,IF(LA19=7,$W$87,$W$88)))))))</f>
        <v>#DIV/0!</v>
      </c>
      <c r="LW19" s="87" t="e">
        <f t="shared" ref="LW19:LW41" si="269">IF(LA19=1,$X$81,IF(LA19=2,$X$82,IF(LA19=3,$X$83,IF(LA19=4,$X$84,IF(LA19=5,$X$85,IF(LA19=6,$X$86,IF(LA19=7,$X$87,$X$88)))))))</f>
        <v>#DIV/0!</v>
      </c>
      <c r="LX19" s="87" t="e">
        <f t="shared" ref="LX19:LX41" si="270">IF(LA19=1,$Y$81,IF(LA19=2,$Y$82,IF(LA19=3,$Y$83,IF(LA19=4,$Y$84,IF(LA19=5,$Y$85,IF(LA19=6,$Y$86,IF(LA19=7,$Y$87,$Y$88)))))))</f>
        <v>#DIV/0!</v>
      </c>
      <c r="LY19" s="87" t="e">
        <f t="shared" si="163"/>
        <v>#DIV/0!</v>
      </c>
      <c r="LZ19" s="87" t="e">
        <f t="shared" si="164"/>
        <v>#DIV/0!</v>
      </c>
      <c r="MA19" s="88">
        <f t="shared" si="165"/>
        <v>0</v>
      </c>
      <c r="MB19" s="87" t="e">
        <f t="shared" si="166"/>
        <v>#DIV/0!</v>
      </c>
      <c r="MC19" s="87" t="e">
        <f t="shared" si="167"/>
        <v>#DIV/0!</v>
      </c>
      <c r="MD19" s="87" t="e">
        <f t="shared" si="168"/>
        <v>#DIV/0!</v>
      </c>
      <c r="ME19" s="87" t="e">
        <f t="shared" si="169"/>
        <v>#DIV/0!</v>
      </c>
      <c r="MF19" s="87" t="e">
        <f t="shared" si="170"/>
        <v>#DIV/0!</v>
      </c>
      <c r="MG19" s="87" t="e">
        <f t="shared" si="171"/>
        <v>#DIV/0!</v>
      </c>
      <c r="MH19" s="87" t="e">
        <f t="shared" si="172"/>
        <v>#DIV/0!</v>
      </c>
      <c r="MI19" s="87" t="e">
        <f t="shared" si="173"/>
        <v>#DIV/0!</v>
      </c>
      <c r="MJ19" s="106">
        <f>IF(KP19&lt;0,0,((0.5*(1-MH19)*(1+COS(RADIANS($KW$15))))+(MH19*(LQ19/LR19))+(MI19*SIN(RADIANS($KW$15))))*'Irradiancia Horizontal'!H42)</f>
        <v>0</v>
      </c>
      <c r="MK19" s="87">
        <f t="shared" si="174"/>
        <v>0</v>
      </c>
      <c r="ML19" s="87">
        <f>MK19*'Irradiancia Horizontal'!H71</f>
        <v>0</v>
      </c>
      <c r="MM19" s="87">
        <f t="shared" ref="MM19:MM41" si="271">+MJ19+ML19</f>
        <v>0</v>
      </c>
      <c r="MN19" s="88">
        <f t="shared" si="175"/>
        <v>0</v>
      </c>
      <c r="MO19" s="87">
        <f t="shared" ref="MO19:MO41" si="272">MN19-MA19</f>
        <v>0</v>
      </c>
      <c r="MP19" s="106">
        <f t="shared" ref="MP19:MP41" si="273">LN19/COS(RADIANS(KR19))</f>
        <v>0</v>
      </c>
      <c r="MQ19" s="106">
        <f t="shared" ref="MQ19:MQ41" si="274">IF(LP19&lt;0,0,MP19*LP19)</f>
        <v>0</v>
      </c>
      <c r="MR19" s="106">
        <f t="shared" ref="MR19:MR41" si="275">MQ19+MA19</f>
        <v>0</v>
      </c>
    </row>
    <row r="20" spans="5:356" x14ac:dyDescent="0.25">
      <c r="E20" s="39">
        <v>0.125</v>
      </c>
      <c r="F20" s="38">
        <v>135</v>
      </c>
      <c r="G20" s="38">
        <f t="shared" si="0"/>
        <v>-48.376276838475903</v>
      </c>
      <c r="H20" s="38">
        <f t="shared" si="1"/>
        <v>88.120784127746333</v>
      </c>
      <c r="I20" s="38">
        <f t="shared" si="2"/>
        <v>138.37627683847592</v>
      </c>
      <c r="J20" s="38">
        <f>'Irradiancia Horizontal'!C72/COS(RADIANS(I20))</f>
        <v>0</v>
      </c>
      <c r="K20" s="38" t="e">
        <f>((('Irradiancia Horizontal'!C43+J20)/'Irradiancia Horizontal'!C43)+1.041*((RADIANS('Cálculos iluminancia'!I20))^3))/(1+1.041*((RADIANS('Cálculos iluminancia'!I20))^3))</f>
        <v>#DIV/0!</v>
      </c>
      <c r="L20" s="36" t="e">
        <f t="shared" si="3"/>
        <v>#NUM!</v>
      </c>
      <c r="M20" s="36" t="e">
        <f t="shared" si="4"/>
        <v>#NUM!</v>
      </c>
      <c r="N20" s="106" t="e">
        <f>'Irradiancia Horizontal'!C43*M20/$L$15</f>
        <v>#NUM!</v>
      </c>
      <c r="O20" s="71">
        <f>((17.27*Temp!B13)/(237.7+Temp!B13))+LN(HR!B24/100)</f>
        <v>0.37273427080416693</v>
      </c>
      <c r="P20" s="71">
        <f t="shared" si="176"/>
        <v>5.2433889358244139</v>
      </c>
      <c r="Q20" s="71">
        <f t="shared" si="177"/>
        <v>1.3391528673568347</v>
      </c>
      <c r="R20" s="71" t="e">
        <f t="shared" si="5"/>
        <v>#DIV/0!</v>
      </c>
      <c r="S20" s="71" t="e">
        <f t="shared" si="6"/>
        <v>#DIV/0!</v>
      </c>
      <c r="T20" s="71" t="e">
        <f t="shared" si="7"/>
        <v>#DIV/0!</v>
      </c>
      <c r="U20" s="71" t="e">
        <f t="shared" si="8"/>
        <v>#DIV/0!</v>
      </c>
      <c r="V20" s="71" t="e">
        <f t="shared" si="9"/>
        <v>#DIV/0!</v>
      </c>
      <c r="W20" s="103">
        <f t="shared" si="10"/>
        <v>0</v>
      </c>
      <c r="X20" s="165">
        <f>IF(AD20&gt;(W20*'Irradiancia Horizontal'!C11),AD20,W20*'Irradiancia Horizontal'!C11)</f>
        <v>0</v>
      </c>
      <c r="Y20" s="71" t="e">
        <f t="shared" si="11"/>
        <v>#DIV/0!</v>
      </c>
      <c r="Z20" s="71" t="e">
        <f t="shared" si="12"/>
        <v>#DIV/0!</v>
      </c>
      <c r="AA20" s="71" t="e">
        <f t="shared" si="13"/>
        <v>#DIV/0!</v>
      </c>
      <c r="AB20" s="71" t="e">
        <f t="shared" si="14"/>
        <v>#DIV/0!</v>
      </c>
      <c r="AC20" s="103">
        <f t="shared" si="15"/>
        <v>0</v>
      </c>
      <c r="AD20" s="71">
        <f>+AC20*'Irradiancia Horizontal'!C43</f>
        <v>0</v>
      </c>
      <c r="AE20" s="71">
        <f t="shared" si="16"/>
        <v>0</v>
      </c>
      <c r="AF20" s="71" t="e">
        <f>+AE20/'Irradiancia Horizontal'!C72</f>
        <v>#DIV/0!</v>
      </c>
      <c r="AG20" s="38">
        <f t="shared" si="17"/>
        <v>-2.1782034289725249E-2</v>
      </c>
      <c r="AH20" s="84">
        <f t="shared" si="178"/>
        <v>0</v>
      </c>
      <c r="AI20" s="84">
        <f t="shared" si="179"/>
        <v>8.6999999999999994E-2</v>
      </c>
      <c r="AJ20" s="84" t="e">
        <f t="shared" si="180"/>
        <v>#DIV/0!</v>
      </c>
      <c r="AK20" s="84" t="e">
        <f t="shared" si="181"/>
        <v>#DIV/0!</v>
      </c>
      <c r="AL20" s="84" t="e">
        <f t="shared" si="182"/>
        <v>#DIV/0!</v>
      </c>
      <c r="AM20" s="84" t="e">
        <f t="shared" si="183"/>
        <v>#DIV/0!</v>
      </c>
      <c r="AN20" s="84" t="e">
        <f t="shared" si="184"/>
        <v>#DIV/0!</v>
      </c>
      <c r="AO20" s="84" t="e">
        <f t="shared" si="185"/>
        <v>#DIV/0!</v>
      </c>
      <c r="AP20" s="84" t="e">
        <f t="shared" si="18"/>
        <v>#DIV/0!</v>
      </c>
      <c r="AQ20" s="84" t="e">
        <f t="shared" si="19"/>
        <v>#DIV/0!</v>
      </c>
      <c r="AR20" s="88">
        <f t="shared" si="20"/>
        <v>0</v>
      </c>
      <c r="AS20" s="84" t="e">
        <f t="shared" si="21"/>
        <v>#DIV/0!</v>
      </c>
      <c r="AT20" s="84" t="e">
        <f t="shared" si="22"/>
        <v>#DIV/0!</v>
      </c>
      <c r="AU20" s="84" t="e">
        <f t="shared" si="23"/>
        <v>#DIV/0!</v>
      </c>
      <c r="AV20" s="84" t="e">
        <f t="shared" si="24"/>
        <v>#DIV/0!</v>
      </c>
      <c r="AW20" s="84" t="e">
        <f t="shared" si="25"/>
        <v>#DIV/0!</v>
      </c>
      <c r="AX20" s="84" t="e">
        <f t="shared" si="26"/>
        <v>#DIV/0!</v>
      </c>
      <c r="AY20" s="84" t="e">
        <f t="shared" si="27"/>
        <v>#DIV/0!</v>
      </c>
      <c r="AZ20" s="84" t="e">
        <f t="shared" si="28"/>
        <v>#DIV/0!</v>
      </c>
      <c r="BA20" s="106">
        <f>IF(G20&lt;0,0,((0.5*(1-AY20)*(1+COS(RADIANS($N$15))))+(AY20*(AH20/AI20))+(AZ20*SIN(RADIANS($N$15))))*'Irradiancia Horizontal'!C43)</f>
        <v>0</v>
      </c>
      <c r="BB20" s="106">
        <f t="shared" si="186"/>
        <v>0</v>
      </c>
      <c r="BC20" s="84">
        <f>BB20*'Irradiancia Horizontal'!C72</f>
        <v>0</v>
      </c>
      <c r="BD20" s="84">
        <f t="shared" si="187"/>
        <v>0</v>
      </c>
      <c r="BE20" s="88">
        <f t="shared" si="29"/>
        <v>0</v>
      </c>
      <c r="BF20" s="84">
        <f t="shared" si="188"/>
        <v>0</v>
      </c>
      <c r="BG20" s="106">
        <f t="shared" si="189"/>
        <v>0</v>
      </c>
      <c r="BH20" s="106">
        <f t="shared" si="190"/>
        <v>0</v>
      </c>
      <c r="BI20" s="106">
        <f t="shared" si="191"/>
        <v>0</v>
      </c>
      <c r="BJ20" s="72"/>
      <c r="BL20" s="39">
        <v>0.125</v>
      </c>
      <c r="BM20" s="38">
        <v>135</v>
      </c>
      <c r="BN20" s="38">
        <f t="shared" si="30"/>
        <v>-44.488704712458158</v>
      </c>
      <c r="BO20" s="38">
        <f t="shared" si="31"/>
        <v>76.465390391360472</v>
      </c>
      <c r="BP20" s="38">
        <f t="shared" si="32"/>
        <v>134.48870471245817</v>
      </c>
      <c r="BQ20" s="38">
        <f>+'Irradiancia Horizontal'!D72/COS(RADIANS(BP20))</f>
        <v>0</v>
      </c>
      <c r="BR20" s="38" t="e">
        <f>((('Irradiancia Horizontal'!D43+BQ20)/'Irradiancia Horizontal'!D43)+1.041*((RADIANS('Cálculos iluminancia'!BP20))^3))/(1+1.041*((RADIANS('Cálculos iluminancia'!BP20))^3))</f>
        <v>#DIV/0!</v>
      </c>
      <c r="BS20" s="84" t="e">
        <f t="shared" si="33"/>
        <v>#NUM!</v>
      </c>
      <c r="BT20" s="84" t="e">
        <f t="shared" si="192"/>
        <v>#NUM!</v>
      </c>
      <c r="BU20" s="106" t="e">
        <f>'Irradiancia Horizontal'!D43*BT20/$BS$15</f>
        <v>#NUM!</v>
      </c>
      <c r="BV20" s="84">
        <f>((17.27*Temp!C13)/(237.7+Temp!C13))+LN(HR!C24/100)</f>
        <v>0.42130023691470625</v>
      </c>
      <c r="BW20" s="84">
        <f t="shared" si="193"/>
        <v>5.9436673288009088</v>
      </c>
      <c r="BX20" s="84">
        <f t="shared" si="194"/>
        <v>1.4064330016578257</v>
      </c>
      <c r="BY20" s="84" t="e">
        <f t="shared" si="34"/>
        <v>#DIV/0!</v>
      </c>
      <c r="BZ20" s="84" t="e">
        <f t="shared" si="35"/>
        <v>#DIV/0!</v>
      </c>
      <c r="CA20" s="84" t="e">
        <f t="shared" si="36"/>
        <v>#DIV/0!</v>
      </c>
      <c r="CB20" s="84" t="e">
        <f t="shared" si="37"/>
        <v>#DIV/0!</v>
      </c>
      <c r="CC20" s="84" t="e">
        <f t="shared" si="38"/>
        <v>#DIV/0!</v>
      </c>
      <c r="CD20" s="103">
        <f t="shared" si="39"/>
        <v>0</v>
      </c>
      <c r="CE20" s="165">
        <f>IF(CK20&gt;(CD20*'Irradiancia Horizontal'!D11),CK20,CD20*'Irradiancia Horizontal'!D11)</f>
        <v>0</v>
      </c>
      <c r="CF20" s="84" t="e">
        <f t="shared" si="40"/>
        <v>#DIV/0!</v>
      </c>
      <c r="CG20" s="84" t="e">
        <f t="shared" si="41"/>
        <v>#DIV/0!</v>
      </c>
      <c r="CH20" s="84" t="e">
        <f t="shared" si="42"/>
        <v>#DIV/0!</v>
      </c>
      <c r="CI20" s="84" t="e">
        <f t="shared" si="43"/>
        <v>#DIV/0!</v>
      </c>
      <c r="CJ20" s="103">
        <f t="shared" si="44"/>
        <v>0</v>
      </c>
      <c r="CK20" s="84">
        <f>+CJ20*'Irradiancia Horizontal'!D43</f>
        <v>0</v>
      </c>
      <c r="CL20" s="84">
        <f t="shared" si="195"/>
        <v>0</v>
      </c>
      <c r="CM20" s="84" t="e">
        <f>+CL20/'Irradiancia Horizontal'!D72</f>
        <v>#DIV/0!</v>
      </c>
      <c r="CN20" s="38">
        <f t="shared" si="45"/>
        <v>-0.1669562509087055</v>
      </c>
      <c r="CO20" s="84">
        <f t="shared" si="196"/>
        <v>0</v>
      </c>
      <c r="CP20" s="84">
        <f t="shared" si="197"/>
        <v>8.6999999999999994E-2</v>
      </c>
      <c r="CQ20" s="84" t="e">
        <f t="shared" si="198"/>
        <v>#DIV/0!</v>
      </c>
      <c r="CR20" s="84" t="e">
        <f t="shared" si="199"/>
        <v>#DIV/0!</v>
      </c>
      <c r="CS20" s="84" t="e">
        <f t="shared" si="200"/>
        <v>#DIV/0!</v>
      </c>
      <c r="CT20" s="84" t="e">
        <f t="shared" si="201"/>
        <v>#DIV/0!</v>
      </c>
      <c r="CU20" s="84" t="e">
        <f t="shared" si="202"/>
        <v>#DIV/0!</v>
      </c>
      <c r="CV20" s="84" t="e">
        <f t="shared" si="203"/>
        <v>#DIV/0!</v>
      </c>
      <c r="CW20" s="84" t="e">
        <f t="shared" si="46"/>
        <v>#DIV/0!</v>
      </c>
      <c r="CX20" s="84" t="e">
        <f t="shared" si="47"/>
        <v>#DIV/0!</v>
      </c>
      <c r="CY20" s="88">
        <f t="shared" si="48"/>
        <v>0</v>
      </c>
      <c r="CZ20" s="84" t="e">
        <f t="shared" si="49"/>
        <v>#DIV/0!</v>
      </c>
      <c r="DA20" s="84" t="e">
        <f t="shared" si="50"/>
        <v>#DIV/0!</v>
      </c>
      <c r="DB20" s="84" t="e">
        <f t="shared" si="51"/>
        <v>#DIV/0!</v>
      </c>
      <c r="DC20" s="84" t="e">
        <f t="shared" si="52"/>
        <v>#DIV/0!</v>
      </c>
      <c r="DD20" s="84" t="e">
        <f t="shared" si="53"/>
        <v>#DIV/0!</v>
      </c>
      <c r="DE20" s="84" t="e">
        <f t="shared" si="54"/>
        <v>#DIV/0!</v>
      </c>
      <c r="DF20" s="84" t="e">
        <f t="shared" si="55"/>
        <v>#DIV/0!</v>
      </c>
      <c r="DG20" s="84" t="e">
        <f t="shared" si="56"/>
        <v>#DIV/0!</v>
      </c>
      <c r="DH20" s="106">
        <f>IF(BN20&lt;0,0,((0.5*(1-DF20)*(1+COS(RADIANS($BU$15))))+(DF20*(CO20/CP20))+(DG20*SIN(RADIANS($BU$15))))*'Irradiancia Horizontal'!D43)</f>
        <v>0</v>
      </c>
      <c r="DI20" s="106">
        <f t="shared" si="204"/>
        <v>0</v>
      </c>
      <c r="DJ20" s="84">
        <f>DI20*'Irradiancia Horizontal'!D72</f>
        <v>0</v>
      </c>
      <c r="DK20" s="84">
        <f t="shared" si="205"/>
        <v>0</v>
      </c>
      <c r="DL20" s="88">
        <f t="shared" si="57"/>
        <v>0</v>
      </c>
      <c r="DM20" s="84">
        <f t="shared" si="206"/>
        <v>0</v>
      </c>
      <c r="DN20" s="106">
        <f t="shared" si="207"/>
        <v>0</v>
      </c>
      <c r="DO20" s="106">
        <f t="shared" si="208"/>
        <v>0</v>
      </c>
      <c r="DP20" s="106">
        <f t="shared" si="209"/>
        <v>0</v>
      </c>
      <c r="DQ20" s="44"/>
      <c r="DS20" s="39">
        <v>0.125</v>
      </c>
      <c r="DT20" s="38">
        <v>135</v>
      </c>
      <c r="DU20" s="38">
        <f t="shared" si="58"/>
        <v>-38.416908217684238</v>
      </c>
      <c r="DV20" s="38">
        <f t="shared" si="59"/>
        <v>64.483787989037083</v>
      </c>
      <c r="DW20" s="38">
        <f t="shared" si="60"/>
        <v>128.41690821768424</v>
      </c>
      <c r="DX20" s="38">
        <f>+'Irradiancia Horizontal'!E72/COS(RADIANS(DW20))</f>
        <v>0</v>
      </c>
      <c r="DY20" s="38" t="e">
        <f>((('Irradiancia Horizontal'!E43+DX20)/'Irradiancia Horizontal'!E43)+1.041*((RADIANS('Cálculos iluminancia'!DW20))^3))/(1+1.041*((RADIANS('Cálculos iluminancia'!DW20))^3))</f>
        <v>#DIV/0!</v>
      </c>
      <c r="DZ20" s="84" t="e">
        <f t="shared" si="61"/>
        <v>#NUM!</v>
      </c>
      <c r="EA20" s="84" t="e">
        <f t="shared" si="210"/>
        <v>#NUM!</v>
      </c>
      <c r="EB20" s="106" t="e">
        <f>'Irradiancia Horizontal'!E43*EA20/$DZ$15</f>
        <v>#NUM!</v>
      </c>
      <c r="EC20" s="84">
        <f>((17.27*Temp!D13)/(237.7+Temp!D13))+LN(HR!D24/100)</f>
        <v>0.46052979072819211</v>
      </c>
      <c r="ED20" s="84">
        <f t="shared" si="211"/>
        <v>6.5122772992399653</v>
      </c>
      <c r="EE20" s="84">
        <f t="shared" si="212"/>
        <v>1.4635418329847707</v>
      </c>
      <c r="EF20" s="84" t="e">
        <f t="shared" si="62"/>
        <v>#DIV/0!</v>
      </c>
      <c r="EG20" s="84" t="e">
        <f t="shared" si="63"/>
        <v>#DIV/0!</v>
      </c>
      <c r="EH20" s="84" t="e">
        <f t="shared" si="64"/>
        <v>#DIV/0!</v>
      </c>
      <c r="EI20" s="84" t="e">
        <f t="shared" si="65"/>
        <v>#DIV/0!</v>
      </c>
      <c r="EJ20" s="84" t="e">
        <f t="shared" si="66"/>
        <v>#DIV/0!</v>
      </c>
      <c r="EK20" s="103">
        <f t="shared" si="67"/>
        <v>0</v>
      </c>
      <c r="EL20" s="165">
        <f>IF(ER20&gt;(EK20*'Irradiancia Horizontal'!E11),ER20,EK20*'Irradiancia Horizontal'!E11)</f>
        <v>0</v>
      </c>
      <c r="EM20" s="84" t="e">
        <f t="shared" si="68"/>
        <v>#DIV/0!</v>
      </c>
      <c r="EN20" s="84" t="e">
        <f t="shared" si="69"/>
        <v>#DIV/0!</v>
      </c>
      <c r="EO20" s="84" t="e">
        <f t="shared" si="70"/>
        <v>#DIV/0!</v>
      </c>
      <c r="EP20" s="84" t="e">
        <f t="shared" si="71"/>
        <v>#DIV/0!</v>
      </c>
      <c r="EQ20" s="103">
        <f t="shared" si="72"/>
        <v>0</v>
      </c>
      <c r="ER20" s="84">
        <f>+EQ20*'Irradiancia Horizontal'!E43</f>
        <v>0</v>
      </c>
      <c r="ES20" s="84">
        <f t="shared" si="213"/>
        <v>0</v>
      </c>
      <c r="ET20" s="84" t="e">
        <f>+ES20/'Irradiancia Horizontal'!E72</f>
        <v>#DIV/0!</v>
      </c>
      <c r="EU20" s="38">
        <f t="shared" si="73"/>
        <v>-0.33750988761378159</v>
      </c>
      <c r="EV20" s="84">
        <f t="shared" si="214"/>
        <v>0</v>
      </c>
      <c r="EW20" s="84">
        <f t="shared" si="215"/>
        <v>8.6999999999999994E-2</v>
      </c>
      <c r="EX20" s="84" t="e">
        <f t="shared" si="216"/>
        <v>#DIV/0!</v>
      </c>
      <c r="EY20" s="84" t="e">
        <f t="shared" si="217"/>
        <v>#DIV/0!</v>
      </c>
      <c r="EZ20" s="84" t="e">
        <f t="shared" si="218"/>
        <v>#DIV/0!</v>
      </c>
      <c r="FA20" s="84" t="e">
        <f t="shared" si="219"/>
        <v>#DIV/0!</v>
      </c>
      <c r="FB20" s="84" t="e">
        <f t="shared" si="220"/>
        <v>#DIV/0!</v>
      </c>
      <c r="FC20" s="84" t="e">
        <f t="shared" si="221"/>
        <v>#DIV/0!</v>
      </c>
      <c r="FD20" s="84" t="e">
        <f t="shared" si="74"/>
        <v>#DIV/0!</v>
      </c>
      <c r="FE20" s="84" t="e">
        <f t="shared" si="75"/>
        <v>#DIV/0!</v>
      </c>
      <c r="FF20" s="88">
        <f t="shared" si="76"/>
        <v>0</v>
      </c>
      <c r="FG20" s="84" t="e">
        <f t="shared" si="77"/>
        <v>#DIV/0!</v>
      </c>
      <c r="FH20" s="84" t="e">
        <f t="shared" si="78"/>
        <v>#DIV/0!</v>
      </c>
      <c r="FI20" s="84" t="e">
        <f t="shared" si="79"/>
        <v>#DIV/0!</v>
      </c>
      <c r="FJ20" s="84" t="e">
        <f t="shared" si="80"/>
        <v>#DIV/0!</v>
      </c>
      <c r="FK20" s="84" t="e">
        <f t="shared" si="81"/>
        <v>#DIV/0!</v>
      </c>
      <c r="FL20" s="84" t="e">
        <f t="shared" si="82"/>
        <v>#DIV/0!</v>
      </c>
      <c r="FM20" s="84" t="e">
        <f t="shared" si="83"/>
        <v>#DIV/0!</v>
      </c>
      <c r="FN20" s="84" t="e">
        <f t="shared" si="84"/>
        <v>#DIV/0!</v>
      </c>
      <c r="FO20" s="106">
        <f>IF(DU20&lt;0,0,((0.5*(1-FM20)*(1+COS(RADIANS($EB$15))))+(FM20*(EV20/EW20))+(FN20*SIN(RADIANS($EB$15))))*'Irradiancia Horizontal'!E43)</f>
        <v>0</v>
      </c>
      <c r="FP20" s="106">
        <f t="shared" si="222"/>
        <v>0</v>
      </c>
      <c r="FQ20" s="84">
        <f>FP20*'Irradiancia Horizontal'!E72</f>
        <v>0</v>
      </c>
      <c r="FR20" s="84">
        <f t="shared" si="223"/>
        <v>0</v>
      </c>
      <c r="FS20" s="88">
        <f t="shared" si="85"/>
        <v>0</v>
      </c>
      <c r="FT20" s="84">
        <f t="shared" si="224"/>
        <v>0</v>
      </c>
      <c r="FU20" s="106">
        <f t="shared" si="225"/>
        <v>0</v>
      </c>
      <c r="FV20" s="106">
        <f t="shared" si="226"/>
        <v>0</v>
      </c>
      <c r="FW20" s="106">
        <f t="shared" si="227"/>
        <v>0</v>
      </c>
      <c r="FX20" s="83"/>
      <c r="FZ20" s="39">
        <v>0.125</v>
      </c>
      <c r="GA20" s="38">
        <v>135</v>
      </c>
      <c r="GB20" s="38">
        <f t="shared" si="86"/>
        <v>-30.519929247839638</v>
      </c>
      <c r="GC20" s="38">
        <f t="shared" si="87"/>
        <v>53.525917714699233</v>
      </c>
      <c r="GD20" s="38">
        <f t="shared" si="88"/>
        <v>120.51992924783964</v>
      </c>
      <c r="GE20" s="38">
        <f>+'Irradiancia Horizontal'!F72/COS(RADIANS(GD20))</f>
        <v>0</v>
      </c>
      <c r="GF20" s="38" t="e">
        <f>((('Irradiancia Horizontal'!F43+GE20)/'Irradiancia Horizontal'!F43)+1.041*((RADIANS('Cálculos iluminancia'!GD20))^3))/(1+1.041*((RADIANS('Cálculos iluminancia'!GD20))^3))</f>
        <v>#DIV/0!</v>
      </c>
      <c r="GG20" s="84" t="e">
        <f t="shared" si="89"/>
        <v>#NUM!</v>
      </c>
      <c r="GH20" s="84" t="e">
        <f t="shared" si="90"/>
        <v>#NUM!</v>
      </c>
      <c r="GI20" s="106" t="e">
        <f>'Irradiancia Horizontal'!F43*GH20/$GG$15</f>
        <v>#NUM!</v>
      </c>
      <c r="GJ20" s="84">
        <f>((17.27*Temp!E13)/(237.7+Temp!E13))+LN(HR!E24/100)</f>
        <v>0.58303851197669587</v>
      </c>
      <c r="GK20" s="84">
        <f t="shared" si="228"/>
        <v>8.305182126556069</v>
      </c>
      <c r="GL20" s="84">
        <f t="shared" si="229"/>
        <v>1.6592451148682761</v>
      </c>
      <c r="GM20" s="84" t="e">
        <f t="shared" si="91"/>
        <v>#DIV/0!</v>
      </c>
      <c r="GN20" s="84" t="e">
        <f t="shared" si="92"/>
        <v>#DIV/0!</v>
      </c>
      <c r="GO20" s="84" t="e">
        <f t="shared" si="93"/>
        <v>#DIV/0!</v>
      </c>
      <c r="GP20" s="84" t="e">
        <f t="shared" si="94"/>
        <v>#DIV/0!</v>
      </c>
      <c r="GQ20" s="84" t="e">
        <f t="shared" si="95"/>
        <v>#DIV/0!</v>
      </c>
      <c r="GR20" s="103">
        <f t="shared" si="96"/>
        <v>0</v>
      </c>
      <c r="GS20" s="165">
        <f>IF(GY20&gt;(GR20*'Irradiancia Horizontal'!F11),GY20,GR20*'Irradiancia Horizontal'!F11)</f>
        <v>0</v>
      </c>
      <c r="GT20" s="84" t="e">
        <f t="shared" si="97"/>
        <v>#DIV/0!</v>
      </c>
      <c r="GU20" s="84" t="e">
        <f t="shared" si="98"/>
        <v>#DIV/0!</v>
      </c>
      <c r="GV20" s="84" t="e">
        <f t="shared" si="99"/>
        <v>#DIV/0!</v>
      </c>
      <c r="GW20" s="84" t="e">
        <f t="shared" si="100"/>
        <v>#DIV/0!</v>
      </c>
      <c r="GX20" s="103">
        <f t="shared" si="101"/>
        <v>0</v>
      </c>
      <c r="GY20" s="84">
        <f>+GX20*'Irradiancia Horizontal'!F43</f>
        <v>0</v>
      </c>
      <c r="GZ20" s="84">
        <f t="shared" si="230"/>
        <v>0</v>
      </c>
      <c r="HA20" s="84" t="e">
        <f>+GZ20/'Irradiancia Horizontal'!F72</f>
        <v>#DIV/0!</v>
      </c>
      <c r="HB20" s="38">
        <f t="shared" si="102"/>
        <v>-0.51209832135979894</v>
      </c>
      <c r="HC20" s="84">
        <f t="shared" si="231"/>
        <v>0</v>
      </c>
      <c r="HD20" s="84">
        <f t="shared" si="232"/>
        <v>8.6999999999999994E-2</v>
      </c>
      <c r="HE20" s="84" t="e">
        <f t="shared" si="233"/>
        <v>#DIV/0!</v>
      </c>
      <c r="HF20" s="84" t="e">
        <f t="shared" si="234"/>
        <v>#DIV/0!</v>
      </c>
      <c r="HG20" s="84" t="e">
        <f t="shared" si="235"/>
        <v>#DIV/0!</v>
      </c>
      <c r="HH20" s="84" t="e">
        <f t="shared" si="236"/>
        <v>#DIV/0!</v>
      </c>
      <c r="HI20" s="84" t="e">
        <f t="shared" si="237"/>
        <v>#DIV/0!</v>
      </c>
      <c r="HJ20" s="84" t="e">
        <f t="shared" si="238"/>
        <v>#DIV/0!</v>
      </c>
      <c r="HK20" s="84" t="e">
        <f t="shared" si="103"/>
        <v>#DIV/0!</v>
      </c>
      <c r="HL20" s="84" t="e">
        <f t="shared" si="104"/>
        <v>#DIV/0!</v>
      </c>
      <c r="HM20" s="88">
        <f t="shared" si="105"/>
        <v>0</v>
      </c>
      <c r="HN20" s="84" t="e">
        <f t="shared" si="106"/>
        <v>#DIV/0!</v>
      </c>
      <c r="HO20" s="84" t="e">
        <f t="shared" si="107"/>
        <v>#DIV/0!</v>
      </c>
      <c r="HP20" s="84" t="e">
        <f t="shared" si="108"/>
        <v>#DIV/0!</v>
      </c>
      <c r="HQ20" s="84" t="e">
        <f t="shared" si="109"/>
        <v>#DIV/0!</v>
      </c>
      <c r="HR20" s="84" t="e">
        <f t="shared" si="110"/>
        <v>#DIV/0!</v>
      </c>
      <c r="HS20" s="84" t="e">
        <f t="shared" si="111"/>
        <v>#DIV/0!</v>
      </c>
      <c r="HT20" s="84" t="e">
        <f t="shared" si="112"/>
        <v>#DIV/0!</v>
      </c>
      <c r="HU20" s="84" t="e">
        <f t="shared" si="113"/>
        <v>#DIV/0!</v>
      </c>
      <c r="HV20" s="106">
        <f>IF(GB20&lt;0,0,((0.5*(1-HT20)*(1+COS(RADIANS($GI$15))))+(HT20*(HC20/HD20))+(HU20*SIN(RADIANS($GI$15))))*'Irradiancia Horizontal'!F43)</f>
        <v>0</v>
      </c>
      <c r="HW20" s="84">
        <f t="shared" si="114"/>
        <v>0</v>
      </c>
      <c r="HX20" s="84">
        <f>HW20*'Irradiancia Horizontal'!F72</f>
        <v>0</v>
      </c>
      <c r="HY20" s="84">
        <f t="shared" si="239"/>
        <v>0</v>
      </c>
      <c r="HZ20" s="88">
        <f t="shared" si="115"/>
        <v>0</v>
      </c>
      <c r="IA20" s="84">
        <f t="shared" si="240"/>
        <v>0</v>
      </c>
      <c r="IB20" s="106">
        <f t="shared" si="241"/>
        <v>0</v>
      </c>
      <c r="IC20" s="106">
        <f t="shared" si="242"/>
        <v>0</v>
      </c>
      <c r="ID20" s="106">
        <f t="shared" si="243"/>
        <v>0</v>
      </c>
      <c r="IE20" s="83"/>
      <c r="IG20" s="39">
        <v>0.125</v>
      </c>
      <c r="IH20" s="38">
        <v>135</v>
      </c>
      <c r="II20" s="38">
        <f t="shared" si="116"/>
        <v>-24.384588412739511</v>
      </c>
      <c r="IJ20" s="38">
        <f t="shared" si="117"/>
        <v>46.794279070804748</v>
      </c>
      <c r="IK20" s="38">
        <f t="shared" si="118"/>
        <v>114.3845884127395</v>
      </c>
      <c r="IL20" s="38">
        <f>+'Irradiancia Horizontal'!G72/COS(RADIANS(IK20))</f>
        <v>0</v>
      </c>
      <c r="IM20" s="38" t="e">
        <f>((('Irradiancia Horizontal'!G43+IL20)/'Irradiancia Horizontal'!G43)+1.041*((RADIANS('Cálculos iluminancia'!IK20))^3))/(1+1.041*((RADIANS('Cálculos iluminancia'!IK20))^3))</f>
        <v>#DIV/0!</v>
      </c>
      <c r="IN20" s="87" t="e">
        <f t="shared" si="119"/>
        <v>#NUM!</v>
      </c>
      <c r="IO20" s="87" t="e">
        <f t="shared" si="120"/>
        <v>#NUM!</v>
      </c>
      <c r="IP20" s="106" t="e">
        <f>'Irradiancia Horizontal'!G43*IO20/$IN$15</f>
        <v>#NUM!</v>
      </c>
      <c r="IQ20" s="87">
        <f>((17.27*Temp!F13)/(237.7+Temp!F13))+LN(HR!F24/100)</f>
        <v>0.74774937405175856</v>
      </c>
      <c r="IR20" s="87">
        <f t="shared" si="244"/>
        <v>10.75761591056861</v>
      </c>
      <c r="IS20" s="87">
        <f t="shared" si="245"/>
        <v>1.9699991548502955</v>
      </c>
      <c r="IT20" s="87" t="e">
        <f t="shared" si="121"/>
        <v>#DIV/0!</v>
      </c>
      <c r="IU20" s="87" t="e">
        <f t="shared" si="122"/>
        <v>#DIV/0!</v>
      </c>
      <c r="IV20" s="87" t="e">
        <f t="shared" si="123"/>
        <v>#DIV/0!</v>
      </c>
      <c r="IW20" s="87" t="e">
        <f t="shared" si="124"/>
        <v>#DIV/0!</v>
      </c>
      <c r="IX20" s="87" t="e">
        <f t="shared" si="125"/>
        <v>#DIV/0!</v>
      </c>
      <c r="IY20" s="103">
        <f t="shared" si="126"/>
        <v>0</v>
      </c>
      <c r="IZ20" s="165">
        <f>IF(JF20&gt;(IY20*'Irradiancia Horizontal'!G11),JF20,IY20*'Irradiancia Horizontal'!G11)</f>
        <v>0</v>
      </c>
      <c r="JA20" s="87" t="e">
        <f t="shared" si="127"/>
        <v>#DIV/0!</v>
      </c>
      <c r="JB20" s="87" t="e">
        <f t="shared" si="128"/>
        <v>#DIV/0!</v>
      </c>
      <c r="JC20" s="87" t="e">
        <f t="shared" si="129"/>
        <v>#DIV/0!</v>
      </c>
      <c r="JD20" s="87" t="e">
        <f t="shared" si="130"/>
        <v>#DIV/0!</v>
      </c>
      <c r="JE20" s="103">
        <f t="shared" si="131"/>
        <v>0</v>
      </c>
      <c r="JF20" s="87">
        <f>+JE20*'Irradiancia Horizontal'!G43</f>
        <v>0</v>
      </c>
      <c r="JG20" s="87">
        <f t="shared" si="246"/>
        <v>0</v>
      </c>
      <c r="JH20" s="87" t="e">
        <f>+JG20/'Irradiancia Horizontal'!G72</f>
        <v>#DIV/0!</v>
      </c>
      <c r="JI20" s="38">
        <f t="shared" si="132"/>
        <v>-0.62354819815396811</v>
      </c>
      <c r="JJ20" s="87">
        <f t="shared" si="247"/>
        <v>0</v>
      </c>
      <c r="JK20" s="87">
        <f t="shared" si="248"/>
        <v>8.6999999999999994E-2</v>
      </c>
      <c r="JL20" s="87" t="e">
        <f t="shared" si="249"/>
        <v>#DIV/0!</v>
      </c>
      <c r="JM20" s="87" t="e">
        <f t="shared" si="250"/>
        <v>#DIV/0!</v>
      </c>
      <c r="JN20" s="87" t="e">
        <f t="shared" si="251"/>
        <v>#DIV/0!</v>
      </c>
      <c r="JO20" s="87" t="e">
        <f t="shared" si="252"/>
        <v>#DIV/0!</v>
      </c>
      <c r="JP20" s="87" t="e">
        <f t="shared" si="253"/>
        <v>#DIV/0!</v>
      </c>
      <c r="JQ20" s="87" t="e">
        <f t="shared" si="254"/>
        <v>#DIV/0!</v>
      </c>
      <c r="JR20" s="87" t="e">
        <f t="shared" si="133"/>
        <v>#DIV/0!</v>
      </c>
      <c r="JS20" s="87" t="e">
        <f t="shared" si="134"/>
        <v>#DIV/0!</v>
      </c>
      <c r="JT20" s="88">
        <f t="shared" si="135"/>
        <v>0</v>
      </c>
      <c r="JU20" s="87" t="e">
        <f t="shared" si="136"/>
        <v>#DIV/0!</v>
      </c>
      <c r="JV20" s="87" t="e">
        <f t="shared" si="137"/>
        <v>#DIV/0!</v>
      </c>
      <c r="JW20" s="87" t="e">
        <f t="shared" si="138"/>
        <v>#DIV/0!</v>
      </c>
      <c r="JX20" s="87" t="e">
        <f t="shared" si="139"/>
        <v>#DIV/0!</v>
      </c>
      <c r="JY20" s="87" t="e">
        <f t="shared" si="140"/>
        <v>#DIV/0!</v>
      </c>
      <c r="JZ20" s="87" t="e">
        <f t="shared" si="141"/>
        <v>#DIV/0!</v>
      </c>
      <c r="KA20" s="87" t="e">
        <f t="shared" si="142"/>
        <v>#DIV/0!</v>
      </c>
      <c r="KB20" s="87" t="e">
        <f t="shared" si="143"/>
        <v>#DIV/0!</v>
      </c>
      <c r="KC20" s="106">
        <f>IF(II20&lt;0,0,((0.5*(1-KA20)*(1+COS(RADIANS($IP$15))))+(KA20*(JJ20/JK20))+(KB20*SIN(RADIANS($IP$15))))*'Irradiancia Horizontal'!G43)</f>
        <v>0</v>
      </c>
      <c r="KD20" s="87">
        <f t="shared" si="144"/>
        <v>0</v>
      </c>
      <c r="KE20" s="87">
        <f>KD20*'Irradiancia Horizontal'!G72</f>
        <v>0</v>
      </c>
      <c r="KF20" s="87">
        <f t="shared" si="255"/>
        <v>0</v>
      </c>
      <c r="KG20" s="88">
        <f t="shared" si="145"/>
        <v>0</v>
      </c>
      <c r="KH20" s="87">
        <f t="shared" si="256"/>
        <v>0</v>
      </c>
      <c r="KI20" s="106">
        <f t="shared" si="257"/>
        <v>0</v>
      </c>
      <c r="KJ20" s="106">
        <f t="shared" si="258"/>
        <v>0</v>
      </c>
      <c r="KK20" s="106">
        <f t="shared" si="259"/>
        <v>0</v>
      </c>
      <c r="KL20" s="86"/>
      <c r="KN20" s="39">
        <v>0.125</v>
      </c>
      <c r="KO20" s="38">
        <v>135</v>
      </c>
      <c r="KP20" s="38">
        <f t="shared" si="146"/>
        <v>-21.932757611792816</v>
      </c>
      <c r="KQ20" s="38">
        <f t="shared" si="147"/>
        <v>44.372564277814263</v>
      </c>
      <c r="KR20" s="38">
        <f t="shared" si="148"/>
        <v>111.93275761179282</v>
      </c>
      <c r="KS20" s="38">
        <f>+'Irradiancia Horizontal'!H72/COS(RADIANS(KR20))</f>
        <v>0</v>
      </c>
      <c r="KT20" s="38" t="e">
        <f>((('Irradiancia Horizontal'!H43+KS20)/'Irradiancia Horizontal'!H43)+1.041*((RADIANS('Cálculos iluminancia'!KR20))^3))/(1+1.041*((RADIANS('Cálculos iluminancia'!KR20))^3))</f>
        <v>#DIV/0!</v>
      </c>
      <c r="KU20" s="87" t="e">
        <f t="shared" si="149"/>
        <v>#NUM!</v>
      </c>
      <c r="KV20" s="87" t="e">
        <f t="shared" si="150"/>
        <v>#NUM!</v>
      </c>
      <c r="KW20" s="106" t="e">
        <f>'Irradiancia Horizontal'!H43*KV20/$KU$15</f>
        <v>#NUM!</v>
      </c>
      <c r="KX20" s="87">
        <f>((17.27*Temp!G13)/(237.7+Temp!G13))+LN(HR!G24/100)</f>
        <v>1.0519683770808019</v>
      </c>
      <c r="KY20" s="87">
        <f t="shared" si="260"/>
        <v>15.418201730395801</v>
      </c>
      <c r="KZ20" s="87">
        <f t="shared" si="261"/>
        <v>2.7299249586025636</v>
      </c>
      <c r="LA20" s="87" t="e">
        <f t="shared" si="151"/>
        <v>#DIV/0!</v>
      </c>
      <c r="LB20" s="87" t="e">
        <f t="shared" si="152"/>
        <v>#DIV/0!</v>
      </c>
      <c r="LC20" s="87" t="e">
        <f t="shared" si="153"/>
        <v>#DIV/0!</v>
      </c>
      <c r="LD20" s="87" t="e">
        <f t="shared" si="154"/>
        <v>#DIV/0!</v>
      </c>
      <c r="LE20" s="87" t="e">
        <f t="shared" si="155"/>
        <v>#DIV/0!</v>
      </c>
      <c r="LF20" s="103">
        <f t="shared" si="156"/>
        <v>0</v>
      </c>
      <c r="LG20" s="165">
        <f>IF(LM20&gt;(LF20*'Irradiancia Horizontal'!H11),LM20,LF20*'Irradiancia Horizontal'!H11)</f>
        <v>0</v>
      </c>
      <c r="LH20" s="87" t="e">
        <f t="shared" si="157"/>
        <v>#DIV/0!</v>
      </c>
      <c r="LI20" s="87" t="e">
        <f t="shared" si="158"/>
        <v>#DIV/0!</v>
      </c>
      <c r="LJ20" s="87" t="e">
        <f t="shared" si="159"/>
        <v>#DIV/0!</v>
      </c>
      <c r="LK20" s="87" t="e">
        <f t="shared" si="160"/>
        <v>#DIV/0!</v>
      </c>
      <c r="LL20" s="103">
        <f t="shared" si="161"/>
        <v>0</v>
      </c>
      <c r="LM20" s="87">
        <f>+LL20*'Irradiancia Horizontal'!H43</f>
        <v>0</v>
      </c>
      <c r="LN20" s="87">
        <f t="shared" si="262"/>
        <v>0</v>
      </c>
      <c r="LO20" s="87" t="e">
        <f>+LN20/'Irradiancia Horizontal'!H72</f>
        <v>#DIV/0!</v>
      </c>
      <c r="LP20" s="38">
        <f t="shared" si="162"/>
        <v>-0.6630718915525039</v>
      </c>
      <c r="LQ20" s="87">
        <f t="shared" si="263"/>
        <v>0</v>
      </c>
      <c r="LR20" s="87">
        <f t="shared" si="264"/>
        <v>8.6999999999999994E-2</v>
      </c>
      <c r="LS20" s="87" t="e">
        <f t="shared" si="265"/>
        <v>#DIV/0!</v>
      </c>
      <c r="LT20" s="87" t="e">
        <f t="shared" si="266"/>
        <v>#DIV/0!</v>
      </c>
      <c r="LU20" s="87" t="e">
        <f t="shared" si="267"/>
        <v>#DIV/0!</v>
      </c>
      <c r="LV20" s="87" t="e">
        <f t="shared" si="268"/>
        <v>#DIV/0!</v>
      </c>
      <c r="LW20" s="87" t="e">
        <f t="shared" si="269"/>
        <v>#DIV/0!</v>
      </c>
      <c r="LX20" s="87" t="e">
        <f t="shared" si="270"/>
        <v>#DIV/0!</v>
      </c>
      <c r="LY20" s="87" t="e">
        <f t="shared" si="163"/>
        <v>#DIV/0!</v>
      </c>
      <c r="LZ20" s="87" t="e">
        <f t="shared" si="164"/>
        <v>#DIV/0!</v>
      </c>
      <c r="MA20" s="88">
        <f t="shared" si="165"/>
        <v>0</v>
      </c>
      <c r="MB20" s="87" t="e">
        <f t="shared" si="166"/>
        <v>#DIV/0!</v>
      </c>
      <c r="MC20" s="87" t="e">
        <f t="shared" si="167"/>
        <v>#DIV/0!</v>
      </c>
      <c r="MD20" s="87" t="e">
        <f t="shared" si="168"/>
        <v>#DIV/0!</v>
      </c>
      <c r="ME20" s="87" t="e">
        <f t="shared" si="169"/>
        <v>#DIV/0!</v>
      </c>
      <c r="MF20" s="87" t="e">
        <f t="shared" si="170"/>
        <v>#DIV/0!</v>
      </c>
      <c r="MG20" s="87" t="e">
        <f t="shared" si="171"/>
        <v>#DIV/0!</v>
      </c>
      <c r="MH20" s="87" t="e">
        <f t="shared" si="172"/>
        <v>#DIV/0!</v>
      </c>
      <c r="MI20" s="87" t="e">
        <f t="shared" si="173"/>
        <v>#DIV/0!</v>
      </c>
      <c r="MJ20" s="106">
        <f>IF(KP20&lt;0,0,((0.5*(1-MH20)*(1+COS(RADIANS($KW$15))))+(MH20*(LQ20/LR20))+(MI20*SIN(RADIANS($KW$15))))*'Irradiancia Horizontal'!H43)</f>
        <v>0</v>
      </c>
      <c r="MK20" s="87">
        <f t="shared" si="174"/>
        <v>0</v>
      </c>
      <c r="ML20" s="87">
        <f>MK20*'Irradiancia Horizontal'!H72</f>
        <v>0</v>
      </c>
      <c r="MM20" s="87">
        <f t="shared" si="271"/>
        <v>0</v>
      </c>
      <c r="MN20" s="88">
        <f t="shared" si="175"/>
        <v>0</v>
      </c>
      <c r="MO20" s="87">
        <f t="shared" si="272"/>
        <v>0</v>
      </c>
      <c r="MP20" s="106">
        <f t="shared" si="273"/>
        <v>0</v>
      </c>
      <c r="MQ20" s="106">
        <f t="shared" si="274"/>
        <v>0</v>
      </c>
      <c r="MR20" s="106">
        <f t="shared" si="275"/>
        <v>0</v>
      </c>
    </row>
    <row r="21" spans="5:356" x14ac:dyDescent="0.25">
      <c r="E21" s="39">
        <v>0.16666666666666699</v>
      </c>
      <c r="F21" s="38">
        <v>120</v>
      </c>
      <c r="G21" s="38">
        <f t="shared" si="0"/>
        <v>-35.281146205343312</v>
      </c>
      <c r="H21" s="38">
        <f t="shared" si="1"/>
        <v>95.111099483439872</v>
      </c>
      <c r="I21" s="38">
        <f t="shared" si="2"/>
        <v>125.2811462053433</v>
      </c>
      <c r="J21" s="38">
        <f>'Irradiancia Horizontal'!C73/COS(RADIANS(I21))</f>
        <v>0</v>
      </c>
      <c r="K21" s="38" t="e">
        <f>((('Irradiancia Horizontal'!C44+J21)/'Irradiancia Horizontal'!C44)+1.041*((RADIANS('Cálculos iluminancia'!I21))^3))/(1+1.041*((RADIANS('Cálculos iluminancia'!I21))^3))</f>
        <v>#DIV/0!</v>
      </c>
      <c r="L21" s="36" t="e">
        <f t="shared" si="3"/>
        <v>#NUM!</v>
      </c>
      <c r="M21" s="36" t="e">
        <f t="shared" si="4"/>
        <v>#NUM!</v>
      </c>
      <c r="N21" s="106" t="e">
        <f>'Irradiancia Horizontal'!C44*M21/$L$15</f>
        <v>#NUM!</v>
      </c>
      <c r="O21" s="71">
        <f>((17.27*Temp!B14)/(237.7+Temp!B14))+LN(HR!B25/100)</f>
        <v>0.36034615655706498</v>
      </c>
      <c r="P21" s="71">
        <f t="shared" si="176"/>
        <v>5.0654071459202896</v>
      </c>
      <c r="Q21" s="71">
        <f t="shared" si="177"/>
        <v>1.3225722309237209</v>
      </c>
      <c r="R21" s="71" t="e">
        <f t="shared" si="5"/>
        <v>#DIV/0!</v>
      </c>
      <c r="S21" s="71" t="e">
        <f t="shared" si="6"/>
        <v>#DIV/0!</v>
      </c>
      <c r="T21" s="71" t="e">
        <f t="shared" si="7"/>
        <v>#DIV/0!</v>
      </c>
      <c r="U21" s="71" t="e">
        <f t="shared" si="8"/>
        <v>#DIV/0!</v>
      </c>
      <c r="V21" s="71" t="e">
        <f t="shared" si="9"/>
        <v>#DIV/0!</v>
      </c>
      <c r="W21" s="103">
        <f t="shared" si="10"/>
        <v>0</v>
      </c>
      <c r="X21" s="165">
        <f>IF(AD21&gt;(W21*'Irradiancia Horizontal'!C12),AD21,W21*'Irradiancia Horizontal'!C12)</f>
        <v>0</v>
      </c>
      <c r="Y21" s="71" t="e">
        <f t="shared" si="11"/>
        <v>#DIV/0!</v>
      </c>
      <c r="Z21" s="71" t="e">
        <f t="shared" si="12"/>
        <v>#DIV/0!</v>
      </c>
      <c r="AA21" s="71" t="e">
        <f t="shared" si="13"/>
        <v>#DIV/0!</v>
      </c>
      <c r="AB21" s="71" t="e">
        <f t="shared" si="14"/>
        <v>#DIV/0!</v>
      </c>
      <c r="AC21" s="103">
        <f t="shared" si="15"/>
        <v>0</v>
      </c>
      <c r="AD21" s="71">
        <f>+AC21*'Irradiancia Horizontal'!C44</f>
        <v>0</v>
      </c>
      <c r="AE21" s="71">
        <f t="shared" si="16"/>
        <v>0</v>
      </c>
      <c r="AF21" s="71" t="e">
        <f>+AE21/'Irradiancia Horizontal'!C73</f>
        <v>#DIV/0!</v>
      </c>
      <c r="AG21" s="38">
        <f t="shared" si="17"/>
        <v>7.2724390199308264E-2</v>
      </c>
      <c r="AH21" s="84">
        <f t="shared" si="178"/>
        <v>7.2724390199308264E-2</v>
      </c>
      <c r="AI21" s="84">
        <f t="shared" si="179"/>
        <v>8.6999999999999994E-2</v>
      </c>
      <c r="AJ21" s="84" t="e">
        <f t="shared" si="180"/>
        <v>#DIV/0!</v>
      </c>
      <c r="AK21" s="84" t="e">
        <f t="shared" si="181"/>
        <v>#DIV/0!</v>
      </c>
      <c r="AL21" s="84" t="e">
        <f t="shared" si="182"/>
        <v>#DIV/0!</v>
      </c>
      <c r="AM21" s="84" t="e">
        <f t="shared" si="183"/>
        <v>#DIV/0!</v>
      </c>
      <c r="AN21" s="84" t="e">
        <f t="shared" si="184"/>
        <v>#DIV/0!</v>
      </c>
      <c r="AO21" s="84" t="e">
        <f t="shared" si="185"/>
        <v>#DIV/0!</v>
      </c>
      <c r="AP21" s="84" t="e">
        <f t="shared" si="18"/>
        <v>#DIV/0!</v>
      </c>
      <c r="AQ21" s="84" t="e">
        <f t="shared" si="19"/>
        <v>#DIV/0!</v>
      </c>
      <c r="AR21" s="88">
        <f t="shared" si="20"/>
        <v>0</v>
      </c>
      <c r="AS21" s="84" t="e">
        <f t="shared" si="21"/>
        <v>#DIV/0!</v>
      </c>
      <c r="AT21" s="84" t="e">
        <f t="shared" si="22"/>
        <v>#DIV/0!</v>
      </c>
      <c r="AU21" s="84" t="e">
        <f t="shared" si="23"/>
        <v>#DIV/0!</v>
      </c>
      <c r="AV21" s="84" t="e">
        <f t="shared" si="24"/>
        <v>#DIV/0!</v>
      </c>
      <c r="AW21" s="84" t="e">
        <f t="shared" si="25"/>
        <v>#DIV/0!</v>
      </c>
      <c r="AX21" s="84" t="e">
        <f t="shared" si="26"/>
        <v>#DIV/0!</v>
      </c>
      <c r="AY21" s="84" t="e">
        <f t="shared" si="27"/>
        <v>#DIV/0!</v>
      </c>
      <c r="AZ21" s="84" t="e">
        <f t="shared" si="28"/>
        <v>#DIV/0!</v>
      </c>
      <c r="BA21" s="106">
        <f>IF(G21&lt;0,0,((0.5*(1-AY21)*(1+COS(RADIANS($N$15))))+(AY21*(AH21/AI21))+(AZ21*SIN(RADIANS($N$15))))*'Irradiancia Horizontal'!C44)</f>
        <v>0</v>
      </c>
      <c r="BB21" s="106">
        <f t="shared" si="186"/>
        <v>-0.12591026818490686</v>
      </c>
      <c r="BC21" s="84">
        <f>BB21*'Irradiancia Horizontal'!C73</f>
        <v>0</v>
      </c>
      <c r="BD21" s="84">
        <f t="shared" si="187"/>
        <v>0</v>
      </c>
      <c r="BE21" s="88">
        <f t="shared" si="29"/>
        <v>0</v>
      </c>
      <c r="BF21" s="84">
        <f t="shared" si="188"/>
        <v>0</v>
      </c>
      <c r="BG21" s="106">
        <f t="shared" si="189"/>
        <v>0</v>
      </c>
      <c r="BH21" s="106">
        <f t="shared" si="190"/>
        <v>0</v>
      </c>
      <c r="BI21" s="106">
        <f t="shared" si="191"/>
        <v>0</v>
      </c>
      <c r="BJ21" s="72"/>
      <c r="BL21" s="39">
        <v>0.16666666666666699</v>
      </c>
      <c r="BM21" s="38">
        <v>120</v>
      </c>
      <c r="BN21" s="38">
        <f t="shared" si="30"/>
        <v>-31.549339111474108</v>
      </c>
      <c r="BO21" s="38">
        <f t="shared" si="31"/>
        <v>85.408269313757486</v>
      </c>
      <c r="BP21" s="38">
        <f t="shared" si="32"/>
        <v>121.54933911147411</v>
      </c>
      <c r="BQ21" s="38">
        <f>+'Irradiancia Horizontal'!D73/COS(RADIANS(BP21))</f>
        <v>0</v>
      </c>
      <c r="BR21" s="38" t="e">
        <f>((('Irradiancia Horizontal'!D44+BQ21)/'Irradiancia Horizontal'!D44)+1.041*((RADIANS('Cálculos iluminancia'!BP21))^3))/(1+1.041*((RADIANS('Cálculos iluminancia'!BP21))^3))</f>
        <v>#DIV/0!</v>
      </c>
      <c r="BS21" s="84" t="e">
        <f t="shared" si="33"/>
        <v>#NUM!</v>
      </c>
      <c r="BT21" s="84" t="e">
        <f t="shared" si="192"/>
        <v>#NUM!</v>
      </c>
      <c r="BU21" s="106" t="e">
        <f>'Irradiancia Horizontal'!D44*BT21/$BS$15</f>
        <v>#NUM!</v>
      </c>
      <c r="BV21" s="84">
        <f>((17.27*Temp!C14)/(237.7+Temp!C14))+LN(HR!C25/100)</f>
        <v>0.4083000701783927</v>
      </c>
      <c r="BW21" s="84">
        <f t="shared" si="193"/>
        <v>5.7558210076883238</v>
      </c>
      <c r="BX21" s="84">
        <f t="shared" si="194"/>
        <v>1.3880605298533522</v>
      </c>
      <c r="BY21" s="84" t="e">
        <f t="shared" si="34"/>
        <v>#DIV/0!</v>
      </c>
      <c r="BZ21" s="84" t="e">
        <f t="shared" si="35"/>
        <v>#DIV/0!</v>
      </c>
      <c r="CA21" s="84" t="e">
        <f t="shared" si="36"/>
        <v>#DIV/0!</v>
      </c>
      <c r="CB21" s="84" t="e">
        <f t="shared" si="37"/>
        <v>#DIV/0!</v>
      </c>
      <c r="CC21" s="84" t="e">
        <f t="shared" si="38"/>
        <v>#DIV/0!</v>
      </c>
      <c r="CD21" s="103">
        <f t="shared" si="39"/>
        <v>0</v>
      </c>
      <c r="CE21" s="165">
        <f>IF(CK21&gt;(CD21*'Irradiancia Horizontal'!D12),CK21,CD21*'Irradiancia Horizontal'!D12)</f>
        <v>0</v>
      </c>
      <c r="CF21" s="84" t="e">
        <f t="shared" si="40"/>
        <v>#DIV/0!</v>
      </c>
      <c r="CG21" s="84" t="e">
        <f t="shared" si="41"/>
        <v>#DIV/0!</v>
      </c>
      <c r="CH21" s="84" t="e">
        <f t="shared" si="42"/>
        <v>#DIV/0!</v>
      </c>
      <c r="CI21" s="84" t="e">
        <f t="shared" si="43"/>
        <v>#DIV/0!</v>
      </c>
      <c r="CJ21" s="103">
        <f t="shared" si="44"/>
        <v>0</v>
      </c>
      <c r="CK21" s="84">
        <f>+CJ21*'Irradiancia Horizontal'!D44</f>
        <v>0</v>
      </c>
      <c r="CL21" s="84">
        <f t="shared" si="195"/>
        <v>0</v>
      </c>
      <c r="CM21" s="84" t="e">
        <f>+CL21/'Irradiancia Horizontal'!D73</f>
        <v>#DIV/0!</v>
      </c>
      <c r="CN21" s="38">
        <f t="shared" si="45"/>
        <v>-6.8222115699807018E-2</v>
      </c>
      <c r="CO21" s="84">
        <f t="shared" si="196"/>
        <v>0</v>
      </c>
      <c r="CP21" s="84">
        <f t="shared" si="197"/>
        <v>8.6999999999999994E-2</v>
      </c>
      <c r="CQ21" s="84" t="e">
        <f t="shared" si="198"/>
        <v>#DIV/0!</v>
      </c>
      <c r="CR21" s="84" t="e">
        <f t="shared" si="199"/>
        <v>#DIV/0!</v>
      </c>
      <c r="CS21" s="84" t="e">
        <f t="shared" si="200"/>
        <v>#DIV/0!</v>
      </c>
      <c r="CT21" s="84" t="e">
        <f t="shared" si="201"/>
        <v>#DIV/0!</v>
      </c>
      <c r="CU21" s="84" t="e">
        <f t="shared" si="202"/>
        <v>#DIV/0!</v>
      </c>
      <c r="CV21" s="84" t="e">
        <f t="shared" si="203"/>
        <v>#DIV/0!</v>
      </c>
      <c r="CW21" s="84" t="e">
        <f t="shared" si="46"/>
        <v>#DIV/0!</v>
      </c>
      <c r="CX21" s="84" t="e">
        <f t="shared" si="47"/>
        <v>#DIV/0!</v>
      </c>
      <c r="CY21" s="88">
        <f t="shared" si="48"/>
        <v>0</v>
      </c>
      <c r="CZ21" s="84" t="e">
        <f t="shared" si="49"/>
        <v>#DIV/0!</v>
      </c>
      <c r="DA21" s="84" t="e">
        <f t="shared" si="50"/>
        <v>#DIV/0!</v>
      </c>
      <c r="DB21" s="84" t="e">
        <f t="shared" si="51"/>
        <v>#DIV/0!</v>
      </c>
      <c r="DC21" s="84" t="e">
        <f t="shared" si="52"/>
        <v>#DIV/0!</v>
      </c>
      <c r="DD21" s="84" t="e">
        <f t="shared" si="53"/>
        <v>#DIV/0!</v>
      </c>
      <c r="DE21" s="84" t="e">
        <f t="shared" si="54"/>
        <v>#DIV/0!</v>
      </c>
      <c r="DF21" s="84" t="e">
        <f t="shared" si="55"/>
        <v>#DIV/0!</v>
      </c>
      <c r="DG21" s="84" t="e">
        <f t="shared" si="56"/>
        <v>#DIV/0!</v>
      </c>
      <c r="DH21" s="106">
        <f>IF(BN21&lt;0,0,((0.5*(1-DF21)*(1+COS(RADIANS($BU$15))))+(DF21*(CO21/CP21))+(DG21*SIN(RADIANS($BU$15))))*'Irradiancia Horizontal'!D44)</f>
        <v>0</v>
      </c>
      <c r="DI21" s="106">
        <f t="shared" si="204"/>
        <v>0</v>
      </c>
      <c r="DJ21" s="84">
        <f>DI21*'Irradiancia Horizontal'!D73</f>
        <v>0</v>
      </c>
      <c r="DK21" s="84">
        <f t="shared" si="205"/>
        <v>0</v>
      </c>
      <c r="DL21" s="88">
        <f t="shared" si="57"/>
        <v>0</v>
      </c>
      <c r="DM21" s="84">
        <f t="shared" si="206"/>
        <v>0</v>
      </c>
      <c r="DN21" s="106">
        <f t="shared" si="207"/>
        <v>0</v>
      </c>
      <c r="DO21" s="106">
        <f t="shared" si="208"/>
        <v>0</v>
      </c>
      <c r="DP21" s="106">
        <f t="shared" si="209"/>
        <v>0</v>
      </c>
      <c r="DQ21" s="44"/>
      <c r="DS21" s="39">
        <v>0.16666666666666699</v>
      </c>
      <c r="DT21" s="38">
        <v>120</v>
      </c>
      <c r="DU21" s="38">
        <f t="shared" si="58"/>
        <v>-26.128398161118344</v>
      </c>
      <c r="DV21" s="38">
        <f t="shared" si="59"/>
        <v>74.70367218763036</v>
      </c>
      <c r="DW21" s="38">
        <f t="shared" si="60"/>
        <v>116.12839816111834</v>
      </c>
      <c r="DX21" s="38">
        <f>+'Irradiancia Horizontal'!E73/COS(RADIANS(DW21))</f>
        <v>0</v>
      </c>
      <c r="DY21" s="38" t="e">
        <f>((('Irradiancia Horizontal'!E44+DX21)/'Irradiancia Horizontal'!E44)+1.041*((RADIANS('Cálculos iluminancia'!DW21))^3))/(1+1.041*((RADIANS('Cálculos iluminancia'!DW21))^3))</f>
        <v>#DIV/0!</v>
      </c>
      <c r="DZ21" s="84" t="e">
        <f t="shared" si="61"/>
        <v>#NUM!</v>
      </c>
      <c r="EA21" s="84" t="e">
        <f t="shared" si="210"/>
        <v>#NUM!</v>
      </c>
      <c r="EB21" s="106" t="e">
        <f>'Irradiancia Horizontal'!E44*EA21/$DZ$15</f>
        <v>#NUM!</v>
      </c>
      <c r="EC21" s="84">
        <f>((17.27*Temp!D14)/(237.7+Temp!D14))+LN(HR!D25/100)</f>
        <v>0.44690284469585034</v>
      </c>
      <c r="ED21" s="84">
        <f t="shared" si="211"/>
        <v>6.3144619093346179</v>
      </c>
      <c r="EE21" s="84">
        <f t="shared" si="212"/>
        <v>1.4434157215946488</v>
      </c>
      <c r="EF21" s="84" t="e">
        <f t="shared" si="62"/>
        <v>#DIV/0!</v>
      </c>
      <c r="EG21" s="84" t="e">
        <f t="shared" si="63"/>
        <v>#DIV/0!</v>
      </c>
      <c r="EH21" s="84" t="e">
        <f t="shared" si="64"/>
        <v>#DIV/0!</v>
      </c>
      <c r="EI21" s="84" t="e">
        <f t="shared" si="65"/>
        <v>#DIV/0!</v>
      </c>
      <c r="EJ21" s="84" t="e">
        <f t="shared" si="66"/>
        <v>#DIV/0!</v>
      </c>
      <c r="EK21" s="103">
        <f t="shared" si="67"/>
        <v>0</v>
      </c>
      <c r="EL21" s="165">
        <f>IF(ER21&gt;(EK21*'Irradiancia Horizontal'!E12),ER21,EK21*'Irradiancia Horizontal'!E12)</f>
        <v>0</v>
      </c>
      <c r="EM21" s="84" t="e">
        <f t="shared" si="68"/>
        <v>#DIV/0!</v>
      </c>
      <c r="EN21" s="84" t="e">
        <f t="shared" si="69"/>
        <v>#DIV/0!</v>
      </c>
      <c r="EO21" s="84" t="e">
        <f t="shared" si="70"/>
        <v>#DIV/0!</v>
      </c>
      <c r="EP21" s="84" t="e">
        <f t="shared" si="71"/>
        <v>#DIV/0!</v>
      </c>
      <c r="EQ21" s="103">
        <f t="shared" si="72"/>
        <v>0</v>
      </c>
      <c r="ER21" s="84">
        <f>+EQ21*'Irradiancia Horizontal'!E44</f>
        <v>0</v>
      </c>
      <c r="ES21" s="84">
        <f t="shared" si="213"/>
        <v>0</v>
      </c>
      <c r="ET21" s="84" t="e">
        <f>+ES21/'Irradiancia Horizontal'!E73</f>
        <v>#DIV/0!</v>
      </c>
      <c r="EU21" s="38">
        <f t="shared" si="73"/>
        <v>-0.23685220496695675</v>
      </c>
      <c r="EV21" s="84">
        <f t="shared" si="214"/>
        <v>0</v>
      </c>
      <c r="EW21" s="84">
        <f t="shared" si="215"/>
        <v>8.6999999999999994E-2</v>
      </c>
      <c r="EX21" s="84" t="e">
        <f t="shared" si="216"/>
        <v>#DIV/0!</v>
      </c>
      <c r="EY21" s="84" t="e">
        <f t="shared" si="217"/>
        <v>#DIV/0!</v>
      </c>
      <c r="EZ21" s="84" t="e">
        <f t="shared" si="218"/>
        <v>#DIV/0!</v>
      </c>
      <c r="FA21" s="84" t="e">
        <f t="shared" si="219"/>
        <v>#DIV/0!</v>
      </c>
      <c r="FB21" s="84" t="e">
        <f t="shared" si="220"/>
        <v>#DIV/0!</v>
      </c>
      <c r="FC21" s="84" t="e">
        <f t="shared" si="221"/>
        <v>#DIV/0!</v>
      </c>
      <c r="FD21" s="84" t="e">
        <f t="shared" si="74"/>
        <v>#DIV/0!</v>
      </c>
      <c r="FE21" s="84" t="e">
        <f t="shared" si="75"/>
        <v>#DIV/0!</v>
      </c>
      <c r="FF21" s="88">
        <f t="shared" si="76"/>
        <v>0</v>
      </c>
      <c r="FG21" s="84" t="e">
        <f t="shared" si="77"/>
        <v>#DIV/0!</v>
      </c>
      <c r="FH21" s="84" t="e">
        <f t="shared" si="78"/>
        <v>#DIV/0!</v>
      </c>
      <c r="FI21" s="84" t="e">
        <f t="shared" si="79"/>
        <v>#DIV/0!</v>
      </c>
      <c r="FJ21" s="84" t="e">
        <f t="shared" si="80"/>
        <v>#DIV/0!</v>
      </c>
      <c r="FK21" s="84" t="e">
        <f t="shared" si="81"/>
        <v>#DIV/0!</v>
      </c>
      <c r="FL21" s="84" t="e">
        <f t="shared" si="82"/>
        <v>#DIV/0!</v>
      </c>
      <c r="FM21" s="84" t="e">
        <f t="shared" si="83"/>
        <v>#DIV/0!</v>
      </c>
      <c r="FN21" s="84" t="e">
        <f t="shared" si="84"/>
        <v>#DIV/0!</v>
      </c>
      <c r="FO21" s="106">
        <f>IF(DU21&lt;0,0,((0.5*(1-FM21)*(1+COS(RADIANS($EB$15))))+(FM21*(EV21/EW21))+(FN21*SIN(RADIANS($EB$15))))*'Irradiancia Horizontal'!E44)</f>
        <v>0</v>
      </c>
      <c r="FP21" s="106">
        <f t="shared" si="222"/>
        <v>0</v>
      </c>
      <c r="FQ21" s="84">
        <f>FP21*'Irradiancia Horizontal'!E73</f>
        <v>0</v>
      </c>
      <c r="FR21" s="84">
        <f t="shared" si="223"/>
        <v>0</v>
      </c>
      <c r="FS21" s="88">
        <f t="shared" si="85"/>
        <v>0</v>
      </c>
      <c r="FT21" s="84">
        <f t="shared" si="224"/>
        <v>0</v>
      </c>
      <c r="FU21" s="106">
        <f t="shared" si="225"/>
        <v>0</v>
      </c>
      <c r="FV21" s="106">
        <f t="shared" si="226"/>
        <v>0</v>
      </c>
      <c r="FW21" s="106">
        <f t="shared" si="227"/>
        <v>0</v>
      </c>
      <c r="FX21" s="83"/>
      <c r="FZ21" s="39">
        <v>0.16666666666666699</v>
      </c>
      <c r="GA21" s="38">
        <v>120</v>
      </c>
      <c r="GB21" s="38">
        <f t="shared" si="86"/>
        <v>-19.300479677277462</v>
      </c>
      <c r="GC21" s="38">
        <f t="shared" si="87"/>
        <v>64.016694998451214</v>
      </c>
      <c r="GD21" s="38">
        <f t="shared" si="88"/>
        <v>109.30047967727747</v>
      </c>
      <c r="GE21" s="38">
        <f>+'Irradiancia Horizontal'!F73/COS(RADIANS(GD21))</f>
        <v>0</v>
      </c>
      <c r="GF21" s="38" t="e">
        <f>((('Irradiancia Horizontal'!F44+GE21)/'Irradiancia Horizontal'!F44)+1.041*((RADIANS('Cálculos iluminancia'!GD21))^3))/(1+1.041*((RADIANS('Cálculos iluminancia'!GD21))^3))</f>
        <v>#DIV/0!</v>
      </c>
      <c r="GG21" s="84" t="e">
        <f t="shared" si="89"/>
        <v>#NUM!</v>
      </c>
      <c r="GH21" s="84" t="e">
        <f t="shared" si="90"/>
        <v>#NUM!</v>
      </c>
      <c r="GI21" s="106" t="e">
        <f>'Irradiancia Horizontal'!F44*GH21/$GG$15</f>
        <v>#NUM!</v>
      </c>
      <c r="GJ21" s="84">
        <f>((17.27*Temp!E14)/(237.7+Temp!E14))+LN(HR!E25/100)</f>
        <v>0.57009232794020426</v>
      </c>
      <c r="GK21" s="84">
        <f t="shared" si="228"/>
        <v>8.1144727870625637</v>
      </c>
      <c r="GL21" s="84">
        <f t="shared" si="229"/>
        <v>1.637241961086795</v>
      </c>
      <c r="GM21" s="84" t="e">
        <f t="shared" si="91"/>
        <v>#DIV/0!</v>
      </c>
      <c r="GN21" s="84" t="e">
        <f t="shared" si="92"/>
        <v>#DIV/0!</v>
      </c>
      <c r="GO21" s="84" t="e">
        <f t="shared" si="93"/>
        <v>#DIV/0!</v>
      </c>
      <c r="GP21" s="84" t="e">
        <f t="shared" si="94"/>
        <v>#DIV/0!</v>
      </c>
      <c r="GQ21" s="84" t="e">
        <f t="shared" si="95"/>
        <v>#DIV/0!</v>
      </c>
      <c r="GR21" s="103">
        <f t="shared" si="96"/>
        <v>0</v>
      </c>
      <c r="GS21" s="165">
        <f>IF(GY21&gt;(GR21*'Irradiancia Horizontal'!F12),GY21,GR21*'Irradiancia Horizontal'!F12)</f>
        <v>0</v>
      </c>
      <c r="GT21" s="84" t="e">
        <f t="shared" si="97"/>
        <v>#DIV/0!</v>
      </c>
      <c r="GU21" s="84" t="e">
        <f t="shared" si="98"/>
        <v>#DIV/0!</v>
      </c>
      <c r="GV21" s="84" t="e">
        <f t="shared" si="99"/>
        <v>#DIV/0!</v>
      </c>
      <c r="GW21" s="84" t="e">
        <f t="shared" si="100"/>
        <v>#DIV/0!</v>
      </c>
      <c r="GX21" s="103">
        <f t="shared" si="101"/>
        <v>0</v>
      </c>
      <c r="GY21" s="84">
        <f>+GX21*'Irradiancia Horizontal'!F44</f>
        <v>0</v>
      </c>
      <c r="GZ21" s="84">
        <f t="shared" si="230"/>
        <v>0</v>
      </c>
      <c r="HA21" s="84" t="e">
        <f>+GZ21/'Irradiancia Horizontal'!F73</f>
        <v>#DIV/0!</v>
      </c>
      <c r="HB21" s="38">
        <f t="shared" si="102"/>
        <v>-0.41348670075206839</v>
      </c>
      <c r="HC21" s="84">
        <f t="shared" si="231"/>
        <v>0</v>
      </c>
      <c r="HD21" s="84">
        <f t="shared" si="232"/>
        <v>8.6999999999999994E-2</v>
      </c>
      <c r="HE21" s="84" t="e">
        <f t="shared" si="233"/>
        <v>#DIV/0!</v>
      </c>
      <c r="HF21" s="84" t="e">
        <f t="shared" si="234"/>
        <v>#DIV/0!</v>
      </c>
      <c r="HG21" s="84" t="e">
        <f t="shared" si="235"/>
        <v>#DIV/0!</v>
      </c>
      <c r="HH21" s="84" t="e">
        <f t="shared" si="236"/>
        <v>#DIV/0!</v>
      </c>
      <c r="HI21" s="84" t="e">
        <f t="shared" si="237"/>
        <v>#DIV/0!</v>
      </c>
      <c r="HJ21" s="84" t="e">
        <f t="shared" si="238"/>
        <v>#DIV/0!</v>
      </c>
      <c r="HK21" s="84" t="e">
        <f t="shared" si="103"/>
        <v>#DIV/0!</v>
      </c>
      <c r="HL21" s="84" t="e">
        <f t="shared" si="104"/>
        <v>#DIV/0!</v>
      </c>
      <c r="HM21" s="88">
        <f t="shared" si="105"/>
        <v>0</v>
      </c>
      <c r="HN21" s="84" t="e">
        <f t="shared" si="106"/>
        <v>#DIV/0!</v>
      </c>
      <c r="HO21" s="84" t="e">
        <f t="shared" si="107"/>
        <v>#DIV/0!</v>
      </c>
      <c r="HP21" s="84" t="e">
        <f t="shared" si="108"/>
        <v>#DIV/0!</v>
      </c>
      <c r="HQ21" s="84" t="e">
        <f t="shared" si="109"/>
        <v>#DIV/0!</v>
      </c>
      <c r="HR21" s="84" t="e">
        <f t="shared" si="110"/>
        <v>#DIV/0!</v>
      </c>
      <c r="HS21" s="84" t="e">
        <f t="shared" si="111"/>
        <v>#DIV/0!</v>
      </c>
      <c r="HT21" s="84" t="e">
        <f t="shared" si="112"/>
        <v>#DIV/0!</v>
      </c>
      <c r="HU21" s="84" t="e">
        <f t="shared" si="113"/>
        <v>#DIV/0!</v>
      </c>
      <c r="HV21" s="106">
        <f>IF(GB21&lt;0,0,((0.5*(1-HT21)*(1+COS(RADIANS($GI$15))))+(HT21*(HC21/HD21))+(HU21*SIN(RADIANS($GI$15))))*'Irradiancia Horizontal'!F44)</f>
        <v>0</v>
      </c>
      <c r="HW21" s="84">
        <f t="shared" si="114"/>
        <v>0</v>
      </c>
      <c r="HX21" s="84">
        <f>HW21*'Irradiancia Horizontal'!F73</f>
        <v>0</v>
      </c>
      <c r="HY21" s="84">
        <f t="shared" si="239"/>
        <v>0</v>
      </c>
      <c r="HZ21" s="88">
        <f t="shared" si="115"/>
        <v>0</v>
      </c>
      <c r="IA21" s="84">
        <f t="shared" si="240"/>
        <v>0</v>
      </c>
      <c r="IB21" s="106">
        <f t="shared" si="241"/>
        <v>0</v>
      </c>
      <c r="IC21" s="106">
        <f t="shared" si="242"/>
        <v>0</v>
      </c>
      <c r="ID21" s="106">
        <f t="shared" si="243"/>
        <v>0</v>
      </c>
      <c r="IE21" s="83"/>
      <c r="IG21" s="39">
        <v>0.16666666666666699</v>
      </c>
      <c r="IH21" s="38">
        <v>120</v>
      </c>
      <c r="II21" s="38">
        <f t="shared" si="116"/>
        <v>-14.059262104382483</v>
      </c>
      <c r="IJ21" s="38">
        <f t="shared" si="117"/>
        <v>56.949460447538442</v>
      </c>
      <c r="IK21" s="38">
        <f t="shared" si="118"/>
        <v>104.05926210438248</v>
      </c>
      <c r="IL21" s="38">
        <f>+'Irradiancia Horizontal'!G73/COS(RADIANS(IK21))</f>
        <v>0</v>
      </c>
      <c r="IM21" s="38" t="e">
        <f>((('Irradiancia Horizontal'!G44+IL21)/'Irradiancia Horizontal'!G44)+1.041*((RADIANS('Cálculos iluminancia'!IK21))^3))/(1+1.041*((RADIANS('Cálculos iluminancia'!IK21))^3))</f>
        <v>#DIV/0!</v>
      </c>
      <c r="IN21" s="87" t="e">
        <f t="shared" si="119"/>
        <v>#NUM!</v>
      </c>
      <c r="IO21" s="87" t="e">
        <f t="shared" si="120"/>
        <v>#NUM!</v>
      </c>
      <c r="IP21" s="106" t="e">
        <f>'Irradiancia Horizontal'!G44*IO21/$IN$15</f>
        <v>#NUM!</v>
      </c>
      <c r="IQ21" s="87">
        <f>((17.27*Temp!F14)/(237.7+Temp!F14))+LN(HR!F25/100)</f>
        <v>0.73537125735675402</v>
      </c>
      <c r="IR21" s="87">
        <f t="shared" si="244"/>
        <v>10.571616127242844</v>
      </c>
      <c r="IS21" s="87">
        <f t="shared" si="245"/>
        <v>1.9445160505396315</v>
      </c>
      <c r="IT21" s="87" t="e">
        <f t="shared" si="121"/>
        <v>#DIV/0!</v>
      </c>
      <c r="IU21" s="87" t="e">
        <f t="shared" si="122"/>
        <v>#DIV/0!</v>
      </c>
      <c r="IV21" s="87" t="e">
        <f t="shared" si="123"/>
        <v>#DIV/0!</v>
      </c>
      <c r="IW21" s="87" t="e">
        <f t="shared" si="124"/>
        <v>#DIV/0!</v>
      </c>
      <c r="IX21" s="87" t="e">
        <f t="shared" si="125"/>
        <v>#DIV/0!</v>
      </c>
      <c r="IY21" s="103">
        <f t="shared" si="126"/>
        <v>0</v>
      </c>
      <c r="IZ21" s="165">
        <f>IF(JF21&gt;(IY21*'Irradiancia Horizontal'!G12),JF21,IY21*'Irradiancia Horizontal'!G12)</f>
        <v>0</v>
      </c>
      <c r="JA21" s="87" t="e">
        <f t="shared" si="127"/>
        <v>#DIV/0!</v>
      </c>
      <c r="JB21" s="87" t="e">
        <f t="shared" si="128"/>
        <v>#DIV/0!</v>
      </c>
      <c r="JC21" s="87" t="e">
        <f t="shared" si="129"/>
        <v>#DIV/0!</v>
      </c>
      <c r="JD21" s="87" t="e">
        <f t="shared" si="130"/>
        <v>#DIV/0!</v>
      </c>
      <c r="JE21" s="103">
        <f t="shared" si="131"/>
        <v>0</v>
      </c>
      <c r="JF21" s="87">
        <f>+JE21*'Irradiancia Horizontal'!G44</f>
        <v>0</v>
      </c>
      <c r="JG21" s="87">
        <f t="shared" si="246"/>
        <v>0</v>
      </c>
      <c r="JH21" s="87" t="e">
        <f>+JG21/'Irradiancia Horizontal'!G73</f>
        <v>#DIV/0!</v>
      </c>
      <c r="JI21" s="38">
        <f t="shared" si="132"/>
        <v>-0.52904177366493466</v>
      </c>
      <c r="JJ21" s="87">
        <f t="shared" si="247"/>
        <v>0</v>
      </c>
      <c r="JK21" s="87">
        <f t="shared" si="248"/>
        <v>8.6999999999999994E-2</v>
      </c>
      <c r="JL21" s="87" t="e">
        <f t="shared" si="249"/>
        <v>#DIV/0!</v>
      </c>
      <c r="JM21" s="87" t="e">
        <f t="shared" si="250"/>
        <v>#DIV/0!</v>
      </c>
      <c r="JN21" s="87" t="e">
        <f t="shared" si="251"/>
        <v>#DIV/0!</v>
      </c>
      <c r="JO21" s="87" t="e">
        <f t="shared" si="252"/>
        <v>#DIV/0!</v>
      </c>
      <c r="JP21" s="87" t="e">
        <f t="shared" si="253"/>
        <v>#DIV/0!</v>
      </c>
      <c r="JQ21" s="87" t="e">
        <f t="shared" si="254"/>
        <v>#DIV/0!</v>
      </c>
      <c r="JR21" s="87" t="e">
        <f t="shared" si="133"/>
        <v>#DIV/0!</v>
      </c>
      <c r="JS21" s="87" t="e">
        <f t="shared" si="134"/>
        <v>#DIV/0!</v>
      </c>
      <c r="JT21" s="88">
        <f t="shared" si="135"/>
        <v>0</v>
      </c>
      <c r="JU21" s="87" t="e">
        <f t="shared" si="136"/>
        <v>#DIV/0!</v>
      </c>
      <c r="JV21" s="87" t="e">
        <f t="shared" si="137"/>
        <v>#DIV/0!</v>
      </c>
      <c r="JW21" s="87" t="e">
        <f t="shared" si="138"/>
        <v>#DIV/0!</v>
      </c>
      <c r="JX21" s="87" t="e">
        <f t="shared" si="139"/>
        <v>#DIV/0!</v>
      </c>
      <c r="JY21" s="87" t="e">
        <f t="shared" si="140"/>
        <v>#DIV/0!</v>
      </c>
      <c r="JZ21" s="87" t="e">
        <f t="shared" si="141"/>
        <v>#DIV/0!</v>
      </c>
      <c r="KA21" s="87" t="e">
        <f t="shared" si="142"/>
        <v>#DIV/0!</v>
      </c>
      <c r="KB21" s="87" t="e">
        <f t="shared" si="143"/>
        <v>#DIV/0!</v>
      </c>
      <c r="KC21" s="106">
        <f>IF(II21&lt;0,0,((0.5*(1-KA21)*(1+COS(RADIANS($IP$15))))+(KA21*(JJ21/JK21))+(KB21*SIN(RADIANS($IP$15))))*'Irradiancia Horizontal'!G44)</f>
        <v>0</v>
      </c>
      <c r="KD21" s="87">
        <f t="shared" si="144"/>
        <v>0</v>
      </c>
      <c r="KE21" s="87">
        <f>KD21*'Irradiancia Horizontal'!G73</f>
        <v>0</v>
      </c>
      <c r="KF21" s="87">
        <f t="shared" si="255"/>
        <v>0</v>
      </c>
      <c r="KG21" s="88">
        <f t="shared" si="145"/>
        <v>0</v>
      </c>
      <c r="KH21" s="87">
        <f t="shared" si="256"/>
        <v>0</v>
      </c>
      <c r="KI21" s="106">
        <f t="shared" si="257"/>
        <v>0</v>
      </c>
      <c r="KJ21" s="106">
        <f t="shared" si="258"/>
        <v>0</v>
      </c>
      <c r="KK21" s="106">
        <f t="shared" si="259"/>
        <v>0</v>
      </c>
      <c r="KL21" s="86"/>
      <c r="KN21" s="39">
        <v>0.16666666666666699</v>
      </c>
      <c r="KO21" s="38">
        <v>120</v>
      </c>
      <c r="KP21" s="38">
        <f t="shared" si="146"/>
        <v>-11.973998043852708</v>
      </c>
      <c r="KQ21" s="38">
        <f t="shared" si="147"/>
        <v>54.308590994652675</v>
      </c>
      <c r="KR21" s="38">
        <f t="shared" si="148"/>
        <v>101.9739980438527</v>
      </c>
      <c r="KS21" s="38">
        <f>+'Irradiancia Horizontal'!H73/COS(RADIANS(KR21))</f>
        <v>0</v>
      </c>
      <c r="KT21" s="38" t="e">
        <f>((('Irradiancia Horizontal'!H44+KS21)/'Irradiancia Horizontal'!H44)+1.041*((RADIANS('Cálculos iluminancia'!KR21))^3))/(1+1.041*((RADIANS('Cálculos iluminancia'!KR21))^3))</f>
        <v>#DIV/0!</v>
      </c>
      <c r="KU21" s="87" t="e">
        <f t="shared" si="149"/>
        <v>#NUM!</v>
      </c>
      <c r="KV21" s="87" t="e">
        <f t="shared" si="150"/>
        <v>#NUM!</v>
      </c>
      <c r="KW21" s="106" t="e">
        <f>'Irradiancia Horizontal'!H44*KV21/$KU$15</f>
        <v>#NUM!</v>
      </c>
      <c r="KX21" s="87">
        <f>((17.27*Temp!G14)/(237.7+Temp!G14))+LN(HR!G25/100)</f>
        <v>1.0417660841816656</v>
      </c>
      <c r="KY21" s="87">
        <f t="shared" si="260"/>
        <v>15.259072521046718</v>
      </c>
      <c r="KZ21" s="87">
        <f t="shared" si="261"/>
        <v>2.6996849377337604</v>
      </c>
      <c r="LA21" s="87" t="e">
        <f t="shared" si="151"/>
        <v>#DIV/0!</v>
      </c>
      <c r="LB21" s="87" t="e">
        <f t="shared" si="152"/>
        <v>#DIV/0!</v>
      </c>
      <c r="LC21" s="87" t="e">
        <f t="shared" si="153"/>
        <v>#DIV/0!</v>
      </c>
      <c r="LD21" s="87" t="e">
        <f t="shared" si="154"/>
        <v>#DIV/0!</v>
      </c>
      <c r="LE21" s="87" t="e">
        <f t="shared" si="155"/>
        <v>#DIV/0!</v>
      </c>
      <c r="LF21" s="103">
        <f t="shared" si="156"/>
        <v>0</v>
      </c>
      <c r="LG21" s="165">
        <f>IF(LM21&gt;(LF21*'Irradiancia Horizontal'!H12),LM21,LF21*'Irradiancia Horizontal'!H12)</f>
        <v>0</v>
      </c>
      <c r="LH21" s="87" t="e">
        <f t="shared" si="157"/>
        <v>#DIV/0!</v>
      </c>
      <c r="LI21" s="87" t="e">
        <f t="shared" si="158"/>
        <v>#DIV/0!</v>
      </c>
      <c r="LJ21" s="87" t="e">
        <f t="shared" si="159"/>
        <v>#DIV/0!</v>
      </c>
      <c r="LK21" s="87" t="e">
        <f t="shared" si="160"/>
        <v>#DIV/0!</v>
      </c>
      <c r="LL21" s="103">
        <f t="shared" si="161"/>
        <v>0</v>
      </c>
      <c r="LM21" s="87">
        <f>+LL21*'Irradiancia Horizontal'!H44</f>
        <v>0</v>
      </c>
      <c r="LN21" s="87">
        <f t="shared" si="262"/>
        <v>0</v>
      </c>
      <c r="LO21" s="87" t="e">
        <f>+LN21/'Irradiancia Horizontal'!H73</f>
        <v>#DIV/0!</v>
      </c>
      <c r="LP21" s="38">
        <f t="shared" si="162"/>
        <v>-0.57072531496281587</v>
      </c>
      <c r="LQ21" s="87">
        <f t="shared" si="263"/>
        <v>0</v>
      </c>
      <c r="LR21" s="87">
        <f t="shared" si="264"/>
        <v>8.6999999999999994E-2</v>
      </c>
      <c r="LS21" s="87" t="e">
        <f t="shared" si="265"/>
        <v>#DIV/0!</v>
      </c>
      <c r="LT21" s="87" t="e">
        <f t="shared" si="266"/>
        <v>#DIV/0!</v>
      </c>
      <c r="LU21" s="87" t="e">
        <f t="shared" si="267"/>
        <v>#DIV/0!</v>
      </c>
      <c r="LV21" s="87" t="e">
        <f t="shared" si="268"/>
        <v>#DIV/0!</v>
      </c>
      <c r="LW21" s="87" t="e">
        <f t="shared" si="269"/>
        <v>#DIV/0!</v>
      </c>
      <c r="LX21" s="87" t="e">
        <f t="shared" si="270"/>
        <v>#DIV/0!</v>
      </c>
      <c r="LY21" s="87" t="e">
        <f t="shared" si="163"/>
        <v>#DIV/0!</v>
      </c>
      <c r="LZ21" s="87" t="e">
        <f t="shared" si="164"/>
        <v>#DIV/0!</v>
      </c>
      <c r="MA21" s="88">
        <f t="shared" si="165"/>
        <v>0</v>
      </c>
      <c r="MB21" s="87" t="e">
        <f t="shared" si="166"/>
        <v>#DIV/0!</v>
      </c>
      <c r="MC21" s="87" t="e">
        <f t="shared" si="167"/>
        <v>#DIV/0!</v>
      </c>
      <c r="MD21" s="87" t="e">
        <f t="shared" si="168"/>
        <v>#DIV/0!</v>
      </c>
      <c r="ME21" s="87" t="e">
        <f t="shared" si="169"/>
        <v>#DIV/0!</v>
      </c>
      <c r="MF21" s="87" t="e">
        <f t="shared" si="170"/>
        <v>#DIV/0!</v>
      </c>
      <c r="MG21" s="87" t="e">
        <f t="shared" si="171"/>
        <v>#DIV/0!</v>
      </c>
      <c r="MH21" s="87" t="e">
        <f t="shared" si="172"/>
        <v>#DIV/0!</v>
      </c>
      <c r="MI21" s="87" t="e">
        <f t="shared" si="173"/>
        <v>#DIV/0!</v>
      </c>
      <c r="MJ21" s="106">
        <f>IF(KP21&lt;0,0,((0.5*(1-MH21)*(1+COS(RADIANS($KW$15))))+(MH21*(LQ21/LR21))+(MI21*SIN(RADIANS($KW$15))))*'Irradiancia Horizontal'!H44)</f>
        <v>0</v>
      </c>
      <c r="MK21" s="87">
        <f t="shared" si="174"/>
        <v>0</v>
      </c>
      <c r="ML21" s="87">
        <f>MK21*'Irradiancia Horizontal'!H73</f>
        <v>0</v>
      </c>
      <c r="MM21" s="87">
        <f t="shared" si="271"/>
        <v>0</v>
      </c>
      <c r="MN21" s="88">
        <f t="shared" si="175"/>
        <v>0</v>
      </c>
      <c r="MO21" s="87">
        <f t="shared" si="272"/>
        <v>0</v>
      </c>
      <c r="MP21" s="106">
        <f t="shared" si="273"/>
        <v>0</v>
      </c>
      <c r="MQ21" s="106">
        <f t="shared" si="274"/>
        <v>0</v>
      </c>
      <c r="MR21" s="106">
        <f t="shared" si="275"/>
        <v>0</v>
      </c>
    </row>
    <row r="22" spans="5:356" x14ac:dyDescent="0.25">
      <c r="E22" s="39">
        <v>0.20833333333333334</v>
      </c>
      <c r="F22" s="38">
        <v>105</v>
      </c>
      <c r="G22" s="38">
        <f t="shared" si="0"/>
        <v>-22.314889941656389</v>
      </c>
      <c r="H22" s="38">
        <f t="shared" si="1"/>
        <v>101.39522725900767</v>
      </c>
      <c r="I22" s="38">
        <f t="shared" si="2"/>
        <v>112.31488994165639</v>
      </c>
      <c r="J22" s="38">
        <f>'Irradiancia Horizontal'!C74/COS(RADIANS(I22))</f>
        <v>0</v>
      </c>
      <c r="K22" s="38" t="e">
        <f>((('Irradiancia Horizontal'!C45+J22)/'Irradiancia Horizontal'!C45)+1.041*((RADIANS('Cálculos iluminancia'!I22))^3))/(1+1.041*((RADIANS('Cálculos iluminancia'!I22))^3))</f>
        <v>#DIV/0!</v>
      </c>
      <c r="L22" s="36" t="e">
        <f t="shared" si="3"/>
        <v>#NUM!</v>
      </c>
      <c r="M22" s="36" t="e">
        <f t="shared" si="4"/>
        <v>#NUM!</v>
      </c>
      <c r="N22" s="106" t="e">
        <f>'Irradiancia Horizontal'!C45*M22/$L$15</f>
        <v>#NUM!</v>
      </c>
      <c r="O22" s="71">
        <f>((17.27*Temp!B15)/(237.7+Temp!B15))+LN(HR!B26/100)</f>
        <v>0.35016709804376117</v>
      </c>
      <c r="P22" s="71">
        <f t="shared" si="176"/>
        <v>4.9193582281405739</v>
      </c>
      <c r="Q22" s="71">
        <f t="shared" si="177"/>
        <v>1.3091198955465546</v>
      </c>
      <c r="R22" s="71" t="e">
        <f t="shared" si="5"/>
        <v>#DIV/0!</v>
      </c>
      <c r="S22" s="71" t="e">
        <f t="shared" si="6"/>
        <v>#DIV/0!</v>
      </c>
      <c r="T22" s="71" t="e">
        <f t="shared" si="7"/>
        <v>#DIV/0!</v>
      </c>
      <c r="U22" s="71" t="e">
        <f t="shared" si="8"/>
        <v>#DIV/0!</v>
      </c>
      <c r="V22" s="71" t="e">
        <f t="shared" si="9"/>
        <v>#DIV/0!</v>
      </c>
      <c r="W22" s="103">
        <f t="shared" si="10"/>
        <v>0</v>
      </c>
      <c r="X22" s="165">
        <f>IF(AD22&gt;(W22*'Irradiancia Horizontal'!C13),AD22,W22*'Irradiancia Horizontal'!C13)</f>
        <v>0</v>
      </c>
      <c r="Y22" s="71" t="e">
        <f t="shared" si="11"/>
        <v>#DIV/0!</v>
      </c>
      <c r="Z22" s="71" t="e">
        <f t="shared" si="12"/>
        <v>#DIV/0!</v>
      </c>
      <c r="AA22" s="71" t="e">
        <f t="shared" si="13"/>
        <v>#DIV/0!</v>
      </c>
      <c r="AB22" s="71" t="e">
        <f t="shared" si="14"/>
        <v>#DIV/0!</v>
      </c>
      <c r="AC22" s="103">
        <f t="shared" si="15"/>
        <v>0</v>
      </c>
      <c r="AD22" s="71">
        <f>+AC22*'Irradiancia Horizontal'!C45</f>
        <v>0</v>
      </c>
      <c r="AE22" s="71">
        <f t="shared" si="16"/>
        <v>0</v>
      </c>
      <c r="AF22" s="71" t="e">
        <f>+AE22/'Irradiancia Horizontal'!C74</f>
        <v>#DIV/0!</v>
      </c>
      <c r="AG22" s="38">
        <f t="shared" si="17"/>
        <v>0.1827794524798671</v>
      </c>
      <c r="AH22" s="84">
        <f t="shared" si="178"/>
        <v>0.1827794524798671</v>
      </c>
      <c r="AI22" s="84">
        <f t="shared" si="179"/>
        <v>8.6999999999999994E-2</v>
      </c>
      <c r="AJ22" s="84" t="e">
        <f t="shared" si="180"/>
        <v>#DIV/0!</v>
      </c>
      <c r="AK22" s="84" t="e">
        <f t="shared" si="181"/>
        <v>#DIV/0!</v>
      </c>
      <c r="AL22" s="84" t="e">
        <f t="shared" si="182"/>
        <v>#DIV/0!</v>
      </c>
      <c r="AM22" s="84" t="e">
        <f t="shared" si="183"/>
        <v>#DIV/0!</v>
      </c>
      <c r="AN22" s="84" t="e">
        <f t="shared" si="184"/>
        <v>#DIV/0!</v>
      </c>
      <c r="AO22" s="84" t="e">
        <f t="shared" si="185"/>
        <v>#DIV/0!</v>
      </c>
      <c r="AP22" s="84" t="e">
        <f t="shared" si="18"/>
        <v>#DIV/0!</v>
      </c>
      <c r="AQ22" s="84" t="e">
        <f t="shared" si="19"/>
        <v>#DIV/0!</v>
      </c>
      <c r="AR22" s="88">
        <f t="shared" si="20"/>
        <v>0</v>
      </c>
      <c r="AS22" s="84" t="e">
        <f t="shared" si="21"/>
        <v>#DIV/0!</v>
      </c>
      <c r="AT22" s="84" t="e">
        <f t="shared" si="22"/>
        <v>#DIV/0!</v>
      </c>
      <c r="AU22" s="84" t="e">
        <f t="shared" si="23"/>
        <v>#DIV/0!</v>
      </c>
      <c r="AV22" s="84" t="e">
        <f t="shared" si="24"/>
        <v>#DIV/0!</v>
      </c>
      <c r="AW22" s="84" t="e">
        <f t="shared" si="25"/>
        <v>#DIV/0!</v>
      </c>
      <c r="AX22" s="84" t="e">
        <f t="shared" si="26"/>
        <v>#DIV/0!</v>
      </c>
      <c r="AY22" s="84" t="e">
        <f t="shared" si="27"/>
        <v>#DIV/0!</v>
      </c>
      <c r="AZ22" s="84" t="e">
        <f t="shared" si="28"/>
        <v>#DIV/0!</v>
      </c>
      <c r="BA22" s="106">
        <f>IF(G22&lt;0,0,((0.5*(1-AY22)*(1+COS(RADIANS($N$15))))+(AY22*(AH22/AI22))+(AZ22*SIN(RADIANS($N$15))))*'Irradiancia Horizontal'!C45)</f>
        <v>0</v>
      </c>
      <c r="BB22" s="106">
        <f t="shared" si="186"/>
        <v>-0.48138291956090812</v>
      </c>
      <c r="BC22" s="84">
        <f>BB22*'Irradiancia Horizontal'!C74</f>
        <v>0</v>
      </c>
      <c r="BD22" s="84">
        <f t="shared" si="187"/>
        <v>0</v>
      </c>
      <c r="BE22" s="88">
        <f t="shared" si="29"/>
        <v>0</v>
      </c>
      <c r="BF22" s="84">
        <f t="shared" si="188"/>
        <v>0</v>
      </c>
      <c r="BG22" s="106">
        <f t="shared" si="189"/>
        <v>0</v>
      </c>
      <c r="BH22" s="106">
        <f t="shared" si="190"/>
        <v>0</v>
      </c>
      <c r="BI22" s="106">
        <f t="shared" si="191"/>
        <v>0</v>
      </c>
      <c r="BJ22" s="72"/>
      <c r="BL22" s="39">
        <v>0.20833333333333334</v>
      </c>
      <c r="BM22" s="38">
        <v>105</v>
      </c>
      <c r="BN22" s="38">
        <f t="shared" si="30"/>
        <v>-18.450636942948769</v>
      </c>
      <c r="BO22" s="38">
        <f t="shared" si="31"/>
        <v>92.825247091319213</v>
      </c>
      <c r="BP22" s="38">
        <f t="shared" si="32"/>
        <v>108.45063694294876</v>
      </c>
      <c r="BQ22" s="38">
        <f>+'Irradiancia Horizontal'!D74/COS(RADIANS(BP22))</f>
        <v>0</v>
      </c>
      <c r="BR22" s="38" t="e">
        <f>((('Irradiancia Horizontal'!D45+BQ22)/'Irradiancia Horizontal'!D45)+1.041*((RADIANS('Cálculos iluminancia'!BP22))^3))/(1+1.041*((RADIANS('Cálculos iluminancia'!BP22))^3))</f>
        <v>#DIV/0!</v>
      </c>
      <c r="BS22" s="84" t="e">
        <f t="shared" si="33"/>
        <v>#NUM!</v>
      </c>
      <c r="BT22" s="84" t="e">
        <f t="shared" si="192"/>
        <v>#NUM!</v>
      </c>
      <c r="BU22" s="106" t="e">
        <f>'Irradiancia Horizontal'!D45*BT22/$BS$15</f>
        <v>#NUM!</v>
      </c>
      <c r="BV22" s="84">
        <f>((17.27*Temp!C15)/(237.7+Temp!C15))+LN(HR!C26/100)</f>
        <v>0.39769354972215509</v>
      </c>
      <c r="BW22" s="84">
        <f t="shared" si="193"/>
        <v>5.6027761851966336</v>
      </c>
      <c r="BX22" s="84">
        <f t="shared" si="194"/>
        <v>1.3732694175121243</v>
      </c>
      <c r="BY22" s="84" t="e">
        <f t="shared" si="34"/>
        <v>#DIV/0!</v>
      </c>
      <c r="BZ22" s="84" t="e">
        <f t="shared" si="35"/>
        <v>#DIV/0!</v>
      </c>
      <c r="CA22" s="84" t="e">
        <f t="shared" si="36"/>
        <v>#DIV/0!</v>
      </c>
      <c r="CB22" s="84" t="e">
        <f t="shared" si="37"/>
        <v>#DIV/0!</v>
      </c>
      <c r="CC22" s="84" t="e">
        <f t="shared" si="38"/>
        <v>#DIV/0!</v>
      </c>
      <c r="CD22" s="103">
        <f t="shared" si="39"/>
        <v>0</v>
      </c>
      <c r="CE22" s="165">
        <f>IF(CK22&gt;(CD22*'Irradiancia Horizontal'!D13),CK22,CD22*'Irradiancia Horizontal'!D13)</f>
        <v>0</v>
      </c>
      <c r="CF22" s="84" t="e">
        <f t="shared" si="40"/>
        <v>#DIV/0!</v>
      </c>
      <c r="CG22" s="84" t="e">
        <f t="shared" si="41"/>
        <v>#DIV/0!</v>
      </c>
      <c r="CH22" s="84" t="e">
        <f t="shared" si="42"/>
        <v>#DIV/0!</v>
      </c>
      <c r="CI22" s="84" t="e">
        <f t="shared" si="43"/>
        <v>#DIV/0!</v>
      </c>
      <c r="CJ22" s="103">
        <f t="shared" si="44"/>
        <v>0</v>
      </c>
      <c r="CK22" s="84">
        <f>+CJ22*'Irradiancia Horizontal'!D45</f>
        <v>0</v>
      </c>
      <c r="CL22" s="84">
        <f t="shared" si="195"/>
        <v>0</v>
      </c>
      <c r="CM22" s="84" t="e">
        <f>+CL22/'Irradiancia Horizontal'!D74</f>
        <v>#DIV/0!</v>
      </c>
      <c r="CN22" s="38">
        <f t="shared" si="45"/>
        <v>4.6756219988824954E-2</v>
      </c>
      <c r="CO22" s="84">
        <f t="shared" si="196"/>
        <v>4.6756219988824954E-2</v>
      </c>
      <c r="CP22" s="84">
        <f t="shared" si="197"/>
        <v>8.6999999999999994E-2</v>
      </c>
      <c r="CQ22" s="84" t="e">
        <f t="shared" si="198"/>
        <v>#DIV/0!</v>
      </c>
      <c r="CR22" s="84" t="e">
        <f t="shared" si="199"/>
        <v>#DIV/0!</v>
      </c>
      <c r="CS22" s="84" t="e">
        <f t="shared" si="200"/>
        <v>#DIV/0!</v>
      </c>
      <c r="CT22" s="84" t="e">
        <f t="shared" si="201"/>
        <v>#DIV/0!</v>
      </c>
      <c r="CU22" s="84" t="e">
        <f t="shared" si="202"/>
        <v>#DIV/0!</v>
      </c>
      <c r="CV22" s="84" t="e">
        <f t="shared" si="203"/>
        <v>#DIV/0!</v>
      </c>
      <c r="CW22" s="84" t="e">
        <f t="shared" si="46"/>
        <v>#DIV/0!</v>
      </c>
      <c r="CX22" s="84" t="e">
        <f t="shared" si="47"/>
        <v>#DIV/0!</v>
      </c>
      <c r="CY22" s="88">
        <f t="shared" si="48"/>
        <v>0</v>
      </c>
      <c r="CZ22" s="84" t="e">
        <f t="shared" si="49"/>
        <v>#DIV/0!</v>
      </c>
      <c r="DA22" s="84" t="e">
        <f t="shared" si="50"/>
        <v>#DIV/0!</v>
      </c>
      <c r="DB22" s="84" t="e">
        <f t="shared" si="51"/>
        <v>#DIV/0!</v>
      </c>
      <c r="DC22" s="84" t="e">
        <f t="shared" si="52"/>
        <v>#DIV/0!</v>
      </c>
      <c r="DD22" s="84" t="e">
        <f t="shared" si="53"/>
        <v>#DIV/0!</v>
      </c>
      <c r="DE22" s="84" t="e">
        <f t="shared" si="54"/>
        <v>#DIV/0!</v>
      </c>
      <c r="DF22" s="84" t="e">
        <f t="shared" si="55"/>
        <v>#DIV/0!</v>
      </c>
      <c r="DG22" s="84" t="e">
        <f t="shared" si="56"/>
        <v>#DIV/0!</v>
      </c>
      <c r="DH22" s="106">
        <f>IF(BN22&lt;0,0,((0.5*(1-DF22)*(1+COS(RADIANS($BU$15))))+(DF22*(CO22/CP22))+(DG22*SIN(RADIANS($BU$15))))*'Irradiancia Horizontal'!D45)</f>
        <v>0</v>
      </c>
      <c r="DI22" s="106">
        <f t="shared" si="204"/>
        <v>-0.14773480197467093</v>
      </c>
      <c r="DJ22" s="84">
        <f>DI22*'Irradiancia Horizontal'!D74</f>
        <v>0</v>
      </c>
      <c r="DK22" s="84">
        <f t="shared" si="205"/>
        <v>0</v>
      </c>
      <c r="DL22" s="88">
        <f t="shared" si="57"/>
        <v>0</v>
      </c>
      <c r="DM22" s="84">
        <f t="shared" si="206"/>
        <v>0</v>
      </c>
      <c r="DN22" s="106">
        <f t="shared" si="207"/>
        <v>0</v>
      </c>
      <c r="DO22" s="106">
        <f t="shared" si="208"/>
        <v>0</v>
      </c>
      <c r="DP22" s="106">
        <f t="shared" si="209"/>
        <v>0</v>
      </c>
      <c r="DQ22" s="44"/>
      <c r="DS22" s="39">
        <v>0.20833333333333334</v>
      </c>
      <c r="DT22" s="38">
        <v>105</v>
      </c>
      <c r="DU22" s="38">
        <f t="shared" si="58"/>
        <v>-13.274188224930079</v>
      </c>
      <c r="DV22" s="38">
        <f t="shared" si="59"/>
        <v>82.939465792216424</v>
      </c>
      <c r="DW22" s="38">
        <f t="shared" si="60"/>
        <v>103.27418822493007</v>
      </c>
      <c r="DX22" s="38">
        <f>+'Irradiancia Horizontal'!E74/COS(RADIANS(DW22))</f>
        <v>0</v>
      </c>
      <c r="DY22" s="38" t="e">
        <f>((('Irradiancia Horizontal'!E45+DX22)/'Irradiancia Horizontal'!E45)+1.041*((RADIANS('Cálculos iluminancia'!DW22))^3))/(1+1.041*((RADIANS('Cálculos iluminancia'!DW22))^3))</f>
        <v>#DIV/0!</v>
      </c>
      <c r="DZ22" s="84" t="e">
        <f t="shared" si="61"/>
        <v>#NUM!</v>
      </c>
      <c r="EA22" s="84" t="e">
        <f t="shared" si="210"/>
        <v>#NUM!</v>
      </c>
      <c r="EB22" s="106" t="e">
        <f>'Irradiancia Horizontal'!E45*EA22/$DZ$15</f>
        <v>#NUM!</v>
      </c>
      <c r="EC22" s="84">
        <f>((17.27*Temp!D15)/(237.7+Temp!D15))+LN(HR!D26/100)</f>
        <v>0.43587223722644691</v>
      </c>
      <c r="ED22" s="84">
        <f t="shared" si="211"/>
        <v>6.1545707772183622</v>
      </c>
      <c r="EE22" s="84">
        <f t="shared" si="212"/>
        <v>1.4273505369513704</v>
      </c>
      <c r="EF22" s="84" t="e">
        <f t="shared" si="62"/>
        <v>#DIV/0!</v>
      </c>
      <c r="EG22" s="84" t="e">
        <f t="shared" si="63"/>
        <v>#DIV/0!</v>
      </c>
      <c r="EH22" s="84" t="e">
        <f t="shared" si="64"/>
        <v>#DIV/0!</v>
      </c>
      <c r="EI22" s="84" t="e">
        <f t="shared" si="65"/>
        <v>#DIV/0!</v>
      </c>
      <c r="EJ22" s="84" t="e">
        <f t="shared" si="66"/>
        <v>#DIV/0!</v>
      </c>
      <c r="EK22" s="103">
        <f t="shared" si="67"/>
        <v>0</v>
      </c>
      <c r="EL22" s="165">
        <f>IF(ER22&gt;(EK22*'Irradiancia Horizontal'!E13),ER22,EK22*'Irradiancia Horizontal'!E13)</f>
        <v>0</v>
      </c>
      <c r="EM22" s="84" t="e">
        <f t="shared" si="68"/>
        <v>#DIV/0!</v>
      </c>
      <c r="EN22" s="84" t="e">
        <f t="shared" si="69"/>
        <v>#DIV/0!</v>
      </c>
      <c r="EO22" s="84" t="e">
        <f t="shared" si="70"/>
        <v>#DIV/0!</v>
      </c>
      <c r="EP22" s="84" t="e">
        <f t="shared" si="71"/>
        <v>#DIV/0!</v>
      </c>
      <c r="EQ22" s="103">
        <f t="shared" si="72"/>
        <v>0</v>
      </c>
      <c r="ER22" s="84">
        <f>+EQ22*'Irradiancia Horizontal'!E45</f>
        <v>0</v>
      </c>
      <c r="ES22" s="84">
        <f t="shared" si="213"/>
        <v>0</v>
      </c>
      <c r="ET22" s="84" t="e">
        <f>+ES22/'Irradiancia Horizontal'!E74</f>
        <v>#DIV/0!</v>
      </c>
      <c r="EU22" s="38">
        <f t="shared" si="73"/>
        <v>-0.11963385084333295</v>
      </c>
      <c r="EV22" s="84">
        <f t="shared" si="214"/>
        <v>0</v>
      </c>
      <c r="EW22" s="84">
        <f t="shared" si="215"/>
        <v>8.6999999999999994E-2</v>
      </c>
      <c r="EX22" s="84" t="e">
        <f t="shared" si="216"/>
        <v>#DIV/0!</v>
      </c>
      <c r="EY22" s="84" t="e">
        <f t="shared" si="217"/>
        <v>#DIV/0!</v>
      </c>
      <c r="EZ22" s="84" t="e">
        <f t="shared" si="218"/>
        <v>#DIV/0!</v>
      </c>
      <c r="FA22" s="84" t="e">
        <f t="shared" si="219"/>
        <v>#DIV/0!</v>
      </c>
      <c r="FB22" s="84" t="e">
        <f t="shared" si="220"/>
        <v>#DIV/0!</v>
      </c>
      <c r="FC22" s="84" t="e">
        <f t="shared" si="221"/>
        <v>#DIV/0!</v>
      </c>
      <c r="FD22" s="84" t="e">
        <f t="shared" si="74"/>
        <v>#DIV/0!</v>
      </c>
      <c r="FE22" s="84" t="e">
        <f t="shared" si="75"/>
        <v>#DIV/0!</v>
      </c>
      <c r="FF22" s="88">
        <f t="shared" si="76"/>
        <v>0</v>
      </c>
      <c r="FG22" s="84" t="e">
        <f t="shared" si="77"/>
        <v>#DIV/0!</v>
      </c>
      <c r="FH22" s="84" t="e">
        <f t="shared" si="78"/>
        <v>#DIV/0!</v>
      </c>
      <c r="FI22" s="84" t="e">
        <f t="shared" si="79"/>
        <v>#DIV/0!</v>
      </c>
      <c r="FJ22" s="84" t="e">
        <f t="shared" si="80"/>
        <v>#DIV/0!</v>
      </c>
      <c r="FK22" s="84" t="e">
        <f t="shared" si="81"/>
        <v>#DIV/0!</v>
      </c>
      <c r="FL22" s="84" t="e">
        <f t="shared" si="82"/>
        <v>#DIV/0!</v>
      </c>
      <c r="FM22" s="84" t="e">
        <f t="shared" si="83"/>
        <v>#DIV/0!</v>
      </c>
      <c r="FN22" s="84" t="e">
        <f t="shared" si="84"/>
        <v>#DIV/0!</v>
      </c>
      <c r="FO22" s="106">
        <f>IF(DU22&lt;0,0,((0.5*(1-FM22)*(1+COS(RADIANS($EB$15))))+(FM22*(EV22/EW22))+(FN22*SIN(RADIANS($EB$15))))*'Irradiancia Horizontal'!E45)</f>
        <v>0</v>
      </c>
      <c r="FP22" s="106">
        <f t="shared" si="222"/>
        <v>0</v>
      </c>
      <c r="FQ22" s="84">
        <f>FP22*'Irradiancia Horizontal'!E74</f>
        <v>0</v>
      </c>
      <c r="FR22" s="84">
        <f t="shared" si="223"/>
        <v>0</v>
      </c>
      <c r="FS22" s="88">
        <f t="shared" si="85"/>
        <v>0</v>
      </c>
      <c r="FT22" s="84">
        <f t="shared" si="224"/>
        <v>0</v>
      </c>
      <c r="FU22" s="106">
        <f t="shared" si="225"/>
        <v>0</v>
      </c>
      <c r="FV22" s="106">
        <f t="shared" si="226"/>
        <v>0</v>
      </c>
      <c r="FW22" s="106">
        <f t="shared" si="227"/>
        <v>0</v>
      </c>
      <c r="FX22" s="83"/>
      <c r="FZ22" s="39">
        <v>0.20833333333333334</v>
      </c>
      <c r="GA22" s="38">
        <v>105</v>
      </c>
      <c r="GB22" s="38">
        <f t="shared" si="86"/>
        <v>-7.1249590451508507</v>
      </c>
      <c r="GC22" s="38">
        <f t="shared" si="87"/>
        <v>72.483816717921655</v>
      </c>
      <c r="GD22" s="38">
        <f t="shared" si="88"/>
        <v>97.124959045150845</v>
      </c>
      <c r="GE22" s="38">
        <f>+'Irradiancia Horizontal'!F74/COS(RADIANS(GD22))</f>
        <v>0</v>
      </c>
      <c r="GF22" s="38" t="e">
        <f>((('Irradiancia Horizontal'!F45+GE22)/'Irradiancia Horizontal'!F45)+1.041*((RADIANS('Cálculos iluminancia'!GD22))^3))/(1+1.041*((RADIANS('Cálculos iluminancia'!GD22))^3))</f>
        <v>#DIV/0!</v>
      </c>
      <c r="GG22" s="84" t="e">
        <f t="shared" si="89"/>
        <v>#NUM!</v>
      </c>
      <c r="GH22" s="84" t="e">
        <f t="shared" si="90"/>
        <v>#NUM!</v>
      </c>
      <c r="GI22" s="106" t="e">
        <f>'Irradiancia Horizontal'!F45*GH22/$GG$15</f>
        <v>#NUM!</v>
      </c>
      <c r="GJ22" s="84">
        <f>((17.27*Temp!E15)/(237.7+Temp!E15))+LN(HR!E26/100)</f>
        <v>0.55969571522729822</v>
      </c>
      <c r="GK22" s="84">
        <f t="shared" si="228"/>
        <v>7.9615349452829207</v>
      </c>
      <c r="GL22" s="84">
        <f t="shared" si="229"/>
        <v>1.6198077124321177</v>
      </c>
      <c r="GM22" s="84" t="e">
        <f t="shared" si="91"/>
        <v>#DIV/0!</v>
      </c>
      <c r="GN22" s="84" t="e">
        <f t="shared" si="92"/>
        <v>#DIV/0!</v>
      </c>
      <c r="GO22" s="84" t="e">
        <f t="shared" si="93"/>
        <v>#DIV/0!</v>
      </c>
      <c r="GP22" s="84" t="e">
        <f t="shared" si="94"/>
        <v>#DIV/0!</v>
      </c>
      <c r="GQ22" s="84" t="e">
        <f t="shared" si="95"/>
        <v>#DIV/0!</v>
      </c>
      <c r="GR22" s="103">
        <f t="shared" si="96"/>
        <v>0</v>
      </c>
      <c r="GS22" s="165">
        <f>IF(GY22&gt;(GR22*'Irradiancia Horizontal'!F13),GY22,GR22*'Irradiancia Horizontal'!F13)</f>
        <v>0</v>
      </c>
      <c r="GT22" s="84" t="e">
        <f t="shared" si="97"/>
        <v>#DIV/0!</v>
      </c>
      <c r="GU22" s="84" t="e">
        <f t="shared" si="98"/>
        <v>#DIV/0!</v>
      </c>
      <c r="GV22" s="84" t="e">
        <f t="shared" si="99"/>
        <v>#DIV/0!</v>
      </c>
      <c r="GW22" s="84" t="e">
        <f t="shared" si="100"/>
        <v>#DIV/0!</v>
      </c>
      <c r="GX22" s="103">
        <f t="shared" si="101"/>
        <v>0</v>
      </c>
      <c r="GY22" s="84">
        <f>+GX22*'Irradiancia Horizontal'!F45</f>
        <v>0</v>
      </c>
      <c r="GZ22" s="84">
        <f t="shared" si="230"/>
        <v>0</v>
      </c>
      <c r="HA22" s="84" t="e">
        <f>+GZ22/'Irradiancia Horizontal'!F74</f>
        <v>#DIV/0!</v>
      </c>
      <c r="HB22" s="38">
        <f t="shared" si="102"/>
        <v>-0.29865103633827</v>
      </c>
      <c r="HC22" s="84">
        <f t="shared" si="231"/>
        <v>0</v>
      </c>
      <c r="HD22" s="84">
        <f t="shared" si="232"/>
        <v>8.6999999999999994E-2</v>
      </c>
      <c r="HE22" s="84" t="e">
        <f t="shared" si="233"/>
        <v>#DIV/0!</v>
      </c>
      <c r="HF22" s="84" t="e">
        <f t="shared" si="234"/>
        <v>#DIV/0!</v>
      </c>
      <c r="HG22" s="84" t="e">
        <f t="shared" si="235"/>
        <v>#DIV/0!</v>
      </c>
      <c r="HH22" s="84" t="e">
        <f t="shared" si="236"/>
        <v>#DIV/0!</v>
      </c>
      <c r="HI22" s="84" t="e">
        <f t="shared" si="237"/>
        <v>#DIV/0!</v>
      </c>
      <c r="HJ22" s="84" t="e">
        <f t="shared" si="238"/>
        <v>#DIV/0!</v>
      </c>
      <c r="HK22" s="84" t="e">
        <f t="shared" si="103"/>
        <v>#DIV/0!</v>
      </c>
      <c r="HL22" s="84" t="e">
        <f t="shared" si="104"/>
        <v>#DIV/0!</v>
      </c>
      <c r="HM22" s="88">
        <f t="shared" si="105"/>
        <v>0</v>
      </c>
      <c r="HN22" s="84" t="e">
        <f t="shared" si="106"/>
        <v>#DIV/0!</v>
      </c>
      <c r="HO22" s="84" t="e">
        <f t="shared" si="107"/>
        <v>#DIV/0!</v>
      </c>
      <c r="HP22" s="84" t="e">
        <f t="shared" si="108"/>
        <v>#DIV/0!</v>
      </c>
      <c r="HQ22" s="84" t="e">
        <f t="shared" si="109"/>
        <v>#DIV/0!</v>
      </c>
      <c r="HR22" s="84" t="e">
        <f t="shared" si="110"/>
        <v>#DIV/0!</v>
      </c>
      <c r="HS22" s="84" t="e">
        <f t="shared" si="111"/>
        <v>#DIV/0!</v>
      </c>
      <c r="HT22" s="84" t="e">
        <f t="shared" si="112"/>
        <v>#DIV/0!</v>
      </c>
      <c r="HU22" s="84" t="e">
        <f t="shared" si="113"/>
        <v>#DIV/0!</v>
      </c>
      <c r="HV22" s="106">
        <f>IF(GB22&lt;0,0,((0.5*(1-HT22)*(1+COS(RADIANS($GI$15))))+(HT22*(HC22/HD22))+(HU22*SIN(RADIANS($GI$15))))*'Irradiancia Horizontal'!F45)</f>
        <v>0</v>
      </c>
      <c r="HW22" s="84">
        <f t="shared" si="114"/>
        <v>0</v>
      </c>
      <c r="HX22" s="84">
        <f>HW22*'Irradiancia Horizontal'!F74</f>
        <v>0</v>
      </c>
      <c r="HY22" s="84">
        <f t="shared" si="239"/>
        <v>0</v>
      </c>
      <c r="HZ22" s="88">
        <f t="shared" si="115"/>
        <v>0</v>
      </c>
      <c r="IA22" s="84">
        <f t="shared" si="240"/>
        <v>0</v>
      </c>
      <c r="IB22" s="106">
        <f t="shared" si="241"/>
        <v>0</v>
      </c>
      <c r="IC22" s="106">
        <f t="shared" si="242"/>
        <v>0</v>
      </c>
      <c r="ID22" s="106">
        <f t="shared" si="243"/>
        <v>0</v>
      </c>
      <c r="IE22" s="83"/>
      <c r="IG22" s="39">
        <v>0.20833333333333334</v>
      </c>
      <c r="IH22" s="38">
        <v>105</v>
      </c>
      <c r="II22" s="38">
        <f t="shared" si="116"/>
        <v>-2.5810689008028098</v>
      </c>
      <c r="IJ22" s="38">
        <f t="shared" si="117"/>
        <v>65.202516993585633</v>
      </c>
      <c r="IK22" s="38">
        <f t="shared" si="118"/>
        <v>92.581068900802805</v>
      </c>
      <c r="IL22" s="38">
        <f>+'Irradiancia Horizontal'!G74/COS(RADIANS(IK22))</f>
        <v>0</v>
      </c>
      <c r="IM22" s="38" t="e">
        <f>((('Irradiancia Horizontal'!G45+IL22)/'Irradiancia Horizontal'!G45)+1.041*((RADIANS('Cálculos iluminancia'!IK22))^3))/(1+1.041*((RADIANS('Cálculos iluminancia'!IK22))^3))</f>
        <v>#DIV/0!</v>
      </c>
      <c r="IN22" s="87">
        <f t="shared" si="119"/>
        <v>49.742376245906911</v>
      </c>
      <c r="IO22" s="87">
        <f t="shared" si="120"/>
        <v>48.515086458483395</v>
      </c>
      <c r="IP22" s="106">
        <f>'Irradiancia Horizontal'!G45*IO22/$IN$15</f>
        <v>0</v>
      </c>
      <c r="IQ22" s="87">
        <f>((17.27*Temp!F15)/(237.7+Temp!F15))+LN(HR!F26/100)</f>
        <v>0.72549075303178556</v>
      </c>
      <c r="IR22" s="87">
        <f t="shared" si="244"/>
        <v>10.42334646627592</v>
      </c>
      <c r="IS22" s="87">
        <f t="shared" si="245"/>
        <v>1.9244385303302387</v>
      </c>
      <c r="IT22" s="87" t="e">
        <f t="shared" si="121"/>
        <v>#DIV/0!</v>
      </c>
      <c r="IU22" s="87" t="e">
        <f t="shared" si="122"/>
        <v>#DIV/0!</v>
      </c>
      <c r="IV22" s="87" t="e">
        <f t="shared" si="123"/>
        <v>#DIV/0!</v>
      </c>
      <c r="IW22" s="87" t="e">
        <f t="shared" si="124"/>
        <v>#DIV/0!</v>
      </c>
      <c r="IX22" s="87" t="e">
        <f t="shared" si="125"/>
        <v>#DIV/0!</v>
      </c>
      <c r="IY22" s="103">
        <f t="shared" si="126"/>
        <v>0</v>
      </c>
      <c r="IZ22" s="165">
        <f>IF(JF22&gt;(IY22*'Irradiancia Horizontal'!G13),JF22,IY22*'Irradiancia Horizontal'!G13)</f>
        <v>0</v>
      </c>
      <c r="JA22" s="87" t="e">
        <f t="shared" si="127"/>
        <v>#DIV/0!</v>
      </c>
      <c r="JB22" s="87" t="e">
        <f t="shared" si="128"/>
        <v>#DIV/0!</v>
      </c>
      <c r="JC22" s="87" t="e">
        <f t="shared" si="129"/>
        <v>#DIV/0!</v>
      </c>
      <c r="JD22" s="87" t="e">
        <f t="shared" si="130"/>
        <v>#DIV/0!</v>
      </c>
      <c r="JE22" s="103">
        <f t="shared" si="131"/>
        <v>0</v>
      </c>
      <c r="JF22" s="87">
        <f>+JE22*'Irradiancia Horizontal'!G45</f>
        <v>0</v>
      </c>
      <c r="JG22" s="87">
        <f t="shared" si="246"/>
        <v>0</v>
      </c>
      <c r="JH22" s="87" t="e">
        <f>+JG22/'Irradiancia Horizontal'!G74</f>
        <v>#DIV/0!</v>
      </c>
      <c r="JI22" s="38">
        <f t="shared" si="132"/>
        <v>-0.41898671138437577</v>
      </c>
      <c r="JJ22" s="87">
        <f t="shared" si="247"/>
        <v>0</v>
      </c>
      <c r="JK22" s="87">
        <f t="shared" si="248"/>
        <v>8.6999999999999994E-2</v>
      </c>
      <c r="JL22" s="87" t="e">
        <f t="shared" si="249"/>
        <v>#DIV/0!</v>
      </c>
      <c r="JM22" s="87" t="e">
        <f t="shared" si="250"/>
        <v>#DIV/0!</v>
      </c>
      <c r="JN22" s="87" t="e">
        <f t="shared" si="251"/>
        <v>#DIV/0!</v>
      </c>
      <c r="JO22" s="87" t="e">
        <f t="shared" si="252"/>
        <v>#DIV/0!</v>
      </c>
      <c r="JP22" s="87" t="e">
        <f t="shared" si="253"/>
        <v>#DIV/0!</v>
      </c>
      <c r="JQ22" s="87" t="e">
        <f t="shared" si="254"/>
        <v>#DIV/0!</v>
      </c>
      <c r="JR22" s="87" t="e">
        <f t="shared" si="133"/>
        <v>#DIV/0!</v>
      </c>
      <c r="JS22" s="87" t="e">
        <f t="shared" si="134"/>
        <v>#DIV/0!</v>
      </c>
      <c r="JT22" s="88">
        <f t="shared" si="135"/>
        <v>0</v>
      </c>
      <c r="JU22" s="87" t="e">
        <f t="shared" si="136"/>
        <v>#DIV/0!</v>
      </c>
      <c r="JV22" s="87" t="e">
        <f t="shared" si="137"/>
        <v>#DIV/0!</v>
      </c>
      <c r="JW22" s="87" t="e">
        <f t="shared" si="138"/>
        <v>#DIV/0!</v>
      </c>
      <c r="JX22" s="87" t="e">
        <f t="shared" si="139"/>
        <v>#DIV/0!</v>
      </c>
      <c r="JY22" s="87" t="e">
        <f t="shared" si="140"/>
        <v>#DIV/0!</v>
      </c>
      <c r="JZ22" s="87" t="e">
        <f t="shared" si="141"/>
        <v>#DIV/0!</v>
      </c>
      <c r="KA22" s="87" t="e">
        <f t="shared" si="142"/>
        <v>#DIV/0!</v>
      </c>
      <c r="KB22" s="87" t="e">
        <f t="shared" si="143"/>
        <v>#DIV/0!</v>
      </c>
      <c r="KC22" s="106">
        <f>IF(II22&lt;0,0,((0.5*(1-KA22)*(1+COS(RADIANS($IP$15))))+(KA22*(JJ22/JK22))+(KB22*SIN(RADIANS($IP$15))))*'Irradiancia Horizontal'!G45)</f>
        <v>0</v>
      </c>
      <c r="KD22" s="87">
        <f t="shared" si="144"/>
        <v>0</v>
      </c>
      <c r="KE22" s="87">
        <f>KD22*'Irradiancia Horizontal'!G74</f>
        <v>0</v>
      </c>
      <c r="KF22" s="87">
        <f t="shared" si="255"/>
        <v>0</v>
      </c>
      <c r="KG22" s="88">
        <f t="shared" si="145"/>
        <v>0</v>
      </c>
      <c r="KH22" s="87">
        <f t="shared" si="256"/>
        <v>0</v>
      </c>
      <c r="KI22" s="106">
        <f t="shared" si="257"/>
        <v>0</v>
      </c>
      <c r="KJ22" s="106">
        <f t="shared" si="258"/>
        <v>0</v>
      </c>
      <c r="KK22" s="106">
        <f t="shared" si="259"/>
        <v>0</v>
      </c>
      <c r="KL22" s="86"/>
      <c r="KN22" s="39">
        <v>0.20833333333333334</v>
      </c>
      <c r="KO22" s="38">
        <v>105</v>
      </c>
      <c r="KP22" s="38">
        <f t="shared" si="146"/>
        <v>-0.80777986614324515</v>
      </c>
      <c r="KQ22" s="38">
        <f t="shared" si="147"/>
        <v>62.404173266606605</v>
      </c>
      <c r="KR22" s="38">
        <f t="shared" si="148"/>
        <v>90.80777986614325</v>
      </c>
      <c r="KS22" s="38">
        <f>+'Irradiancia Horizontal'!H74/COS(RADIANS(KR22))</f>
        <v>0</v>
      </c>
      <c r="KT22" s="38" t="e">
        <f>((('Irradiancia Horizontal'!H45+KS22)/'Irradiancia Horizontal'!H45)+1.041*((RADIANS('Cálculos iluminancia'!KR22))^3))/(1+1.041*((RADIANS('Cálculos iluminancia'!KR22))^3))</f>
        <v>#DIV/0!</v>
      </c>
      <c r="KU22" s="87">
        <f t="shared" si="149"/>
        <v>52.077274251785425</v>
      </c>
      <c r="KV22" s="87">
        <f t="shared" si="150"/>
        <v>50.79237570712997</v>
      </c>
      <c r="KW22" s="106">
        <f>'Irradiancia Horizontal'!H45*KV22/$KU$15</f>
        <v>0</v>
      </c>
      <c r="KX22" s="87">
        <f>((17.27*Temp!G15)/(237.7+Temp!G15))+LN(HR!G26/100)</f>
        <v>1.033644351589817</v>
      </c>
      <c r="KY22" s="87">
        <f t="shared" si="260"/>
        <v>15.132537602239422</v>
      </c>
      <c r="KZ22" s="87">
        <f t="shared" si="261"/>
        <v>2.6758782177189047</v>
      </c>
      <c r="LA22" s="87" t="e">
        <f t="shared" si="151"/>
        <v>#DIV/0!</v>
      </c>
      <c r="LB22" s="87" t="e">
        <f t="shared" si="152"/>
        <v>#DIV/0!</v>
      </c>
      <c r="LC22" s="87" t="e">
        <f t="shared" si="153"/>
        <v>#DIV/0!</v>
      </c>
      <c r="LD22" s="87" t="e">
        <f t="shared" si="154"/>
        <v>#DIV/0!</v>
      </c>
      <c r="LE22" s="87" t="e">
        <f t="shared" si="155"/>
        <v>#DIV/0!</v>
      </c>
      <c r="LF22" s="103">
        <f t="shared" si="156"/>
        <v>0</v>
      </c>
      <c r="LG22" s="87">
        <f>IF(LM22&gt;(LF22*'Irradiancia Horizontal'!H13),LM22,LF22*'Irradiancia Horizontal'!H13)</f>
        <v>0</v>
      </c>
      <c r="LH22" s="87" t="e">
        <f t="shared" si="157"/>
        <v>#DIV/0!</v>
      </c>
      <c r="LI22" s="87" t="e">
        <f t="shared" si="158"/>
        <v>#DIV/0!</v>
      </c>
      <c r="LJ22" s="87" t="e">
        <f t="shared" si="159"/>
        <v>#DIV/0!</v>
      </c>
      <c r="LK22" s="87" t="e">
        <f t="shared" si="160"/>
        <v>#DIV/0!</v>
      </c>
      <c r="LL22" s="103">
        <f t="shared" si="161"/>
        <v>0</v>
      </c>
      <c r="LM22" s="87">
        <f>+LL22*'Irradiancia Horizontal'!H45</f>
        <v>0</v>
      </c>
      <c r="LN22" s="87">
        <f t="shared" si="262"/>
        <v>0</v>
      </c>
      <c r="LO22" s="87" t="e">
        <f>+LN22/'Irradiancia Horizontal'!H74</f>
        <v>#DIV/0!</v>
      </c>
      <c r="LP22" s="38">
        <f t="shared" si="162"/>
        <v>-0.46318544883282764</v>
      </c>
      <c r="LQ22" s="87">
        <f t="shared" si="263"/>
        <v>0</v>
      </c>
      <c r="LR22" s="87">
        <f t="shared" si="264"/>
        <v>8.6999999999999994E-2</v>
      </c>
      <c r="LS22" s="87" t="e">
        <f t="shared" si="265"/>
        <v>#DIV/0!</v>
      </c>
      <c r="LT22" s="87" t="e">
        <f t="shared" si="266"/>
        <v>#DIV/0!</v>
      </c>
      <c r="LU22" s="87" t="e">
        <f t="shared" si="267"/>
        <v>#DIV/0!</v>
      </c>
      <c r="LV22" s="87" t="e">
        <f t="shared" si="268"/>
        <v>#DIV/0!</v>
      </c>
      <c r="LW22" s="87" t="e">
        <f t="shared" si="269"/>
        <v>#DIV/0!</v>
      </c>
      <c r="LX22" s="87" t="e">
        <f t="shared" si="270"/>
        <v>#DIV/0!</v>
      </c>
      <c r="LY22" s="87" t="e">
        <f t="shared" si="163"/>
        <v>#DIV/0!</v>
      </c>
      <c r="LZ22" s="87" t="e">
        <f t="shared" si="164"/>
        <v>#DIV/0!</v>
      </c>
      <c r="MA22" s="88">
        <f t="shared" si="165"/>
        <v>0</v>
      </c>
      <c r="MB22" s="87" t="e">
        <f t="shared" si="166"/>
        <v>#DIV/0!</v>
      </c>
      <c r="MC22" s="87" t="e">
        <f t="shared" si="167"/>
        <v>#DIV/0!</v>
      </c>
      <c r="MD22" s="87" t="e">
        <f t="shared" si="168"/>
        <v>#DIV/0!</v>
      </c>
      <c r="ME22" s="87" t="e">
        <f t="shared" si="169"/>
        <v>#DIV/0!</v>
      </c>
      <c r="MF22" s="87" t="e">
        <f t="shared" si="170"/>
        <v>#DIV/0!</v>
      </c>
      <c r="MG22" s="87" t="e">
        <f t="shared" si="171"/>
        <v>#DIV/0!</v>
      </c>
      <c r="MH22" s="87" t="e">
        <f t="shared" si="172"/>
        <v>#DIV/0!</v>
      </c>
      <c r="MI22" s="87" t="e">
        <f t="shared" si="173"/>
        <v>#DIV/0!</v>
      </c>
      <c r="MJ22" s="106">
        <f>IF(KP22&lt;0,0,((0.5*(1-MH22)*(1+COS(RADIANS($KW$15))))+(MH22*(LQ22/LR22))+(MI22*SIN(RADIANS($KW$15))))*'Irradiancia Horizontal'!H45)</f>
        <v>0</v>
      </c>
      <c r="MK22" s="87">
        <f t="shared" si="174"/>
        <v>0</v>
      </c>
      <c r="ML22" s="87">
        <f>MK22*'Irradiancia Horizontal'!H74</f>
        <v>0</v>
      </c>
      <c r="MM22" s="87">
        <f t="shared" si="271"/>
        <v>0</v>
      </c>
      <c r="MN22" s="88">
        <f t="shared" si="175"/>
        <v>0</v>
      </c>
      <c r="MO22" s="87">
        <f t="shared" si="272"/>
        <v>0</v>
      </c>
      <c r="MP22" s="106">
        <f t="shared" si="273"/>
        <v>0</v>
      </c>
      <c r="MQ22" s="106">
        <f t="shared" si="274"/>
        <v>0</v>
      </c>
      <c r="MR22" s="106">
        <f t="shared" si="275"/>
        <v>0</v>
      </c>
    </row>
    <row r="23" spans="5:356" x14ac:dyDescent="0.25">
      <c r="E23" s="39">
        <v>0.25</v>
      </c>
      <c r="F23" s="38">
        <v>90</v>
      </c>
      <c r="G23" s="38">
        <f t="shared" si="0"/>
        <v>-9.6327224739751234</v>
      </c>
      <c r="H23" s="38">
        <f t="shared" si="1"/>
        <v>107.76935516675623</v>
      </c>
      <c r="I23" s="38">
        <f t="shared" si="2"/>
        <v>99.632722473975122</v>
      </c>
      <c r="J23" s="38">
        <f>'Irradiancia Horizontal'!C75/COS(RADIANS(I23))</f>
        <v>0</v>
      </c>
      <c r="K23" s="38" t="e">
        <f>((('Irradiancia Horizontal'!C46+J23)/'Irradiancia Horizontal'!C46)+1.041*((RADIANS('Cálculos iluminancia'!I23))^3))/(1+1.041*((RADIANS('Cálculos iluminancia'!I23))^3))</f>
        <v>#DIV/0!</v>
      </c>
      <c r="L23" s="36" t="e">
        <f t="shared" si="3"/>
        <v>#NUM!</v>
      </c>
      <c r="M23" s="36" t="e">
        <f t="shared" si="4"/>
        <v>#NUM!</v>
      </c>
      <c r="N23" s="106" t="e">
        <f>'Irradiancia Horizontal'!C46*M23/$L$15</f>
        <v>#NUM!</v>
      </c>
      <c r="O23" s="71">
        <f>((17.27*Temp!B16)/(237.7+Temp!B16))+LN(HR!B27/100)</f>
        <v>0.34195777208562755</v>
      </c>
      <c r="P23" s="71">
        <f t="shared" si="176"/>
        <v>4.801698940159616</v>
      </c>
      <c r="Q23" s="71">
        <f t="shared" si="177"/>
        <v>1.2983820673928963</v>
      </c>
      <c r="R23" s="71" t="e">
        <f t="shared" si="5"/>
        <v>#DIV/0!</v>
      </c>
      <c r="S23" s="71" t="e">
        <f t="shared" si="6"/>
        <v>#DIV/0!</v>
      </c>
      <c r="T23" s="71" t="e">
        <f t="shared" si="7"/>
        <v>#DIV/0!</v>
      </c>
      <c r="U23" s="71" t="e">
        <f t="shared" si="8"/>
        <v>#DIV/0!</v>
      </c>
      <c r="V23" s="71" t="e">
        <f t="shared" si="9"/>
        <v>#DIV/0!</v>
      </c>
      <c r="W23" s="103">
        <f t="shared" si="10"/>
        <v>0</v>
      </c>
      <c r="X23" s="165">
        <f>IF(AD23&gt;(W23*'Irradiancia Horizontal'!C14),AD23,W23*'Irradiancia Horizontal'!C14)</f>
        <v>0</v>
      </c>
      <c r="Y23" s="71" t="e">
        <f t="shared" si="11"/>
        <v>#DIV/0!</v>
      </c>
      <c r="Z23" s="71" t="e">
        <f t="shared" si="12"/>
        <v>#DIV/0!</v>
      </c>
      <c r="AA23" s="71" t="e">
        <f t="shared" si="13"/>
        <v>#DIV/0!</v>
      </c>
      <c r="AB23" s="71" t="e">
        <f t="shared" si="14"/>
        <v>#DIV/0!</v>
      </c>
      <c r="AC23" s="103">
        <f t="shared" si="15"/>
        <v>0</v>
      </c>
      <c r="AD23" s="71">
        <f>+AC23*'Irradiancia Horizontal'!C46</f>
        <v>0</v>
      </c>
      <c r="AE23" s="71">
        <f t="shared" si="16"/>
        <v>0</v>
      </c>
      <c r="AF23" s="71" t="e">
        <f>+AE23/'Irradiancia Horizontal'!C75</f>
        <v>#DIV/0!</v>
      </c>
      <c r="AG23" s="38">
        <f t="shared" si="17"/>
        <v>0.30088308193212143</v>
      </c>
      <c r="AH23" s="84">
        <f t="shared" si="178"/>
        <v>0.30088308193212143</v>
      </c>
      <c r="AI23" s="84">
        <f t="shared" si="179"/>
        <v>8.6999999999999994E-2</v>
      </c>
      <c r="AJ23" s="84" t="e">
        <f t="shared" si="180"/>
        <v>#DIV/0!</v>
      </c>
      <c r="AK23" s="84" t="e">
        <f t="shared" si="181"/>
        <v>#DIV/0!</v>
      </c>
      <c r="AL23" s="84" t="e">
        <f t="shared" si="182"/>
        <v>#DIV/0!</v>
      </c>
      <c r="AM23" s="84" t="e">
        <f t="shared" si="183"/>
        <v>#DIV/0!</v>
      </c>
      <c r="AN23" s="84" t="e">
        <f t="shared" si="184"/>
        <v>#DIV/0!</v>
      </c>
      <c r="AO23" s="84" t="e">
        <f t="shared" si="185"/>
        <v>#DIV/0!</v>
      </c>
      <c r="AP23" s="84" t="e">
        <f t="shared" si="18"/>
        <v>#DIV/0!</v>
      </c>
      <c r="AQ23" s="84" t="e">
        <f t="shared" si="19"/>
        <v>#DIV/0!</v>
      </c>
      <c r="AR23" s="88">
        <f t="shared" si="20"/>
        <v>0</v>
      </c>
      <c r="AS23" s="84" t="e">
        <f t="shared" si="21"/>
        <v>#DIV/0!</v>
      </c>
      <c r="AT23" s="84" t="e">
        <f t="shared" si="22"/>
        <v>#DIV/0!</v>
      </c>
      <c r="AU23" s="84" t="e">
        <f t="shared" si="23"/>
        <v>#DIV/0!</v>
      </c>
      <c r="AV23" s="84" t="e">
        <f t="shared" si="24"/>
        <v>#DIV/0!</v>
      </c>
      <c r="AW23" s="84" t="e">
        <f t="shared" si="25"/>
        <v>#DIV/0!</v>
      </c>
      <c r="AX23" s="84" t="e">
        <f t="shared" si="26"/>
        <v>#DIV/0!</v>
      </c>
      <c r="AY23" s="84" t="e">
        <f t="shared" si="27"/>
        <v>#DIV/0!</v>
      </c>
      <c r="AZ23" s="84" t="e">
        <f t="shared" si="28"/>
        <v>#DIV/0!</v>
      </c>
      <c r="BA23" s="106">
        <f>IF(G23&lt;0,0,((0.5*(1-AY23)*(1+COS(RADIANS($N$15))))+(AY23*(AH23/AI23))+(AZ23*SIN(RADIANS($N$15))))*'Irradiancia Horizontal'!C46)</f>
        <v>0</v>
      </c>
      <c r="BB23" s="106">
        <f t="shared" si="186"/>
        <v>-1.7981221516401102</v>
      </c>
      <c r="BC23" s="84">
        <f>BB23*'Irradiancia Horizontal'!C75</f>
        <v>0</v>
      </c>
      <c r="BD23" s="84">
        <f t="shared" si="187"/>
        <v>0</v>
      </c>
      <c r="BE23" s="88">
        <f t="shared" si="29"/>
        <v>0</v>
      </c>
      <c r="BF23" s="84">
        <f t="shared" si="188"/>
        <v>0</v>
      </c>
      <c r="BG23" s="106">
        <f t="shared" si="189"/>
        <v>0</v>
      </c>
      <c r="BH23" s="106">
        <f t="shared" si="190"/>
        <v>0</v>
      </c>
      <c r="BI23" s="106">
        <f t="shared" si="191"/>
        <v>0</v>
      </c>
      <c r="BJ23" s="72"/>
      <c r="BL23" s="39">
        <v>0.25</v>
      </c>
      <c r="BM23" s="38">
        <v>90</v>
      </c>
      <c r="BN23" s="38">
        <f t="shared" si="30"/>
        <v>-5.4296042813721792</v>
      </c>
      <c r="BO23" s="38">
        <f t="shared" si="31"/>
        <v>99.840733192760467</v>
      </c>
      <c r="BP23" s="38">
        <f t="shared" si="32"/>
        <v>95.429604281372178</v>
      </c>
      <c r="BQ23" s="38">
        <f>+'Irradiancia Horizontal'!D75/COS(RADIANS(BP23))</f>
        <v>0</v>
      </c>
      <c r="BR23" s="38" t="e">
        <f>((('Irradiancia Horizontal'!D46+BQ23)/'Irradiancia Horizontal'!D46)+1.041*((RADIANS('Cálculos iluminancia'!BP23))^3))/(1+1.041*((RADIANS('Cálculos iluminancia'!BP23))^3))</f>
        <v>#DIV/0!</v>
      </c>
      <c r="BS23" s="84">
        <f t="shared" si="33"/>
        <v>1.0776808387634025</v>
      </c>
      <c r="BT23" s="84">
        <f t="shared" si="192"/>
        <v>1.0510913030930962</v>
      </c>
      <c r="BU23" s="106">
        <f>'Irradiancia Horizontal'!D46*BT23/$BS$15</f>
        <v>0</v>
      </c>
      <c r="BV23" s="84">
        <f>((17.27*Temp!C16)/(237.7+Temp!C16))+LN(HR!C27/100)</f>
        <v>0.38918907210602616</v>
      </c>
      <c r="BW23" s="84">
        <f t="shared" si="193"/>
        <v>5.480201326509607</v>
      </c>
      <c r="BX23" s="84">
        <f t="shared" si="194"/>
        <v>1.3615368423126888</v>
      </c>
      <c r="BY23" s="84" t="e">
        <f t="shared" si="34"/>
        <v>#DIV/0!</v>
      </c>
      <c r="BZ23" s="84" t="e">
        <f t="shared" si="35"/>
        <v>#DIV/0!</v>
      </c>
      <c r="CA23" s="84" t="e">
        <f t="shared" si="36"/>
        <v>#DIV/0!</v>
      </c>
      <c r="CB23" s="84" t="e">
        <f t="shared" si="37"/>
        <v>#DIV/0!</v>
      </c>
      <c r="CC23" s="84" t="e">
        <f t="shared" si="38"/>
        <v>#DIV/0!</v>
      </c>
      <c r="CD23" s="103">
        <f t="shared" si="39"/>
        <v>0</v>
      </c>
      <c r="CE23" s="165">
        <f>IF(CK23&gt;(CD23*'Irradiancia Horizontal'!D14),CK23,CD23*'Irradiancia Horizontal'!D14)</f>
        <v>0</v>
      </c>
      <c r="CF23" s="84" t="e">
        <f t="shared" si="40"/>
        <v>#DIV/0!</v>
      </c>
      <c r="CG23" s="84" t="e">
        <f t="shared" si="41"/>
        <v>#DIV/0!</v>
      </c>
      <c r="CH23" s="84" t="e">
        <f t="shared" si="42"/>
        <v>#DIV/0!</v>
      </c>
      <c r="CI23" s="84" t="e">
        <f t="shared" si="43"/>
        <v>#DIV/0!</v>
      </c>
      <c r="CJ23" s="103">
        <f t="shared" si="44"/>
        <v>0</v>
      </c>
      <c r="CK23" s="84">
        <f>+CJ23*'Irradiancia Horizontal'!D46</f>
        <v>0</v>
      </c>
      <c r="CL23" s="84">
        <f t="shared" si="195"/>
        <v>0</v>
      </c>
      <c r="CM23" s="84" t="e">
        <f>+CL23/'Irradiancia Horizontal'!D75</f>
        <v>#DIV/0!</v>
      </c>
      <c r="CN23" s="38">
        <f t="shared" si="45"/>
        <v>0.17014317259069431</v>
      </c>
      <c r="CO23" s="84">
        <f t="shared" si="196"/>
        <v>0.17014317259069431</v>
      </c>
      <c r="CP23" s="84">
        <f t="shared" si="197"/>
        <v>8.6999999999999994E-2</v>
      </c>
      <c r="CQ23" s="84" t="e">
        <f t="shared" si="198"/>
        <v>#DIV/0!</v>
      </c>
      <c r="CR23" s="84" t="e">
        <f t="shared" si="199"/>
        <v>#DIV/0!</v>
      </c>
      <c r="CS23" s="84" t="e">
        <f t="shared" si="200"/>
        <v>#DIV/0!</v>
      </c>
      <c r="CT23" s="84" t="e">
        <f t="shared" si="201"/>
        <v>#DIV/0!</v>
      </c>
      <c r="CU23" s="84" t="e">
        <f t="shared" si="202"/>
        <v>#DIV/0!</v>
      </c>
      <c r="CV23" s="84" t="e">
        <f t="shared" si="203"/>
        <v>#DIV/0!</v>
      </c>
      <c r="CW23" s="84" t="e">
        <f t="shared" si="46"/>
        <v>#DIV/0!</v>
      </c>
      <c r="CX23" s="84" t="e">
        <f t="shared" si="47"/>
        <v>#DIV/0!</v>
      </c>
      <c r="CY23" s="88">
        <f t="shared" si="48"/>
        <v>0</v>
      </c>
      <c r="CZ23" s="84" t="e">
        <f t="shared" si="49"/>
        <v>#DIV/0!</v>
      </c>
      <c r="DA23" s="84" t="e">
        <f t="shared" si="50"/>
        <v>#DIV/0!</v>
      </c>
      <c r="DB23" s="84" t="e">
        <f t="shared" si="51"/>
        <v>#DIV/0!</v>
      </c>
      <c r="DC23" s="84" t="e">
        <f t="shared" si="52"/>
        <v>#DIV/0!</v>
      </c>
      <c r="DD23" s="84" t="e">
        <f t="shared" si="53"/>
        <v>#DIV/0!</v>
      </c>
      <c r="DE23" s="84" t="e">
        <f t="shared" si="54"/>
        <v>#DIV/0!</v>
      </c>
      <c r="DF23" s="84" t="e">
        <f t="shared" si="55"/>
        <v>#DIV/0!</v>
      </c>
      <c r="DG23" s="84" t="e">
        <f t="shared" si="56"/>
        <v>#DIV/0!</v>
      </c>
      <c r="DH23" s="106">
        <f>IF(BN23&lt;0,0,((0.5*(1-DF23)*(1+COS(RADIANS($BU$15))))+(DF23*(CO23/CP23))+(DG23*SIN(RADIANS($BU$15))))*'Irradiancia Horizontal'!D46)</f>
        <v>0</v>
      </c>
      <c r="DI23" s="106">
        <f t="shared" si="204"/>
        <v>-1.7981221516401122</v>
      </c>
      <c r="DJ23" s="84">
        <f>DI23*'Irradiancia Horizontal'!D75</f>
        <v>0</v>
      </c>
      <c r="DK23" s="84">
        <f t="shared" si="205"/>
        <v>0</v>
      </c>
      <c r="DL23" s="88">
        <f t="shared" si="57"/>
        <v>0</v>
      </c>
      <c r="DM23" s="84">
        <f t="shared" si="206"/>
        <v>0</v>
      </c>
      <c r="DN23" s="106">
        <f t="shared" si="207"/>
        <v>0</v>
      </c>
      <c r="DO23" s="106">
        <f t="shared" si="208"/>
        <v>0</v>
      </c>
      <c r="DP23" s="106">
        <f t="shared" si="209"/>
        <v>0</v>
      </c>
      <c r="DQ23" s="44"/>
      <c r="DS23" s="39">
        <v>0.25</v>
      </c>
      <c r="DT23" s="38">
        <v>90</v>
      </c>
      <c r="DU23" s="38">
        <f t="shared" si="58"/>
        <v>-0.19618646613255544</v>
      </c>
      <c r="DV23" s="38">
        <f t="shared" si="59"/>
        <v>90.35277083812899</v>
      </c>
      <c r="DW23" s="38">
        <f t="shared" si="60"/>
        <v>90.196186466132559</v>
      </c>
      <c r="DX23" s="38">
        <f>+'Irradiancia Horizontal'!E75/COS(RADIANS(DW23))</f>
        <v>0</v>
      </c>
      <c r="DY23" s="38" t="e">
        <f>((('Irradiancia Horizontal'!E46+DX23)/'Irradiancia Horizontal'!E46)+1.041*((RADIANS('Cálculos iluminancia'!DW23))^3))/(1+1.041*((RADIANS('Cálculos iluminancia'!DW23))^3))</f>
        <v>#DIV/0!</v>
      </c>
      <c r="DZ23" s="84">
        <f t="shared" si="61"/>
        <v>40.980881356266345</v>
      </c>
      <c r="EA23" s="84">
        <f t="shared" si="210"/>
        <v>39.969763252066421</v>
      </c>
      <c r="EB23" s="106">
        <f>'Irradiancia Horizontal'!E46*EA23/$DZ$15</f>
        <v>0</v>
      </c>
      <c r="EC23" s="84">
        <f>((17.27*Temp!D16)/(237.7+Temp!D16))+LN(HR!D27/100)</f>
        <v>0.42708506306485267</v>
      </c>
      <c r="ED23" s="84">
        <f t="shared" si="211"/>
        <v>6.0273485836999896</v>
      </c>
      <c r="EE23" s="84">
        <f t="shared" si="212"/>
        <v>1.4146956234572474</v>
      </c>
      <c r="EF23" s="84" t="e">
        <f t="shared" si="62"/>
        <v>#DIV/0!</v>
      </c>
      <c r="EG23" s="84" t="e">
        <f t="shared" si="63"/>
        <v>#DIV/0!</v>
      </c>
      <c r="EH23" s="84" t="e">
        <f t="shared" si="64"/>
        <v>#DIV/0!</v>
      </c>
      <c r="EI23" s="84" t="e">
        <f t="shared" si="65"/>
        <v>#DIV/0!</v>
      </c>
      <c r="EJ23" s="84" t="e">
        <f t="shared" si="66"/>
        <v>#DIV/0!</v>
      </c>
      <c r="EK23" s="103">
        <f t="shared" si="67"/>
        <v>0</v>
      </c>
      <c r="EL23" s="165">
        <f>IF(ER23&gt;(EK23*'Irradiancia Horizontal'!E14),ER23,EK23*'Irradiancia Horizontal'!E14)</f>
        <v>0</v>
      </c>
      <c r="EM23" s="84" t="e">
        <f t="shared" si="68"/>
        <v>#DIV/0!</v>
      </c>
      <c r="EN23" s="84" t="e">
        <f t="shared" si="69"/>
        <v>#DIV/0!</v>
      </c>
      <c r="EO23" s="84" t="e">
        <f t="shared" si="70"/>
        <v>#DIV/0!</v>
      </c>
      <c r="EP23" s="84" t="e">
        <f t="shared" si="71"/>
        <v>#DIV/0!</v>
      </c>
      <c r="EQ23" s="103">
        <f t="shared" si="72"/>
        <v>0</v>
      </c>
      <c r="ER23" s="84">
        <f>+EQ23*'Irradiancia Horizontal'!E46</f>
        <v>0</v>
      </c>
      <c r="ES23" s="84">
        <f t="shared" si="213"/>
        <v>0</v>
      </c>
      <c r="ET23" s="84" t="e">
        <f>+ES23/'Irradiancia Horizontal'!E75</f>
        <v>#DIV/0!</v>
      </c>
      <c r="EU23" s="38">
        <f t="shared" si="73"/>
        <v>6.1569376360545089E-3</v>
      </c>
      <c r="EV23" s="84">
        <f t="shared" si="214"/>
        <v>6.1569376360545089E-3</v>
      </c>
      <c r="EW23" s="84">
        <f t="shared" si="215"/>
        <v>8.6999999999999994E-2</v>
      </c>
      <c r="EX23" s="84" t="e">
        <f t="shared" si="216"/>
        <v>#DIV/0!</v>
      </c>
      <c r="EY23" s="84" t="e">
        <f t="shared" si="217"/>
        <v>#DIV/0!</v>
      </c>
      <c r="EZ23" s="84" t="e">
        <f t="shared" si="218"/>
        <v>#DIV/0!</v>
      </c>
      <c r="FA23" s="84" t="e">
        <f t="shared" si="219"/>
        <v>#DIV/0!</v>
      </c>
      <c r="FB23" s="84" t="e">
        <f t="shared" si="220"/>
        <v>#DIV/0!</v>
      </c>
      <c r="FC23" s="84" t="e">
        <f t="shared" si="221"/>
        <v>#DIV/0!</v>
      </c>
      <c r="FD23" s="84" t="e">
        <f t="shared" si="74"/>
        <v>#DIV/0!</v>
      </c>
      <c r="FE23" s="84" t="e">
        <f t="shared" si="75"/>
        <v>#DIV/0!</v>
      </c>
      <c r="FF23" s="88">
        <f t="shared" si="76"/>
        <v>0</v>
      </c>
      <c r="FG23" s="84" t="e">
        <f t="shared" si="77"/>
        <v>#DIV/0!</v>
      </c>
      <c r="FH23" s="84" t="e">
        <f t="shared" si="78"/>
        <v>#DIV/0!</v>
      </c>
      <c r="FI23" s="84" t="e">
        <f t="shared" si="79"/>
        <v>#DIV/0!</v>
      </c>
      <c r="FJ23" s="84" t="e">
        <f t="shared" si="80"/>
        <v>#DIV/0!</v>
      </c>
      <c r="FK23" s="84" t="e">
        <f t="shared" si="81"/>
        <v>#DIV/0!</v>
      </c>
      <c r="FL23" s="84" t="e">
        <f t="shared" si="82"/>
        <v>#DIV/0!</v>
      </c>
      <c r="FM23" s="84" t="e">
        <f t="shared" si="83"/>
        <v>#DIV/0!</v>
      </c>
      <c r="FN23" s="84" t="e">
        <f t="shared" si="84"/>
        <v>#DIV/0!</v>
      </c>
      <c r="FO23" s="106">
        <f>IF(DU23&lt;0,0,((0.5*(1-FM23)*(1+COS(RADIANS($EB$15))))+(FM23*(EV23/EW23))+(FN23*SIN(RADIANS($EB$15))))*'Irradiancia Horizontal'!E46)</f>
        <v>0</v>
      </c>
      <c r="FP23" s="106">
        <f t="shared" si="222"/>
        <v>-1.7981221516401298</v>
      </c>
      <c r="FQ23" s="84">
        <f>FP23*'Irradiancia Horizontal'!E75</f>
        <v>0</v>
      </c>
      <c r="FR23" s="84">
        <f t="shared" si="223"/>
        <v>0</v>
      </c>
      <c r="FS23" s="88">
        <f t="shared" si="85"/>
        <v>0</v>
      </c>
      <c r="FT23" s="84">
        <f t="shared" si="224"/>
        <v>0</v>
      </c>
      <c r="FU23" s="106">
        <f t="shared" si="225"/>
        <v>0</v>
      </c>
      <c r="FV23" s="106">
        <f t="shared" si="226"/>
        <v>0</v>
      </c>
      <c r="FW23" s="106">
        <f t="shared" si="227"/>
        <v>0</v>
      </c>
      <c r="FX23" s="83"/>
      <c r="FZ23" s="39">
        <v>0.25</v>
      </c>
      <c r="GA23" s="38">
        <v>90</v>
      </c>
      <c r="GB23" s="38">
        <f t="shared" si="86"/>
        <v>5.5984380572590657</v>
      </c>
      <c r="GC23" s="38">
        <f t="shared" si="87"/>
        <v>79.848129908924179</v>
      </c>
      <c r="GD23" s="38">
        <f t="shared" si="88"/>
        <v>84.40156194274094</v>
      </c>
      <c r="GE23" s="38">
        <f>+'Irradiancia Horizontal'!F75/COS(RADIANS(GD23))</f>
        <v>424.00190324601675</v>
      </c>
      <c r="GF23" s="38">
        <f>((('Irradiancia Horizontal'!F46+GE23)/'Irradiancia Horizontal'!F46)+1.041*((RADIANS('Cálculos iluminancia'!GD23))^3))/(1+1.041*((RADIANS('Cálculos iluminancia'!GD23))^3))</f>
        <v>5.7299441841936796</v>
      </c>
      <c r="GG23" s="84">
        <f t="shared" si="89"/>
        <v>9.3792616563021074</v>
      </c>
      <c r="GH23" s="84">
        <f>GG23*$GF$15</f>
        <v>9.1478478616042764</v>
      </c>
      <c r="GI23" s="106">
        <f>'Irradiancia Horizontal'!F46*GH23/$GG$15</f>
        <v>0.13801805983552479</v>
      </c>
      <c r="GJ23" s="84">
        <f>((17.27*Temp!E16)/(237.7+Temp!E16))+LN(HR!E27/100)</f>
        <v>0.52524257309006017</v>
      </c>
      <c r="GK23" s="84">
        <f t="shared" si="228"/>
        <v>7.4560745456285193</v>
      </c>
      <c r="GL23" s="84">
        <f t="shared" si="229"/>
        <v>1.56349737375723</v>
      </c>
      <c r="GM23" s="84">
        <f t="shared" si="91"/>
        <v>7</v>
      </c>
      <c r="GN23" s="84">
        <f t="shared" si="92"/>
        <v>78.63</v>
      </c>
      <c r="GO23" s="84">
        <f t="shared" si="93"/>
        <v>1.47</v>
      </c>
      <c r="GP23" s="84">
        <f t="shared" si="94"/>
        <v>4.93</v>
      </c>
      <c r="GQ23" s="84">
        <f t="shared" si="95"/>
        <v>-11.37</v>
      </c>
      <c r="GR23" s="103">
        <f t="shared" si="96"/>
        <v>103.92610632527523</v>
      </c>
      <c r="GS23" s="165">
        <f>IF(GY23&gt;(GR23*'Irradiancia Horizontal'!F14),GY23,GR23*'Irradiancia Horizontal'!F14)</f>
        <v>6451.4987567182143</v>
      </c>
      <c r="GT23" s="84">
        <f t="shared" si="97"/>
        <v>141.88</v>
      </c>
      <c r="GU23" s="84">
        <f t="shared" si="98"/>
        <v>1.9</v>
      </c>
      <c r="GV23" s="84">
        <f t="shared" si="99"/>
        <v>-53.24</v>
      </c>
      <c r="GW23" s="84">
        <f t="shared" si="100"/>
        <v>-14.03</v>
      </c>
      <c r="GX23" s="103">
        <f t="shared" si="101"/>
        <v>167.44137727822198</v>
      </c>
      <c r="GY23" s="84">
        <f>+GX23*'Irradiancia Horizontal'!F46</f>
        <v>3468.3668740714202</v>
      </c>
      <c r="GZ23" s="84">
        <f t="shared" si="230"/>
        <v>2983.1318826467941</v>
      </c>
      <c r="HA23" s="84">
        <f>+GZ23/'Irradiancia Horizontal'!F75</f>
        <v>72.119331419301915</v>
      </c>
      <c r="HB23" s="38">
        <f t="shared" si="102"/>
        <v>-0.17541718887329541</v>
      </c>
      <c r="HC23" s="84">
        <f t="shared" si="231"/>
        <v>0</v>
      </c>
      <c r="HD23" s="84">
        <f t="shared" si="232"/>
        <v>9.755576878539271E-2</v>
      </c>
      <c r="HE23" s="84">
        <f t="shared" si="233"/>
        <v>1.4850000000000001</v>
      </c>
      <c r="HF23" s="84">
        <f t="shared" si="234"/>
        <v>-1.214</v>
      </c>
      <c r="HG23" s="84">
        <f t="shared" si="235"/>
        <v>-0.78400000000000003</v>
      </c>
      <c r="HH23" s="84">
        <f t="shared" si="236"/>
        <v>0.41099999999999998</v>
      </c>
      <c r="HI23" s="84">
        <f t="shared" si="237"/>
        <v>-0.629</v>
      </c>
      <c r="HJ23" s="84">
        <f t="shared" si="238"/>
        <v>-8.2000000000000003E-2</v>
      </c>
      <c r="HK23" s="84">
        <f t="shared" si="103"/>
        <v>0.16254731797388433</v>
      </c>
      <c r="HL23" s="84">
        <f t="shared" si="104"/>
        <v>0.20339365808585966</v>
      </c>
      <c r="HM23" s="88">
        <f t="shared" si="105"/>
        <v>2157.7403965720273</v>
      </c>
      <c r="HN23" s="84">
        <f t="shared" si="106"/>
        <v>1.06</v>
      </c>
      <c r="HO23" s="84">
        <f t="shared" si="107"/>
        <v>-1.6</v>
      </c>
      <c r="HP23" s="84">
        <f t="shared" si="108"/>
        <v>-0.35899999999999999</v>
      </c>
      <c r="HQ23" s="84">
        <f t="shared" si="109"/>
        <v>0.26400000000000001</v>
      </c>
      <c r="HR23" s="84">
        <f t="shared" si="110"/>
        <v>-1.127</v>
      </c>
      <c r="HS23" s="84">
        <f t="shared" si="111"/>
        <v>0.13100000000000001</v>
      </c>
      <c r="HT23" s="84">
        <f t="shared" si="112"/>
        <v>0.31033353551124965</v>
      </c>
      <c r="HU23" s="84">
        <f t="shared" si="113"/>
        <v>0.30142780117957058</v>
      </c>
      <c r="HV23" s="106">
        <f>IF(GB23&lt;0,0,((0.5*(1-HT23)*(1+COS(RADIANS($GI$15))))+(HT23*(HC23/HD23))+(HU23*SIN(RADIANS($GI$15))))*'Irradiancia Horizontal'!F46)</f>
        <v>13.386597726118383</v>
      </c>
      <c r="HW23" s="84">
        <f t="shared" si="114"/>
        <v>0</v>
      </c>
      <c r="HX23" s="84">
        <f>HW23*'Irradiancia Horizontal'!F75</f>
        <v>0</v>
      </c>
      <c r="HY23" s="84">
        <f t="shared" si="239"/>
        <v>13.386597726118383</v>
      </c>
      <c r="HZ23" s="88">
        <f t="shared" si="115"/>
        <v>1391.2169786182667</v>
      </c>
      <c r="IA23" s="84">
        <f t="shared" si="240"/>
        <v>-766.5234179537606</v>
      </c>
      <c r="IB23" s="106">
        <f t="shared" si="241"/>
        <v>30578.733782614265</v>
      </c>
      <c r="IC23" s="106">
        <f t="shared" si="242"/>
        <v>0</v>
      </c>
      <c r="ID23" s="106">
        <f t="shared" si="243"/>
        <v>2157.7403965720273</v>
      </c>
      <c r="IE23" s="83"/>
      <c r="IG23" s="39">
        <v>0.25</v>
      </c>
      <c r="IH23" s="38">
        <v>90</v>
      </c>
      <c r="II23" s="38">
        <f t="shared" si="116"/>
        <v>9.6327224739751323</v>
      </c>
      <c r="IJ23" s="38">
        <f t="shared" si="117"/>
        <v>72.230644833243772</v>
      </c>
      <c r="IK23" s="38">
        <f t="shared" si="118"/>
        <v>80.367277526024864</v>
      </c>
      <c r="IL23" s="38">
        <f>+'Irradiancia Horizontal'!G75/COS(RADIANS(IK23))</f>
        <v>649.98155610742947</v>
      </c>
      <c r="IM23" s="38">
        <f>((('Irradiancia Horizontal'!G46+IL23)/'Irradiancia Horizontal'!G46)+1.041*((RADIANS('Cálculos iluminancia'!IK23))^3))/(1+1.041*((RADIANS('Cálculos iluminancia'!IK23))^3))</f>
        <v>9.4065844441556781</v>
      </c>
      <c r="IN23" s="87">
        <f t="shared" si="119"/>
        <v>5.783409068371741</v>
      </c>
      <c r="IO23" s="87">
        <f t="shared" si="120"/>
        <v>5.6407154654160667</v>
      </c>
      <c r="IP23" s="106">
        <f>'Irradiancia Horizontal'!G46*IO23/$IN$15</f>
        <v>8.322901617879179E-2</v>
      </c>
      <c r="IQ23" s="87">
        <f>((17.27*Temp!F16)/(237.7+Temp!F16))+LN(HR!F27/100)</f>
        <v>0.69627493195183576</v>
      </c>
      <c r="IR23" s="87">
        <f t="shared" si="244"/>
        <v>9.9859597432336518</v>
      </c>
      <c r="IS23" s="87">
        <f t="shared" si="245"/>
        <v>1.8664107137290451</v>
      </c>
      <c r="IT23" s="87">
        <f t="shared" si="121"/>
        <v>8</v>
      </c>
      <c r="IU23" s="87">
        <f t="shared" si="122"/>
        <v>99.65</v>
      </c>
      <c r="IV23" s="87">
        <f t="shared" si="123"/>
        <v>1.86</v>
      </c>
      <c r="IW23" s="87">
        <f t="shared" si="124"/>
        <v>-4.46</v>
      </c>
      <c r="IX23" s="87">
        <f t="shared" si="125"/>
        <v>-3.15</v>
      </c>
      <c r="IY23" s="103">
        <f t="shared" si="126"/>
        <v>110.2066255420185</v>
      </c>
      <c r="IZ23" s="165">
        <f>IF(JF23&gt;(IY23*'Irradiancia Horizontal'!G14),JF23,IY23*'Irradiancia Horizontal'!G14)</f>
        <v>14186.51256568106</v>
      </c>
      <c r="JA23" s="87">
        <f t="shared" si="127"/>
        <v>152.22999999999999</v>
      </c>
      <c r="JB23" s="87">
        <f t="shared" si="128"/>
        <v>0.35</v>
      </c>
      <c r="JC23" s="87">
        <f t="shared" si="129"/>
        <v>-45.27</v>
      </c>
      <c r="JD23" s="87">
        <f t="shared" si="130"/>
        <v>-7.98</v>
      </c>
      <c r="JE23" s="103">
        <f t="shared" si="131"/>
        <v>165.14768224392196</v>
      </c>
      <c r="JF23" s="87">
        <f>+JE23*'Irradiancia Horizontal'!G46</f>
        <v>3296.9896515205983</v>
      </c>
      <c r="JG23" s="87">
        <f t="shared" si="246"/>
        <v>10889.522914160461</v>
      </c>
      <c r="JH23" s="87">
        <f>+JG23/'Irradiancia Horizontal'!G75</f>
        <v>100.12193680635637</v>
      </c>
      <c r="JI23" s="38">
        <f t="shared" si="132"/>
        <v>-0.30088308193212143</v>
      </c>
      <c r="JJ23" s="87">
        <f t="shared" si="247"/>
        <v>0</v>
      </c>
      <c r="JK23" s="87">
        <f t="shared" si="248"/>
        <v>0.16733183652605546</v>
      </c>
      <c r="JL23" s="87">
        <f t="shared" si="249"/>
        <v>1.17</v>
      </c>
      <c r="JM23" s="87">
        <f t="shared" si="250"/>
        <v>-0.3</v>
      </c>
      <c r="JN23" s="87">
        <f t="shared" si="251"/>
        <v>-0.61499999999999999</v>
      </c>
      <c r="JO23" s="87">
        <f t="shared" si="252"/>
        <v>0.51800000000000002</v>
      </c>
      <c r="JP23" s="87">
        <f t="shared" si="253"/>
        <v>-1.8919999999999999</v>
      </c>
      <c r="JQ23" s="87">
        <f t="shared" si="254"/>
        <v>-5.5E-2</v>
      </c>
      <c r="JR23" s="87">
        <f t="shared" si="133"/>
        <v>0.28238702887505873</v>
      </c>
      <c r="JS23" s="87">
        <f t="shared" si="134"/>
        <v>0.28338365318660125</v>
      </c>
      <c r="JT23" s="88">
        <f t="shared" si="135"/>
        <v>2117.2942417642671</v>
      </c>
      <c r="JU23" s="87">
        <f t="shared" si="136"/>
        <v>0.67800000000000005</v>
      </c>
      <c r="JV23" s="87">
        <f t="shared" si="137"/>
        <v>-0.32700000000000001</v>
      </c>
      <c r="JW23" s="87">
        <f t="shared" si="138"/>
        <v>-0.25</v>
      </c>
      <c r="JX23" s="87">
        <f t="shared" si="139"/>
        <v>0.156</v>
      </c>
      <c r="JY23" s="87">
        <f t="shared" si="140"/>
        <v>-1.377</v>
      </c>
      <c r="JZ23" s="87">
        <f t="shared" si="141"/>
        <v>0.251</v>
      </c>
      <c r="KA23" s="87">
        <f t="shared" si="142"/>
        <v>0.30011571078624094</v>
      </c>
      <c r="KB23" s="87">
        <f t="shared" si="143"/>
        <v>0.39346471924879101</v>
      </c>
      <c r="KC23" s="106">
        <f>IF(II23&lt;0,0,((0.5*(1-KA23)*(1+COS(RADIANS($IP$15))))+(KA23*(JJ23/JK23))+(KB23*SIN(RADIANS($IP$15))))*'Irradiancia Horizontal'!G46)</f>
        <v>14.841290557026475</v>
      </c>
      <c r="KD23" s="87">
        <f t="shared" si="144"/>
        <v>0</v>
      </c>
      <c r="KE23" s="87">
        <f>KD23*'Irradiancia Horizontal'!G75</f>
        <v>0</v>
      </c>
      <c r="KF23" s="87">
        <f t="shared" si="255"/>
        <v>14.841290557026475</v>
      </c>
      <c r="KG23" s="88">
        <f t="shared" si="145"/>
        <v>1635.6085509785119</v>
      </c>
      <c r="KH23" s="87">
        <f t="shared" si="256"/>
        <v>-481.68569078575524</v>
      </c>
      <c r="KI23" s="106">
        <f t="shared" si="257"/>
        <v>65077.412285885235</v>
      </c>
      <c r="KJ23" s="106">
        <f t="shared" si="258"/>
        <v>0</v>
      </c>
      <c r="KK23" s="106">
        <f t="shared" si="259"/>
        <v>2117.2942417642671</v>
      </c>
      <c r="KL23" s="86"/>
      <c r="KN23" s="39">
        <v>0.25</v>
      </c>
      <c r="KO23" s="38">
        <v>90</v>
      </c>
      <c r="KP23" s="38">
        <f t="shared" si="146"/>
        <v>11.152054967319165</v>
      </c>
      <c r="KQ23" s="38">
        <f t="shared" si="147"/>
        <v>69.238766580276192</v>
      </c>
      <c r="KR23" s="38">
        <f t="shared" si="148"/>
        <v>78.84794503268084</v>
      </c>
      <c r="KS23" s="38">
        <f>+'Irradiancia Horizontal'!H75/COS(RADIANS(KR23))</f>
        <v>674.94692456357586</v>
      </c>
      <c r="KT23" s="38">
        <f>((('Irradiancia Horizontal'!H46+KS23)/'Irradiancia Horizontal'!H46)+1.041*((RADIANS('Cálculos iluminancia'!KR23))^3))/(1+1.041*((RADIANS('Cálculos iluminancia'!KR23))^3))</f>
        <v>9.2710854374603997</v>
      </c>
      <c r="KU23" s="87">
        <f t="shared" si="149"/>
        <v>5.0451994844823824</v>
      </c>
      <c r="KV23" s="87">
        <f t="shared" si="150"/>
        <v>4.9207196692799648</v>
      </c>
      <c r="KW23" s="106">
        <f>'Irradiancia Horizontal'!H46*KV23/$KU$15</f>
        <v>8.0594608000735243E-2</v>
      </c>
      <c r="KX23" s="87">
        <f>((17.27*Temp!G16)/(237.7+Temp!G16))+LN(HR!G27/100)</f>
        <v>1.0131196720752984</v>
      </c>
      <c r="KY23" s="87">
        <f t="shared" si="260"/>
        <v>14.813330798692082</v>
      </c>
      <c r="KZ23" s="87">
        <f t="shared" si="261"/>
        <v>2.6167501731126452</v>
      </c>
      <c r="LA23" s="87">
        <f t="shared" si="151"/>
        <v>8</v>
      </c>
      <c r="LB23" s="87">
        <f t="shared" si="152"/>
        <v>99.65</v>
      </c>
      <c r="LC23" s="87">
        <f t="shared" si="153"/>
        <v>1.86</v>
      </c>
      <c r="LD23" s="87">
        <f t="shared" si="154"/>
        <v>-4.46</v>
      </c>
      <c r="LE23" s="87">
        <f t="shared" si="155"/>
        <v>-3.15</v>
      </c>
      <c r="LF23" s="103">
        <f t="shared" si="156"/>
        <v>111.5872505822275</v>
      </c>
      <c r="LG23" s="165">
        <f>IF(LM23&gt;(LF23*'Irradiancia Horizontal'!H14),LM23,LF23*'Irradiancia Horizontal'!H14)</f>
        <v>17019.436510125197</v>
      </c>
      <c r="LH23" s="87">
        <f t="shared" si="157"/>
        <v>152.22999999999999</v>
      </c>
      <c r="LI23" s="87">
        <f t="shared" si="158"/>
        <v>0.35</v>
      </c>
      <c r="LJ23" s="87">
        <f t="shared" si="159"/>
        <v>-45.27</v>
      </c>
      <c r="LK23" s="87">
        <f t="shared" si="160"/>
        <v>-7.98</v>
      </c>
      <c r="LL23" s="103">
        <f t="shared" si="161"/>
        <v>164.48625874598824</v>
      </c>
      <c r="LM23" s="87">
        <f>+LL23*'Irradiancia Horizontal'!H46</f>
        <v>3615.0036338099658</v>
      </c>
      <c r="LN23" s="87">
        <f t="shared" si="262"/>
        <v>13404.432876315232</v>
      </c>
      <c r="LO23" s="87">
        <f>+LN23/'Irradiancia Horizontal'!H75</f>
        <v>102.68150232302115</v>
      </c>
      <c r="LP23" s="38">
        <f t="shared" si="162"/>
        <v>-0.34778095732126574</v>
      </c>
      <c r="LQ23" s="87">
        <f t="shared" si="263"/>
        <v>0</v>
      </c>
      <c r="LR23" s="87">
        <f t="shared" si="264"/>
        <v>0.19341342133183026</v>
      </c>
      <c r="LS23" s="87">
        <f t="shared" si="265"/>
        <v>1.17</v>
      </c>
      <c r="LT23" s="87">
        <f t="shared" si="266"/>
        <v>-0.3</v>
      </c>
      <c r="LU23" s="87">
        <f t="shared" si="267"/>
        <v>-0.61499999999999999</v>
      </c>
      <c r="LV23" s="87">
        <f t="shared" si="268"/>
        <v>0.51800000000000002</v>
      </c>
      <c r="LW23" s="87">
        <f t="shared" si="269"/>
        <v>-1.8919999999999999</v>
      </c>
      <c r="LX23" s="87">
        <f t="shared" si="270"/>
        <v>-5.5E-2</v>
      </c>
      <c r="LY23" s="87">
        <f t="shared" si="163"/>
        <v>0.29948552430992925</v>
      </c>
      <c r="LZ23" s="87">
        <f t="shared" si="164"/>
        <v>0.28982640795376058</v>
      </c>
      <c r="MA23" s="88">
        <f t="shared" si="165"/>
        <v>2313.9047055049782</v>
      </c>
      <c r="MB23" s="87">
        <f t="shared" si="166"/>
        <v>0.67800000000000005</v>
      </c>
      <c r="MC23" s="87">
        <f t="shared" si="167"/>
        <v>-0.32700000000000001</v>
      </c>
      <c r="MD23" s="87">
        <f t="shared" si="168"/>
        <v>-0.25</v>
      </c>
      <c r="ME23" s="87">
        <f t="shared" si="169"/>
        <v>0.156</v>
      </c>
      <c r="MF23" s="87">
        <f t="shared" si="170"/>
        <v>-1.377</v>
      </c>
      <c r="MG23" s="87">
        <f t="shared" si="171"/>
        <v>0.251</v>
      </c>
      <c r="MH23" s="87">
        <f t="shared" si="172"/>
        <v>0.30760650087081248</v>
      </c>
      <c r="MI23" s="87">
        <f t="shared" si="173"/>
        <v>0.39043644334518657</v>
      </c>
      <c r="MJ23" s="106">
        <f>IF(KP23&lt;0,0,((0.5*(1-MH23)*(1+COS(RADIANS($KW$15))))+(MH23*(LQ23/LR23))+(MI23*SIN(RADIANS($KW$15))))*'Irradiancia Horizontal'!H46)</f>
        <v>16.18938681842225</v>
      </c>
      <c r="MK23" s="87">
        <f t="shared" si="174"/>
        <v>0</v>
      </c>
      <c r="ML23" s="87">
        <f>MK23*'Irradiancia Horizontal'!H75</f>
        <v>0</v>
      </c>
      <c r="MM23" s="87">
        <f t="shared" si="271"/>
        <v>16.18938681842225</v>
      </c>
      <c r="MN23" s="88">
        <f t="shared" si="175"/>
        <v>1806.5291636798943</v>
      </c>
      <c r="MO23" s="87">
        <f t="shared" si="272"/>
        <v>-507.37554182508393</v>
      </c>
      <c r="MP23" s="106">
        <f t="shared" si="273"/>
        <v>69304.564202490787</v>
      </c>
      <c r="MQ23" s="106">
        <f t="shared" si="274"/>
        <v>0</v>
      </c>
      <c r="MR23" s="106">
        <f t="shared" si="275"/>
        <v>2313.9047055049782</v>
      </c>
    </row>
    <row r="24" spans="5:356" x14ac:dyDescent="0.25">
      <c r="E24" s="39">
        <v>0.29166666666666702</v>
      </c>
      <c r="F24" s="38">
        <v>75</v>
      </c>
      <c r="G24" s="38">
        <f t="shared" si="0"/>
        <v>2.5810689008028067</v>
      </c>
      <c r="H24" s="38">
        <f t="shared" si="1"/>
        <v>114.79748300641437</v>
      </c>
      <c r="I24" s="38">
        <f t="shared" si="2"/>
        <v>87.418931099197195</v>
      </c>
      <c r="J24" s="38">
        <f>'Irradiancia Horizontal'!C76/COS(RADIANS(I24))</f>
        <v>443.3892691290983</v>
      </c>
      <c r="K24" s="38">
        <f>((('Irradiancia Horizontal'!C47+J24)/'Irradiancia Horizontal'!C47)+1.041*((RADIANS('Cálculos iluminancia'!I24))^3))/(1+1.041*((RADIANS('Cálculos iluminancia'!I24))^3))</f>
        <v>10.847842295747704</v>
      </c>
      <c r="L24" s="36">
        <f t="shared" si="3"/>
        <v>16.718817922721485</v>
      </c>
      <c r="M24" s="36">
        <f>L24*K15</f>
        <v>16.306315826060235</v>
      </c>
      <c r="N24" s="106">
        <f>'Irradiancia Horizontal'!C47*M24/$L$15</f>
        <v>0.10904668546154685</v>
      </c>
      <c r="O24" s="71">
        <f>((17.27*Temp!B17)/(237.7+Temp!B17))+LN(HR!B28/100)</f>
        <v>0.31426562514717282</v>
      </c>
      <c r="P24" s="71">
        <f t="shared" si="176"/>
        <v>4.4056445710940411</v>
      </c>
      <c r="Q24" s="71">
        <f t="shared" si="177"/>
        <v>1.2628803700221611</v>
      </c>
      <c r="R24" s="71">
        <f>IF(K24&lt;$E$81,1,IF(K24&lt;$E$82,2,IF(K24&lt;$E$83,3,IF(K24&lt;$E$84,4,IF(K24&lt;$E$85,5,IF(K24&lt;$E$86,6,IF(K24&lt;$E$87,7,8)))))))</f>
        <v>8</v>
      </c>
      <c r="S24" s="71">
        <f>IF(R24=1,$H$81,IF(R24=2,$H$82,IF(R24=3,$H$83,IF(R24=4,$H$84,IF(R24=5,$H$85,IF(R24=6,$H$86,IF(R24=7,$H$87,$H$88)))))))</f>
        <v>99.65</v>
      </c>
      <c r="T24" s="71">
        <f>IF(R24=1,$I$81,IF(R24=2,$I$82,IF(R24=3,$I$83,IF(R24=4,$I$84,IF(R24=5,$I$85,IF(R24=6,$I$86,IF(R24=7,$I$87,$I$88)))))))</f>
        <v>1.86</v>
      </c>
      <c r="U24" s="71">
        <f>IF(R24=1,$J$81,IF(R24=2,$J$82,IF(R24=3,$J$83,IF(R24=4,$J$84,IF(R24=5,$J$85,IF(R24=6,$J$86,IF(R24=7,$J$87,$J$88)))))))</f>
        <v>-4.46</v>
      </c>
      <c r="V24" s="71">
        <f>IF(R24=1,$K$81,IF(R24=2,$K$82,IF(R24=3,$K$83,IF(R24=4,$K$84,IF(R24=5,$K$85,IF(R24=6,$K$86,IF(R24=7,$K$87,$K$88)))))))</f>
        <v>-3.15</v>
      </c>
      <c r="W24" s="103">
        <f t="shared" si="10"/>
        <v>108.77844510546764</v>
      </c>
      <c r="X24" s="165">
        <f>IF(AD24&gt;(W24*'Irradiancia Horizontal'!C15),AD24,W24*'Irradiancia Horizontal'!C15)</f>
        <v>3214.6139589507047</v>
      </c>
      <c r="Y24" s="71">
        <f>IF(R24=1,$N$81,IF(R24=2,$N$82,IF(R24=3,$N$83,IF(R24=4,$N$84,IF(R24=5,$N$85,IF(R24=6,$N$86,IF(R24=7,$N$87,$N$88)))))))</f>
        <v>152.22999999999999</v>
      </c>
      <c r="Z24" s="71">
        <f>IF(R24=1,$O$81,IF(R24=2,$O$82,IF(R24=3,$O$83,IF(R24=4,$O$84,IF(R24=5,$O$85,IF(R24=6,$O$86,IF(R24=7,$O$87,$O$88)))))))</f>
        <v>0.35</v>
      </c>
      <c r="AA24" s="71">
        <f>IF(R24=1,$P$81,IF(R24=2,$P$82,IF(R24=3,$P$83,IF(R24=4,$P$84,IF(R24=5,$P$85,IF(R24=6,$P$86,IF(R24=7,$P$87,$P$88)))))))</f>
        <v>-45.27</v>
      </c>
      <c r="AB24" s="71">
        <f>IF(R24=1,$Q$81,IF(R24=2,$Q$82,IF(R24=3,$Q$83,IF(R24=4,$Q$84,IF(R24=5,$Q$85,IF(R24=6,$Q$86,IF(R24=7,$Q$87,$Q$88)))))))</f>
        <v>-7.98</v>
      </c>
      <c r="AC24" s="103">
        <f t="shared" si="15"/>
        <v>168.31688190017502</v>
      </c>
      <c r="AD24" s="71">
        <f>+AC24*'Irradiancia Horizontal'!C47</f>
        <v>1613.2882352961983</v>
      </c>
      <c r="AE24" s="71">
        <f t="shared" si="16"/>
        <v>1601.3257236545064</v>
      </c>
      <c r="AF24" s="71">
        <f>+AE24/'Irradiancia Horizontal'!C76</f>
        <v>80.19816559023235</v>
      </c>
      <c r="AG24" s="38">
        <f>SIN(RADIANS(G15))*SIN(RADIANS(H15))*COS(RADIANS(N15))-SIN(RADIANS(G15))*COS(RADIANS(H15))*SIN(RADIANS(N15))*COS(RADIANS(M15))+COS(RADIANS(G15))*COS(RADIANS(H15))*COS(RADIANS(N15))*COS(RADIANS(F24))+COS(RADIANS(G15))*SIN(RADIANS(H15))*SIN(RADIANS(N15))*COS(RADIANS(M15))*COS(RADIANS(F24))+COS(RADIANS(G15))*SIN(RADIANS(N15))*SIN(RADIANS(M15))*SIN(RADIANS(F24))</f>
        <v>0.4189867113843756</v>
      </c>
      <c r="AH24" s="84">
        <f t="shared" si="178"/>
        <v>0.4189867113843756</v>
      </c>
      <c r="AI24" s="84">
        <f t="shared" si="179"/>
        <v>8.6999999999999994E-2</v>
      </c>
      <c r="AJ24" s="84">
        <f t="shared" si="180"/>
        <v>1.17</v>
      </c>
      <c r="AK24" s="84">
        <f t="shared" si="181"/>
        <v>-0.3</v>
      </c>
      <c r="AL24" s="84">
        <f t="shared" si="182"/>
        <v>-0.61499999999999999</v>
      </c>
      <c r="AM24" s="84">
        <f t="shared" si="183"/>
        <v>0.51800000000000002</v>
      </c>
      <c r="AN24" s="84">
        <f t="shared" si="184"/>
        <v>-1.8919999999999999</v>
      </c>
      <c r="AO24" s="84">
        <f t="shared" si="185"/>
        <v>-5.5E-2</v>
      </c>
      <c r="AP24" s="84">
        <f t="shared" si="18"/>
        <v>0.19895086596467604</v>
      </c>
      <c r="AQ24" s="84">
        <f t="shared" si="19"/>
        <v>0.22776752141272527</v>
      </c>
      <c r="AR24" s="88">
        <f t="shared" si="20"/>
        <v>2559.364604033331</v>
      </c>
      <c r="AS24" s="84">
        <f>IF(R24=1,$AB$81,IF(R24=2,$AB$82,IF(R24=3,$AB$83,IF(R24=4,$AB$84,IF(R24=5,$AB$85,IF(R24=6,$AB$86,IF(R24=7,$AB$87,$AB$88)))))))</f>
        <v>0.67800000000000005</v>
      </c>
      <c r="AT24" s="84">
        <f>IF(R24=1,$AC$81,IF(R24=2,$AC$82,IF(R24=3,$AC$83,IF(R24=4,$AC$84,IF(R24=5,$AC$85,IF(R24=6,$AC$86,IF(R24=7,$AC$87,$AC$88)))))))</f>
        <v>-0.32700000000000001</v>
      </c>
      <c r="AU24" s="84">
        <f>IF(R24=1,$AD$81,IF(R24=2,$AD$82,IF(R24=3,$AD$83,IF(R24=4,$AD$84,IF(R24=5,$AD$85,IF(R24=6,$AD$86,IF(R24=7,$AD$87,$AD$88)))))))</f>
        <v>-0.25</v>
      </c>
      <c r="AV24" s="84">
        <f>IF(R24=1,$AE$81,IF(R24=2,$AE$82,IF(R24=3,$AE$83,IF(R24=4,$AE$84,IF(R24=5,$AE$85,IF(R24=6,$AE$86,IF(R24=7,$AE$87,$AE$88)))))))</f>
        <v>0.156</v>
      </c>
      <c r="AW24" s="84">
        <f>IF(R24=1,$AF$81,IF(R24=2,$AF$82,IF(R24=3,$AF$83,IF(R24=4,$AF$84,IF(R24=5,$AF$85,IF(R24=6,$AF$86,IF(R24=7,$AF$87,$AF$88)))))))</f>
        <v>-1.377</v>
      </c>
      <c r="AX24" s="84">
        <f>IF(R24=1,$AG$81,IF(R24=2,$AG$82,IF(R24=3,$AG$83,IF(R24=4,$AG$84,IF(R24=5,$AG$85,IF(R24=6,$AG$86,IF(R24=7,$AG$87,$AG$88)))))))</f>
        <v>0.251</v>
      </c>
      <c r="AY24" s="84">
        <f t="shared" si="27"/>
        <v>0.26090468979031006</v>
      </c>
      <c r="AZ24" s="84">
        <f t="shared" si="28"/>
        <v>0.3888055063594692</v>
      </c>
      <c r="BA24" s="106">
        <f>IF(G24&lt;0,0,((0.5*(1-AY24)*(1+COS(RADIANS($N$15))))+(AY24*(AH24/AI24))+(AZ24*SIN(RADIANS($N$15))))*'Irradiancia Horizontal'!C47)</f>
        <v>19.312030267368357</v>
      </c>
      <c r="BB24" s="106">
        <f t="shared" si="186"/>
        <v>9.3040102804061462</v>
      </c>
      <c r="BC24" s="84">
        <f>BB24*'Irradiancia Horizontal'!C76</f>
        <v>185.77421173552273</v>
      </c>
      <c r="BD24" s="84">
        <f t="shared" si="187"/>
        <v>205.08624200289108</v>
      </c>
      <c r="BE24" s="88">
        <f t="shared" si="29"/>
        <v>22308.962517598138</v>
      </c>
      <c r="BF24" s="84">
        <f t="shared" si="188"/>
        <v>19749.597913564809</v>
      </c>
      <c r="BG24" s="106">
        <f t="shared" si="189"/>
        <v>35559.006026547526</v>
      </c>
      <c r="BH24" s="106">
        <f t="shared" si="190"/>
        <v>14898.750995160341</v>
      </c>
      <c r="BI24" s="106">
        <f t="shared" si="191"/>
        <v>17458.115599193672</v>
      </c>
      <c r="BJ24" s="72"/>
      <c r="BL24" s="39">
        <v>0.29166666666666702</v>
      </c>
      <c r="BM24" s="38">
        <v>75</v>
      </c>
      <c r="BN24" s="38">
        <f t="shared" si="30"/>
        <v>7.3102534726872559</v>
      </c>
      <c r="BO24" s="38">
        <f t="shared" si="31"/>
        <v>107.2136474400794</v>
      </c>
      <c r="BP24" s="38">
        <f t="shared" si="32"/>
        <v>82.689746527312749</v>
      </c>
      <c r="BQ24" s="38">
        <f>+'Irradiancia Horizontal'!D76/COS(RADIANS(BP24))</f>
        <v>419.96954029301742</v>
      </c>
      <c r="BR24" s="38">
        <f>((('Irradiancia Horizontal'!D47+BQ24)/'Irradiancia Horizontal'!D47)+1.041*((RADIANS('Cálculos iluminancia'!BP24))^3))/(1+1.041*((RADIANS('Cálculos iluminancia'!BP24))^3))</f>
        <v>4.4707404820528467</v>
      </c>
      <c r="BS24" s="84">
        <f t="shared" si="33"/>
        <v>7.4356592645008854</v>
      </c>
      <c r="BT24" s="84">
        <f t="shared" si="192"/>
        <v>7.2521998207266467</v>
      </c>
      <c r="BU24" s="106">
        <f>'Irradiancia Horizontal'!D47*BT24/$BS$15</f>
        <v>0.14979170790771429</v>
      </c>
      <c r="BV24" s="84">
        <f>((17.27*Temp!C17)/(237.7+Temp!C17))+LN(HR!C28/100)</f>
        <v>0.36168723690438964</v>
      </c>
      <c r="BW24" s="84">
        <f t="shared" si="193"/>
        <v>5.0846620485883003</v>
      </c>
      <c r="BX24" s="84">
        <f t="shared" si="194"/>
        <v>1.3243560527801852</v>
      </c>
      <c r="BY24" s="84">
        <f>IF(BR24&lt;$E$81,1,IF(BR24&lt;$E$82,2,IF(BR24&lt;$E$83,3,IF(BR24&lt;$E$84,4,IF(BR24&lt;$E$85,5,IF(BR24&lt;$E$86,6,IF(BR24&lt;$E$87,7,8)))))))</f>
        <v>6</v>
      </c>
      <c r="BZ24" s="84">
        <f>IF(BY24=1,$H$81,IF(BY24=2,$H$82,IF(BY24=3,$H$83,IF(BY24=4,$H$84,IF(BY24=5,$H$85,IF(BY24=6,$H$86,IF(BY24=7,$H$87,$H$88)))))))</f>
        <v>88.34</v>
      </c>
      <c r="CA24" s="84">
        <f>IF(BY24=1,$I$81,IF(BY24=2,$I$82,IF(BY24=3,$I$83,IF(BY24=4,$I$84,IF(BY24=5,$I$85,IF(BY24=6,$I$86,IF(BY24=7,$I$87,$I$88)))))))</f>
        <v>1.39</v>
      </c>
      <c r="CB24" s="84">
        <f>IF(BY24=1,$J$81,IF(BY24=2,$J$82,IF(BY24=3,$J$83,IF(BY24=4,$J$84,IF(BY24=5,$J$85,IF(BY24=6,$J$86,IF(BY24=7,$J$87,$J$88)))))))</f>
        <v>6.06</v>
      </c>
      <c r="CC24" s="84">
        <f>IF(BY24=1,$K$81,IF(BY24=2,$K$82,IF(BY24=3,$K$83,IF(BY24=4,$K$84,IF(BY24=5,$K$85,IF(BY24=6,$K$86,IF(BY24=7,$K$87,$K$88)))))))</f>
        <v>-7.6</v>
      </c>
      <c r="CD24" s="103">
        <f t="shared" si="39"/>
        <v>105.38061480268728</v>
      </c>
      <c r="CE24" s="165">
        <f>IF(CK24&gt;(CD24*'Irradiancia Horizontal'!D15),CK24,CD24*'Irradiancia Horizontal'!D15)</f>
        <v>8719.3788754559409</v>
      </c>
      <c r="CF24" s="84">
        <f>IF(BY24=1,$N$81,IF(BY24=2,$N$82,IF(BY24=3,$N$83,IF(BY24=4,$N$84,IF(BY24=5,$N$85,IF(BY24=6,$N$86,IF(BY24=7,$N$87,$N$88)))))))</f>
        <v>106.42</v>
      </c>
      <c r="CG24" s="84">
        <f>IF(BY24=1,$O$81,IF(BY24=2,$O$82,IF(BY24=3,$O$83,IF(BY24=4,$O$84,IF(BY24=5,$O$85,IF(BY24=6,$O$86,IF(BY24=7,$O$87,$O$88)))))))</f>
        <v>3.83</v>
      </c>
      <c r="CH24" s="84">
        <f>IF(BY24=1,$P$81,IF(BY24=2,$P$82,IF(BY24=3,$P$83,IF(BY24=4,$P$84,IF(BY24=5,$P$85,IF(BY24=6,$P$86,IF(BY24=7,$P$87,$P$88)))))))</f>
        <v>-36.15</v>
      </c>
      <c r="CI24" s="84">
        <f>IF(BY24=1,$Q$81,IF(BY24=2,$Q$82,IF(BY24=3,$Q$83,IF(BY24=4,$Q$84,IF(BY24=5,$Q$85,IF(BY24=6,$Q$86,IF(BY24=7,$Q$87,$Q$88)))))))</f>
        <v>-28.83</v>
      </c>
      <c r="CJ24" s="103">
        <f t="shared" si="44"/>
        <v>161.62651202743973</v>
      </c>
      <c r="CK24" s="84">
        <f>+CJ24*'Irradiancia Horizontal'!D47</f>
        <v>4736.2970104832075</v>
      </c>
      <c r="CL24" s="84">
        <f t="shared" si="195"/>
        <v>3983.0818649727335</v>
      </c>
      <c r="CM24" s="84">
        <f>+CL24/'Irradiancia Horizontal'!D76</f>
        <v>74.53676978651896</v>
      </c>
      <c r="CN24" s="38">
        <f t="shared" si="45"/>
        <v>0.29353012519256355</v>
      </c>
      <c r="CO24" s="84">
        <f t="shared" si="196"/>
        <v>0.29353012519256355</v>
      </c>
      <c r="CP24" s="84">
        <f t="shared" si="197"/>
        <v>0.12724211287881385</v>
      </c>
      <c r="CQ24" s="84">
        <f t="shared" si="198"/>
        <v>1.4259999999999999</v>
      </c>
      <c r="CR24" s="84">
        <f t="shared" si="199"/>
        <v>-0.65300000000000002</v>
      </c>
      <c r="CS24" s="84">
        <f t="shared" si="200"/>
        <v>-0.77900000000000003</v>
      </c>
      <c r="CT24" s="84">
        <f t="shared" si="201"/>
        <v>0.42499999999999999</v>
      </c>
      <c r="CU24" s="84">
        <f t="shared" si="202"/>
        <v>-0.78500000000000003</v>
      </c>
      <c r="CV24" s="84">
        <f t="shared" si="203"/>
        <v>-9.7000000000000003E-2</v>
      </c>
      <c r="CW24" s="84">
        <f t="shared" si="46"/>
        <v>0.20392672212870311</v>
      </c>
      <c r="CX24" s="84">
        <f t="shared" si="47"/>
        <v>0.16742230084195225</v>
      </c>
      <c r="CY24" s="88">
        <f t="shared" si="48"/>
        <v>4906.2824946709943</v>
      </c>
      <c r="CZ24" s="84">
        <f>IF(BY24=1,$AB$81,IF(BY24=2,$AB$82,IF(BY24=3,$AB$83,IF(BY24=4,$AB$84,IF(BY24=5,$AB$85,IF(BY24=6,$AB$86,IF(BY24=7,$AB$87,$AB$88)))))))</f>
        <v>1.1319999999999999</v>
      </c>
      <c r="DA24" s="84">
        <f>IF(BY24=1,$AC$81,IF(BY24=2,$AC$82,IF(BY24=3,$AC$83,IF(BY24=4,$AC$84,IF(BY24=5,$AC$85,IF(BY24=6,$AC$86,IF(BY24=7,$AC$87,$AC$88)))))))</f>
        <v>-1.2370000000000001</v>
      </c>
      <c r="DB24" s="84">
        <f>IF(BY24=1,$AD$81,IF(BY24=2,$AD$82,IF(BY24=3,$AD$83,IF(BY24=4,$AD$84,IF(BY24=5,$AD$85,IF(BY24=6,$AD$86,IF(BY24=7,$AD$87,$AD$88)))))))</f>
        <v>-0.41199999999999998</v>
      </c>
      <c r="DC24" s="84">
        <f>IF(BY24=1,$AE$81,IF(BY24=2,$AE$82,IF(BY24=3,$AE$83,IF(BY24=4,$AE$84,IF(BY24=5,$AE$85,IF(BY24=6,$AE$86,IF(BY24=7,$AE$87,$AE$88)))))))</f>
        <v>0.28799999999999998</v>
      </c>
      <c r="DD24" s="84">
        <f>IF(BY24=1,$AF$81,IF(BY24=2,$AF$82,IF(BY24=3,$AF$83,IF(BY24=4,$AF$84,IF(BY24=5,$AF$85,IF(BY24=6,$AF$86,IF(BY24=7,$AF$87,$AF$88)))))))</f>
        <v>-0.82299999999999995</v>
      </c>
      <c r="DE24" s="84">
        <f>IF(BY24=1,$AG$81,IF(BY24=2,$AG$82,IF(BY24=3,$AG$83,IF(BY24=4,$AG$84,IF(BY24=5,$AG$85,IF(BY24=6,$AG$86,IF(BY24=7,$AG$87,$AG$88)))))))</f>
        <v>5.6000000000000001E-2</v>
      </c>
      <c r="DF24" s="84">
        <f t="shared" si="55"/>
        <v>0.35210582348720165</v>
      </c>
      <c r="DG24" s="84">
        <f t="shared" si="56"/>
        <v>0.2455410911262558</v>
      </c>
      <c r="DH24" s="106">
        <f>IF(BN24&lt;0,0,((0.5*(1-DF24)*(1+COS(RADIANS($BU$15))))+(DF24*(CO24/CP24))+(DG24*SIN(RADIANS($BU$15))))*'Irradiancia Horizontal'!D47)</f>
        <v>40.490692007239559</v>
      </c>
      <c r="DI24" s="106">
        <f t="shared" si="204"/>
        <v>2.3068630231888982</v>
      </c>
      <c r="DJ24" s="84">
        <f>DI24*'Irradiancia Horizontal'!D76</f>
        <v>123.27371173927277</v>
      </c>
      <c r="DK24" s="84">
        <f t="shared" si="205"/>
        <v>163.76440374651233</v>
      </c>
      <c r="DL24" s="88">
        <f t="shared" si="57"/>
        <v>17257.593549602974</v>
      </c>
      <c r="DM24" s="84">
        <f t="shared" si="206"/>
        <v>12351.311054931979</v>
      </c>
      <c r="DN24" s="106">
        <f t="shared" si="207"/>
        <v>31303.172942170841</v>
      </c>
      <c r="DO24" s="106">
        <f t="shared" si="208"/>
        <v>9188.4242726398752</v>
      </c>
      <c r="DP24" s="106">
        <f t="shared" si="209"/>
        <v>14094.706767310869</v>
      </c>
      <c r="DQ24" s="44"/>
      <c r="DS24" s="39">
        <v>0.29166666666666702</v>
      </c>
      <c r="DT24" s="38">
        <v>75</v>
      </c>
      <c r="DU24" s="38">
        <f t="shared" si="58"/>
        <v>12.871375773155972</v>
      </c>
      <c r="DV24" s="38">
        <f t="shared" si="59"/>
        <v>97.778783184534774</v>
      </c>
      <c r="DW24" s="38">
        <f t="shared" si="60"/>
        <v>77.128624226844025</v>
      </c>
      <c r="DX24" s="38">
        <f>+'Irradiancia Horizontal'!E76/COS(RADIANS(DW24))</f>
        <v>416.31978082568105</v>
      </c>
      <c r="DY24" s="38">
        <f>((('Irradiancia Horizontal'!E47+DX24)/'Irradiancia Horizontal'!E47)+1.041*((RADIANS('Cálculos iluminancia'!DW24))^3))/(1+1.041*((RADIANS('Cálculos iluminancia'!DW24))^3))</f>
        <v>3.1837567713058799</v>
      </c>
      <c r="DZ24" s="84">
        <f t="shared" si="61"/>
        <v>4.4078716822038064</v>
      </c>
      <c r="EA24" s="84">
        <f t="shared" si="210"/>
        <v>4.2991166063888029</v>
      </c>
      <c r="EB24" s="106">
        <f>'Irradiancia Horizontal'!E47*EA24/$DZ$15</f>
        <v>0.16564544440015314</v>
      </c>
      <c r="EC24" s="84">
        <f>((17.27*Temp!D17)/(237.7+Temp!D17))+LN(HR!D28/100)</f>
        <v>0.40416517350607983</v>
      </c>
      <c r="ED24" s="84">
        <f t="shared" si="211"/>
        <v>5.6961343882890541</v>
      </c>
      <c r="EE24" s="84">
        <f t="shared" si="212"/>
        <v>1.3822732233003843</v>
      </c>
      <c r="EF24" s="84">
        <f>IF(DY24&lt;$E$81,1,IF(DY24&lt;$E$82,2,IF(DY24&lt;$E$83,3,IF(DY24&lt;$E$84,4,IF(DY24&lt;$E$85,5,IF(DY24&lt;$E$86,6,IF(DY24&lt;$E$87,7,8)))))))</f>
        <v>6</v>
      </c>
      <c r="EG24" s="84">
        <f>IF(EF24=1,$H$81,IF(EF24=2,$H$82,IF(EF24=3,$H$83,IF(EF24=4,$H$84,IF(EF24=5,$H$85,IF(EF24=6,$H$86,IF(EF24=7,$H$87,$H$88)))))))</f>
        <v>88.34</v>
      </c>
      <c r="EH24" s="84">
        <f>IF(EF24=1,$I$81,IF(EF24=2,$I$82,IF(EF24=3,$I$83,IF(EF24=4,$I$84,IF(EF24=5,$I$85,IF(EF24=6,$I$86,IF(EF24=7,$I$87,$I$88)))))))</f>
        <v>1.39</v>
      </c>
      <c r="EI24" s="84">
        <f>IF(EF24=1,$J$81,IF(EF24=2,$J$82,IF(EF24=3,$J$83,IF(EF24=4,$J$84,IF(EF24=5,$J$85,IF(EF24=6,$J$86,IF(EF24=7,$J$87,$J$88)))))))</f>
        <v>6.06</v>
      </c>
      <c r="EJ24" s="84">
        <f>IF(EF24=1,$K$81,IF(EF24=2,$K$82,IF(EF24=3,$K$83,IF(EF24=4,$K$84,IF(EF24=5,$K$85,IF(EF24=6,$K$86,IF(EF24=7,$K$87,$K$88)))))))</f>
        <v>-7.6</v>
      </c>
      <c r="EK24" s="103">
        <f t="shared" si="67"/>
        <v>105.27538718285857</v>
      </c>
      <c r="EL24" s="165">
        <f>IF(ER24&gt;(EK24*'Irradiancia Horizontal'!E15),ER24,EK24*'Irradiancia Horizontal'!E15)</f>
        <v>15433.808364167451</v>
      </c>
      <c r="EM24" s="84">
        <f>IF(EF24=1,$N$81,IF(EF24=2,$N$82,IF(EF24=3,$N$83,IF(EF24=4,$N$84,IF(EF24=5,$N$85,IF(EF24=6,$N$86,IF(EF24=7,$N$87,$N$88)))))))</f>
        <v>106.42</v>
      </c>
      <c r="EN24" s="84">
        <f>IF(EF24=1,$O$81,IF(EF24=2,$O$82,IF(EF24=3,$O$83,IF(EF24=4,$O$84,IF(EF24=5,$O$85,IF(EF24=6,$O$86,IF(EF24=7,$O$87,$O$88)))))))</f>
        <v>3.83</v>
      </c>
      <c r="EO24" s="84">
        <f>IF(EF24=1,$P$81,IF(EF24=2,$P$82,IF(EF24=3,$P$83,IF(EF24=4,$P$84,IF(EF24=5,$P$85,IF(EF24=6,$P$86,IF(EF24=7,$P$87,$P$88)))))))</f>
        <v>-36.15</v>
      </c>
      <c r="EP24" s="84">
        <f>IF(EF24=1,$Q$81,IF(EF24=2,$Q$82,IF(EF24=3,$Q$83,IF(EF24=4,$Q$84,IF(EF24=5,$Q$85,IF(EF24=6,$Q$86,IF(EF24=7,$Q$87,$Q$88)))))))</f>
        <v>-28.83</v>
      </c>
      <c r="EQ24" s="103">
        <f t="shared" si="72"/>
        <v>155.49483995980322</v>
      </c>
      <c r="ER24" s="84">
        <f>+EQ24*'Irradiancia Horizontal'!E47</f>
        <v>8375.4897901169006</v>
      </c>
      <c r="ES24" s="84">
        <f t="shared" si="213"/>
        <v>7058.3185740505505</v>
      </c>
      <c r="ET24" s="84">
        <f>+ES24/'Irradiancia Horizontal'!E76</f>
        <v>76.10810999507359</v>
      </c>
      <c r="EU24" s="38">
        <f t="shared" si="73"/>
        <v>0.13194772611544184</v>
      </c>
      <c r="EV24" s="84">
        <f t="shared" si="214"/>
        <v>0.13194772611544184</v>
      </c>
      <c r="EW24" s="84">
        <f t="shared" si="215"/>
        <v>0.22276311014614572</v>
      </c>
      <c r="EX24" s="84">
        <f t="shared" si="216"/>
        <v>1.4259999999999999</v>
      </c>
      <c r="EY24" s="84">
        <f t="shared" si="217"/>
        <v>-0.65300000000000002</v>
      </c>
      <c r="EZ24" s="84">
        <f t="shared" si="218"/>
        <v>-0.77900000000000003</v>
      </c>
      <c r="FA24" s="84">
        <f t="shared" si="219"/>
        <v>0.42499999999999999</v>
      </c>
      <c r="FB24" s="84">
        <f t="shared" si="220"/>
        <v>-0.78500000000000003</v>
      </c>
      <c r="FC24" s="84">
        <f t="shared" si="221"/>
        <v>-9.7000000000000003E-2</v>
      </c>
      <c r="FD24" s="84">
        <f t="shared" si="74"/>
        <v>0.2691838898193144</v>
      </c>
      <c r="FE24" s="84">
        <f t="shared" si="75"/>
        <v>0.16439192743756603</v>
      </c>
      <c r="FF24" s="88">
        <f t="shared" si="76"/>
        <v>5772.7544660073145</v>
      </c>
      <c r="FG24" s="84">
        <f>IF(EF24=1,$AB$81,IF(EF24=2,$AB$82,IF(EF24=3,$AB$83,IF(EF24=4,$AB$84,IF(EF24=5,$AB$85,IF(EF24=6,$AB$86,IF(EF24=7,$AB$87,$AB$88)))))))</f>
        <v>1.1319999999999999</v>
      </c>
      <c r="FH24" s="84">
        <f>IF(EF24=1,$AC$81,IF(EF24=2,$AC$82,IF(EF24=3,$AC$83,IF(EF24=4,$AC$84,IF(EF24=5,$AC$85,IF(EF24=6,$AC$86,IF(EF24=7,$AC$87,$AC$88)))))))</f>
        <v>-1.2370000000000001</v>
      </c>
      <c r="FI24" s="84">
        <f>IF(EF24=1,$AD$81,IF(EF24=2,$AD$82,IF(EF24=3,$AD$83,IF(EF24=4,$AD$84,IF(EF24=5,$AD$85,IF(EF24=6,$AD$86,IF(EF24=7,$AD$87,$AD$88)))))))</f>
        <v>-0.41199999999999998</v>
      </c>
      <c r="FJ24" s="84">
        <f>IF(EF24=1,$AE$81,IF(EF24=2,$AE$82,IF(EF24=3,$AE$83,IF(EF24=4,$AE$84,IF(EF24=5,$AE$85,IF(EF24=6,$AE$86,IF(EF24=7,$AE$87,$AE$88)))))))</f>
        <v>0.28799999999999998</v>
      </c>
      <c r="FK24" s="84">
        <f>IF(EF24=1,$AF$81,IF(EF24=2,$AF$82,IF(EF24=3,$AF$83,IF(EF24=4,$AF$84,IF(EF24=5,$AF$85,IF(EF24=6,$AF$86,IF(EF24=7,$AF$87,$AF$88)))))))</f>
        <v>-0.82299999999999995</v>
      </c>
      <c r="FL24" s="84">
        <f>IF(EF24=1,$AG$81,IF(EF24=2,$AG$82,IF(EF24=3,$AG$83,IF(EF24=4,$AG$84,IF(EF24=5,$AG$85,IF(EF24=6,$AG$86,IF(EF24=7,$AG$87,$AG$88)))))))</f>
        <v>5.6000000000000001E-2</v>
      </c>
      <c r="FM24" s="84">
        <f t="shared" si="83"/>
        <v>0.37248342787675015</v>
      </c>
      <c r="FN24" s="84">
        <f t="shared" si="84"/>
        <v>0.22705811191502001</v>
      </c>
      <c r="FO24" s="106">
        <f>IF(DU24&lt;0,0,((0.5*(1-FM24)*(1+COS(RADIANS($EB$15))))+(FM24*(EV24/EW24))+(FN24*SIN(RADIANS($EB$15))))*'Irradiancia Horizontal'!E47)</f>
        <v>41.014164248241059</v>
      </c>
      <c r="FP24" s="106">
        <f t="shared" si="222"/>
        <v>0.5923230557738054</v>
      </c>
      <c r="FQ24" s="84">
        <f>FP24*'Irradiancia Horizontal'!E76</f>
        <v>54.932448416827732</v>
      </c>
      <c r="FR24" s="84">
        <f t="shared" si="223"/>
        <v>95.946612665068784</v>
      </c>
      <c r="FS24" s="88">
        <f t="shared" si="85"/>
        <v>10100.816797198877</v>
      </c>
      <c r="FT24" s="84">
        <f t="shared" si="224"/>
        <v>4328.0623311915624</v>
      </c>
      <c r="FU24" s="106">
        <f t="shared" si="225"/>
        <v>31685.311672205858</v>
      </c>
      <c r="FV24" s="106">
        <f t="shared" si="226"/>
        <v>4180.804826406631</v>
      </c>
      <c r="FW24" s="106">
        <f t="shared" si="227"/>
        <v>9953.5592924139455</v>
      </c>
      <c r="FX24" s="83"/>
      <c r="FZ24" s="39">
        <v>0.29166666666666702</v>
      </c>
      <c r="GA24" s="38">
        <v>75</v>
      </c>
      <c r="GB24" s="38">
        <f t="shared" si="86"/>
        <v>18.611242908560452</v>
      </c>
      <c r="GC24" s="38">
        <f t="shared" si="87"/>
        <v>86.84353717995613</v>
      </c>
      <c r="GD24" s="38">
        <f t="shared" si="88"/>
        <v>71.388757091439544</v>
      </c>
      <c r="GE24" s="38">
        <f>+'Irradiancia Horizontal'!F76/COS(RADIANS(GD24))</f>
        <v>511.75530177352016</v>
      </c>
      <c r="GF24" s="38">
        <f>((('Irradiancia Horizontal'!F47+GE24)/'Irradiancia Horizontal'!F47)+1.041*((RADIANS('Cálculos iluminancia'!GD24))^3))/(1+1.041*((RADIANS('Cálculos iluminancia'!GD24))^3))</f>
        <v>3.5059917578580682</v>
      </c>
      <c r="GG24" s="84">
        <f t="shared" si="89"/>
        <v>3.1074530845982022</v>
      </c>
      <c r="GH24" s="84">
        <f t="shared" ref="GH24:GH41" si="276">GG24*$GF$15</f>
        <v>3.0307831358854305</v>
      </c>
      <c r="GI24" s="106">
        <f>'Irradiancia Horizontal'!F47*GH24/$GG$15</f>
        <v>0.149591637666245</v>
      </c>
      <c r="GJ24" s="84">
        <f>((17.27*Temp!E17)/(237.7+Temp!E17))+LN(HR!E28/100)</f>
        <v>0.54563493967976939</v>
      </c>
      <c r="GK24" s="84">
        <f t="shared" si="228"/>
        <v>7.7549984525031519</v>
      </c>
      <c r="GL24" s="84">
        <f t="shared" si="229"/>
        <v>1.5965577280929493</v>
      </c>
      <c r="GM24" s="84">
        <f>IF(GF24&lt;$E$81,1,IF(GF24&lt;$E$82,2,IF(GF24&lt;$E$83,3,IF(GF24&lt;$E$84,4,IF(GF24&lt;$E$85,5,IF(GF24&lt;$E$86,6,IF(GF24&lt;$E$87,7,8)))))))</f>
        <v>6</v>
      </c>
      <c r="GN24" s="84">
        <f>IF(GM24=1,$H$81,IF(GM24=2,$H$82,IF(GM24=3,$H$83,IF(GM24=4,$H$84,IF(GM24=5,$H$85,IF(GM24=6,$H$86,IF(GM24=7,$H$87,$H$88)))))))</f>
        <v>88.34</v>
      </c>
      <c r="GO24" s="84">
        <f>IF(GM24=1,$I$81,IF(GM24=2,$I$82,IF(GM24=3,$I$83,IF(GM24=4,$I$84,IF(GM24=5,$I$85,IF(GM24=6,$I$86,IF(GM24=7,$I$87,$I$88)))))))</f>
        <v>1.39</v>
      </c>
      <c r="GP24" s="84">
        <f>IF(GM24=1,$J$81,IF(GM24=2,$J$82,IF(GM24=3,$J$83,IF(GM24=4,$J$84,IF(GM24=5,$J$85,IF(GM24=6,$J$86,IF(GM24=7,$J$87,$J$88)))))))</f>
        <v>6.06</v>
      </c>
      <c r="GQ24" s="84">
        <f>IF(GM24=1,$K$81,IF(GM24=2,$K$82,IF(GM24=3,$K$83,IF(GM24=4,$K$84,IF(GM24=5,$K$85,IF(GM24=6,$K$86,IF(GM24=7,$K$87,$K$88)))))))</f>
        <v>-7.6</v>
      </c>
      <c r="GR24" s="103">
        <f t="shared" si="96"/>
        <v>106.93206609577118</v>
      </c>
      <c r="GS24" s="165">
        <f>IF(GY24&gt;(GR24*'Irradiancia Horizontal'!F15),GY24,GR24*'Irradiancia Horizontal'!F15)</f>
        <v>24710.726130726976</v>
      </c>
      <c r="GT24" s="84">
        <f>IF(GM24=1,$N$81,IF(GM24=2,$N$82,IF(GM24=3,$N$83,IF(GM24=4,$N$84,IF(GM24=5,$N$85,IF(GM24=6,$N$86,IF(GM24=7,$N$87,$N$88)))))))</f>
        <v>106.42</v>
      </c>
      <c r="GU24" s="84">
        <f>IF(GM24=1,$O$81,IF(GM24=2,$O$82,IF(GM24=3,$O$83,IF(GM24=4,$O$84,IF(GM24=5,$O$85,IF(GM24=6,$O$86,IF(GM24=7,$O$87,$O$88)))))))</f>
        <v>3.83</v>
      </c>
      <c r="GV24" s="84">
        <f>IF(GM24=1,$P$81,IF(GM24=2,$P$82,IF(GM24=3,$P$83,IF(GM24=4,$P$84,IF(GM24=5,$P$85,IF(GM24=6,$P$86,IF(GM24=7,$P$87,$P$88)))))))</f>
        <v>-36.15</v>
      </c>
      <c r="GW24" s="84">
        <f>IF(GM24=1,$Q$81,IF(GM24=2,$Q$82,IF(GM24=3,$Q$83,IF(GM24=4,$Q$84,IF(GM24=5,$Q$85,IF(GM24=6,$Q$86,IF(GM24=7,$Q$87,$Q$88)))))))</f>
        <v>-28.83</v>
      </c>
      <c r="GX24" s="103">
        <f t="shared" si="101"/>
        <v>155.77027767240114</v>
      </c>
      <c r="GY24" s="84">
        <f>+GX24*'Irradiancia Horizontal'!F47</f>
        <v>10555.584965720096</v>
      </c>
      <c r="GZ24" s="84">
        <f t="shared" si="230"/>
        <v>14155.14116500688</v>
      </c>
      <c r="HA24" s="84">
        <f>+GZ24/'Irradiancia Horizontal'!F76</f>
        <v>86.668928770140681</v>
      </c>
      <c r="HB24" s="38">
        <f t="shared" si="102"/>
        <v>-5.2183341408320927E-2</v>
      </c>
      <c r="HC24" s="84">
        <f t="shared" si="231"/>
        <v>0</v>
      </c>
      <c r="HD24" s="84">
        <f t="shared" si="232"/>
        <v>0.31914527974400181</v>
      </c>
      <c r="HE24" s="84">
        <f t="shared" si="233"/>
        <v>1.4259999999999999</v>
      </c>
      <c r="HF24" s="84">
        <f t="shared" si="234"/>
        <v>-0.65300000000000002</v>
      </c>
      <c r="HG24" s="84">
        <f t="shared" si="235"/>
        <v>-0.77900000000000003</v>
      </c>
      <c r="HH24" s="84">
        <f t="shared" si="236"/>
        <v>0.42499999999999999</v>
      </c>
      <c r="HI24" s="84">
        <f t="shared" si="237"/>
        <v>-0.78500000000000003</v>
      </c>
      <c r="HJ24" s="84">
        <f t="shared" si="238"/>
        <v>-9.7000000000000003E-2</v>
      </c>
      <c r="HK24" s="84">
        <f t="shared" si="103"/>
        <v>0.35770691854547898</v>
      </c>
      <c r="HL24" s="84">
        <f t="shared" si="104"/>
        <v>0.1867115849972468</v>
      </c>
      <c r="HM24" s="88">
        <f t="shared" si="105"/>
        <v>5360.7395966163958</v>
      </c>
      <c r="HN24" s="84">
        <f>IF(GM24=1,$AB$81,IF(GM24=2,$AB$82,IF(GM24=3,$AB$83,IF(GM24=4,$AB$84,IF(GM24=5,$AB$85,IF(GM24=6,$AB$86,IF(GM24=7,$AB$87,$AB$88)))))))</f>
        <v>1.1319999999999999</v>
      </c>
      <c r="HO24" s="84">
        <f>IF(GM24=1,$AC$81,IF(GM24=2,$AC$82,IF(GM24=3,$AC$83,IF(GM24=4,$AC$84,IF(GM24=5,$AC$85,IF(GM24=6,$AC$86,IF(GM24=7,$AC$87,$AC$88)))))))</f>
        <v>-1.2370000000000001</v>
      </c>
      <c r="HP24" s="84">
        <f>IF(GM24=1,$AD$81,IF(GM24=2,$AD$82,IF(GM24=3,$AD$83,IF(GM24=4,$AD$84,IF(GM24=5,$AD$85,IF(GM24=6,$AD$86,IF(GM24=7,$AD$87,$AD$88)))))))</f>
        <v>-0.41199999999999998</v>
      </c>
      <c r="HQ24" s="84">
        <f>IF(GM24=1,$AE$81,IF(GM24=2,$AE$82,IF(GM24=3,$AE$83,IF(GM24=4,$AE$84,IF(GM24=5,$AE$85,IF(GM24=6,$AE$86,IF(GM24=7,$AE$87,$AE$88)))))))</f>
        <v>0.28799999999999998</v>
      </c>
      <c r="HR24" s="84">
        <f>IF(GM24=1,$AF$81,IF(GM24=2,$AF$82,IF(GM24=3,$AF$83,IF(GM24=4,$AF$84,IF(GM24=5,$AF$85,IF(GM24=6,$AF$86,IF(GM24=7,$AF$87,$AF$88)))))))</f>
        <v>-0.82299999999999995</v>
      </c>
      <c r="HS24" s="84">
        <f>IF(GM24=1,$AG$81,IF(GM24=2,$AG$82,IF(GM24=3,$AG$83,IF(GM24=4,$AG$84,IF(GM24=5,$AG$85,IF(GM24=6,$AG$86,IF(GM24=7,$AG$87,$AG$88)))))))</f>
        <v>5.6000000000000001E-2</v>
      </c>
      <c r="HT24" s="84">
        <f t="shared" si="112"/>
        <v>0.43361597382420169</v>
      </c>
      <c r="HU24" s="84">
        <f t="shared" si="113"/>
        <v>0.23466033836919631</v>
      </c>
      <c r="HV24" s="106">
        <f>IF(GB24&lt;0,0,((0.5*(1-HT24)*(1+COS(RADIANS($GI$15))))+(HT24*(HC24/HD24))+(HU24*SIN(RADIANS($GI$15))))*'Irradiancia Horizontal'!F47)</f>
        <v>35.091639927607353</v>
      </c>
      <c r="HW24" s="84">
        <f t="shared" si="114"/>
        <v>0</v>
      </c>
      <c r="HX24" s="84">
        <f>HW24*'Irradiancia Horizontal'!F76</f>
        <v>0</v>
      </c>
      <c r="HY24" s="84">
        <f t="shared" si="239"/>
        <v>35.091639927607353</v>
      </c>
      <c r="HZ24" s="88">
        <f t="shared" si="115"/>
        <v>3752.4215601479123</v>
      </c>
      <c r="IA24" s="84">
        <f t="shared" si="240"/>
        <v>-1608.3180364684836</v>
      </c>
      <c r="IB24" s="106">
        <f t="shared" si="241"/>
        <v>44353.283797151067</v>
      </c>
      <c r="IC24" s="106">
        <f t="shared" si="242"/>
        <v>0</v>
      </c>
      <c r="ID24" s="106">
        <f t="shared" si="243"/>
        <v>5360.7395966163958</v>
      </c>
      <c r="IE24" s="83"/>
      <c r="IG24" s="39">
        <v>0.29166666666666702</v>
      </c>
      <c r="IH24" s="38">
        <v>75</v>
      </c>
      <c r="II24" s="38">
        <f t="shared" si="116"/>
        <v>22.314889941656379</v>
      </c>
      <c r="IJ24" s="38">
        <f t="shared" si="117"/>
        <v>78.604772740992317</v>
      </c>
      <c r="IK24" s="38">
        <f t="shared" si="118"/>
        <v>67.685110058343625</v>
      </c>
      <c r="IL24" s="38">
        <f>+'Irradiancia Horizontal'!G76/COS(RADIANS(IK24))</f>
        <v>741.98135259017374</v>
      </c>
      <c r="IM24" s="38">
        <f>((('Irradiancia Horizontal'!G47+IL24)/'Irradiancia Horizontal'!G47)+1.041*((RADIANS('Cálculos iluminancia'!IK24))^3))/(1+1.041*((RADIANS('Cálculos iluminancia'!IK24))^3))</f>
        <v>7.0301983153841761</v>
      </c>
      <c r="IN24" s="87">
        <f t="shared" si="119"/>
        <v>2.6190755036622839</v>
      </c>
      <c r="IO24" s="87">
        <f>IN24*$IM$15</f>
        <v>2.5544552570893164</v>
      </c>
      <c r="IP24" s="106">
        <f>'Irradiancia Horizontal'!G47*IO24/$IN$15</f>
        <v>8.5525768617754488E-2</v>
      </c>
      <c r="IQ24" s="87">
        <f>((17.27*Temp!F17)/(237.7+Temp!F17))+LN(HR!F28/100)</f>
        <v>0.73471918323296836</v>
      </c>
      <c r="IR24" s="87">
        <f t="shared" si="244"/>
        <v>10.56182545611116</v>
      </c>
      <c r="IS24" s="87">
        <f t="shared" si="245"/>
        <v>1.9431838389041083</v>
      </c>
      <c r="IT24" s="87">
        <f>IF(IM24&lt;$E$81,1,IF(IM24&lt;$E$82,2,IF(IM24&lt;$E$83,3,IF(IM24&lt;$E$84,4,IF(IM24&lt;$E$85,5,IF(IM24&lt;$E$86,6,IF(IM24&lt;$E$87,7,8)))))))</f>
        <v>8</v>
      </c>
      <c r="IU24" s="87">
        <f>IF(IT24=1,$H$81,IF(IT24=2,$H$82,IF(IT24=3,$H$83,IF(IT24=4,$H$84,IF(IT24=5,$H$85,IF(IT24=6,$H$86,IF(IT24=7,$H$87,$H$88)))))))</f>
        <v>99.65</v>
      </c>
      <c r="IV24" s="87">
        <f>IF(IT24=1,$I$81,IF(IT24=2,$I$82,IF(IT24=3,$I$83,IF(IT24=4,$I$84,IF(IT24=5,$I$85,IF(IT24=6,$I$86,IF(IT24=7,$I$87,$I$88)))))))</f>
        <v>1.86</v>
      </c>
      <c r="IW24" s="87">
        <f>IF(IT24=1,$J$81,IF(IT24=2,$J$82,IF(IT24=3,$J$83,IF(IT24=4,$J$84,IF(IT24=5,$J$85,IF(IT24=6,$J$86,IF(IT24=7,$J$87,$J$88)))))))</f>
        <v>-4.46</v>
      </c>
      <c r="IX24" s="87">
        <f>IF(IT24=1,$K$81,IF(IT24=2,$K$82,IF(IT24=3,$K$83,IF(IT24=4,$K$84,IF(IT24=5,$K$85,IF(IT24=6,$K$86,IF(IT24=7,$K$87,$K$88)))))))</f>
        <v>-3.15</v>
      </c>
      <c r="IY24" s="103">
        <f t="shared" si="126"/>
        <v>109.31652847164708</v>
      </c>
      <c r="IZ24" s="165">
        <f>IF(JF24&gt;(IY24*'Irradiancia Horizontal'!G15),JF24,IY24*'Irradiancia Horizontal'!G15)</f>
        <v>35749.599763842678</v>
      </c>
      <c r="JA24" s="87">
        <f>IF(IT24=1,$N$81,IF(IT24=2,$N$82,IF(IT24=3,$N$83,IF(IT24=4,$N$84,IF(IT24=5,$N$85,IF(IT24=6,$N$86,IF(IT24=7,$N$87,$N$88)))))))</f>
        <v>152.22999999999999</v>
      </c>
      <c r="JB24" s="87">
        <f>IF(IT24=1,$O$81,IF(IT24=2,$O$82,IF(IT24=3,$O$83,IF(IT24=4,$O$84,IF(IT24=5,$O$85,IF(IT24=6,$O$86,IF(IT24=7,$O$87,$O$88)))))))</f>
        <v>0.35</v>
      </c>
      <c r="JC24" s="87">
        <f>IF(IT24=1,$P$81,IF(IT24=2,$P$82,IF(IT24=3,$P$83,IF(IT24=4,$P$84,IF(IT24=5,$P$85,IF(IT24=6,$P$86,IF(IT24=7,$P$87,$P$88)))))))</f>
        <v>-45.27</v>
      </c>
      <c r="JD24" s="87">
        <f>IF(IT24=1,$Q$81,IF(IT24=2,$Q$82,IF(IT24=3,$Q$83,IF(IT24=4,$Q$84,IF(IT24=5,$Q$85,IF(IT24=6,$Q$86,IF(IT24=7,$Q$87,$Q$88)))))))</f>
        <v>-7.98</v>
      </c>
      <c r="JE24" s="103">
        <f t="shared" si="131"/>
        <v>155.3435715047556</v>
      </c>
      <c r="JF24" s="87">
        <f>+JE24*'Irradiancia Horizontal'!G47</f>
        <v>7037.1450801171313</v>
      </c>
      <c r="JG24" s="87">
        <f t="shared" si="246"/>
        <v>28712.454683725548</v>
      </c>
      <c r="JH24" s="87">
        <f>+JG24/'Irradiancia Horizontal'!G76</f>
        <v>101.91559317188437</v>
      </c>
      <c r="JI24" s="38">
        <f t="shared" si="132"/>
        <v>-0.18277945247986727</v>
      </c>
      <c r="JJ24" s="87">
        <f t="shared" si="247"/>
        <v>0</v>
      </c>
      <c r="JK24" s="87">
        <f t="shared" si="248"/>
        <v>0.37969658883324864</v>
      </c>
      <c r="JL24" s="87">
        <f t="shared" si="249"/>
        <v>1.17</v>
      </c>
      <c r="JM24" s="87">
        <f t="shared" si="250"/>
        <v>-0.3</v>
      </c>
      <c r="JN24" s="87">
        <f t="shared" si="251"/>
        <v>-0.61499999999999999</v>
      </c>
      <c r="JO24" s="87">
        <f t="shared" si="252"/>
        <v>0.51800000000000002</v>
      </c>
      <c r="JP24" s="87">
        <f t="shared" si="253"/>
        <v>-1.8919999999999999</v>
      </c>
      <c r="JQ24" s="87">
        <f t="shared" si="254"/>
        <v>-5.5E-2</v>
      </c>
      <c r="JR24" s="87">
        <f t="shared" si="133"/>
        <v>0.41782553398258471</v>
      </c>
      <c r="JS24" s="87">
        <f t="shared" si="134"/>
        <v>0.29121220439510298</v>
      </c>
      <c r="JT24" s="88">
        <f t="shared" si="135"/>
        <v>4097.7256210811993</v>
      </c>
      <c r="JU24" s="87">
        <f>IF(IT24=1,$AB$81,IF(IT24=2,$AB$82,IF(IT24=3,$AB$83,IF(IT24=4,$AB$84,IF(IT24=5,$AB$85,IF(IT24=6,$AB$86,IF(IT24=7,$AB$87,$AB$88)))))))</f>
        <v>0.67800000000000005</v>
      </c>
      <c r="JV24" s="87">
        <f>IF(IT24=1,$AC$81,IF(IT24=2,$AC$82,IF(IT24=3,$AC$83,IF(IT24=4,$AC$84,IF(IT24=5,$AC$85,IF(IT24=6,$AC$86,IF(IT24=7,$AC$87,$AC$88)))))))</f>
        <v>-0.32700000000000001</v>
      </c>
      <c r="JW24" s="87">
        <f>IF(IT24=1,$AD$81,IF(IT24=2,$AD$82,IF(IT24=3,$AD$83,IF(IT24=4,$AD$84,IF(IT24=5,$AD$85,IF(IT24=6,$AD$86,IF(IT24=7,$AD$87,$AD$88)))))))</f>
        <v>-0.25</v>
      </c>
      <c r="JX24" s="87">
        <f>IF(IT24=1,$AE$81,IF(IT24=2,$AE$82,IF(IT24=3,$AE$83,IF(IT24=4,$AE$84,IF(IT24=5,$AE$85,IF(IT24=6,$AE$86,IF(IT24=7,$AE$87,$AE$88)))))))</f>
        <v>0.156</v>
      </c>
      <c r="JY24" s="87">
        <f>IF(IT24=1,$AF$81,IF(IT24=2,$AF$82,IF(IT24=3,$AF$83,IF(IT24=4,$AF$84,IF(IT24=5,$AF$85,IF(IT24=6,$AF$86,IF(IT24=7,$AF$87,$AF$88)))))))</f>
        <v>-1.377</v>
      </c>
      <c r="JZ24" s="87">
        <f>IF(IT24=1,$AG$81,IF(IT24=2,$AG$82,IF(IT24=3,$AG$83,IF(IT24=4,$AG$84,IF(IT24=5,$AG$85,IF(IT24=6,$AG$86,IF(IT24=7,$AG$87,$AG$88)))))))</f>
        <v>0.251</v>
      </c>
      <c r="KA24" s="87">
        <f t="shared" si="142"/>
        <v>0.35470106738878748</v>
      </c>
      <c r="KB24" s="87">
        <f t="shared" si="143"/>
        <v>0.33474435091165178</v>
      </c>
      <c r="KC24" s="106">
        <f>IF(II24&lt;0,0,((0.5*(1-KA24)*(1+COS(RADIANS($IP$15))))+(KA24*(JJ24/JK24))+(KB24*SIN(RADIANS($IP$15))))*'Irradiancia Horizontal'!G47)</f>
        <v>29.780283932690608</v>
      </c>
      <c r="KD24" s="87">
        <f t="shared" si="144"/>
        <v>0</v>
      </c>
      <c r="KE24" s="87">
        <f>KD24*'Irradiancia Horizontal'!G76</f>
        <v>0</v>
      </c>
      <c r="KF24" s="87">
        <f t="shared" si="255"/>
        <v>29.780283932690608</v>
      </c>
      <c r="KG24" s="88">
        <f t="shared" si="145"/>
        <v>3255.4772564217069</v>
      </c>
      <c r="KH24" s="87">
        <f t="shared" si="256"/>
        <v>-842.24836465949238</v>
      </c>
      <c r="KI24" s="106">
        <f t="shared" si="257"/>
        <v>75619.469671704632</v>
      </c>
      <c r="KJ24" s="106">
        <f t="shared" si="258"/>
        <v>0</v>
      </c>
      <c r="KK24" s="106">
        <f t="shared" si="259"/>
        <v>4097.7256210811993</v>
      </c>
      <c r="KL24" s="86"/>
      <c r="KN24" s="39">
        <v>0.29166666666666702</v>
      </c>
      <c r="KO24" s="38">
        <v>75</v>
      </c>
      <c r="KP24" s="38">
        <f t="shared" si="146"/>
        <v>23.63600454935963</v>
      </c>
      <c r="KQ24" s="38">
        <f t="shared" si="147"/>
        <v>75.306075969479892</v>
      </c>
      <c r="KR24" s="38">
        <f t="shared" si="148"/>
        <v>66.363995450640374</v>
      </c>
      <c r="KS24" s="38">
        <f>+'Irradiancia Horizontal'!H76/COS(RADIANS(KR24))</f>
        <v>763.89790845759114</v>
      </c>
      <c r="KT24" s="38">
        <f>((('Irradiancia Horizontal'!H47+KS24)/'Irradiancia Horizontal'!H47)+1.041*((RADIANS('Cálculos iluminancia'!KR24))^3))/(1+1.041*((RADIANS('Cálculos iluminancia'!KR24))^3))</f>
        <v>7.4057633197618289</v>
      </c>
      <c r="KU24" s="87">
        <f t="shared" si="149"/>
        <v>2.4820642297670492</v>
      </c>
      <c r="KV24" s="87">
        <f>KU24*$KT$15</f>
        <v>2.4208244517181874</v>
      </c>
      <c r="KW24" s="106">
        <f>'Irradiancia Horizontal'!H47*KV24/$KU$15</f>
        <v>8.2189619091408123E-2</v>
      </c>
      <c r="KX24" s="87">
        <f>((17.27*Temp!G17)/(237.7+Temp!G17))+LN(HR!G28/100)</f>
        <v>1.0546096975451511</v>
      </c>
      <c r="KY24" s="87">
        <f t="shared" si="260"/>
        <v>15.45943208462468</v>
      </c>
      <c r="KZ24" s="87">
        <f t="shared" si="261"/>
        <v>2.7378152434131988</v>
      </c>
      <c r="LA24" s="87">
        <f>IF(KT24&lt;$E$81,1,IF(KT24&lt;$E$82,2,IF(KT24&lt;$E$83,3,IF(KT24&lt;$E$84,4,IF(KT24&lt;$E$85,5,IF(KT24&lt;$E$86,6,IF(KT24&lt;$E$87,7,8)))))))</f>
        <v>8</v>
      </c>
      <c r="LB24" s="87">
        <f>IF(LA24=1,$H$81,IF(LA24=2,$H$82,IF(LA24=3,$H$83,IF(LA24=4,$H$84,IF(LA24=5,$H$85,IF(LA24=6,$H$86,IF(LA24=7,$H$87,$H$88)))))))</f>
        <v>99.65</v>
      </c>
      <c r="LC24" s="87">
        <f>IF(LA24=1,$I$81,IF(LA24=2,$I$82,IF(LA24=3,$I$83,IF(LA24=4,$I$84,IF(LA24=5,$I$85,IF(LA24=6,$I$86,IF(LA24=7,$I$87,$I$88)))))))</f>
        <v>1.86</v>
      </c>
      <c r="LD24" s="87">
        <f>IF(LA24=1,$J$81,IF(LA24=2,$J$82,IF(LA24=3,$J$83,IF(LA24=4,$J$84,IF(LA24=5,$J$85,IF(LA24=6,$J$86,IF(LA24=7,$J$87,$J$88)))))))</f>
        <v>-4.46</v>
      </c>
      <c r="LE24" s="87">
        <f>IF(LA24=1,$K$81,IF(LA24=2,$K$82,IF(LA24=3,$K$83,IF(LA24=4,$K$84,IF(LA24=5,$K$85,IF(LA24=6,$K$86,IF(LA24=7,$K$87,$K$88)))))))</f>
        <v>-3.15</v>
      </c>
      <c r="LF24" s="103">
        <f t="shared" si="156"/>
        <v>110.82519953283672</v>
      </c>
      <c r="LG24" s="165">
        <f>IF(LM24&gt;(LF24*'Irradiancia Horizontal'!H15),LM24,LF24*'Irradiancia Horizontal'!H15)</f>
        <v>38990.8146733826</v>
      </c>
      <c r="LH24" s="87">
        <f>IF(LA24=1,$N$81,IF(LA24=2,$N$82,IF(LA24=3,$N$83,IF(LA24=4,$N$84,IF(LA24=5,$N$85,IF(LA24=6,$N$86,IF(LA24=7,$N$87,$N$88)))))))</f>
        <v>152.22999999999999</v>
      </c>
      <c r="LI24" s="87">
        <f>IF(LA24=1,$O$81,IF(LA24=2,$O$82,IF(LA24=3,$O$83,IF(LA24=4,$O$84,IF(LA24=5,$O$85,IF(LA24=6,$O$86,IF(LA24=7,$O$87,$O$88)))))))</f>
        <v>0.35</v>
      </c>
      <c r="LJ24" s="87">
        <f>IF(LA24=1,$P$81,IF(LA24=2,$P$82,IF(LA24=3,$P$83,IF(LA24=4,$P$84,IF(LA24=5,$P$85,IF(LA24=6,$P$86,IF(LA24=7,$P$87,$P$88)))))))</f>
        <v>-45.27</v>
      </c>
      <c r="LK24" s="87">
        <f>IF(LA24=1,$Q$81,IF(LA24=2,$Q$82,IF(LA24=3,$Q$83,IF(LA24=4,$Q$84,IF(LA24=5,$Q$85,IF(LA24=6,$Q$86,IF(LA24=7,$Q$87,$Q$88)))))))</f>
        <v>-7.98</v>
      </c>
      <c r="LL24" s="103">
        <f t="shared" si="161"/>
        <v>154.97820557564748</v>
      </c>
      <c r="LM24" s="87">
        <f>+LL24*'Irradiancia Horizontal'!H47</f>
        <v>7060.3470774851157</v>
      </c>
      <c r="LN24" s="87">
        <f t="shared" si="262"/>
        <v>31930.467595897484</v>
      </c>
      <c r="LO24" s="87">
        <f>+LN24/'Irradiancia Horizontal'!H76</f>
        <v>104.25743666478455</v>
      </c>
      <c r="LP24" s="38">
        <f t="shared" si="162"/>
        <v>-0.23237646580970389</v>
      </c>
      <c r="LQ24" s="87">
        <f t="shared" si="263"/>
        <v>0</v>
      </c>
      <c r="LR24" s="87">
        <f t="shared" si="264"/>
        <v>0.4009247939175325</v>
      </c>
      <c r="LS24" s="87">
        <f t="shared" si="265"/>
        <v>1.17</v>
      </c>
      <c r="LT24" s="87">
        <f t="shared" si="266"/>
        <v>-0.3</v>
      </c>
      <c r="LU24" s="87">
        <f t="shared" si="267"/>
        <v>-0.61499999999999999</v>
      </c>
      <c r="LV24" s="87">
        <f t="shared" si="268"/>
        <v>0.51800000000000002</v>
      </c>
      <c r="LW24" s="87">
        <f t="shared" si="269"/>
        <v>-1.8919999999999999</v>
      </c>
      <c r="LX24" s="87">
        <f t="shared" si="270"/>
        <v>-5.5E-2</v>
      </c>
      <c r="LY24" s="87">
        <f t="shared" si="163"/>
        <v>0.43300692565636667</v>
      </c>
      <c r="LZ24" s="87">
        <f t="shared" si="164"/>
        <v>0.29879237828248417</v>
      </c>
      <c r="MA24" s="88">
        <f t="shared" si="165"/>
        <v>4111.1618424797507</v>
      </c>
      <c r="MB24" s="87">
        <f>IF(LA24=1,$AB$81,IF(LA24=2,$AB$82,IF(LA24=3,$AB$83,IF(LA24=4,$AB$84,IF(LA24=5,$AB$85,IF(LA24=6,$AB$86,IF(LA24=7,$AB$87,$AB$88)))))))</f>
        <v>0.67800000000000005</v>
      </c>
      <c r="MC24" s="87">
        <f>IF(LA24=1,$AC$81,IF(LA24=2,$AC$82,IF(LA24=3,$AC$83,IF(LA24=4,$AC$84,IF(LA24=5,$AC$85,IF(LA24=6,$AC$86,IF(LA24=7,$AC$87,$AC$88)))))))</f>
        <v>-0.32700000000000001</v>
      </c>
      <c r="MD24" s="87">
        <f>IF(LA24=1,$AD$81,IF(LA24=2,$AD$82,IF(LA24=3,$AD$83,IF(LA24=4,$AD$84,IF(LA24=5,$AD$85,IF(LA24=6,$AD$86,IF(LA24=7,$AD$87,$AD$88)))))))</f>
        <v>-0.25</v>
      </c>
      <c r="ME24" s="87">
        <f>IF(LA24=1,$AE$81,IF(LA24=2,$AE$82,IF(LA24=3,$AE$83,IF(LA24=4,$AE$84,IF(LA24=5,$AE$85,IF(LA24=6,$AE$86,IF(LA24=7,$AE$87,$AE$88)))))))</f>
        <v>0.156</v>
      </c>
      <c r="MF24" s="87">
        <f>IF(LA24=1,$AF$81,IF(LA24=2,$AF$82,IF(LA24=3,$AF$83,IF(LA24=4,$AF$84,IF(LA24=5,$AF$85,IF(LA24=6,$AF$86,IF(LA24=7,$AF$87,$AF$88)))))))</f>
        <v>-1.377</v>
      </c>
      <c r="MG24" s="87">
        <f>IF(LA24=1,$AG$81,IF(LA24=2,$AG$82,IF(LA24=3,$AG$83,IF(LA24=4,$AG$84,IF(LA24=5,$AG$85,IF(LA24=6,$AG$86,IF(LA24=7,$AG$87,$AG$88)))))))</f>
        <v>0.251</v>
      </c>
      <c r="MH24" s="87">
        <f t="shared" si="172"/>
        <v>0.36155643820905642</v>
      </c>
      <c r="MI24" s="87">
        <f t="shared" si="173"/>
        <v>0.3335507210845764</v>
      </c>
      <c r="MJ24" s="106">
        <f>IF(KP24&lt;0,0,((0.5*(1-MH24)*(1+COS(RADIANS($KW$15))))+(MH24*(LQ24/LR24))+(MI24*SIN(RADIANS($KW$15))))*'Irradiancia Horizontal'!H47)</f>
        <v>29.738377789952196</v>
      </c>
      <c r="MK24" s="87">
        <f t="shared" si="174"/>
        <v>0</v>
      </c>
      <c r="ML24" s="87">
        <f>MK24*'Irradiancia Horizontal'!H76</f>
        <v>0</v>
      </c>
      <c r="MM24" s="87">
        <f t="shared" si="271"/>
        <v>29.738377789952196</v>
      </c>
      <c r="MN24" s="88">
        <f t="shared" si="175"/>
        <v>3295.761652354332</v>
      </c>
      <c r="MO24" s="87">
        <f t="shared" si="272"/>
        <v>-815.4001901254187</v>
      </c>
      <c r="MP24" s="106">
        <f t="shared" si="273"/>
        <v>79642.0378093787</v>
      </c>
      <c r="MQ24" s="106">
        <f t="shared" si="274"/>
        <v>0</v>
      </c>
      <c r="MR24" s="106">
        <f t="shared" si="275"/>
        <v>4111.1618424797507</v>
      </c>
    </row>
    <row r="25" spans="5:356" x14ac:dyDescent="0.25">
      <c r="E25" s="39">
        <v>0.33333333333333298</v>
      </c>
      <c r="F25" s="38">
        <v>60</v>
      </c>
      <c r="G25" s="38">
        <f t="shared" si="0"/>
        <v>14.059262104382505</v>
      </c>
      <c r="H25" s="38">
        <f t="shared" si="1"/>
        <v>123.05053955246156</v>
      </c>
      <c r="I25" s="38">
        <f t="shared" si="2"/>
        <v>75.940737895617502</v>
      </c>
      <c r="J25" s="38">
        <f>'Irradiancia Horizontal'!C77/COS(RADIANS(I25))</f>
        <v>559.36274174880509</v>
      </c>
      <c r="K25" s="38">
        <f>((('Irradiancia Horizontal'!C48+J25)/'Irradiancia Horizontal'!C48)+1.041*((RADIANS('Cálculos iluminancia'!I25))^3))/(1+1.041*((RADIANS('Cálculos iluminancia'!I25))^3))</f>
        <v>4.1597348687032492</v>
      </c>
      <c r="L25" s="36">
        <f t="shared" si="3"/>
        <v>4.0544841617637424</v>
      </c>
      <c r="M25" s="36">
        <f t="shared" si="4"/>
        <v>3.9544481888057255</v>
      </c>
      <c r="N25" s="106">
        <f>'Irradiancia Horizontal'!C48*M25/$L$15</f>
        <v>0.14265444196886165</v>
      </c>
      <c r="O25" s="71">
        <f>((17.27*Temp!B18)/(237.7+Temp!B18))+LN(HR!B29/100)</f>
        <v>0.32454866194298132</v>
      </c>
      <c r="P25" s="71">
        <f t="shared" si="176"/>
        <v>4.5525619474407106</v>
      </c>
      <c r="Q25" s="71">
        <f t="shared" si="177"/>
        <v>1.2759351188337413</v>
      </c>
      <c r="R25" s="71">
        <f t="shared" ref="R25:R41" si="277">IF(K25&lt;$E$81,1,IF(K25&lt;$E$82,2,IF(K25&lt;$E$83,3,IF(K25&lt;$E$84,4,IF(K25&lt;$E$85,5,IF(K25&lt;$E$86,6,IF(K25&lt;$E$87,7,8)))))))</f>
        <v>6</v>
      </c>
      <c r="S25" s="71">
        <f t="shared" si="6"/>
        <v>88.34</v>
      </c>
      <c r="T25" s="71">
        <f t="shared" si="7"/>
        <v>1.39</v>
      </c>
      <c r="U25" s="71">
        <f t="shared" si="8"/>
        <v>6.06</v>
      </c>
      <c r="V25" s="71">
        <f t="shared" si="9"/>
        <v>-7.6</v>
      </c>
      <c r="W25" s="103">
        <f t="shared" si="10"/>
        <v>106.38538598169865</v>
      </c>
      <c r="X25" s="165">
        <f>IF(AD25&gt;(W25*'Irradiancia Horizontal'!C16),AD25,W25*'Irradiancia Horizontal'!C16)</f>
        <v>19956.594725397277</v>
      </c>
      <c r="Y25" s="71">
        <f t="shared" ref="Y25:Y41" si="278">IF(R25=1,$N$81,IF(R25=2,$N$82,IF(R25=3,$N$83,IF(R25=4,$N$84,IF(R25=5,$N$85,IF(R25=6,$N$86,IF(R25=7,$N$87,$N$88)))))))</f>
        <v>106.42</v>
      </c>
      <c r="Z25" s="71">
        <f t="shared" ref="Z25:Z41" si="279">IF(R25=1,$O$81,IF(R25=2,$O$82,IF(R25=3,$O$83,IF(R25=4,$O$84,IF(R25=5,$O$85,IF(R25=6,$O$86,IF(R25=7,$O$87,$O$88)))))))</f>
        <v>3.83</v>
      </c>
      <c r="AA25" s="71">
        <f t="shared" ref="AA25:AA41" si="280">IF(R25=1,$P$81,IF(R25=2,$P$82,IF(R25=3,$P$83,IF(R25=4,$P$84,IF(R25=5,$P$85,IF(R25=6,$P$86,IF(R25=7,$P$87,$P$88)))))))</f>
        <v>-36.15</v>
      </c>
      <c r="AB25" s="71">
        <f t="shared" ref="AB25:AB41" si="281">IF(R25=1,$Q$81,IF(R25=2,$Q$82,IF(R25=3,$Q$83,IF(R25=4,$Q$84,IF(R25=5,$Q$85,IF(R25=6,$Q$86,IF(R25=7,$Q$87,$Q$88)))))))</f>
        <v>-28.83</v>
      </c>
      <c r="AC25" s="103">
        <f t="shared" si="15"/>
        <v>158.66660541156804</v>
      </c>
      <c r="AD25" s="71">
        <f>+AC25*'Irradiancia Horizontal'!C48</f>
        <v>8203.7536324341454</v>
      </c>
      <c r="AE25" s="71">
        <f t="shared" si="16"/>
        <v>11752.841092963132</v>
      </c>
      <c r="AF25" s="71">
        <f>+AE25/'Irradiancia Horizontal'!C77</f>
        <v>86.492105978092766</v>
      </c>
      <c r="AG25" s="38">
        <f t="shared" ref="AG25:AG41" si="282">SIN(RADIANS($G$15))*SIN(RADIANS($H$15))*COS(RADIANS($N$15))-SIN(RADIANS($G$15))*COS(RADIANS($H$15))*SIN(RADIANS($N$15))*COS(RADIANS($M$15))+COS(RADIANS($G$15))*COS(RADIANS($H$15))*COS(RADIANS($N$15))*COS(RADIANS(F25))+COS(RADIANS($G$15))*SIN(RADIANS($H$15))*SIN(RADIANS($N$15))*COS(RADIANS($M$15))*COS(RADIANS(F25))+COS(RADIANS($G$15))*SIN(RADIANS($N$15))*SIN(RADIANS($M$15))*SIN(RADIANS(F25))</f>
        <v>0.52904177366493466</v>
      </c>
      <c r="AH25" s="84">
        <f t="shared" si="178"/>
        <v>0.52904177366493466</v>
      </c>
      <c r="AI25" s="84">
        <f t="shared" si="179"/>
        <v>0.2429253611679433</v>
      </c>
      <c r="AJ25" s="84">
        <f t="shared" si="180"/>
        <v>1.4259999999999999</v>
      </c>
      <c r="AK25" s="84">
        <f t="shared" si="181"/>
        <v>-0.65300000000000002</v>
      </c>
      <c r="AL25" s="84">
        <f t="shared" si="182"/>
        <v>-0.77900000000000003</v>
      </c>
      <c r="AM25" s="84">
        <f t="shared" si="183"/>
        <v>0.42499999999999999</v>
      </c>
      <c r="AN25" s="84">
        <f t="shared" si="184"/>
        <v>-0.78500000000000003</v>
      </c>
      <c r="AO25" s="84">
        <f t="shared" si="185"/>
        <v>-9.7000000000000003E-2</v>
      </c>
      <c r="AP25" s="84">
        <f t="shared" si="18"/>
        <v>0.30034765342241254</v>
      </c>
      <c r="AQ25" s="84">
        <f t="shared" si="19"/>
        <v>0.1844509195252057</v>
      </c>
      <c r="AR25" s="88">
        <f t="shared" si="20"/>
        <v>9749.1183290310692</v>
      </c>
      <c r="AS25" s="84">
        <f t="shared" ref="AS25:AS40" si="283">IF(R25=1,$AB$81,IF(R25=2,$AB$82,IF(R25=3,$AB$83,IF(R25=4,$AB$84,IF(R25=5,$AB$85,IF(R25=6,$AB$86,IF(R25=7,$AB$87,$AB$88)))))))</f>
        <v>1.1319999999999999</v>
      </c>
      <c r="AT25" s="84">
        <f t="shared" ref="AT25:AT40" si="284">IF(R25=1,$AC$81,IF(R25=2,$AC$82,IF(R25=3,$AC$83,IF(R25=4,$AC$84,IF(R25=5,$AC$85,IF(R25=6,$AC$86,IF(R25=7,$AC$87,$AC$88)))))))</f>
        <v>-1.2370000000000001</v>
      </c>
      <c r="AU25" s="84">
        <f t="shared" ref="AU25:AU40" si="285">IF(R25=1,$AD$81,IF(R25=2,$AD$82,IF(R25=3,$AD$83,IF(R25=4,$AD$84,IF(R25=5,$AD$85,IF(R25=6,$AD$86,IF(R25=7,$AD$87,$AD$88)))))))</f>
        <v>-0.41199999999999998</v>
      </c>
      <c r="AV25" s="84">
        <f t="shared" ref="AV25:AV40" si="286">IF(R25=1,$AE$81,IF(R25=2,$AE$82,IF(R25=3,$AE$83,IF(R25=4,$AE$84,IF(R25=5,$AE$85,IF(R25=6,$AE$86,IF(R25=7,$AE$87,$AE$88)))))))</f>
        <v>0.28799999999999998</v>
      </c>
      <c r="AW25" s="84">
        <f t="shared" ref="AW25:AW40" si="287">IF(R25=1,$AF$81,IF(R25=2,$AF$82,IF(R25=3,$AF$83,IF(R25=4,$AF$84,IF(R25=5,$AF$85,IF(R25=6,$AF$86,IF(R25=7,$AF$87,$AF$88)))))))</f>
        <v>-0.82299999999999995</v>
      </c>
      <c r="AX25" s="84">
        <f t="shared" ref="AX25:AX40" si="288">IF(R25=1,$AG$81,IF(R25=2,$AG$82,IF(R25=3,$AG$83,IF(R25=4,$AG$84,IF(R25=5,$AG$85,IF(R25=6,$AG$86,IF(R25=7,$AG$87,$AG$88)))))))</f>
        <v>5.6000000000000001E-2</v>
      </c>
      <c r="AY25" s="84">
        <f t="shared" si="27"/>
        <v>0.40946509926342523</v>
      </c>
      <c r="AZ25" s="84">
        <f t="shared" si="28"/>
        <v>0.24481868536928991</v>
      </c>
      <c r="BA25" s="106">
        <f>IF(G25&lt;0,0,((0.5*(1-AY25)*(1+COS(RADIANS($N$15))))+(AY25*(AH25/AI25))+(AZ25*SIN(RADIANS($N$15))))*'Irradiancia Horizontal'!C48)</f>
        <v>74.031188004536716</v>
      </c>
      <c r="BB25" s="106">
        <f t="shared" si="186"/>
        <v>2.1777955628897407</v>
      </c>
      <c r="BC25" s="84">
        <f>BB25*'Irradiancia Horizontal'!C77</f>
        <v>295.92625701686859</v>
      </c>
      <c r="BD25" s="84">
        <f t="shared" si="187"/>
        <v>369.95744502140531</v>
      </c>
      <c r="BE25" s="88">
        <f t="shared" si="29"/>
        <v>39358.06558540526</v>
      </c>
      <c r="BF25" s="84">
        <f t="shared" si="188"/>
        <v>29608.947256374191</v>
      </c>
      <c r="BG25" s="106">
        <f t="shared" si="189"/>
        <v>48380.461539534183</v>
      </c>
      <c r="BH25" s="106">
        <f t="shared" si="190"/>
        <v>25595.285183603319</v>
      </c>
      <c r="BI25" s="106">
        <f t="shared" si="191"/>
        <v>35344.403512634388</v>
      </c>
      <c r="BJ25" s="72"/>
      <c r="BL25" s="39">
        <v>0.33333333333333298</v>
      </c>
      <c r="BM25" s="38">
        <v>60</v>
      </c>
      <c r="BN25" s="38">
        <f t="shared" si="30"/>
        <v>19.510962189955375</v>
      </c>
      <c r="BO25" s="38">
        <f t="shared" si="31"/>
        <v>115.68321173167392</v>
      </c>
      <c r="BP25" s="38">
        <f t="shared" si="32"/>
        <v>70.489037810044621</v>
      </c>
      <c r="BQ25" s="38">
        <f>+'Irradiancia Horizontal'!D77/COS(RADIANS(BP25))</f>
        <v>520.59776504988133</v>
      </c>
      <c r="BR25" s="38">
        <f>((('Irradiancia Horizontal'!D48+BQ25)/'Irradiancia Horizontal'!D48)+1.041*((RADIANS('Cálculos iluminancia'!BP25))^3))/(1+1.041*((RADIANS('Cálculos iluminancia'!BP25))^3))</f>
        <v>3.303368067815601</v>
      </c>
      <c r="BS25" s="84">
        <f t="shared" si="33"/>
        <v>2.9717905941349203</v>
      </c>
      <c r="BT25" s="84">
        <f t="shared" si="192"/>
        <v>2.8984678355173488</v>
      </c>
      <c r="BU25" s="106">
        <f>'Irradiancia Horizontal'!D48*BT25/$BS$15</f>
        <v>0.15713953143411111</v>
      </c>
      <c r="BV25" s="84">
        <f>((17.27*Temp!C18)/(237.7+Temp!C18))+LN(HR!C29/100)</f>
        <v>0.38413120558856428</v>
      </c>
      <c r="BW25" s="84">
        <f t="shared" si="193"/>
        <v>5.4073609525274238</v>
      </c>
      <c r="BX25" s="84">
        <f t="shared" si="194"/>
        <v>1.3546122712120638</v>
      </c>
      <c r="BY25" s="84">
        <f t="shared" ref="BY25:BY41" si="289">IF(BR25&lt;$E$81,1,IF(BR25&lt;$E$82,2,IF(BR25&lt;$E$83,3,IF(BR25&lt;$E$84,4,IF(BR25&lt;$E$85,5,IF(BR25&lt;$E$86,6,IF(BR25&lt;$E$87,7,8)))))))</f>
        <v>6</v>
      </c>
      <c r="BZ25" s="84">
        <f t="shared" ref="BZ25:BZ41" si="290">IF(BY25=1,$H$81,IF(BY25=2,$H$82,IF(BY25=3,$H$83,IF(BY25=4,$H$84,IF(BY25=5,$H$85,IF(BY25=6,$H$86,IF(BY25=7,$H$87,$H$88)))))))</f>
        <v>88.34</v>
      </c>
      <c r="CA25" s="84">
        <f t="shared" ref="CA25:CA41" si="291">IF(BY25=1,$I$81,IF(BY25=2,$I$82,IF(BY25=3,$I$83,IF(BY25=4,$I$84,IF(BY25=5,$I$85,IF(BY25=6,$I$86,IF(BY25=7,$I$87,$I$88)))))))</f>
        <v>1.39</v>
      </c>
      <c r="CB25" s="84">
        <f t="shared" ref="CB25:CB41" si="292">IF(BY25=1,$J$81,IF(BY25=2,$J$82,IF(BY25=3,$J$83,IF(BY25=4,$J$84,IF(BY25=5,$J$85,IF(BY25=6,$J$86,IF(BY25=7,$J$87,$J$88)))))))</f>
        <v>6.06</v>
      </c>
      <c r="CC25" s="84">
        <f t="shared" ref="CC25:CC41" si="293">IF(BY25=1,$K$81,IF(BY25=2,$K$82,IF(BY25=3,$K$83,IF(BY25=4,$K$84,IF(BY25=5,$K$85,IF(BY25=6,$K$86,IF(BY25=7,$K$87,$K$88)))))))</f>
        <v>-7.6</v>
      </c>
      <c r="CD25" s="103">
        <f t="shared" si="39"/>
        <v>106.31159413211266</v>
      </c>
      <c r="CE25" s="165">
        <f>IF(CK25&gt;(CD25*'Irradiancia Horizontal'!D16),CK25,CD25*'Irradiancia Horizontal'!D16)</f>
        <v>26661.939426906738</v>
      </c>
      <c r="CF25" s="84">
        <f t="shared" ref="CF25:CF41" si="294">IF(BY25=1,$N$81,IF(BY25=2,$N$82,IF(BY25=3,$N$83,IF(BY25=4,$N$84,IF(BY25=5,$N$85,IF(BY25=6,$N$86,IF(BY25=7,$N$87,$N$88)))))))</f>
        <v>106.42</v>
      </c>
      <c r="CG25" s="84">
        <f t="shared" ref="CG25:CG41" si="295">IF(BY25=1,$O$81,IF(BY25=2,$O$82,IF(BY25=3,$O$83,IF(BY25=4,$O$84,IF(BY25=5,$O$85,IF(BY25=6,$O$86,IF(BY25=7,$O$87,$O$88)))))))</f>
        <v>3.83</v>
      </c>
      <c r="CH25" s="84">
        <f t="shared" ref="CH25:CH41" si="296">IF(BY25=1,$P$81,IF(BY25=2,$P$82,IF(BY25=3,$P$83,IF(BY25=4,$P$84,IF(BY25=5,$P$85,IF(BY25=6,$P$86,IF(BY25=7,$P$87,$P$88)))))))</f>
        <v>-36.15</v>
      </c>
      <c r="CI25" s="84">
        <f t="shared" ref="CI25:CI41" si="297">IF(BY25=1,$Q$81,IF(BY25=2,$Q$82,IF(BY25=3,$Q$83,IF(BY25=4,$Q$84,IF(BY25=5,$Q$85,IF(BY25=6,$Q$86,IF(BY25=7,$Q$87,$Q$88)))))))</f>
        <v>-28.83</v>
      </c>
      <c r="CJ25" s="103">
        <f t="shared" si="44"/>
        <v>152.88793479592567</v>
      </c>
      <c r="CK25" s="84">
        <f>+CJ25*'Irradiancia Horizontal'!D48</f>
        <v>11759.761125977706</v>
      </c>
      <c r="CL25" s="84">
        <f t="shared" si="195"/>
        <v>14902.178300929032</v>
      </c>
      <c r="CM25" s="84">
        <f>+CL25/'Irradiancia Horizontal'!D77</f>
        <v>85.707262973099404</v>
      </c>
      <c r="CN25" s="38">
        <f t="shared" si="45"/>
        <v>0.40850846088119575</v>
      </c>
      <c r="CO25" s="84">
        <f t="shared" si="196"/>
        <v>0.40850846088119575</v>
      </c>
      <c r="CP25" s="84">
        <f t="shared" si="197"/>
        <v>0.33398720523925596</v>
      </c>
      <c r="CQ25" s="84">
        <f t="shared" si="198"/>
        <v>1.4259999999999999</v>
      </c>
      <c r="CR25" s="84">
        <f t="shared" si="199"/>
        <v>-0.65300000000000002</v>
      </c>
      <c r="CS25" s="84">
        <f t="shared" si="200"/>
        <v>-0.77900000000000003</v>
      </c>
      <c r="CT25" s="84">
        <f t="shared" si="201"/>
        <v>0.42499999999999999</v>
      </c>
      <c r="CU25" s="84">
        <f t="shared" si="202"/>
        <v>-0.78500000000000003</v>
      </c>
      <c r="CV25" s="84">
        <f t="shared" si="203"/>
        <v>-9.7000000000000003E-2</v>
      </c>
      <c r="CW25" s="84">
        <f t="shared" si="46"/>
        <v>0.3650108306183929</v>
      </c>
      <c r="CX25" s="84">
        <f t="shared" si="47"/>
        <v>0.18230968557846172</v>
      </c>
      <c r="CY25" s="88">
        <f t="shared" si="48"/>
        <v>11127.774351788998</v>
      </c>
      <c r="CZ25" s="84">
        <f t="shared" ref="CZ25:CZ41" si="298">IF(BY25=1,$AB$81,IF(BY25=2,$AB$82,IF(BY25=3,$AB$83,IF(BY25=4,$AB$84,IF(BY25=5,$AB$85,IF(BY25=6,$AB$86,IF(BY25=7,$AB$87,$AB$88)))))))</f>
        <v>1.1319999999999999</v>
      </c>
      <c r="DA25" s="84">
        <f t="shared" ref="DA25:DA41" si="299">IF(BY25=1,$AC$81,IF(BY25=2,$AC$82,IF(BY25=3,$AC$83,IF(BY25=4,$AC$84,IF(BY25=5,$AC$85,IF(BY25=6,$AC$86,IF(BY25=7,$AC$87,$AC$88)))))))</f>
        <v>-1.2370000000000001</v>
      </c>
      <c r="DB25" s="84">
        <f t="shared" ref="DB25:DB41" si="300">IF(BY25=1,$AD$81,IF(BY25=2,$AD$82,IF(BY25=3,$AD$83,IF(BY25=4,$AD$84,IF(BY25=5,$AD$85,IF(BY25=6,$AD$86,IF(BY25=7,$AD$87,$AD$88)))))))</f>
        <v>-0.41199999999999998</v>
      </c>
      <c r="DC25" s="84">
        <f t="shared" ref="DC25:DC41" si="301">IF(BY25=1,$AE$81,IF(BY25=2,$AE$82,IF(BY25=3,$AE$83,IF(BY25=4,$AE$84,IF(BY25=5,$AE$85,IF(BY25=6,$AE$86,IF(BY25=7,$AE$87,$AE$88)))))))</f>
        <v>0.28799999999999998</v>
      </c>
      <c r="DD25" s="84">
        <f t="shared" ref="DD25:DD41" si="302">IF(BY25=1,$AF$81,IF(BY25=2,$AF$82,IF(BY25=3,$AF$83,IF(BY25=4,$AF$84,IF(BY25=5,$AF$85,IF(BY25=6,$AF$86,IF(BY25=7,$AF$87,$AF$88)))))))</f>
        <v>-0.82299999999999995</v>
      </c>
      <c r="DE25" s="84">
        <f t="shared" ref="DE25:DE41" si="303">IF(BY25=1,$AG$81,IF(BY25=2,$AG$82,IF(BY25=3,$AG$83,IF(BY25=4,$AG$84,IF(BY25=5,$AG$85,IF(BY25=6,$AG$86,IF(BY25=7,$AG$87,$AG$88)))))))</f>
        <v>5.6000000000000001E-2</v>
      </c>
      <c r="DF25" s="84">
        <f t="shared" si="55"/>
        <v>0.43074889152060714</v>
      </c>
      <c r="DG25" s="84">
        <f t="shared" si="56"/>
        <v>0.22756905022521745</v>
      </c>
      <c r="DH25" s="106">
        <f>IF(BN25&lt;0,0,((0.5*(1-DF25)*(1+COS(RADIANS($BU$15))))+(DF25*(CO25/CP25))+(DG25*SIN(RADIANS($BU$15))))*'Irradiancia Horizontal'!D48)</f>
        <v>79.921521257525896</v>
      </c>
      <c r="DI25" s="106">
        <f t="shared" si="204"/>
        <v>1.2231260793016174</v>
      </c>
      <c r="DJ25" s="84">
        <f>DI25*'Irradiancia Horizontal'!D77</f>
        <v>212.6685917387174</v>
      </c>
      <c r="DK25" s="84">
        <f t="shared" si="205"/>
        <v>292.59011299624331</v>
      </c>
      <c r="DL25" s="88">
        <f t="shared" si="57"/>
        <v>31105.7213399256</v>
      </c>
      <c r="DM25" s="84">
        <f t="shared" si="206"/>
        <v>19977.946988136602</v>
      </c>
      <c r="DN25" s="106">
        <f t="shared" si="207"/>
        <v>44619.009552337993</v>
      </c>
      <c r="DO25" s="106">
        <f t="shared" si="208"/>
        <v>18227.242918268963</v>
      </c>
      <c r="DP25" s="106">
        <f t="shared" si="209"/>
        <v>29355.017270057961</v>
      </c>
      <c r="DQ25" s="44"/>
      <c r="DS25" s="39">
        <v>0.33333333333333298</v>
      </c>
      <c r="DT25" s="38">
        <v>60</v>
      </c>
      <c r="DU25" s="38">
        <f t="shared" si="58"/>
        <v>25.692175676161611</v>
      </c>
      <c r="DV25" s="38">
        <f t="shared" si="59"/>
        <v>106.05155080847399</v>
      </c>
      <c r="DW25" s="38">
        <f t="shared" si="60"/>
        <v>64.307824323838389</v>
      </c>
      <c r="DX25" s="38">
        <f>+'Irradiancia Horizontal'!E77/COS(RADIANS(DW25))</f>
        <v>503.99813495748805</v>
      </c>
      <c r="DY25" s="38">
        <f>((('Irradiancia Horizontal'!E48+DX25)/'Irradiancia Horizontal'!E48)+1.041*((RADIANS('Cálculos iluminancia'!DW25))^3))/(1+1.041*((RADIANS('Cálculos iluminancia'!DW25))^3))</f>
        <v>2.9450209009940553</v>
      </c>
      <c r="DZ25" s="84">
        <f t="shared" si="61"/>
        <v>2.297277601928851</v>
      </c>
      <c r="EA25" s="84">
        <f t="shared" si="210"/>
        <v>2.2405970500029451</v>
      </c>
      <c r="EB25" s="106">
        <f>'Irradiancia Horizontal'!E48*EA25/$DZ$15</f>
        <v>0.16801418680556923</v>
      </c>
      <c r="EC25" s="84">
        <f>((17.27*Temp!D18)/(237.7+Temp!D18))+LN(HR!D29/100)</f>
        <v>0.44736683494220619</v>
      </c>
      <c r="ED25" s="84">
        <f t="shared" si="211"/>
        <v>6.3211921476501551</v>
      </c>
      <c r="EE25" s="84">
        <f t="shared" si="212"/>
        <v>1.444095899029167</v>
      </c>
      <c r="EF25" s="84">
        <f t="shared" ref="EF25:EF41" si="304">IF(DY25&lt;$E$81,1,IF(DY25&lt;$E$82,2,IF(DY25&lt;$E$83,3,IF(DY25&lt;$E$84,4,IF(DY25&lt;$E$85,5,IF(DY25&lt;$E$86,6,IF(DY25&lt;$E$87,7,8)))))))</f>
        <v>6</v>
      </c>
      <c r="EG25" s="84">
        <f t="shared" ref="EG25:EG41" si="305">IF(EF25=1,$H$81,IF(EF25=2,$H$82,IF(EF25=3,$H$83,IF(EF25=4,$H$84,IF(EF25=5,$H$85,IF(EF25=6,$H$86,IF(EF25=7,$H$87,$H$88)))))))</f>
        <v>88.34</v>
      </c>
      <c r="EH25" s="84">
        <f t="shared" ref="EH25:EH41" si="306">IF(EF25=1,$I$81,IF(EF25=2,$I$82,IF(EF25=3,$I$83,IF(EF25=4,$I$84,IF(EF25=5,$I$85,IF(EF25=6,$I$86,IF(EF25=7,$I$87,$I$88)))))))</f>
        <v>1.39</v>
      </c>
      <c r="EI25" s="84">
        <f t="shared" ref="EI25:EI41" si="307">IF(EF25=1,$J$81,IF(EF25=2,$J$82,IF(EF25=3,$J$83,IF(EF25=4,$J$84,IF(EF25=5,$J$85,IF(EF25=6,$J$86,IF(EF25=7,$J$87,$J$88)))))))</f>
        <v>6.06</v>
      </c>
      <c r="EJ25" s="84">
        <f t="shared" ref="EJ25:EJ41" si="308">IF(EF25=1,$K$81,IF(EF25=2,$K$82,IF(EF25=3,$K$83,IF(EF25=4,$K$84,IF(EF25=5,$K$85,IF(EF25=6,$K$86,IF(EF25=7,$K$87,$K$88)))))))</f>
        <v>-7.6</v>
      </c>
      <c r="EK25" s="103">
        <f t="shared" si="67"/>
        <v>106.53069375688909</v>
      </c>
      <c r="EL25" s="165">
        <f>IF(ER25&gt;(EK25*'Irradiancia Horizontal'!E16),ER25,EK25*'Irradiancia Horizontal'!E16)</f>
        <v>34444.470537962326</v>
      </c>
      <c r="EM25" s="84">
        <f t="shared" ref="EM25:EM41" si="309">IF(EF25=1,$N$81,IF(EF25=2,$N$82,IF(EF25=3,$N$83,IF(EF25=4,$N$84,IF(EF25=5,$N$85,IF(EF25=6,$N$86,IF(EF25=7,$N$87,$N$88)))))))</f>
        <v>106.42</v>
      </c>
      <c r="EN25" s="84">
        <f t="shared" ref="EN25:EN41" si="310">IF(EF25=1,$O$81,IF(EF25=2,$O$82,IF(EF25=3,$O$83,IF(EF25=4,$O$84,IF(EF25=5,$O$85,IF(EF25=6,$O$86,IF(EF25=7,$O$87,$O$88)))))))</f>
        <v>3.83</v>
      </c>
      <c r="EO25" s="84">
        <f t="shared" ref="EO25:EO41" si="311">IF(EF25=1,$P$81,IF(EF25=2,$P$82,IF(EF25=3,$P$83,IF(EF25=4,$P$84,IF(EF25=5,$P$85,IF(EF25=6,$P$86,IF(EF25=7,$P$87,$P$88)))))))</f>
        <v>-36.15</v>
      </c>
      <c r="EP25" s="84">
        <f t="shared" ref="EP25:EP41" si="312">IF(EF25=1,$Q$81,IF(EF25=2,$Q$82,IF(EF25=3,$Q$83,IF(EF25=4,$Q$84,IF(EF25=5,$Q$85,IF(EF25=6,$Q$86,IF(EF25=7,$Q$87,$Q$88)))))))</f>
        <v>-28.83</v>
      </c>
      <c r="EQ25" s="103">
        <f t="shared" si="72"/>
        <v>147.70282854748058</v>
      </c>
      <c r="ER25" s="84">
        <f>+EQ25*'Irradiancia Horizontal'!E48</f>
        <v>15483.351279263992</v>
      </c>
      <c r="ES25" s="84">
        <f t="shared" si="213"/>
        <v>18961.119258698334</v>
      </c>
      <c r="ET25" s="84">
        <f>+ES25/'Irradiancia Horizontal'!E77</f>
        <v>86.778041609805868</v>
      </c>
      <c r="EU25" s="38">
        <f t="shared" si="73"/>
        <v>0.24916608023906589</v>
      </c>
      <c r="EV25" s="84">
        <f t="shared" si="214"/>
        <v>0.24916608023906589</v>
      </c>
      <c r="EW25" s="84">
        <f t="shared" si="215"/>
        <v>0.43353602927462864</v>
      </c>
      <c r="EX25" s="84">
        <f t="shared" si="216"/>
        <v>1.4259999999999999</v>
      </c>
      <c r="EY25" s="84">
        <f t="shared" si="217"/>
        <v>-0.65300000000000002</v>
      </c>
      <c r="EZ25" s="84">
        <f t="shared" si="218"/>
        <v>-0.77900000000000003</v>
      </c>
      <c r="FA25" s="84">
        <f t="shared" si="219"/>
        <v>0.42499999999999999</v>
      </c>
      <c r="FB25" s="84">
        <f t="shared" si="220"/>
        <v>-0.78500000000000003</v>
      </c>
      <c r="FC25" s="84">
        <f t="shared" si="221"/>
        <v>-9.7000000000000003E-2</v>
      </c>
      <c r="FD25" s="84">
        <f t="shared" si="74"/>
        <v>0.44195016927404884</v>
      </c>
      <c r="FE25" s="84">
        <f t="shared" si="75"/>
        <v>0.18423768624085576</v>
      </c>
      <c r="FF25" s="88">
        <f t="shared" si="76"/>
        <v>11105.658816503805</v>
      </c>
      <c r="FG25" s="84">
        <f t="shared" ref="FG25:FG41" si="313">IF(EF25=1,$AB$81,IF(EF25=2,$AB$82,IF(EF25=3,$AB$83,IF(EF25=4,$AB$84,IF(EF25=5,$AB$85,IF(EF25=6,$AB$86,IF(EF25=7,$AB$87,$AB$88)))))))</f>
        <v>1.1319999999999999</v>
      </c>
      <c r="FH25" s="84">
        <f t="shared" ref="FH25:FH41" si="314">IF(EF25=1,$AC$81,IF(EF25=2,$AC$82,IF(EF25=3,$AC$83,IF(EF25=4,$AC$84,IF(EF25=5,$AC$85,IF(EF25=6,$AC$86,IF(EF25=7,$AC$87,$AC$88)))))))</f>
        <v>-1.2370000000000001</v>
      </c>
      <c r="FI25" s="84">
        <f t="shared" ref="FI25:FI41" si="315">IF(EF25=1,$AD$81,IF(EF25=2,$AD$82,IF(EF25=3,$AD$83,IF(EF25=4,$AD$84,IF(EF25=5,$AD$85,IF(EF25=6,$AD$86,IF(EF25=7,$AD$87,$AD$88)))))))</f>
        <v>-0.41199999999999998</v>
      </c>
      <c r="FJ25" s="84">
        <f t="shared" ref="FJ25:FJ41" si="316">IF(EF25=1,$AE$81,IF(EF25=2,$AE$82,IF(EF25=3,$AE$83,IF(EF25=4,$AE$84,IF(EF25=5,$AE$85,IF(EF25=6,$AE$86,IF(EF25=7,$AE$87,$AE$88)))))))</f>
        <v>0.28799999999999998</v>
      </c>
      <c r="FK25" s="84">
        <f t="shared" ref="FK25:FK41" si="317">IF(EF25=1,$AF$81,IF(EF25=2,$AF$82,IF(EF25=3,$AF$83,IF(EF25=4,$AF$84,IF(EF25=5,$AF$85,IF(EF25=6,$AF$86,IF(EF25=7,$AF$87,$AF$88)))))))</f>
        <v>-0.82299999999999995</v>
      </c>
      <c r="FL25" s="84">
        <f t="shared" ref="FL25:FL41" si="318">IF(EF25=1,$AG$81,IF(EF25=2,$AG$82,IF(EF25=3,$AG$83,IF(EF25=4,$AG$84,IF(EF25=5,$AG$85,IF(EF25=6,$AG$86,IF(EF25=7,$AG$87,$AG$88)))))))</f>
        <v>5.6000000000000001E-2</v>
      </c>
      <c r="FM25" s="84">
        <f t="shared" si="83"/>
        <v>0.46174454399253939</v>
      </c>
      <c r="FN25" s="84">
        <f t="shared" si="84"/>
        <v>0.21257778733674076</v>
      </c>
      <c r="FO25" s="106">
        <f>IF(DU25&lt;0,0,((0.5*(1-FM25)*(1+COS(RADIANS($EB$15))))+(FM25*(EV25/EW25))+(FN25*SIN(RADIANS($EB$15))))*'Irradiancia Horizontal'!E48)</f>
        <v>78.31510138800887</v>
      </c>
      <c r="FP25" s="106">
        <f t="shared" si="222"/>
        <v>0.57472981116692523</v>
      </c>
      <c r="FQ25" s="84">
        <f>FP25*'Irradiancia Horizontal'!E77</f>
        <v>125.57923973515702</v>
      </c>
      <c r="FR25" s="84">
        <f t="shared" si="223"/>
        <v>203.89434112316587</v>
      </c>
      <c r="FS25" s="88">
        <f t="shared" si="85"/>
        <v>21721.005612954661</v>
      </c>
      <c r="FT25" s="84">
        <f t="shared" si="224"/>
        <v>10615.346796450856</v>
      </c>
      <c r="FU25" s="106">
        <f t="shared" si="225"/>
        <v>43735.971126605451</v>
      </c>
      <c r="FV25" s="106">
        <f t="shared" si="226"/>
        <v>10897.520491065243</v>
      </c>
      <c r="FW25" s="106">
        <f t="shared" si="227"/>
        <v>22003.179307569048</v>
      </c>
      <c r="FX25" s="83"/>
      <c r="FZ25" s="39">
        <v>0.33333333333333298</v>
      </c>
      <c r="GA25" s="38">
        <v>60</v>
      </c>
      <c r="GB25" s="38">
        <f t="shared" si="86"/>
        <v>31.710922299799869</v>
      </c>
      <c r="GC25" s="38">
        <f t="shared" si="87"/>
        <v>94.223487161165693</v>
      </c>
      <c r="GD25" s="38">
        <f t="shared" si="88"/>
        <v>58.289077700200131</v>
      </c>
      <c r="GE25" s="38">
        <f>+'Irradiancia Horizontal'!F77/COS(RADIANS(GD25))</f>
        <v>593.52845121072255</v>
      </c>
      <c r="GF25" s="38">
        <f>((('Irradiancia Horizontal'!F48+GE25)/'Irradiancia Horizontal'!F48)+1.041*((RADIANS('Cálculos iluminancia'!GD25))^3))/(1+1.041*((RADIANS('Cálculos iluminancia'!GD25))^3))</f>
        <v>3.5371139755312182</v>
      </c>
      <c r="GG25" s="84">
        <f t="shared" si="89"/>
        <v>1.8976764122479264</v>
      </c>
      <c r="GH25" s="84">
        <f t="shared" si="276"/>
        <v>1.8508551894524428</v>
      </c>
      <c r="GI25" s="106">
        <f>'Irradiancia Horizontal'!F48*GH25/$GG$15</f>
        <v>0.15045955754836293</v>
      </c>
      <c r="GJ25" s="84">
        <f>((17.27*Temp!E18)/(237.7+Temp!E18))+LN(HR!E29/100)</f>
        <v>0.61084587042386718</v>
      </c>
      <c r="GK25" s="84">
        <f t="shared" si="228"/>
        <v>8.7158124758551327</v>
      </c>
      <c r="GL25" s="84">
        <f t="shared" si="229"/>
        <v>1.7076307326507776</v>
      </c>
      <c r="GM25" s="84">
        <f t="shared" ref="GM25:GM41" si="319">IF(GF25&lt;$E$81,1,IF(GF25&lt;$E$82,2,IF(GF25&lt;$E$83,3,IF(GF25&lt;$E$84,4,IF(GF25&lt;$E$85,5,IF(GF25&lt;$E$86,6,IF(GF25&lt;$E$87,7,8)))))))</f>
        <v>6</v>
      </c>
      <c r="GN25" s="84">
        <f t="shared" ref="GN25:GN41" si="320">IF(GM25=1,$H$81,IF(GM25=2,$H$82,IF(GM25=3,$H$83,IF(GM25=4,$H$84,IF(GM25=5,$H$85,IF(GM25=6,$H$86,IF(GM25=7,$H$87,$H$88)))))))</f>
        <v>88.34</v>
      </c>
      <c r="GO25" s="84">
        <f t="shared" ref="GO25:GO41" si="321">IF(GM25=1,$I$81,IF(GM25=2,$I$82,IF(GM25=3,$I$83,IF(GM25=4,$I$84,IF(GM25=5,$I$85,IF(GM25=6,$I$86,IF(GM25=7,$I$87,$I$88)))))))</f>
        <v>1.39</v>
      </c>
      <c r="GP25" s="84">
        <f t="shared" ref="GP25:GP41" si="322">IF(GM25=1,$J$81,IF(GM25=2,$J$82,IF(GM25=3,$J$83,IF(GM25=4,$J$84,IF(GM25=5,$J$85,IF(GM25=6,$J$86,IF(GM25=7,$J$87,$J$88)))))))</f>
        <v>6.06</v>
      </c>
      <c r="GQ25" s="84">
        <f t="shared" ref="GQ25:GQ41" si="323">IF(GM25=1,$K$81,IF(GM25=2,$K$82,IF(GM25=3,$K$83,IF(GM25=4,$K$84,IF(GM25=5,$K$85,IF(GM25=6,$K$86,IF(GM25=7,$K$87,$K$88)))))))</f>
        <v>-7.6</v>
      </c>
      <c r="GR25" s="103">
        <f t="shared" si="96"/>
        <v>108.29381097014262</v>
      </c>
      <c r="GS25" s="165">
        <f>IF(GY25&gt;(GR25*'Irradiancia Horizontal'!F16),GY25,GR25*'Irradiancia Horizontal'!F16)</f>
        <v>45871.734925929646</v>
      </c>
      <c r="GT25" s="84">
        <f t="shared" ref="GT25:GT41" si="324">IF(GM25=1,$N$81,IF(GM25=2,$N$82,IF(GM25=3,$N$83,IF(GM25=4,$N$84,IF(GM25=5,$N$85,IF(GM25=6,$N$86,IF(GM25=7,$N$87,$N$88)))))))</f>
        <v>106.42</v>
      </c>
      <c r="GU25" s="84">
        <f t="shared" ref="GU25:GU41" si="325">IF(GM25=1,$O$81,IF(GM25=2,$O$82,IF(GM25=3,$O$83,IF(GM25=4,$O$84,IF(GM25=5,$O$85,IF(GM25=6,$O$86,IF(GM25=7,$O$87,$O$88)))))))</f>
        <v>3.83</v>
      </c>
      <c r="GV25" s="84">
        <f t="shared" ref="GV25:GV41" si="326">IF(GM25=1,$P$81,IF(GM25=2,$P$82,IF(GM25=3,$P$83,IF(GM25=4,$P$84,IF(GM25=5,$P$85,IF(GM25=6,$P$86,IF(GM25=7,$P$87,$P$88)))))))</f>
        <v>-36.15</v>
      </c>
      <c r="GW25" s="84">
        <f t="shared" ref="GW25:GW41" si="327">IF(GM25=1,$Q$81,IF(GM25=2,$Q$82,IF(GM25=3,$Q$83,IF(GM25=4,$Q$84,IF(GM25=5,$Q$85,IF(GM25=6,$Q$86,IF(GM25=7,$Q$87,$Q$88)))))))</f>
        <v>-28.83</v>
      </c>
      <c r="GX25" s="103">
        <f t="shared" si="101"/>
        <v>148.5643399213493</v>
      </c>
      <c r="GY25" s="84">
        <f>+GX25*'Irradiancia Horizontal'!F48</f>
        <v>16580.864655397061</v>
      </c>
      <c r="GZ25" s="84">
        <f t="shared" si="230"/>
        <v>29290.870270532585</v>
      </c>
      <c r="HA25" s="84">
        <f>+GZ25/'Irradiancia Horizontal'!F77</f>
        <v>93.887423925536098</v>
      </c>
      <c r="HB25" s="38">
        <f t="shared" si="102"/>
        <v>6.2652323005477684E-2</v>
      </c>
      <c r="HC25" s="84">
        <f t="shared" si="231"/>
        <v>6.2652323005477684E-2</v>
      </c>
      <c r="HD25" s="84">
        <f t="shared" si="232"/>
        <v>0.52563383172476286</v>
      </c>
      <c r="HE25" s="84">
        <f t="shared" si="233"/>
        <v>1.4259999999999999</v>
      </c>
      <c r="HF25" s="84">
        <f t="shared" si="234"/>
        <v>-0.65300000000000002</v>
      </c>
      <c r="HG25" s="84">
        <f t="shared" si="235"/>
        <v>-0.77900000000000003</v>
      </c>
      <c r="HH25" s="84">
        <f t="shared" si="236"/>
        <v>0.42499999999999999</v>
      </c>
      <c r="HI25" s="84">
        <f t="shared" si="237"/>
        <v>-0.78500000000000003</v>
      </c>
      <c r="HJ25" s="84">
        <f t="shared" si="238"/>
        <v>-9.7000000000000003E-2</v>
      </c>
      <c r="HK25" s="84">
        <f t="shared" si="103"/>
        <v>0.53524491266568686</v>
      </c>
      <c r="HL25" s="84">
        <f t="shared" si="104"/>
        <v>0.20820762391406333</v>
      </c>
      <c r="HM25" s="88">
        <f t="shared" si="105"/>
        <v>8363.1074576053288</v>
      </c>
      <c r="HN25" s="84">
        <f t="shared" ref="HN25:HN41" si="328">IF(GM25=1,$AB$81,IF(GM25=2,$AB$82,IF(GM25=3,$AB$83,IF(GM25=4,$AB$84,IF(GM25=5,$AB$85,IF(GM25=6,$AB$86,IF(GM25=7,$AB$87,$AB$88)))))))</f>
        <v>1.1319999999999999</v>
      </c>
      <c r="HO25" s="84">
        <f t="shared" ref="HO25:HO41" si="329">IF(GM25=1,$AC$81,IF(GM25=2,$AC$82,IF(GM25=3,$AC$83,IF(GM25=4,$AC$84,IF(GM25=5,$AC$85,IF(GM25=6,$AC$86,IF(GM25=7,$AC$87,$AC$88)))))))</f>
        <v>-1.2370000000000001</v>
      </c>
      <c r="HP25" s="84">
        <f t="shared" ref="HP25:HP41" si="330">IF(GM25=1,$AD$81,IF(GM25=2,$AD$82,IF(GM25=3,$AD$83,IF(GM25=4,$AD$84,IF(GM25=5,$AD$85,IF(GM25=6,$AD$86,IF(GM25=7,$AD$87,$AD$88)))))))</f>
        <v>-0.41199999999999998</v>
      </c>
      <c r="HQ25" s="84">
        <f t="shared" ref="HQ25:HQ41" si="331">IF(GM25=1,$AE$81,IF(GM25=2,$AE$82,IF(GM25=3,$AE$83,IF(GM25=4,$AE$84,IF(GM25=5,$AE$85,IF(GM25=6,$AE$86,IF(GM25=7,$AE$87,$AE$88)))))))</f>
        <v>0.28799999999999998</v>
      </c>
      <c r="HR25" s="84">
        <f t="shared" ref="HR25:HR41" si="332">IF(GM25=1,$AF$81,IF(GM25=2,$AF$82,IF(GM25=3,$AF$83,IF(GM25=4,$AF$84,IF(GM25=5,$AF$85,IF(GM25=6,$AF$86,IF(GM25=7,$AF$87,$AF$88)))))))</f>
        <v>-0.82299999999999995</v>
      </c>
      <c r="HS25" s="84">
        <f t="shared" ref="HS25:HS41" si="333">IF(GM25=1,$AG$81,IF(GM25=2,$AG$82,IF(GM25=3,$AG$83,IF(GM25=4,$AG$84,IF(GM25=5,$AG$85,IF(GM25=6,$AG$86,IF(GM25=7,$AG$87,$AG$88)))))))</f>
        <v>5.6000000000000001E-2</v>
      </c>
      <c r="HT25" s="84">
        <f t="shared" si="112"/>
        <v>0.52673896189912472</v>
      </c>
      <c r="HU25" s="84">
        <f t="shared" si="113"/>
        <v>0.22114261827157788</v>
      </c>
      <c r="HV25" s="106">
        <f>IF(GB25&lt;0,0,((0.5*(1-HT25)*(1+COS(RADIANS($GI$15))))+(HT25*(HC25/HD25))+(HU25*SIN(RADIANS($GI$15))))*'Irradiancia Horizontal'!F48)</f>
        <v>58.097981220404542</v>
      </c>
      <c r="HW25" s="84">
        <f t="shared" si="114"/>
        <v>0.11919385553988515</v>
      </c>
      <c r="HX25" s="84">
        <f>HW25*'Irradiancia Horizontal'!F77</f>
        <v>37.18593623819509</v>
      </c>
      <c r="HY25" s="84">
        <f t="shared" si="239"/>
        <v>95.283917458599632</v>
      </c>
      <c r="HZ25" s="88">
        <f t="shared" si="115"/>
        <v>10318.65854575626</v>
      </c>
      <c r="IA25" s="84">
        <f t="shared" si="240"/>
        <v>1955.5510881509308</v>
      </c>
      <c r="IB25" s="106">
        <f t="shared" si="241"/>
        <v>55724.857310687978</v>
      </c>
      <c r="IC25" s="106">
        <f t="shared" si="242"/>
        <v>3491.2917596633779</v>
      </c>
      <c r="ID25" s="106">
        <f t="shared" si="243"/>
        <v>11854.399217268707</v>
      </c>
      <c r="IE25" s="83"/>
      <c r="IG25" s="39">
        <v>0.33333333333333298</v>
      </c>
      <c r="IH25" s="38">
        <v>60</v>
      </c>
      <c r="II25" s="38">
        <f t="shared" si="116"/>
        <v>35.281146205343326</v>
      </c>
      <c r="IJ25" s="38">
        <f t="shared" si="117"/>
        <v>84.888900516560128</v>
      </c>
      <c r="IK25" s="38">
        <f t="shared" si="118"/>
        <v>54.718853794656674</v>
      </c>
      <c r="IL25" s="38">
        <f>+'Irradiancia Horizontal'!G77/COS(RADIANS(IK25))</f>
        <v>827.71151497947039</v>
      </c>
      <c r="IM25" s="38">
        <f>((('Irradiancia Horizontal'!G48+IL25)/'Irradiancia Horizontal'!G48)+1.041*((RADIANS('Cálculos iluminancia'!IK25))^3))/(1+1.041*((RADIANS('Cálculos iluminancia'!IK25))^3))</f>
        <v>7.2993655425346295</v>
      </c>
      <c r="IN25" s="87">
        <f t="shared" si="119"/>
        <v>1.7279116933529695</v>
      </c>
      <c r="IO25" s="87">
        <f t="shared" ref="IO25:IO41" si="334">IN25*$IM$15</f>
        <v>1.6852790622872937</v>
      </c>
      <c r="IP25" s="106">
        <f>'Irradiancia Horizontal'!G48*IO25/$IN$15</f>
        <v>8.5832696177722365E-2</v>
      </c>
      <c r="IQ25" s="87">
        <f>((17.27*Temp!F18)/(237.7+Temp!F18))+LN(HR!F29/100)</f>
        <v>0.8149455118004777</v>
      </c>
      <c r="IR25" s="87">
        <f t="shared" si="244"/>
        <v>11.772221617004757</v>
      </c>
      <c r="IS25" s="87">
        <f t="shared" si="245"/>
        <v>2.1150014819642933</v>
      </c>
      <c r="IT25" s="87">
        <f t="shared" ref="IT25:IT41" si="335">IF(IM25&lt;$E$81,1,IF(IM25&lt;$E$82,2,IF(IM25&lt;$E$83,3,IF(IM25&lt;$E$84,4,IF(IM25&lt;$E$85,5,IF(IM25&lt;$E$86,6,IF(IM25&lt;$E$87,7,8)))))))</f>
        <v>8</v>
      </c>
      <c r="IU25" s="87">
        <f t="shared" ref="IU25:IU41" si="336">IF(IT25=1,$H$81,IF(IT25=2,$H$82,IF(IT25=3,$H$83,IF(IT25=4,$H$84,IF(IT25=5,$H$85,IF(IT25=6,$H$86,IF(IT25=7,$H$87,$H$88)))))))</f>
        <v>99.65</v>
      </c>
      <c r="IV25" s="87">
        <f t="shared" ref="IV25:IV41" si="337">IF(IT25=1,$I$81,IF(IT25=2,$I$82,IF(IT25=3,$I$83,IF(IT25=4,$I$84,IF(IT25=5,$I$85,IF(IT25=6,$I$86,IF(IT25=7,$I$87,$I$88)))))))</f>
        <v>1.86</v>
      </c>
      <c r="IW25" s="87">
        <f t="shared" ref="IW25:IW41" si="338">IF(IT25=1,$J$81,IF(IT25=2,$J$82,IF(IT25=3,$J$83,IF(IT25=4,$J$84,IF(IT25=5,$J$85,IF(IT25=6,$J$86,IF(IT25=7,$J$87,$J$88)))))))</f>
        <v>-4.46</v>
      </c>
      <c r="IX25" s="87">
        <f t="shared" ref="IX25:IX41" si="339">IF(IT25=1,$K$81,IF(IT25=2,$K$82,IF(IT25=3,$K$83,IF(IT25=4,$K$84,IF(IT25=5,$K$85,IF(IT25=6,$K$86,IF(IT25=7,$K$87,$K$88)))))))</f>
        <v>-3.15</v>
      </c>
      <c r="IY25" s="103">
        <f t="shared" si="126"/>
        <v>108.74222476668261</v>
      </c>
      <c r="IZ25" s="165">
        <f>IF(JF25&gt;(IY25*'Irradiancia Horizontal'!G16),JF25,IY25*'Irradiancia Horizontal'!G16)</f>
        <v>59480.649015487026</v>
      </c>
      <c r="JA25" s="87">
        <f t="shared" ref="JA25:JA41" si="340">IF(IT25=1,$N$81,IF(IT25=2,$N$82,IF(IT25=3,$N$83,IF(IT25=4,$N$84,IF(IT25=5,$N$85,IF(IT25=6,$N$86,IF(IT25=7,$N$87,$N$88)))))))</f>
        <v>152.22999999999999</v>
      </c>
      <c r="JB25" s="87">
        <f t="shared" ref="JB25:JB41" si="341">IF(IT25=1,$O$81,IF(IT25=2,$O$82,IF(IT25=3,$O$83,IF(IT25=4,$O$84,IF(IT25=5,$O$85,IF(IT25=6,$O$86,IF(IT25=7,$O$87,$O$88)))))))</f>
        <v>0.35</v>
      </c>
      <c r="JC25" s="87">
        <f t="shared" ref="JC25:JC41" si="342">IF(IT25=1,$P$81,IF(IT25=2,$P$82,IF(IT25=3,$P$83,IF(IT25=4,$P$84,IF(IT25=5,$P$85,IF(IT25=6,$P$86,IF(IT25=7,$P$87,$P$88)))))))</f>
        <v>-45.27</v>
      </c>
      <c r="JD25" s="87">
        <f t="shared" ref="JD25:JD41" si="343">IF(IT25=1,$Q$81,IF(IT25=2,$Q$82,IF(IT25=3,$Q$83,IF(IT25=4,$Q$84,IF(IT25=5,$Q$85,IF(IT25=6,$Q$86,IF(IT25=7,$Q$87,$Q$88)))))))</f>
        <v>-7.98</v>
      </c>
      <c r="JE25" s="103">
        <f t="shared" si="131"/>
        <v>146.41653000010012</v>
      </c>
      <c r="JF25" s="87">
        <f>+JE25*'Irradiancia Horizontal'!G48</f>
        <v>10089.637723691038</v>
      </c>
      <c r="JG25" s="87">
        <f t="shared" si="246"/>
        <v>49391.011291795992</v>
      </c>
      <c r="JH25" s="87">
        <f>+JG25/'Irradiancia Horizontal'!G77</f>
        <v>103.31181279100173</v>
      </c>
      <c r="JI25" s="38">
        <f t="shared" si="132"/>
        <v>-7.2724390199308209E-2</v>
      </c>
      <c r="JJ25" s="87">
        <f t="shared" si="247"/>
        <v>0</v>
      </c>
      <c r="JK25" s="87">
        <f t="shared" si="248"/>
        <v>0.57758903422005381</v>
      </c>
      <c r="JL25" s="87">
        <f t="shared" si="249"/>
        <v>1.17</v>
      </c>
      <c r="JM25" s="87">
        <f t="shared" si="250"/>
        <v>-0.3</v>
      </c>
      <c r="JN25" s="87">
        <f t="shared" si="251"/>
        <v>-0.61499999999999999</v>
      </c>
      <c r="JO25" s="87">
        <f t="shared" si="252"/>
        <v>0.51800000000000002</v>
      </c>
      <c r="JP25" s="87">
        <f t="shared" si="253"/>
        <v>-1.8919999999999999</v>
      </c>
      <c r="JQ25" s="87">
        <f t="shared" si="254"/>
        <v>-5.5E-2</v>
      </c>
      <c r="JR25" s="87">
        <f t="shared" si="133"/>
        <v>0.55691033174167959</v>
      </c>
      <c r="JS25" s="87">
        <f t="shared" si="134"/>
        <v>0.30307820994187096</v>
      </c>
      <c r="JT25" s="88">
        <f t="shared" si="135"/>
        <v>5293.2564561767012</v>
      </c>
      <c r="JU25" s="87">
        <f t="shared" ref="JU25:JU41" si="344">IF(IT25=1,$AB$81,IF(IT25=2,$AB$82,IF(IT25=3,$AB$83,IF(IT25=4,$AB$84,IF(IT25=5,$AB$85,IF(IT25=6,$AB$86,IF(IT25=7,$AB$87,$AB$88)))))))</f>
        <v>0.67800000000000005</v>
      </c>
      <c r="JV25" s="87">
        <f t="shared" ref="JV25:JV41" si="345">IF(IT25=1,$AC$81,IF(IT25=2,$AC$82,IF(IT25=3,$AC$83,IF(IT25=4,$AC$84,IF(IT25=5,$AC$85,IF(IT25=6,$AC$86,IF(IT25=7,$AC$87,$AC$88)))))))</f>
        <v>-0.32700000000000001</v>
      </c>
      <c r="JW25" s="87">
        <f t="shared" ref="JW25:JW41" si="346">IF(IT25=1,$AD$81,IF(IT25=2,$AD$82,IF(IT25=3,$AD$83,IF(IT25=4,$AD$84,IF(IT25=5,$AD$85,IF(IT25=6,$AD$86,IF(IT25=7,$AD$87,$AD$88)))))))</f>
        <v>-0.25</v>
      </c>
      <c r="JX25" s="87">
        <f t="shared" ref="JX25:JX41" si="347">IF(IT25=1,$AE$81,IF(IT25=2,$AE$82,IF(IT25=3,$AE$83,IF(IT25=4,$AE$84,IF(IT25=5,$AE$85,IF(IT25=6,$AE$86,IF(IT25=7,$AE$87,$AE$88)))))))</f>
        <v>0.156</v>
      </c>
      <c r="JY25" s="87">
        <f t="shared" ref="JY25:JY41" si="348">IF(IT25=1,$AF$81,IF(IT25=2,$AF$82,IF(IT25=3,$AF$83,IF(IT25=4,$AF$84,IF(IT25=5,$AF$85,IF(IT25=6,$AF$86,IF(IT25=7,$AF$87,$AF$88)))))))</f>
        <v>-1.377</v>
      </c>
      <c r="JZ25" s="87">
        <f t="shared" ref="JZ25:JZ41" si="349">IF(IT25=1,$AG$81,IF(IT25=2,$AG$82,IF(IT25=3,$AG$83,IF(IT25=4,$AG$84,IF(IT25=5,$AG$85,IF(IT25=6,$AG$86,IF(IT25=7,$AG$87,$AG$88)))))))</f>
        <v>0.251</v>
      </c>
      <c r="KA25" s="87">
        <f t="shared" si="142"/>
        <v>0.41117666794134677</v>
      </c>
      <c r="KB25" s="87">
        <f t="shared" si="143"/>
        <v>0.27751944193344846</v>
      </c>
      <c r="KC25" s="106">
        <f>IF(II25&lt;0,0,((0.5*(1-KA25)*(1+COS(RADIANS($IP$15))))+(KA25*(JJ25/JK25))+(KB25*SIN(RADIANS($IP$15))))*'Irradiancia Horizontal'!G48)</f>
        <v>39.412064213307623</v>
      </c>
      <c r="KD25" s="87">
        <f t="shared" si="144"/>
        <v>0</v>
      </c>
      <c r="KE25" s="87">
        <f>KD25*'Irradiancia Horizontal'!G77</f>
        <v>0</v>
      </c>
      <c r="KF25" s="87">
        <f t="shared" si="255"/>
        <v>39.412064213307623</v>
      </c>
      <c r="KG25" s="88">
        <f t="shared" si="145"/>
        <v>4285.7555452024253</v>
      </c>
      <c r="KH25" s="87">
        <f t="shared" si="256"/>
        <v>-1007.5009109742759</v>
      </c>
      <c r="KI25" s="106">
        <f t="shared" si="257"/>
        <v>85512.377080515464</v>
      </c>
      <c r="KJ25" s="106">
        <f t="shared" si="258"/>
        <v>0</v>
      </c>
      <c r="KK25" s="106">
        <f t="shared" si="259"/>
        <v>5293.2564561767012</v>
      </c>
      <c r="KL25" s="86"/>
      <c r="KN25" s="39">
        <v>0.33333333333333298</v>
      </c>
      <c r="KO25" s="38">
        <v>60</v>
      </c>
      <c r="KP25" s="38">
        <f t="shared" si="146"/>
        <v>36.462362723804389</v>
      </c>
      <c r="KQ25" s="38">
        <f t="shared" si="147"/>
        <v>81.070349439875727</v>
      </c>
      <c r="KR25" s="38">
        <f t="shared" si="148"/>
        <v>53.537637276195611</v>
      </c>
      <c r="KS25" s="38">
        <f>+'Irradiancia Horizontal'!H77/COS(RADIANS(KR25))</f>
        <v>846.78702979768013</v>
      </c>
      <c r="KT25" s="38">
        <f>((('Irradiancia Horizontal'!H48+KS25)/'Irradiancia Horizontal'!H48)+1.041*((RADIANS('Cálculos iluminancia'!KR25))^3))/(1+1.041*((RADIANS('Cálculos iluminancia'!KR25))^3))</f>
        <v>7.7806736862200294</v>
      </c>
      <c r="KU25" s="87">
        <f t="shared" si="149"/>
        <v>1.6795789184858969</v>
      </c>
      <c r="KV25" s="87">
        <f t="shared" ref="KV25:KV41" si="350">KU25*$KT$15</f>
        <v>1.6381387982222575</v>
      </c>
      <c r="KW25" s="106">
        <f>'Irradiancia Horizontal'!H48*KV25/$KU$15</f>
        <v>8.2440998489369283E-2</v>
      </c>
      <c r="KX25" s="87">
        <f>((17.27*Temp!G18)/(237.7+Temp!G18))+LN(HR!G29/100)</f>
        <v>1.1273429362773417</v>
      </c>
      <c r="KY25" s="87">
        <f t="shared" si="260"/>
        <v>16.600081070626899</v>
      </c>
      <c r="KZ25" s="87">
        <f t="shared" si="261"/>
        <v>2.9653814495300694</v>
      </c>
      <c r="LA25" s="87">
        <f t="shared" ref="LA25:LA41" si="351">IF(KT25&lt;$E$81,1,IF(KT25&lt;$E$82,2,IF(KT25&lt;$E$83,3,IF(KT25&lt;$E$84,4,IF(KT25&lt;$E$85,5,IF(KT25&lt;$E$86,6,IF(KT25&lt;$E$87,7,8)))))))</f>
        <v>8</v>
      </c>
      <c r="LB25" s="87">
        <f t="shared" ref="LB25:LB41" si="352">IF(LA25=1,$H$81,IF(LA25=2,$H$82,IF(LA25=3,$H$83,IF(LA25=4,$H$84,IF(LA25=5,$H$85,IF(LA25=6,$H$86,IF(LA25=7,$H$87,$H$88)))))))</f>
        <v>99.65</v>
      </c>
      <c r="LC25" s="87">
        <f t="shared" ref="LC25:LC41" si="353">IF(LA25=1,$I$81,IF(LA25=2,$I$82,IF(LA25=3,$I$83,IF(LA25=4,$I$84,IF(LA25=5,$I$85,IF(LA25=6,$I$86,IF(LA25=7,$I$87,$I$88)))))))</f>
        <v>1.86</v>
      </c>
      <c r="LD25" s="87">
        <f t="shared" ref="LD25:LD41" si="354">IF(LA25=1,$J$81,IF(LA25=2,$J$82,IF(LA25=3,$J$83,IF(LA25=4,$J$84,IF(LA25=5,$J$85,IF(LA25=6,$J$86,IF(LA25=7,$J$87,$J$88)))))))</f>
        <v>-4.46</v>
      </c>
      <c r="LE25" s="87">
        <f t="shared" ref="LE25:LE41" si="355">IF(LA25=1,$K$81,IF(LA25=2,$K$82,IF(LA25=3,$K$83,IF(LA25=4,$K$84,IF(LA25=5,$K$85,IF(LA25=6,$K$86,IF(LA25=7,$K$87,$K$88)))))))</f>
        <v>-3.15</v>
      </c>
      <c r="LF25" s="103">
        <f t="shared" si="156"/>
        <v>110.37642363391359</v>
      </c>
      <c r="LG25" s="165">
        <f>IF(LM25&gt;(LF25*'Irradiancia Horizontal'!H16),LM25,LF25*'Irradiancia Horizontal'!H16)</f>
        <v>62999.616005473501</v>
      </c>
      <c r="LH25" s="87">
        <f t="shared" ref="LH25:LH41" si="356">IF(LA25=1,$N$81,IF(LA25=2,$N$82,IF(LA25=3,$N$83,IF(LA25=4,$N$84,IF(LA25=5,$N$85,IF(LA25=6,$N$86,IF(LA25=7,$N$87,$N$88)))))))</f>
        <v>152.22999999999999</v>
      </c>
      <c r="LI25" s="87">
        <f t="shared" ref="LI25:LI41" si="357">IF(LA25=1,$O$81,IF(LA25=2,$O$82,IF(LA25=3,$O$83,IF(LA25=4,$O$84,IF(LA25=5,$O$85,IF(LA25=6,$O$86,IF(LA25=7,$O$87,$O$88)))))))</f>
        <v>0.35</v>
      </c>
      <c r="LJ25" s="87">
        <f t="shared" ref="LJ25:LJ41" si="358">IF(LA25=1,$P$81,IF(LA25=2,$P$82,IF(LA25=3,$P$83,IF(LA25=4,$P$84,IF(LA25=5,$P$85,IF(LA25=6,$P$86,IF(LA25=7,$P$87,$P$88)))))))</f>
        <v>-45.27</v>
      </c>
      <c r="LK25" s="87">
        <f t="shared" ref="LK25:LK41" si="359">IF(LA25=1,$Q$81,IF(LA25=2,$Q$82,IF(LA25=3,$Q$83,IF(LA25=4,$Q$84,IF(LA25=5,$Q$85,IF(LA25=6,$Q$86,IF(LA25=7,$Q$87,$Q$88)))))))</f>
        <v>-7.98</v>
      </c>
      <c r="LL25" s="103">
        <f t="shared" si="161"/>
        <v>146.2796323825973</v>
      </c>
      <c r="LM25" s="87">
        <f>+LL25*'Irradiancia Horizontal'!H48</f>
        <v>9878.2078358672734</v>
      </c>
      <c r="LN25" s="87">
        <f t="shared" si="262"/>
        <v>53121.408169606228</v>
      </c>
      <c r="LO25" s="87">
        <f>+LN25/'Irradiancia Horizontal'!H77</f>
        <v>105.5585924862835</v>
      </c>
      <c r="LP25" s="38">
        <f t="shared" si="162"/>
        <v>-0.12483659967971542</v>
      </c>
      <c r="LQ25" s="87">
        <f t="shared" si="263"/>
        <v>0</v>
      </c>
      <c r="LR25" s="87">
        <f t="shared" si="264"/>
        <v>0.5942946093902769</v>
      </c>
      <c r="LS25" s="87">
        <f t="shared" si="265"/>
        <v>1.17</v>
      </c>
      <c r="LT25" s="87">
        <f t="shared" si="266"/>
        <v>-0.3</v>
      </c>
      <c r="LU25" s="87">
        <f t="shared" si="267"/>
        <v>-0.61499999999999999</v>
      </c>
      <c r="LV25" s="87">
        <f t="shared" si="268"/>
        <v>0.51800000000000002</v>
      </c>
      <c r="LW25" s="87">
        <f t="shared" si="269"/>
        <v>-1.8919999999999999</v>
      </c>
      <c r="LX25" s="87">
        <f t="shared" si="270"/>
        <v>-5.5E-2</v>
      </c>
      <c r="LY25" s="87">
        <f t="shared" si="163"/>
        <v>0.5706067532652308</v>
      </c>
      <c r="LZ25" s="87">
        <f t="shared" si="164"/>
        <v>0.31062918842666992</v>
      </c>
      <c r="MA25" s="88">
        <f t="shared" si="165"/>
        <v>5189.2775504473657</v>
      </c>
      <c r="MB25" s="87">
        <f t="shared" ref="MB25:MB41" si="360">IF(LA25=1,$AB$81,IF(LA25=2,$AB$82,IF(LA25=3,$AB$83,IF(LA25=4,$AB$84,IF(LA25=5,$AB$85,IF(LA25=6,$AB$86,IF(LA25=7,$AB$87,$AB$88)))))))</f>
        <v>0.67800000000000005</v>
      </c>
      <c r="MC25" s="87">
        <f t="shared" ref="MC25:MC41" si="361">IF(LA25=1,$AC$81,IF(LA25=2,$AC$82,IF(LA25=3,$AC$83,IF(LA25=4,$AC$84,IF(LA25=5,$AC$85,IF(LA25=6,$AC$86,IF(LA25=7,$AC$87,$AC$88)))))))</f>
        <v>-0.32700000000000001</v>
      </c>
      <c r="MD25" s="87">
        <f t="shared" ref="MD25:MD41" si="362">IF(LA25=1,$AD$81,IF(LA25=2,$AD$82,IF(LA25=3,$AD$83,IF(LA25=4,$AD$84,IF(LA25=5,$AD$85,IF(LA25=6,$AD$86,IF(LA25=7,$AD$87,$AD$88)))))))</f>
        <v>-0.25</v>
      </c>
      <c r="ME25" s="87">
        <f t="shared" ref="ME25:ME41" si="363">IF(LA25=1,$AE$81,IF(LA25=2,$AE$82,IF(LA25=3,$AE$83,IF(LA25=4,$AE$84,IF(LA25=5,$AE$85,IF(LA25=6,$AE$86,IF(LA25=7,$AE$87,$AE$88)))))))</f>
        <v>0.156</v>
      </c>
      <c r="MF25" s="87">
        <f t="shared" ref="MF25:MF41" si="364">IF(LA25=1,$AF$81,IF(LA25=2,$AF$82,IF(LA25=3,$AF$83,IF(LA25=4,$AF$84,IF(LA25=5,$AF$85,IF(LA25=6,$AF$86,IF(LA25=7,$AF$87,$AF$88)))))))</f>
        <v>-1.377</v>
      </c>
      <c r="MG25" s="87">
        <f t="shared" ref="MG25:MG41" si="365">IF(LA25=1,$AG$81,IF(LA25=2,$AG$82,IF(LA25=3,$AG$83,IF(LA25=4,$AG$84,IF(LA25=5,$AG$85,IF(LA25=6,$AG$86,IF(LA25=7,$AG$87,$AG$88)))))))</f>
        <v>0.251</v>
      </c>
      <c r="MH25" s="87">
        <f t="shared" si="172"/>
        <v>0.41743978244196073</v>
      </c>
      <c r="MI25" s="87">
        <f t="shared" si="173"/>
        <v>0.27701516417636207</v>
      </c>
      <c r="MJ25" s="106">
        <f>IF(KP25&lt;0,0,((0.5*(1-MH25)*(1+COS(RADIANS($KW$15))))+(MH25*(LQ25/LR25))+(MI25*SIN(RADIANS($KW$15))))*'Irradiancia Horizontal'!H48)</f>
        <v>38.376763237354446</v>
      </c>
      <c r="MK25" s="87">
        <f t="shared" si="174"/>
        <v>0</v>
      </c>
      <c r="ML25" s="87">
        <f>MK25*'Irradiancia Horizontal'!H77</f>
        <v>0</v>
      </c>
      <c r="MM25" s="87">
        <f t="shared" si="271"/>
        <v>38.376763237354446</v>
      </c>
      <c r="MN25" s="88">
        <f t="shared" si="175"/>
        <v>4235.8898767846358</v>
      </c>
      <c r="MO25" s="87">
        <f t="shared" si="272"/>
        <v>-953.38767366272987</v>
      </c>
      <c r="MP25" s="106">
        <f t="shared" si="273"/>
        <v>89385.647001083722</v>
      </c>
      <c r="MQ25" s="106">
        <f t="shared" si="274"/>
        <v>0</v>
      </c>
      <c r="MR25" s="106">
        <f t="shared" si="275"/>
        <v>5189.2775504473657</v>
      </c>
    </row>
    <row r="26" spans="5:356" x14ac:dyDescent="0.25">
      <c r="E26" s="39">
        <v>0.375</v>
      </c>
      <c r="F26" s="38">
        <v>45</v>
      </c>
      <c r="G26" s="38">
        <f t="shared" si="0"/>
        <v>24.384588412739522</v>
      </c>
      <c r="H26" s="38">
        <f t="shared" si="1"/>
        <v>133.20572092919525</v>
      </c>
      <c r="I26" s="38">
        <f t="shared" si="2"/>
        <v>65.615411587260482</v>
      </c>
      <c r="J26" s="38">
        <f>'Irradiancia Horizontal'!C78/COS(RADIANS(I26))</f>
        <v>658.95142041335066</v>
      </c>
      <c r="K26" s="38">
        <f>((('Irradiancia Horizontal'!C49+J26)/'Irradiancia Horizontal'!C49)+1.041*((RADIANS('Cálculos iluminancia'!I26))^3))/(1+1.041*((RADIANS('Cálculos iluminancia'!I26))^3))</f>
        <v>3.9252438957953477</v>
      </c>
      <c r="L26" s="36">
        <f t="shared" si="3"/>
        <v>2.4111101850627628</v>
      </c>
      <c r="M26" s="36">
        <f t="shared" si="4"/>
        <v>2.3516210506504547</v>
      </c>
      <c r="N26" s="106">
        <f>'Irradiancia Horizontal'!C49*M26/$L$15</f>
        <v>0.14417704762528016</v>
      </c>
      <c r="O26" s="71">
        <f>((17.27*Temp!B19)/(237.7+Temp!B19))+LN(HR!B30/100)</f>
        <v>0.36812428046937862</v>
      </c>
      <c r="P26" s="71">
        <f t="shared" si="176"/>
        <v>5.1771260728452049</v>
      </c>
      <c r="Q26" s="71">
        <f t="shared" si="177"/>
        <v>1.3329557236775036</v>
      </c>
      <c r="R26" s="71">
        <f t="shared" si="277"/>
        <v>6</v>
      </c>
      <c r="S26" s="71">
        <f t="shared" si="6"/>
        <v>88.34</v>
      </c>
      <c r="T26" s="71">
        <f t="shared" si="7"/>
        <v>1.39</v>
      </c>
      <c r="U26" s="71">
        <f t="shared" si="8"/>
        <v>6.06</v>
      </c>
      <c r="V26" s="71">
        <f t="shared" si="9"/>
        <v>-7.6</v>
      </c>
      <c r="W26" s="103">
        <f t="shared" si="10"/>
        <v>107.41375736526851</v>
      </c>
      <c r="X26" s="165">
        <f>IF(AD26&gt;(W26*'Irradiancia Horizontal'!C17),AD26,W26*'Irradiancia Horizontal'!C17)</f>
        <v>38661.168233844946</v>
      </c>
      <c r="Y26" s="71">
        <f t="shared" si="278"/>
        <v>106.42</v>
      </c>
      <c r="Z26" s="71">
        <f t="shared" si="279"/>
        <v>3.83</v>
      </c>
      <c r="AA26" s="71">
        <f t="shared" si="280"/>
        <v>-36.15</v>
      </c>
      <c r="AB26" s="71">
        <f t="shared" si="281"/>
        <v>-28.83</v>
      </c>
      <c r="AC26" s="103">
        <f t="shared" si="15"/>
        <v>152.43579369779533</v>
      </c>
      <c r="AD26" s="71">
        <f>+AC26*'Irradiancia Horizontal'!C49</f>
        <v>13395.021500616647</v>
      </c>
      <c r="AE26" s="71">
        <f t="shared" si="16"/>
        <v>25266.146733228299</v>
      </c>
      <c r="AF26" s="71">
        <f>+AE26/'Irradiancia Horizontal'!C78</f>
        <v>92.87169650869086</v>
      </c>
      <c r="AG26" s="38">
        <f t="shared" si="282"/>
        <v>0.62354819815396811</v>
      </c>
      <c r="AH26" s="84">
        <f t="shared" si="178"/>
        <v>0.62354819815396811</v>
      </c>
      <c r="AI26" s="84">
        <f t="shared" si="179"/>
        <v>0.41285945651397765</v>
      </c>
      <c r="AJ26" s="84">
        <f t="shared" si="180"/>
        <v>1.4259999999999999</v>
      </c>
      <c r="AK26" s="84">
        <f t="shared" si="181"/>
        <v>-0.65300000000000002</v>
      </c>
      <c r="AL26" s="84">
        <f t="shared" si="182"/>
        <v>-0.77900000000000003</v>
      </c>
      <c r="AM26" s="84">
        <f t="shared" si="183"/>
        <v>0.42499999999999999</v>
      </c>
      <c r="AN26" s="84">
        <f t="shared" si="184"/>
        <v>-0.78500000000000003</v>
      </c>
      <c r="AO26" s="84">
        <f t="shared" si="185"/>
        <v>-9.7000000000000003E-2</v>
      </c>
      <c r="AP26" s="84">
        <f t="shared" si="18"/>
        <v>0.43973771451877253</v>
      </c>
      <c r="AQ26" s="84">
        <f t="shared" si="19"/>
        <v>0.20073613530600845</v>
      </c>
      <c r="AR26" s="88">
        <f t="shared" si="20"/>
        <v>15337.435395537996</v>
      </c>
      <c r="AS26" s="84">
        <f t="shared" si="283"/>
        <v>1.1319999999999999</v>
      </c>
      <c r="AT26" s="84">
        <f t="shared" si="284"/>
        <v>-1.2370000000000001</v>
      </c>
      <c r="AU26" s="84">
        <f t="shared" si="285"/>
        <v>-0.41199999999999998</v>
      </c>
      <c r="AV26" s="84">
        <f t="shared" si="286"/>
        <v>0.28799999999999998</v>
      </c>
      <c r="AW26" s="84">
        <f t="shared" si="287"/>
        <v>-0.82299999999999995</v>
      </c>
      <c r="AX26" s="84">
        <f t="shared" si="288"/>
        <v>5.6000000000000001E-2</v>
      </c>
      <c r="AY26" s="84">
        <f t="shared" si="27"/>
        <v>0.48182854352096754</v>
      </c>
      <c r="AZ26" s="84">
        <f t="shared" si="28"/>
        <v>0.23347376825033472</v>
      </c>
      <c r="BA26" s="106">
        <f>IF(G26&lt;0,0,((0.5*(1-AY26)*(1+COS(RADIANS($N$15))))+(AY26*(AH26/AI26))+(AZ26*SIN(RADIANS($N$15))))*'Irradiancia Horizontal'!C49)</f>
        <v>107.2292801664362</v>
      </c>
      <c r="BB26" s="106">
        <f t="shared" si="186"/>
        <v>1.5103158915602009</v>
      </c>
      <c r="BC26" s="84">
        <f>BB26*'Irradiancia Horizontal'!C78</f>
        <v>410.88797086974273</v>
      </c>
      <c r="BD26" s="84">
        <f t="shared" si="187"/>
        <v>518.11725103617891</v>
      </c>
      <c r="BE26" s="88">
        <f t="shared" si="29"/>
        <v>55652.920689560036</v>
      </c>
      <c r="BF26" s="84">
        <f t="shared" si="188"/>
        <v>40315.485294022044</v>
      </c>
      <c r="BG26" s="106">
        <f t="shared" si="189"/>
        <v>61197.936330599456</v>
      </c>
      <c r="BH26" s="106">
        <f t="shared" si="190"/>
        <v>38159.862929686555</v>
      </c>
      <c r="BI26" s="106">
        <f t="shared" si="191"/>
        <v>53497.298325224547</v>
      </c>
      <c r="BJ26" s="72"/>
      <c r="BL26" s="39">
        <v>0.375</v>
      </c>
      <c r="BM26" s="38">
        <v>45</v>
      </c>
      <c r="BN26" s="38">
        <f t="shared" si="30"/>
        <v>30.765345417017471</v>
      </c>
      <c r="BO26" s="38">
        <f t="shared" si="31"/>
        <v>126.17960888604199</v>
      </c>
      <c r="BP26" s="38">
        <f t="shared" si="32"/>
        <v>59.234654582982529</v>
      </c>
      <c r="BQ26" s="38">
        <f>+'Irradiancia Horizontal'!D78/COS(RADIANS(BP26))</f>
        <v>607.00918063934785</v>
      </c>
      <c r="BR26" s="38">
        <f>((('Irradiancia Horizontal'!D49+BQ26)/'Irradiancia Horizontal'!D49)+1.041*((RADIANS('Cálculos iluminancia'!BP26))^3))/(1+1.041*((RADIANS('Cálculos iluminancia'!BP26))^3))</f>
        <v>3.3962700296134254</v>
      </c>
      <c r="BS26" s="84">
        <f t="shared" si="33"/>
        <v>1.9496757634237798</v>
      </c>
      <c r="BT26" s="84">
        <f t="shared" si="192"/>
        <v>1.9015715646736437</v>
      </c>
      <c r="BU26" s="106">
        <f>'Irradiancia Horizontal'!D49*BT26/$BS$15</f>
        <v>0.15789383885177521</v>
      </c>
      <c r="BV26" s="84">
        <f>((17.27*Temp!C19)/(237.7+Temp!C19))+LN(HR!C30/100)</f>
        <v>0.44362251463501012</v>
      </c>
      <c r="BW26" s="84">
        <f t="shared" si="193"/>
        <v>6.2668908872666096</v>
      </c>
      <c r="BX26" s="84">
        <f t="shared" si="194"/>
        <v>1.438617182248352</v>
      </c>
      <c r="BY26" s="84">
        <f t="shared" si="289"/>
        <v>6</v>
      </c>
      <c r="BZ26" s="84">
        <f t="shared" si="290"/>
        <v>88.34</v>
      </c>
      <c r="CA26" s="84">
        <f t="shared" si="291"/>
        <v>1.39</v>
      </c>
      <c r="CB26" s="84">
        <f t="shared" si="292"/>
        <v>6.06</v>
      </c>
      <c r="CC26" s="84">
        <f t="shared" si="293"/>
        <v>-7.6</v>
      </c>
      <c r="CD26" s="103">
        <f t="shared" si="39"/>
        <v>107.46783479424464</v>
      </c>
      <c r="CE26" s="165">
        <f>IF(CK26&gt;(CD26*'Irradiancia Horizontal'!D17),CK26,CD26*'Irradiancia Horizontal'!D17)</f>
        <v>46028.851661391644</v>
      </c>
      <c r="CF26" s="84">
        <f t="shared" si="294"/>
        <v>106.42</v>
      </c>
      <c r="CG26" s="84">
        <f t="shared" si="295"/>
        <v>3.83</v>
      </c>
      <c r="CH26" s="84">
        <f t="shared" si="296"/>
        <v>-36.15</v>
      </c>
      <c r="CI26" s="84">
        <f t="shared" si="297"/>
        <v>-28.83</v>
      </c>
      <c r="CJ26" s="103">
        <f t="shared" si="44"/>
        <v>146.65368610173587</v>
      </c>
      <c r="CK26" s="84">
        <f>+CJ26*'Irradiancia Horizontal'!D49</f>
        <v>17276.42224826137</v>
      </c>
      <c r="CL26" s="84">
        <f t="shared" si="195"/>
        <v>28752.429413130274</v>
      </c>
      <c r="CM26" s="84">
        <f>+CL26/'Irradiancia Horizontal'!D78</f>
        <v>92.600624559203894</v>
      </c>
      <c r="CN26" s="38">
        <f t="shared" si="45"/>
        <v>0.50724259609009414</v>
      </c>
      <c r="CO26" s="84">
        <f t="shared" si="196"/>
        <v>0.50724259609009414</v>
      </c>
      <c r="CP26" s="84">
        <f t="shared" si="197"/>
        <v>0.51152324088140566</v>
      </c>
      <c r="CQ26" s="84">
        <f t="shared" si="198"/>
        <v>1.4259999999999999</v>
      </c>
      <c r="CR26" s="84">
        <f t="shared" si="199"/>
        <v>-0.65300000000000002</v>
      </c>
      <c r="CS26" s="84">
        <f t="shared" si="200"/>
        <v>-0.77900000000000003</v>
      </c>
      <c r="CT26" s="84">
        <f t="shared" si="201"/>
        <v>0.42499999999999999</v>
      </c>
      <c r="CU26" s="84">
        <f t="shared" si="202"/>
        <v>-0.78500000000000003</v>
      </c>
      <c r="CV26" s="84">
        <f t="shared" si="203"/>
        <v>-9.7000000000000003E-2</v>
      </c>
      <c r="CW26" s="84">
        <f t="shared" si="46"/>
        <v>0.51753415505496203</v>
      </c>
      <c r="CX26" s="84">
        <f t="shared" si="47"/>
        <v>0.20077088038716084</v>
      </c>
      <c r="CY26" s="88">
        <f t="shared" si="48"/>
        <v>16502.55966047716</v>
      </c>
      <c r="CZ26" s="84">
        <f t="shared" si="298"/>
        <v>1.1319999999999999</v>
      </c>
      <c r="DA26" s="84">
        <f t="shared" si="299"/>
        <v>-1.2370000000000001</v>
      </c>
      <c r="DB26" s="84">
        <f t="shared" si="300"/>
        <v>-0.41199999999999998</v>
      </c>
      <c r="DC26" s="84">
        <f t="shared" si="301"/>
        <v>0.28799999999999998</v>
      </c>
      <c r="DD26" s="84">
        <f t="shared" si="302"/>
        <v>-0.82299999999999995</v>
      </c>
      <c r="DE26" s="84">
        <f t="shared" si="303"/>
        <v>5.6000000000000001E-2</v>
      </c>
      <c r="DF26" s="84">
        <f t="shared" si="55"/>
        <v>0.51074334279346123</v>
      </c>
      <c r="DG26" s="84">
        <f t="shared" si="56"/>
        <v>0.21594839683524622</v>
      </c>
      <c r="DH26" s="106">
        <f>IF(BN26&lt;0,0,((0.5*(1-DF26)*(1+COS(RADIANS($BU$15))))+(DF26*(CO26/CP26))+(DG26*SIN(RADIANS($BU$15))))*'Irradiancia Horizontal'!D49)</f>
        <v>113.92208821401459</v>
      </c>
      <c r="DI26" s="106">
        <f t="shared" si="204"/>
        <v>0.99163157321271356</v>
      </c>
      <c r="DJ26" s="84">
        <f>DI26*'Irradiancia Horizontal'!D78</f>
        <v>307.90091263802373</v>
      </c>
      <c r="DK26" s="84">
        <f t="shared" si="205"/>
        <v>421.82300085203832</v>
      </c>
      <c r="DL26" s="88">
        <f t="shared" si="57"/>
        <v>45332.404567979371</v>
      </c>
      <c r="DM26" s="84">
        <f t="shared" si="206"/>
        <v>28829.844907502211</v>
      </c>
      <c r="DN26" s="106">
        <f t="shared" si="207"/>
        <v>56209.429240374229</v>
      </c>
      <c r="DO26" s="106">
        <f t="shared" si="208"/>
        <v>28511.816812629873</v>
      </c>
      <c r="DP26" s="106">
        <f t="shared" si="209"/>
        <v>45014.376473107033</v>
      </c>
      <c r="DQ26" s="44"/>
      <c r="DS26" s="39">
        <v>0.375</v>
      </c>
      <c r="DT26" s="38">
        <v>45</v>
      </c>
      <c r="DU26" s="38">
        <f t="shared" si="58"/>
        <v>37.917838062207871</v>
      </c>
      <c r="DV26" s="38">
        <f t="shared" si="59"/>
        <v>116.32334178613942</v>
      </c>
      <c r="DW26" s="38">
        <f t="shared" si="60"/>
        <v>52.082161937792129</v>
      </c>
      <c r="DX26" s="38">
        <f>+'Irradiancia Horizontal'!E78/COS(RADIANS(DW26))</f>
        <v>579.28924453822412</v>
      </c>
      <c r="DY26" s="38">
        <f>((('Irradiancia Horizontal'!E49+DX26)/'Irradiancia Horizontal'!E49)+1.041*((RADIANS('Cálculos iluminancia'!DW26))^3))/(1+1.041*((RADIANS('Cálculos iluminancia'!DW26))^3))</f>
        <v>3.1878527950405275</v>
      </c>
      <c r="DZ26" s="84">
        <f t="shared" si="61"/>
        <v>1.624523739848593</v>
      </c>
      <c r="EA26" s="84">
        <f t="shared" si="210"/>
        <v>1.5844419917333268</v>
      </c>
      <c r="EB26" s="106">
        <f>'Irradiancia Horizontal'!E49*EA26/$DZ$15</f>
        <v>0.16841354749367671</v>
      </c>
      <c r="EC26" s="84">
        <f>((17.27*Temp!D19)/(237.7+Temp!D19))+LN(HR!D30/100)</f>
        <v>0.52483071531670056</v>
      </c>
      <c r="ED26" s="84">
        <f t="shared" si="211"/>
        <v>7.4500447806693613</v>
      </c>
      <c r="EE26" s="84">
        <f t="shared" si="212"/>
        <v>1.5628375864922388</v>
      </c>
      <c r="EF26" s="84">
        <f t="shared" si="304"/>
        <v>6</v>
      </c>
      <c r="EG26" s="84">
        <f t="shared" si="305"/>
        <v>88.34</v>
      </c>
      <c r="EH26" s="84">
        <f t="shared" si="306"/>
        <v>1.39</v>
      </c>
      <c r="EI26" s="84">
        <f t="shared" si="307"/>
        <v>6.06</v>
      </c>
      <c r="EJ26" s="84">
        <f t="shared" si="308"/>
        <v>-7.6</v>
      </c>
      <c r="EK26" s="103">
        <f t="shared" si="67"/>
        <v>107.77452988859825</v>
      </c>
      <c r="EL26" s="165">
        <f>IF(ER26&gt;(EK26*'Irradiancia Horizontal'!E17),ER26,EK26*'Irradiancia Horizontal'!E17)</f>
        <v>54381.177884013472</v>
      </c>
      <c r="EM26" s="84">
        <f t="shared" si="309"/>
        <v>106.42</v>
      </c>
      <c r="EN26" s="84">
        <f t="shared" si="310"/>
        <v>3.83</v>
      </c>
      <c r="EO26" s="84">
        <f t="shared" si="311"/>
        <v>-36.15</v>
      </c>
      <c r="EP26" s="84">
        <f t="shared" si="312"/>
        <v>-28.83</v>
      </c>
      <c r="EQ26" s="103">
        <f t="shared" si="72"/>
        <v>141.54620082298197</v>
      </c>
      <c r="ER26" s="84">
        <f>+EQ26*'Irradiancia Horizontal'!E49</f>
        <v>21032.594924735778</v>
      </c>
      <c r="ES26" s="84">
        <f t="shared" si="213"/>
        <v>33348.582959277694</v>
      </c>
      <c r="ET26" s="84">
        <f>+ES26/'Irradiancia Horizontal'!E78</f>
        <v>93.678135469316445</v>
      </c>
      <c r="EU26" s="38">
        <f t="shared" si="73"/>
        <v>0.34982376288589062</v>
      </c>
      <c r="EV26" s="84">
        <f t="shared" si="214"/>
        <v>0.34982376288589062</v>
      </c>
      <c r="EW26" s="84">
        <f t="shared" si="215"/>
        <v>0.61453083817464427</v>
      </c>
      <c r="EX26" s="84">
        <f t="shared" si="216"/>
        <v>1.4259999999999999</v>
      </c>
      <c r="EY26" s="84">
        <f t="shared" si="217"/>
        <v>-0.65300000000000002</v>
      </c>
      <c r="EZ26" s="84">
        <f t="shared" si="218"/>
        <v>-0.77900000000000003</v>
      </c>
      <c r="FA26" s="84">
        <f t="shared" si="219"/>
        <v>0.42499999999999999</v>
      </c>
      <c r="FB26" s="84">
        <f t="shared" si="220"/>
        <v>-0.78500000000000003</v>
      </c>
      <c r="FC26" s="84">
        <f t="shared" si="221"/>
        <v>-9.7000000000000003E-2</v>
      </c>
      <c r="FD26" s="84">
        <f t="shared" si="74"/>
        <v>0.60791089694435285</v>
      </c>
      <c r="FE26" s="84">
        <f t="shared" si="75"/>
        <v>0.20462186010244349</v>
      </c>
      <c r="FF26" s="88">
        <f t="shared" si="76"/>
        <v>15705.496100371587</v>
      </c>
      <c r="FG26" s="84">
        <f t="shared" si="313"/>
        <v>1.1319999999999999</v>
      </c>
      <c r="FH26" s="84">
        <f t="shared" si="314"/>
        <v>-1.2370000000000001</v>
      </c>
      <c r="FI26" s="84">
        <f t="shared" si="315"/>
        <v>-0.41199999999999998</v>
      </c>
      <c r="FJ26" s="84">
        <f t="shared" si="316"/>
        <v>0.28799999999999998</v>
      </c>
      <c r="FK26" s="84">
        <f t="shared" si="317"/>
        <v>-0.82299999999999995</v>
      </c>
      <c r="FL26" s="84">
        <f t="shared" si="318"/>
        <v>5.6000000000000001E-2</v>
      </c>
      <c r="FM26" s="84">
        <f t="shared" si="83"/>
        <v>0.54916229631332858</v>
      </c>
      <c r="FN26" s="84">
        <f t="shared" si="84"/>
        <v>0.20029994202549925</v>
      </c>
      <c r="FO26" s="106">
        <f>IF(DU26&lt;0,0,((0.5*(1-FM26)*(1+COS(RADIANS($EB$15))))+(FM26*(EV26/EW26))+(FN26*SIN(RADIANS($EB$15))))*'Irradiancia Horizontal'!E49)</f>
        <v>109.70992445825948</v>
      </c>
      <c r="FP26" s="106">
        <f t="shared" si="222"/>
        <v>0.56925338999256825</v>
      </c>
      <c r="FQ26" s="84">
        <f>FP26*'Irradiancia Horizontal'!E78</f>
        <v>202.64914332368642</v>
      </c>
      <c r="FR26" s="84">
        <f t="shared" si="223"/>
        <v>312.3590677819459</v>
      </c>
      <c r="FS26" s="88">
        <f t="shared" si="85"/>
        <v>33664.351686640017</v>
      </c>
      <c r="FT26" s="84">
        <f t="shared" si="224"/>
        <v>17958.85558626843</v>
      </c>
      <c r="FU26" s="106">
        <f t="shared" si="225"/>
        <v>54266.736325769743</v>
      </c>
      <c r="FV26" s="106">
        <f t="shared" si="226"/>
        <v>18983.793901017223</v>
      </c>
      <c r="FW26" s="106">
        <f t="shared" si="227"/>
        <v>34689.290001388814</v>
      </c>
      <c r="FX26" s="83"/>
      <c r="FZ26" s="39">
        <v>0.375</v>
      </c>
      <c r="GA26" s="38">
        <v>45</v>
      </c>
      <c r="GB26" s="38">
        <f t="shared" si="86"/>
        <v>44.664130151519252</v>
      </c>
      <c r="GC26" s="38">
        <f t="shared" si="87"/>
        <v>103.10500710121094</v>
      </c>
      <c r="GD26" s="38">
        <f t="shared" si="88"/>
        <v>45.335869848480748</v>
      </c>
      <c r="GE26" s="38">
        <f>+'Irradiancia Horizontal'!F78/COS(RADIANS(GD26))</f>
        <v>663.74864655999704</v>
      </c>
      <c r="GF26" s="38">
        <f>((('Irradiancia Horizontal'!F49+GE26)/'Irradiancia Horizontal'!F49)+1.041*((RADIANS('Cálculos iluminancia'!GD26))^3))/(1+1.041*((RADIANS('Cálculos iluminancia'!GD26))^3))</f>
        <v>3.9339520257689213</v>
      </c>
      <c r="GG26" s="84">
        <f t="shared" si="89"/>
        <v>1.4209219038029568</v>
      </c>
      <c r="GH26" s="84">
        <f t="shared" si="276"/>
        <v>1.3858636079820521</v>
      </c>
      <c r="GI26" s="106">
        <f>'Irradiancia Horizontal'!F49*GH26/$GG$15</f>
        <v>0.15066372130950312</v>
      </c>
      <c r="GJ26" s="84">
        <f>((17.27*Temp!E19)/(237.7+Temp!E19))+LN(HR!E30/100)</f>
        <v>0.69533191759359037</v>
      </c>
      <c r="GK26" s="84">
        <f t="shared" si="228"/>
        <v>9.9718676712107062</v>
      </c>
      <c r="GL26" s="84">
        <f t="shared" si="229"/>
        <v>1.8645705099140719</v>
      </c>
      <c r="GM26" s="84">
        <f t="shared" si="319"/>
        <v>6</v>
      </c>
      <c r="GN26" s="84">
        <f t="shared" si="320"/>
        <v>88.34</v>
      </c>
      <c r="GO26" s="84">
        <f t="shared" si="321"/>
        <v>1.39</v>
      </c>
      <c r="GP26" s="84">
        <f t="shared" si="322"/>
        <v>6.06</v>
      </c>
      <c r="GQ26" s="84">
        <f t="shared" si="323"/>
        <v>-7.6</v>
      </c>
      <c r="GR26" s="103">
        <f t="shared" si="96"/>
        <v>109.5761849299241</v>
      </c>
      <c r="GS26" s="165">
        <f>IF(GY26&gt;(GR26*'Irradiancia Horizontal'!F17),GY26,GR26*'Irradiancia Horizontal'!F17)</f>
        <v>67481.22200150913</v>
      </c>
      <c r="GT26" s="84">
        <f t="shared" si="324"/>
        <v>106.42</v>
      </c>
      <c r="GU26" s="84">
        <f t="shared" si="325"/>
        <v>3.83</v>
      </c>
      <c r="GV26" s="84">
        <f t="shared" si="326"/>
        <v>-36.15</v>
      </c>
      <c r="GW26" s="84">
        <f t="shared" si="327"/>
        <v>-28.83</v>
      </c>
      <c r="GX26" s="103">
        <f t="shared" si="101"/>
        <v>142.71636138503931</v>
      </c>
      <c r="GY26" s="84">
        <f>+GX26*'Irradiancia Horizontal'!F49</f>
        <v>21301.354563899604</v>
      </c>
      <c r="GZ26" s="84">
        <f t="shared" si="230"/>
        <v>46179.86743760953</v>
      </c>
      <c r="HA26" s="84">
        <f>+GZ26/'Irradiancia Horizontal'!F78</f>
        <v>98.974852469041096</v>
      </c>
      <c r="HB26" s="38">
        <f t="shared" si="102"/>
        <v>0.16126394361320809</v>
      </c>
      <c r="HC26" s="84">
        <f t="shared" si="231"/>
        <v>0.16126394361320809</v>
      </c>
      <c r="HD26" s="84">
        <f t="shared" si="232"/>
        <v>0.70294957114865309</v>
      </c>
      <c r="HE26" s="84">
        <f t="shared" si="233"/>
        <v>1.4259999999999999</v>
      </c>
      <c r="HF26" s="84">
        <f t="shared" si="234"/>
        <v>-0.65300000000000002</v>
      </c>
      <c r="HG26" s="84">
        <f t="shared" si="235"/>
        <v>-0.77900000000000003</v>
      </c>
      <c r="HH26" s="84">
        <f t="shared" si="236"/>
        <v>0.42499999999999999</v>
      </c>
      <c r="HI26" s="84">
        <f t="shared" si="237"/>
        <v>-0.78500000000000003</v>
      </c>
      <c r="HJ26" s="84">
        <f t="shared" si="238"/>
        <v>-9.7000000000000003E-2</v>
      </c>
      <c r="HK26" s="84">
        <f t="shared" si="103"/>
        <v>0.71122489565594871</v>
      </c>
      <c r="HL26" s="84">
        <f t="shared" si="104"/>
        <v>0.22997673955521369</v>
      </c>
      <c r="HM26" s="88">
        <f t="shared" si="105"/>
        <v>11450.046416582449</v>
      </c>
      <c r="HN26" s="84">
        <f t="shared" si="328"/>
        <v>1.1319999999999999</v>
      </c>
      <c r="HO26" s="84">
        <f t="shared" si="329"/>
        <v>-1.2370000000000001</v>
      </c>
      <c r="HP26" s="84">
        <f t="shared" si="330"/>
        <v>-0.41199999999999998</v>
      </c>
      <c r="HQ26" s="84">
        <f t="shared" si="331"/>
        <v>0.28799999999999998</v>
      </c>
      <c r="HR26" s="84">
        <f t="shared" si="332"/>
        <v>-0.82299999999999995</v>
      </c>
      <c r="HS26" s="84">
        <f t="shared" si="333"/>
        <v>5.6000000000000001E-2</v>
      </c>
      <c r="HT26" s="84">
        <f t="shared" si="112"/>
        <v>0.61962977511816031</v>
      </c>
      <c r="HU26" s="84">
        <f t="shared" si="113"/>
        <v>0.20831432845652917</v>
      </c>
      <c r="HV26" s="106">
        <f>IF(GB26&lt;0,0,((0.5*(1-HT26)*(1+COS(RADIANS($GI$15))))+(HT26*(HC26/HD26))+(HU26*SIN(RADIANS($GI$15))))*'Irradiancia Horizontal'!F49)</f>
        <v>80.695408765928931</v>
      </c>
      <c r="HW26" s="84">
        <f t="shared" si="114"/>
        <v>0.22941040187234929</v>
      </c>
      <c r="HX26" s="84">
        <f>HW26*'Irradiancia Horizontal'!F78</f>
        <v>107.03872431219456</v>
      </c>
      <c r="HY26" s="84">
        <f t="shared" si="239"/>
        <v>187.73413307812348</v>
      </c>
      <c r="HZ26" s="88">
        <f t="shared" si="115"/>
        <v>20571.190083827438</v>
      </c>
      <c r="IA26" s="84">
        <f t="shared" si="240"/>
        <v>9121.143667244989</v>
      </c>
      <c r="IB26" s="106">
        <f t="shared" si="241"/>
        <v>65694.424369801418</v>
      </c>
      <c r="IC26" s="106">
        <f t="shared" si="242"/>
        <v>10594.14194727382</v>
      </c>
      <c r="ID26" s="106">
        <f t="shared" si="243"/>
        <v>22044.188363856269</v>
      </c>
      <c r="IE26" s="83"/>
      <c r="IG26" s="39">
        <v>0.375</v>
      </c>
      <c r="IH26" s="38">
        <v>45</v>
      </c>
      <c r="II26" s="38">
        <f t="shared" si="116"/>
        <v>48.376276838475924</v>
      </c>
      <c r="IJ26" s="38">
        <f t="shared" si="117"/>
        <v>91.879215872253667</v>
      </c>
      <c r="IK26" s="38">
        <f t="shared" si="118"/>
        <v>41.623723161524076</v>
      </c>
      <c r="IL26" s="38">
        <f>+'Irradiancia Horizontal'!G78/COS(RADIANS(IK26))</f>
        <v>901.32967438428125</v>
      </c>
      <c r="IM26" s="38">
        <f>((('Irradiancia Horizontal'!G49+IL26)/'Irradiancia Horizontal'!G49)+1.041*((RADIANS('Cálculos iluminancia'!IK26))^3))/(1+1.041*((RADIANS('Cálculos iluminancia'!IK26))^3))</f>
        <v>8.2233214678992184</v>
      </c>
      <c r="IN26" s="87">
        <f t="shared" si="119"/>
        <v>1.3364469741350313</v>
      </c>
      <c r="IO26" s="87">
        <f t="shared" si="334"/>
        <v>1.3034729216957099</v>
      </c>
      <c r="IP26" s="106">
        <f>'Irradiancia Horizontal'!G49*IO26/$IN$15</f>
        <v>8.59188862649026E-2</v>
      </c>
      <c r="IQ26" s="87">
        <f>((17.27*Temp!F19)/(237.7+Temp!F19))+LN(HR!F30/100)</f>
        <v>0.89872782849105504</v>
      </c>
      <c r="IR26" s="87">
        <f t="shared" si="244"/>
        <v>13.048931237249944</v>
      </c>
      <c r="IS26" s="87">
        <f t="shared" si="245"/>
        <v>2.3127220018750583</v>
      </c>
      <c r="IT26" s="87">
        <f t="shared" si="335"/>
        <v>8</v>
      </c>
      <c r="IU26" s="87">
        <f t="shared" si="336"/>
        <v>99.65</v>
      </c>
      <c r="IV26" s="87">
        <f t="shared" si="337"/>
        <v>1.86</v>
      </c>
      <c r="IW26" s="87">
        <f t="shared" si="338"/>
        <v>-4.46</v>
      </c>
      <c r="IX26" s="87">
        <f t="shared" si="339"/>
        <v>-3.15</v>
      </c>
      <c r="IY26" s="103">
        <f t="shared" si="126"/>
        <v>108.34891733955408</v>
      </c>
      <c r="IZ26" s="165">
        <f>IF(JF26&gt;(IY26*'Irradiancia Horizontal'!G17),JF26,IY26*'Irradiancia Horizontal'!G17)</f>
        <v>82664.767888541712</v>
      </c>
      <c r="JA26" s="87">
        <f t="shared" si="340"/>
        <v>152.22999999999999</v>
      </c>
      <c r="JB26" s="87">
        <f t="shared" si="341"/>
        <v>0.35</v>
      </c>
      <c r="JC26" s="87">
        <f t="shared" si="342"/>
        <v>-45.27</v>
      </c>
      <c r="JD26" s="87">
        <f t="shared" si="343"/>
        <v>-7.98</v>
      </c>
      <c r="JE26" s="103">
        <f t="shared" si="131"/>
        <v>138.7848064791585</v>
      </c>
      <c r="JF26" s="87">
        <f>+JE26*'Irradiancia Horizontal'!G49</f>
        <v>12377.50420449565</v>
      </c>
      <c r="JG26" s="87">
        <f t="shared" si="246"/>
        <v>70287.263684046062</v>
      </c>
      <c r="JH26" s="87">
        <f>+JG26/'Irradiancia Horizontal'!G78</f>
        <v>104.32018098639523</v>
      </c>
      <c r="JI26" s="38">
        <f t="shared" si="132"/>
        <v>2.1782034289725194E-2</v>
      </c>
      <c r="JJ26" s="87">
        <f t="shared" si="247"/>
        <v>2.1782034289725194E-2</v>
      </c>
      <c r="JK26" s="87">
        <f t="shared" si="248"/>
        <v>0.74752312956608813</v>
      </c>
      <c r="JL26" s="87">
        <f t="shared" si="249"/>
        <v>1.17</v>
      </c>
      <c r="JM26" s="87">
        <f t="shared" si="250"/>
        <v>-0.3</v>
      </c>
      <c r="JN26" s="87">
        <f t="shared" si="251"/>
        <v>-0.61499999999999999</v>
      </c>
      <c r="JO26" s="87">
        <f t="shared" si="252"/>
        <v>0.51800000000000002</v>
      </c>
      <c r="JP26" s="87">
        <f t="shared" si="253"/>
        <v>-1.8919999999999999</v>
      </c>
      <c r="JQ26" s="87">
        <f t="shared" si="254"/>
        <v>-5.5E-2</v>
      </c>
      <c r="JR26" s="87">
        <f t="shared" si="133"/>
        <v>0.69744465921458976</v>
      </c>
      <c r="JS26" s="87">
        <f t="shared" si="134"/>
        <v>0.31548556130090727</v>
      </c>
      <c r="JT26" s="88">
        <f t="shared" si="135"/>
        <v>6028.909412270189</v>
      </c>
      <c r="JU26" s="87">
        <f t="shared" si="344"/>
        <v>0.67800000000000005</v>
      </c>
      <c r="JV26" s="87">
        <f t="shared" si="345"/>
        <v>-0.32700000000000001</v>
      </c>
      <c r="JW26" s="87">
        <f t="shared" si="346"/>
        <v>-0.25</v>
      </c>
      <c r="JX26" s="87">
        <f t="shared" si="347"/>
        <v>0.156</v>
      </c>
      <c r="JY26" s="87">
        <f t="shared" si="348"/>
        <v>-1.377</v>
      </c>
      <c r="JZ26" s="87">
        <f t="shared" si="349"/>
        <v>0.251</v>
      </c>
      <c r="KA26" s="87">
        <f t="shared" si="142"/>
        <v>0.46828677016457221</v>
      </c>
      <c r="KB26" s="87">
        <f t="shared" si="143"/>
        <v>0.22003391865614103</v>
      </c>
      <c r="KC26" s="106">
        <f>IF(II26&lt;0,0,((0.5*(1-KA26)*(1+COS(RADIANS($IP$15))))+(KA26*(JJ26/JK26))+(KB26*SIN(RADIANS($IP$15))))*'Irradiancia Horizontal'!G49)</f>
        <v>44.551043081209848</v>
      </c>
      <c r="KD26" s="87">
        <f t="shared" si="144"/>
        <v>2.9138943570038999E-2</v>
      </c>
      <c r="KE26" s="87">
        <f>KD26*'Irradiancia Horizontal'!G78</f>
        <v>19.632793873785257</v>
      </c>
      <c r="KF26" s="87">
        <f t="shared" si="255"/>
        <v>64.183836954995101</v>
      </c>
      <c r="KG26" s="88">
        <f t="shared" si="145"/>
        <v>6954.2492447721806</v>
      </c>
      <c r="KH26" s="87">
        <f t="shared" si="256"/>
        <v>925.33983250199162</v>
      </c>
      <c r="KI26" s="106">
        <f t="shared" si="257"/>
        <v>94026.874760176899</v>
      </c>
      <c r="KJ26" s="106">
        <f t="shared" si="258"/>
        <v>2048.0966101818694</v>
      </c>
      <c r="KK26" s="106">
        <f t="shared" si="259"/>
        <v>8077.0060224520585</v>
      </c>
      <c r="KL26" s="86"/>
      <c r="KN26" s="39">
        <v>0.375</v>
      </c>
      <c r="KO26" s="38">
        <v>45</v>
      </c>
      <c r="KP26" s="38">
        <f t="shared" si="146"/>
        <v>49.494624805188728</v>
      </c>
      <c r="KQ26" s="38">
        <f t="shared" si="147"/>
        <v>87.132774729162193</v>
      </c>
      <c r="KR26" s="38">
        <f t="shared" si="148"/>
        <v>40.505375194811272</v>
      </c>
      <c r="KS26" s="38">
        <f>+'Irradiancia Horizontal'!H78/COS(RADIANS(KR26))</f>
        <v>917.96553194526643</v>
      </c>
      <c r="KT26" s="38">
        <f>((('Irradiancia Horizontal'!H49+KS26)/'Irradiancia Horizontal'!H49)+1.041*((RADIANS('Cálculos iluminancia'!KR26))^3))/(1+1.041*((RADIANS('Cálculos iluminancia'!KR26))^3))</f>
        <v>8.76780133547968</v>
      </c>
      <c r="KU26" s="87">
        <f t="shared" si="149"/>
        <v>1.3139729178028623</v>
      </c>
      <c r="KV26" s="87">
        <f t="shared" si="350"/>
        <v>1.2815533660106773</v>
      </c>
      <c r="KW26" s="106">
        <f>'Irradiancia Horizontal'!H49*KV26/$KU$15</f>
        <v>8.2515999661149031E-2</v>
      </c>
      <c r="KX26" s="87">
        <f>((17.27*Temp!G19)/(237.7+Temp!G19))+LN(HR!G30/100)</f>
        <v>1.1954736270262738</v>
      </c>
      <c r="KY26" s="87">
        <f t="shared" si="260"/>
        <v>17.677913149709553</v>
      </c>
      <c r="KZ26" s="87">
        <f t="shared" si="261"/>
        <v>3.1977707310238599</v>
      </c>
      <c r="LA26" s="87">
        <f t="shared" si="351"/>
        <v>8</v>
      </c>
      <c r="LB26" s="87">
        <f t="shared" si="352"/>
        <v>99.65</v>
      </c>
      <c r="LC26" s="87">
        <f t="shared" si="353"/>
        <v>1.86</v>
      </c>
      <c r="LD26" s="87">
        <f t="shared" si="354"/>
        <v>-4.46</v>
      </c>
      <c r="LE26" s="87">
        <f t="shared" si="355"/>
        <v>-3.15</v>
      </c>
      <c r="LF26" s="103">
        <f t="shared" si="156"/>
        <v>110.06521837419757</v>
      </c>
      <c r="LG26" s="165">
        <f>IF(LM26&gt;(LF26*'Irradiancia Horizontal'!H17),LM26,LF26*'Irradiancia Horizontal'!H17)</f>
        <v>86331.683749163174</v>
      </c>
      <c r="LH26" s="87">
        <f t="shared" si="356"/>
        <v>152.22999999999999</v>
      </c>
      <c r="LI26" s="87">
        <f t="shared" si="357"/>
        <v>0.35</v>
      </c>
      <c r="LJ26" s="87">
        <f t="shared" si="358"/>
        <v>-45.27</v>
      </c>
      <c r="LK26" s="87">
        <f t="shared" si="359"/>
        <v>-7.98</v>
      </c>
      <c r="LL26" s="103">
        <f t="shared" si="161"/>
        <v>138.83660934115971</v>
      </c>
      <c r="LM26" s="87">
        <f>+LL26*'Irradiancia Horizontal'!H49</f>
        <v>11995.192474808395</v>
      </c>
      <c r="LN26" s="87">
        <f t="shared" si="262"/>
        <v>74336.491274354776</v>
      </c>
      <c r="LO26" s="87">
        <f>+LN26/'Irradiancia Horizontal'!H78</f>
        <v>106.50376722009524</v>
      </c>
      <c r="LP26" s="38">
        <f t="shared" si="162"/>
        <v>-3.249002309002752E-2</v>
      </c>
      <c r="LQ26" s="87">
        <f t="shared" si="263"/>
        <v>0</v>
      </c>
      <c r="LR26" s="87">
        <f t="shared" si="264"/>
        <v>0.76034503438432444</v>
      </c>
      <c r="LS26" s="87">
        <f t="shared" si="265"/>
        <v>1.17</v>
      </c>
      <c r="LT26" s="87">
        <f t="shared" si="266"/>
        <v>-0.3</v>
      </c>
      <c r="LU26" s="87">
        <f t="shared" si="267"/>
        <v>-0.61499999999999999</v>
      </c>
      <c r="LV26" s="87">
        <f t="shared" si="268"/>
        <v>0.51800000000000002</v>
      </c>
      <c r="LW26" s="87">
        <f t="shared" si="269"/>
        <v>-1.8919999999999999</v>
      </c>
      <c r="LX26" s="87">
        <f t="shared" si="270"/>
        <v>-5.5E-2</v>
      </c>
      <c r="LY26" s="87">
        <f t="shared" si="163"/>
        <v>0.71046962053002116</v>
      </c>
      <c r="LZ26" s="87">
        <f t="shared" si="164"/>
        <v>0.32299735973632576</v>
      </c>
      <c r="MA26" s="88">
        <f t="shared" si="165"/>
        <v>5610.9018134155094</v>
      </c>
      <c r="MB26" s="87">
        <f t="shared" si="360"/>
        <v>0.67800000000000005</v>
      </c>
      <c r="MC26" s="87">
        <f t="shared" si="361"/>
        <v>-0.32700000000000001</v>
      </c>
      <c r="MD26" s="87">
        <f t="shared" si="362"/>
        <v>-0.25</v>
      </c>
      <c r="ME26" s="87">
        <f t="shared" si="363"/>
        <v>0.156</v>
      </c>
      <c r="MF26" s="87">
        <f t="shared" si="364"/>
        <v>-1.377</v>
      </c>
      <c r="MG26" s="87">
        <f t="shared" si="365"/>
        <v>0.251</v>
      </c>
      <c r="MH26" s="87">
        <f t="shared" si="172"/>
        <v>0.47427922763453023</v>
      </c>
      <c r="MI26" s="87">
        <f t="shared" si="173"/>
        <v>0.21982046110477693</v>
      </c>
      <c r="MJ26" s="106">
        <f>IF(KP26&lt;0,0,((0.5*(1-MH26)*(1+COS(RADIANS($KW$15))))+(MH26*(LQ26/LR26))+(MI26*SIN(RADIANS($KW$15))))*'Irradiancia Horizontal'!H49)</f>
        <v>41.702614998973715</v>
      </c>
      <c r="MK26" s="87">
        <f t="shared" si="174"/>
        <v>0</v>
      </c>
      <c r="ML26" s="87">
        <f>MK26*'Irradiancia Horizontal'!H78</f>
        <v>0</v>
      </c>
      <c r="MM26" s="87">
        <f t="shared" si="271"/>
        <v>41.702614998973715</v>
      </c>
      <c r="MN26" s="88">
        <f t="shared" si="175"/>
        <v>4590.0074266371294</v>
      </c>
      <c r="MO26" s="87">
        <f t="shared" si="272"/>
        <v>-1020.8943867783801</v>
      </c>
      <c r="MP26" s="106">
        <f t="shared" si="273"/>
        <v>97766.787330369552</v>
      </c>
      <c r="MQ26" s="106">
        <f t="shared" si="274"/>
        <v>0</v>
      </c>
      <c r="MR26" s="106">
        <f t="shared" si="275"/>
        <v>5610.9018134155094</v>
      </c>
    </row>
    <row r="27" spans="5:356" x14ac:dyDescent="0.25">
      <c r="E27" s="39">
        <v>0.41666666666666602</v>
      </c>
      <c r="F27" s="38">
        <v>30</v>
      </c>
      <c r="G27" s="38">
        <f t="shared" si="0"/>
        <v>32.905461024397972</v>
      </c>
      <c r="H27" s="38">
        <f t="shared" si="1"/>
        <v>146.00391008327136</v>
      </c>
      <c r="I27" s="38">
        <f t="shared" si="2"/>
        <v>57.094538975602028</v>
      </c>
      <c r="J27" s="38">
        <f>'Irradiancia Horizontal'!C79/COS(RADIANS(I27))</f>
        <v>735.36850124982163</v>
      </c>
      <c r="K27" s="38">
        <f>((('Irradiancia Horizontal'!C50+J27)/'Irradiancia Horizontal'!C50)+1.041*((RADIANS('Cálculos iluminancia'!I27))^3))/(1+1.041*((RADIANS('Cálculos iluminancia'!I27))^3))</f>
        <v>4.1328281696750411</v>
      </c>
      <c r="L27" s="36">
        <f t="shared" si="3"/>
        <v>1.8364966390463544</v>
      </c>
      <c r="M27" s="36">
        <f t="shared" si="4"/>
        <v>1.7911849000454523</v>
      </c>
      <c r="N27" s="106">
        <f>'Irradiancia Horizontal'!C50*M27/$L$15</f>
        <v>0.14450081065154885</v>
      </c>
      <c r="O27" s="71">
        <f>((17.27*Temp!B20)/(237.7+Temp!B20))+LN(HR!B31/100)</f>
        <v>0.43127996076513941</v>
      </c>
      <c r="P27" s="71">
        <f t="shared" si="176"/>
        <v>6.0880664584368169</v>
      </c>
      <c r="Q27" s="71">
        <f t="shared" si="177"/>
        <v>1.4207212313760285</v>
      </c>
      <c r="R27" s="71">
        <f t="shared" si="277"/>
        <v>6</v>
      </c>
      <c r="S27" s="71">
        <f t="shared" si="6"/>
        <v>88.34</v>
      </c>
      <c r="T27" s="71">
        <f t="shared" si="7"/>
        <v>1.39</v>
      </c>
      <c r="U27" s="71">
        <f t="shared" si="8"/>
        <v>6.06</v>
      </c>
      <c r="V27" s="71">
        <f t="shared" si="9"/>
        <v>-7.6</v>
      </c>
      <c r="W27" s="103">
        <f t="shared" si="10"/>
        <v>108.30889785100091</v>
      </c>
      <c r="X27" s="165">
        <f>IF(AD27&gt;(W27*'Irradiancia Horizontal'!C18),AD27,W27*'Irradiancia Horizontal'!C18)</f>
        <v>55791.946175112484</v>
      </c>
      <c r="Y27" s="71">
        <f t="shared" si="278"/>
        <v>106.42</v>
      </c>
      <c r="Z27" s="71">
        <f t="shared" si="279"/>
        <v>3.83</v>
      </c>
      <c r="AA27" s="71">
        <f t="shared" si="280"/>
        <v>-36.15</v>
      </c>
      <c r="AB27" s="71">
        <f t="shared" si="281"/>
        <v>-28.83</v>
      </c>
      <c r="AC27" s="103">
        <f t="shared" si="15"/>
        <v>147.99348783239839</v>
      </c>
      <c r="AD27" s="71">
        <f>+AC27*'Irradiancia Horizontal'!C50</f>
        <v>17111.975090229244</v>
      </c>
      <c r="AE27" s="71">
        <f t="shared" si="16"/>
        <v>38679.97108488324</v>
      </c>
      <c r="AF27" s="71">
        <f>+AE27/'Irradiancia Horizontal'!C79</f>
        <v>96.822837434755613</v>
      </c>
      <c r="AG27" s="38">
        <f t="shared" si="282"/>
        <v>0.69606552820179912</v>
      </c>
      <c r="AH27" s="84">
        <f t="shared" si="178"/>
        <v>0.69606552820179912</v>
      </c>
      <c r="AI27" s="84">
        <f t="shared" si="179"/>
        <v>0.54325447405077942</v>
      </c>
      <c r="AJ27" s="84">
        <f t="shared" si="180"/>
        <v>1.4259999999999999</v>
      </c>
      <c r="AK27" s="84">
        <f t="shared" si="181"/>
        <v>-0.65300000000000002</v>
      </c>
      <c r="AL27" s="84">
        <f t="shared" si="182"/>
        <v>-0.77900000000000003</v>
      </c>
      <c r="AM27" s="84">
        <f t="shared" si="183"/>
        <v>0.42499999999999999</v>
      </c>
      <c r="AN27" s="84">
        <f t="shared" si="184"/>
        <v>-0.78500000000000003</v>
      </c>
      <c r="AO27" s="84">
        <f t="shared" si="185"/>
        <v>-9.7000000000000003E-2</v>
      </c>
      <c r="AP27" s="84">
        <f t="shared" si="18"/>
        <v>0.55537706010923193</v>
      </c>
      <c r="AQ27" s="84">
        <f t="shared" si="19"/>
        <v>0.214907557705383</v>
      </c>
      <c r="AR27" s="88">
        <f t="shared" si="20"/>
        <v>19658.529288682796</v>
      </c>
      <c r="AS27" s="84">
        <f t="shared" si="283"/>
        <v>1.1319999999999999</v>
      </c>
      <c r="AT27" s="84">
        <f t="shared" si="284"/>
        <v>-1.2370000000000001</v>
      </c>
      <c r="AU27" s="84">
        <f t="shared" si="285"/>
        <v>-0.41199999999999998</v>
      </c>
      <c r="AV27" s="84">
        <f t="shared" si="286"/>
        <v>0.28799999999999998</v>
      </c>
      <c r="AW27" s="84">
        <f t="shared" si="287"/>
        <v>-0.82299999999999995</v>
      </c>
      <c r="AX27" s="84">
        <f t="shared" si="288"/>
        <v>5.6000000000000001E-2</v>
      </c>
      <c r="AY27" s="84">
        <f t="shared" si="27"/>
        <v>0.54269956893064975</v>
      </c>
      <c r="AZ27" s="84">
        <f t="shared" si="28"/>
        <v>0.22487914347559448</v>
      </c>
      <c r="BA27" s="106">
        <f>IF(G27&lt;0,0,((0.5*(1-AY27)*(1+COS(RADIANS($N$15))))+(AY27*(AH27/AI27))+(AZ27*SIN(RADIANS($N$15))))*'Irradiancia Horizontal'!C50)</f>
        <v>132.84147066912112</v>
      </c>
      <c r="BB27" s="106">
        <f t="shared" si="186"/>
        <v>1.2812881650317269</v>
      </c>
      <c r="BC27" s="84">
        <f>BB27*'Irradiancia Horizontal'!C79</f>
        <v>511.86466424542243</v>
      </c>
      <c r="BD27" s="84">
        <f t="shared" si="187"/>
        <v>644.70613491454355</v>
      </c>
      <c r="BE27" s="88">
        <f t="shared" si="29"/>
        <v>69827.410910372913</v>
      </c>
      <c r="BF27" s="84">
        <f t="shared" si="188"/>
        <v>50168.881621690118</v>
      </c>
      <c r="BG27" s="106">
        <f t="shared" si="189"/>
        <v>71200.464851151366</v>
      </c>
      <c r="BH27" s="106">
        <f t="shared" si="190"/>
        <v>49560.18917483031</v>
      </c>
      <c r="BI27" s="106">
        <f t="shared" si="191"/>
        <v>69218.718463513098</v>
      </c>
      <c r="BJ27" s="72"/>
      <c r="BL27" s="39">
        <v>0.41666666666666602</v>
      </c>
      <c r="BM27" s="38">
        <v>30</v>
      </c>
      <c r="BN27" s="38">
        <f t="shared" si="30"/>
        <v>40.372283263057838</v>
      </c>
      <c r="BO27" s="38">
        <f t="shared" si="31"/>
        <v>139.92887778576829</v>
      </c>
      <c r="BP27" s="38">
        <f t="shared" si="32"/>
        <v>49.627716736942162</v>
      </c>
      <c r="BQ27" s="38">
        <f>+'Irradiancia Horizontal'!D79/COS(RADIANS(BP27))</f>
        <v>673.31499189061185</v>
      </c>
      <c r="BR27" s="38">
        <f>((('Irradiancia Horizontal'!D50+BQ27)/'Irradiancia Horizontal'!D50)+1.041*((RADIANS('Cálculos iluminancia'!BP27))^3))/(1+1.041*((RADIANS('Cálculos iluminancia'!BP27))^3))</f>
        <v>3.6922523509412399</v>
      </c>
      <c r="BS27" s="84">
        <f t="shared" si="33"/>
        <v>1.541550059463326</v>
      </c>
      <c r="BT27" s="84">
        <f t="shared" si="192"/>
        <v>1.50351551452264</v>
      </c>
      <c r="BU27" s="106">
        <f>'Irradiancia Horizontal'!D50*BT27/$BS$15</f>
        <v>0.15808964880271997</v>
      </c>
      <c r="BV27" s="84">
        <f>((17.27*Temp!C20)/(237.7+Temp!C20))+LN(HR!C31/100)</f>
        <v>0.51359519788866681</v>
      </c>
      <c r="BW27" s="84">
        <f t="shared" si="193"/>
        <v>7.2856665842038879</v>
      </c>
      <c r="BX27" s="84">
        <f t="shared" si="194"/>
        <v>1.5449579001649518</v>
      </c>
      <c r="BY27" s="84">
        <f t="shared" si="289"/>
        <v>6</v>
      </c>
      <c r="BZ27" s="84">
        <f t="shared" si="290"/>
        <v>88.34</v>
      </c>
      <c r="CA27" s="84">
        <f t="shared" si="291"/>
        <v>1.39</v>
      </c>
      <c r="CB27" s="84">
        <f t="shared" si="292"/>
        <v>6.06</v>
      </c>
      <c r="CC27" s="84">
        <f t="shared" si="293"/>
        <v>-7.6</v>
      </c>
      <c r="CD27" s="103">
        <f t="shared" si="39"/>
        <v>108.43177203265996</v>
      </c>
      <c r="CE27" s="165">
        <f>IF(CK27&gt;(CD27*'Irradiancia Horizontal'!D18),CK27,CD27*'Irradiancia Horizontal'!D18)</f>
        <v>63467.114219877934</v>
      </c>
      <c r="CF27" s="84">
        <f t="shared" si="294"/>
        <v>106.42</v>
      </c>
      <c r="CG27" s="84">
        <f t="shared" si="295"/>
        <v>3.83</v>
      </c>
      <c r="CH27" s="84">
        <f t="shared" si="296"/>
        <v>-36.15</v>
      </c>
      <c r="CI27" s="84">
        <f t="shared" si="297"/>
        <v>-28.83</v>
      </c>
      <c r="CJ27" s="103">
        <f t="shared" si="44"/>
        <v>142.10059093790096</v>
      </c>
      <c r="CK27" s="84">
        <f>+CJ27*'Irradiancia Horizontal'!D50</f>
        <v>21198.235964742369</v>
      </c>
      <c r="CL27" s="84">
        <f t="shared" si="195"/>
        <v>42268.878255135569</v>
      </c>
      <c r="CM27" s="84">
        <f>+CL27/'Irradiancia Horizontal'!D79</f>
        <v>96.91568195184982</v>
      </c>
      <c r="CN27" s="38">
        <f t="shared" si="45"/>
        <v>0.58300396267064558</v>
      </c>
      <c r="CO27" s="84">
        <f t="shared" si="196"/>
        <v>0.58300396267064558</v>
      </c>
      <c r="CP27" s="84">
        <f t="shared" si="197"/>
        <v>0.6477514323684217</v>
      </c>
      <c r="CQ27" s="84">
        <f t="shared" si="198"/>
        <v>1.4259999999999999</v>
      </c>
      <c r="CR27" s="84">
        <f t="shared" si="199"/>
        <v>-0.65300000000000002</v>
      </c>
      <c r="CS27" s="84">
        <f t="shared" si="200"/>
        <v>-0.77900000000000003</v>
      </c>
      <c r="CT27" s="84">
        <f t="shared" si="201"/>
        <v>0.42499999999999999</v>
      </c>
      <c r="CU27" s="84">
        <f t="shared" si="202"/>
        <v>-0.78500000000000003</v>
      </c>
      <c r="CV27" s="84">
        <f t="shared" si="203"/>
        <v>-9.7000000000000003E-2</v>
      </c>
      <c r="CW27" s="84">
        <f t="shared" si="46"/>
        <v>0.64802332168987531</v>
      </c>
      <c r="CX27" s="84">
        <f t="shared" si="47"/>
        <v>0.21688142113111131</v>
      </c>
      <c r="CY27" s="88">
        <f t="shared" si="48"/>
        <v>20691.988913857596</v>
      </c>
      <c r="CZ27" s="84">
        <f t="shared" si="298"/>
        <v>1.1319999999999999</v>
      </c>
      <c r="DA27" s="84">
        <f t="shared" si="299"/>
        <v>-1.2370000000000001</v>
      </c>
      <c r="DB27" s="84">
        <f t="shared" si="300"/>
        <v>-0.41199999999999998</v>
      </c>
      <c r="DC27" s="84">
        <f t="shared" si="301"/>
        <v>0.28799999999999998</v>
      </c>
      <c r="DD27" s="84">
        <f t="shared" si="302"/>
        <v>-0.82299999999999995</v>
      </c>
      <c r="DE27" s="84">
        <f t="shared" si="303"/>
        <v>5.6000000000000001E-2</v>
      </c>
      <c r="DF27" s="84">
        <f t="shared" si="55"/>
        <v>0.57958227682065955</v>
      </c>
      <c r="DG27" s="84">
        <f t="shared" si="56"/>
        <v>0.20639757424453872</v>
      </c>
      <c r="DH27" s="106">
        <f>IF(BN27&lt;0,0,((0.5*(1-DF27)*(1+COS(RADIANS($BU$15))))+(DF27*(CO27/CP27))+(DG27*SIN(RADIANS($BU$15))))*'Irradiancia Horizontal'!D50)</f>
        <v>139.96673744934287</v>
      </c>
      <c r="DI27" s="106">
        <f t="shared" si="204"/>
        <v>0.90004272246680317</v>
      </c>
      <c r="DJ27" s="84">
        <f>DI27*'Irradiancia Horizontal'!D79</f>
        <v>392.54530839778027</v>
      </c>
      <c r="DK27" s="84">
        <f t="shared" si="205"/>
        <v>532.51204584712309</v>
      </c>
      <c r="DL27" s="88">
        <f t="shared" si="57"/>
        <v>57741.224759940626</v>
      </c>
      <c r="DM27" s="84">
        <f t="shared" si="206"/>
        <v>37049.235846083029</v>
      </c>
      <c r="DN27" s="106">
        <f t="shared" si="207"/>
        <v>65254.781607482873</v>
      </c>
      <c r="DO27" s="106">
        <f t="shared" si="208"/>
        <v>38043.796260370073</v>
      </c>
      <c r="DP27" s="106">
        <f t="shared" si="209"/>
        <v>58735.785174227669</v>
      </c>
      <c r="DQ27" s="44"/>
      <c r="DS27" s="39">
        <v>0.41666666666666602</v>
      </c>
      <c r="DT27" s="38">
        <v>30</v>
      </c>
      <c r="DU27" s="38">
        <f t="shared" si="58"/>
        <v>48.886897226423812</v>
      </c>
      <c r="DV27" s="38">
        <f t="shared" si="59"/>
        <v>130.50207880604776</v>
      </c>
      <c r="DW27" s="38">
        <f t="shared" si="60"/>
        <v>41.113102773576188</v>
      </c>
      <c r="DX27" s="38">
        <f>+'Irradiancia Horizontal'!E79/COS(RADIANS(DW27))</f>
        <v>637.062144874404</v>
      </c>
      <c r="DY27" s="38">
        <f>((('Irradiancia Horizontal'!E50+DX27)/'Irradiancia Horizontal'!E50)+1.041*((RADIANS('Cálculos iluminancia'!DW27))^3))/(1+1.041*((RADIANS('Cálculos iluminancia'!DW27))^3))</f>
        <v>3.5256281213468137</v>
      </c>
      <c r="DZ27" s="84">
        <f t="shared" si="61"/>
        <v>1.3260286647777704</v>
      </c>
      <c r="EA27" s="84">
        <f t="shared" si="210"/>
        <v>1.2933116624764074</v>
      </c>
      <c r="EB27" s="106">
        <f>'Irradiancia Horizontal'!E50*EA27/$DZ$15</f>
        <v>0.16853624950631863</v>
      </c>
      <c r="EC27" s="84">
        <f>((17.27*Temp!D20)/(237.7+Temp!D20))+LN(HR!D31/100)</f>
        <v>0.59792802229206821</v>
      </c>
      <c r="ED27" s="84">
        <f t="shared" si="211"/>
        <v>8.5248846747340075</v>
      </c>
      <c r="EE27" s="84">
        <f t="shared" si="212"/>
        <v>1.6849601728452792</v>
      </c>
      <c r="EF27" s="84">
        <f t="shared" si="304"/>
        <v>6</v>
      </c>
      <c r="EG27" s="84">
        <f t="shared" si="305"/>
        <v>88.34</v>
      </c>
      <c r="EH27" s="84">
        <f t="shared" si="306"/>
        <v>1.39</v>
      </c>
      <c r="EI27" s="84">
        <f t="shared" si="307"/>
        <v>6.06</v>
      </c>
      <c r="EJ27" s="84">
        <f t="shared" si="308"/>
        <v>-7.6</v>
      </c>
      <c r="EK27" s="103">
        <f t="shared" si="67"/>
        <v>108.7803712661202</v>
      </c>
      <c r="EL27" s="165">
        <f>IF(ER27&gt;(EK27*'Irradiancia Horizontal'!E18),ER27,EK27*'Irradiancia Horizontal'!E18)</f>
        <v>72028.265928852852</v>
      </c>
      <c r="EM27" s="84">
        <f t="shared" si="309"/>
        <v>106.42</v>
      </c>
      <c r="EN27" s="84">
        <f t="shared" si="310"/>
        <v>3.83</v>
      </c>
      <c r="EO27" s="84">
        <f t="shared" si="311"/>
        <v>-36.15</v>
      </c>
      <c r="EP27" s="84">
        <f t="shared" si="312"/>
        <v>-28.83</v>
      </c>
      <c r="EQ27" s="103">
        <f t="shared" si="72"/>
        <v>136.97234155419204</v>
      </c>
      <c r="ER27" s="84">
        <f>+EQ27*'Irradiancia Horizontal'!E50</f>
        <v>24952.667050815897</v>
      </c>
      <c r="ES27" s="84">
        <f t="shared" si="213"/>
        <v>47075.598878036952</v>
      </c>
      <c r="ET27" s="84">
        <f>+ES27/'Irradiancia Horizontal'!E79</f>
        <v>98.0801049052574</v>
      </c>
      <c r="EU27" s="38">
        <f t="shared" si="73"/>
        <v>0.42706111932822077</v>
      </c>
      <c r="EV27" s="84">
        <f t="shared" si="214"/>
        <v>0.42706111932822077</v>
      </c>
      <c r="EW27" s="84">
        <f t="shared" si="215"/>
        <v>0.75341303972772111</v>
      </c>
      <c r="EX27" s="84">
        <f t="shared" si="216"/>
        <v>1.4259999999999999</v>
      </c>
      <c r="EY27" s="84">
        <f t="shared" si="217"/>
        <v>-0.65300000000000002</v>
      </c>
      <c r="EZ27" s="84">
        <f t="shared" si="218"/>
        <v>-0.77900000000000003</v>
      </c>
      <c r="FA27" s="84">
        <f t="shared" si="219"/>
        <v>0.42499999999999999</v>
      </c>
      <c r="FB27" s="84">
        <f t="shared" si="220"/>
        <v>-0.78500000000000003</v>
      </c>
      <c r="FC27" s="84">
        <f t="shared" si="221"/>
        <v>-9.7000000000000003E-2</v>
      </c>
      <c r="FD27" s="84">
        <f t="shared" si="74"/>
        <v>0.756967360975904</v>
      </c>
      <c r="FE27" s="84">
        <f t="shared" si="75"/>
        <v>0.22309582025389729</v>
      </c>
      <c r="FF27" s="88">
        <f t="shared" si="76"/>
        <v>19305.57841410115</v>
      </c>
      <c r="FG27" s="84">
        <f t="shared" si="313"/>
        <v>1.1319999999999999</v>
      </c>
      <c r="FH27" s="84">
        <f t="shared" si="314"/>
        <v>-1.2370000000000001</v>
      </c>
      <c r="FI27" s="84">
        <f t="shared" si="315"/>
        <v>-0.41199999999999998</v>
      </c>
      <c r="FJ27" s="84">
        <f t="shared" si="316"/>
        <v>0.28799999999999998</v>
      </c>
      <c r="FK27" s="84">
        <f t="shared" si="317"/>
        <v>-0.82299999999999995</v>
      </c>
      <c r="FL27" s="84">
        <f t="shared" si="318"/>
        <v>5.6000000000000001E-2</v>
      </c>
      <c r="FM27" s="84">
        <f t="shared" si="83"/>
        <v>0.6278863476074803</v>
      </c>
      <c r="FN27" s="84">
        <f t="shared" si="84"/>
        <v>0.18947797116644394</v>
      </c>
      <c r="FO27" s="106">
        <f>IF(DU27&lt;0,0,((0.5*(1-FM27)*(1+COS(RADIANS($EB$15))))+(FM27*(EV27/EW27))+(FN27*SIN(RADIANS($EB$15))))*'Irradiancia Horizontal'!E50)</f>
        <v>133.24918227637343</v>
      </c>
      <c r="FP27" s="106">
        <f t="shared" si="222"/>
        <v>0.56683531716222757</v>
      </c>
      <c r="FQ27" s="84">
        <f>FP27*'Irradiancia Horizontal'!E79</f>
        <v>272.06447267170012</v>
      </c>
      <c r="FR27" s="84">
        <f t="shared" si="223"/>
        <v>405.31365494807358</v>
      </c>
      <c r="FS27" s="88">
        <f t="shared" si="85"/>
        <v>44090.169864479576</v>
      </c>
      <c r="FT27" s="84">
        <f t="shared" si="224"/>
        <v>24784.591450378426</v>
      </c>
      <c r="FU27" s="106">
        <f t="shared" si="225"/>
        <v>62483.122000449832</v>
      </c>
      <c r="FV27" s="106">
        <f t="shared" si="226"/>
        <v>26684.112020633882</v>
      </c>
      <c r="FW27" s="106">
        <f t="shared" si="227"/>
        <v>45989.690434735036</v>
      </c>
      <c r="FX27" s="83"/>
      <c r="FZ27" s="39">
        <v>0.41666666666666602</v>
      </c>
      <c r="GA27" s="38">
        <v>30</v>
      </c>
      <c r="GB27" s="38">
        <f t="shared" si="86"/>
        <v>57.035590824811003</v>
      </c>
      <c r="GC27" s="38">
        <f t="shared" si="87"/>
        <v>115.81336219038403</v>
      </c>
      <c r="GD27" s="38">
        <f t="shared" si="88"/>
        <v>32.964409175188997</v>
      </c>
      <c r="GE27" s="38">
        <f>+'Irradiancia Horizontal'!F79/COS(RADIANS(GD27))</f>
        <v>717.6304975526499</v>
      </c>
      <c r="GF27" s="38">
        <f>((('Irradiancia Horizontal'!F50+GE27)/'Irradiancia Horizontal'!F50)+1.041*((RADIANS('Cálculos iluminancia'!GD27))^3))/(1+1.041*((RADIANS('Cálculos iluminancia'!GD27))^3))</f>
        <v>4.3618379269425436</v>
      </c>
      <c r="GG27" s="84">
        <f t="shared" si="89"/>
        <v>1.1910692581278746</v>
      </c>
      <c r="GH27" s="84">
        <f t="shared" si="276"/>
        <v>1.1616820987893672</v>
      </c>
      <c r="GI27" s="106">
        <f>'Irradiancia Horizontal'!F50*GH27/$GG$15</f>
        <v>0.1507362832504979</v>
      </c>
      <c r="GJ27" s="84">
        <f>((17.27*Temp!E20)/(237.7+Temp!E20))+LN(HR!E31/100)</f>
        <v>0.75765297632935313</v>
      </c>
      <c r="GK27" s="84">
        <f t="shared" si="228"/>
        <v>10.906633213032658</v>
      </c>
      <c r="GL27" s="84">
        <f t="shared" si="229"/>
        <v>1.9906561836514072</v>
      </c>
      <c r="GM27" s="84">
        <f t="shared" si="319"/>
        <v>6</v>
      </c>
      <c r="GN27" s="84">
        <f t="shared" si="320"/>
        <v>88.34</v>
      </c>
      <c r="GO27" s="84">
        <f t="shared" si="321"/>
        <v>1.39</v>
      </c>
      <c r="GP27" s="84">
        <f t="shared" si="322"/>
        <v>6.06</v>
      </c>
      <c r="GQ27" s="84">
        <f t="shared" si="323"/>
        <v>-7.6</v>
      </c>
      <c r="GR27" s="103">
        <f t="shared" si="96"/>
        <v>110.57230308455652</v>
      </c>
      <c r="GS27" s="165">
        <f>IF(GY27&gt;(GR27*'Irradiancia Horizontal'!F18),GY27,GR27*'Irradiancia Horizontal'!F18)</f>
        <v>86273.389246483333</v>
      </c>
      <c r="GT27" s="84">
        <f t="shared" si="324"/>
        <v>106.42</v>
      </c>
      <c r="GU27" s="84">
        <f t="shared" si="325"/>
        <v>3.83</v>
      </c>
      <c r="GV27" s="84">
        <f t="shared" si="326"/>
        <v>-36.15</v>
      </c>
      <c r="GW27" s="84">
        <f t="shared" si="327"/>
        <v>-28.83</v>
      </c>
      <c r="GX27" s="103">
        <f t="shared" si="101"/>
        <v>138.26684953728838</v>
      </c>
      <c r="GY27" s="84">
        <f>+GX27*'Irradiancia Horizontal'!F50</f>
        <v>24631.668443563904</v>
      </c>
      <c r="GZ27" s="84">
        <f t="shared" si="230"/>
        <v>61641.72080291943</v>
      </c>
      <c r="HA27" s="84">
        <f>+GZ27/'Irradiancia Horizontal'!F79</f>
        <v>102.37817672773927</v>
      </c>
      <c r="HB27" s="38">
        <f t="shared" si="102"/>
        <v>0.23693130143386193</v>
      </c>
      <c r="HC27" s="84">
        <f t="shared" si="231"/>
        <v>0.23693130143386193</v>
      </c>
      <c r="HD27" s="84">
        <f t="shared" si="232"/>
        <v>0.83900872340204913</v>
      </c>
      <c r="HE27" s="84">
        <f t="shared" si="233"/>
        <v>1.4259999999999999</v>
      </c>
      <c r="HF27" s="84">
        <f t="shared" si="234"/>
        <v>-0.65300000000000002</v>
      </c>
      <c r="HG27" s="84">
        <f t="shared" si="235"/>
        <v>-0.77900000000000003</v>
      </c>
      <c r="HH27" s="84">
        <f t="shared" si="236"/>
        <v>0.42499999999999999</v>
      </c>
      <c r="HI27" s="84">
        <f t="shared" si="237"/>
        <v>-0.78500000000000003</v>
      </c>
      <c r="HJ27" s="84">
        <f t="shared" si="238"/>
        <v>-9.7000000000000003E-2</v>
      </c>
      <c r="HK27" s="84">
        <f t="shared" si="103"/>
        <v>0.87938131316979895</v>
      </c>
      <c r="HL27" s="84">
        <f t="shared" si="104"/>
        <v>0.25086428246843656</v>
      </c>
      <c r="HM27" s="88">
        <f t="shared" si="105"/>
        <v>13781.564252580063</v>
      </c>
      <c r="HN27" s="84">
        <f t="shared" si="328"/>
        <v>1.1319999999999999</v>
      </c>
      <c r="HO27" s="84">
        <f t="shared" si="329"/>
        <v>-1.2370000000000001</v>
      </c>
      <c r="HP27" s="84">
        <f t="shared" si="330"/>
        <v>-0.41199999999999998</v>
      </c>
      <c r="HQ27" s="84">
        <f t="shared" si="331"/>
        <v>0.28799999999999998</v>
      </c>
      <c r="HR27" s="84">
        <f t="shared" si="332"/>
        <v>-0.82299999999999995</v>
      </c>
      <c r="HS27" s="84">
        <f t="shared" si="333"/>
        <v>5.6000000000000001E-2</v>
      </c>
      <c r="HT27" s="84">
        <f t="shared" si="112"/>
        <v>0.70850017747348337</v>
      </c>
      <c r="HU27" s="84">
        <f t="shared" si="113"/>
        <v>0.19616293754541408</v>
      </c>
      <c r="HV27" s="106">
        <f>IF(GB27&lt;0,0,((0.5*(1-HT27)*(1+COS(RADIANS($GI$15))))+(HT27*(HC27/HD27))+(HU27*SIN(RADIANS($GI$15))))*'Irradiancia Horizontal'!F50)</f>
        <v>96.553152334304457</v>
      </c>
      <c r="HW27" s="84">
        <f t="shared" si="114"/>
        <v>0.28239432418907706</v>
      </c>
      <c r="HX27" s="84">
        <f>HW27*'Irradiancia Horizontal'!F79</f>
        <v>170.02912773377923</v>
      </c>
      <c r="HY27" s="84">
        <f t="shared" si="239"/>
        <v>266.58228006808372</v>
      </c>
      <c r="HZ27" s="88">
        <f t="shared" si="115"/>
        <v>29476.616668660285</v>
      </c>
      <c r="IA27" s="84">
        <f t="shared" si="240"/>
        <v>15695.052416080222</v>
      </c>
      <c r="IB27" s="106">
        <f t="shared" si="241"/>
        <v>73469.701903660665</v>
      </c>
      <c r="IC27" s="106">
        <f t="shared" si="242"/>
        <v>17407.272087992205</v>
      </c>
      <c r="ID27" s="106">
        <f t="shared" si="243"/>
        <v>31188.83634057227</v>
      </c>
      <c r="IE27" s="83"/>
      <c r="IG27" s="39">
        <v>0.41666666666666602</v>
      </c>
      <c r="IH27" s="38">
        <v>30</v>
      </c>
      <c r="II27" s="38">
        <f t="shared" si="116"/>
        <v>61.392241505320605</v>
      </c>
      <c r="IJ27" s="38">
        <f t="shared" si="117"/>
        <v>101.35836541579947</v>
      </c>
      <c r="IK27" s="38">
        <f t="shared" si="118"/>
        <v>28.607758494679395</v>
      </c>
      <c r="IL27" s="38">
        <f>+'Irradiancia Horizontal'!G79/COS(RADIANS(IK27))</f>
        <v>957.81887490093015</v>
      </c>
      <c r="IM27" s="38">
        <f>((('Irradiancia Horizontal'!G50+IL27)/'Irradiancia Horizontal'!G50)+1.041*((RADIANS('Cálculos iluminancia'!IK27))^3))/(1+1.041*((RADIANS('Cálculos iluminancia'!IK27))^3))</f>
        <v>9.0955482569349293</v>
      </c>
      <c r="IN27" s="87">
        <f t="shared" si="119"/>
        <v>1.1383922103975856</v>
      </c>
      <c r="IO27" s="87">
        <f t="shared" si="334"/>
        <v>1.1103047477682062</v>
      </c>
      <c r="IP27" s="106">
        <f>'Irradiancia Horizontal'!G50*IO27/$IN$15</f>
        <v>8.595244069915621E-2</v>
      </c>
      <c r="IQ27" s="87">
        <f>((17.27*Temp!F20)/(237.7+Temp!F20))+LN(HR!F31/100)</f>
        <v>0.94835525324211645</v>
      </c>
      <c r="IR27" s="87">
        <f t="shared" si="244"/>
        <v>13.811355852505558</v>
      </c>
      <c r="IS27" s="87">
        <f t="shared" si="245"/>
        <v>2.4395044140392805</v>
      </c>
      <c r="IT27" s="87">
        <f t="shared" si="335"/>
        <v>8</v>
      </c>
      <c r="IU27" s="87">
        <f t="shared" si="336"/>
        <v>99.65</v>
      </c>
      <c r="IV27" s="87">
        <f t="shared" si="337"/>
        <v>1.86</v>
      </c>
      <c r="IW27" s="87">
        <f t="shared" si="338"/>
        <v>-4.46</v>
      </c>
      <c r="IX27" s="87">
        <f t="shared" si="339"/>
        <v>-3.15</v>
      </c>
      <c r="IY27" s="103">
        <f t="shared" si="126"/>
        <v>108.00194089912972</v>
      </c>
      <c r="IZ27" s="165">
        <f>IF(JF27&gt;(IY27*'Irradiancia Horizontal'!G18),JF27,IY27*'Irradiancia Horizontal'!G18)</f>
        <v>102129.71299237137</v>
      </c>
      <c r="JA27" s="87">
        <f t="shared" si="340"/>
        <v>152.22999999999999</v>
      </c>
      <c r="JB27" s="87">
        <f t="shared" si="341"/>
        <v>0.35</v>
      </c>
      <c r="JC27" s="87">
        <f t="shared" si="342"/>
        <v>-45.27</v>
      </c>
      <c r="JD27" s="87">
        <f t="shared" si="343"/>
        <v>-7.98</v>
      </c>
      <c r="JE27" s="103">
        <f t="shared" si="131"/>
        <v>132.9230820091413</v>
      </c>
      <c r="JF27" s="87">
        <f>+JE27*'Irradiancia Horizontal'!G50</f>
        <v>13922.619432687148</v>
      </c>
      <c r="JG27" s="87">
        <f t="shared" si="246"/>
        <v>88207.093559684217</v>
      </c>
      <c r="JH27" s="87">
        <f>+JG27/'Irradiancia Horizontal'!G79</f>
        <v>104.89773116366213</v>
      </c>
      <c r="JI27" s="38">
        <f t="shared" si="132"/>
        <v>9.4299364337556257E-2</v>
      </c>
      <c r="JJ27" s="87">
        <f t="shared" si="247"/>
        <v>9.4299364337556257E-2</v>
      </c>
      <c r="JK27" s="87">
        <f t="shared" si="248"/>
        <v>0.87791814710288996</v>
      </c>
      <c r="JL27" s="87">
        <f t="shared" si="249"/>
        <v>1.17</v>
      </c>
      <c r="JM27" s="87">
        <f t="shared" si="250"/>
        <v>-0.3</v>
      </c>
      <c r="JN27" s="87">
        <f t="shared" si="251"/>
        <v>-0.61499999999999999</v>
      </c>
      <c r="JO27" s="87">
        <f t="shared" si="252"/>
        <v>0.51800000000000002</v>
      </c>
      <c r="JP27" s="87">
        <f t="shared" si="253"/>
        <v>-1.8919999999999999</v>
      </c>
      <c r="JQ27" s="87">
        <f t="shared" si="254"/>
        <v>-5.5E-2</v>
      </c>
      <c r="JR27" s="87">
        <f t="shared" si="133"/>
        <v>0.83714502772152088</v>
      </c>
      <c r="JS27" s="87">
        <f t="shared" si="134"/>
        <v>0.32791650544308221</v>
      </c>
      <c r="JT27" s="88">
        <f t="shared" si="135"/>
        <v>6951.0600802252839</v>
      </c>
      <c r="JU27" s="87">
        <f t="shared" si="344"/>
        <v>0.67800000000000005</v>
      </c>
      <c r="JV27" s="87">
        <f t="shared" si="345"/>
        <v>-0.32700000000000001</v>
      </c>
      <c r="JW27" s="87">
        <f t="shared" si="346"/>
        <v>-0.25</v>
      </c>
      <c r="JX27" s="87">
        <f t="shared" si="347"/>
        <v>0.156</v>
      </c>
      <c r="JY27" s="87">
        <f t="shared" si="348"/>
        <v>-1.377</v>
      </c>
      <c r="JZ27" s="87">
        <f t="shared" si="349"/>
        <v>0.251</v>
      </c>
      <c r="KA27" s="87">
        <f t="shared" si="142"/>
        <v>0.52506865755449295</v>
      </c>
      <c r="KB27" s="87">
        <f t="shared" si="143"/>
        <v>0.16296768307149248</v>
      </c>
      <c r="KC27" s="106">
        <f>IF(II27&lt;0,0,((0.5*(1-KA27)*(1+COS(RADIANS($IP$15))))+(KA27*(JJ27/JK27))+(KB27*SIN(RADIANS($IP$15))))*'Irradiancia Horizontal'!G50)</f>
        <v>47.849492258366539</v>
      </c>
      <c r="KD27" s="87">
        <f t="shared" si="144"/>
        <v>0.10741247877007899</v>
      </c>
      <c r="KE27" s="87">
        <f>KD27*'Irradiancia Horizontal'!G79</f>
        <v>90.321711053671024</v>
      </c>
      <c r="KF27" s="87">
        <f t="shared" si="255"/>
        <v>138.17120331203756</v>
      </c>
      <c r="KG27" s="88">
        <f t="shared" si="145"/>
        <v>14922.758134068317</v>
      </c>
      <c r="KH27" s="87">
        <f t="shared" si="256"/>
        <v>7971.6980538430334</v>
      </c>
      <c r="KI27" s="106">
        <f t="shared" si="257"/>
        <v>100473.02684283908</v>
      </c>
      <c r="KJ27" s="106">
        <f t="shared" si="258"/>
        <v>9474.542564349953</v>
      </c>
      <c r="KK27" s="106">
        <f t="shared" si="259"/>
        <v>16425.602644575236</v>
      </c>
      <c r="KL27" s="86"/>
      <c r="KN27" s="39">
        <v>0.41666666666666602</v>
      </c>
      <c r="KO27" s="38">
        <v>30</v>
      </c>
      <c r="KP27" s="38">
        <f t="shared" si="146"/>
        <v>62.593106094089499</v>
      </c>
      <c r="KQ27" s="38">
        <f t="shared" si="147"/>
        <v>94.781580028246267</v>
      </c>
      <c r="KR27" s="38">
        <f t="shared" si="148"/>
        <v>27.406893905910501</v>
      </c>
      <c r="KS27" s="38">
        <f>+'Irradiancia Horizontal'!H79/COS(RADIANS(KR27))</f>
        <v>972.58271760702758</v>
      </c>
      <c r="KT27" s="38">
        <f>((('Irradiancia Horizontal'!H50+KS27)/'Irradiancia Horizontal'!H50)+1.041*((RADIANS('Cálculos iluminancia'!KR27))^3))/(1+1.041*((RADIANS('Cálculos iluminancia'!KR27))^3))</f>
        <v>9.6552195524255584</v>
      </c>
      <c r="KU27" s="87">
        <f t="shared" si="149"/>
        <v>1.1257976252511646</v>
      </c>
      <c r="KV27" s="87">
        <f t="shared" si="350"/>
        <v>1.0980209078433367</v>
      </c>
      <c r="KW27" s="106">
        <f>'Irradiancia Horizontal'!H50*KV27/$KU$15</f>
        <v>8.2546172724326058E-2</v>
      </c>
      <c r="KX27" s="87">
        <f>((17.27*Temp!G20)/(237.7+Temp!G20))+LN(HR!G31/100)</f>
        <v>1.2307005851583082</v>
      </c>
      <c r="KY27" s="87">
        <f t="shared" si="260"/>
        <v>18.238797189697401</v>
      </c>
      <c r="KZ27" s="87">
        <f t="shared" si="261"/>
        <v>3.3258184802153741</v>
      </c>
      <c r="LA27" s="87">
        <f t="shared" si="351"/>
        <v>8</v>
      </c>
      <c r="LB27" s="87">
        <f t="shared" si="352"/>
        <v>99.65</v>
      </c>
      <c r="LC27" s="87">
        <f t="shared" si="353"/>
        <v>1.86</v>
      </c>
      <c r="LD27" s="87">
        <f t="shared" si="354"/>
        <v>-4.46</v>
      </c>
      <c r="LE27" s="87">
        <f t="shared" si="355"/>
        <v>-3.15</v>
      </c>
      <c r="LF27" s="103">
        <f t="shared" si="156"/>
        <v>109.73396478201869</v>
      </c>
      <c r="LG27" s="165">
        <f>IF(LM27&gt;(LF27*'Irradiancia Horizontal'!H18),LM27,LF27*'Irradiancia Horizontal'!H18)</f>
        <v>105816.03360065223</v>
      </c>
      <c r="LH27" s="87">
        <f t="shared" si="356"/>
        <v>152.22999999999999</v>
      </c>
      <c r="LI27" s="87">
        <f t="shared" si="357"/>
        <v>0.35</v>
      </c>
      <c r="LJ27" s="87">
        <f t="shared" si="358"/>
        <v>-45.27</v>
      </c>
      <c r="LK27" s="87">
        <f t="shared" si="359"/>
        <v>-7.98</v>
      </c>
      <c r="LL27" s="103">
        <f t="shared" si="161"/>
        <v>133.11043279112462</v>
      </c>
      <c r="LM27" s="87">
        <f>+LL27*'Irradiancia Horizontal'!H50</f>
        <v>13427.65517894639</v>
      </c>
      <c r="LN27" s="87">
        <f t="shared" si="262"/>
        <v>92388.378421705842</v>
      </c>
      <c r="LO27" s="87">
        <f>+LN27/'Irradiancia Horizontal'!H79</f>
        <v>107.00281918072729</v>
      </c>
      <c r="LP27" s="38">
        <f t="shared" si="162"/>
        <v>3.8369997374706089E-2</v>
      </c>
      <c r="LQ27" s="87">
        <f t="shared" si="263"/>
        <v>3.8369997374706089E-2</v>
      </c>
      <c r="LR27" s="87">
        <f t="shared" si="264"/>
        <v>0.88776000684763345</v>
      </c>
      <c r="LS27" s="87">
        <f t="shared" si="265"/>
        <v>1.17</v>
      </c>
      <c r="LT27" s="87">
        <f t="shared" si="266"/>
        <v>-0.3</v>
      </c>
      <c r="LU27" s="87">
        <f t="shared" si="267"/>
        <v>-0.61499999999999999</v>
      </c>
      <c r="LV27" s="87">
        <f t="shared" si="268"/>
        <v>0.51800000000000002</v>
      </c>
      <c r="LW27" s="87">
        <f t="shared" si="269"/>
        <v>-1.8919999999999999</v>
      </c>
      <c r="LX27" s="87">
        <f t="shared" si="270"/>
        <v>-5.5E-2</v>
      </c>
      <c r="LY27" s="87">
        <f t="shared" si="163"/>
        <v>0.85105671829491403</v>
      </c>
      <c r="LZ27" s="87">
        <f t="shared" si="164"/>
        <v>0.33551391170341521</v>
      </c>
      <c r="MA27" s="88">
        <f t="shared" si="165"/>
        <v>5999.0626553874308</v>
      </c>
      <c r="MB27" s="87">
        <f t="shared" si="360"/>
        <v>0.67800000000000005</v>
      </c>
      <c r="MC27" s="87">
        <f t="shared" si="361"/>
        <v>-0.32700000000000001</v>
      </c>
      <c r="MD27" s="87">
        <f t="shared" si="362"/>
        <v>-0.25</v>
      </c>
      <c r="ME27" s="87">
        <f t="shared" si="363"/>
        <v>0.156</v>
      </c>
      <c r="MF27" s="87">
        <f t="shared" si="364"/>
        <v>-1.377</v>
      </c>
      <c r="MG27" s="87">
        <f t="shared" si="365"/>
        <v>0.251</v>
      </c>
      <c r="MH27" s="87">
        <f t="shared" si="172"/>
        <v>0.53142226741841858</v>
      </c>
      <c r="MI27" s="87">
        <f t="shared" si="173"/>
        <v>0.16239739479573273</v>
      </c>
      <c r="MJ27" s="106">
        <f>IF(KP27&lt;0,0,((0.5*(1-MH27)*(1+COS(RADIANS($KW$15))))+(MH27*(LQ27/LR27))+(MI27*SIN(RADIANS($KW$15))))*'Irradiancia Horizontal'!H50)</f>
        <v>42.333133900200089</v>
      </c>
      <c r="MK27" s="87">
        <f t="shared" si="174"/>
        <v>4.3221137558285549E-2</v>
      </c>
      <c r="ML27" s="87">
        <f>MK27*'Irradiancia Horizontal'!H79</f>
        <v>37.317996321266158</v>
      </c>
      <c r="MM27" s="87">
        <f t="shared" si="271"/>
        <v>79.651130221466246</v>
      </c>
      <c r="MN27" s="88">
        <f t="shared" si="175"/>
        <v>8740.4343185703619</v>
      </c>
      <c r="MO27" s="87">
        <f t="shared" si="272"/>
        <v>2741.3716631829311</v>
      </c>
      <c r="MP27" s="106">
        <f t="shared" si="273"/>
        <v>104069.09267040511</v>
      </c>
      <c r="MQ27" s="106">
        <f t="shared" si="274"/>
        <v>3993.1308125514888</v>
      </c>
      <c r="MR27" s="106">
        <f t="shared" si="275"/>
        <v>9992.1934679389196</v>
      </c>
    </row>
    <row r="28" spans="5:356" x14ac:dyDescent="0.25">
      <c r="E28" s="39">
        <v>0.45833333333333298</v>
      </c>
      <c r="F28" s="38">
        <v>15</v>
      </c>
      <c r="G28" s="38">
        <f t="shared" si="0"/>
        <v>38.698645677170404</v>
      </c>
      <c r="H28" s="38">
        <f t="shared" si="1"/>
        <v>161.85902247462414</v>
      </c>
      <c r="I28" s="38">
        <f t="shared" si="2"/>
        <v>51.301354322829596</v>
      </c>
      <c r="J28" s="38">
        <f>'Irradiancia Horizontal'!C80/COS(RADIANS(I28))</f>
        <v>783.4062864844085</v>
      </c>
      <c r="K28" s="38">
        <f>((('Irradiancia Horizontal'!C51+J28)/'Irradiancia Horizontal'!C51)+1.041*((RADIANS('Cálculos iluminancia'!I28))^3))/(1+1.041*((RADIANS('Cálculos iluminancia'!I28))^3))</f>
        <v>4.3693066673715606</v>
      </c>
      <c r="L28" s="36">
        <f t="shared" si="3"/>
        <v>1.5968598012920252</v>
      </c>
      <c r="M28" s="36">
        <f t="shared" si="4"/>
        <v>1.5574606033851075</v>
      </c>
      <c r="N28" s="106">
        <f>'Irradiancia Horizontal'!C51*M28/$L$15</f>
        <v>0.14460370078881404</v>
      </c>
      <c r="O28" s="71">
        <f>((17.27*Temp!B21)/(237.7+Temp!B21))+LN(HR!B32/100)</f>
        <v>0.48174882752147985</v>
      </c>
      <c r="P28" s="71">
        <f t="shared" si="176"/>
        <v>6.8209425225647191</v>
      </c>
      <c r="Q28" s="71">
        <f t="shared" si="177"/>
        <v>1.4955080420604077</v>
      </c>
      <c r="R28" s="71">
        <f t="shared" si="277"/>
        <v>6</v>
      </c>
      <c r="S28" s="71">
        <f t="shared" si="6"/>
        <v>88.34</v>
      </c>
      <c r="T28" s="71">
        <f t="shared" si="7"/>
        <v>1.39</v>
      </c>
      <c r="U28" s="71">
        <f t="shared" si="8"/>
        <v>6.06</v>
      </c>
      <c r="V28" s="71">
        <f t="shared" si="9"/>
        <v>-7.6</v>
      </c>
      <c r="W28" s="103">
        <f t="shared" si="10"/>
        <v>108.90417854381042</v>
      </c>
      <c r="X28" s="165">
        <f>IF(AD28&gt;(W28*'Irradiancia Horizontal'!C19),AD28,W28*'Irradiancia Horizontal'!C19)</f>
        <v>67833.972713890849</v>
      </c>
      <c r="Y28" s="71">
        <f t="shared" si="278"/>
        <v>106.42</v>
      </c>
      <c r="Z28" s="71">
        <f t="shared" si="279"/>
        <v>3.83</v>
      </c>
      <c r="AA28" s="71">
        <f t="shared" si="280"/>
        <v>-36.15</v>
      </c>
      <c r="AB28" s="71">
        <f t="shared" si="281"/>
        <v>-28.83</v>
      </c>
      <c r="AC28" s="103">
        <f t="shared" si="15"/>
        <v>145.29619464097357</v>
      </c>
      <c r="AD28" s="71">
        <f>+AC28*'Irradiancia Horizontal'!C51</f>
        <v>19335.003183217155</v>
      </c>
      <c r="AE28" s="71">
        <f t="shared" si="16"/>
        <v>48498.969530673698</v>
      </c>
      <c r="AF28" s="71">
        <f>+AE28/'Irradiancia Horizontal'!C80</f>
        <v>99.016979304533351</v>
      </c>
      <c r="AG28" s="38">
        <f t="shared" si="282"/>
        <v>0.74165182760622228</v>
      </c>
      <c r="AH28" s="84">
        <f t="shared" si="178"/>
        <v>0.74165182760622228</v>
      </c>
      <c r="AI28" s="84">
        <f t="shared" si="179"/>
        <v>0.62522420882117113</v>
      </c>
      <c r="AJ28" s="84">
        <f t="shared" si="180"/>
        <v>1.4259999999999999</v>
      </c>
      <c r="AK28" s="84">
        <f t="shared" si="181"/>
        <v>-0.65300000000000002</v>
      </c>
      <c r="AL28" s="84">
        <f t="shared" si="182"/>
        <v>-0.77900000000000003</v>
      </c>
      <c r="AM28" s="84">
        <f t="shared" si="183"/>
        <v>0.42499999999999999</v>
      </c>
      <c r="AN28" s="84">
        <f t="shared" si="184"/>
        <v>-0.78500000000000003</v>
      </c>
      <c r="AO28" s="84">
        <f t="shared" si="185"/>
        <v>-9.7000000000000003E-2</v>
      </c>
      <c r="AP28" s="84">
        <f t="shared" si="18"/>
        <v>0.63407467686940011</v>
      </c>
      <c r="AQ28" s="84">
        <f t="shared" si="19"/>
        <v>0.22463447314521751</v>
      </c>
      <c r="AR28" s="88">
        <f t="shared" si="20"/>
        <v>22423.722404761025</v>
      </c>
      <c r="AS28" s="84">
        <f t="shared" si="283"/>
        <v>1.1319999999999999</v>
      </c>
      <c r="AT28" s="84">
        <f t="shared" si="284"/>
        <v>-1.2370000000000001</v>
      </c>
      <c r="AU28" s="84">
        <f t="shared" si="285"/>
        <v>-0.41199999999999998</v>
      </c>
      <c r="AV28" s="84">
        <f t="shared" si="286"/>
        <v>0.28799999999999998</v>
      </c>
      <c r="AW28" s="84">
        <f t="shared" si="287"/>
        <v>-0.82299999999999995</v>
      </c>
      <c r="AX28" s="84">
        <f t="shared" si="288"/>
        <v>5.6000000000000001E-2</v>
      </c>
      <c r="AY28" s="84">
        <f t="shared" si="27"/>
        <v>0.58422967413400873</v>
      </c>
      <c r="AZ28" s="84">
        <f t="shared" si="28"/>
        <v>0.21913229669607975</v>
      </c>
      <c r="BA28" s="106">
        <f>IF(G28&lt;0,0,((0.5*(1-AY28)*(1+COS(RADIANS($N$15))))+(AY28*(AH28/AI28))+(AZ28*SIN(RADIANS($N$15))))*'Irradiancia Horizontal'!C51)</f>
        <v>149.04721762736747</v>
      </c>
      <c r="BB28" s="106">
        <f t="shared" si="186"/>
        <v>1.1862173875265796</v>
      </c>
      <c r="BC28" s="84">
        <f>BB28*'Irradiancia Horizontal'!C80</f>
        <v>581.01470412936533</v>
      </c>
      <c r="BD28" s="84">
        <f t="shared" si="187"/>
        <v>730.06192175673277</v>
      </c>
      <c r="BE28" s="88">
        <f t="shared" si="29"/>
        <v>79506.79387503257</v>
      </c>
      <c r="BF28" s="84">
        <f t="shared" si="188"/>
        <v>57083.071470271549</v>
      </c>
      <c r="BG28" s="106">
        <f t="shared" si="189"/>
        <v>77570.524055868009</v>
      </c>
      <c r="BH28" s="106">
        <f t="shared" si="190"/>
        <v>57530.32093440694</v>
      </c>
      <c r="BI28" s="106">
        <f t="shared" si="191"/>
        <v>79954.043339167969</v>
      </c>
      <c r="BJ28" s="72"/>
      <c r="BL28" s="39">
        <v>0.45833333333333298</v>
      </c>
      <c r="BM28" s="38">
        <v>15</v>
      </c>
      <c r="BN28" s="38">
        <f t="shared" si="30"/>
        <v>47.171183666421868</v>
      </c>
      <c r="BO28" s="38">
        <f t="shared" si="31"/>
        <v>158.07221451643386</v>
      </c>
      <c r="BP28" s="38">
        <f t="shared" si="32"/>
        <v>42.828816333578132</v>
      </c>
      <c r="BQ28" s="38">
        <f>+'Irradiancia Horizontal'!D80/COS(RADIANS(BP28))</f>
        <v>714.99656734243274</v>
      </c>
      <c r="BR28" s="38">
        <f>((('Irradiancia Horizontal'!D51+BQ28)/'Irradiancia Horizontal'!D51)+1.041*((RADIANS('Cálculos iluminancia'!BP28))^3))/(1+1.041*((RADIANS('Cálculos iluminancia'!BP28))^3))</f>
        <v>3.9504132040002151</v>
      </c>
      <c r="BS28" s="84">
        <f t="shared" si="33"/>
        <v>1.362129121351533</v>
      </c>
      <c r="BT28" s="84">
        <f t="shared" si="192"/>
        <v>1.3285214152877427</v>
      </c>
      <c r="BU28" s="106">
        <f>'Irradiancia Horizontal'!D51*BT28/$BS$15</f>
        <v>0.15815740462688638</v>
      </c>
      <c r="BV28" s="84">
        <f>((17.27*Temp!C21)/(237.7+Temp!C21))+LN(HR!C32/100)</f>
        <v>0.55993316514811986</v>
      </c>
      <c r="BW28" s="84">
        <f t="shared" si="193"/>
        <v>7.9650257937994589</v>
      </c>
      <c r="BX28" s="84">
        <f t="shared" si="194"/>
        <v>1.6202035760311442</v>
      </c>
      <c r="BY28" s="84">
        <f t="shared" si="289"/>
        <v>6</v>
      </c>
      <c r="BZ28" s="84">
        <f t="shared" si="290"/>
        <v>88.34</v>
      </c>
      <c r="CA28" s="84">
        <f t="shared" si="291"/>
        <v>1.39</v>
      </c>
      <c r="CB28" s="84">
        <f t="shared" si="292"/>
        <v>6.06</v>
      </c>
      <c r="CC28" s="84">
        <f t="shared" si="293"/>
        <v>-7.6</v>
      </c>
      <c r="CD28" s="103">
        <f t="shared" si="39"/>
        <v>109.05206485173969</v>
      </c>
      <c r="CE28" s="165">
        <f>IF(CK28&gt;(CD28*'Irradiancia Horizontal'!D19),CK28,CD28*'Irradiancia Horizontal'!D19)</f>
        <v>75602.503189402254</v>
      </c>
      <c r="CF28" s="84">
        <f t="shared" si="294"/>
        <v>106.42</v>
      </c>
      <c r="CG28" s="84">
        <f t="shared" si="295"/>
        <v>3.83</v>
      </c>
      <c r="CH28" s="84">
        <f t="shared" si="296"/>
        <v>-36.15</v>
      </c>
      <c r="CI28" s="84">
        <f t="shared" si="297"/>
        <v>-28.83</v>
      </c>
      <c r="CJ28" s="103">
        <f t="shared" si="44"/>
        <v>139.28066438406069</v>
      </c>
      <c r="CK28" s="84">
        <f>+CJ28*'Irradiancia Horizontal'!D51</f>
        <v>23524.484598471274</v>
      </c>
      <c r="CL28" s="84">
        <f t="shared" si="195"/>
        <v>52078.01859093098</v>
      </c>
      <c r="CM28" s="84">
        <f>+CL28/'Irradiancia Horizontal'!D80</f>
        <v>99.315415577920348</v>
      </c>
      <c r="CN28" s="38">
        <f t="shared" si="45"/>
        <v>0.63062954869196342</v>
      </c>
      <c r="CO28" s="84">
        <f t="shared" si="196"/>
        <v>0.63062954869196342</v>
      </c>
      <c r="CP28" s="84">
        <f t="shared" si="197"/>
        <v>0.73338805357819492</v>
      </c>
      <c r="CQ28" s="84">
        <f t="shared" si="198"/>
        <v>1.4259999999999999</v>
      </c>
      <c r="CR28" s="84">
        <f t="shared" si="199"/>
        <v>-0.65300000000000002</v>
      </c>
      <c r="CS28" s="84">
        <f t="shared" si="200"/>
        <v>-0.77900000000000003</v>
      </c>
      <c r="CT28" s="84">
        <f t="shared" si="201"/>
        <v>0.42499999999999999</v>
      </c>
      <c r="CU28" s="84">
        <f t="shared" si="202"/>
        <v>-0.78500000000000003</v>
      </c>
      <c r="CV28" s="84">
        <f t="shared" si="203"/>
        <v>-9.7000000000000003E-2</v>
      </c>
      <c r="CW28" s="84">
        <f t="shared" si="46"/>
        <v>0.74041770803116169</v>
      </c>
      <c r="CX28" s="84">
        <f t="shared" si="47"/>
        <v>0.22833856297186633</v>
      </c>
      <c r="CY28" s="88">
        <f t="shared" si="48"/>
        <v>23402.250285494265</v>
      </c>
      <c r="CZ28" s="84">
        <f t="shared" si="298"/>
        <v>1.1319999999999999</v>
      </c>
      <c r="DA28" s="84">
        <f t="shared" si="299"/>
        <v>-1.2370000000000001</v>
      </c>
      <c r="DB28" s="84">
        <f t="shared" si="300"/>
        <v>-0.41199999999999998</v>
      </c>
      <c r="DC28" s="84">
        <f t="shared" si="301"/>
        <v>0.28799999999999998</v>
      </c>
      <c r="DD28" s="84">
        <f t="shared" si="302"/>
        <v>-0.82299999999999995</v>
      </c>
      <c r="DE28" s="84">
        <f t="shared" si="303"/>
        <v>5.6000000000000001E-2</v>
      </c>
      <c r="DF28" s="84">
        <f t="shared" si="55"/>
        <v>0.62838770025836133</v>
      </c>
      <c r="DG28" s="84">
        <f t="shared" si="56"/>
        <v>0.19969667213823289</v>
      </c>
      <c r="DH28" s="106">
        <f>IF(BN28&lt;0,0,((0.5*(1-DF28)*(1+COS(RADIANS($BU$15))))+(DF28*(CO28/CP28))+(DG28*SIN(RADIANS($BU$15))))*'Irradiancia Horizontal'!D51)</f>
        <v>156.37494124744381</v>
      </c>
      <c r="DI28" s="106">
        <f t="shared" si="204"/>
        <v>0.85988522122105271</v>
      </c>
      <c r="DJ28" s="84">
        <f>DI28*'Irradiancia Horizontal'!D80</f>
        <v>450.89796257946136</v>
      </c>
      <c r="DK28" s="84">
        <f t="shared" si="205"/>
        <v>607.27290382690512</v>
      </c>
      <c r="DL28" s="88">
        <f t="shared" si="57"/>
        <v>66224.364090835938</v>
      </c>
      <c r="DM28" s="84">
        <f t="shared" si="206"/>
        <v>42822.113805341673</v>
      </c>
      <c r="DN28" s="106">
        <f t="shared" si="207"/>
        <v>71010.181222400221</v>
      </c>
      <c r="DO28" s="106">
        <f t="shared" si="208"/>
        <v>44781.118536816786</v>
      </c>
      <c r="DP28" s="106">
        <f t="shared" si="209"/>
        <v>68183.368822311051</v>
      </c>
      <c r="DQ28" s="44"/>
      <c r="DS28" s="39">
        <v>0.45833333333333298</v>
      </c>
      <c r="DT28" s="38">
        <v>15</v>
      </c>
      <c r="DU28" s="38">
        <f t="shared" si="58"/>
        <v>57.216020869058788</v>
      </c>
      <c r="DV28" s="38">
        <f t="shared" si="59"/>
        <v>151.44653063273847</v>
      </c>
      <c r="DW28" s="38">
        <f t="shared" si="60"/>
        <v>32.783979130941212</v>
      </c>
      <c r="DX28" s="38">
        <f>+'Irradiancia Horizontal'!E80/COS(RADIANS(DW28))</f>
        <v>673.37970828234961</v>
      </c>
      <c r="DY28" s="38">
        <f>((('Irradiancia Horizontal'!E51+DX28)/'Irradiancia Horizontal'!E51)+1.041*((RADIANS('Cálculos iluminancia'!DW28))^3))/(1+1.041*((RADIANS('Cálculos iluminancia'!DW28))^3))</f>
        <v>3.7719498791336714</v>
      </c>
      <c r="DZ28" s="84">
        <f t="shared" si="61"/>
        <v>1.1886530410548086</v>
      </c>
      <c r="EA28" s="84">
        <f t="shared" si="210"/>
        <v>1.1593254968525648</v>
      </c>
      <c r="EB28" s="106">
        <f>'Irradiancia Horizontal'!E51*EA28/$DZ$15</f>
        <v>0.16858260228777472</v>
      </c>
      <c r="EC28" s="84">
        <f>((17.27*Temp!D21)/(237.7+Temp!D21))+LN(HR!D32/100)</f>
        <v>0.63493026323583956</v>
      </c>
      <c r="ED28" s="84">
        <f t="shared" si="211"/>
        <v>9.0725753459039282</v>
      </c>
      <c r="EE28" s="84">
        <f t="shared" si="212"/>
        <v>1.7508130397945381</v>
      </c>
      <c r="EF28" s="84">
        <f t="shared" si="304"/>
        <v>6</v>
      </c>
      <c r="EG28" s="84">
        <f t="shared" si="305"/>
        <v>88.34</v>
      </c>
      <c r="EH28" s="84">
        <f t="shared" si="306"/>
        <v>1.39</v>
      </c>
      <c r="EI28" s="84">
        <f t="shared" si="307"/>
        <v>6.06</v>
      </c>
      <c r="EJ28" s="84">
        <f t="shared" si="308"/>
        <v>-7.6</v>
      </c>
      <c r="EK28" s="103">
        <f t="shared" si="67"/>
        <v>109.39888510919468</v>
      </c>
      <c r="EL28" s="165">
        <f>IF(ER28&gt;(EK28*'Irradiancia Horizontal'!E19),ER28,EK28*'Irradiancia Horizontal'!E19)</f>
        <v>84172.114131686583</v>
      </c>
      <c r="EM28" s="84">
        <f t="shared" si="309"/>
        <v>106.42</v>
      </c>
      <c r="EN28" s="84">
        <f t="shared" si="310"/>
        <v>3.83</v>
      </c>
      <c r="EO28" s="84">
        <f t="shared" si="311"/>
        <v>-36.15</v>
      </c>
      <c r="EP28" s="84">
        <f t="shared" si="312"/>
        <v>-28.83</v>
      </c>
      <c r="EQ28" s="103">
        <f t="shared" si="72"/>
        <v>134.06055415509536</v>
      </c>
      <c r="ER28" s="84">
        <f>+EQ28*'Irradiancia Horizontal'!E51</f>
        <v>27252.248264731272</v>
      </c>
      <c r="ES28" s="84">
        <f t="shared" si="213"/>
        <v>56919.865866955312</v>
      </c>
      <c r="ET28" s="84">
        <f>+ES28/'Irradiancia Horizontal'!E80</f>
        <v>100.54337874963535</v>
      </c>
      <c r="EU28" s="38">
        <f t="shared" si="73"/>
        <v>0.47561455136527797</v>
      </c>
      <c r="EV28" s="84">
        <f t="shared" si="214"/>
        <v>0.47561455136527797</v>
      </c>
      <c r="EW28" s="84">
        <f t="shared" si="215"/>
        <v>0.84071804141170625</v>
      </c>
      <c r="EX28" s="84">
        <f t="shared" si="216"/>
        <v>1.4259999999999999</v>
      </c>
      <c r="EY28" s="84">
        <f t="shared" si="217"/>
        <v>-0.65300000000000002</v>
      </c>
      <c r="EZ28" s="84">
        <f t="shared" si="218"/>
        <v>-0.77900000000000003</v>
      </c>
      <c r="FA28" s="84">
        <f t="shared" si="219"/>
        <v>0.42499999999999999</v>
      </c>
      <c r="FB28" s="84">
        <f t="shared" si="220"/>
        <v>-0.78500000000000003</v>
      </c>
      <c r="FC28" s="84">
        <f t="shared" si="221"/>
        <v>-9.7000000000000003E-2</v>
      </c>
      <c r="FD28" s="84">
        <f t="shared" si="74"/>
        <v>0.87018081444659701</v>
      </c>
      <c r="FE28" s="84">
        <f t="shared" si="75"/>
        <v>0.23716038456331359</v>
      </c>
      <c r="FF28" s="88">
        <f t="shared" si="76"/>
        <v>21647.886982026419</v>
      </c>
      <c r="FG28" s="84">
        <f t="shared" si="313"/>
        <v>1.1319999999999999</v>
      </c>
      <c r="FH28" s="84">
        <f t="shared" si="314"/>
        <v>-1.2370000000000001</v>
      </c>
      <c r="FI28" s="84">
        <f t="shared" si="315"/>
        <v>-0.41199999999999998</v>
      </c>
      <c r="FJ28" s="84">
        <f t="shared" si="316"/>
        <v>0.28799999999999998</v>
      </c>
      <c r="FK28" s="84">
        <f t="shared" si="317"/>
        <v>-0.82299999999999995</v>
      </c>
      <c r="FL28" s="84">
        <f t="shared" si="318"/>
        <v>5.6000000000000001E-2</v>
      </c>
      <c r="FM28" s="84">
        <f t="shared" si="83"/>
        <v>0.68772170934112875</v>
      </c>
      <c r="FN28" s="84">
        <f t="shared" si="84"/>
        <v>0.18129906747060326</v>
      </c>
      <c r="FO28" s="106">
        <f>IF(DU28&lt;0,0,((0.5*(1-FM28)*(1+COS(RADIANS($EB$15))))+(FM28*(EV28/EW28))+(FN28*SIN(RADIANS($EB$15))))*'Irradiancia Horizontal'!E51)</f>
        <v>147.68499343399338</v>
      </c>
      <c r="FP28" s="106">
        <f t="shared" si="222"/>
        <v>0.56572421184948229</v>
      </c>
      <c r="FQ28" s="84">
        <f>FP28*'Irradiancia Horizontal'!E80</f>
        <v>320.26918785319145</v>
      </c>
      <c r="FR28" s="84">
        <f t="shared" si="223"/>
        <v>467.95418128718484</v>
      </c>
      <c r="FS28" s="88">
        <f t="shared" si="85"/>
        <v>51193.66571500399</v>
      </c>
      <c r="FT28" s="84">
        <f t="shared" si="224"/>
        <v>29545.778732977571</v>
      </c>
      <c r="FU28" s="106">
        <f t="shared" si="225"/>
        <v>67703.87105215124</v>
      </c>
      <c r="FV28" s="106">
        <f t="shared" si="226"/>
        <v>32200.946256161544</v>
      </c>
      <c r="FW28" s="106">
        <f t="shared" si="227"/>
        <v>53848.833238187959</v>
      </c>
      <c r="FX28" s="83"/>
      <c r="FZ28" s="39">
        <v>0.45833333333333298</v>
      </c>
      <c r="GA28" s="38">
        <v>15</v>
      </c>
      <c r="GB28" s="38">
        <f t="shared" si="86"/>
        <v>67.598954830624706</v>
      </c>
      <c r="GC28" s="38">
        <f t="shared" si="87"/>
        <v>138.29175263373307</v>
      </c>
      <c r="GD28" s="38">
        <f t="shared" si="88"/>
        <v>22.401045169375294</v>
      </c>
      <c r="GE28" s="38">
        <f>+'Irradiancia Horizontal'!F80/COS(RADIANS(GD28))</f>
        <v>751.50204508750085</v>
      </c>
      <c r="GF28" s="38">
        <f>((('Irradiancia Horizontal'!F51+GE28)/'Irradiancia Horizontal'!F51)+1.041*((RADIANS('Cálculos iluminancia'!GD28))^3))/(1+1.041*((RADIANS('Cálculos iluminancia'!GD28))^3))</f>
        <v>4.6039902808902493</v>
      </c>
      <c r="GG28" s="84">
        <f t="shared" si="89"/>
        <v>1.0810998890478394</v>
      </c>
      <c r="GH28" s="84">
        <f t="shared" si="276"/>
        <v>1.0544259954152992</v>
      </c>
      <c r="GI28" s="106">
        <f>'Irradiancia Horizontal'!F51*GH28/$GG$15</f>
        <v>0.15076669264185569</v>
      </c>
      <c r="GJ28" s="84">
        <f>((17.27*Temp!E21)/(237.7+Temp!E21))+LN(HR!E32/100)</f>
        <v>0.77702688376957973</v>
      </c>
      <c r="GK28" s="84">
        <f t="shared" si="228"/>
        <v>11.198665575357667</v>
      </c>
      <c r="GL28" s="84">
        <f t="shared" si="229"/>
        <v>2.0317684882448948</v>
      </c>
      <c r="GM28" s="84">
        <f t="shared" si="319"/>
        <v>7</v>
      </c>
      <c r="GN28" s="84">
        <f t="shared" si="320"/>
        <v>78.63</v>
      </c>
      <c r="GO28" s="84">
        <f t="shared" si="321"/>
        <v>1.47</v>
      </c>
      <c r="GP28" s="84">
        <f t="shared" si="322"/>
        <v>4.93</v>
      </c>
      <c r="GQ28" s="84">
        <f t="shared" si="323"/>
        <v>-11.37</v>
      </c>
      <c r="GR28" s="103">
        <f t="shared" si="96"/>
        <v>107.68696429616435</v>
      </c>
      <c r="GS28" s="165">
        <f>IF(GY28&gt;(GR28*'Irradiancia Horizontal'!F19),GY28,GR28*'Irradiancia Horizontal'!F19)</f>
        <v>95959.795417721747</v>
      </c>
      <c r="GT28" s="84">
        <f t="shared" si="324"/>
        <v>141.88</v>
      </c>
      <c r="GU28" s="84">
        <f t="shared" si="325"/>
        <v>1.9</v>
      </c>
      <c r="GV28" s="84">
        <f t="shared" si="326"/>
        <v>-53.24</v>
      </c>
      <c r="GW28" s="84">
        <f t="shared" si="327"/>
        <v>-14.03</v>
      </c>
      <c r="GX28" s="103">
        <f t="shared" si="101"/>
        <v>123.06296411214868</v>
      </c>
      <c r="GY28" s="84">
        <f>+GX28*'Irradiancia Horizontal'!F51</f>
        <v>24158.053131643719</v>
      </c>
      <c r="GZ28" s="84">
        <f t="shared" si="230"/>
        <v>71801.742286078021</v>
      </c>
      <c r="HA28" s="84">
        <f>+GZ28/'Irradiancia Horizontal'!F80</f>
        <v>103.34263752330078</v>
      </c>
      <c r="HB28" s="38">
        <f t="shared" si="102"/>
        <v>0.28449779107818263</v>
      </c>
      <c r="HC28" s="84">
        <f t="shared" si="231"/>
        <v>0.28449779107818263</v>
      </c>
      <c r="HD28" s="84">
        <f t="shared" si="232"/>
        <v>0.9245390821072621</v>
      </c>
      <c r="HE28" s="84">
        <f t="shared" si="233"/>
        <v>1.4850000000000001</v>
      </c>
      <c r="HF28" s="84">
        <f t="shared" si="234"/>
        <v>-1.214</v>
      </c>
      <c r="HG28" s="84">
        <f t="shared" si="235"/>
        <v>-0.78400000000000003</v>
      </c>
      <c r="HH28" s="84">
        <f t="shared" si="236"/>
        <v>0.41099999999999998</v>
      </c>
      <c r="HI28" s="84">
        <f t="shared" si="237"/>
        <v>-0.629</v>
      </c>
      <c r="HJ28" s="84">
        <f t="shared" si="238"/>
        <v>-8.2000000000000003E-2</v>
      </c>
      <c r="HK28" s="84">
        <f t="shared" si="103"/>
        <v>0.99544719176342866</v>
      </c>
      <c r="HL28" s="84">
        <f t="shared" si="104"/>
        <v>0.28410804681260005</v>
      </c>
      <c r="HM28" s="88">
        <f t="shared" si="105"/>
        <v>14318.525924926236</v>
      </c>
      <c r="HN28" s="84">
        <f t="shared" si="328"/>
        <v>1.06</v>
      </c>
      <c r="HO28" s="84">
        <f t="shared" si="329"/>
        <v>-1.6</v>
      </c>
      <c r="HP28" s="84">
        <f t="shared" si="330"/>
        <v>-0.35899999999999999</v>
      </c>
      <c r="HQ28" s="84">
        <f t="shared" si="331"/>
        <v>0.26400000000000001</v>
      </c>
      <c r="HR28" s="84">
        <f t="shared" si="332"/>
        <v>-1.127</v>
      </c>
      <c r="HS28" s="84">
        <f t="shared" si="333"/>
        <v>0.13100000000000001</v>
      </c>
      <c r="HT28" s="84">
        <f t="shared" si="112"/>
        <v>0.67841434589343941</v>
      </c>
      <c r="HU28" s="84">
        <f t="shared" si="113"/>
        <v>0.14530326861888629</v>
      </c>
      <c r="HV28" s="106">
        <f>IF(GB28&lt;0,0,((0.5*(1-HT28)*(1+COS(RADIANS($GI$15))))+(HT28*(HC28/HD28))+(HU28*SIN(RADIANS($GI$15))))*'Irradiancia Horizontal'!F51)</f>
        <v>101.06969865520853</v>
      </c>
      <c r="HW28" s="84">
        <f t="shared" si="114"/>
        <v>0.30771851248271631</v>
      </c>
      <c r="HX28" s="84">
        <f>HW28*'Irradiancia Horizontal'!F80</f>
        <v>213.80067181813081</v>
      </c>
      <c r="HY28" s="84">
        <f t="shared" si="239"/>
        <v>314.87037047333934</v>
      </c>
      <c r="HZ28" s="88">
        <f t="shared" si="115"/>
        <v>33907.434343082532</v>
      </c>
      <c r="IA28" s="84">
        <f t="shared" si="240"/>
        <v>19588.908418156294</v>
      </c>
      <c r="IB28" s="106">
        <f t="shared" si="241"/>
        <v>77662.203443496837</v>
      </c>
      <c r="IC28" s="106">
        <f t="shared" si="242"/>
        <v>22094.72532993928</v>
      </c>
      <c r="ID28" s="106">
        <f t="shared" si="243"/>
        <v>36413.251254865514</v>
      </c>
      <c r="IE28" s="83"/>
      <c r="IG28" s="39">
        <v>0.45833333333333298</v>
      </c>
      <c r="IH28" s="38">
        <v>15</v>
      </c>
      <c r="II28" s="38">
        <f t="shared" si="116"/>
        <v>73.716868534260627</v>
      </c>
      <c r="IJ28" s="38">
        <f t="shared" si="117"/>
        <v>119.92772911026881</v>
      </c>
      <c r="IK28" s="38">
        <f t="shared" si="118"/>
        <v>16.283131465739373</v>
      </c>
      <c r="IL28" s="38">
        <f>+'Irradiancia Horizontal'!G80/COS(RADIANS(IK28))</f>
        <v>993.32947086702484</v>
      </c>
      <c r="IM28" s="38">
        <f>((('Irradiancia Horizontal'!G51+IL28)/'Irradiancia Horizontal'!G51)+1.041*((RADIANS('Cálculos iluminancia'!IK28))^3))/(1+1.041*((RADIANS('Cálculos iluminancia'!IK28))^3))</f>
        <v>9.4713204259180035</v>
      </c>
      <c r="IN28" s="87">
        <f t="shared" si="119"/>
        <v>1.0413648076672275</v>
      </c>
      <c r="IO28" s="87">
        <f t="shared" si="334"/>
        <v>1.0156712946128041</v>
      </c>
      <c r="IP28" s="106">
        <f>'Irradiancia Horizontal'!G51*IO28/$IN$15</f>
        <v>8.5967773220674129E-2</v>
      </c>
      <c r="IQ28" s="87">
        <f>((17.27*Temp!F21)/(237.7+Temp!F21))+LN(HR!F32/100)</f>
        <v>0.9540914666082001</v>
      </c>
      <c r="IR28" s="87">
        <f t="shared" si="244"/>
        <v>13.899780153132784</v>
      </c>
      <c r="IS28" s="87">
        <f t="shared" si="245"/>
        <v>2.4546510452583892</v>
      </c>
      <c r="IT28" s="87">
        <f t="shared" si="335"/>
        <v>8</v>
      </c>
      <c r="IU28" s="87">
        <f t="shared" si="336"/>
        <v>99.65</v>
      </c>
      <c r="IV28" s="87">
        <f t="shared" si="337"/>
        <v>1.86</v>
      </c>
      <c r="IW28" s="87">
        <f t="shared" si="338"/>
        <v>-4.46</v>
      </c>
      <c r="IX28" s="87">
        <f t="shared" si="339"/>
        <v>-3.15</v>
      </c>
      <c r="IY28" s="103">
        <f t="shared" si="126"/>
        <v>107.66396675731707</v>
      </c>
      <c r="IZ28" s="165">
        <f>IF(JF28&gt;(IY28*'Irradiancia Horizontal'!G19),JF28,IY28*'Irradiancia Horizontal'!G19)</f>
        <v>114985.80802238136</v>
      </c>
      <c r="JA28" s="87">
        <f t="shared" si="340"/>
        <v>152.22999999999999</v>
      </c>
      <c r="JB28" s="87">
        <f t="shared" si="341"/>
        <v>0.35</v>
      </c>
      <c r="JC28" s="87">
        <f t="shared" si="342"/>
        <v>-45.27</v>
      </c>
      <c r="JD28" s="87">
        <f t="shared" si="343"/>
        <v>-7.98</v>
      </c>
      <c r="JE28" s="103">
        <f t="shared" si="131"/>
        <v>129.21619006137493</v>
      </c>
      <c r="JF28" s="87">
        <f>+JE28*'Irradiancia Horizontal'!G51</f>
        <v>14798.032065986212</v>
      </c>
      <c r="JG28" s="87">
        <f t="shared" si="246"/>
        <v>100187.77595639514</v>
      </c>
      <c r="JH28" s="87">
        <f>+JG28/'Irradiancia Horizontal'!G80</f>
        <v>105.07536476613616</v>
      </c>
      <c r="JI28" s="38">
        <f t="shared" si="132"/>
        <v>0.13988566374197942</v>
      </c>
      <c r="JJ28" s="87">
        <f t="shared" si="247"/>
        <v>0.13988566374197942</v>
      </c>
      <c r="JK28" s="87">
        <f t="shared" si="248"/>
        <v>0.95988788187328145</v>
      </c>
      <c r="JL28" s="87">
        <f t="shared" si="249"/>
        <v>1.17</v>
      </c>
      <c r="JM28" s="87">
        <f t="shared" si="250"/>
        <v>-0.3</v>
      </c>
      <c r="JN28" s="87">
        <f t="shared" si="251"/>
        <v>-0.61499999999999999</v>
      </c>
      <c r="JO28" s="87">
        <f t="shared" si="252"/>
        <v>0.51800000000000002</v>
      </c>
      <c r="JP28" s="87">
        <f t="shared" si="253"/>
        <v>-1.8919999999999999</v>
      </c>
      <c r="JQ28" s="87">
        <f t="shared" si="254"/>
        <v>-5.5E-2</v>
      </c>
      <c r="JR28" s="87">
        <f t="shared" si="133"/>
        <v>0.96943020021726867</v>
      </c>
      <c r="JS28" s="87">
        <f t="shared" si="134"/>
        <v>0.33971828895281131</v>
      </c>
      <c r="JT28" s="88">
        <f t="shared" si="135"/>
        <v>7343.9594603592377</v>
      </c>
      <c r="JU28" s="87">
        <f t="shared" si="344"/>
        <v>0.67800000000000005</v>
      </c>
      <c r="JV28" s="87">
        <f t="shared" si="345"/>
        <v>-0.32700000000000001</v>
      </c>
      <c r="JW28" s="87">
        <f t="shared" si="346"/>
        <v>-0.25</v>
      </c>
      <c r="JX28" s="87">
        <f t="shared" si="347"/>
        <v>0.156</v>
      </c>
      <c r="JY28" s="87">
        <f t="shared" si="348"/>
        <v>-1.377</v>
      </c>
      <c r="JZ28" s="87">
        <f t="shared" si="349"/>
        <v>0.251</v>
      </c>
      <c r="KA28" s="87">
        <f t="shared" si="142"/>
        <v>0.57883997400377896</v>
      </c>
      <c r="KB28" s="87">
        <f t="shared" si="143"/>
        <v>0.10895513468480454</v>
      </c>
      <c r="KC28" s="106">
        <f>IF(II28&lt;0,0,((0.5*(1-KA28)*(1+COS(RADIANS($IP$15))))+(KA28*(JJ28/JK28))+(KB28*SIN(RADIANS($IP$15))))*'Irradiancia Horizontal'!G51)</f>
        <v>46.254114588028656</v>
      </c>
      <c r="KD28" s="87">
        <f t="shared" si="144"/>
        <v>0.14573125297611192</v>
      </c>
      <c r="KE28" s="87">
        <f>KD28*'Irradiancia Horizontal'!G80</f>
        <v>138.95255234670296</v>
      </c>
      <c r="KF28" s="87">
        <f t="shared" si="255"/>
        <v>185.20666693473163</v>
      </c>
      <c r="KG28" s="88">
        <f t="shared" si="145"/>
        <v>19940.084432094442</v>
      </c>
      <c r="KH28" s="87">
        <f t="shared" si="256"/>
        <v>12596.124971735204</v>
      </c>
      <c r="KI28" s="106">
        <f t="shared" si="257"/>
        <v>104374.45648430566</v>
      </c>
      <c r="KJ28" s="106">
        <f t="shared" si="258"/>
        <v>14600.490123015445</v>
      </c>
      <c r="KK28" s="106">
        <f t="shared" si="259"/>
        <v>21944.449583374684</v>
      </c>
      <c r="KL28" s="86"/>
      <c r="KN28" s="39">
        <v>0.45833333333333298</v>
      </c>
      <c r="KO28" s="38">
        <v>15</v>
      </c>
      <c r="KP28" s="38">
        <f t="shared" si="146"/>
        <v>75.433504705998018</v>
      </c>
      <c r="KQ28" s="38">
        <f t="shared" si="147"/>
        <v>109.24906860936896</v>
      </c>
      <c r="KR28" s="38">
        <f t="shared" si="148"/>
        <v>14.566495294001982</v>
      </c>
      <c r="KS28" s="38">
        <f>+'Irradiancia Horizontal'!H80/COS(RADIANS(KR28))</f>
        <v>1006.9165158392815</v>
      </c>
      <c r="KT28" s="38">
        <f>((('Irradiancia Horizontal'!H51+KS28)/'Irradiancia Horizontal'!H51)+1.041*((RADIANS('Cálculos iluminancia'!KR28))^3))/(1+1.041*((RADIANS('Cálculos iluminancia'!KR28))^3))</f>
        <v>10.001685128328093</v>
      </c>
      <c r="KU28" s="87">
        <f t="shared" si="149"/>
        <v>1.0328087866797466</v>
      </c>
      <c r="KV28" s="87">
        <f t="shared" si="350"/>
        <v>1.0073263756669106</v>
      </c>
      <c r="KW28" s="106">
        <f>'Irradiancia Horizontal'!H51*KV28/$KU$15</f>
        <v>8.2560419437483781E-2</v>
      </c>
      <c r="KX28" s="87">
        <f>((17.27*Temp!G21)/(237.7+Temp!G21))+LN(HR!G32/100)</f>
        <v>1.2306525716451724</v>
      </c>
      <c r="KY28" s="87">
        <f t="shared" si="260"/>
        <v>18.238031041270499</v>
      </c>
      <c r="KZ28" s="87">
        <f t="shared" si="261"/>
        <v>3.3256401200564052</v>
      </c>
      <c r="LA28" s="87">
        <f t="shared" si="351"/>
        <v>8</v>
      </c>
      <c r="LB28" s="87">
        <f t="shared" si="352"/>
        <v>99.65</v>
      </c>
      <c r="LC28" s="87">
        <f t="shared" si="353"/>
        <v>1.86</v>
      </c>
      <c r="LD28" s="87">
        <f t="shared" si="354"/>
        <v>-4.46</v>
      </c>
      <c r="LE28" s="87">
        <f t="shared" si="355"/>
        <v>-3.15</v>
      </c>
      <c r="LF28" s="103">
        <f t="shared" si="156"/>
        <v>109.37585947334622</v>
      </c>
      <c r="LG28" s="165">
        <f>IF(LM28&gt;(LF28*'Irradiancia Horizontal'!H19),LM28,LF28*'Irradiancia Horizontal'!H19)</f>
        <v>118621.18195161156</v>
      </c>
      <c r="LH28" s="87">
        <f t="shared" si="356"/>
        <v>152.22999999999999</v>
      </c>
      <c r="LI28" s="87">
        <f t="shared" si="357"/>
        <v>0.35</v>
      </c>
      <c r="LJ28" s="87">
        <f t="shared" si="358"/>
        <v>-45.27</v>
      </c>
      <c r="LK28" s="87">
        <f t="shared" si="359"/>
        <v>-7.98</v>
      </c>
      <c r="LL28" s="103">
        <f t="shared" si="161"/>
        <v>129.48302917547656</v>
      </c>
      <c r="LM28" s="87">
        <f>+LL28*'Irradiancia Horizontal'!H51</f>
        <v>14240.20654257555</v>
      </c>
      <c r="LN28" s="87">
        <f t="shared" si="262"/>
        <v>104380.97540903601</v>
      </c>
      <c r="LO28" s="87">
        <f>+LN28/'Irradiancia Horizontal'!H80</f>
        <v>107.10677853673579</v>
      </c>
      <c r="LP28" s="38">
        <f t="shared" si="162"/>
        <v>8.2914468421534326E-2</v>
      </c>
      <c r="LQ28" s="87">
        <f t="shared" si="263"/>
        <v>8.2914468421534326E-2</v>
      </c>
      <c r="LR28" s="87">
        <f t="shared" si="264"/>
        <v>0.96785640697002673</v>
      </c>
      <c r="LS28" s="87">
        <f t="shared" si="265"/>
        <v>1.17</v>
      </c>
      <c r="LT28" s="87">
        <f t="shared" si="266"/>
        <v>-0.3</v>
      </c>
      <c r="LU28" s="87">
        <f t="shared" si="267"/>
        <v>-0.61499999999999999</v>
      </c>
      <c r="LV28" s="87">
        <f t="shared" si="268"/>
        <v>0.51800000000000002</v>
      </c>
      <c r="LW28" s="87">
        <f t="shared" si="269"/>
        <v>-1.8919999999999999</v>
      </c>
      <c r="LX28" s="87">
        <f t="shared" si="270"/>
        <v>-5.5E-2</v>
      </c>
      <c r="LY28" s="87">
        <f t="shared" si="163"/>
        <v>0.98887839260444954</v>
      </c>
      <c r="LZ28" s="87">
        <f t="shared" si="164"/>
        <v>0.34781285473966805</v>
      </c>
      <c r="MA28" s="88">
        <f t="shared" si="165"/>
        <v>6238.4784348565818</v>
      </c>
      <c r="MB28" s="87">
        <f t="shared" si="360"/>
        <v>0.67800000000000005</v>
      </c>
      <c r="MC28" s="87">
        <f t="shared" si="361"/>
        <v>-0.32700000000000001</v>
      </c>
      <c r="MD28" s="87">
        <f t="shared" si="362"/>
        <v>-0.25</v>
      </c>
      <c r="ME28" s="87">
        <f t="shared" si="363"/>
        <v>0.156</v>
      </c>
      <c r="MF28" s="87">
        <f t="shared" si="364"/>
        <v>-1.377</v>
      </c>
      <c r="MG28" s="87">
        <f t="shared" si="365"/>
        <v>0.251</v>
      </c>
      <c r="MH28" s="87">
        <f t="shared" si="172"/>
        <v>0.58744441700479433</v>
      </c>
      <c r="MI28" s="87">
        <f t="shared" si="173"/>
        <v>0.10612686157708993</v>
      </c>
      <c r="MJ28" s="106">
        <f>IF(KP28&lt;0,0,((0.5*(1-MH28)*(1+COS(RADIANS($KW$15))))+(MH28*(LQ28/LR28))+(MI28*SIN(RADIANS($KW$15))))*'Irradiancia Horizontal'!H51)</f>
        <v>39.892093606268794</v>
      </c>
      <c r="MK28" s="87">
        <f t="shared" si="174"/>
        <v>8.5668150589720771E-2</v>
      </c>
      <c r="ML28" s="87">
        <f>MK28*'Irradiancia Horizontal'!H80</f>
        <v>83.487947655677473</v>
      </c>
      <c r="MM28" s="87">
        <f t="shared" si="271"/>
        <v>123.38004126194627</v>
      </c>
      <c r="MN28" s="88">
        <f t="shared" si="175"/>
        <v>13494.798054882294</v>
      </c>
      <c r="MO28" s="87">
        <f t="shared" si="272"/>
        <v>7256.3196200257125</v>
      </c>
      <c r="MP28" s="106">
        <f t="shared" si="273"/>
        <v>107847.58426697955</v>
      </c>
      <c r="MQ28" s="106">
        <f t="shared" si="274"/>
        <v>8942.125120043238</v>
      </c>
      <c r="MR28" s="106">
        <f t="shared" si="275"/>
        <v>15180.603554899819</v>
      </c>
    </row>
    <row r="29" spans="5:356" x14ac:dyDescent="0.25">
      <c r="E29" s="39">
        <v>0.5</v>
      </c>
      <c r="F29" s="38">
        <v>0</v>
      </c>
      <c r="G29" s="38">
        <f t="shared" si="0"/>
        <v>40.781985178432421</v>
      </c>
      <c r="H29" s="38">
        <f>+IF(H15&gt;=-19,180,0)</f>
        <v>180</v>
      </c>
      <c r="I29" s="38">
        <f t="shared" si="2"/>
        <v>49.218014821567579</v>
      </c>
      <c r="J29" s="38">
        <f>'Irradiancia Horizontal'!C81/COS(RADIANS(I29))</f>
        <v>799.79108043956785</v>
      </c>
      <c r="K29" s="38">
        <f>((('Irradiancia Horizontal'!C52+J29)/'Irradiancia Horizontal'!C52)+1.041*((RADIANS('Cálculos iluminancia'!I29))^3))/(1+1.041*((RADIANS('Cálculos iluminancia'!I29))^3))</f>
        <v>4.4658916381864326</v>
      </c>
      <c r="L29" s="36">
        <f t="shared" si="3"/>
        <v>1.5287823695593388</v>
      </c>
      <c r="M29" s="36">
        <f t="shared" si="4"/>
        <v>1.4910628408404492</v>
      </c>
      <c r="N29" s="106">
        <f>'Irradiancia Horizontal'!C52*M29/$L$15</f>
        <v>0.14462956478464806</v>
      </c>
      <c r="O29" s="71">
        <f>((17.27*Temp!B22)/(237.7+Temp!B22))+LN(HR!B33/100)</f>
        <v>0.50029599676003733</v>
      </c>
      <c r="P29" s="71">
        <f t="shared" si="176"/>
        <v>7.0913808858453953</v>
      </c>
      <c r="Q29" s="71">
        <f t="shared" si="177"/>
        <v>1.524088706612506</v>
      </c>
      <c r="R29" s="71">
        <f t="shared" si="277"/>
        <v>6</v>
      </c>
      <c r="S29" s="71">
        <f t="shared" si="6"/>
        <v>88.34</v>
      </c>
      <c r="T29" s="71">
        <f t="shared" si="7"/>
        <v>1.39</v>
      </c>
      <c r="U29" s="71">
        <f t="shared" si="8"/>
        <v>6.06</v>
      </c>
      <c r="V29" s="71">
        <f t="shared" si="9"/>
        <v>-7.6</v>
      </c>
      <c r="W29" s="103">
        <f t="shared" si="10"/>
        <v>109.11197404498697</v>
      </c>
      <c r="X29" s="165">
        <f>IF(AD29&gt;(W29*'Irradiancia Horizontal'!C20),AD29,W29*'Irradiancia Horizontal'!C20)</f>
        <v>72170.289943445561</v>
      </c>
      <c r="Y29" s="71">
        <f t="shared" si="278"/>
        <v>106.42</v>
      </c>
      <c r="Z29" s="71">
        <f t="shared" si="279"/>
        <v>3.83</v>
      </c>
      <c r="AA29" s="71">
        <f t="shared" si="280"/>
        <v>-36.15</v>
      </c>
      <c r="AB29" s="71">
        <f t="shared" si="281"/>
        <v>-28.83</v>
      </c>
      <c r="AC29" s="103">
        <f t="shared" si="15"/>
        <v>144.3898081240639</v>
      </c>
      <c r="AD29" s="71">
        <f>+AC29*'Irradiancia Horizontal'!C52</f>
        <v>20073.60348217882</v>
      </c>
      <c r="AE29" s="71">
        <f t="shared" si="16"/>
        <v>52096.686461266741</v>
      </c>
      <c r="AF29" s="71">
        <f>+AE29/'Irradiancia Horizontal'!C81</f>
        <v>99.723833576818379</v>
      </c>
      <c r="AG29" s="38">
        <f t="shared" si="282"/>
        <v>0.75720046539774788</v>
      </c>
      <c r="AH29" s="84">
        <f t="shared" si="178"/>
        <v>0.75720046539774788</v>
      </c>
      <c r="AI29" s="84">
        <f t="shared" si="179"/>
        <v>0.65318255886194176</v>
      </c>
      <c r="AJ29" s="84">
        <f t="shared" si="180"/>
        <v>1.4259999999999999</v>
      </c>
      <c r="AK29" s="84">
        <f t="shared" si="181"/>
        <v>-0.65300000000000002</v>
      </c>
      <c r="AL29" s="84">
        <f t="shared" si="182"/>
        <v>-0.77900000000000003</v>
      </c>
      <c r="AM29" s="84">
        <f t="shared" si="183"/>
        <v>0.42499999999999999</v>
      </c>
      <c r="AN29" s="84">
        <f t="shared" si="184"/>
        <v>-0.78500000000000003</v>
      </c>
      <c r="AO29" s="84">
        <f t="shared" si="185"/>
        <v>-9.7000000000000003E-2</v>
      </c>
      <c r="AP29" s="84">
        <f t="shared" si="18"/>
        <v>0.66238311085881207</v>
      </c>
      <c r="AQ29" s="84">
        <f t="shared" si="19"/>
        <v>0.22814119988067405</v>
      </c>
      <c r="AR29" s="88">
        <f t="shared" si="20"/>
        <v>23382.051097301141</v>
      </c>
      <c r="AS29" s="84">
        <f t="shared" si="283"/>
        <v>1.1319999999999999</v>
      </c>
      <c r="AT29" s="84">
        <f t="shared" si="284"/>
        <v>-1.2370000000000001</v>
      </c>
      <c r="AU29" s="84">
        <f t="shared" si="285"/>
        <v>-0.41199999999999998</v>
      </c>
      <c r="AV29" s="84">
        <f t="shared" si="286"/>
        <v>0.28799999999999998</v>
      </c>
      <c r="AW29" s="84">
        <f t="shared" si="287"/>
        <v>-0.82299999999999995</v>
      </c>
      <c r="AX29" s="84">
        <f t="shared" si="288"/>
        <v>5.6000000000000001E-2</v>
      </c>
      <c r="AY29" s="84">
        <f t="shared" si="27"/>
        <v>0.59917846746952008</v>
      </c>
      <c r="AZ29" s="84">
        <f t="shared" si="28"/>
        <v>0.21707478713841116</v>
      </c>
      <c r="BA29" s="106">
        <f>IF(G29&lt;0,0,((0.5*(1-AY29)*(1+COS(RADIANS($N$15))))+(AY29*(AH29/AI29))+(AZ29*SIN(RADIANS($N$15))))*'Irradiancia Horizontal'!C52)</f>
        <v>154.60572493518436</v>
      </c>
      <c r="BB29" s="106">
        <f t="shared" si="186"/>
        <v>1.1592478322094812</v>
      </c>
      <c r="BC29" s="84">
        <f>BB29*'Irradiancia Horizontal'!C81</f>
        <v>605.60217832980834</v>
      </c>
      <c r="BD29" s="84">
        <f t="shared" si="187"/>
        <v>760.20790326499264</v>
      </c>
      <c r="BE29" s="88">
        <f t="shared" si="29"/>
        <v>82947.785009843836</v>
      </c>
      <c r="BF29" s="84">
        <f t="shared" si="188"/>
        <v>59565.733912542695</v>
      </c>
      <c r="BG29" s="106">
        <f t="shared" si="189"/>
        <v>79758.232601979224</v>
      </c>
      <c r="BH29" s="106">
        <f t="shared" si="190"/>
        <v>60392.970845520496</v>
      </c>
      <c r="BI29" s="106">
        <f t="shared" si="191"/>
        <v>83775.021942821637</v>
      </c>
      <c r="BJ29" s="72"/>
      <c r="BL29" s="39">
        <v>0.5</v>
      </c>
      <c r="BM29" s="38">
        <v>0</v>
      </c>
      <c r="BN29" s="38">
        <f t="shared" si="30"/>
        <v>49.693691449284771</v>
      </c>
      <c r="BO29" s="38">
        <f>+IF(BO15&gt;=-11,180,0)</f>
        <v>180</v>
      </c>
      <c r="BP29" s="38">
        <f t="shared" si="32"/>
        <v>40.306308550715229</v>
      </c>
      <c r="BQ29" s="38">
        <f>+'Irradiancia Horizontal'!D81/COS(RADIANS(BP29))</f>
        <v>729.21337650982957</v>
      </c>
      <c r="BR29" s="38">
        <f>((('Irradiancia Horizontal'!D52+BQ29)/'Irradiancia Horizontal'!D52)+1.041*((RADIANS('Cálculos iluminancia'!BP29))^3))/(1+1.041*((RADIANS('Cálculos iluminancia'!BP29))^3))</f>
        <v>4.0475843242701925</v>
      </c>
      <c r="BS29" s="84">
        <f t="shared" si="33"/>
        <v>1.3101031908208092</v>
      </c>
      <c r="BT29" s="84">
        <f t="shared" si="192"/>
        <v>1.2777791165020305</v>
      </c>
      <c r="BU29" s="106">
        <f>'Irradiancia Horizontal'!D52*BT29/$BS$15</f>
        <v>0.15817508626385085</v>
      </c>
      <c r="BV29" s="84">
        <f>((17.27*Temp!C22)/(237.7+Temp!C22))+LN(HR!C33/100)</f>
        <v>0.5693529260476119</v>
      </c>
      <c r="BW29" s="84">
        <f t="shared" si="193"/>
        <v>8.1035896347152025</v>
      </c>
      <c r="BX29" s="84">
        <f t="shared" si="194"/>
        <v>1.6359951513113817</v>
      </c>
      <c r="BY29" s="84">
        <f t="shared" si="289"/>
        <v>6</v>
      </c>
      <c r="BZ29" s="84">
        <f t="shared" si="290"/>
        <v>88.34</v>
      </c>
      <c r="CA29" s="84">
        <f t="shared" si="291"/>
        <v>1.39</v>
      </c>
      <c r="CB29" s="84">
        <f t="shared" si="292"/>
        <v>6.06</v>
      </c>
      <c r="CC29" s="84">
        <f t="shared" si="293"/>
        <v>-7.6</v>
      </c>
      <c r="CD29" s="103">
        <f t="shared" si="39"/>
        <v>109.25017240992486</v>
      </c>
      <c r="CE29" s="165">
        <f>IF(CK29&gt;(CD29*'Irradiancia Horizontal'!D20),CK29,CD29*'Irradiancia Horizontal'!D20)</f>
        <v>79940.83573673715</v>
      </c>
      <c r="CF29" s="84">
        <f t="shared" si="294"/>
        <v>106.42</v>
      </c>
      <c r="CG29" s="84">
        <f t="shared" si="295"/>
        <v>3.83</v>
      </c>
      <c r="CH29" s="84">
        <f t="shared" si="296"/>
        <v>-36.15</v>
      </c>
      <c r="CI29" s="84">
        <f t="shared" si="297"/>
        <v>-28.83</v>
      </c>
      <c r="CJ29" s="103">
        <f t="shared" si="44"/>
        <v>138.2820157689558</v>
      </c>
      <c r="CK29" s="84">
        <f>+CJ29*'Irradiancia Horizontal'!D52</f>
        <v>24286.018031511321</v>
      </c>
      <c r="CL29" s="84">
        <f t="shared" si="195"/>
        <v>55654.817705225825</v>
      </c>
      <c r="CM29" s="84">
        <f>+CL29/'Irradiancia Horizontal'!D81</f>
        <v>100.08131029987008</v>
      </c>
      <c r="CN29" s="38">
        <f t="shared" si="45"/>
        <v>0.64687374917169715</v>
      </c>
      <c r="CO29" s="84">
        <f t="shared" si="196"/>
        <v>0.64687374917169715</v>
      </c>
      <c r="CP29" s="84">
        <f t="shared" si="197"/>
        <v>0.76259711029648702</v>
      </c>
      <c r="CQ29" s="84">
        <f t="shared" si="198"/>
        <v>1.4259999999999999</v>
      </c>
      <c r="CR29" s="84">
        <f t="shared" si="199"/>
        <v>-0.65300000000000002</v>
      </c>
      <c r="CS29" s="84">
        <f t="shared" si="200"/>
        <v>-0.77900000000000003</v>
      </c>
      <c r="CT29" s="84">
        <f t="shared" si="201"/>
        <v>0.42499999999999999</v>
      </c>
      <c r="CU29" s="84">
        <f t="shared" si="202"/>
        <v>-0.78500000000000003</v>
      </c>
      <c r="CV29" s="84">
        <f t="shared" si="203"/>
        <v>-9.7000000000000003E-2</v>
      </c>
      <c r="CW29" s="84">
        <f t="shared" si="46"/>
        <v>0.7747024675061549</v>
      </c>
      <c r="CX29" s="84">
        <f t="shared" si="47"/>
        <v>0.23259521131000876</v>
      </c>
      <c r="CY29" s="88">
        <f t="shared" si="48"/>
        <v>24343.96709082292</v>
      </c>
      <c r="CZ29" s="84">
        <f t="shared" si="298"/>
        <v>1.1319999999999999</v>
      </c>
      <c r="DA29" s="84">
        <f t="shared" si="299"/>
        <v>-1.2370000000000001</v>
      </c>
      <c r="DB29" s="84">
        <f t="shared" si="300"/>
        <v>-0.41199999999999998</v>
      </c>
      <c r="DC29" s="84">
        <f t="shared" si="301"/>
        <v>0.28799999999999998</v>
      </c>
      <c r="DD29" s="84">
        <f t="shared" si="302"/>
        <v>-0.82299999999999995</v>
      </c>
      <c r="DE29" s="84">
        <f t="shared" si="303"/>
        <v>5.6000000000000001E-2</v>
      </c>
      <c r="DF29" s="84">
        <f t="shared" si="55"/>
        <v>0.64650456735530992</v>
      </c>
      <c r="DG29" s="84">
        <f t="shared" si="56"/>
        <v>0.19721666044279532</v>
      </c>
      <c r="DH29" s="106">
        <f>IF(BN29&lt;0,0,((0.5*(1-DF29)*(1+COS(RADIANS($BU$15))))+(DF29*(CO29/CP29))+(DG29*SIN(RADIANS($BU$15))))*'Irradiancia Horizontal'!D52)</f>
        <v>161.99151044529407</v>
      </c>
      <c r="DI29" s="106">
        <f t="shared" si="204"/>
        <v>0.84825098395691767</v>
      </c>
      <c r="DJ29" s="84">
        <f>DI29*'Irradiancia Horizontal'!D81</f>
        <v>471.70899080906588</v>
      </c>
      <c r="DK29" s="84">
        <f t="shared" si="205"/>
        <v>633.70050125436001</v>
      </c>
      <c r="DL29" s="88">
        <f t="shared" si="57"/>
        <v>69231.889018294634</v>
      </c>
      <c r="DM29" s="84">
        <f t="shared" si="206"/>
        <v>44887.921927471718</v>
      </c>
      <c r="DN29" s="106">
        <f t="shared" si="207"/>
        <v>72980.630209296243</v>
      </c>
      <c r="DO29" s="106">
        <f t="shared" si="208"/>
        <v>47209.253880400684</v>
      </c>
      <c r="DP29" s="106">
        <f t="shared" si="209"/>
        <v>71553.220971223607</v>
      </c>
      <c r="DQ29" s="44"/>
      <c r="DS29" s="39">
        <v>0.5</v>
      </c>
      <c r="DT29" s="38">
        <v>0</v>
      </c>
      <c r="DU29" s="38">
        <f t="shared" si="58"/>
        <v>60.51634679814569</v>
      </c>
      <c r="DV29" s="38">
        <f>+IF(DV15&gt;=0,180,0)</f>
        <v>180</v>
      </c>
      <c r="DW29" s="38">
        <f t="shared" si="60"/>
        <v>29.48365320185431</v>
      </c>
      <c r="DX29" s="38">
        <f>+'Irradiancia Horizontal'!E81/COS(RADIANS(DW29))</f>
        <v>685.76695283342019</v>
      </c>
      <c r="DY29" s="38">
        <f>((('Irradiancia Horizontal'!E52+DX29)/'Irradiancia Horizontal'!E52)+1.041*((RADIANS('Cálculos iluminancia'!DW29))^3))/(1+1.041*((RADIANS('Cálculos iluminancia'!DW29))^3))</f>
        <v>3.8533168946209266</v>
      </c>
      <c r="DZ29" s="84">
        <f t="shared" si="61"/>
        <v>1.1480779730658071</v>
      </c>
      <c r="EA29" s="84">
        <f t="shared" si="210"/>
        <v>1.1197515343660576</v>
      </c>
      <c r="EB29" s="106">
        <f>'Irradiancia Horizontal'!E52*EA29/$DZ$15</f>
        <v>0.16859532216459541</v>
      </c>
      <c r="EC29" s="84">
        <f>((17.27*Temp!D22)/(237.7+Temp!D22))+LN(HR!D33/100)</f>
        <v>0.63226508006115534</v>
      </c>
      <c r="ED29" s="84">
        <f t="shared" si="211"/>
        <v>9.0330450781751637</v>
      </c>
      <c r="EE29" s="84">
        <f t="shared" si="212"/>
        <v>1.7459750289823375</v>
      </c>
      <c r="EF29" s="84">
        <f t="shared" si="304"/>
        <v>6</v>
      </c>
      <c r="EG29" s="84">
        <f t="shared" si="305"/>
        <v>88.34</v>
      </c>
      <c r="EH29" s="84">
        <f t="shared" si="306"/>
        <v>1.39</v>
      </c>
      <c r="EI29" s="84">
        <f t="shared" si="307"/>
        <v>6.06</v>
      </c>
      <c r="EJ29" s="84">
        <f t="shared" si="308"/>
        <v>-7.6</v>
      </c>
      <c r="EK29" s="103">
        <f t="shared" si="67"/>
        <v>109.57204220937987</v>
      </c>
      <c r="EL29" s="165">
        <f>IF(ER29&gt;(EK29*'Irradiancia Horizontal'!E20),ER29,EK29*'Irradiancia Horizontal'!E20)</f>
        <v>88472.945747482256</v>
      </c>
      <c r="EM29" s="84">
        <f t="shared" si="309"/>
        <v>106.42</v>
      </c>
      <c r="EN29" s="84">
        <f t="shared" si="310"/>
        <v>3.83</v>
      </c>
      <c r="EO29" s="84">
        <f t="shared" si="311"/>
        <v>-36.15</v>
      </c>
      <c r="EP29" s="84">
        <f t="shared" si="312"/>
        <v>-28.83</v>
      </c>
      <c r="EQ29" s="103">
        <f t="shared" si="72"/>
        <v>132.96337069285059</v>
      </c>
      <c r="ER29" s="84">
        <f>+EQ29*'Irradiancia Horizontal'!E52</f>
        <v>27986.580031191101</v>
      </c>
      <c r="ES29" s="84">
        <f t="shared" si="213"/>
        <v>60486.365716291155</v>
      </c>
      <c r="ET29" s="84">
        <f>+ES29/'Irradiancia Horizontal'!E81</f>
        <v>101.3244098427954</v>
      </c>
      <c r="EU29" s="38">
        <f t="shared" si="73"/>
        <v>0.49217522284207715</v>
      </c>
      <c r="EV29" s="84">
        <f t="shared" si="214"/>
        <v>0.49217522284207715</v>
      </c>
      <c r="EW29" s="84">
        <f t="shared" si="215"/>
        <v>0.87049615164017335</v>
      </c>
      <c r="EX29" s="84">
        <f t="shared" si="216"/>
        <v>1.4259999999999999</v>
      </c>
      <c r="EY29" s="84">
        <f t="shared" si="217"/>
        <v>-0.65300000000000002</v>
      </c>
      <c r="EZ29" s="84">
        <f t="shared" si="218"/>
        <v>-0.77900000000000003</v>
      </c>
      <c r="FA29" s="84">
        <f t="shared" si="219"/>
        <v>0.42499999999999999</v>
      </c>
      <c r="FB29" s="84">
        <f t="shared" si="220"/>
        <v>-0.78500000000000003</v>
      </c>
      <c r="FC29" s="84">
        <f t="shared" si="221"/>
        <v>-9.7000000000000003E-2</v>
      </c>
      <c r="FD29" s="84">
        <f t="shared" si="74"/>
        <v>0.91504411881735725</v>
      </c>
      <c r="FE29" s="84">
        <f t="shared" si="75"/>
        <v>0.24273775018360558</v>
      </c>
      <c r="FF29" s="88">
        <f t="shared" si="76"/>
        <v>22461.418054845642</v>
      </c>
      <c r="FG29" s="84">
        <f t="shared" si="313"/>
        <v>1.1319999999999999</v>
      </c>
      <c r="FH29" s="84">
        <f t="shared" si="314"/>
        <v>-1.2370000000000001</v>
      </c>
      <c r="FI29" s="84">
        <f t="shared" si="315"/>
        <v>-0.41199999999999998</v>
      </c>
      <c r="FJ29" s="84">
        <f t="shared" si="316"/>
        <v>0.28799999999999998</v>
      </c>
      <c r="FK29" s="84">
        <f t="shared" si="317"/>
        <v>-0.82299999999999995</v>
      </c>
      <c r="FL29" s="84">
        <f t="shared" si="318"/>
        <v>5.6000000000000001E-2</v>
      </c>
      <c r="FM29" s="84">
        <f t="shared" si="83"/>
        <v>0.71143781504032266</v>
      </c>
      <c r="FN29" s="84">
        <f t="shared" si="84"/>
        <v>0.17806291199629543</v>
      </c>
      <c r="FO29" s="106">
        <f>IF(DU29&lt;0,0,((0.5*(1-FM29)*(1+COS(RADIANS($EB$15))))+(FM29*(EV29/EW29))+(FN29*SIN(RADIANS($EB$15))))*'Irradiancia Horizontal'!E52)</f>
        <v>152.51378525737954</v>
      </c>
      <c r="FP29" s="106">
        <f t="shared" si="222"/>
        <v>0.56539620757050946</v>
      </c>
      <c r="FQ29" s="84">
        <f>FP29*'Irradiancia Horizontal'!E81</f>
        <v>337.51750282852078</v>
      </c>
      <c r="FR29" s="84">
        <f t="shared" si="223"/>
        <v>490.03128808590031</v>
      </c>
      <c r="FS29" s="88">
        <f t="shared" si="85"/>
        <v>53693.728982065055</v>
      </c>
      <c r="FT29" s="84">
        <f t="shared" si="224"/>
        <v>31232.310927219412</v>
      </c>
      <c r="FU29" s="106">
        <f t="shared" si="225"/>
        <v>69484.931785538414</v>
      </c>
      <c r="FV29" s="106">
        <f t="shared" si="226"/>
        <v>34198.761785713898</v>
      </c>
      <c r="FW29" s="106">
        <f t="shared" si="227"/>
        <v>56660.17984055954</v>
      </c>
      <c r="FX29" s="83"/>
      <c r="FZ29" s="39">
        <v>0.5</v>
      </c>
      <c r="GA29" s="38">
        <v>0</v>
      </c>
      <c r="GB29" s="38">
        <f t="shared" si="86"/>
        <v>72.499036651251458</v>
      </c>
      <c r="GC29" s="38">
        <f>IF(GC15&lt;12,0,180)</f>
        <v>180</v>
      </c>
      <c r="GD29" s="38">
        <f t="shared" si="88"/>
        <v>17.500963348748542</v>
      </c>
      <c r="GE29" s="38">
        <f>+'Irradiancia Horizontal'!F81/COS(RADIANS(GD29))</f>
        <v>763.05499917542909</v>
      </c>
      <c r="GF29" s="38">
        <f>((('Irradiancia Horizontal'!F52+GE29)/'Irradiancia Horizontal'!F52)+1.041*((RADIANS('Cálculos iluminancia'!GD29))^3))/(1+1.041*((RADIANS('Cálculos iluminancia'!GD29))^3))</f>
        <v>4.6595922939341765</v>
      </c>
      <c r="GG29" s="84">
        <f t="shared" si="89"/>
        <v>1.0480947230464901</v>
      </c>
      <c r="GH29" s="84">
        <f t="shared" si="276"/>
        <v>1.0222351633123834</v>
      </c>
      <c r="GI29" s="106">
        <f>'Irradiancia Horizontal'!F52*GH29/$GG$15</f>
        <v>0.15077593984358861</v>
      </c>
      <c r="GJ29" s="84">
        <f>((17.27*Temp!E22)/(237.7+Temp!E22))+LN(HR!E33/100)</f>
        <v>0.76277618671918246</v>
      </c>
      <c r="GK29" s="84">
        <f t="shared" si="228"/>
        <v>10.983791195541672</v>
      </c>
      <c r="GL29" s="84">
        <f t="shared" si="229"/>
        <v>2.0014369221951855</v>
      </c>
      <c r="GM29" s="84">
        <f t="shared" si="319"/>
        <v>7</v>
      </c>
      <c r="GN29" s="84">
        <f t="shared" si="320"/>
        <v>78.63</v>
      </c>
      <c r="GO29" s="84">
        <f t="shared" si="321"/>
        <v>1.47</v>
      </c>
      <c r="GP29" s="84">
        <f t="shared" si="322"/>
        <v>4.93</v>
      </c>
      <c r="GQ29" s="84">
        <f t="shared" si="323"/>
        <v>-11.37</v>
      </c>
      <c r="GR29" s="103">
        <f t="shared" si="96"/>
        <v>107.78550150794474</v>
      </c>
      <c r="GS29" s="165">
        <f>IF(GY29&gt;(GR29*'Irradiancia Horizontal'!F20),GY29,GR29*'Irradiancia Horizontal'!F20)</f>
        <v>100265.87928117866</v>
      </c>
      <c r="GT29" s="84">
        <f t="shared" si="324"/>
        <v>141.88</v>
      </c>
      <c r="GU29" s="84">
        <f t="shared" si="325"/>
        <v>1.9</v>
      </c>
      <c r="GV29" s="84">
        <f t="shared" si="326"/>
        <v>-53.24</v>
      </c>
      <c r="GW29" s="84">
        <f t="shared" si="327"/>
        <v>-14.03</v>
      </c>
      <c r="GX29" s="103">
        <f t="shared" si="101"/>
        <v>121.45131309929198</v>
      </c>
      <c r="GY29" s="84">
        <f>+GX29*'Irradiancia Horizontal'!F52</f>
        <v>24593.973467627497</v>
      </c>
      <c r="GZ29" s="84">
        <f t="shared" si="230"/>
        <v>75671.905813551159</v>
      </c>
      <c r="HA29" s="84">
        <f>+GZ29/'Irradiancia Horizontal'!F81</f>
        <v>103.98282945239822</v>
      </c>
      <c r="HB29" s="38">
        <f t="shared" si="102"/>
        <v>0.30072183488425069</v>
      </c>
      <c r="HC29" s="84">
        <f t="shared" si="231"/>
        <v>0.30072183488425069</v>
      </c>
      <c r="HD29" s="84">
        <f t="shared" si="232"/>
        <v>0.95371189466413253</v>
      </c>
      <c r="HE29" s="84">
        <f t="shared" si="233"/>
        <v>1.4850000000000001</v>
      </c>
      <c r="HF29" s="84">
        <f t="shared" si="234"/>
        <v>-1.214</v>
      </c>
      <c r="HG29" s="84">
        <f t="shared" si="235"/>
        <v>-0.78400000000000003</v>
      </c>
      <c r="HH29" s="84">
        <f t="shared" si="236"/>
        <v>0.41099999999999998</v>
      </c>
      <c r="HI29" s="84">
        <f t="shared" si="237"/>
        <v>-0.629</v>
      </c>
      <c r="HJ29" s="84">
        <f t="shared" si="238"/>
        <v>-8.2000000000000003E-2</v>
      </c>
      <c r="HK29" s="84">
        <f t="shared" si="103"/>
        <v>1.0624856537879759</v>
      </c>
      <c r="HL29" s="84">
        <f t="shared" si="104"/>
        <v>0.29111508035644856</v>
      </c>
      <c r="HM29" s="88">
        <f t="shared" si="105"/>
        <v>14630.766267797533</v>
      </c>
      <c r="HN29" s="84">
        <f t="shared" si="328"/>
        <v>1.06</v>
      </c>
      <c r="HO29" s="84">
        <f t="shared" si="329"/>
        <v>-1.6</v>
      </c>
      <c r="HP29" s="84">
        <f t="shared" si="330"/>
        <v>-0.35899999999999999</v>
      </c>
      <c r="HQ29" s="84">
        <f t="shared" si="331"/>
        <v>0.26400000000000001</v>
      </c>
      <c r="HR29" s="84">
        <f t="shared" si="332"/>
        <v>-1.127</v>
      </c>
      <c r="HS29" s="84">
        <f t="shared" si="333"/>
        <v>0.13100000000000001</v>
      </c>
      <c r="HT29" s="84">
        <f t="shared" si="112"/>
        <v>0.70910214990861953</v>
      </c>
      <c r="HU29" s="84">
        <f t="shared" si="113"/>
        <v>0.13408939148082907</v>
      </c>
      <c r="HV29" s="106">
        <f>IF(GB29&lt;0,0,((0.5*(1-HT29)*(1+COS(RADIANS($GI$15))))+(HT29*(HC29/HD29))+(HU29*SIN(RADIANS($GI$15))))*'Irradiancia Horizontal'!F52)</f>
        <v>101.8842629179715</v>
      </c>
      <c r="HW29" s="84">
        <f t="shared" si="114"/>
        <v>0.31531727408113697</v>
      </c>
      <c r="HX29" s="84">
        <f>HW29*'Irradiancia Horizontal'!F81</f>
        <v>229.46729946963544</v>
      </c>
      <c r="HY29" s="84">
        <f t="shared" si="239"/>
        <v>331.35156238760692</v>
      </c>
      <c r="HZ29" s="88">
        <f t="shared" si="115"/>
        <v>35714.894327389251</v>
      </c>
      <c r="IA29" s="84">
        <f t="shared" si="240"/>
        <v>21084.12805959172</v>
      </c>
      <c r="IB29" s="106">
        <f t="shared" si="241"/>
        <v>79344.617842058506</v>
      </c>
      <c r="IC29" s="106">
        <f t="shared" si="242"/>
        <v>23860.65906565349</v>
      </c>
      <c r="ID29" s="106">
        <f t="shared" si="243"/>
        <v>38491.425333451021</v>
      </c>
      <c r="IE29" s="83"/>
      <c r="IG29" s="39">
        <v>0.5</v>
      </c>
      <c r="IH29" s="38">
        <v>0</v>
      </c>
      <c r="II29" s="38">
        <f t="shared" si="116"/>
        <v>81.058014821567568</v>
      </c>
      <c r="IJ29" s="38">
        <f>IF(IJ15&lt;20,0,180)</f>
        <v>180</v>
      </c>
      <c r="IK29" s="38">
        <f t="shared" si="118"/>
        <v>8.9419851784324322</v>
      </c>
      <c r="IL29" s="38">
        <f>+'Irradiancia Horizontal'!G81/COS(RADIANS(IK29))</f>
        <v>1005.4414738515101</v>
      </c>
      <c r="IM29" s="38">
        <f>((('Irradiancia Horizontal'!G52+IL29)/'Irradiancia Horizontal'!G52)+1.041*((RADIANS('Cálculos iluminancia'!IK29))^3))/(1+1.041*((RADIANS('Cálculos iluminancia'!IK29))^3))</f>
        <v>9.4973936752523365</v>
      </c>
      <c r="IN29" s="87">
        <f t="shared" si="119"/>
        <v>1.0119570195109433</v>
      </c>
      <c r="IO29" s="87">
        <f t="shared" si="334"/>
        <v>0.98698908253066042</v>
      </c>
      <c r="IP29" s="106">
        <f>'Irradiancia Horizontal'!G52*IO29/$IN$15</f>
        <v>8.597331773918003E-2</v>
      </c>
      <c r="IQ29" s="87">
        <f>((17.27*Temp!F22)/(237.7+Temp!F22))+LN(HR!F33/100)</f>
        <v>0.9343772706271678</v>
      </c>
      <c r="IR29" s="87">
        <f t="shared" si="244"/>
        <v>13.596143894087399</v>
      </c>
      <c r="IS29" s="87">
        <f t="shared" si="245"/>
        <v>2.4030291145201552</v>
      </c>
      <c r="IT29" s="87">
        <f t="shared" si="335"/>
        <v>8</v>
      </c>
      <c r="IU29" s="87">
        <f t="shared" si="336"/>
        <v>99.65</v>
      </c>
      <c r="IV29" s="87">
        <f t="shared" si="337"/>
        <v>1.86</v>
      </c>
      <c r="IW29" s="87">
        <f t="shared" si="338"/>
        <v>-4.46</v>
      </c>
      <c r="IX29" s="87">
        <f t="shared" si="339"/>
        <v>-3.15</v>
      </c>
      <c r="IY29" s="103">
        <f t="shared" si="126"/>
        <v>107.44305257127498</v>
      </c>
      <c r="IZ29" s="165">
        <f>IF(JF29&gt;(IY29*'Irradiancia Horizontal'!G20),JF29,IY29*'Irradiancia Horizontal'!G20)</f>
        <v>119377.68760703111</v>
      </c>
      <c r="JA29" s="87">
        <f t="shared" si="340"/>
        <v>152.22999999999999</v>
      </c>
      <c r="JB29" s="87">
        <f t="shared" si="341"/>
        <v>0.35</v>
      </c>
      <c r="JC29" s="87">
        <f t="shared" si="342"/>
        <v>-45.27</v>
      </c>
      <c r="JD29" s="87">
        <f t="shared" si="343"/>
        <v>-7.98</v>
      </c>
      <c r="JE29" s="103">
        <f t="shared" si="131"/>
        <v>127.93193322326344</v>
      </c>
      <c r="JF29" s="87">
        <f>+JE29*'Irradiancia Horizontal'!G52</f>
        <v>15077.690826292086</v>
      </c>
      <c r="JG29" s="87">
        <f t="shared" si="246"/>
        <v>104299.99678073902</v>
      </c>
      <c r="JH29" s="87">
        <f>+JG29/'Irradiancia Horizontal'!G81</f>
        <v>105.01181185434673</v>
      </c>
      <c r="JI29" s="38">
        <f t="shared" si="132"/>
        <v>0.15543430153350501</v>
      </c>
      <c r="JJ29" s="87">
        <f t="shared" si="247"/>
        <v>0.15543430153350501</v>
      </c>
      <c r="JK29" s="87">
        <f t="shared" si="248"/>
        <v>0.98784623191405219</v>
      </c>
      <c r="JL29" s="87">
        <f t="shared" si="249"/>
        <v>1.17</v>
      </c>
      <c r="JM29" s="87">
        <f t="shared" si="250"/>
        <v>-0.3</v>
      </c>
      <c r="JN29" s="87">
        <f t="shared" si="251"/>
        <v>-0.61499999999999999</v>
      </c>
      <c r="JO29" s="87">
        <f t="shared" si="252"/>
        <v>0.51800000000000002</v>
      </c>
      <c r="JP29" s="87">
        <f t="shared" si="253"/>
        <v>-1.8919999999999999</v>
      </c>
      <c r="JQ29" s="87">
        <f t="shared" si="254"/>
        <v>-5.5E-2</v>
      </c>
      <c r="JR29" s="87">
        <f t="shared" si="133"/>
        <v>1.048226748615916</v>
      </c>
      <c r="JS29" s="87">
        <f t="shared" si="134"/>
        <v>0.34675479327092157</v>
      </c>
      <c r="JT29" s="88">
        <f t="shared" si="135"/>
        <v>7351.526106425933</v>
      </c>
      <c r="JU29" s="87">
        <f t="shared" si="344"/>
        <v>0.67800000000000005</v>
      </c>
      <c r="JV29" s="87">
        <f t="shared" si="345"/>
        <v>-0.32700000000000001</v>
      </c>
      <c r="JW29" s="87">
        <f t="shared" si="346"/>
        <v>-0.25</v>
      </c>
      <c r="JX29" s="87">
        <f t="shared" si="347"/>
        <v>0.156</v>
      </c>
      <c r="JY29" s="87">
        <f t="shared" si="348"/>
        <v>-1.377</v>
      </c>
      <c r="JZ29" s="87">
        <f t="shared" si="349"/>
        <v>0.251</v>
      </c>
      <c r="KA29" s="87">
        <f t="shared" si="142"/>
        <v>0.61086995434224345</v>
      </c>
      <c r="KB29" s="87">
        <f t="shared" si="143"/>
        <v>7.6787579313221915E-2</v>
      </c>
      <c r="KC29" s="106">
        <f>IF(II29&lt;0,0,((0.5*(1-KA29)*(1+COS(RADIANS($IP$15))))+(KA29*(JJ29/JK29))+(KB29*SIN(RADIANS($IP$15))))*'Irradiancia Horizontal'!G52)</f>
        <v>43.309072139505318</v>
      </c>
      <c r="KD29" s="87">
        <f t="shared" si="144"/>
        <v>0.15734665630331485</v>
      </c>
      <c r="KE29" s="87">
        <f>KD29*'Irradiancia Horizontal'!G81</f>
        <v>156.28009322092731</v>
      </c>
      <c r="KF29" s="87">
        <f t="shared" si="255"/>
        <v>199.58916536043262</v>
      </c>
      <c r="KG29" s="88">
        <f t="shared" si="145"/>
        <v>21444.469186477854</v>
      </c>
      <c r="KH29" s="87">
        <f t="shared" si="256"/>
        <v>14092.943080051922</v>
      </c>
      <c r="KI29" s="106">
        <f t="shared" si="257"/>
        <v>105583.23088265186</v>
      </c>
      <c r="KJ29" s="106">
        <f t="shared" si="258"/>
        <v>16411.255745895789</v>
      </c>
      <c r="KK29" s="106">
        <f t="shared" si="259"/>
        <v>23762.781852321721</v>
      </c>
      <c r="KL29" s="86"/>
      <c r="KN29" s="39">
        <v>0.5</v>
      </c>
      <c r="KO29" s="38">
        <v>0</v>
      </c>
      <c r="KP29" s="38">
        <f t="shared" si="146"/>
        <v>84.369782846813621</v>
      </c>
      <c r="KQ29" s="38">
        <f>IF(KQ15&lt;23.45,0,180)</f>
        <v>180</v>
      </c>
      <c r="KR29" s="38">
        <f t="shared" si="148"/>
        <v>5.6302171531863792</v>
      </c>
      <c r="KS29" s="38">
        <f>+'Irradiancia Horizontal'!H81/COS(RADIANS(KR29))</f>
        <v>1018.6271350317849</v>
      </c>
      <c r="KT29" s="38">
        <f>((('Irradiancia Horizontal'!H52+KS29)/'Irradiancia Horizontal'!H52)+1.041*((RADIANS('Cálculos iluminancia'!KR29))^3))/(1+1.041*((RADIANS('Cálculos iluminancia'!KR29))^3))</f>
        <v>9.9989979660997701</v>
      </c>
      <c r="KU29" s="87">
        <f t="shared" si="149"/>
        <v>1.0045265869388924</v>
      </c>
      <c r="KV29" s="87">
        <f t="shared" si="350"/>
        <v>0.9797419804446067</v>
      </c>
      <c r="KW29" s="106">
        <f>'Irradiancia Horizontal'!H52*KV29/$KU$15</f>
        <v>8.2566196445957057E-2</v>
      </c>
      <c r="KX29" s="87">
        <f>((17.27*Temp!G22)/(237.7+Temp!G22))+LN(HR!G33/100)</f>
        <v>1.2141467612895147</v>
      </c>
      <c r="KY29" s="87">
        <f t="shared" si="260"/>
        <v>17.97492047714411</v>
      </c>
      <c r="KZ29" s="87">
        <f t="shared" si="261"/>
        <v>3.2649499501266952</v>
      </c>
      <c r="LA29" s="87">
        <f t="shared" si="351"/>
        <v>8</v>
      </c>
      <c r="LB29" s="87">
        <f t="shared" si="352"/>
        <v>99.65</v>
      </c>
      <c r="LC29" s="87">
        <f t="shared" si="353"/>
        <v>1.86</v>
      </c>
      <c r="LD29" s="87">
        <f t="shared" si="354"/>
        <v>-4.46</v>
      </c>
      <c r="LE29" s="87">
        <f t="shared" si="355"/>
        <v>-3.15</v>
      </c>
      <c r="LF29" s="103">
        <f t="shared" si="156"/>
        <v>109.14091086818864</v>
      </c>
      <c r="LG29" s="165">
        <f>IF(LM29&gt;(LF29*'Irradiancia Horizontal'!H20),LM29,LF29*'Irradiancia Horizontal'!H20)</f>
        <v>122979.40728428744</v>
      </c>
      <c r="LH29" s="87">
        <f t="shared" si="356"/>
        <v>152.22999999999999</v>
      </c>
      <c r="LI29" s="87">
        <f t="shared" si="357"/>
        <v>0.35</v>
      </c>
      <c r="LJ29" s="87">
        <f t="shared" si="358"/>
        <v>-45.27</v>
      </c>
      <c r="LK29" s="87">
        <f t="shared" si="359"/>
        <v>-7.98</v>
      </c>
      <c r="LL29" s="103">
        <f t="shared" si="161"/>
        <v>128.22448044322883</v>
      </c>
      <c r="LM29" s="87">
        <f>+LL29*'Irradiancia Horizontal'!H52</f>
        <v>14499.84172646361</v>
      </c>
      <c r="LN29" s="87">
        <f t="shared" si="262"/>
        <v>108479.56555782384</v>
      </c>
      <c r="LO29" s="87">
        <f>+LN29/'Irradiancia Horizontal'!H81</f>
        <v>107.01210097560761</v>
      </c>
      <c r="LP29" s="38">
        <f t="shared" si="162"/>
        <v>9.8107757961834852E-2</v>
      </c>
      <c r="LQ29" s="87">
        <f t="shared" si="263"/>
        <v>9.8107757961834852E-2</v>
      </c>
      <c r="LR29" s="87">
        <f t="shared" si="264"/>
        <v>0.99517579744872309</v>
      </c>
      <c r="LS29" s="87">
        <f t="shared" si="265"/>
        <v>1.17</v>
      </c>
      <c r="LT29" s="87">
        <f t="shared" si="266"/>
        <v>-0.3</v>
      </c>
      <c r="LU29" s="87">
        <f t="shared" si="267"/>
        <v>-0.61499999999999999</v>
      </c>
      <c r="LV29" s="87">
        <f t="shared" si="268"/>
        <v>0.51800000000000002</v>
      </c>
      <c r="LW29" s="87">
        <f t="shared" si="269"/>
        <v>-1.8919999999999999</v>
      </c>
      <c r="LX29" s="87">
        <f t="shared" si="270"/>
        <v>-5.5E-2</v>
      </c>
      <c r="LY29" s="87">
        <f t="shared" si="163"/>
        <v>1.084796657507114</v>
      </c>
      <c r="LZ29" s="87">
        <f t="shared" si="164"/>
        <v>0.35638013584335426</v>
      </c>
      <c r="MA29" s="88">
        <f t="shared" si="165"/>
        <v>6103.3413710976984</v>
      </c>
      <c r="MB29" s="87">
        <f t="shared" si="360"/>
        <v>0.67800000000000005</v>
      </c>
      <c r="MC29" s="87">
        <f t="shared" si="361"/>
        <v>-0.32700000000000001</v>
      </c>
      <c r="MD29" s="87">
        <f t="shared" si="362"/>
        <v>-0.25</v>
      </c>
      <c r="ME29" s="87">
        <f t="shared" si="363"/>
        <v>0.156</v>
      </c>
      <c r="MF29" s="87">
        <f t="shared" si="364"/>
        <v>-1.377</v>
      </c>
      <c r="MG29" s="87">
        <f t="shared" si="365"/>
        <v>0.251</v>
      </c>
      <c r="MH29" s="87">
        <f t="shared" si="172"/>
        <v>0.62643439703083104</v>
      </c>
      <c r="MI29" s="87">
        <f t="shared" si="173"/>
        <v>6.6971070052183571E-2</v>
      </c>
      <c r="MJ29" s="106">
        <f>IF(KP29&lt;0,0,((0.5*(1-MH29)*(1+COS(RADIANS($KW$15))))+(MH29*(LQ29/LR29))+(MI29*SIN(RADIANS($KW$15))))*'Irradiancia Horizontal'!H52)</f>
        <v>35.67839113442664</v>
      </c>
      <c r="MK29" s="87">
        <f t="shared" si="174"/>
        <v>9.8583343981383256E-2</v>
      </c>
      <c r="ML29" s="87">
        <f>MK29*'Irradiancia Horizontal'!H81</f>
        <v>99.935224417055622</v>
      </c>
      <c r="MM29" s="87">
        <f t="shared" si="271"/>
        <v>135.61361555148227</v>
      </c>
      <c r="MN29" s="88">
        <f t="shared" si="175"/>
        <v>14800.993527417128</v>
      </c>
      <c r="MO29" s="87">
        <f t="shared" si="272"/>
        <v>8697.6521563194292</v>
      </c>
      <c r="MP29" s="106">
        <f t="shared" si="273"/>
        <v>109005.42983051525</v>
      </c>
      <c r="MQ29" s="106">
        <f t="shared" si="274"/>
        <v>10694.278326337962</v>
      </c>
      <c r="MR29" s="106">
        <f t="shared" si="275"/>
        <v>16797.619697435661</v>
      </c>
    </row>
    <row r="30" spans="5:356" x14ac:dyDescent="0.25">
      <c r="E30" s="39">
        <v>0.54166666666666596</v>
      </c>
      <c r="F30" s="38">
        <v>-15</v>
      </c>
      <c r="G30" s="38">
        <f t="shared" si="0"/>
        <v>38.698645677170404</v>
      </c>
      <c r="H30" s="38">
        <f t="shared" ref="H30:H40" si="366">-(180-DEGREES(ACOS((((SIN(RADIANS(G30)))*SIN(RADIANS($H$15)))-SIN(RADIANS($G$15)))/((COS(RADIANS(G30)))*COS(RADIANS($H$15))))))</f>
        <v>-161.85902247462414</v>
      </c>
      <c r="I30" s="38">
        <f t="shared" si="2"/>
        <v>51.301354322829596</v>
      </c>
      <c r="J30" s="38">
        <f>'Irradiancia Horizontal'!C82/COS(RADIANS(I30))</f>
        <v>783.4062864844085</v>
      </c>
      <c r="K30" s="38">
        <f>((('Irradiancia Horizontal'!C53+J30)/'Irradiancia Horizontal'!C53)+1.041*((RADIANS('Cálculos iluminancia'!I30))^3))/(1+1.041*((RADIANS('Cálculos iluminancia'!I30))^3))</f>
        <v>4.3693066673715606</v>
      </c>
      <c r="L30" s="36">
        <f t="shared" si="3"/>
        <v>1.5968598012920252</v>
      </c>
      <c r="M30" s="36">
        <f t="shared" si="4"/>
        <v>1.5574606033851075</v>
      </c>
      <c r="N30" s="106">
        <f>'Irradiancia Horizontal'!C53*M30/$L$15</f>
        <v>0.14460370078881404</v>
      </c>
      <c r="O30" s="71">
        <f>((17.27*Temp!B23)/(237.7+Temp!B23))+LN(HR!B34/100)</f>
        <v>0.49130905213832854</v>
      </c>
      <c r="P30" s="71">
        <f t="shared" si="176"/>
        <v>6.9602665700308428</v>
      </c>
      <c r="Q30" s="71">
        <f t="shared" si="177"/>
        <v>1.5101646126757171</v>
      </c>
      <c r="R30" s="71">
        <f t="shared" si="277"/>
        <v>6</v>
      </c>
      <c r="S30" s="71">
        <f t="shared" si="6"/>
        <v>88.34</v>
      </c>
      <c r="T30" s="71">
        <f t="shared" si="7"/>
        <v>1.39</v>
      </c>
      <c r="U30" s="71">
        <f t="shared" si="8"/>
        <v>6.06</v>
      </c>
      <c r="V30" s="71">
        <f t="shared" si="9"/>
        <v>-7.6</v>
      </c>
      <c r="W30" s="103">
        <f t="shared" si="10"/>
        <v>108.92455117696571</v>
      </c>
      <c r="X30" s="165">
        <f>IF(AD30&gt;(W30*'Irradiancia Horizontal'!C21),AD30,W30*'Irradiancia Horizontal'!C21)</f>
        <v>67846.662370615173</v>
      </c>
      <c r="Y30" s="71">
        <f t="shared" si="278"/>
        <v>106.42</v>
      </c>
      <c r="Z30" s="71">
        <f t="shared" si="279"/>
        <v>3.83</v>
      </c>
      <c r="AA30" s="71">
        <f t="shared" si="280"/>
        <v>-36.15</v>
      </c>
      <c r="AB30" s="71">
        <f t="shared" si="281"/>
        <v>-28.83</v>
      </c>
      <c r="AC30" s="103">
        <f t="shared" si="15"/>
        <v>145.35232930643022</v>
      </c>
      <c r="AD30" s="71">
        <f>+AC30*'Irradiancia Horizontal'!C53</f>
        <v>19342.473192586465</v>
      </c>
      <c r="AE30" s="71">
        <f t="shared" si="16"/>
        <v>48504.189178028711</v>
      </c>
      <c r="AF30" s="71">
        <f>+AE30/'Irradiancia Horizontal'!C82</f>
        <v>99.027635896191484</v>
      </c>
      <c r="AG30" s="38">
        <f t="shared" si="282"/>
        <v>0.74165182760622228</v>
      </c>
      <c r="AH30" s="84">
        <f t="shared" si="178"/>
        <v>0.74165182760622228</v>
      </c>
      <c r="AI30" s="84">
        <f t="shared" si="179"/>
        <v>0.62522420882117113</v>
      </c>
      <c r="AJ30" s="84">
        <f t="shared" si="180"/>
        <v>1.4259999999999999</v>
      </c>
      <c r="AK30" s="84">
        <f t="shared" si="181"/>
        <v>-0.65300000000000002</v>
      </c>
      <c r="AL30" s="84">
        <f t="shared" si="182"/>
        <v>-0.77900000000000003</v>
      </c>
      <c r="AM30" s="84">
        <f t="shared" si="183"/>
        <v>0.42499999999999999</v>
      </c>
      <c r="AN30" s="84">
        <f t="shared" si="184"/>
        <v>-0.78500000000000003</v>
      </c>
      <c r="AO30" s="84">
        <f t="shared" si="185"/>
        <v>-9.7000000000000003E-2</v>
      </c>
      <c r="AP30" s="84">
        <f t="shared" si="18"/>
        <v>0.63407467686940011</v>
      </c>
      <c r="AQ30" s="84">
        <f t="shared" si="19"/>
        <v>0.22463447314521751</v>
      </c>
      <c r="AR30" s="88">
        <f t="shared" si="20"/>
        <v>22432.385729761343</v>
      </c>
      <c r="AS30" s="84">
        <f t="shared" si="283"/>
        <v>1.1319999999999999</v>
      </c>
      <c r="AT30" s="84">
        <f t="shared" si="284"/>
        <v>-1.2370000000000001</v>
      </c>
      <c r="AU30" s="84">
        <f t="shared" si="285"/>
        <v>-0.41199999999999998</v>
      </c>
      <c r="AV30" s="84">
        <f t="shared" si="286"/>
        <v>0.28799999999999998</v>
      </c>
      <c r="AW30" s="84">
        <f t="shared" si="287"/>
        <v>-0.82299999999999995</v>
      </c>
      <c r="AX30" s="84">
        <f t="shared" si="288"/>
        <v>5.6000000000000001E-2</v>
      </c>
      <c r="AY30" s="84">
        <f t="shared" si="27"/>
        <v>0.58422967413400873</v>
      </c>
      <c r="AZ30" s="84">
        <f t="shared" si="28"/>
        <v>0.21913229669607975</v>
      </c>
      <c r="BA30" s="106">
        <f>IF(G30&lt;0,0,((0.5*(1-AY30)*(1+COS(RADIANS($N$15))))+(AY30*(AH30/AI30))+(AZ30*SIN(RADIANS($N$15))))*'Irradiancia Horizontal'!C53)</f>
        <v>149.04721762736747</v>
      </c>
      <c r="BB30" s="106">
        <f t="shared" si="186"/>
        <v>1.1862173875265796</v>
      </c>
      <c r="BC30" s="84">
        <f>BB30*'Irradiancia Horizontal'!C82</f>
        <v>581.01470412936533</v>
      </c>
      <c r="BD30" s="84">
        <f t="shared" si="187"/>
        <v>730.06192175673277</v>
      </c>
      <c r="BE30" s="88">
        <f t="shared" si="29"/>
        <v>79521.667158745171</v>
      </c>
      <c r="BF30" s="84">
        <f t="shared" si="188"/>
        <v>57089.281428983828</v>
      </c>
      <c r="BG30" s="106">
        <f t="shared" si="189"/>
        <v>77578.872496765485</v>
      </c>
      <c r="BH30" s="106">
        <f t="shared" si="190"/>
        <v>57536.512570856212</v>
      </c>
      <c r="BI30" s="106">
        <f t="shared" si="191"/>
        <v>79968.898300617555</v>
      </c>
      <c r="BJ30" s="72"/>
      <c r="BL30" s="39">
        <v>0.54166666666666596</v>
      </c>
      <c r="BM30" s="38">
        <v>-15</v>
      </c>
      <c r="BN30" s="38">
        <f t="shared" si="30"/>
        <v>47.171183666421868</v>
      </c>
      <c r="BO30" s="38">
        <f t="shared" ref="BO30:BO40" si="367">-(180-DEGREES(ACOS((((SIN(RADIANS(BN30)))*SIN(RADIANS($BO$15)))-SIN(RADIANS($BN$15)))/((COS(RADIANS(BN30)))*COS(RADIANS($BO$15))))))</f>
        <v>-158.07221451643386</v>
      </c>
      <c r="BP30" s="38">
        <f t="shared" si="32"/>
        <v>42.828816333578132</v>
      </c>
      <c r="BQ30" s="38">
        <f>+'Irradiancia Horizontal'!D82/COS(RADIANS(BP30))</f>
        <v>714.99656734243274</v>
      </c>
      <c r="BR30" s="38">
        <f>((('Irradiancia Horizontal'!D53+BQ30)/'Irradiancia Horizontal'!D53)+1.041*((RADIANS('Cálculos iluminancia'!BP30))^3))/(1+1.041*((RADIANS('Cálculos iluminancia'!BP30))^3))</f>
        <v>3.9504132040002151</v>
      </c>
      <c r="BS30" s="84">
        <f t="shared" si="33"/>
        <v>1.362129121351533</v>
      </c>
      <c r="BT30" s="84">
        <f t="shared" si="192"/>
        <v>1.3285214152877427</v>
      </c>
      <c r="BU30" s="106">
        <f>'Irradiancia Horizontal'!D53*BT30/$BS$15</f>
        <v>0.15815740462688638</v>
      </c>
      <c r="BV30" s="84">
        <f>((17.27*Temp!C23)/(237.7+Temp!C23))+LN(HR!C34/100)</f>
        <v>0.55375003237320719</v>
      </c>
      <c r="BW30" s="84">
        <f t="shared" si="193"/>
        <v>7.8741573588587785</v>
      </c>
      <c r="BX30" s="84">
        <f t="shared" si="194"/>
        <v>1.6099305076590162</v>
      </c>
      <c r="BY30" s="84">
        <f t="shared" si="289"/>
        <v>6</v>
      </c>
      <c r="BZ30" s="84">
        <f t="shared" si="290"/>
        <v>88.34</v>
      </c>
      <c r="CA30" s="84">
        <f t="shared" si="291"/>
        <v>1.39</v>
      </c>
      <c r="CB30" s="84">
        <f t="shared" si="292"/>
        <v>6.06</v>
      </c>
      <c r="CC30" s="84">
        <f t="shared" si="293"/>
        <v>-7.6</v>
      </c>
      <c r="CD30" s="103">
        <f t="shared" si="39"/>
        <v>109.03778528670243</v>
      </c>
      <c r="CE30" s="165">
        <f>IF(CK30&gt;(CD30*'Irradiancia Horizontal'!D21),CK30,CD30*'Irradiancia Horizontal'!D21)</f>
        <v>75592.603598204791</v>
      </c>
      <c r="CF30" s="84">
        <f t="shared" si="294"/>
        <v>106.42</v>
      </c>
      <c r="CG30" s="84">
        <f t="shared" si="295"/>
        <v>3.83</v>
      </c>
      <c r="CH30" s="84">
        <f t="shared" si="296"/>
        <v>-36.15</v>
      </c>
      <c r="CI30" s="84">
        <f t="shared" si="297"/>
        <v>-28.83</v>
      </c>
      <c r="CJ30" s="103">
        <f t="shared" si="44"/>
        <v>139.24131853219541</v>
      </c>
      <c r="CK30" s="84">
        <f>+CJ30*'Irradiancia Horizontal'!D53</f>
        <v>23517.839089632616</v>
      </c>
      <c r="CL30" s="84">
        <f t="shared" si="195"/>
        <v>52074.764508572174</v>
      </c>
      <c r="CM30" s="84">
        <f>+CL30/'Irradiancia Horizontal'!D82</f>
        <v>99.309209878269442</v>
      </c>
      <c r="CN30" s="38">
        <f t="shared" si="45"/>
        <v>0.63062954869196342</v>
      </c>
      <c r="CO30" s="84">
        <f t="shared" si="196"/>
        <v>0.63062954869196342</v>
      </c>
      <c r="CP30" s="84">
        <f t="shared" si="197"/>
        <v>0.73338805357819492</v>
      </c>
      <c r="CQ30" s="84">
        <f t="shared" si="198"/>
        <v>1.4259999999999999</v>
      </c>
      <c r="CR30" s="84">
        <f t="shared" si="199"/>
        <v>-0.65300000000000002</v>
      </c>
      <c r="CS30" s="84">
        <f t="shared" si="200"/>
        <v>-0.77900000000000003</v>
      </c>
      <c r="CT30" s="84">
        <f t="shared" si="201"/>
        <v>0.42499999999999999</v>
      </c>
      <c r="CU30" s="84">
        <f t="shared" si="202"/>
        <v>-0.78500000000000003</v>
      </c>
      <c r="CV30" s="84">
        <f t="shared" si="203"/>
        <v>-9.7000000000000003E-2</v>
      </c>
      <c r="CW30" s="84">
        <f t="shared" si="46"/>
        <v>0.74041770803116169</v>
      </c>
      <c r="CX30" s="84">
        <f t="shared" si="47"/>
        <v>0.22833856297186633</v>
      </c>
      <c r="CY30" s="88">
        <f t="shared" si="48"/>
        <v>23395.639307027734</v>
      </c>
      <c r="CZ30" s="84">
        <f t="shared" si="298"/>
        <v>1.1319999999999999</v>
      </c>
      <c r="DA30" s="84">
        <f t="shared" si="299"/>
        <v>-1.2370000000000001</v>
      </c>
      <c r="DB30" s="84">
        <f t="shared" si="300"/>
        <v>-0.41199999999999998</v>
      </c>
      <c r="DC30" s="84">
        <f t="shared" si="301"/>
        <v>0.28799999999999998</v>
      </c>
      <c r="DD30" s="84">
        <f t="shared" si="302"/>
        <v>-0.82299999999999995</v>
      </c>
      <c r="DE30" s="84">
        <f t="shared" si="303"/>
        <v>5.6000000000000001E-2</v>
      </c>
      <c r="DF30" s="84">
        <f t="shared" si="55"/>
        <v>0.62838770025836133</v>
      </c>
      <c r="DG30" s="84">
        <f t="shared" si="56"/>
        <v>0.19969667213823289</v>
      </c>
      <c r="DH30" s="106">
        <f>IF(BN30&lt;0,0,((0.5*(1-DF30)*(1+COS(RADIANS($BU$15))))+(DF30*(CO30/CP30))+(DG30*SIN(RADIANS($BU$15))))*'Irradiancia Horizontal'!D53)</f>
        <v>156.37494124744381</v>
      </c>
      <c r="DI30" s="106">
        <f t="shared" si="204"/>
        <v>0.85988522122105271</v>
      </c>
      <c r="DJ30" s="84">
        <f>DI30*'Irradiancia Horizontal'!D82</f>
        <v>450.89796257946136</v>
      </c>
      <c r="DK30" s="84">
        <f t="shared" si="205"/>
        <v>607.27290382690512</v>
      </c>
      <c r="DL30" s="88">
        <f t="shared" si="57"/>
        <v>66215.692497910379</v>
      </c>
      <c r="DM30" s="84">
        <f t="shared" si="206"/>
        <v>42820.053190882645</v>
      </c>
      <c r="DN30" s="106">
        <f t="shared" si="207"/>
        <v>71005.744168451856</v>
      </c>
      <c r="DO30" s="106">
        <f t="shared" si="208"/>
        <v>44778.320399487806</v>
      </c>
      <c r="DP30" s="106">
        <f t="shared" si="209"/>
        <v>68173.959706515539</v>
      </c>
      <c r="DQ30" s="44"/>
      <c r="DS30" s="39">
        <v>0.54166666666666596</v>
      </c>
      <c r="DT30" s="38">
        <v>-15</v>
      </c>
      <c r="DU30" s="38">
        <f t="shared" si="58"/>
        <v>57.216020869058788</v>
      </c>
      <c r="DV30" s="38">
        <f t="shared" ref="DV30:DV40" si="368">-(180-DEGREES(ACOS((((SIN(RADIANS(DU30)))*SIN(RADIANS($DV$15)))-SIN(RADIANS($DU$15)))/((COS(RADIANS(DU30)))*COS(RADIANS($DV$15))))))</f>
        <v>-151.44653063273847</v>
      </c>
      <c r="DW30" s="38">
        <f t="shared" si="60"/>
        <v>32.783979130941212</v>
      </c>
      <c r="DX30" s="38">
        <f>+'Irradiancia Horizontal'!E82/COS(RADIANS(DW30))</f>
        <v>673.37970828234961</v>
      </c>
      <c r="DY30" s="38">
        <f>((('Irradiancia Horizontal'!E53+DX30)/'Irradiancia Horizontal'!E53)+1.041*((RADIANS('Cálculos iluminancia'!DW30))^3))/(1+1.041*((RADIANS('Cálculos iluminancia'!DW30))^3))</f>
        <v>3.7719498791336714</v>
      </c>
      <c r="DZ30" s="84">
        <f t="shared" si="61"/>
        <v>1.1886530410548086</v>
      </c>
      <c r="EA30" s="84">
        <f t="shared" si="210"/>
        <v>1.1593254968525648</v>
      </c>
      <c r="EB30" s="106">
        <f>'Irradiancia Horizontal'!E53*EA30/$DZ$15</f>
        <v>0.16858260228777472</v>
      </c>
      <c r="EC30" s="84">
        <f>((17.27*Temp!D23)/(237.7+Temp!D23))+LN(HR!D34/100)</f>
        <v>0.61085385302572259</v>
      </c>
      <c r="ED30" s="84">
        <f t="shared" si="211"/>
        <v>8.715930551493857</v>
      </c>
      <c r="EE30" s="84">
        <f t="shared" si="212"/>
        <v>1.7076448467803684</v>
      </c>
      <c r="EF30" s="84">
        <f t="shared" si="304"/>
        <v>6</v>
      </c>
      <c r="EG30" s="84">
        <f t="shared" si="305"/>
        <v>88.34</v>
      </c>
      <c r="EH30" s="84">
        <f t="shared" si="306"/>
        <v>1.39</v>
      </c>
      <c r="EI30" s="84">
        <f t="shared" si="307"/>
        <v>6.06</v>
      </c>
      <c r="EJ30" s="84">
        <f t="shared" si="308"/>
        <v>-7.6</v>
      </c>
      <c r="EK30" s="103">
        <f t="shared" si="67"/>
        <v>109.33888132090499</v>
      </c>
      <c r="EL30" s="165">
        <f>IF(ER30&gt;(EK30*'Irradiancia Horizontal'!E21),ER30,EK30*'Irradiancia Horizontal'!E21)</f>
        <v>84125.94688134201</v>
      </c>
      <c r="EM30" s="84">
        <f t="shared" si="309"/>
        <v>106.42</v>
      </c>
      <c r="EN30" s="84">
        <f t="shared" si="310"/>
        <v>3.83</v>
      </c>
      <c r="EO30" s="84">
        <f t="shared" si="311"/>
        <v>-36.15</v>
      </c>
      <c r="EP30" s="84">
        <f t="shared" si="312"/>
        <v>-28.83</v>
      </c>
      <c r="EQ30" s="103">
        <f t="shared" si="72"/>
        <v>133.89521997585109</v>
      </c>
      <c r="ER30" s="84">
        <f>+EQ30*'Irradiancia Horizontal'!E53</f>
        <v>27218.638616257063</v>
      </c>
      <c r="ES30" s="84">
        <f t="shared" si="213"/>
        <v>56907.308265084946</v>
      </c>
      <c r="ET30" s="84">
        <f>+ES30/'Irradiancia Horizontal'!E82</f>
        <v>100.52119697352242</v>
      </c>
      <c r="EU30" s="38">
        <f t="shared" si="73"/>
        <v>0.47561455136527797</v>
      </c>
      <c r="EV30" s="84">
        <f t="shared" si="214"/>
        <v>0.47561455136527797</v>
      </c>
      <c r="EW30" s="84">
        <f t="shared" si="215"/>
        <v>0.84071804141170625</v>
      </c>
      <c r="EX30" s="84">
        <f t="shared" si="216"/>
        <v>1.4259999999999999</v>
      </c>
      <c r="EY30" s="84">
        <f t="shared" si="217"/>
        <v>-0.65300000000000002</v>
      </c>
      <c r="EZ30" s="84">
        <f t="shared" si="218"/>
        <v>-0.77900000000000003</v>
      </c>
      <c r="FA30" s="84">
        <f t="shared" si="219"/>
        <v>0.42499999999999999</v>
      </c>
      <c r="FB30" s="84">
        <f t="shared" si="220"/>
        <v>-0.78500000000000003</v>
      </c>
      <c r="FC30" s="84">
        <f t="shared" si="221"/>
        <v>-9.7000000000000003E-2</v>
      </c>
      <c r="FD30" s="84">
        <f t="shared" si="74"/>
        <v>0.87018081444659701</v>
      </c>
      <c r="FE30" s="84">
        <f t="shared" si="75"/>
        <v>0.23716038456331359</v>
      </c>
      <c r="FF30" s="88">
        <f t="shared" si="76"/>
        <v>21621.189079357711</v>
      </c>
      <c r="FG30" s="84">
        <f t="shared" si="313"/>
        <v>1.1319999999999999</v>
      </c>
      <c r="FH30" s="84">
        <f t="shared" si="314"/>
        <v>-1.2370000000000001</v>
      </c>
      <c r="FI30" s="84">
        <f t="shared" si="315"/>
        <v>-0.41199999999999998</v>
      </c>
      <c r="FJ30" s="84">
        <f t="shared" si="316"/>
        <v>0.28799999999999998</v>
      </c>
      <c r="FK30" s="84">
        <f t="shared" si="317"/>
        <v>-0.82299999999999995</v>
      </c>
      <c r="FL30" s="84">
        <f t="shared" si="318"/>
        <v>5.6000000000000001E-2</v>
      </c>
      <c r="FM30" s="84">
        <f t="shared" si="83"/>
        <v>0.68772170934112875</v>
      </c>
      <c r="FN30" s="84">
        <f t="shared" si="84"/>
        <v>0.18129906747060326</v>
      </c>
      <c r="FO30" s="106">
        <f>IF(DU30&lt;0,0,((0.5*(1-FM30)*(1+COS(RADIANS($EB$15))))+(FM30*(EV30/EW30))+(FN30*SIN(RADIANS($EB$15))))*'Irradiancia Horizontal'!E53)</f>
        <v>147.68499343399338</v>
      </c>
      <c r="FP30" s="106">
        <f t="shared" si="222"/>
        <v>0.56572421184948229</v>
      </c>
      <c r="FQ30" s="84">
        <f>FP30*'Irradiancia Horizontal'!E82</f>
        <v>320.26918785319145</v>
      </c>
      <c r="FR30" s="84">
        <f t="shared" si="223"/>
        <v>467.95418128718484</v>
      </c>
      <c r="FS30" s="88">
        <f t="shared" si="85"/>
        <v>51165.586691380762</v>
      </c>
      <c r="FT30" s="84">
        <f t="shared" si="224"/>
        <v>29544.397612023051</v>
      </c>
      <c r="FU30" s="106">
        <f t="shared" si="225"/>
        <v>67688.934294223131</v>
      </c>
      <c r="FV30" s="106">
        <f t="shared" si="226"/>
        <v>32193.842116740714</v>
      </c>
      <c r="FW30" s="106">
        <f t="shared" si="227"/>
        <v>53815.031196098425</v>
      </c>
      <c r="FX30" s="83"/>
      <c r="FZ30" s="39">
        <v>0.54166666666666596</v>
      </c>
      <c r="GA30" s="38">
        <v>-15</v>
      </c>
      <c r="GB30" s="38">
        <f t="shared" si="86"/>
        <v>67.598954830624706</v>
      </c>
      <c r="GC30" s="38">
        <f t="shared" ref="GC30:GC40" si="369">-(180-DEGREES(ACOS((((SIN(RADIANS(GB30)))*SIN(RADIANS($GC$15)))-SIN(RADIANS($GB$15)))/((COS(RADIANS(GB30)))*COS(RADIANS($GC$15))))))</f>
        <v>-138.29175263373307</v>
      </c>
      <c r="GD30" s="38">
        <f t="shared" si="88"/>
        <v>22.401045169375294</v>
      </c>
      <c r="GE30" s="38">
        <f>+'Irradiancia Horizontal'!F82/COS(RADIANS(GD30))</f>
        <v>751.50204508750085</v>
      </c>
      <c r="GF30" s="38">
        <f>((('Irradiancia Horizontal'!F53+GE30)/'Irradiancia Horizontal'!F53)+1.041*((RADIANS('Cálculos iluminancia'!GD30))^3))/(1+1.041*((RADIANS('Cálculos iluminancia'!GD30))^3))</f>
        <v>4.6039902808902493</v>
      </c>
      <c r="GG30" s="84">
        <f t="shared" si="89"/>
        <v>1.0810998890478394</v>
      </c>
      <c r="GH30" s="84">
        <f t="shared" si="276"/>
        <v>1.0544259954152992</v>
      </c>
      <c r="GI30" s="106">
        <f>'Irradiancia Horizontal'!F53*GH30/$GG$15</f>
        <v>0.15076669264185569</v>
      </c>
      <c r="GJ30" s="84">
        <f>((17.27*Temp!E23)/(237.7+Temp!E23))+LN(HR!E34/100)</f>
        <v>0.7417501192857836</v>
      </c>
      <c r="GK30" s="84">
        <f t="shared" si="228"/>
        <v>10.667433311252182</v>
      </c>
      <c r="GL30" s="84">
        <f t="shared" si="229"/>
        <v>1.9576021507014452</v>
      </c>
      <c r="GM30" s="84">
        <f t="shared" si="319"/>
        <v>7</v>
      </c>
      <c r="GN30" s="84">
        <f t="shared" si="320"/>
        <v>78.63</v>
      </c>
      <c r="GO30" s="84">
        <f t="shared" si="321"/>
        <v>1.47</v>
      </c>
      <c r="GP30" s="84">
        <f t="shared" si="322"/>
        <v>4.93</v>
      </c>
      <c r="GQ30" s="84">
        <f t="shared" si="323"/>
        <v>-11.37</v>
      </c>
      <c r="GR30" s="103">
        <f t="shared" si="96"/>
        <v>107.57793977997548</v>
      </c>
      <c r="GS30" s="165">
        <f>IF(GY30&gt;(GR30*'Irradiancia Horizontal'!F21),GY30,GR30*'Irradiancia Horizontal'!F21)</f>
        <v>95862.643730538635</v>
      </c>
      <c r="GT30" s="84">
        <f t="shared" si="324"/>
        <v>141.88</v>
      </c>
      <c r="GU30" s="84">
        <f t="shared" si="325"/>
        <v>1.9</v>
      </c>
      <c r="GV30" s="84">
        <f t="shared" si="326"/>
        <v>-53.24</v>
      </c>
      <c r="GW30" s="84">
        <f t="shared" si="327"/>
        <v>-14.03</v>
      </c>
      <c r="GX30" s="103">
        <f t="shared" si="101"/>
        <v>122.92204807081612</v>
      </c>
      <c r="GY30" s="84">
        <f>+GX30*'Irradiancia Horizontal'!F53</f>
        <v>24130.390404370952</v>
      </c>
      <c r="GZ30" s="84">
        <f t="shared" si="230"/>
        <v>71732.253326167687</v>
      </c>
      <c r="HA30" s="84">
        <f>+GZ30/'Irradiancia Horizontal'!F82</f>
        <v>103.2426236215869</v>
      </c>
      <c r="HB30" s="38">
        <f t="shared" si="102"/>
        <v>0.28449779107818263</v>
      </c>
      <c r="HC30" s="84">
        <f t="shared" si="231"/>
        <v>0.28449779107818263</v>
      </c>
      <c r="HD30" s="84">
        <f t="shared" si="232"/>
        <v>0.9245390821072621</v>
      </c>
      <c r="HE30" s="84">
        <f t="shared" si="233"/>
        <v>1.4850000000000001</v>
      </c>
      <c r="HF30" s="84">
        <f t="shared" si="234"/>
        <v>-1.214</v>
      </c>
      <c r="HG30" s="84">
        <f t="shared" si="235"/>
        <v>-0.78400000000000003</v>
      </c>
      <c r="HH30" s="84">
        <f t="shared" si="236"/>
        <v>0.41099999999999998</v>
      </c>
      <c r="HI30" s="84">
        <f t="shared" si="237"/>
        <v>-0.629</v>
      </c>
      <c r="HJ30" s="84">
        <f t="shared" si="238"/>
        <v>-8.2000000000000003E-2</v>
      </c>
      <c r="HK30" s="84">
        <f t="shared" si="103"/>
        <v>0.99544719176342866</v>
      </c>
      <c r="HL30" s="84">
        <f t="shared" si="104"/>
        <v>0.28410804681260005</v>
      </c>
      <c r="HM30" s="88">
        <f t="shared" si="105"/>
        <v>14302.130171698487</v>
      </c>
      <c r="HN30" s="84">
        <f t="shared" si="328"/>
        <v>1.06</v>
      </c>
      <c r="HO30" s="84">
        <f t="shared" si="329"/>
        <v>-1.6</v>
      </c>
      <c r="HP30" s="84">
        <f t="shared" si="330"/>
        <v>-0.35899999999999999</v>
      </c>
      <c r="HQ30" s="84">
        <f t="shared" si="331"/>
        <v>0.26400000000000001</v>
      </c>
      <c r="HR30" s="84">
        <f t="shared" si="332"/>
        <v>-1.127</v>
      </c>
      <c r="HS30" s="84">
        <f t="shared" si="333"/>
        <v>0.13100000000000001</v>
      </c>
      <c r="HT30" s="84">
        <f t="shared" si="112"/>
        <v>0.67841434589343941</v>
      </c>
      <c r="HU30" s="84">
        <f t="shared" si="113"/>
        <v>0.14530326861888629</v>
      </c>
      <c r="HV30" s="106">
        <f>IF(GB30&lt;0,0,((0.5*(1-HT30)*(1+COS(RADIANS($GI$15))))+(HT30*(HC30/HD30))+(HU30*SIN(RADIANS($GI$15))))*'Irradiancia Horizontal'!F53)</f>
        <v>101.06969865520853</v>
      </c>
      <c r="HW30" s="84">
        <f t="shared" si="114"/>
        <v>0.30771851248271631</v>
      </c>
      <c r="HX30" s="84">
        <f>HW30*'Irradiancia Horizontal'!F82</f>
        <v>213.80067181813081</v>
      </c>
      <c r="HY30" s="84">
        <f t="shared" si="239"/>
        <v>314.87037047333934</v>
      </c>
      <c r="HZ30" s="88">
        <f t="shared" si="115"/>
        <v>33873.105753279466</v>
      </c>
      <c r="IA30" s="84">
        <f t="shared" si="240"/>
        <v>19570.975581580977</v>
      </c>
      <c r="IB30" s="106">
        <f t="shared" si="241"/>
        <v>77587.042791821688</v>
      </c>
      <c r="IC30" s="106">
        <f t="shared" si="242"/>
        <v>22073.342290561701</v>
      </c>
      <c r="ID30" s="106">
        <f t="shared" si="243"/>
        <v>36375.472462260186</v>
      </c>
      <c r="IE30" s="83"/>
      <c r="IG30" s="39">
        <v>0.54166666666666596</v>
      </c>
      <c r="IH30" s="38">
        <v>-15</v>
      </c>
      <c r="II30" s="38">
        <f t="shared" si="116"/>
        <v>73.716868534260627</v>
      </c>
      <c r="IJ30" s="38">
        <f t="shared" ref="IJ30:IJ40" si="370">-(180-DEGREES(ACOS((((SIN(RADIANS(II30)))*SIN(RADIANS($IJ$15)))-SIN(RADIANS($II$15)))/((COS(RADIANS(II30)))*COS(RADIANS($IJ$15))))))</f>
        <v>-119.92772911026881</v>
      </c>
      <c r="IK30" s="38">
        <f t="shared" si="118"/>
        <v>16.283131465739373</v>
      </c>
      <c r="IL30" s="38">
        <f>+'Irradiancia Horizontal'!G82/COS(RADIANS(IK30))</f>
        <v>993.32947086702484</v>
      </c>
      <c r="IM30" s="38">
        <f>((('Irradiancia Horizontal'!G53+IL30)/'Irradiancia Horizontal'!G53)+1.041*((RADIANS('Cálculos iluminancia'!IK30))^3))/(1+1.041*((RADIANS('Cálculos iluminancia'!IK30))^3))</f>
        <v>9.4713204259180035</v>
      </c>
      <c r="IN30" s="87">
        <f t="shared" si="119"/>
        <v>1.0413648076672275</v>
      </c>
      <c r="IO30" s="87">
        <f t="shared" si="334"/>
        <v>1.0156712946128041</v>
      </c>
      <c r="IP30" s="106">
        <f>'Irradiancia Horizontal'!G53*IO30/$IN$15</f>
        <v>8.5967773220674129E-2</v>
      </c>
      <c r="IQ30" s="87">
        <f>((17.27*Temp!F23)/(237.7+Temp!F23))+LN(HR!F34/100)</f>
        <v>0.91732864758108401</v>
      </c>
      <c r="IR30" s="87">
        <f t="shared" si="244"/>
        <v>13.334152862906368</v>
      </c>
      <c r="IS30" s="87">
        <f t="shared" si="245"/>
        <v>2.3593607186241168</v>
      </c>
      <c r="IT30" s="87">
        <f t="shared" si="335"/>
        <v>8</v>
      </c>
      <c r="IU30" s="87">
        <f t="shared" si="336"/>
        <v>99.65</v>
      </c>
      <c r="IV30" s="87">
        <f t="shared" si="337"/>
        <v>1.86</v>
      </c>
      <c r="IW30" s="87">
        <f t="shared" si="338"/>
        <v>-4.46</v>
      </c>
      <c r="IX30" s="87">
        <f t="shared" si="339"/>
        <v>-3.15</v>
      </c>
      <c r="IY30" s="103">
        <f t="shared" si="126"/>
        <v>107.48672674977732</v>
      </c>
      <c r="IZ30" s="165">
        <f>IF(JF30&gt;(IY30*'Irradiancia Horizontal'!G21),JF30,IY30*'Irradiancia Horizontal'!G21)</f>
        <v>114796.5145559165</v>
      </c>
      <c r="JA30" s="87">
        <f t="shared" si="340"/>
        <v>152.22999999999999</v>
      </c>
      <c r="JB30" s="87">
        <f t="shared" si="341"/>
        <v>0.35</v>
      </c>
      <c r="JC30" s="87">
        <f t="shared" si="342"/>
        <v>-45.27</v>
      </c>
      <c r="JD30" s="87">
        <f t="shared" si="343"/>
        <v>-7.98</v>
      </c>
      <c r="JE30" s="103">
        <f t="shared" si="131"/>
        <v>129.18283844705294</v>
      </c>
      <c r="JF30" s="87">
        <f>+JE30*'Irradiancia Horizontal'!G53</f>
        <v>14794.212589046403</v>
      </c>
      <c r="JG30" s="87">
        <f t="shared" si="246"/>
        <v>100002.30196687009</v>
      </c>
      <c r="JH30" s="87">
        <f>+JG30/'Irradiancia Horizontal'!G82</f>
        <v>104.88084256102745</v>
      </c>
      <c r="JI30" s="38">
        <f t="shared" si="132"/>
        <v>0.13988566374197942</v>
      </c>
      <c r="JJ30" s="87">
        <f t="shared" si="247"/>
        <v>0.13988566374197942</v>
      </c>
      <c r="JK30" s="87">
        <f t="shared" si="248"/>
        <v>0.95988788187328145</v>
      </c>
      <c r="JL30" s="87">
        <f t="shared" si="249"/>
        <v>1.17</v>
      </c>
      <c r="JM30" s="87">
        <f t="shared" si="250"/>
        <v>-0.3</v>
      </c>
      <c r="JN30" s="87">
        <f t="shared" si="251"/>
        <v>-0.61499999999999999</v>
      </c>
      <c r="JO30" s="87">
        <f t="shared" si="252"/>
        <v>0.51800000000000002</v>
      </c>
      <c r="JP30" s="87">
        <f t="shared" si="253"/>
        <v>-1.8919999999999999</v>
      </c>
      <c r="JQ30" s="87">
        <f t="shared" si="254"/>
        <v>-5.5E-2</v>
      </c>
      <c r="JR30" s="87">
        <f t="shared" si="133"/>
        <v>0.96943020021726867</v>
      </c>
      <c r="JS30" s="87">
        <f t="shared" si="134"/>
        <v>0.33971828895281131</v>
      </c>
      <c r="JT30" s="88">
        <f t="shared" si="135"/>
        <v>7342.0639323808782</v>
      </c>
      <c r="JU30" s="87">
        <f t="shared" si="344"/>
        <v>0.67800000000000005</v>
      </c>
      <c r="JV30" s="87">
        <f t="shared" si="345"/>
        <v>-0.32700000000000001</v>
      </c>
      <c r="JW30" s="87">
        <f t="shared" si="346"/>
        <v>-0.25</v>
      </c>
      <c r="JX30" s="87">
        <f t="shared" si="347"/>
        <v>0.156</v>
      </c>
      <c r="JY30" s="87">
        <f t="shared" si="348"/>
        <v>-1.377</v>
      </c>
      <c r="JZ30" s="87">
        <f t="shared" si="349"/>
        <v>0.251</v>
      </c>
      <c r="KA30" s="87">
        <f t="shared" si="142"/>
        <v>0.57883997400377896</v>
      </c>
      <c r="KB30" s="87">
        <f t="shared" si="143"/>
        <v>0.10895513468480454</v>
      </c>
      <c r="KC30" s="106">
        <f>IF(II30&lt;0,0,((0.5*(1-KA30)*(1+COS(RADIANS($IP$15))))+(KA30*(JJ30/JK30))+(KB30*SIN(RADIANS($IP$15))))*'Irradiancia Horizontal'!G53)</f>
        <v>46.254114588028656</v>
      </c>
      <c r="KD30" s="87">
        <f t="shared" si="144"/>
        <v>0.14573125297611192</v>
      </c>
      <c r="KE30" s="87">
        <f>KD30*'Irradiancia Horizontal'!G82</f>
        <v>138.95255234670296</v>
      </c>
      <c r="KF30" s="87">
        <f t="shared" si="255"/>
        <v>185.20666693473163</v>
      </c>
      <c r="KG30" s="88">
        <f t="shared" si="145"/>
        <v>19907.258401050516</v>
      </c>
      <c r="KH30" s="87">
        <f t="shared" si="256"/>
        <v>12565.194468669637</v>
      </c>
      <c r="KI30" s="106">
        <f t="shared" si="257"/>
        <v>104181.23184523314</v>
      </c>
      <c r="KJ30" s="106">
        <f t="shared" si="258"/>
        <v>14573.46076612748</v>
      </c>
      <c r="KK30" s="106">
        <f t="shared" si="259"/>
        <v>21915.524698508358</v>
      </c>
      <c r="KL30" s="86"/>
      <c r="KN30" s="39">
        <v>0.54166666666666596</v>
      </c>
      <c r="KO30" s="38">
        <v>-15</v>
      </c>
      <c r="KP30" s="38">
        <f t="shared" si="146"/>
        <v>75.433504705998018</v>
      </c>
      <c r="KQ30" s="38">
        <f t="shared" ref="KQ30:KQ40" si="371">-(180-DEGREES(ACOS((((SIN(RADIANS(KP30)))*SIN(RADIANS($KQ$15)))-SIN(RADIANS($KP$15)))/((COS(RADIANS(KP30)))*COS(RADIANS($KQ$15))))))</f>
        <v>-109.24906860936896</v>
      </c>
      <c r="KR30" s="38">
        <f t="shared" si="148"/>
        <v>14.566495294001982</v>
      </c>
      <c r="KS30" s="38">
        <f>+'Irradiancia Horizontal'!H82/COS(RADIANS(KR30))</f>
        <v>1006.9165158392815</v>
      </c>
      <c r="KT30" s="38">
        <f>((('Irradiancia Horizontal'!H53+KS30)/'Irradiancia Horizontal'!H53)+1.041*((RADIANS('Cálculos iluminancia'!KR30))^3))/(1+1.041*((RADIANS('Cálculos iluminancia'!KR30))^3))</f>
        <v>10.001685128328093</v>
      </c>
      <c r="KU30" s="87">
        <f t="shared" si="149"/>
        <v>1.0328087866797466</v>
      </c>
      <c r="KV30" s="87">
        <f t="shared" si="350"/>
        <v>1.0073263756669106</v>
      </c>
      <c r="KW30" s="106">
        <f>'Irradiancia Horizontal'!H53*KV30/$KU$15</f>
        <v>8.2560419437483781E-2</v>
      </c>
      <c r="KX30" s="87">
        <f>((17.27*Temp!G23)/(237.7+Temp!G23))+LN(HR!G34/100)</f>
        <v>1.2032016605132159</v>
      </c>
      <c r="KY30" s="87">
        <f t="shared" si="260"/>
        <v>17.800748391862061</v>
      </c>
      <c r="KZ30" s="87">
        <f t="shared" si="261"/>
        <v>3.2253852079175291</v>
      </c>
      <c r="LA30" s="87">
        <f t="shared" si="351"/>
        <v>8</v>
      </c>
      <c r="LB30" s="87">
        <f t="shared" si="352"/>
        <v>99.65</v>
      </c>
      <c r="LC30" s="87">
        <f t="shared" si="353"/>
        <v>1.86</v>
      </c>
      <c r="LD30" s="87">
        <f t="shared" si="354"/>
        <v>-4.46</v>
      </c>
      <c r="LE30" s="87">
        <f t="shared" si="355"/>
        <v>-3.15</v>
      </c>
      <c r="LF30" s="103">
        <f t="shared" si="156"/>
        <v>109.18938533676791</v>
      </c>
      <c r="LG30" s="165">
        <f>IF(LM30&gt;(LF30*'Irradiancia Horizontal'!H21),LM30,LF30*'Irradiancia Horizontal'!H21)</f>
        <v>118418.94552950861</v>
      </c>
      <c r="LH30" s="87">
        <f t="shared" si="356"/>
        <v>152.22999999999999</v>
      </c>
      <c r="LI30" s="87">
        <f t="shared" si="357"/>
        <v>0.35</v>
      </c>
      <c r="LJ30" s="87">
        <f t="shared" si="358"/>
        <v>-45.27</v>
      </c>
      <c r="LK30" s="87">
        <f t="shared" si="359"/>
        <v>-7.98</v>
      </c>
      <c r="LL30" s="103">
        <f t="shared" si="161"/>
        <v>129.44793995622797</v>
      </c>
      <c r="LM30" s="87">
        <f>+LL30*'Irradiancia Horizontal'!H53</f>
        <v>14236.34752156948</v>
      </c>
      <c r="LN30" s="87">
        <f t="shared" si="262"/>
        <v>104182.59800793913</v>
      </c>
      <c r="LO30" s="87">
        <f>+LN30/'Irradiancia Horizontal'!H82</f>
        <v>106.90322071134938</v>
      </c>
      <c r="LP30" s="38">
        <f t="shared" si="162"/>
        <v>8.2914468421534326E-2</v>
      </c>
      <c r="LQ30" s="87">
        <f t="shared" si="263"/>
        <v>8.2914468421534326E-2</v>
      </c>
      <c r="LR30" s="87">
        <f t="shared" si="264"/>
        <v>0.96785640697002673</v>
      </c>
      <c r="LS30" s="87">
        <f t="shared" si="265"/>
        <v>1.17</v>
      </c>
      <c r="LT30" s="87">
        <f t="shared" si="266"/>
        <v>-0.3</v>
      </c>
      <c r="LU30" s="87">
        <f t="shared" si="267"/>
        <v>-0.61499999999999999</v>
      </c>
      <c r="LV30" s="87">
        <f t="shared" si="268"/>
        <v>0.51800000000000002</v>
      </c>
      <c r="LW30" s="87">
        <f t="shared" si="269"/>
        <v>-1.8919999999999999</v>
      </c>
      <c r="LX30" s="87">
        <f t="shared" si="270"/>
        <v>-5.5E-2</v>
      </c>
      <c r="LY30" s="87">
        <f t="shared" si="163"/>
        <v>0.98887839260444954</v>
      </c>
      <c r="LZ30" s="87">
        <f t="shared" si="164"/>
        <v>0.34781285473966805</v>
      </c>
      <c r="MA30" s="88">
        <f t="shared" si="165"/>
        <v>6236.7878400429427</v>
      </c>
      <c r="MB30" s="87">
        <f t="shared" si="360"/>
        <v>0.67800000000000005</v>
      </c>
      <c r="MC30" s="87">
        <f t="shared" si="361"/>
        <v>-0.32700000000000001</v>
      </c>
      <c r="MD30" s="87">
        <f t="shared" si="362"/>
        <v>-0.25</v>
      </c>
      <c r="ME30" s="87">
        <f t="shared" si="363"/>
        <v>0.156</v>
      </c>
      <c r="MF30" s="87">
        <f t="shared" si="364"/>
        <v>-1.377</v>
      </c>
      <c r="MG30" s="87">
        <f t="shared" si="365"/>
        <v>0.251</v>
      </c>
      <c r="MH30" s="87">
        <f t="shared" si="172"/>
        <v>0.58744441700479433</v>
      </c>
      <c r="MI30" s="87">
        <f t="shared" si="173"/>
        <v>0.10612686157708993</v>
      </c>
      <c r="MJ30" s="106">
        <f>IF(KP30&lt;0,0,((0.5*(1-MH30)*(1+COS(RADIANS($KW$15))))+(MH30*(LQ30/LR30))+(MI30*SIN(RADIANS($KW$15))))*'Irradiancia Horizontal'!H53)</f>
        <v>39.892093606268794</v>
      </c>
      <c r="MK30" s="87">
        <f t="shared" si="174"/>
        <v>8.5668150589720771E-2</v>
      </c>
      <c r="ML30" s="87">
        <f>MK30*'Irradiancia Horizontal'!H82</f>
        <v>83.487947655677473</v>
      </c>
      <c r="MM30" s="87">
        <f t="shared" si="271"/>
        <v>123.38004126194627</v>
      </c>
      <c r="MN30" s="88">
        <f t="shared" si="175"/>
        <v>13471.790868216976</v>
      </c>
      <c r="MO30" s="87">
        <f t="shared" si="272"/>
        <v>7235.0030281740337</v>
      </c>
      <c r="MP30" s="106">
        <f t="shared" si="273"/>
        <v>107642.61853066963</v>
      </c>
      <c r="MQ30" s="106">
        <f t="shared" si="274"/>
        <v>8925.1304949724727</v>
      </c>
      <c r="MR30" s="106">
        <f t="shared" si="275"/>
        <v>15161.918335015416</v>
      </c>
    </row>
    <row r="31" spans="5:356" x14ac:dyDescent="0.25">
      <c r="E31" s="39">
        <v>0.58333333333333304</v>
      </c>
      <c r="F31" s="38">
        <v>-30</v>
      </c>
      <c r="G31" s="38">
        <f t="shared" si="0"/>
        <v>32.905461024397972</v>
      </c>
      <c r="H31" s="38">
        <f t="shared" si="366"/>
        <v>-146.00391008327136</v>
      </c>
      <c r="I31" s="38">
        <f t="shared" si="2"/>
        <v>57.094538975602028</v>
      </c>
      <c r="J31" s="38">
        <f>'Irradiancia Horizontal'!C83/COS(RADIANS(I31))</f>
        <v>735.36850124982163</v>
      </c>
      <c r="K31" s="38">
        <f>((('Irradiancia Horizontal'!C54+J31)/'Irradiancia Horizontal'!C54)+1.041*((RADIANS('Cálculos iluminancia'!I31))^3))/(1+1.041*((RADIANS('Cálculos iluminancia'!I31))^3))</f>
        <v>4.1328281696750411</v>
      </c>
      <c r="L31" s="36">
        <f t="shared" si="3"/>
        <v>1.8364966390463544</v>
      </c>
      <c r="M31" s="36">
        <f t="shared" si="4"/>
        <v>1.7911849000454523</v>
      </c>
      <c r="N31" s="106">
        <f>'Irradiancia Horizontal'!C54*M31/$L$15</f>
        <v>0.14450081065154885</v>
      </c>
      <c r="O31" s="71">
        <f>((17.27*Temp!B24)/(237.7+Temp!B24))+LN(HR!B35/100)</f>
        <v>0.47434869098228138</v>
      </c>
      <c r="P31" s="71">
        <f t="shared" si="176"/>
        <v>6.7132069945957067</v>
      </c>
      <c r="Q31" s="71">
        <f t="shared" si="177"/>
        <v>1.4842721087408515</v>
      </c>
      <c r="R31" s="71">
        <f t="shared" si="277"/>
        <v>6</v>
      </c>
      <c r="S31" s="71">
        <f t="shared" si="6"/>
        <v>88.34</v>
      </c>
      <c r="T31" s="71">
        <f t="shared" si="7"/>
        <v>1.39</v>
      </c>
      <c r="U31" s="71">
        <f t="shared" si="8"/>
        <v>6.06</v>
      </c>
      <c r="V31" s="71">
        <f t="shared" si="9"/>
        <v>-7.6</v>
      </c>
      <c r="W31" s="103">
        <f t="shared" si="10"/>
        <v>108.39723357053801</v>
      </c>
      <c r="X31" s="165">
        <f>IF(AD31&gt;(W31*'Irradiancia Horizontal'!C22),AD31,W31*'Irradiancia Horizontal'!C22)</f>
        <v>55837.449562253707</v>
      </c>
      <c r="Y31" s="71">
        <f t="shared" si="278"/>
        <v>106.42</v>
      </c>
      <c r="Z31" s="71">
        <f t="shared" si="279"/>
        <v>3.83</v>
      </c>
      <c r="AA31" s="71">
        <f t="shared" si="280"/>
        <v>-36.15</v>
      </c>
      <c r="AB31" s="71">
        <f t="shared" si="281"/>
        <v>-28.83</v>
      </c>
      <c r="AC31" s="103">
        <f t="shared" si="15"/>
        <v>148.23688769270569</v>
      </c>
      <c r="AD31" s="71">
        <f>+AC31*'Irradiancia Horizontal'!C54</f>
        <v>17140.118574159165</v>
      </c>
      <c r="AE31" s="71">
        <f t="shared" si="16"/>
        <v>38697.330988094545</v>
      </c>
      <c r="AF31" s="71">
        <f>+AE31/'Irradiancia Horizontal'!C83</f>
        <v>96.866292355722919</v>
      </c>
      <c r="AG31" s="38">
        <f t="shared" si="282"/>
        <v>0.69606552820179912</v>
      </c>
      <c r="AH31" s="84">
        <f t="shared" si="178"/>
        <v>0.69606552820179912</v>
      </c>
      <c r="AI31" s="84">
        <f t="shared" si="179"/>
        <v>0.54325447405077942</v>
      </c>
      <c r="AJ31" s="84">
        <f t="shared" si="180"/>
        <v>1.4259999999999999</v>
      </c>
      <c r="AK31" s="84">
        <f t="shared" si="181"/>
        <v>-0.65300000000000002</v>
      </c>
      <c r="AL31" s="84">
        <f t="shared" si="182"/>
        <v>-0.77900000000000003</v>
      </c>
      <c r="AM31" s="84">
        <f t="shared" si="183"/>
        <v>0.42499999999999999</v>
      </c>
      <c r="AN31" s="84">
        <f t="shared" si="184"/>
        <v>-0.78500000000000003</v>
      </c>
      <c r="AO31" s="84">
        <f t="shared" si="185"/>
        <v>-9.7000000000000003E-2</v>
      </c>
      <c r="AP31" s="84">
        <f t="shared" si="18"/>
        <v>0.55537706010923193</v>
      </c>
      <c r="AQ31" s="84">
        <f t="shared" si="19"/>
        <v>0.214907557705383</v>
      </c>
      <c r="AR31" s="88">
        <f t="shared" si="20"/>
        <v>19690.861003765636</v>
      </c>
      <c r="AS31" s="84">
        <f t="shared" si="283"/>
        <v>1.1319999999999999</v>
      </c>
      <c r="AT31" s="84">
        <f t="shared" si="284"/>
        <v>-1.2370000000000001</v>
      </c>
      <c r="AU31" s="84">
        <f t="shared" si="285"/>
        <v>-0.41199999999999998</v>
      </c>
      <c r="AV31" s="84">
        <f t="shared" si="286"/>
        <v>0.28799999999999998</v>
      </c>
      <c r="AW31" s="84">
        <f t="shared" si="287"/>
        <v>-0.82299999999999995</v>
      </c>
      <c r="AX31" s="84">
        <f t="shared" si="288"/>
        <v>5.6000000000000001E-2</v>
      </c>
      <c r="AY31" s="84">
        <f t="shared" si="27"/>
        <v>0.54269956893064975</v>
      </c>
      <c r="AZ31" s="84">
        <f t="shared" si="28"/>
        <v>0.22487914347559448</v>
      </c>
      <c r="BA31" s="106">
        <f>IF(G31&lt;0,0,((0.5*(1-AY31)*(1+COS(RADIANS($N$15))))+(AY31*(AH31/AI31))+(AZ31*SIN(RADIANS($N$15))))*'Irradiancia Horizontal'!C54)</f>
        <v>132.84147066912112</v>
      </c>
      <c r="BB31" s="106">
        <f t="shared" si="186"/>
        <v>1.2812881650317269</v>
      </c>
      <c r="BC31" s="84">
        <f>BB31*'Irradiancia Horizontal'!C83</f>
        <v>511.86466424542243</v>
      </c>
      <c r="BD31" s="84">
        <f t="shared" si="187"/>
        <v>644.70613491454355</v>
      </c>
      <c r="BE31" s="88">
        <f t="shared" si="29"/>
        <v>69884.361490690571</v>
      </c>
      <c r="BF31" s="84">
        <f t="shared" si="188"/>
        <v>50193.500486924939</v>
      </c>
      <c r="BG31" s="106">
        <f t="shared" si="189"/>
        <v>71232.420231255019</v>
      </c>
      <c r="BH31" s="106">
        <f t="shared" si="190"/>
        <v>49582.432213361048</v>
      </c>
      <c r="BI31" s="106">
        <f t="shared" si="191"/>
        <v>69273.293217126688</v>
      </c>
      <c r="BJ31" s="72"/>
      <c r="BL31" s="39">
        <v>0.58333333333333304</v>
      </c>
      <c r="BM31" s="38">
        <v>-30</v>
      </c>
      <c r="BN31" s="38">
        <f t="shared" si="30"/>
        <v>40.372283263057838</v>
      </c>
      <c r="BO31" s="38">
        <f t="shared" si="367"/>
        <v>-139.92887778576829</v>
      </c>
      <c r="BP31" s="38">
        <f t="shared" si="32"/>
        <v>49.627716736942162</v>
      </c>
      <c r="BQ31" s="38">
        <f>+'Irradiancia Horizontal'!D83/COS(RADIANS(BP31))</f>
        <v>673.31499189061185</v>
      </c>
      <c r="BR31" s="38">
        <f>((('Irradiancia Horizontal'!D54+BQ31)/'Irradiancia Horizontal'!D54)+1.041*((RADIANS('Cálculos iluminancia'!BP31))^3))/(1+1.041*((RADIANS('Cálculos iluminancia'!BP31))^3))</f>
        <v>3.6922523509412399</v>
      </c>
      <c r="BS31" s="84">
        <f t="shared" si="33"/>
        <v>1.541550059463326</v>
      </c>
      <c r="BT31" s="84">
        <f t="shared" si="192"/>
        <v>1.50351551452264</v>
      </c>
      <c r="BU31" s="106">
        <f>'Irradiancia Horizontal'!D54*BT31/$BS$15</f>
        <v>0.15808964880271997</v>
      </c>
      <c r="BV31" s="84">
        <f>((17.27*Temp!C24)/(237.7+Temp!C24))+LN(HR!C35/100)</f>
        <v>0.53657932941743613</v>
      </c>
      <c r="BW31" s="84">
        <f t="shared" si="193"/>
        <v>7.6221657910476805</v>
      </c>
      <c r="BX31" s="84">
        <f t="shared" si="194"/>
        <v>1.5817812815168906</v>
      </c>
      <c r="BY31" s="84">
        <f t="shared" si="289"/>
        <v>6</v>
      </c>
      <c r="BZ31" s="84">
        <f t="shared" si="290"/>
        <v>88.34</v>
      </c>
      <c r="CA31" s="84">
        <f t="shared" si="291"/>
        <v>1.39</v>
      </c>
      <c r="CB31" s="84">
        <f t="shared" si="292"/>
        <v>6.06</v>
      </c>
      <c r="CC31" s="84">
        <f t="shared" si="293"/>
        <v>-7.6</v>
      </c>
      <c r="CD31" s="103">
        <f t="shared" si="39"/>
        <v>108.48295653273917</v>
      </c>
      <c r="CE31" s="165">
        <f>IF(CK31&gt;(CD31*'Irradiancia Horizontal'!D22),CK31,CD31*'Irradiancia Horizontal'!D22)</f>
        <v>63497.073450940166</v>
      </c>
      <c r="CF31" s="84">
        <f t="shared" si="294"/>
        <v>106.42</v>
      </c>
      <c r="CG31" s="84">
        <f t="shared" si="295"/>
        <v>3.83</v>
      </c>
      <c r="CH31" s="84">
        <f t="shared" si="296"/>
        <v>-36.15</v>
      </c>
      <c r="CI31" s="84">
        <f t="shared" si="297"/>
        <v>-28.83</v>
      </c>
      <c r="CJ31" s="103">
        <f t="shared" si="44"/>
        <v>142.24162448847892</v>
      </c>
      <c r="CK31" s="84">
        <f>+CJ31*'Irradiancia Horizontal'!D54</f>
        <v>21219.275022105638</v>
      </c>
      <c r="CL31" s="84">
        <f t="shared" si="195"/>
        <v>42277.798428834532</v>
      </c>
      <c r="CM31" s="84">
        <f>+CL31/'Irradiancia Horizontal'!D83</f>
        <v>96.93613446331571</v>
      </c>
      <c r="CN31" s="38">
        <f t="shared" si="45"/>
        <v>0.58300396267064558</v>
      </c>
      <c r="CO31" s="84">
        <f t="shared" si="196"/>
        <v>0.58300396267064558</v>
      </c>
      <c r="CP31" s="84">
        <f t="shared" si="197"/>
        <v>0.6477514323684217</v>
      </c>
      <c r="CQ31" s="84">
        <f t="shared" si="198"/>
        <v>1.4259999999999999</v>
      </c>
      <c r="CR31" s="84">
        <f t="shared" si="199"/>
        <v>-0.65300000000000002</v>
      </c>
      <c r="CS31" s="84">
        <f t="shared" si="200"/>
        <v>-0.77900000000000003</v>
      </c>
      <c r="CT31" s="84">
        <f t="shared" si="201"/>
        <v>0.42499999999999999</v>
      </c>
      <c r="CU31" s="84">
        <f t="shared" si="202"/>
        <v>-0.78500000000000003</v>
      </c>
      <c r="CV31" s="84">
        <f t="shared" si="203"/>
        <v>-9.7000000000000003E-2</v>
      </c>
      <c r="CW31" s="84">
        <f t="shared" si="46"/>
        <v>0.64802332168987531</v>
      </c>
      <c r="CX31" s="84">
        <f t="shared" si="47"/>
        <v>0.21688142113111131</v>
      </c>
      <c r="CY31" s="88">
        <f t="shared" si="48"/>
        <v>20712.525525604102</v>
      </c>
      <c r="CZ31" s="84">
        <f t="shared" si="298"/>
        <v>1.1319999999999999</v>
      </c>
      <c r="DA31" s="84">
        <f t="shared" si="299"/>
        <v>-1.2370000000000001</v>
      </c>
      <c r="DB31" s="84">
        <f t="shared" si="300"/>
        <v>-0.41199999999999998</v>
      </c>
      <c r="DC31" s="84">
        <f t="shared" si="301"/>
        <v>0.28799999999999998</v>
      </c>
      <c r="DD31" s="84">
        <f t="shared" si="302"/>
        <v>-0.82299999999999995</v>
      </c>
      <c r="DE31" s="84">
        <f t="shared" si="303"/>
        <v>5.6000000000000001E-2</v>
      </c>
      <c r="DF31" s="84">
        <f t="shared" si="55"/>
        <v>0.57958227682065955</v>
      </c>
      <c r="DG31" s="84">
        <f t="shared" si="56"/>
        <v>0.20639757424453872</v>
      </c>
      <c r="DH31" s="106">
        <f>IF(BN31&lt;0,0,((0.5*(1-DF31)*(1+COS(RADIANS($BU$15))))+(DF31*(CO31/CP31))+(DG31*SIN(RADIANS($BU$15))))*'Irradiancia Horizontal'!D54)</f>
        <v>139.96673744934287</v>
      </c>
      <c r="DI31" s="106">
        <f t="shared" si="204"/>
        <v>0.90004272246680317</v>
      </c>
      <c r="DJ31" s="84">
        <f>DI31*'Irradiancia Horizontal'!D83</f>
        <v>392.54530839778027</v>
      </c>
      <c r="DK31" s="84">
        <f t="shared" si="205"/>
        <v>532.51204584712309</v>
      </c>
      <c r="DL31" s="88">
        <f t="shared" si="57"/>
        <v>57768.481122793462</v>
      </c>
      <c r="DM31" s="84">
        <f t="shared" si="206"/>
        <v>37055.955597189357</v>
      </c>
      <c r="DN31" s="106">
        <f t="shared" si="207"/>
        <v>65268.55259007468</v>
      </c>
      <c r="DO31" s="106">
        <f t="shared" si="208"/>
        <v>38051.824797790963</v>
      </c>
      <c r="DP31" s="106">
        <f t="shared" si="209"/>
        <v>58764.350323395061</v>
      </c>
      <c r="DQ31" s="44"/>
      <c r="DS31" s="39">
        <v>0.58333333333333304</v>
      </c>
      <c r="DT31" s="38">
        <v>-30</v>
      </c>
      <c r="DU31" s="38">
        <f t="shared" si="58"/>
        <v>48.886897226423812</v>
      </c>
      <c r="DV31" s="38">
        <f t="shared" si="368"/>
        <v>-130.50207880604776</v>
      </c>
      <c r="DW31" s="38">
        <f t="shared" si="60"/>
        <v>41.113102773576188</v>
      </c>
      <c r="DX31" s="38">
        <f>+'Irradiancia Horizontal'!E83/COS(RADIANS(DW31))</f>
        <v>637.062144874404</v>
      </c>
      <c r="DY31" s="38">
        <f>((('Irradiancia Horizontal'!E54+DX31)/'Irradiancia Horizontal'!E54)+1.041*((RADIANS('Cálculos iluminancia'!DW31))^3))/(1+1.041*((RADIANS('Cálculos iluminancia'!DW31))^3))</f>
        <v>3.5256281213468137</v>
      </c>
      <c r="DZ31" s="84">
        <f t="shared" si="61"/>
        <v>1.3260286647777704</v>
      </c>
      <c r="EA31" s="84">
        <f t="shared" si="210"/>
        <v>1.2933116624764074</v>
      </c>
      <c r="EB31" s="106">
        <f>'Irradiancia Horizontal'!E54*EA31/$DZ$15</f>
        <v>0.16853624950631863</v>
      </c>
      <c r="EC31" s="84">
        <f>((17.27*Temp!D24)/(237.7+Temp!D24))+LN(HR!D35/100)</f>
        <v>0.59656919149974286</v>
      </c>
      <c r="ED31" s="84">
        <f t="shared" si="211"/>
        <v>8.5048181413986939</v>
      </c>
      <c r="EE31" s="84">
        <f t="shared" si="212"/>
        <v>1.682595042669486</v>
      </c>
      <c r="EF31" s="84">
        <f t="shared" si="304"/>
        <v>6</v>
      </c>
      <c r="EG31" s="84">
        <f t="shared" si="305"/>
        <v>88.34</v>
      </c>
      <c r="EH31" s="84">
        <f t="shared" si="306"/>
        <v>1.39</v>
      </c>
      <c r="EI31" s="84">
        <f t="shared" si="307"/>
        <v>6.06</v>
      </c>
      <c r="EJ31" s="84">
        <f t="shared" si="308"/>
        <v>-7.6</v>
      </c>
      <c r="EK31" s="103">
        <f t="shared" si="67"/>
        <v>108.77708373517584</v>
      </c>
      <c r="EL31" s="165">
        <f>IF(ER31&gt;(EK31*'Irradiancia Horizontal'!E22),ER31,EK31*'Irradiancia Horizontal'!E22)</f>
        <v>72026.089110090848</v>
      </c>
      <c r="EM31" s="84">
        <f t="shared" si="309"/>
        <v>106.42</v>
      </c>
      <c r="EN31" s="84">
        <f t="shared" si="310"/>
        <v>3.83</v>
      </c>
      <c r="EO31" s="84">
        <f t="shared" si="311"/>
        <v>-36.15</v>
      </c>
      <c r="EP31" s="84">
        <f t="shared" si="312"/>
        <v>-28.83</v>
      </c>
      <c r="EQ31" s="103">
        <f t="shared" si="72"/>
        <v>136.96328310561873</v>
      </c>
      <c r="ER31" s="84">
        <f>+EQ31*'Irradiancia Horizontal'!E54</f>
        <v>24951.016845754919</v>
      </c>
      <c r="ES31" s="84">
        <f t="shared" si="213"/>
        <v>47075.072264335933</v>
      </c>
      <c r="ET31" s="84">
        <f>+ES31/'Irradiancia Horizontal'!E83</f>
        <v>98.079007726925695</v>
      </c>
      <c r="EU31" s="38">
        <f t="shared" si="73"/>
        <v>0.42706111932822077</v>
      </c>
      <c r="EV31" s="84">
        <f t="shared" si="214"/>
        <v>0.42706111932822077</v>
      </c>
      <c r="EW31" s="84">
        <f t="shared" si="215"/>
        <v>0.75341303972772111</v>
      </c>
      <c r="EX31" s="84">
        <f t="shared" si="216"/>
        <v>1.4259999999999999</v>
      </c>
      <c r="EY31" s="84">
        <f t="shared" si="217"/>
        <v>-0.65300000000000002</v>
      </c>
      <c r="EZ31" s="84">
        <f t="shared" si="218"/>
        <v>-0.77900000000000003</v>
      </c>
      <c r="FA31" s="84">
        <f t="shared" si="219"/>
        <v>0.42499999999999999</v>
      </c>
      <c r="FB31" s="84">
        <f t="shared" si="220"/>
        <v>-0.78500000000000003</v>
      </c>
      <c r="FC31" s="84">
        <f t="shared" si="221"/>
        <v>-9.7000000000000003E-2</v>
      </c>
      <c r="FD31" s="84">
        <f t="shared" si="74"/>
        <v>0.756967360975904</v>
      </c>
      <c r="FE31" s="84">
        <f t="shared" si="75"/>
        <v>0.22309582025389729</v>
      </c>
      <c r="FF31" s="88">
        <f t="shared" si="76"/>
        <v>19304.301670290992</v>
      </c>
      <c r="FG31" s="84">
        <f t="shared" si="313"/>
        <v>1.1319999999999999</v>
      </c>
      <c r="FH31" s="84">
        <f t="shared" si="314"/>
        <v>-1.2370000000000001</v>
      </c>
      <c r="FI31" s="84">
        <f t="shared" si="315"/>
        <v>-0.41199999999999998</v>
      </c>
      <c r="FJ31" s="84">
        <f t="shared" si="316"/>
        <v>0.28799999999999998</v>
      </c>
      <c r="FK31" s="84">
        <f t="shared" si="317"/>
        <v>-0.82299999999999995</v>
      </c>
      <c r="FL31" s="84">
        <f t="shared" si="318"/>
        <v>5.6000000000000001E-2</v>
      </c>
      <c r="FM31" s="84">
        <f t="shared" si="83"/>
        <v>0.6278863476074803</v>
      </c>
      <c r="FN31" s="84">
        <f t="shared" si="84"/>
        <v>0.18947797116644394</v>
      </c>
      <c r="FO31" s="106">
        <f>IF(DU31&lt;0,0,((0.5*(1-FM31)*(1+COS(RADIANS($EB$15))))+(FM31*(EV31/EW31))+(FN31*SIN(RADIANS($EB$15))))*'Irradiancia Horizontal'!E54)</f>
        <v>133.24918227637343</v>
      </c>
      <c r="FP31" s="106">
        <f t="shared" si="222"/>
        <v>0.56683531716222757</v>
      </c>
      <c r="FQ31" s="84">
        <f>FP31*'Irradiancia Horizontal'!E83</f>
        <v>272.06447267170012</v>
      </c>
      <c r="FR31" s="84">
        <f t="shared" si="223"/>
        <v>405.31365494807358</v>
      </c>
      <c r="FS31" s="88">
        <f t="shared" si="85"/>
        <v>44088.837383296763</v>
      </c>
      <c r="FT31" s="84">
        <f t="shared" si="224"/>
        <v>24784.535713005771</v>
      </c>
      <c r="FU31" s="106">
        <f t="shared" si="225"/>
        <v>62482.423029668527</v>
      </c>
      <c r="FV31" s="106">
        <f t="shared" si="226"/>
        <v>26683.813517389641</v>
      </c>
      <c r="FW31" s="106">
        <f t="shared" si="227"/>
        <v>45988.115187680633</v>
      </c>
      <c r="FX31" s="83"/>
      <c r="FZ31" s="39">
        <v>0.58333333333333304</v>
      </c>
      <c r="GA31" s="38">
        <v>-30</v>
      </c>
      <c r="GB31" s="38">
        <f t="shared" si="86"/>
        <v>57.035590824811003</v>
      </c>
      <c r="GC31" s="38">
        <f t="shared" si="369"/>
        <v>-115.81336219038403</v>
      </c>
      <c r="GD31" s="38">
        <f t="shared" si="88"/>
        <v>32.964409175188997</v>
      </c>
      <c r="GE31" s="38">
        <f>+'Irradiancia Horizontal'!F83/COS(RADIANS(GD31))</f>
        <v>717.6304975526499</v>
      </c>
      <c r="GF31" s="38">
        <f>((('Irradiancia Horizontal'!F54+GE31)/'Irradiancia Horizontal'!F54)+1.041*((RADIANS('Cálculos iluminancia'!GD31))^3))/(1+1.041*((RADIANS('Cálculos iluminancia'!GD31))^3))</f>
        <v>4.3618379269425436</v>
      </c>
      <c r="GG31" s="84">
        <f t="shared" si="89"/>
        <v>1.1910692581278746</v>
      </c>
      <c r="GH31" s="84">
        <f t="shared" si="276"/>
        <v>1.1616820987893672</v>
      </c>
      <c r="GI31" s="106">
        <f>'Irradiancia Horizontal'!F54*GH31/$GG$15</f>
        <v>0.1507362832504979</v>
      </c>
      <c r="GJ31" s="84">
        <f>((17.27*Temp!E24)/(237.7+Temp!E24))+LN(HR!E35/100)</f>
        <v>0.73556009974997116</v>
      </c>
      <c r="GK31" s="84">
        <f t="shared" si="228"/>
        <v>10.574451675736789</v>
      </c>
      <c r="GL31" s="84">
        <f t="shared" si="229"/>
        <v>1.9449020527159393</v>
      </c>
      <c r="GM31" s="84">
        <f t="shared" si="319"/>
        <v>6</v>
      </c>
      <c r="GN31" s="84">
        <f t="shared" si="320"/>
        <v>88.34</v>
      </c>
      <c r="GO31" s="84">
        <f t="shared" si="321"/>
        <v>1.39</v>
      </c>
      <c r="GP31" s="84">
        <f t="shared" si="322"/>
        <v>6.06</v>
      </c>
      <c r="GQ31" s="84">
        <f t="shared" si="323"/>
        <v>-7.6</v>
      </c>
      <c r="GR31" s="103">
        <f t="shared" si="96"/>
        <v>110.5087048425562</v>
      </c>
      <c r="GS31" s="165">
        <f>IF(GY31&gt;(GR31*'Irradiancia Horizontal'!F22),GY31,GR31*'Irradiancia Horizontal'!F22)</f>
        <v>86223.76709216056</v>
      </c>
      <c r="GT31" s="84">
        <f t="shared" si="324"/>
        <v>106.42</v>
      </c>
      <c r="GU31" s="84">
        <f t="shared" si="325"/>
        <v>3.83</v>
      </c>
      <c r="GV31" s="84">
        <f t="shared" si="326"/>
        <v>-36.15</v>
      </c>
      <c r="GW31" s="84">
        <f t="shared" si="327"/>
        <v>-28.83</v>
      </c>
      <c r="GX31" s="103">
        <f t="shared" si="101"/>
        <v>138.09161121580553</v>
      </c>
      <c r="GY31" s="84">
        <f>+GX31*'Irradiancia Horizontal'!F54</f>
        <v>24600.450460021086</v>
      </c>
      <c r="GZ31" s="84">
        <f t="shared" si="230"/>
        <v>61623.316632139475</v>
      </c>
      <c r="HA31" s="84">
        <f>+GZ31/'Irradiancia Horizontal'!F83</f>
        <v>102.34761000403178</v>
      </c>
      <c r="HB31" s="38">
        <f t="shared" si="102"/>
        <v>0.23693130143386193</v>
      </c>
      <c r="HC31" s="84">
        <f t="shared" si="231"/>
        <v>0.23693130143386193</v>
      </c>
      <c r="HD31" s="84">
        <f t="shared" si="232"/>
        <v>0.83900872340204913</v>
      </c>
      <c r="HE31" s="84">
        <f t="shared" si="233"/>
        <v>1.4259999999999999</v>
      </c>
      <c r="HF31" s="84">
        <f t="shared" si="234"/>
        <v>-0.65300000000000002</v>
      </c>
      <c r="HG31" s="84">
        <f t="shared" si="235"/>
        <v>-0.77900000000000003</v>
      </c>
      <c r="HH31" s="84">
        <f t="shared" si="236"/>
        <v>0.42499999999999999</v>
      </c>
      <c r="HI31" s="84">
        <f t="shared" si="237"/>
        <v>-0.78500000000000003</v>
      </c>
      <c r="HJ31" s="84">
        <f t="shared" si="238"/>
        <v>-9.7000000000000003E-2</v>
      </c>
      <c r="HK31" s="84">
        <f t="shared" si="103"/>
        <v>0.87938131316979895</v>
      </c>
      <c r="HL31" s="84">
        <f t="shared" si="104"/>
        <v>0.25086428246843656</v>
      </c>
      <c r="HM31" s="88">
        <f t="shared" si="105"/>
        <v>13764.097606054795</v>
      </c>
      <c r="HN31" s="84">
        <f t="shared" si="328"/>
        <v>1.1319999999999999</v>
      </c>
      <c r="HO31" s="84">
        <f t="shared" si="329"/>
        <v>-1.2370000000000001</v>
      </c>
      <c r="HP31" s="84">
        <f t="shared" si="330"/>
        <v>-0.41199999999999998</v>
      </c>
      <c r="HQ31" s="84">
        <f t="shared" si="331"/>
        <v>0.28799999999999998</v>
      </c>
      <c r="HR31" s="84">
        <f t="shared" si="332"/>
        <v>-0.82299999999999995</v>
      </c>
      <c r="HS31" s="84">
        <f t="shared" si="333"/>
        <v>5.6000000000000001E-2</v>
      </c>
      <c r="HT31" s="84">
        <f t="shared" si="112"/>
        <v>0.70850017747348337</v>
      </c>
      <c r="HU31" s="84">
        <f t="shared" si="113"/>
        <v>0.19616293754541408</v>
      </c>
      <c r="HV31" s="106">
        <f>IF(GB31&lt;0,0,((0.5*(1-HT31)*(1+COS(RADIANS($GI$15))))+(HT31*(HC31/HD31))+(HU31*SIN(RADIANS($GI$15))))*'Irradiancia Horizontal'!F54)</f>
        <v>96.553152334304457</v>
      </c>
      <c r="HW31" s="84">
        <f t="shared" si="114"/>
        <v>0.28239432418907706</v>
      </c>
      <c r="HX31" s="84">
        <f>HW31*'Irradiancia Horizontal'!F83</f>
        <v>170.02912773377923</v>
      </c>
      <c r="HY31" s="84">
        <f t="shared" si="239"/>
        <v>266.58228006808372</v>
      </c>
      <c r="HZ31" s="88">
        <f t="shared" si="115"/>
        <v>29459.662504299515</v>
      </c>
      <c r="IA31" s="84">
        <f t="shared" si="240"/>
        <v>15695.56489824472</v>
      </c>
      <c r="IB31" s="106">
        <f t="shared" si="241"/>
        <v>73447.766290517888</v>
      </c>
      <c r="IC31" s="106">
        <f t="shared" si="242"/>
        <v>17402.074854622537</v>
      </c>
      <c r="ID31" s="106">
        <f t="shared" si="243"/>
        <v>31166.172460677331</v>
      </c>
      <c r="IE31" s="83"/>
      <c r="IG31" s="39">
        <v>0.58333333333333304</v>
      </c>
      <c r="IH31" s="38">
        <v>-30</v>
      </c>
      <c r="II31" s="38">
        <f t="shared" si="116"/>
        <v>61.392241505320605</v>
      </c>
      <c r="IJ31" s="38">
        <f t="shared" si="370"/>
        <v>-101.35836541579947</v>
      </c>
      <c r="IK31" s="38">
        <f t="shared" si="118"/>
        <v>28.607758494679395</v>
      </c>
      <c r="IL31" s="38">
        <f>+'Irradiancia Horizontal'!G83/COS(RADIANS(IK31))</f>
        <v>957.81887490093015</v>
      </c>
      <c r="IM31" s="38">
        <f>((('Irradiancia Horizontal'!G54+IL31)/'Irradiancia Horizontal'!G54)+1.041*((RADIANS('Cálculos iluminancia'!IK31))^3))/(1+1.041*((RADIANS('Cálculos iluminancia'!IK31))^3))</f>
        <v>9.0955482569349293</v>
      </c>
      <c r="IN31" s="87">
        <f t="shared" si="119"/>
        <v>1.1383922103975856</v>
      </c>
      <c r="IO31" s="87">
        <f t="shared" si="334"/>
        <v>1.1103047477682062</v>
      </c>
      <c r="IP31" s="106">
        <f>'Irradiancia Horizontal'!G54*IO31/$IN$15</f>
        <v>8.595244069915621E-2</v>
      </c>
      <c r="IQ31" s="87">
        <f>((17.27*Temp!F24)/(237.7+Temp!F24))+LN(HR!F35/100)</f>
        <v>0.9183504494703798</v>
      </c>
      <c r="IR31" s="87">
        <f t="shared" si="244"/>
        <v>13.349839792281932</v>
      </c>
      <c r="IS31" s="87">
        <f t="shared" si="245"/>
        <v>2.3619529203401468</v>
      </c>
      <c r="IT31" s="87">
        <f t="shared" si="335"/>
        <v>8</v>
      </c>
      <c r="IU31" s="87">
        <f t="shared" si="336"/>
        <v>99.65</v>
      </c>
      <c r="IV31" s="87">
        <f t="shared" si="337"/>
        <v>1.86</v>
      </c>
      <c r="IW31" s="87">
        <f t="shared" si="338"/>
        <v>-4.46</v>
      </c>
      <c r="IX31" s="87">
        <f t="shared" si="339"/>
        <v>-3.15</v>
      </c>
      <c r="IY31" s="103">
        <f t="shared" si="126"/>
        <v>107.85769512084933</v>
      </c>
      <c r="IZ31" s="165">
        <f>IF(JF31&gt;(IY31*'Irradiancia Horizontal'!G22),JF31,IY31*'Irradiancia Horizontal'!G22)</f>
        <v>101993.31007392847</v>
      </c>
      <c r="JA31" s="87">
        <f t="shared" si="340"/>
        <v>152.22999999999999</v>
      </c>
      <c r="JB31" s="87">
        <f t="shared" si="341"/>
        <v>0.35</v>
      </c>
      <c r="JC31" s="87">
        <f t="shared" si="342"/>
        <v>-45.27</v>
      </c>
      <c r="JD31" s="87">
        <f t="shared" si="343"/>
        <v>-7.98</v>
      </c>
      <c r="JE31" s="103">
        <f t="shared" si="131"/>
        <v>132.89593898634661</v>
      </c>
      <c r="JF31" s="87">
        <f>+JE31*'Irradiancia Horizontal'!G54</f>
        <v>13919.776420240318</v>
      </c>
      <c r="JG31" s="87">
        <f t="shared" si="246"/>
        <v>88073.533653688151</v>
      </c>
      <c r="JH31" s="87">
        <f>+JG31/'Irradiancia Horizontal'!G83</f>
        <v>104.73889891391863</v>
      </c>
      <c r="JI31" s="38">
        <f t="shared" si="132"/>
        <v>9.4299364337556257E-2</v>
      </c>
      <c r="JJ31" s="87">
        <f t="shared" si="247"/>
        <v>9.4299364337556257E-2</v>
      </c>
      <c r="JK31" s="87">
        <f t="shared" si="248"/>
        <v>0.87791814710288996</v>
      </c>
      <c r="JL31" s="87">
        <f t="shared" si="249"/>
        <v>1.17</v>
      </c>
      <c r="JM31" s="87">
        <f t="shared" si="250"/>
        <v>-0.3</v>
      </c>
      <c r="JN31" s="87">
        <f t="shared" si="251"/>
        <v>-0.61499999999999999</v>
      </c>
      <c r="JO31" s="87">
        <f t="shared" si="252"/>
        <v>0.51800000000000002</v>
      </c>
      <c r="JP31" s="87">
        <f t="shared" si="253"/>
        <v>-1.8919999999999999</v>
      </c>
      <c r="JQ31" s="87">
        <f t="shared" si="254"/>
        <v>-5.5E-2</v>
      </c>
      <c r="JR31" s="87">
        <f t="shared" si="133"/>
        <v>0.83714502772152088</v>
      </c>
      <c r="JS31" s="87">
        <f t="shared" si="134"/>
        <v>0.32791650544308221</v>
      </c>
      <c r="JT31" s="88">
        <f t="shared" si="135"/>
        <v>6949.640666987546</v>
      </c>
      <c r="JU31" s="87">
        <f t="shared" si="344"/>
        <v>0.67800000000000005</v>
      </c>
      <c r="JV31" s="87">
        <f t="shared" si="345"/>
        <v>-0.32700000000000001</v>
      </c>
      <c r="JW31" s="87">
        <f t="shared" si="346"/>
        <v>-0.25</v>
      </c>
      <c r="JX31" s="87">
        <f t="shared" si="347"/>
        <v>0.156</v>
      </c>
      <c r="JY31" s="87">
        <f t="shared" si="348"/>
        <v>-1.377</v>
      </c>
      <c r="JZ31" s="87">
        <f t="shared" si="349"/>
        <v>0.251</v>
      </c>
      <c r="KA31" s="87">
        <f t="shared" si="142"/>
        <v>0.52506865755449295</v>
      </c>
      <c r="KB31" s="87">
        <f t="shared" si="143"/>
        <v>0.16296768307149248</v>
      </c>
      <c r="KC31" s="106">
        <f>IF(II31&lt;0,0,((0.5*(1-KA31)*(1+COS(RADIANS($IP$15))))+(KA31*(JJ31/JK31))+(KB31*SIN(RADIANS($IP$15))))*'Irradiancia Horizontal'!G54)</f>
        <v>47.849492258366539</v>
      </c>
      <c r="KD31" s="87">
        <f t="shared" si="144"/>
        <v>0.10741247877007899</v>
      </c>
      <c r="KE31" s="87">
        <f>KD31*'Irradiancia Horizontal'!G83</f>
        <v>90.321711053671024</v>
      </c>
      <c r="KF31" s="87">
        <f t="shared" si="255"/>
        <v>138.17120331203756</v>
      </c>
      <c r="KG31" s="88">
        <f t="shared" si="145"/>
        <v>14902.827521310634</v>
      </c>
      <c r="KH31" s="87">
        <f t="shared" si="256"/>
        <v>7953.1868543230876</v>
      </c>
      <c r="KI31" s="106">
        <f t="shared" si="257"/>
        <v>100320.8943160918</v>
      </c>
      <c r="KJ31" s="106">
        <f t="shared" si="258"/>
        <v>9460.1965637826179</v>
      </c>
      <c r="KK31" s="106">
        <f t="shared" si="259"/>
        <v>16409.837230770165</v>
      </c>
      <c r="KL31" s="86"/>
      <c r="KN31" s="39">
        <v>0.58333333333333304</v>
      </c>
      <c r="KO31" s="38">
        <v>-30</v>
      </c>
      <c r="KP31" s="38">
        <f t="shared" si="146"/>
        <v>62.593106094089499</v>
      </c>
      <c r="KQ31" s="38">
        <f t="shared" si="371"/>
        <v>-94.781580028246267</v>
      </c>
      <c r="KR31" s="38">
        <f t="shared" si="148"/>
        <v>27.406893905910501</v>
      </c>
      <c r="KS31" s="38">
        <f>+'Irradiancia Horizontal'!H83/COS(RADIANS(KR31))</f>
        <v>972.58271760702758</v>
      </c>
      <c r="KT31" s="38">
        <f>((('Irradiancia Horizontal'!H54+KS31)/'Irradiancia Horizontal'!H54)+1.041*((RADIANS('Cálculos iluminancia'!KR31))^3))/(1+1.041*((RADIANS('Cálculos iluminancia'!KR31))^3))</f>
        <v>9.6552195524255584</v>
      </c>
      <c r="KU31" s="87">
        <f t="shared" si="149"/>
        <v>1.1257976252511646</v>
      </c>
      <c r="KV31" s="87">
        <f t="shared" si="350"/>
        <v>1.0980209078433367</v>
      </c>
      <c r="KW31" s="106">
        <f>'Irradiancia Horizontal'!H54*KV31/$KU$15</f>
        <v>8.2546172724326058E-2</v>
      </c>
      <c r="KX31" s="87">
        <f>((17.27*Temp!G24)/(237.7+Temp!G24))+LN(HR!G35/100)</f>
        <v>1.2067920815655562</v>
      </c>
      <c r="KY31" s="87">
        <f t="shared" si="260"/>
        <v>17.857857486793346</v>
      </c>
      <c r="KZ31" s="87">
        <f t="shared" si="261"/>
        <v>3.2383049329968197</v>
      </c>
      <c r="LA31" s="87">
        <f t="shared" si="351"/>
        <v>8</v>
      </c>
      <c r="LB31" s="87">
        <f t="shared" si="352"/>
        <v>99.65</v>
      </c>
      <c r="LC31" s="87">
        <f t="shared" si="353"/>
        <v>1.86</v>
      </c>
      <c r="LD31" s="87">
        <f t="shared" si="354"/>
        <v>-4.46</v>
      </c>
      <c r="LE31" s="87">
        <f t="shared" si="355"/>
        <v>-3.15</v>
      </c>
      <c r="LF31" s="103">
        <f t="shared" si="156"/>
        <v>109.57118958419217</v>
      </c>
      <c r="LG31" s="165">
        <f>IF(LM31&gt;(LF31*'Irradiancia Horizontal'!H22),LM31,LF31*'Irradiancia Horizontal'!H22)</f>
        <v>105659.0701132144</v>
      </c>
      <c r="LH31" s="87">
        <f t="shared" si="356"/>
        <v>152.22999999999999</v>
      </c>
      <c r="LI31" s="87">
        <f t="shared" si="357"/>
        <v>0.35</v>
      </c>
      <c r="LJ31" s="87">
        <f t="shared" si="358"/>
        <v>-45.27</v>
      </c>
      <c r="LK31" s="87">
        <f t="shared" si="359"/>
        <v>-7.98</v>
      </c>
      <c r="LL31" s="103">
        <f t="shared" si="161"/>
        <v>133.07980304959813</v>
      </c>
      <c r="LM31" s="87">
        <f>+LL31*'Irradiancia Horizontal'!H54</f>
        <v>13424.565371492428</v>
      </c>
      <c r="LN31" s="87">
        <f t="shared" si="262"/>
        <v>92234.504741721976</v>
      </c>
      <c r="LO31" s="87">
        <f>+LN31/'Irradiancia Horizontal'!H83</f>
        <v>106.82460501746063</v>
      </c>
      <c r="LP31" s="38">
        <f t="shared" si="162"/>
        <v>3.8369997374706089E-2</v>
      </c>
      <c r="LQ31" s="87">
        <f t="shared" si="263"/>
        <v>3.8369997374706089E-2</v>
      </c>
      <c r="LR31" s="87">
        <f t="shared" si="264"/>
        <v>0.88776000684763345</v>
      </c>
      <c r="LS31" s="87">
        <f t="shared" si="265"/>
        <v>1.17</v>
      </c>
      <c r="LT31" s="87">
        <f t="shared" si="266"/>
        <v>-0.3</v>
      </c>
      <c r="LU31" s="87">
        <f t="shared" si="267"/>
        <v>-0.61499999999999999</v>
      </c>
      <c r="LV31" s="87">
        <f t="shared" si="268"/>
        <v>0.51800000000000002</v>
      </c>
      <c r="LW31" s="87">
        <f t="shared" si="269"/>
        <v>-1.8919999999999999</v>
      </c>
      <c r="LX31" s="87">
        <f t="shared" si="270"/>
        <v>-5.5E-2</v>
      </c>
      <c r="LY31" s="87">
        <f t="shared" si="163"/>
        <v>0.85105671829491403</v>
      </c>
      <c r="LZ31" s="87">
        <f t="shared" si="164"/>
        <v>0.33551391170341521</v>
      </c>
      <c r="MA31" s="88">
        <f t="shared" si="165"/>
        <v>5997.6822246076426</v>
      </c>
      <c r="MB31" s="87">
        <f t="shared" si="360"/>
        <v>0.67800000000000005</v>
      </c>
      <c r="MC31" s="87">
        <f t="shared" si="361"/>
        <v>-0.32700000000000001</v>
      </c>
      <c r="MD31" s="87">
        <f t="shared" si="362"/>
        <v>-0.25</v>
      </c>
      <c r="ME31" s="87">
        <f t="shared" si="363"/>
        <v>0.156</v>
      </c>
      <c r="MF31" s="87">
        <f t="shared" si="364"/>
        <v>-1.377</v>
      </c>
      <c r="MG31" s="87">
        <f t="shared" si="365"/>
        <v>0.251</v>
      </c>
      <c r="MH31" s="87">
        <f t="shared" si="172"/>
        <v>0.53142226741841858</v>
      </c>
      <c r="MI31" s="87">
        <f t="shared" si="173"/>
        <v>0.16239739479573273</v>
      </c>
      <c r="MJ31" s="106">
        <f>IF(KP31&lt;0,0,((0.5*(1-MH31)*(1+COS(RADIANS($KW$15))))+(MH31*(LQ31/LR31))+(MI31*SIN(RADIANS($KW$15))))*'Irradiancia Horizontal'!H54)</f>
        <v>42.333133900200089</v>
      </c>
      <c r="MK31" s="87">
        <f t="shared" si="174"/>
        <v>4.3221137558285549E-2</v>
      </c>
      <c r="ML31" s="87">
        <f>MK31*'Irradiancia Horizontal'!H83</f>
        <v>37.317996321266158</v>
      </c>
      <c r="MM31" s="87">
        <f t="shared" si="271"/>
        <v>79.651130221466246</v>
      </c>
      <c r="MN31" s="88">
        <f t="shared" si="175"/>
        <v>8727.4690900914557</v>
      </c>
      <c r="MO31" s="87">
        <f t="shared" si="272"/>
        <v>2729.786865483813</v>
      </c>
      <c r="MP31" s="106">
        <f t="shared" si="273"/>
        <v>103895.76465517917</v>
      </c>
      <c r="MQ31" s="106">
        <f t="shared" si="274"/>
        <v>3986.4802170623066</v>
      </c>
      <c r="MR31" s="106">
        <f t="shared" si="275"/>
        <v>9984.1624416699487</v>
      </c>
    </row>
    <row r="32" spans="5:356" x14ac:dyDescent="0.25">
      <c r="E32" s="39">
        <v>0.625</v>
      </c>
      <c r="F32" s="38">
        <v>-45</v>
      </c>
      <c r="G32" s="38">
        <f t="shared" si="0"/>
        <v>24.384588412739522</v>
      </c>
      <c r="H32" s="38">
        <f t="shared" si="366"/>
        <v>-133.20572092919525</v>
      </c>
      <c r="I32" s="38">
        <f t="shared" si="2"/>
        <v>65.615411587260482</v>
      </c>
      <c r="J32" s="38">
        <f>'Irradiancia Horizontal'!C84/COS(RADIANS(I32))</f>
        <v>658.95142041335066</v>
      </c>
      <c r="K32" s="38">
        <f>((('Irradiancia Horizontal'!C55+J32)/'Irradiancia Horizontal'!C55)+1.041*((RADIANS('Cálculos iluminancia'!I32))^3))/(1+1.041*((RADIANS('Cálculos iluminancia'!I32))^3))</f>
        <v>3.9252438957953477</v>
      </c>
      <c r="L32" s="36">
        <f t="shared" si="3"/>
        <v>2.4111101850627628</v>
      </c>
      <c r="M32" s="36">
        <f t="shared" si="4"/>
        <v>2.3516210506504547</v>
      </c>
      <c r="N32" s="106">
        <f>'Irradiancia Horizontal'!C55*M32/$L$15</f>
        <v>0.14417704762528016</v>
      </c>
      <c r="O32" s="71">
        <f>((17.27*Temp!B25)/(237.7+Temp!B25))+LN(HR!B36/100)</f>
        <v>0.46701084648157298</v>
      </c>
      <c r="P32" s="71">
        <f t="shared" si="176"/>
        <v>6.6064720505652126</v>
      </c>
      <c r="Q32" s="71">
        <f t="shared" si="177"/>
        <v>1.4732237746209427</v>
      </c>
      <c r="R32" s="71">
        <f t="shared" si="277"/>
        <v>6</v>
      </c>
      <c r="S32" s="71">
        <f t="shared" si="6"/>
        <v>88.34</v>
      </c>
      <c r="T32" s="71">
        <f t="shared" si="7"/>
        <v>1.39</v>
      </c>
      <c r="U32" s="71">
        <f t="shared" si="8"/>
        <v>6.06</v>
      </c>
      <c r="V32" s="71">
        <f t="shared" si="9"/>
        <v>-7.6</v>
      </c>
      <c r="W32" s="103">
        <f t="shared" si="10"/>
        <v>107.6087299560799</v>
      </c>
      <c r="X32" s="165">
        <f>IF(AD32&gt;(W32*'Irradiancia Horizontal'!C23),AD32,W32*'Irradiancia Horizontal'!C23)</f>
        <v>38731.344236614452</v>
      </c>
      <c r="Y32" s="71">
        <f t="shared" si="278"/>
        <v>106.42</v>
      </c>
      <c r="Z32" s="71">
        <f t="shared" si="279"/>
        <v>3.83</v>
      </c>
      <c r="AA32" s="71">
        <f t="shared" si="280"/>
        <v>-36.15</v>
      </c>
      <c r="AB32" s="71">
        <f t="shared" si="281"/>
        <v>-28.83</v>
      </c>
      <c r="AC32" s="103">
        <f t="shared" si="15"/>
        <v>152.9730203329087</v>
      </c>
      <c r="AD32" s="71">
        <f>+AC32*'Irradiancia Horizontal'!C55</f>
        <v>13442.229325980248</v>
      </c>
      <c r="AE32" s="71">
        <f t="shared" si="16"/>
        <v>25289.114910634205</v>
      </c>
      <c r="AF32" s="71">
        <f>+AE32/'Irradiancia Horizontal'!C84</f>
        <v>92.956121475581185</v>
      </c>
      <c r="AG32" s="38">
        <f t="shared" si="282"/>
        <v>0.62354819815396811</v>
      </c>
      <c r="AH32" s="84">
        <f t="shared" si="178"/>
        <v>0.62354819815396811</v>
      </c>
      <c r="AI32" s="84">
        <f t="shared" si="179"/>
        <v>0.41285945651397765</v>
      </c>
      <c r="AJ32" s="84">
        <f t="shared" si="180"/>
        <v>1.4259999999999999</v>
      </c>
      <c r="AK32" s="84">
        <f t="shared" si="181"/>
        <v>-0.65300000000000002</v>
      </c>
      <c r="AL32" s="84">
        <f t="shared" si="182"/>
        <v>-0.77900000000000003</v>
      </c>
      <c r="AM32" s="84">
        <f t="shared" si="183"/>
        <v>0.42499999999999999</v>
      </c>
      <c r="AN32" s="84">
        <f t="shared" si="184"/>
        <v>-0.78500000000000003</v>
      </c>
      <c r="AO32" s="84">
        <f t="shared" si="185"/>
        <v>-9.7000000000000003E-2</v>
      </c>
      <c r="AP32" s="84">
        <f t="shared" si="18"/>
        <v>0.43973771451877253</v>
      </c>
      <c r="AQ32" s="84">
        <f t="shared" si="19"/>
        <v>0.20073613530600845</v>
      </c>
      <c r="AR32" s="88">
        <f t="shared" si="20"/>
        <v>15391.488834096846</v>
      </c>
      <c r="AS32" s="84">
        <f t="shared" si="283"/>
        <v>1.1319999999999999</v>
      </c>
      <c r="AT32" s="84">
        <f t="shared" si="284"/>
        <v>-1.2370000000000001</v>
      </c>
      <c r="AU32" s="84">
        <f t="shared" si="285"/>
        <v>-0.41199999999999998</v>
      </c>
      <c r="AV32" s="84">
        <f t="shared" si="286"/>
        <v>0.28799999999999998</v>
      </c>
      <c r="AW32" s="84">
        <f t="shared" si="287"/>
        <v>-0.82299999999999995</v>
      </c>
      <c r="AX32" s="84">
        <f t="shared" si="288"/>
        <v>5.6000000000000001E-2</v>
      </c>
      <c r="AY32" s="84">
        <f t="shared" si="27"/>
        <v>0.48182854352096754</v>
      </c>
      <c r="AZ32" s="84">
        <f t="shared" si="28"/>
        <v>0.23347376825033472</v>
      </c>
      <c r="BA32" s="106">
        <f>IF(G32&lt;0,0,((0.5*(1-AY32)*(1+COS(RADIANS($N$15))))+(AY32*(AH32/AI32))+(AZ32*SIN(RADIANS($N$15))))*'Irradiancia Horizontal'!C55)</f>
        <v>107.2292801664362</v>
      </c>
      <c r="BB32" s="106">
        <f t="shared" si="186"/>
        <v>1.5103158915602009</v>
      </c>
      <c r="BC32" s="84">
        <f>BB32*'Irradiancia Horizontal'!C84</f>
        <v>410.88797086974273</v>
      </c>
      <c r="BD32" s="84">
        <f t="shared" si="187"/>
        <v>518.11725103617891</v>
      </c>
      <c r="BE32" s="88">
        <f t="shared" si="29"/>
        <v>55753.939352338632</v>
      </c>
      <c r="BF32" s="84">
        <f t="shared" si="188"/>
        <v>40362.450518241785</v>
      </c>
      <c r="BG32" s="106">
        <f t="shared" si="189"/>
        <v>61253.568282450193</v>
      </c>
      <c r="BH32" s="106">
        <f t="shared" si="190"/>
        <v>38194.552133022866</v>
      </c>
      <c r="BI32" s="106">
        <f t="shared" si="191"/>
        <v>53586.040967119712</v>
      </c>
      <c r="BJ32" s="72"/>
      <c r="BL32" s="39">
        <v>0.625</v>
      </c>
      <c r="BM32" s="38">
        <v>-45</v>
      </c>
      <c r="BN32" s="38">
        <f t="shared" si="30"/>
        <v>30.765345417017471</v>
      </c>
      <c r="BO32" s="38">
        <f t="shared" si="367"/>
        <v>-126.17960888604199</v>
      </c>
      <c r="BP32" s="38">
        <f t="shared" si="32"/>
        <v>59.234654582982529</v>
      </c>
      <c r="BQ32" s="38">
        <f>+'Irradiancia Horizontal'!D84/COS(RADIANS(BP32))</f>
        <v>607.00918063934785</v>
      </c>
      <c r="BR32" s="38">
        <f>((('Irradiancia Horizontal'!D55+BQ32)/'Irradiancia Horizontal'!D55)+1.041*((RADIANS('Cálculos iluminancia'!BP32))^3))/(1+1.041*((RADIANS('Cálculos iluminancia'!BP32))^3))</f>
        <v>3.3962700296134254</v>
      </c>
      <c r="BS32" s="84">
        <f t="shared" si="33"/>
        <v>1.9496757634237798</v>
      </c>
      <c r="BT32" s="84">
        <f t="shared" si="192"/>
        <v>1.9015715646736437</v>
      </c>
      <c r="BU32" s="106">
        <f>'Irradiancia Horizontal'!D55*BT32/$BS$15</f>
        <v>0.15789383885177521</v>
      </c>
      <c r="BV32" s="84">
        <f>((17.27*Temp!C25)/(237.7+Temp!C25))+LN(HR!C36/100)</f>
        <v>0.53368401350661743</v>
      </c>
      <c r="BW32" s="84">
        <f t="shared" si="193"/>
        <v>7.5797260348633131</v>
      </c>
      <c r="BX32" s="84">
        <f t="shared" si="194"/>
        <v>1.5770891258211048</v>
      </c>
      <c r="BY32" s="84">
        <f t="shared" si="289"/>
        <v>6</v>
      </c>
      <c r="BZ32" s="84">
        <f t="shared" si="290"/>
        <v>88.34</v>
      </c>
      <c r="CA32" s="84">
        <f t="shared" si="291"/>
        <v>1.39</v>
      </c>
      <c r="CB32" s="84">
        <f t="shared" si="292"/>
        <v>6.06</v>
      </c>
      <c r="CC32" s="84">
        <f t="shared" si="293"/>
        <v>-7.6</v>
      </c>
      <c r="CD32" s="103">
        <f t="shared" si="39"/>
        <v>107.66031079581077</v>
      </c>
      <c r="CE32" s="165">
        <f>IF(CK32&gt;(CD32*'Irradiancia Horizontal'!D23),CK32,CD32*'Irradiancia Horizontal'!D23)</f>
        <v>46111.289809898379</v>
      </c>
      <c r="CF32" s="84">
        <f t="shared" si="294"/>
        <v>106.42</v>
      </c>
      <c r="CG32" s="84">
        <f t="shared" si="295"/>
        <v>3.83</v>
      </c>
      <c r="CH32" s="84">
        <f t="shared" si="296"/>
        <v>-36.15</v>
      </c>
      <c r="CI32" s="84">
        <f t="shared" si="297"/>
        <v>-28.83</v>
      </c>
      <c r="CJ32" s="103">
        <f t="shared" si="44"/>
        <v>147.18403364561954</v>
      </c>
      <c r="CK32" s="84">
        <f>+CJ32*'Irradiancia Horizontal'!D55</f>
        <v>17338.899423912488</v>
      </c>
      <c r="CL32" s="84">
        <f t="shared" si="195"/>
        <v>28772.390385985891</v>
      </c>
      <c r="CM32" s="84">
        <f>+CL32/'Irradiancia Horizontal'!D84</f>
        <v>92.664911250484153</v>
      </c>
      <c r="CN32" s="38">
        <f t="shared" si="45"/>
        <v>0.50724259609009414</v>
      </c>
      <c r="CO32" s="84">
        <f t="shared" si="196"/>
        <v>0.50724259609009414</v>
      </c>
      <c r="CP32" s="84">
        <f t="shared" si="197"/>
        <v>0.51152324088140566</v>
      </c>
      <c r="CQ32" s="84">
        <f t="shared" si="198"/>
        <v>1.4259999999999999</v>
      </c>
      <c r="CR32" s="84">
        <f t="shared" si="199"/>
        <v>-0.65300000000000002</v>
      </c>
      <c r="CS32" s="84">
        <f t="shared" si="200"/>
        <v>-0.77900000000000003</v>
      </c>
      <c r="CT32" s="84">
        <f t="shared" si="201"/>
        <v>0.42499999999999999</v>
      </c>
      <c r="CU32" s="84">
        <f t="shared" si="202"/>
        <v>-0.78500000000000003</v>
      </c>
      <c r="CV32" s="84">
        <f t="shared" si="203"/>
        <v>-9.7000000000000003E-2</v>
      </c>
      <c r="CW32" s="84">
        <f t="shared" si="46"/>
        <v>0.51753415505496203</v>
      </c>
      <c r="CX32" s="84">
        <f t="shared" si="47"/>
        <v>0.20077088038716084</v>
      </c>
      <c r="CY32" s="88">
        <f t="shared" si="48"/>
        <v>16562.238296700842</v>
      </c>
      <c r="CZ32" s="84">
        <f t="shared" si="298"/>
        <v>1.1319999999999999</v>
      </c>
      <c r="DA32" s="84">
        <f t="shared" si="299"/>
        <v>-1.2370000000000001</v>
      </c>
      <c r="DB32" s="84">
        <f t="shared" si="300"/>
        <v>-0.41199999999999998</v>
      </c>
      <c r="DC32" s="84">
        <f t="shared" si="301"/>
        <v>0.28799999999999998</v>
      </c>
      <c r="DD32" s="84">
        <f t="shared" si="302"/>
        <v>-0.82299999999999995</v>
      </c>
      <c r="DE32" s="84">
        <f t="shared" si="303"/>
        <v>5.6000000000000001E-2</v>
      </c>
      <c r="DF32" s="84">
        <f t="shared" si="55"/>
        <v>0.51074334279346123</v>
      </c>
      <c r="DG32" s="84">
        <f t="shared" si="56"/>
        <v>0.21594839683524622</v>
      </c>
      <c r="DH32" s="106">
        <f>IF(BN32&lt;0,0,((0.5*(1-DF32)*(1+COS(RADIANS($BU$15))))+(DF32*(CO32/CP32))+(DG32*SIN(RADIANS($BU$15))))*'Irradiancia Horizontal'!D55)</f>
        <v>113.92208821401459</v>
      </c>
      <c r="DI32" s="106">
        <f t="shared" si="204"/>
        <v>0.99163157321271356</v>
      </c>
      <c r="DJ32" s="84">
        <f>DI32*'Irradiancia Horizontal'!D84</f>
        <v>307.90091263802373</v>
      </c>
      <c r="DK32" s="84">
        <f t="shared" si="205"/>
        <v>421.82300085203832</v>
      </c>
      <c r="DL32" s="88">
        <f t="shared" si="57"/>
        <v>45413.595372552001</v>
      </c>
      <c r="DM32" s="84">
        <f t="shared" si="206"/>
        <v>28851.35707585116</v>
      </c>
      <c r="DN32" s="106">
        <f t="shared" si="207"/>
        <v>56248.451852174279</v>
      </c>
      <c r="DO32" s="106">
        <f t="shared" si="208"/>
        <v>28531.610743545545</v>
      </c>
      <c r="DP32" s="106">
        <f t="shared" si="209"/>
        <v>45093.849040246387</v>
      </c>
      <c r="DQ32" s="44"/>
      <c r="DS32" s="39">
        <v>0.625</v>
      </c>
      <c r="DT32" s="38">
        <v>-45</v>
      </c>
      <c r="DU32" s="38">
        <f t="shared" si="58"/>
        <v>37.917838062207871</v>
      </c>
      <c r="DV32" s="38">
        <f t="shared" si="368"/>
        <v>-116.32334178613942</v>
      </c>
      <c r="DW32" s="38">
        <f t="shared" si="60"/>
        <v>52.082161937792129</v>
      </c>
      <c r="DX32" s="38">
        <f>+'Irradiancia Horizontal'!E84/COS(RADIANS(DW32))</f>
        <v>579.28924453822412</v>
      </c>
      <c r="DY32" s="38">
        <f>((('Irradiancia Horizontal'!E55+DX32)/'Irradiancia Horizontal'!E55)+1.041*((RADIANS('Cálculos iluminancia'!DW32))^3))/(1+1.041*((RADIANS('Cálculos iluminancia'!DW32))^3))</f>
        <v>3.1878527950405275</v>
      </c>
      <c r="DZ32" s="84">
        <f t="shared" si="61"/>
        <v>1.624523739848593</v>
      </c>
      <c r="EA32" s="84">
        <f t="shared" si="210"/>
        <v>1.5844419917333268</v>
      </c>
      <c r="EB32" s="106">
        <f>'Irradiancia Horizontal'!E55*EA32/$DZ$15</f>
        <v>0.16841354749367671</v>
      </c>
      <c r="EC32" s="84">
        <f>((17.27*Temp!D25)/(237.7+Temp!D25))+LN(HR!D36/100)</f>
        <v>0.60055735078988981</v>
      </c>
      <c r="ED32" s="84">
        <f t="shared" si="211"/>
        <v>8.5637225723033517</v>
      </c>
      <c r="EE32" s="84">
        <f t="shared" si="212"/>
        <v>1.6895472270660747</v>
      </c>
      <c r="EF32" s="84">
        <f t="shared" si="304"/>
        <v>6</v>
      </c>
      <c r="EG32" s="84">
        <f t="shared" si="305"/>
        <v>88.34</v>
      </c>
      <c r="EH32" s="84">
        <f t="shared" si="306"/>
        <v>1.39</v>
      </c>
      <c r="EI32" s="84">
        <f t="shared" si="307"/>
        <v>6.06</v>
      </c>
      <c r="EJ32" s="84">
        <f t="shared" si="308"/>
        <v>-7.6</v>
      </c>
      <c r="EK32" s="103">
        <f t="shared" si="67"/>
        <v>107.95065628899589</v>
      </c>
      <c r="EL32" s="165">
        <f>IF(ER32&gt;(EK32*'Irradiancia Horizontal'!E23),ER32,EK32*'Irradiancia Horizontal'!E23)</f>
        <v>54470.04824252949</v>
      </c>
      <c r="EM32" s="84">
        <f t="shared" si="309"/>
        <v>106.42</v>
      </c>
      <c r="EN32" s="84">
        <f t="shared" si="310"/>
        <v>3.83</v>
      </c>
      <c r="EO32" s="84">
        <f t="shared" si="311"/>
        <v>-36.15</v>
      </c>
      <c r="EP32" s="84">
        <f t="shared" si="312"/>
        <v>-28.83</v>
      </c>
      <c r="EQ32" s="103">
        <f t="shared" si="72"/>
        <v>142.03149874637978</v>
      </c>
      <c r="ER32" s="84">
        <f>+EQ32*'Irradiancia Horizontal'!E55</f>
        <v>21104.706182977225</v>
      </c>
      <c r="ES32" s="84">
        <f t="shared" si="213"/>
        <v>33365.342059552262</v>
      </c>
      <c r="ET32" s="84">
        <f>+ES32/'Irradiancia Horizontal'!E84</f>
        <v>93.725212769955633</v>
      </c>
      <c r="EU32" s="38">
        <f t="shared" si="73"/>
        <v>0.34982376288589062</v>
      </c>
      <c r="EV32" s="84">
        <f t="shared" si="214"/>
        <v>0.34982376288589062</v>
      </c>
      <c r="EW32" s="84">
        <f t="shared" si="215"/>
        <v>0.61453083817464427</v>
      </c>
      <c r="EX32" s="84">
        <f t="shared" si="216"/>
        <v>1.4259999999999999</v>
      </c>
      <c r="EY32" s="84">
        <f t="shared" si="217"/>
        <v>-0.65300000000000002</v>
      </c>
      <c r="EZ32" s="84">
        <f t="shared" si="218"/>
        <v>-0.77900000000000003</v>
      </c>
      <c r="FA32" s="84">
        <f t="shared" si="219"/>
        <v>0.42499999999999999</v>
      </c>
      <c r="FB32" s="84">
        <f t="shared" si="220"/>
        <v>-0.78500000000000003</v>
      </c>
      <c r="FC32" s="84">
        <f t="shared" si="221"/>
        <v>-9.7000000000000003E-2</v>
      </c>
      <c r="FD32" s="84">
        <f t="shared" si="74"/>
        <v>0.60791089694435285</v>
      </c>
      <c r="FE32" s="84">
        <f t="shared" si="75"/>
        <v>0.20462186010244349</v>
      </c>
      <c r="FF32" s="88">
        <f t="shared" si="76"/>
        <v>15759.343145358507</v>
      </c>
      <c r="FG32" s="84">
        <f t="shared" si="313"/>
        <v>1.1319999999999999</v>
      </c>
      <c r="FH32" s="84">
        <f t="shared" si="314"/>
        <v>-1.2370000000000001</v>
      </c>
      <c r="FI32" s="84">
        <f t="shared" si="315"/>
        <v>-0.41199999999999998</v>
      </c>
      <c r="FJ32" s="84">
        <f t="shared" si="316"/>
        <v>0.28799999999999998</v>
      </c>
      <c r="FK32" s="84">
        <f t="shared" si="317"/>
        <v>-0.82299999999999995</v>
      </c>
      <c r="FL32" s="84">
        <f t="shared" si="318"/>
        <v>5.6000000000000001E-2</v>
      </c>
      <c r="FM32" s="84">
        <f t="shared" si="83"/>
        <v>0.54916229631332858</v>
      </c>
      <c r="FN32" s="84">
        <f t="shared" si="84"/>
        <v>0.20029994202549925</v>
      </c>
      <c r="FO32" s="106">
        <f>IF(DU32&lt;0,0,((0.5*(1-FM32)*(1+COS(RADIANS($EB$15))))+(FM32*(EV32/EW32))+(FN32*SIN(RADIANS($EB$15))))*'Irradiancia Horizontal'!E55)</f>
        <v>109.70992445825948</v>
      </c>
      <c r="FP32" s="106">
        <f t="shared" si="222"/>
        <v>0.56925338999256825</v>
      </c>
      <c r="FQ32" s="84">
        <f>FP32*'Irradiancia Horizontal'!E84</f>
        <v>202.64914332368642</v>
      </c>
      <c r="FR32" s="84">
        <f t="shared" si="223"/>
        <v>312.3590677819459</v>
      </c>
      <c r="FS32" s="88">
        <f t="shared" si="85"/>
        <v>33719.366364880014</v>
      </c>
      <c r="FT32" s="84">
        <f t="shared" si="224"/>
        <v>17960.023219521507</v>
      </c>
      <c r="FU32" s="106">
        <f t="shared" si="225"/>
        <v>54294.007699691916</v>
      </c>
      <c r="FV32" s="106">
        <f t="shared" si="226"/>
        <v>18993.334075661744</v>
      </c>
      <c r="FW32" s="106">
        <f t="shared" si="227"/>
        <v>34752.677221020247</v>
      </c>
      <c r="FX32" s="83"/>
      <c r="FZ32" s="39">
        <v>0.625</v>
      </c>
      <c r="GA32" s="38">
        <v>-45</v>
      </c>
      <c r="GB32" s="38">
        <f t="shared" si="86"/>
        <v>44.664130151519252</v>
      </c>
      <c r="GC32" s="38">
        <f t="shared" si="369"/>
        <v>-103.10500710121094</v>
      </c>
      <c r="GD32" s="38">
        <f t="shared" si="88"/>
        <v>45.335869848480748</v>
      </c>
      <c r="GE32" s="38">
        <f>+'Irradiancia Horizontal'!F84/COS(RADIANS(GD32))</f>
        <v>663.74864655999704</v>
      </c>
      <c r="GF32" s="38">
        <f>((('Irradiancia Horizontal'!F55+GE32)/'Irradiancia Horizontal'!F55)+1.041*((RADIANS('Cálculos iluminancia'!GD32))^3))/(1+1.041*((RADIANS('Cálculos iluminancia'!GD32))^3))</f>
        <v>3.9339520257689213</v>
      </c>
      <c r="GG32" s="84">
        <f t="shared" si="89"/>
        <v>1.4209219038029568</v>
      </c>
      <c r="GH32" s="84">
        <f t="shared" si="276"/>
        <v>1.3858636079820521</v>
      </c>
      <c r="GI32" s="106">
        <f>'Irradiancia Horizontal'!F55*GH32/$GG$15</f>
        <v>0.15066372130950312</v>
      </c>
      <c r="GJ32" s="84">
        <f>((17.27*Temp!E25)/(237.7+Temp!E25))+LN(HR!E36/100)</f>
        <v>0.74663077926536014</v>
      </c>
      <c r="GK32" s="84">
        <f t="shared" si="228"/>
        <v>10.740795890989929</v>
      </c>
      <c r="GL32" s="84">
        <f t="shared" si="229"/>
        <v>1.9676810400890195</v>
      </c>
      <c r="GM32" s="84">
        <f t="shared" si="319"/>
        <v>6</v>
      </c>
      <c r="GN32" s="84">
        <f t="shared" si="320"/>
        <v>88.34</v>
      </c>
      <c r="GO32" s="84">
        <f t="shared" si="321"/>
        <v>1.39</v>
      </c>
      <c r="GP32" s="84">
        <f t="shared" si="322"/>
        <v>6.06</v>
      </c>
      <c r="GQ32" s="84">
        <f t="shared" si="323"/>
        <v>-7.6</v>
      </c>
      <c r="GR32" s="103">
        <f t="shared" si="96"/>
        <v>109.71950856686728</v>
      </c>
      <c r="GS32" s="165">
        <f>IF(GY32&gt;(GR32*'Irradiancia Horizontal'!F23),GY32,GR32*'Irradiancia Horizontal'!F23)</f>
        <v>67569.486200238185</v>
      </c>
      <c r="GT32" s="84">
        <f t="shared" si="324"/>
        <v>106.42</v>
      </c>
      <c r="GU32" s="84">
        <f t="shared" si="325"/>
        <v>3.83</v>
      </c>
      <c r="GV32" s="84">
        <f t="shared" si="326"/>
        <v>-36.15</v>
      </c>
      <c r="GW32" s="84">
        <f t="shared" si="327"/>
        <v>-28.83</v>
      </c>
      <c r="GX32" s="103">
        <f t="shared" si="101"/>
        <v>143.11127471560937</v>
      </c>
      <c r="GY32" s="84">
        <f>+GX32*'Irradiancia Horizontal'!F55</f>
        <v>21360.297973014331</v>
      </c>
      <c r="GZ32" s="84">
        <f t="shared" si="230"/>
        <v>46209.188227223858</v>
      </c>
      <c r="HA32" s="84">
        <f>+GZ32/'Irradiancia Horizontal'!F84</f>
        <v>99.037694157148479</v>
      </c>
      <c r="HB32" s="38">
        <f t="shared" si="102"/>
        <v>0.16126394361320809</v>
      </c>
      <c r="HC32" s="84">
        <f t="shared" si="231"/>
        <v>0.16126394361320809</v>
      </c>
      <c r="HD32" s="84">
        <f t="shared" si="232"/>
        <v>0.70294957114865309</v>
      </c>
      <c r="HE32" s="84">
        <f t="shared" si="233"/>
        <v>1.4259999999999999</v>
      </c>
      <c r="HF32" s="84">
        <f t="shared" si="234"/>
        <v>-0.65300000000000002</v>
      </c>
      <c r="HG32" s="84">
        <f t="shared" si="235"/>
        <v>-0.77900000000000003</v>
      </c>
      <c r="HH32" s="84">
        <f t="shared" si="236"/>
        <v>0.42499999999999999</v>
      </c>
      <c r="HI32" s="84">
        <f t="shared" si="237"/>
        <v>-0.78500000000000003</v>
      </c>
      <c r="HJ32" s="84">
        <f t="shared" si="238"/>
        <v>-9.7000000000000003E-2</v>
      </c>
      <c r="HK32" s="84">
        <f t="shared" si="103"/>
        <v>0.71122489565594871</v>
      </c>
      <c r="HL32" s="84">
        <f t="shared" si="104"/>
        <v>0.22997673955521369</v>
      </c>
      <c r="HM32" s="88">
        <f t="shared" si="105"/>
        <v>11481.730071642538</v>
      </c>
      <c r="HN32" s="84">
        <f t="shared" si="328"/>
        <v>1.1319999999999999</v>
      </c>
      <c r="HO32" s="84">
        <f t="shared" si="329"/>
        <v>-1.2370000000000001</v>
      </c>
      <c r="HP32" s="84">
        <f t="shared" si="330"/>
        <v>-0.41199999999999998</v>
      </c>
      <c r="HQ32" s="84">
        <f t="shared" si="331"/>
        <v>0.28799999999999998</v>
      </c>
      <c r="HR32" s="84">
        <f t="shared" si="332"/>
        <v>-0.82299999999999995</v>
      </c>
      <c r="HS32" s="84">
        <f t="shared" si="333"/>
        <v>5.6000000000000001E-2</v>
      </c>
      <c r="HT32" s="84">
        <f t="shared" si="112"/>
        <v>0.61962977511816031</v>
      </c>
      <c r="HU32" s="84">
        <f t="shared" si="113"/>
        <v>0.20831432845652917</v>
      </c>
      <c r="HV32" s="106">
        <f>IF(GB32&lt;0,0,((0.5*(1-HT32)*(1+COS(RADIANS($GI$15))))+(HT32*(HC32/HD32))+(HU32*SIN(RADIANS($GI$15))))*'Irradiancia Horizontal'!F55)</f>
        <v>80.695408765928931</v>
      </c>
      <c r="HW32" s="84">
        <f t="shared" si="114"/>
        <v>0.22941040187234929</v>
      </c>
      <c r="HX32" s="84">
        <f>HW32*'Irradiancia Horizontal'!F84</f>
        <v>107.03872431219456</v>
      </c>
      <c r="HY32" s="84">
        <f t="shared" si="239"/>
        <v>187.73413307812348</v>
      </c>
      <c r="HZ32" s="88">
        <f t="shared" si="115"/>
        <v>20598.096822558571</v>
      </c>
      <c r="IA32" s="84">
        <f t="shared" si="240"/>
        <v>9116.3667509160332</v>
      </c>
      <c r="IB32" s="106">
        <f t="shared" si="241"/>
        <v>65736.135455230222</v>
      </c>
      <c r="IC32" s="106">
        <f t="shared" si="242"/>
        <v>10600.868441402456</v>
      </c>
      <c r="ID32" s="106">
        <f t="shared" si="243"/>
        <v>22082.598513044992</v>
      </c>
      <c r="IE32" s="83"/>
      <c r="IG32" s="39">
        <v>0.625</v>
      </c>
      <c r="IH32" s="38">
        <v>-45</v>
      </c>
      <c r="II32" s="38">
        <f t="shared" si="116"/>
        <v>48.376276838475924</v>
      </c>
      <c r="IJ32" s="38">
        <f t="shared" si="370"/>
        <v>-91.879215872253667</v>
      </c>
      <c r="IK32" s="38">
        <f t="shared" si="118"/>
        <v>41.623723161524076</v>
      </c>
      <c r="IL32" s="38">
        <f>+'Irradiancia Horizontal'!G84/COS(RADIANS(IK32))</f>
        <v>901.32967438428125</v>
      </c>
      <c r="IM32" s="38">
        <f>((('Irradiancia Horizontal'!G55+IL32)/'Irradiancia Horizontal'!G55)+1.041*((RADIANS('Cálculos iluminancia'!IK32))^3))/(1+1.041*((RADIANS('Cálculos iluminancia'!IK32))^3))</f>
        <v>8.2233214678992184</v>
      </c>
      <c r="IN32" s="87">
        <f t="shared" si="119"/>
        <v>1.3364469741350313</v>
      </c>
      <c r="IO32" s="87">
        <f t="shared" si="334"/>
        <v>1.3034729216957099</v>
      </c>
      <c r="IP32" s="106">
        <f>'Irradiancia Horizontal'!G55*IO32/$IN$15</f>
        <v>8.59188862649026E-2</v>
      </c>
      <c r="IQ32" s="87">
        <f>((17.27*Temp!F25)/(237.7+Temp!F25))+LN(HR!F36/100)</f>
        <v>0.93328382708511226</v>
      </c>
      <c r="IR32" s="87">
        <f t="shared" si="244"/>
        <v>13.579324225876478</v>
      </c>
      <c r="IS32" s="87">
        <f t="shared" si="245"/>
        <v>2.4002015087569526</v>
      </c>
      <c r="IT32" s="87">
        <f t="shared" si="335"/>
        <v>8</v>
      </c>
      <c r="IU32" s="87">
        <f t="shared" si="336"/>
        <v>99.65</v>
      </c>
      <c r="IV32" s="87">
        <f t="shared" si="337"/>
        <v>1.86</v>
      </c>
      <c r="IW32" s="87">
        <f t="shared" si="338"/>
        <v>-4.46</v>
      </c>
      <c r="IX32" s="87">
        <f t="shared" si="339"/>
        <v>-3.15</v>
      </c>
      <c r="IY32" s="103">
        <f t="shared" si="126"/>
        <v>108.5116292223544</v>
      </c>
      <c r="IZ32" s="165">
        <f>IF(JF32&gt;(IY32*'Irradiancia Horizontal'!G23),JF32,IY32*'Irradiancia Horizontal'!G23)</f>
        <v>82788.908861563556</v>
      </c>
      <c r="JA32" s="87">
        <f t="shared" si="340"/>
        <v>152.22999999999999</v>
      </c>
      <c r="JB32" s="87">
        <f t="shared" si="341"/>
        <v>0.35</v>
      </c>
      <c r="JC32" s="87">
        <f t="shared" si="342"/>
        <v>-45.27</v>
      </c>
      <c r="JD32" s="87">
        <f t="shared" si="343"/>
        <v>-7.98</v>
      </c>
      <c r="JE32" s="103">
        <f t="shared" si="131"/>
        <v>138.81542430656717</v>
      </c>
      <c r="JF32" s="87">
        <f>+JE32*'Irradiancia Horizontal'!G55</f>
        <v>12380.234851294081</v>
      </c>
      <c r="JG32" s="87">
        <f t="shared" si="246"/>
        <v>70408.674010269475</v>
      </c>
      <c r="JH32" s="87">
        <f>+JG32/'Irradiancia Horizontal'!G84</f>
        <v>104.50037788895467</v>
      </c>
      <c r="JI32" s="38">
        <f t="shared" si="132"/>
        <v>2.1782034289725194E-2</v>
      </c>
      <c r="JJ32" s="87">
        <f t="shared" si="247"/>
        <v>2.1782034289725194E-2</v>
      </c>
      <c r="JK32" s="87">
        <f t="shared" si="248"/>
        <v>0.74752312956608813</v>
      </c>
      <c r="JL32" s="87">
        <f t="shared" si="249"/>
        <v>1.17</v>
      </c>
      <c r="JM32" s="87">
        <f t="shared" si="250"/>
        <v>-0.3</v>
      </c>
      <c r="JN32" s="87">
        <f t="shared" si="251"/>
        <v>-0.61499999999999999</v>
      </c>
      <c r="JO32" s="87">
        <f t="shared" si="252"/>
        <v>0.51800000000000002</v>
      </c>
      <c r="JP32" s="87">
        <f t="shared" si="253"/>
        <v>-1.8919999999999999</v>
      </c>
      <c r="JQ32" s="87">
        <f t="shared" si="254"/>
        <v>-5.5E-2</v>
      </c>
      <c r="JR32" s="87">
        <f t="shared" si="133"/>
        <v>0.69744465921458976</v>
      </c>
      <c r="JS32" s="87">
        <f t="shared" si="134"/>
        <v>0.31548556130090727</v>
      </c>
      <c r="JT32" s="88">
        <f t="shared" si="135"/>
        <v>6030.239472184745</v>
      </c>
      <c r="JU32" s="87">
        <f t="shared" si="344"/>
        <v>0.67800000000000005</v>
      </c>
      <c r="JV32" s="87">
        <f t="shared" si="345"/>
        <v>-0.32700000000000001</v>
      </c>
      <c r="JW32" s="87">
        <f t="shared" si="346"/>
        <v>-0.25</v>
      </c>
      <c r="JX32" s="87">
        <f t="shared" si="347"/>
        <v>0.156</v>
      </c>
      <c r="JY32" s="87">
        <f t="shared" si="348"/>
        <v>-1.377</v>
      </c>
      <c r="JZ32" s="87">
        <f t="shared" si="349"/>
        <v>0.251</v>
      </c>
      <c r="KA32" s="87">
        <f t="shared" si="142"/>
        <v>0.46828677016457221</v>
      </c>
      <c r="KB32" s="87">
        <f t="shared" si="143"/>
        <v>0.22003391865614103</v>
      </c>
      <c r="KC32" s="106">
        <f>IF(II32&lt;0,0,((0.5*(1-KA32)*(1+COS(RADIANS($IP$15))))+(KA32*(JJ32/JK32))+(KB32*SIN(RADIANS($IP$15))))*'Irradiancia Horizontal'!G55)</f>
        <v>44.551043081209848</v>
      </c>
      <c r="KD32" s="87">
        <f t="shared" si="144"/>
        <v>2.9138943570038999E-2</v>
      </c>
      <c r="KE32" s="87">
        <f>KD32*'Irradiancia Horizontal'!G84</f>
        <v>19.632793873785257</v>
      </c>
      <c r="KF32" s="87">
        <f t="shared" si="255"/>
        <v>64.183836954995101</v>
      </c>
      <c r="KG32" s="88">
        <f t="shared" si="145"/>
        <v>6964.692717728477</v>
      </c>
      <c r="KH32" s="87">
        <f t="shared" si="256"/>
        <v>934.45324554373201</v>
      </c>
      <c r="KI32" s="106">
        <f t="shared" si="257"/>
        <v>94189.291575685857</v>
      </c>
      <c r="KJ32" s="106">
        <f t="shared" si="258"/>
        <v>2051.6343788265135</v>
      </c>
      <c r="KK32" s="106">
        <f t="shared" si="259"/>
        <v>8081.873851011258</v>
      </c>
      <c r="KL32" s="86"/>
      <c r="KN32" s="39">
        <v>0.625</v>
      </c>
      <c r="KO32" s="38">
        <v>-45</v>
      </c>
      <c r="KP32" s="38">
        <f t="shared" si="146"/>
        <v>49.494624805188728</v>
      </c>
      <c r="KQ32" s="38">
        <f t="shared" si="371"/>
        <v>-87.132774729162193</v>
      </c>
      <c r="KR32" s="38">
        <f t="shared" si="148"/>
        <v>40.505375194811272</v>
      </c>
      <c r="KS32" s="38">
        <f>+'Irradiancia Horizontal'!H84/COS(RADIANS(KR32))</f>
        <v>917.96553194526643</v>
      </c>
      <c r="KT32" s="38">
        <f>((('Irradiancia Horizontal'!H55+KS32)/'Irradiancia Horizontal'!H55)+1.041*((RADIANS('Cálculos iluminancia'!KR32))^3))/(1+1.041*((RADIANS('Cálculos iluminancia'!KR32))^3))</f>
        <v>8.76780133547968</v>
      </c>
      <c r="KU32" s="87">
        <f t="shared" si="149"/>
        <v>1.3139729178028623</v>
      </c>
      <c r="KV32" s="87">
        <f t="shared" si="350"/>
        <v>1.2815533660106773</v>
      </c>
      <c r="KW32" s="106">
        <f>'Irradiancia Horizontal'!H55*KV32/$KU$15</f>
        <v>8.2515999661149031E-2</v>
      </c>
      <c r="KX32" s="87">
        <f>((17.27*Temp!G25)/(237.7+Temp!G25))+LN(HR!G36/100)</f>
        <v>1.219418082151303</v>
      </c>
      <c r="KY32" s="87">
        <f t="shared" si="260"/>
        <v>18.058889055295687</v>
      </c>
      <c r="KZ32" s="87">
        <f t="shared" si="261"/>
        <v>3.284197184768868</v>
      </c>
      <c r="LA32" s="87">
        <f t="shared" si="351"/>
        <v>8</v>
      </c>
      <c r="LB32" s="87">
        <f t="shared" si="352"/>
        <v>99.65</v>
      </c>
      <c r="LC32" s="87">
        <f t="shared" si="353"/>
        <v>1.86</v>
      </c>
      <c r="LD32" s="87">
        <f t="shared" si="354"/>
        <v>-4.46</v>
      </c>
      <c r="LE32" s="87">
        <f t="shared" si="355"/>
        <v>-3.15</v>
      </c>
      <c r="LF32" s="103">
        <f t="shared" si="156"/>
        <v>110.22597157816328</v>
      </c>
      <c r="LG32" s="165">
        <f>IF(LM32&gt;(LF32*'Irradiancia Horizontal'!H23),LM32,LF32*'Irradiancia Horizontal'!H23)</f>
        <v>86457.773489150335</v>
      </c>
      <c r="LH32" s="87">
        <f t="shared" si="356"/>
        <v>152.22999999999999</v>
      </c>
      <c r="LI32" s="87">
        <f t="shared" si="357"/>
        <v>0.35</v>
      </c>
      <c r="LJ32" s="87">
        <f t="shared" si="358"/>
        <v>-45.27</v>
      </c>
      <c r="LK32" s="87">
        <f t="shared" si="359"/>
        <v>-7.98</v>
      </c>
      <c r="LL32" s="103">
        <f t="shared" si="161"/>
        <v>138.86685859997047</v>
      </c>
      <c r="LM32" s="87">
        <f>+LL32*'Irradiancia Horizontal'!H55</f>
        <v>11997.805947460723</v>
      </c>
      <c r="LN32" s="87">
        <f t="shared" si="262"/>
        <v>74459.967541689606</v>
      </c>
      <c r="LO32" s="87">
        <f>+LN32/'Irradiancia Horizontal'!H84</f>
        <v>106.6806747847111</v>
      </c>
      <c r="LP32" s="38">
        <f t="shared" si="162"/>
        <v>-3.249002309002752E-2</v>
      </c>
      <c r="LQ32" s="87">
        <f t="shared" si="263"/>
        <v>0</v>
      </c>
      <c r="LR32" s="87">
        <f t="shared" si="264"/>
        <v>0.76034503438432444</v>
      </c>
      <c r="LS32" s="87">
        <f t="shared" si="265"/>
        <v>1.17</v>
      </c>
      <c r="LT32" s="87">
        <f t="shared" si="266"/>
        <v>-0.3</v>
      </c>
      <c r="LU32" s="87">
        <f t="shared" si="267"/>
        <v>-0.61499999999999999</v>
      </c>
      <c r="LV32" s="87">
        <f t="shared" si="268"/>
        <v>0.51800000000000002</v>
      </c>
      <c r="LW32" s="87">
        <f t="shared" si="269"/>
        <v>-1.8919999999999999</v>
      </c>
      <c r="LX32" s="87">
        <f t="shared" si="270"/>
        <v>-5.5E-2</v>
      </c>
      <c r="LY32" s="87">
        <f t="shared" si="163"/>
        <v>0.71046962053002116</v>
      </c>
      <c r="LZ32" s="87">
        <f t="shared" si="164"/>
        <v>0.32299735973632576</v>
      </c>
      <c r="MA32" s="88">
        <f t="shared" si="165"/>
        <v>5612.1242980463358</v>
      </c>
      <c r="MB32" s="87">
        <f t="shared" si="360"/>
        <v>0.67800000000000005</v>
      </c>
      <c r="MC32" s="87">
        <f t="shared" si="361"/>
        <v>-0.32700000000000001</v>
      </c>
      <c r="MD32" s="87">
        <f t="shared" si="362"/>
        <v>-0.25</v>
      </c>
      <c r="ME32" s="87">
        <f t="shared" si="363"/>
        <v>0.156</v>
      </c>
      <c r="MF32" s="87">
        <f t="shared" si="364"/>
        <v>-1.377</v>
      </c>
      <c r="MG32" s="87">
        <f t="shared" si="365"/>
        <v>0.251</v>
      </c>
      <c r="MH32" s="87">
        <f t="shared" si="172"/>
        <v>0.47427922763453023</v>
      </c>
      <c r="MI32" s="87">
        <f t="shared" si="173"/>
        <v>0.21982046110477693</v>
      </c>
      <c r="MJ32" s="106">
        <f>IF(KP32&lt;0,0,((0.5*(1-MH32)*(1+COS(RADIANS($KW$15))))+(MH32*(LQ32/LR32))+(MI32*SIN(RADIANS($KW$15))))*'Irradiancia Horizontal'!H55)</f>
        <v>41.702614998973715</v>
      </c>
      <c r="MK32" s="87">
        <f t="shared" si="174"/>
        <v>0</v>
      </c>
      <c r="ML32" s="87">
        <f>MK32*'Irradiancia Horizontal'!H84</f>
        <v>0</v>
      </c>
      <c r="MM32" s="87">
        <f t="shared" si="271"/>
        <v>41.702614998973715</v>
      </c>
      <c r="MN32" s="88">
        <f t="shared" si="175"/>
        <v>4596.7112556119628</v>
      </c>
      <c r="MO32" s="87">
        <f t="shared" si="272"/>
        <v>-1015.413042434373</v>
      </c>
      <c r="MP32" s="106">
        <f t="shared" si="273"/>
        <v>97929.182377027304</v>
      </c>
      <c r="MQ32" s="106">
        <f t="shared" si="274"/>
        <v>0</v>
      </c>
      <c r="MR32" s="106">
        <f t="shared" si="275"/>
        <v>5612.1242980463358</v>
      </c>
    </row>
    <row r="33" spans="4:356" x14ac:dyDescent="0.25">
      <c r="E33" s="39">
        <v>0.66666666666666596</v>
      </c>
      <c r="F33" s="38">
        <v>-60</v>
      </c>
      <c r="G33" s="38">
        <f t="shared" si="0"/>
        <v>14.059262104382505</v>
      </c>
      <c r="H33" s="38">
        <f t="shared" si="366"/>
        <v>-123.05053955246156</v>
      </c>
      <c r="I33" s="38">
        <f t="shared" si="2"/>
        <v>75.940737895617502</v>
      </c>
      <c r="J33" s="38">
        <f>'Irradiancia Horizontal'!C85/COS(RADIANS(I33))</f>
        <v>559.36274174880509</v>
      </c>
      <c r="K33" s="38">
        <f>((('Irradiancia Horizontal'!C56+J33)/'Irradiancia Horizontal'!C56)+1.041*((RADIANS('Cálculos iluminancia'!I33))^3))/(1+1.041*((RADIANS('Cálculos iluminancia'!I33))^3))</f>
        <v>4.1597348687032492</v>
      </c>
      <c r="L33" s="36">
        <f t="shared" si="3"/>
        <v>4.0544841617637424</v>
      </c>
      <c r="M33" s="36">
        <f t="shared" si="4"/>
        <v>3.9544481888057255</v>
      </c>
      <c r="N33" s="106">
        <f>'Irradiancia Horizontal'!C56*M33/$L$15</f>
        <v>0.14265444196886165</v>
      </c>
      <c r="O33" s="71">
        <f>((17.27*Temp!B26)/(237.7+Temp!B26))+LN(HR!B37/100)</f>
        <v>0.47341894397852124</v>
      </c>
      <c r="P33" s="71">
        <f t="shared" si="176"/>
        <v>6.6996779051860997</v>
      </c>
      <c r="Q33" s="71">
        <f t="shared" si="177"/>
        <v>1.482867114631329</v>
      </c>
      <c r="R33" s="71">
        <f t="shared" si="277"/>
        <v>6</v>
      </c>
      <c r="S33" s="71">
        <f t="shared" si="6"/>
        <v>88.34</v>
      </c>
      <c r="T33" s="71">
        <f t="shared" si="7"/>
        <v>1.39</v>
      </c>
      <c r="U33" s="71">
        <f t="shared" si="8"/>
        <v>6.06</v>
      </c>
      <c r="V33" s="71">
        <f t="shared" si="9"/>
        <v>-7.6</v>
      </c>
      <c r="W33" s="103">
        <f t="shared" si="10"/>
        <v>106.6730214558573</v>
      </c>
      <c r="X33" s="165">
        <f>IF(AD33&gt;(W33*'Irradiancia Horizontal'!C24),AD33,W33*'Irradiancia Horizontal'!C24)</f>
        <v>20010.551615560922</v>
      </c>
      <c r="Y33" s="71">
        <f t="shared" si="278"/>
        <v>106.42</v>
      </c>
      <c r="Z33" s="71">
        <f t="shared" si="279"/>
        <v>3.83</v>
      </c>
      <c r="AA33" s="71">
        <f t="shared" si="280"/>
        <v>-36.15</v>
      </c>
      <c r="AB33" s="71">
        <f t="shared" si="281"/>
        <v>-28.83</v>
      </c>
      <c r="AC33" s="103">
        <f t="shared" si="15"/>
        <v>159.4591549554728</v>
      </c>
      <c r="AD33" s="71">
        <f>+AC33*'Irradiancia Horizontal'!C56</f>
        <v>8244.7318911094808</v>
      </c>
      <c r="AE33" s="71">
        <f t="shared" si="16"/>
        <v>11765.819724451441</v>
      </c>
      <c r="AF33" s="71">
        <f>+AE33/'Irradiancia Horizontal'!C85</f>
        <v>86.587618983097968</v>
      </c>
      <c r="AG33" s="38">
        <f t="shared" si="282"/>
        <v>0.52904177366493466</v>
      </c>
      <c r="AH33" s="84">
        <f t="shared" si="178"/>
        <v>0.52904177366493466</v>
      </c>
      <c r="AI33" s="84">
        <f t="shared" si="179"/>
        <v>0.2429253611679433</v>
      </c>
      <c r="AJ33" s="84">
        <f t="shared" si="180"/>
        <v>1.4259999999999999</v>
      </c>
      <c r="AK33" s="84">
        <f t="shared" si="181"/>
        <v>-0.65300000000000002</v>
      </c>
      <c r="AL33" s="84">
        <f t="shared" si="182"/>
        <v>-0.77900000000000003</v>
      </c>
      <c r="AM33" s="84">
        <f t="shared" si="183"/>
        <v>0.42499999999999999</v>
      </c>
      <c r="AN33" s="84">
        <f t="shared" si="184"/>
        <v>-0.78500000000000003</v>
      </c>
      <c r="AO33" s="84">
        <f t="shared" si="185"/>
        <v>-9.7000000000000003E-2</v>
      </c>
      <c r="AP33" s="84">
        <f t="shared" si="18"/>
        <v>0.30034765342241254</v>
      </c>
      <c r="AQ33" s="84">
        <f t="shared" si="19"/>
        <v>0.1844509195252057</v>
      </c>
      <c r="AR33" s="88">
        <f t="shared" si="20"/>
        <v>9797.8157803006961</v>
      </c>
      <c r="AS33" s="84">
        <f t="shared" si="283"/>
        <v>1.1319999999999999</v>
      </c>
      <c r="AT33" s="84">
        <f t="shared" si="284"/>
        <v>-1.2370000000000001</v>
      </c>
      <c r="AU33" s="84">
        <f t="shared" si="285"/>
        <v>-0.41199999999999998</v>
      </c>
      <c r="AV33" s="84">
        <f t="shared" si="286"/>
        <v>0.28799999999999998</v>
      </c>
      <c r="AW33" s="84">
        <f t="shared" si="287"/>
        <v>-0.82299999999999995</v>
      </c>
      <c r="AX33" s="84">
        <f t="shared" si="288"/>
        <v>5.6000000000000001E-2</v>
      </c>
      <c r="AY33" s="84">
        <f t="shared" si="27"/>
        <v>0.40946509926342523</v>
      </c>
      <c r="AZ33" s="84">
        <f t="shared" si="28"/>
        <v>0.24481868536928991</v>
      </c>
      <c r="BA33" s="106">
        <f>IF(G33&lt;0,0,((0.5*(1-AY33)*(1+COS(RADIANS($N$15))))+(AY33*(AH33/AI33))+(AZ33*SIN(RADIANS($N$15))))*'Irradiancia Horizontal'!C56)</f>
        <v>74.031188004536716</v>
      </c>
      <c r="BB33" s="106">
        <f t="shared" si="186"/>
        <v>2.1777955628897407</v>
      </c>
      <c r="BC33" s="84">
        <f>BB33*'Irradiancia Horizontal'!C85</f>
        <v>295.92625701686859</v>
      </c>
      <c r="BD33" s="84">
        <f t="shared" si="187"/>
        <v>369.95744502140531</v>
      </c>
      <c r="BE33" s="88">
        <f t="shared" si="29"/>
        <v>39464.478470522517</v>
      </c>
      <c r="BF33" s="84">
        <f t="shared" si="188"/>
        <v>29666.66269022182</v>
      </c>
      <c r="BG33" s="106">
        <f t="shared" si="189"/>
        <v>48433.887955886559</v>
      </c>
      <c r="BH33" s="106">
        <f t="shared" si="190"/>
        <v>25623.549989670941</v>
      </c>
      <c r="BI33" s="106">
        <f t="shared" si="191"/>
        <v>35421.365769971635</v>
      </c>
      <c r="BJ33" s="72"/>
      <c r="BL33" s="39">
        <v>0.66666666666666596</v>
      </c>
      <c r="BM33" s="38">
        <v>-60</v>
      </c>
      <c r="BN33" s="38">
        <f t="shared" si="30"/>
        <v>19.510962189955375</v>
      </c>
      <c r="BO33" s="38">
        <f t="shared" si="367"/>
        <v>-115.68321173167392</v>
      </c>
      <c r="BP33" s="38">
        <f t="shared" si="32"/>
        <v>70.489037810044621</v>
      </c>
      <c r="BQ33" s="38">
        <f>+'Irradiancia Horizontal'!D85/COS(RADIANS(BP33))</f>
        <v>520.59776504988133</v>
      </c>
      <c r="BR33" s="38">
        <f>((('Irradiancia Horizontal'!D56+BQ33)/'Irradiancia Horizontal'!D56)+1.041*((RADIANS('Cálculos iluminancia'!BP33))^3))/(1+1.041*((RADIANS('Cálculos iluminancia'!BP33))^3))</f>
        <v>3.303368067815601</v>
      </c>
      <c r="BS33" s="84">
        <f t="shared" si="33"/>
        <v>2.9717905941349203</v>
      </c>
      <c r="BT33" s="84">
        <f t="shared" si="192"/>
        <v>2.8984678355173488</v>
      </c>
      <c r="BU33" s="106">
        <f>'Irradiancia Horizontal'!D56*BT33/$BS$15</f>
        <v>0.15713953143411111</v>
      </c>
      <c r="BV33" s="84">
        <f>((17.27*Temp!C26)/(237.7+Temp!C26))+LN(HR!C37/100)</f>
        <v>0.54466852126099541</v>
      </c>
      <c r="BW33" s="84">
        <f t="shared" si="193"/>
        <v>7.7408156405340041</v>
      </c>
      <c r="BX33" s="84">
        <f t="shared" si="194"/>
        <v>1.5949734571887684</v>
      </c>
      <c r="BY33" s="84">
        <f t="shared" si="289"/>
        <v>6</v>
      </c>
      <c r="BZ33" s="84">
        <f t="shared" si="290"/>
        <v>88.34</v>
      </c>
      <c r="CA33" s="84">
        <f t="shared" si="291"/>
        <v>1.39</v>
      </c>
      <c r="CB33" s="84">
        <f t="shared" si="292"/>
        <v>6.06</v>
      </c>
      <c r="CC33" s="84">
        <f t="shared" si="293"/>
        <v>-7.6</v>
      </c>
      <c r="CD33" s="103">
        <f t="shared" si="39"/>
        <v>106.64569618062028</v>
      </c>
      <c r="CE33" s="165">
        <f>IF(CK33&gt;(CD33*'Irradiancia Horizontal'!D24),CK33,CD33*'Irradiancia Horizontal'!D24)</f>
        <v>26745.72905166437</v>
      </c>
      <c r="CF33" s="84">
        <f t="shared" si="294"/>
        <v>106.42</v>
      </c>
      <c r="CG33" s="84">
        <f t="shared" si="295"/>
        <v>3.83</v>
      </c>
      <c r="CH33" s="84">
        <f t="shared" si="296"/>
        <v>-36.15</v>
      </c>
      <c r="CI33" s="84">
        <f t="shared" si="297"/>
        <v>-28.83</v>
      </c>
      <c r="CJ33" s="103">
        <f t="shared" si="44"/>
        <v>153.80851813821644</v>
      </c>
      <c r="CK33" s="84">
        <f>+CJ33*'Irradiancia Horizontal'!D56</f>
        <v>11830.570115688661</v>
      </c>
      <c r="CL33" s="84">
        <f t="shared" si="195"/>
        <v>14915.158935975709</v>
      </c>
      <c r="CM33" s="84">
        <f>+CL33/'Irradiancia Horizontal'!D85</f>
        <v>85.781918817301317</v>
      </c>
      <c r="CN33" s="38">
        <f t="shared" si="45"/>
        <v>0.40850846088119575</v>
      </c>
      <c r="CO33" s="84">
        <f t="shared" si="196"/>
        <v>0.40850846088119575</v>
      </c>
      <c r="CP33" s="84">
        <f t="shared" si="197"/>
        <v>0.33398720523925596</v>
      </c>
      <c r="CQ33" s="84">
        <f t="shared" si="198"/>
        <v>1.4259999999999999</v>
      </c>
      <c r="CR33" s="84">
        <f t="shared" si="199"/>
        <v>-0.65300000000000002</v>
      </c>
      <c r="CS33" s="84">
        <f t="shared" si="200"/>
        <v>-0.77900000000000003</v>
      </c>
      <c r="CT33" s="84">
        <f t="shared" si="201"/>
        <v>0.42499999999999999</v>
      </c>
      <c r="CU33" s="84">
        <f t="shared" si="202"/>
        <v>-0.78500000000000003</v>
      </c>
      <c r="CV33" s="84">
        <f t="shared" si="203"/>
        <v>-9.7000000000000003E-2</v>
      </c>
      <c r="CW33" s="84">
        <f t="shared" si="46"/>
        <v>0.3650108306183929</v>
      </c>
      <c r="CX33" s="84">
        <f t="shared" si="47"/>
        <v>0.18230968557846172</v>
      </c>
      <c r="CY33" s="88">
        <f t="shared" si="48"/>
        <v>11194.777962758701</v>
      </c>
      <c r="CZ33" s="84">
        <f t="shared" si="298"/>
        <v>1.1319999999999999</v>
      </c>
      <c r="DA33" s="84">
        <f t="shared" si="299"/>
        <v>-1.2370000000000001</v>
      </c>
      <c r="DB33" s="84">
        <f t="shared" si="300"/>
        <v>-0.41199999999999998</v>
      </c>
      <c r="DC33" s="84">
        <f t="shared" si="301"/>
        <v>0.28799999999999998</v>
      </c>
      <c r="DD33" s="84">
        <f t="shared" si="302"/>
        <v>-0.82299999999999995</v>
      </c>
      <c r="DE33" s="84">
        <f t="shared" si="303"/>
        <v>5.6000000000000001E-2</v>
      </c>
      <c r="DF33" s="84">
        <f t="shared" si="55"/>
        <v>0.43074889152060714</v>
      </c>
      <c r="DG33" s="84">
        <f t="shared" si="56"/>
        <v>0.22756905022521745</v>
      </c>
      <c r="DH33" s="106">
        <f>IF(BN33&lt;0,0,((0.5*(1-DF33)*(1+COS(RADIANS($BU$15))))+(DF33*(CO33/CP33))+(DG33*SIN(RADIANS($BU$15))))*'Irradiancia Horizontal'!D56)</f>
        <v>79.921521257525896</v>
      </c>
      <c r="DI33" s="106">
        <f t="shared" si="204"/>
        <v>1.2231260793016174</v>
      </c>
      <c r="DJ33" s="84">
        <f>DI33*'Irradiancia Horizontal'!D85</f>
        <v>212.6685917387174</v>
      </c>
      <c r="DK33" s="84">
        <f t="shared" si="205"/>
        <v>292.59011299624331</v>
      </c>
      <c r="DL33" s="88">
        <f t="shared" si="57"/>
        <v>31203.476296050721</v>
      </c>
      <c r="DM33" s="84">
        <f t="shared" si="206"/>
        <v>20008.698333292021</v>
      </c>
      <c r="DN33" s="106">
        <f t="shared" si="207"/>
        <v>44657.875217977424</v>
      </c>
      <c r="DO33" s="106">
        <f t="shared" si="208"/>
        <v>18243.119871520452</v>
      </c>
      <c r="DP33" s="106">
        <f t="shared" si="209"/>
        <v>29437.897834279152</v>
      </c>
      <c r="DQ33" s="44"/>
      <c r="DS33" s="39">
        <v>0.66666666666666596</v>
      </c>
      <c r="DT33" s="38">
        <v>-60</v>
      </c>
      <c r="DU33" s="38">
        <f t="shared" si="58"/>
        <v>25.692175676161611</v>
      </c>
      <c r="DV33" s="38">
        <f t="shared" si="368"/>
        <v>-106.05155080847399</v>
      </c>
      <c r="DW33" s="38">
        <f t="shared" si="60"/>
        <v>64.307824323838389</v>
      </c>
      <c r="DX33" s="38">
        <f>+'Irradiancia Horizontal'!E85/COS(RADIANS(DW33))</f>
        <v>503.99813495748805</v>
      </c>
      <c r="DY33" s="38">
        <f>((('Irradiancia Horizontal'!E56+DX33)/'Irradiancia Horizontal'!E56)+1.041*((RADIANS('Cálculos iluminancia'!DW33))^3))/(1+1.041*((RADIANS('Cálculos iluminancia'!DW33))^3))</f>
        <v>2.9450209009940553</v>
      </c>
      <c r="DZ33" s="84">
        <f t="shared" si="61"/>
        <v>2.297277601928851</v>
      </c>
      <c r="EA33" s="84">
        <f t="shared" si="210"/>
        <v>2.2405970500029451</v>
      </c>
      <c r="EB33" s="106">
        <f>'Irradiancia Horizontal'!E56*EA33/$DZ$15</f>
        <v>0.16801418680556923</v>
      </c>
      <c r="EC33" s="84">
        <f>((17.27*Temp!D26)/(237.7+Temp!D26))+LN(HR!D37/100)</f>
        <v>0.61639682755883407</v>
      </c>
      <c r="ED33" s="84">
        <f t="shared" si="211"/>
        <v>8.7979474708029581</v>
      </c>
      <c r="EE33" s="84">
        <f t="shared" si="212"/>
        <v>1.7174769475980669</v>
      </c>
      <c r="EF33" s="84">
        <f t="shared" si="304"/>
        <v>6</v>
      </c>
      <c r="EG33" s="84">
        <f t="shared" si="305"/>
        <v>88.34</v>
      </c>
      <c r="EH33" s="84">
        <f t="shared" si="306"/>
        <v>1.39</v>
      </c>
      <c r="EI33" s="84">
        <f t="shared" si="307"/>
        <v>6.06</v>
      </c>
      <c r="EJ33" s="84">
        <f t="shared" si="308"/>
        <v>-7.6</v>
      </c>
      <c r="EK33" s="103">
        <f t="shared" si="67"/>
        <v>106.91069341439986</v>
      </c>
      <c r="EL33" s="165">
        <f>IF(ER33&gt;(EK33*'Irradiancia Horizontal'!E24),ER33,EK33*'Irradiancia Horizontal'!E24)</f>
        <v>34567.33547524918</v>
      </c>
      <c r="EM33" s="84">
        <f t="shared" si="309"/>
        <v>106.42</v>
      </c>
      <c r="EN33" s="84">
        <f t="shared" si="310"/>
        <v>3.83</v>
      </c>
      <c r="EO33" s="84">
        <f t="shared" si="311"/>
        <v>-36.15</v>
      </c>
      <c r="EP33" s="84">
        <f t="shared" si="312"/>
        <v>-28.83</v>
      </c>
      <c r="EQ33" s="103">
        <f t="shared" si="72"/>
        <v>148.74987796349947</v>
      </c>
      <c r="ER33" s="84">
        <f>+EQ33*'Irradiancia Horizontal'!E56</f>
        <v>15593.111085994824</v>
      </c>
      <c r="ES33" s="84">
        <f t="shared" si="213"/>
        <v>18974.224389254356</v>
      </c>
      <c r="ET33" s="84">
        <f>+ES33/'Irradiancia Horizontal'!E85</f>
        <v>86.838018953399171</v>
      </c>
      <c r="EU33" s="38">
        <f t="shared" si="73"/>
        <v>0.24916608023906589</v>
      </c>
      <c r="EV33" s="84">
        <f t="shared" si="214"/>
        <v>0.24916608023906589</v>
      </c>
      <c r="EW33" s="84">
        <f t="shared" si="215"/>
        <v>0.43353602927462864</v>
      </c>
      <c r="EX33" s="84">
        <f t="shared" si="216"/>
        <v>1.4259999999999999</v>
      </c>
      <c r="EY33" s="84">
        <f t="shared" si="217"/>
        <v>-0.65300000000000002</v>
      </c>
      <c r="EZ33" s="84">
        <f t="shared" si="218"/>
        <v>-0.77900000000000003</v>
      </c>
      <c r="FA33" s="84">
        <f t="shared" si="219"/>
        <v>0.42499999999999999</v>
      </c>
      <c r="FB33" s="84">
        <f t="shared" si="220"/>
        <v>-0.78500000000000003</v>
      </c>
      <c r="FC33" s="84">
        <f t="shared" si="221"/>
        <v>-9.7000000000000003E-2</v>
      </c>
      <c r="FD33" s="84">
        <f t="shared" si="74"/>
        <v>0.44195016927404884</v>
      </c>
      <c r="FE33" s="84">
        <f t="shared" si="75"/>
        <v>0.18423768624085576</v>
      </c>
      <c r="FF33" s="88">
        <f t="shared" si="76"/>
        <v>11184.385633672287</v>
      </c>
      <c r="FG33" s="84">
        <f t="shared" si="313"/>
        <v>1.1319999999999999</v>
      </c>
      <c r="FH33" s="84">
        <f t="shared" si="314"/>
        <v>-1.2370000000000001</v>
      </c>
      <c r="FI33" s="84">
        <f t="shared" si="315"/>
        <v>-0.41199999999999998</v>
      </c>
      <c r="FJ33" s="84">
        <f t="shared" si="316"/>
        <v>0.28799999999999998</v>
      </c>
      <c r="FK33" s="84">
        <f t="shared" si="317"/>
        <v>-0.82299999999999995</v>
      </c>
      <c r="FL33" s="84">
        <f t="shared" si="318"/>
        <v>5.6000000000000001E-2</v>
      </c>
      <c r="FM33" s="84">
        <f t="shared" si="83"/>
        <v>0.46174454399253939</v>
      </c>
      <c r="FN33" s="84">
        <f t="shared" si="84"/>
        <v>0.21257778733674076</v>
      </c>
      <c r="FO33" s="106">
        <f>IF(DU33&lt;0,0,((0.5*(1-FM33)*(1+COS(RADIANS($EB$15))))+(FM33*(EV33/EW33))+(FN33*SIN(RADIANS($EB$15))))*'Irradiancia Horizontal'!E56)</f>
        <v>78.31510138800887</v>
      </c>
      <c r="FP33" s="106">
        <f t="shared" si="222"/>
        <v>0.57472981116692523</v>
      </c>
      <c r="FQ33" s="84">
        <f>FP33*'Irradiancia Horizontal'!E85</f>
        <v>125.57923973515702</v>
      </c>
      <c r="FR33" s="84">
        <f t="shared" si="223"/>
        <v>203.89434112316587</v>
      </c>
      <c r="FS33" s="88">
        <f t="shared" si="85"/>
        <v>21798.485392749848</v>
      </c>
      <c r="FT33" s="84">
        <f t="shared" si="224"/>
        <v>10614.099759077561</v>
      </c>
      <c r="FU33" s="106">
        <f t="shared" si="225"/>
        <v>43766.19959591618</v>
      </c>
      <c r="FV33" s="106">
        <f t="shared" si="226"/>
        <v>10905.052400275024</v>
      </c>
      <c r="FW33" s="106">
        <f t="shared" si="227"/>
        <v>22089.438033947314</v>
      </c>
      <c r="FX33" s="83"/>
      <c r="FZ33" s="39">
        <v>0.66666666666666596</v>
      </c>
      <c r="GA33" s="38">
        <v>-60</v>
      </c>
      <c r="GB33" s="38">
        <f t="shared" si="86"/>
        <v>31.710922299799869</v>
      </c>
      <c r="GC33" s="38">
        <f t="shared" si="369"/>
        <v>-94.223487161165693</v>
      </c>
      <c r="GD33" s="38">
        <f t="shared" si="88"/>
        <v>58.289077700200131</v>
      </c>
      <c r="GE33" s="38">
        <f>+'Irradiancia Horizontal'!F85/COS(RADIANS(GD33))</f>
        <v>593.52845121072255</v>
      </c>
      <c r="GF33" s="38">
        <f>((('Irradiancia Horizontal'!F56+GE33)/'Irradiancia Horizontal'!F56)+1.041*((RADIANS('Cálculos iluminancia'!GD33))^3))/(1+1.041*((RADIANS('Cálculos iluminancia'!GD33))^3))</f>
        <v>3.5371139755312182</v>
      </c>
      <c r="GG33" s="84">
        <f t="shared" si="89"/>
        <v>1.8976764122479264</v>
      </c>
      <c r="GH33" s="84">
        <f t="shared" si="276"/>
        <v>1.8508551894524428</v>
      </c>
      <c r="GI33" s="106">
        <f>'Irradiancia Horizontal'!F56*GH33/$GG$15</f>
        <v>0.15045955754836293</v>
      </c>
      <c r="GJ33" s="84">
        <f>((17.27*Temp!E26)/(237.7+Temp!E26))+LN(HR!E37/100)</f>
        <v>0.76380197364377889</v>
      </c>
      <c r="GK33" s="84">
        <f t="shared" si="228"/>
        <v>10.999245789080422</v>
      </c>
      <c r="GL33" s="84">
        <f t="shared" si="229"/>
        <v>2.0036032913851569</v>
      </c>
      <c r="GM33" s="84">
        <f t="shared" si="319"/>
        <v>6</v>
      </c>
      <c r="GN33" s="84">
        <f t="shared" si="320"/>
        <v>88.34</v>
      </c>
      <c r="GO33" s="84">
        <f t="shared" si="321"/>
        <v>1.39</v>
      </c>
      <c r="GP33" s="84">
        <f t="shared" si="322"/>
        <v>6.06</v>
      </c>
      <c r="GQ33" s="84">
        <f t="shared" si="323"/>
        <v>-7.6</v>
      </c>
      <c r="GR33" s="103">
        <f t="shared" si="96"/>
        <v>108.70521282678341</v>
      </c>
      <c r="GS33" s="165">
        <f>IF(GY33&gt;(GR33*'Irradiancia Horizontal'!F24),GY33,GR33*'Irradiancia Horizontal'!F24)</f>
        <v>46045.998965091261</v>
      </c>
      <c r="GT33" s="84">
        <f t="shared" si="324"/>
        <v>106.42</v>
      </c>
      <c r="GU33" s="84">
        <f t="shared" si="325"/>
        <v>3.83</v>
      </c>
      <c r="GV33" s="84">
        <f t="shared" si="326"/>
        <v>-36.15</v>
      </c>
      <c r="GW33" s="84">
        <f t="shared" si="327"/>
        <v>-28.83</v>
      </c>
      <c r="GX33" s="103">
        <f t="shared" si="101"/>
        <v>149.69791482130194</v>
      </c>
      <c r="GY33" s="84">
        <f>+GX33*'Irradiancia Horizontal'!F56</f>
        <v>16707.379887806266</v>
      </c>
      <c r="GZ33" s="84">
        <f t="shared" si="230"/>
        <v>29338.619077284995</v>
      </c>
      <c r="HA33" s="84">
        <f>+GZ33/'Irradiancia Horizontal'!F85</f>
        <v>94.040475453882522</v>
      </c>
      <c r="HB33" s="38">
        <f t="shared" si="102"/>
        <v>6.2652323005477684E-2</v>
      </c>
      <c r="HC33" s="84">
        <f t="shared" si="231"/>
        <v>6.2652323005477684E-2</v>
      </c>
      <c r="HD33" s="84">
        <f t="shared" si="232"/>
        <v>0.52563383172476286</v>
      </c>
      <c r="HE33" s="84">
        <f t="shared" si="233"/>
        <v>1.4259999999999999</v>
      </c>
      <c r="HF33" s="84">
        <f t="shared" si="234"/>
        <v>-0.65300000000000002</v>
      </c>
      <c r="HG33" s="84">
        <f t="shared" si="235"/>
        <v>-0.77900000000000003</v>
      </c>
      <c r="HH33" s="84">
        <f t="shared" si="236"/>
        <v>0.42499999999999999</v>
      </c>
      <c r="HI33" s="84">
        <f t="shared" si="237"/>
        <v>-0.78500000000000003</v>
      </c>
      <c r="HJ33" s="84">
        <f t="shared" si="238"/>
        <v>-9.7000000000000003E-2</v>
      </c>
      <c r="HK33" s="84">
        <f t="shared" si="103"/>
        <v>0.53524491266568686</v>
      </c>
      <c r="HL33" s="84">
        <f t="shared" si="104"/>
        <v>0.20820762391406333</v>
      </c>
      <c r="HM33" s="88">
        <f t="shared" si="105"/>
        <v>8426.9195992307468</v>
      </c>
      <c r="HN33" s="84">
        <f t="shared" si="328"/>
        <v>1.1319999999999999</v>
      </c>
      <c r="HO33" s="84">
        <f t="shared" si="329"/>
        <v>-1.2370000000000001</v>
      </c>
      <c r="HP33" s="84">
        <f t="shared" si="330"/>
        <v>-0.41199999999999998</v>
      </c>
      <c r="HQ33" s="84">
        <f t="shared" si="331"/>
        <v>0.28799999999999998</v>
      </c>
      <c r="HR33" s="84">
        <f t="shared" si="332"/>
        <v>-0.82299999999999995</v>
      </c>
      <c r="HS33" s="84">
        <f t="shared" si="333"/>
        <v>5.6000000000000001E-2</v>
      </c>
      <c r="HT33" s="84">
        <f t="shared" si="112"/>
        <v>0.52673896189912472</v>
      </c>
      <c r="HU33" s="84">
        <f t="shared" si="113"/>
        <v>0.22114261827157788</v>
      </c>
      <c r="HV33" s="106">
        <f>IF(GB33&lt;0,0,((0.5*(1-HT33)*(1+COS(RADIANS($GI$15))))+(HT33*(HC33/HD33))+(HU33*SIN(RADIANS($GI$15))))*'Irradiancia Horizontal'!F56)</f>
        <v>58.097981220404542</v>
      </c>
      <c r="HW33" s="84">
        <f t="shared" si="114"/>
        <v>0.11919385553988515</v>
      </c>
      <c r="HX33" s="84">
        <f>HW33*'Irradiancia Horizontal'!F85</f>
        <v>37.18593623819509</v>
      </c>
      <c r="HY33" s="84">
        <f t="shared" si="239"/>
        <v>95.283917458599632</v>
      </c>
      <c r="HZ33" s="88">
        <f t="shared" si="115"/>
        <v>10357.858526306736</v>
      </c>
      <c r="IA33" s="84">
        <f t="shared" si="240"/>
        <v>1930.9389270759893</v>
      </c>
      <c r="IB33" s="106">
        <f t="shared" si="241"/>
        <v>55815.697747262864</v>
      </c>
      <c r="IC33" s="106">
        <f t="shared" si="242"/>
        <v>3496.9831240376261</v>
      </c>
      <c r="ID33" s="106">
        <f t="shared" si="243"/>
        <v>11923.902723268373</v>
      </c>
      <c r="IE33" s="83"/>
      <c r="IG33" s="39">
        <v>0.66666666666666596</v>
      </c>
      <c r="IH33" s="38">
        <v>-60</v>
      </c>
      <c r="II33" s="38">
        <f t="shared" si="116"/>
        <v>35.281146205343326</v>
      </c>
      <c r="IJ33" s="38">
        <f t="shared" si="370"/>
        <v>-84.888900516560128</v>
      </c>
      <c r="IK33" s="38">
        <f t="shared" si="118"/>
        <v>54.718853794656674</v>
      </c>
      <c r="IL33" s="38">
        <f>+'Irradiancia Horizontal'!G85/COS(RADIANS(IK33))</f>
        <v>827.71151497947039</v>
      </c>
      <c r="IM33" s="38">
        <f>((('Irradiancia Horizontal'!G56+IL33)/'Irradiancia Horizontal'!G56)+1.041*((RADIANS('Cálculos iluminancia'!IK33))^3))/(1+1.041*((RADIANS('Cálculos iluminancia'!IK33))^3))</f>
        <v>7.2993655425346295</v>
      </c>
      <c r="IN33" s="87">
        <f t="shared" si="119"/>
        <v>1.7279116933529695</v>
      </c>
      <c r="IO33" s="87">
        <f t="shared" si="334"/>
        <v>1.6852790622872937</v>
      </c>
      <c r="IP33" s="106">
        <f>'Irradiancia Horizontal'!G56*IO33/$IN$15</f>
        <v>8.5832696177722365E-2</v>
      </c>
      <c r="IQ33" s="87">
        <f>((17.27*Temp!F26)/(237.7+Temp!F26))+LN(HR!F37/100)</f>
        <v>0.94923103393022035</v>
      </c>
      <c r="IR33" s="87">
        <f t="shared" si="244"/>
        <v>13.824852078617967</v>
      </c>
      <c r="IS33" s="87">
        <f t="shared" si="245"/>
        <v>2.4418101902646754</v>
      </c>
      <c r="IT33" s="87">
        <f t="shared" si="335"/>
        <v>8</v>
      </c>
      <c r="IU33" s="87">
        <f t="shared" si="336"/>
        <v>99.65</v>
      </c>
      <c r="IV33" s="87">
        <f t="shared" si="337"/>
        <v>1.86</v>
      </c>
      <c r="IW33" s="87">
        <f t="shared" si="338"/>
        <v>-4.46</v>
      </c>
      <c r="IX33" s="87">
        <f t="shared" si="339"/>
        <v>-3.15</v>
      </c>
      <c r="IY33" s="103">
        <f t="shared" si="126"/>
        <v>109.35008896412131</v>
      </c>
      <c r="IZ33" s="165">
        <f>IF(JF33&gt;(IY33*'Irradiancia Horizontal'!G24),JF33,IY33*'Irradiancia Horizontal'!G24)</f>
        <v>59813.143196606725</v>
      </c>
      <c r="JA33" s="87">
        <f t="shared" si="340"/>
        <v>152.22999999999999</v>
      </c>
      <c r="JB33" s="87">
        <f t="shared" si="341"/>
        <v>0.35</v>
      </c>
      <c r="JC33" s="87">
        <f t="shared" si="342"/>
        <v>-45.27</v>
      </c>
      <c r="JD33" s="87">
        <f t="shared" si="343"/>
        <v>-7.98</v>
      </c>
      <c r="JE33" s="103">
        <f t="shared" si="131"/>
        <v>146.53091304800526</v>
      </c>
      <c r="JF33" s="87">
        <f>+JE33*'Irradiancia Horizontal'!G56</f>
        <v>10097.519917833282</v>
      </c>
      <c r="JG33" s="87">
        <f t="shared" si="246"/>
        <v>49715.623278773441</v>
      </c>
      <c r="JH33" s="87">
        <f>+JG33/'Irradiancia Horizontal'!G85</f>
        <v>103.99080785409532</v>
      </c>
      <c r="JI33" s="38">
        <f t="shared" si="132"/>
        <v>-7.2724390199308209E-2</v>
      </c>
      <c r="JJ33" s="87">
        <f t="shared" si="247"/>
        <v>0</v>
      </c>
      <c r="JK33" s="87">
        <f t="shared" si="248"/>
        <v>0.57758903422005381</v>
      </c>
      <c r="JL33" s="87">
        <f t="shared" si="249"/>
        <v>1.17</v>
      </c>
      <c r="JM33" s="87">
        <f t="shared" si="250"/>
        <v>-0.3</v>
      </c>
      <c r="JN33" s="87">
        <f t="shared" si="251"/>
        <v>-0.61499999999999999</v>
      </c>
      <c r="JO33" s="87">
        <f t="shared" si="252"/>
        <v>0.51800000000000002</v>
      </c>
      <c r="JP33" s="87">
        <f t="shared" si="253"/>
        <v>-1.8919999999999999</v>
      </c>
      <c r="JQ33" s="87">
        <f t="shared" si="254"/>
        <v>-5.5E-2</v>
      </c>
      <c r="JR33" s="87">
        <f t="shared" si="133"/>
        <v>0.55691033174167959</v>
      </c>
      <c r="JS33" s="87">
        <f t="shared" si="134"/>
        <v>0.30307820994187096</v>
      </c>
      <c r="JT33" s="88">
        <f t="shared" si="135"/>
        <v>5297.3916368615646</v>
      </c>
      <c r="JU33" s="87">
        <f t="shared" si="344"/>
        <v>0.67800000000000005</v>
      </c>
      <c r="JV33" s="87">
        <f t="shared" si="345"/>
        <v>-0.32700000000000001</v>
      </c>
      <c r="JW33" s="87">
        <f t="shared" si="346"/>
        <v>-0.25</v>
      </c>
      <c r="JX33" s="87">
        <f t="shared" si="347"/>
        <v>0.156</v>
      </c>
      <c r="JY33" s="87">
        <f t="shared" si="348"/>
        <v>-1.377</v>
      </c>
      <c r="JZ33" s="87">
        <f t="shared" si="349"/>
        <v>0.251</v>
      </c>
      <c r="KA33" s="87">
        <f t="shared" si="142"/>
        <v>0.41117666794134677</v>
      </c>
      <c r="KB33" s="87">
        <f t="shared" si="143"/>
        <v>0.27751944193344846</v>
      </c>
      <c r="KC33" s="106">
        <f>IF(II33&lt;0,0,((0.5*(1-KA33)*(1+COS(RADIANS($IP$15))))+(KA33*(JJ33/JK33))+(KB33*SIN(RADIANS($IP$15))))*'Irradiancia Horizontal'!G56)</f>
        <v>39.412064213307623</v>
      </c>
      <c r="KD33" s="87">
        <f t="shared" si="144"/>
        <v>0</v>
      </c>
      <c r="KE33" s="87">
        <f>KD33*'Irradiancia Horizontal'!G85</f>
        <v>0</v>
      </c>
      <c r="KF33" s="87">
        <f t="shared" si="255"/>
        <v>39.412064213307623</v>
      </c>
      <c r="KG33" s="88">
        <f t="shared" si="145"/>
        <v>4309.7127279848501</v>
      </c>
      <c r="KH33" s="87">
        <f t="shared" si="256"/>
        <v>-987.67890887671456</v>
      </c>
      <c r="KI33" s="106">
        <f t="shared" si="257"/>
        <v>86074.389112852237</v>
      </c>
      <c r="KJ33" s="106">
        <f t="shared" si="258"/>
        <v>0</v>
      </c>
      <c r="KK33" s="106">
        <f t="shared" si="259"/>
        <v>5297.3916368615646</v>
      </c>
      <c r="KL33" s="86"/>
      <c r="KN33" s="39">
        <v>0.66666666666666596</v>
      </c>
      <c r="KO33" s="38">
        <v>-60</v>
      </c>
      <c r="KP33" s="38">
        <f t="shared" si="146"/>
        <v>36.462362723804389</v>
      </c>
      <c r="KQ33" s="38">
        <f t="shared" si="371"/>
        <v>-81.070349439875727</v>
      </c>
      <c r="KR33" s="38">
        <f t="shared" si="148"/>
        <v>53.537637276195611</v>
      </c>
      <c r="KS33" s="38">
        <f>+'Irradiancia Horizontal'!H85/COS(RADIANS(KR33))</f>
        <v>846.78702979768013</v>
      </c>
      <c r="KT33" s="38">
        <f>((('Irradiancia Horizontal'!H56+KS33)/'Irradiancia Horizontal'!H56)+1.041*((RADIANS('Cálculos iluminancia'!KR33))^3))/(1+1.041*((RADIANS('Cálculos iluminancia'!KR33))^3))</f>
        <v>7.7806736862200294</v>
      </c>
      <c r="KU33" s="87">
        <f t="shared" si="149"/>
        <v>1.6795789184858969</v>
      </c>
      <c r="KV33" s="87">
        <f t="shared" si="350"/>
        <v>1.6381387982222575</v>
      </c>
      <c r="KW33" s="106">
        <f>'Irradiancia Horizontal'!H56*KV33/$KU$15</f>
        <v>8.2440998489369283E-2</v>
      </c>
      <c r="KX33" s="87">
        <f>((17.27*Temp!G26)/(237.7+Temp!G26))+LN(HR!G37/100)</f>
        <v>1.2308346115628808</v>
      </c>
      <c r="KY33" s="87">
        <f t="shared" si="260"/>
        <v>18.240935864369508</v>
      </c>
      <c r="KZ33" s="87">
        <f t="shared" si="261"/>
        <v>3.3263164165491146</v>
      </c>
      <c r="LA33" s="87">
        <f t="shared" si="351"/>
        <v>8</v>
      </c>
      <c r="LB33" s="87">
        <f t="shared" si="352"/>
        <v>99.65</v>
      </c>
      <c r="LC33" s="87">
        <f t="shared" si="353"/>
        <v>1.86</v>
      </c>
      <c r="LD33" s="87">
        <f t="shared" si="354"/>
        <v>-4.46</v>
      </c>
      <c r="LE33" s="87">
        <f t="shared" si="355"/>
        <v>-3.15</v>
      </c>
      <c r="LF33" s="103">
        <f t="shared" si="156"/>
        <v>111.04776267256901</v>
      </c>
      <c r="LG33" s="165">
        <f>IF(LM33&gt;(LF33*'Irradiancia Horizontal'!H24),LM33,LF33*'Irradiancia Horizontal'!H24)</f>
        <v>63382.796582016301</v>
      </c>
      <c r="LH33" s="87">
        <f t="shared" si="356"/>
        <v>152.22999999999999</v>
      </c>
      <c r="LI33" s="87">
        <f t="shared" si="357"/>
        <v>0.35</v>
      </c>
      <c r="LJ33" s="87">
        <f t="shared" si="358"/>
        <v>-45.27</v>
      </c>
      <c r="LK33" s="87">
        <f t="shared" si="359"/>
        <v>-7.98</v>
      </c>
      <c r="LL33" s="103">
        <f t="shared" si="161"/>
        <v>146.40595962105397</v>
      </c>
      <c r="LM33" s="87">
        <f>+LL33*'Irradiancia Horizontal'!H56</f>
        <v>9886.738666144056</v>
      </c>
      <c r="LN33" s="87">
        <f t="shared" si="262"/>
        <v>53496.057915872247</v>
      </c>
      <c r="LO33" s="87">
        <f>+LN33/'Irradiancia Horizontal'!H85</f>
        <v>106.30306634821346</v>
      </c>
      <c r="LP33" s="38">
        <f t="shared" si="162"/>
        <v>-0.12483659967971542</v>
      </c>
      <c r="LQ33" s="87">
        <f t="shared" si="263"/>
        <v>0</v>
      </c>
      <c r="LR33" s="87">
        <f t="shared" si="264"/>
        <v>0.5942946093902769</v>
      </c>
      <c r="LS33" s="87">
        <f t="shared" si="265"/>
        <v>1.17</v>
      </c>
      <c r="LT33" s="87">
        <f t="shared" si="266"/>
        <v>-0.3</v>
      </c>
      <c r="LU33" s="87">
        <f t="shared" si="267"/>
        <v>-0.61499999999999999</v>
      </c>
      <c r="LV33" s="87">
        <f t="shared" si="268"/>
        <v>0.51800000000000002</v>
      </c>
      <c r="LW33" s="87">
        <f t="shared" si="269"/>
        <v>-1.8919999999999999</v>
      </c>
      <c r="LX33" s="87">
        <f t="shared" si="270"/>
        <v>-5.5E-2</v>
      </c>
      <c r="LY33" s="87">
        <f t="shared" si="163"/>
        <v>0.5706067532652308</v>
      </c>
      <c r="LZ33" s="87">
        <f t="shared" si="164"/>
        <v>0.31062918842666992</v>
      </c>
      <c r="MA33" s="88">
        <f t="shared" si="165"/>
        <v>5193.759015787793</v>
      </c>
      <c r="MB33" s="87">
        <f t="shared" si="360"/>
        <v>0.67800000000000005</v>
      </c>
      <c r="MC33" s="87">
        <f t="shared" si="361"/>
        <v>-0.32700000000000001</v>
      </c>
      <c r="MD33" s="87">
        <f t="shared" si="362"/>
        <v>-0.25</v>
      </c>
      <c r="ME33" s="87">
        <f t="shared" si="363"/>
        <v>0.156</v>
      </c>
      <c r="MF33" s="87">
        <f t="shared" si="364"/>
        <v>-1.377</v>
      </c>
      <c r="MG33" s="87">
        <f t="shared" si="365"/>
        <v>0.251</v>
      </c>
      <c r="MH33" s="87">
        <f t="shared" si="172"/>
        <v>0.41743978244196073</v>
      </c>
      <c r="MI33" s="87">
        <f t="shared" si="173"/>
        <v>0.27701516417636207</v>
      </c>
      <c r="MJ33" s="106">
        <f>IF(KP33&lt;0,0,((0.5*(1-MH33)*(1+COS(RADIANS($KW$15))))+(MH33*(LQ33/LR33))+(MI33*SIN(RADIANS($KW$15))))*'Irradiancia Horizontal'!H56)</f>
        <v>38.376763237354446</v>
      </c>
      <c r="MK33" s="87">
        <f t="shared" si="174"/>
        <v>0</v>
      </c>
      <c r="ML33" s="87">
        <f>MK33*'Irradiancia Horizontal'!H85</f>
        <v>0</v>
      </c>
      <c r="MM33" s="87">
        <f t="shared" si="271"/>
        <v>38.376763237354446</v>
      </c>
      <c r="MN33" s="88">
        <f t="shared" si="175"/>
        <v>4261.6536961231077</v>
      </c>
      <c r="MO33" s="87">
        <f t="shared" si="272"/>
        <v>-932.10531966468534</v>
      </c>
      <c r="MP33" s="106">
        <f t="shared" si="273"/>
        <v>90016.057811389401</v>
      </c>
      <c r="MQ33" s="106">
        <f t="shared" si="274"/>
        <v>0</v>
      </c>
      <c r="MR33" s="106">
        <f t="shared" si="275"/>
        <v>5193.759015787793</v>
      </c>
    </row>
    <row r="34" spans="4:356" x14ac:dyDescent="0.25">
      <c r="E34" s="39">
        <v>0.70833333333333304</v>
      </c>
      <c r="F34" s="38">
        <v>-75</v>
      </c>
      <c r="G34" s="38">
        <f t="shared" si="0"/>
        <v>2.5810689008028067</v>
      </c>
      <c r="H34" s="38">
        <f t="shared" si="366"/>
        <v>-114.79748300641437</v>
      </c>
      <c r="I34" s="38">
        <f t="shared" si="2"/>
        <v>87.418931099197195</v>
      </c>
      <c r="J34" s="38">
        <f>'Irradiancia Horizontal'!C86/COS(RADIANS(I34))</f>
        <v>443.3892691290983</v>
      </c>
      <c r="K34" s="38">
        <f>((('Irradiancia Horizontal'!C57+J34)/'Irradiancia Horizontal'!C57)+1.041*((RADIANS('Cálculos iluminancia'!I34))^3))/(1+1.041*((RADIANS('Cálculos iluminancia'!I34))^3))</f>
        <v>10.847842295747704</v>
      </c>
      <c r="L34" s="36">
        <f t="shared" si="3"/>
        <v>16.718817922721485</v>
      </c>
      <c r="M34" s="36">
        <f t="shared" si="4"/>
        <v>16.306315826060235</v>
      </c>
      <c r="N34" s="106">
        <f>'Irradiancia Horizontal'!C57*M34/$L$15</f>
        <v>0.10904668546154685</v>
      </c>
      <c r="O34" s="71">
        <f>((17.27*Temp!B27)/(237.7+Temp!B27))+LN(HR!B38/100)</f>
        <v>0.48653243293564419</v>
      </c>
      <c r="P34" s="71">
        <f t="shared" si="176"/>
        <v>6.8906356119012111</v>
      </c>
      <c r="Q34" s="71">
        <f t="shared" si="177"/>
        <v>1.5028217278129063</v>
      </c>
      <c r="R34" s="71">
        <f t="shared" si="277"/>
        <v>8</v>
      </c>
      <c r="S34" s="71">
        <f t="shared" si="6"/>
        <v>99.65</v>
      </c>
      <c r="T34" s="71">
        <f t="shared" si="7"/>
        <v>1.86</v>
      </c>
      <c r="U34" s="71">
        <f t="shared" si="8"/>
        <v>-4.46</v>
      </c>
      <c r="V34" s="71">
        <f t="shared" si="9"/>
        <v>-3.15</v>
      </c>
      <c r="W34" s="103">
        <f t="shared" si="10"/>
        <v>109.22473603095843</v>
      </c>
      <c r="X34" s="165">
        <f>IF(AD34&gt;(W34*'Irradiancia Horizontal'!C25),AD34,W34*'Irradiancia Horizontal'!C25)</f>
        <v>3227.8027210942041</v>
      </c>
      <c r="Y34" s="71">
        <f t="shared" si="278"/>
        <v>152.22999999999999</v>
      </c>
      <c r="Z34" s="71">
        <f t="shared" si="279"/>
        <v>0.35</v>
      </c>
      <c r="AA34" s="71">
        <f t="shared" si="280"/>
        <v>-45.27</v>
      </c>
      <c r="AB34" s="71">
        <f t="shared" si="281"/>
        <v>-7.98</v>
      </c>
      <c r="AC34" s="103">
        <f t="shared" si="15"/>
        <v>168.40086137540175</v>
      </c>
      <c r="AD34" s="71">
        <f>+AC34*'Irradiancia Horizontal'!C57</f>
        <v>1614.0931640583053</v>
      </c>
      <c r="AE34" s="71">
        <f t="shared" si="16"/>
        <v>1613.7095570358988</v>
      </c>
      <c r="AF34" s="71">
        <f>+AE34/'Irradiancia Horizontal'!C86</f>
        <v>80.818377147126711</v>
      </c>
      <c r="AG34" s="38">
        <f t="shared" si="282"/>
        <v>0.4189867113843756</v>
      </c>
      <c r="AH34" s="84">
        <f t="shared" si="178"/>
        <v>0.4189867113843756</v>
      </c>
      <c r="AI34" s="84">
        <f t="shared" si="179"/>
        <v>8.6999999999999994E-2</v>
      </c>
      <c r="AJ34" s="84">
        <f t="shared" si="180"/>
        <v>1.17</v>
      </c>
      <c r="AK34" s="84">
        <f t="shared" si="181"/>
        <v>-0.3</v>
      </c>
      <c r="AL34" s="84">
        <f t="shared" si="182"/>
        <v>-0.61499999999999999</v>
      </c>
      <c r="AM34" s="84">
        <f t="shared" si="183"/>
        <v>0.51800000000000002</v>
      </c>
      <c r="AN34" s="84">
        <f t="shared" si="184"/>
        <v>-1.8919999999999999</v>
      </c>
      <c r="AO34" s="84">
        <f t="shared" si="185"/>
        <v>-5.5E-2</v>
      </c>
      <c r="AP34" s="84">
        <f t="shared" si="18"/>
        <v>0.19895086596467604</v>
      </c>
      <c r="AQ34" s="84">
        <f t="shared" si="19"/>
        <v>0.22776752141272527</v>
      </c>
      <c r="AR34" s="88">
        <f t="shared" si="20"/>
        <v>2560.6415650483764</v>
      </c>
      <c r="AS34" s="84">
        <f t="shared" si="283"/>
        <v>0.67800000000000005</v>
      </c>
      <c r="AT34" s="84">
        <f t="shared" si="284"/>
        <v>-0.32700000000000001</v>
      </c>
      <c r="AU34" s="84">
        <f t="shared" si="285"/>
        <v>-0.25</v>
      </c>
      <c r="AV34" s="84">
        <f t="shared" si="286"/>
        <v>0.156</v>
      </c>
      <c r="AW34" s="84">
        <f t="shared" si="287"/>
        <v>-1.377</v>
      </c>
      <c r="AX34" s="84">
        <f t="shared" si="288"/>
        <v>0.251</v>
      </c>
      <c r="AY34" s="84">
        <f t="shared" si="27"/>
        <v>0.26090468979031006</v>
      </c>
      <c r="AZ34" s="84">
        <f t="shared" si="28"/>
        <v>0.3888055063594692</v>
      </c>
      <c r="BA34" s="106">
        <f>IF(G34&lt;0,0,((0.5*(1-AY34)*(1+COS(RADIANS($N$15))))+(AY34*(AH34/AI34))+(AZ34*SIN(RADIANS($N$15))))*'Irradiancia Horizontal'!C57)</f>
        <v>19.312030267368357</v>
      </c>
      <c r="BB34" s="106">
        <f t="shared" si="186"/>
        <v>9.3040102804061462</v>
      </c>
      <c r="BC34" s="84">
        <f>BB34*'Irradiancia Horizontal'!C86</f>
        <v>185.77421173552273</v>
      </c>
      <c r="BD34" s="84">
        <f t="shared" si="187"/>
        <v>205.08624200289108</v>
      </c>
      <c r="BE34" s="88">
        <f t="shared" si="29"/>
        <v>22400.490646347036</v>
      </c>
      <c r="BF34" s="84">
        <f t="shared" si="188"/>
        <v>19839.84908129866</v>
      </c>
      <c r="BG34" s="106">
        <f t="shared" si="189"/>
        <v>35834.001175464335</v>
      </c>
      <c r="BH34" s="106">
        <f t="shared" si="190"/>
        <v>15013.970308251652</v>
      </c>
      <c r="BI34" s="106">
        <f t="shared" si="191"/>
        <v>17574.611873300029</v>
      </c>
      <c r="BJ34" s="72"/>
      <c r="BL34" s="39">
        <v>0.70833333333333304</v>
      </c>
      <c r="BM34" s="38">
        <v>-75</v>
      </c>
      <c r="BN34" s="38">
        <f t="shared" si="30"/>
        <v>7.3102534726872559</v>
      </c>
      <c r="BO34" s="38">
        <f t="shared" si="367"/>
        <v>-107.2136474400794</v>
      </c>
      <c r="BP34" s="38">
        <f t="shared" si="32"/>
        <v>82.689746527312749</v>
      </c>
      <c r="BQ34" s="38">
        <f>+'Irradiancia Horizontal'!D86/COS(RADIANS(BP34))</f>
        <v>419.96954029301742</v>
      </c>
      <c r="BR34" s="38">
        <f>((('Irradiancia Horizontal'!D57+BQ34)/'Irradiancia Horizontal'!D57)+1.041*((RADIANS('Cálculos iluminancia'!BP34))^3))/(1+1.041*((RADIANS('Cálculos iluminancia'!BP34))^3))</f>
        <v>4.4707404820528467</v>
      </c>
      <c r="BS34" s="84">
        <f t="shared" si="33"/>
        <v>7.4356592645008854</v>
      </c>
      <c r="BT34" s="84">
        <f t="shared" si="192"/>
        <v>7.2521998207266467</v>
      </c>
      <c r="BU34" s="106">
        <f>'Irradiancia Horizontal'!D57*BT34/$BS$15</f>
        <v>0.14979170790771429</v>
      </c>
      <c r="BV34" s="84">
        <f>((17.27*Temp!C27)/(237.7+Temp!C27))+LN(HR!C38/100)</f>
        <v>0.55954632030510876</v>
      </c>
      <c r="BW34" s="84">
        <f t="shared" si="193"/>
        <v>7.959338680202297</v>
      </c>
      <c r="BX34" s="84">
        <f t="shared" si="194"/>
        <v>1.6195587046755247</v>
      </c>
      <c r="BY34" s="84">
        <f t="shared" si="289"/>
        <v>6</v>
      </c>
      <c r="BZ34" s="84">
        <f t="shared" si="290"/>
        <v>88.34</v>
      </c>
      <c r="CA34" s="84">
        <f t="shared" si="291"/>
        <v>1.39</v>
      </c>
      <c r="CB34" s="84">
        <f t="shared" si="292"/>
        <v>6.06</v>
      </c>
      <c r="CC34" s="84">
        <f t="shared" si="293"/>
        <v>-7.6</v>
      </c>
      <c r="CD34" s="103">
        <f t="shared" si="39"/>
        <v>105.7909464888218</v>
      </c>
      <c r="CE34" s="165">
        <f>IF(CK34&gt;(CD34*'Irradiancia Horizontal'!D25),CK34,CD34*'Irradiancia Horizontal'!D25)</f>
        <v>8753.3304465557176</v>
      </c>
      <c r="CF34" s="84">
        <f t="shared" si="294"/>
        <v>106.42</v>
      </c>
      <c r="CG34" s="84">
        <f t="shared" si="295"/>
        <v>3.83</v>
      </c>
      <c r="CH34" s="84">
        <f t="shared" si="296"/>
        <v>-36.15</v>
      </c>
      <c r="CI34" s="84">
        <f t="shared" si="297"/>
        <v>-28.83</v>
      </c>
      <c r="CJ34" s="103">
        <f t="shared" si="44"/>
        <v>162.75713818419888</v>
      </c>
      <c r="CK34" s="84">
        <f>+CJ34*'Irradiancia Horizontal'!D57</f>
        <v>4769.4288353246875</v>
      </c>
      <c r="CL34" s="84">
        <f t="shared" si="195"/>
        <v>3983.9016112310301</v>
      </c>
      <c r="CM34" s="84">
        <f>+CL34/'Irradiancia Horizontal'!D86</f>
        <v>74.552109977910803</v>
      </c>
      <c r="CN34" s="38">
        <f t="shared" si="45"/>
        <v>0.29353012519256355</v>
      </c>
      <c r="CO34" s="84">
        <f t="shared" si="196"/>
        <v>0.29353012519256355</v>
      </c>
      <c r="CP34" s="84">
        <f t="shared" si="197"/>
        <v>0.12724211287881385</v>
      </c>
      <c r="CQ34" s="84">
        <f t="shared" si="198"/>
        <v>1.4259999999999999</v>
      </c>
      <c r="CR34" s="84">
        <f t="shared" si="199"/>
        <v>-0.65300000000000002</v>
      </c>
      <c r="CS34" s="84">
        <f t="shared" si="200"/>
        <v>-0.77900000000000003</v>
      </c>
      <c r="CT34" s="84">
        <f t="shared" si="201"/>
        <v>0.42499999999999999</v>
      </c>
      <c r="CU34" s="84">
        <f t="shared" si="202"/>
        <v>-0.78500000000000003</v>
      </c>
      <c r="CV34" s="84">
        <f t="shared" si="203"/>
        <v>-9.7000000000000003E-2</v>
      </c>
      <c r="CW34" s="84">
        <f t="shared" si="46"/>
        <v>0.20392672212870311</v>
      </c>
      <c r="CX34" s="84">
        <f t="shared" si="47"/>
        <v>0.16742230084195225</v>
      </c>
      <c r="CY34" s="88">
        <f t="shared" si="48"/>
        <v>4940.603419198419</v>
      </c>
      <c r="CZ34" s="84">
        <f t="shared" si="298"/>
        <v>1.1319999999999999</v>
      </c>
      <c r="DA34" s="84">
        <f t="shared" si="299"/>
        <v>-1.2370000000000001</v>
      </c>
      <c r="DB34" s="84">
        <f t="shared" si="300"/>
        <v>-0.41199999999999998</v>
      </c>
      <c r="DC34" s="84">
        <f t="shared" si="301"/>
        <v>0.28799999999999998</v>
      </c>
      <c r="DD34" s="84">
        <f t="shared" si="302"/>
        <v>-0.82299999999999995</v>
      </c>
      <c r="DE34" s="84">
        <f t="shared" si="303"/>
        <v>5.6000000000000001E-2</v>
      </c>
      <c r="DF34" s="84">
        <f t="shared" si="55"/>
        <v>0.35210582348720165</v>
      </c>
      <c r="DG34" s="84">
        <f t="shared" si="56"/>
        <v>0.2455410911262558</v>
      </c>
      <c r="DH34" s="106">
        <f>IF(BN34&lt;0,0,((0.5*(1-DF34)*(1+COS(RADIANS($BU$15))))+(DF34*(CO34/CP34))+(DG34*SIN(RADIANS($BU$15))))*'Irradiancia Horizontal'!D57)</f>
        <v>40.490692007239559</v>
      </c>
      <c r="DI34" s="106">
        <f t="shared" si="204"/>
        <v>2.3068630231888982</v>
      </c>
      <c r="DJ34" s="84">
        <f>DI34*'Irradiancia Horizontal'!D86</f>
        <v>123.27371173927277</v>
      </c>
      <c r="DK34" s="84">
        <f t="shared" si="205"/>
        <v>163.76440374651233</v>
      </c>
      <c r="DL34" s="88">
        <f t="shared" si="57"/>
        <v>17324.791273521096</v>
      </c>
      <c r="DM34" s="84">
        <f t="shared" si="206"/>
        <v>12384.187854322678</v>
      </c>
      <c r="DN34" s="106">
        <f t="shared" si="207"/>
        <v>31309.615355297676</v>
      </c>
      <c r="DO34" s="106">
        <f t="shared" si="208"/>
        <v>9190.3153149715363</v>
      </c>
      <c r="DP34" s="106">
        <f t="shared" si="209"/>
        <v>14130.918734169954</v>
      </c>
      <c r="DQ34" s="44"/>
      <c r="DS34" s="39">
        <v>0.70833333333333304</v>
      </c>
      <c r="DT34" s="38">
        <v>-75</v>
      </c>
      <c r="DU34" s="38">
        <f t="shared" si="58"/>
        <v>12.871375773155972</v>
      </c>
      <c r="DV34" s="38">
        <f t="shared" si="368"/>
        <v>-97.778783184534774</v>
      </c>
      <c r="DW34" s="38">
        <f t="shared" si="60"/>
        <v>77.128624226844025</v>
      </c>
      <c r="DX34" s="38">
        <f>+'Irradiancia Horizontal'!E86/COS(RADIANS(DW34))</f>
        <v>416.31978082568105</v>
      </c>
      <c r="DY34" s="38">
        <f>((('Irradiancia Horizontal'!E57+DX34)/'Irradiancia Horizontal'!E57)+1.041*((RADIANS('Cálculos iluminancia'!DW34))^3))/(1+1.041*((RADIANS('Cálculos iluminancia'!DW34))^3))</f>
        <v>3.1837567713058799</v>
      </c>
      <c r="DZ34" s="84">
        <f t="shared" si="61"/>
        <v>4.4078716822038064</v>
      </c>
      <c r="EA34" s="84">
        <f t="shared" si="210"/>
        <v>4.2991166063888029</v>
      </c>
      <c r="EB34" s="106">
        <f>'Irradiancia Horizontal'!E57*EA34/$DZ$15</f>
        <v>0.16564544440015314</v>
      </c>
      <c r="EC34" s="84">
        <f>((17.27*Temp!D27)/(237.7+Temp!D27))+LN(HR!D38/100)</f>
        <v>0.63165580215247741</v>
      </c>
      <c r="ED34" s="84">
        <f t="shared" si="211"/>
        <v>9.0240099847836941</v>
      </c>
      <c r="EE34" s="84">
        <f t="shared" si="212"/>
        <v>1.7448711247836259</v>
      </c>
      <c r="EF34" s="84">
        <f t="shared" si="304"/>
        <v>6</v>
      </c>
      <c r="EG34" s="84">
        <f t="shared" si="305"/>
        <v>88.34</v>
      </c>
      <c r="EH34" s="84">
        <f t="shared" si="306"/>
        <v>1.39</v>
      </c>
      <c r="EI34" s="84">
        <f t="shared" si="307"/>
        <v>6.06</v>
      </c>
      <c r="EJ34" s="84">
        <f t="shared" si="308"/>
        <v>-7.6</v>
      </c>
      <c r="EK34" s="103">
        <f t="shared" si="67"/>
        <v>105.77939826592028</v>
      </c>
      <c r="EL34" s="165">
        <f>IF(ER34&gt;(EK34*'Irradiancia Horizontal'!E25),ER34,EK34*'Irradiancia Horizontal'!E25)</f>
        <v>15507.698479203356</v>
      </c>
      <c r="EM34" s="84">
        <f t="shared" si="309"/>
        <v>106.42</v>
      </c>
      <c r="EN34" s="84">
        <f t="shared" si="310"/>
        <v>3.83</v>
      </c>
      <c r="EO34" s="84">
        <f t="shared" si="311"/>
        <v>-36.15</v>
      </c>
      <c r="EP34" s="84">
        <f t="shared" si="312"/>
        <v>-28.83</v>
      </c>
      <c r="EQ34" s="103">
        <f t="shared" si="72"/>
        <v>156.88358992248402</v>
      </c>
      <c r="ER34" s="84">
        <f>+EQ34*'Irradiancia Horizontal'!E57</f>
        <v>8450.2926654821877</v>
      </c>
      <c r="ES34" s="84">
        <f t="shared" si="213"/>
        <v>7057.4058137211687</v>
      </c>
      <c r="ET34" s="84">
        <f>+ES34/'Irradiancia Horizontal'!E86</f>
        <v>76.098267925348495</v>
      </c>
      <c r="EU34" s="38">
        <f t="shared" si="73"/>
        <v>0.13194772611544184</v>
      </c>
      <c r="EV34" s="84">
        <f t="shared" si="214"/>
        <v>0.13194772611544184</v>
      </c>
      <c r="EW34" s="84">
        <f t="shared" si="215"/>
        <v>0.22276311014614572</v>
      </c>
      <c r="EX34" s="84">
        <f t="shared" si="216"/>
        <v>1.4259999999999999</v>
      </c>
      <c r="EY34" s="84">
        <f t="shared" si="217"/>
        <v>-0.65300000000000002</v>
      </c>
      <c r="EZ34" s="84">
        <f t="shared" si="218"/>
        <v>-0.77900000000000003</v>
      </c>
      <c r="FA34" s="84">
        <f t="shared" si="219"/>
        <v>0.42499999999999999</v>
      </c>
      <c r="FB34" s="84">
        <f t="shared" si="220"/>
        <v>-0.78500000000000003</v>
      </c>
      <c r="FC34" s="84">
        <f t="shared" si="221"/>
        <v>-9.7000000000000003E-2</v>
      </c>
      <c r="FD34" s="84">
        <f t="shared" si="74"/>
        <v>0.2691838898193144</v>
      </c>
      <c r="FE34" s="84">
        <f t="shared" si="75"/>
        <v>0.16439192743756603</v>
      </c>
      <c r="FF34" s="88">
        <f t="shared" si="76"/>
        <v>5824.3118845769959</v>
      </c>
      <c r="FG34" s="84">
        <f t="shared" si="313"/>
        <v>1.1319999999999999</v>
      </c>
      <c r="FH34" s="84">
        <f t="shared" si="314"/>
        <v>-1.2370000000000001</v>
      </c>
      <c r="FI34" s="84">
        <f t="shared" si="315"/>
        <v>-0.41199999999999998</v>
      </c>
      <c r="FJ34" s="84">
        <f t="shared" si="316"/>
        <v>0.28799999999999998</v>
      </c>
      <c r="FK34" s="84">
        <f t="shared" si="317"/>
        <v>-0.82299999999999995</v>
      </c>
      <c r="FL34" s="84">
        <f t="shared" si="318"/>
        <v>5.6000000000000001E-2</v>
      </c>
      <c r="FM34" s="84">
        <f t="shared" si="83"/>
        <v>0.37248342787675015</v>
      </c>
      <c r="FN34" s="84">
        <f t="shared" si="84"/>
        <v>0.22705811191502001</v>
      </c>
      <c r="FO34" s="106">
        <f>IF(DU34&lt;0,0,((0.5*(1-FM34)*(1+COS(RADIANS($EB$15))))+(FM34*(EV34/EW34))+(FN34*SIN(RADIANS($EB$15))))*'Irradiancia Horizontal'!E57)</f>
        <v>41.014164248241059</v>
      </c>
      <c r="FP34" s="106">
        <f t="shared" si="222"/>
        <v>0.5923230557738054</v>
      </c>
      <c r="FQ34" s="84">
        <f>FP34*'Irradiancia Horizontal'!E86</f>
        <v>54.932448416827732</v>
      </c>
      <c r="FR34" s="84">
        <f t="shared" si="223"/>
        <v>95.946612665068784</v>
      </c>
      <c r="FS34" s="88">
        <f t="shared" si="85"/>
        <v>10149.174953364301</v>
      </c>
      <c r="FT34" s="84">
        <f t="shared" si="224"/>
        <v>4324.8630687873056</v>
      </c>
      <c r="FU34" s="106">
        <f t="shared" si="225"/>
        <v>31681.214223895036</v>
      </c>
      <c r="FV34" s="106">
        <f t="shared" si="226"/>
        <v>4180.2641774191425</v>
      </c>
      <c r="FW34" s="106">
        <f t="shared" si="227"/>
        <v>10004.576061996138</v>
      </c>
      <c r="FX34" s="83"/>
      <c r="FZ34" s="39">
        <v>0.70833333333333304</v>
      </c>
      <c r="GA34" s="38">
        <v>-75</v>
      </c>
      <c r="GB34" s="38">
        <f t="shared" si="86"/>
        <v>18.611242908560452</v>
      </c>
      <c r="GC34" s="38">
        <f t="shared" si="369"/>
        <v>-86.84353717995613</v>
      </c>
      <c r="GD34" s="38">
        <f t="shared" si="88"/>
        <v>71.388757091439544</v>
      </c>
      <c r="GE34" s="38">
        <f>+'Irradiancia Horizontal'!F86/COS(RADIANS(GD34))</f>
        <v>511.75530177352016</v>
      </c>
      <c r="GF34" s="38">
        <f>((('Irradiancia Horizontal'!F57+GE34)/'Irradiancia Horizontal'!F57)+1.041*((RADIANS('Cálculos iluminancia'!GD34))^3))/(1+1.041*((RADIANS('Cálculos iluminancia'!GD34))^3))</f>
        <v>3.5059917578580682</v>
      </c>
      <c r="GG34" s="84">
        <f t="shared" si="89"/>
        <v>3.1074530845982022</v>
      </c>
      <c r="GH34" s="84">
        <f t="shared" si="276"/>
        <v>3.0307831358854305</v>
      </c>
      <c r="GI34" s="106">
        <f>'Irradiancia Horizontal'!F57*GH34/$GG$15</f>
        <v>0.149591637666245</v>
      </c>
      <c r="GJ34" s="84">
        <f>((17.27*Temp!E27)/(237.7+Temp!E27))+LN(HR!E38/100)</f>
        <v>0.77538306769638154</v>
      </c>
      <c r="GK34" s="84">
        <f t="shared" si="228"/>
        <v>11.173860899459493</v>
      </c>
      <c r="GL34" s="84">
        <f t="shared" si="229"/>
        <v>2.0282437340743362</v>
      </c>
      <c r="GM34" s="84">
        <f t="shared" si="319"/>
        <v>6</v>
      </c>
      <c r="GN34" s="84">
        <f t="shared" si="320"/>
        <v>88.34</v>
      </c>
      <c r="GO34" s="84">
        <f t="shared" si="321"/>
        <v>1.39</v>
      </c>
      <c r="GP34" s="84">
        <f t="shared" si="322"/>
        <v>6.06</v>
      </c>
      <c r="GQ34" s="84">
        <f t="shared" si="323"/>
        <v>-7.6</v>
      </c>
      <c r="GR34" s="103">
        <f t="shared" si="96"/>
        <v>107.5321096440853</v>
      </c>
      <c r="GS34" s="165">
        <f>IF(GY34&gt;(GR34*'Irradiancia Horizontal'!F25),GY34,GR34*'Irradiancia Horizontal'!F25)</f>
        <v>24849.389043829393</v>
      </c>
      <c r="GT34" s="84">
        <f t="shared" si="324"/>
        <v>106.42</v>
      </c>
      <c r="GU34" s="84">
        <f t="shared" si="325"/>
        <v>3.83</v>
      </c>
      <c r="GV34" s="84">
        <f t="shared" si="326"/>
        <v>-36.15</v>
      </c>
      <c r="GW34" s="84">
        <f t="shared" si="327"/>
        <v>-28.83</v>
      </c>
      <c r="GX34" s="103">
        <f t="shared" si="101"/>
        <v>157.42363507530985</v>
      </c>
      <c r="GY34" s="84">
        <f>+GX34*'Irradiancia Horizontal'!F57</f>
        <v>10667.622735735558</v>
      </c>
      <c r="GZ34" s="84">
        <f t="shared" si="230"/>
        <v>14181.766308093835</v>
      </c>
      <c r="HA34" s="84">
        <f>+GZ34/'Irradiancia Horizontal'!F86</f>
        <v>86.831948877308704</v>
      </c>
      <c r="HB34" s="38">
        <f t="shared" si="102"/>
        <v>-5.2183341408320927E-2</v>
      </c>
      <c r="HC34" s="84">
        <f t="shared" si="231"/>
        <v>0</v>
      </c>
      <c r="HD34" s="84">
        <f t="shared" si="232"/>
        <v>0.31914527974400181</v>
      </c>
      <c r="HE34" s="84">
        <f t="shared" si="233"/>
        <v>1.4259999999999999</v>
      </c>
      <c r="HF34" s="84">
        <f t="shared" si="234"/>
        <v>-0.65300000000000002</v>
      </c>
      <c r="HG34" s="84">
        <f t="shared" si="235"/>
        <v>-0.77900000000000003</v>
      </c>
      <c r="HH34" s="84">
        <f t="shared" si="236"/>
        <v>0.42499999999999999</v>
      </c>
      <c r="HI34" s="84">
        <f t="shared" si="237"/>
        <v>-0.78500000000000003</v>
      </c>
      <c r="HJ34" s="84">
        <f t="shared" si="238"/>
        <v>-9.7000000000000003E-2</v>
      </c>
      <c r="HK34" s="84">
        <f t="shared" si="103"/>
        <v>0.35770691854547898</v>
      </c>
      <c r="HL34" s="84">
        <f t="shared" si="104"/>
        <v>0.1867115849972468</v>
      </c>
      <c r="HM34" s="88">
        <f t="shared" si="105"/>
        <v>5417.6388885068018</v>
      </c>
      <c r="HN34" s="84">
        <f t="shared" si="328"/>
        <v>1.1319999999999999</v>
      </c>
      <c r="HO34" s="84">
        <f t="shared" si="329"/>
        <v>-1.2370000000000001</v>
      </c>
      <c r="HP34" s="84">
        <f t="shared" si="330"/>
        <v>-0.41199999999999998</v>
      </c>
      <c r="HQ34" s="84">
        <f t="shared" si="331"/>
        <v>0.28799999999999998</v>
      </c>
      <c r="HR34" s="84">
        <f t="shared" si="332"/>
        <v>-0.82299999999999995</v>
      </c>
      <c r="HS34" s="84">
        <f t="shared" si="333"/>
        <v>5.6000000000000001E-2</v>
      </c>
      <c r="HT34" s="84">
        <f t="shared" si="112"/>
        <v>0.43361597382420169</v>
      </c>
      <c r="HU34" s="84">
        <f t="shared" si="113"/>
        <v>0.23466033836919631</v>
      </c>
      <c r="HV34" s="106">
        <f>IF(GB34&lt;0,0,((0.5*(1-HT34)*(1+COS(RADIANS($GI$15))))+(HT34*(HC34/HD34))+(HU34*SIN(RADIANS($GI$15))))*'Irradiancia Horizontal'!F57)</f>
        <v>35.091639927607353</v>
      </c>
      <c r="HW34" s="84">
        <f t="shared" si="114"/>
        <v>0</v>
      </c>
      <c r="HX34" s="84">
        <f>HW34*'Irradiancia Horizontal'!F86</f>
        <v>0</v>
      </c>
      <c r="HY34" s="84">
        <f t="shared" si="239"/>
        <v>35.091639927607353</v>
      </c>
      <c r="HZ34" s="88">
        <f t="shared" si="115"/>
        <v>3773.4780722862351</v>
      </c>
      <c r="IA34" s="84">
        <f t="shared" si="240"/>
        <v>-1644.1608162205666</v>
      </c>
      <c r="IB34" s="106">
        <f t="shared" si="241"/>
        <v>44436.710201289992</v>
      </c>
      <c r="IC34" s="106">
        <f t="shared" si="242"/>
        <v>0</v>
      </c>
      <c r="ID34" s="106">
        <f t="shared" si="243"/>
        <v>5417.6388885068018</v>
      </c>
      <c r="IE34" s="83"/>
      <c r="IG34" s="39">
        <v>0.70833333333333304</v>
      </c>
      <c r="IH34" s="38">
        <v>-75</v>
      </c>
      <c r="II34" s="38">
        <f t="shared" si="116"/>
        <v>22.314889941656379</v>
      </c>
      <c r="IJ34" s="38">
        <f t="shared" si="370"/>
        <v>-78.604772740992317</v>
      </c>
      <c r="IK34" s="38">
        <f t="shared" si="118"/>
        <v>67.685110058343625</v>
      </c>
      <c r="IL34" s="38">
        <f>+'Irradiancia Horizontal'!G86/COS(RADIANS(IK34))</f>
        <v>741.98135259017374</v>
      </c>
      <c r="IM34" s="38">
        <f>((('Irradiancia Horizontal'!G57+IL34)/'Irradiancia Horizontal'!G57)+1.041*((RADIANS('Cálculos iluminancia'!IK34))^3))/(1+1.041*((RADIANS('Cálculos iluminancia'!IK34))^3))</f>
        <v>7.0301983153841761</v>
      </c>
      <c r="IN34" s="87">
        <f t="shared" si="119"/>
        <v>2.6190755036622839</v>
      </c>
      <c r="IO34" s="87">
        <f t="shared" si="334"/>
        <v>2.5544552570893164</v>
      </c>
      <c r="IP34" s="106">
        <f>'Irradiancia Horizontal'!G57*IO34/$IN$15</f>
        <v>8.5525768617754488E-2</v>
      </c>
      <c r="IQ34" s="87">
        <f>((17.27*Temp!F27)/(237.7+Temp!F27))+LN(HR!F38/100)</f>
        <v>0.95633124694678373</v>
      </c>
      <c r="IR34" s="87">
        <f t="shared" si="244"/>
        <v>13.934323470721814</v>
      </c>
      <c r="IS34" s="87">
        <f t="shared" si="245"/>
        <v>2.4605936524145968</v>
      </c>
      <c r="IT34" s="87">
        <f t="shared" si="335"/>
        <v>8</v>
      </c>
      <c r="IU34" s="87">
        <f t="shared" si="336"/>
        <v>99.65</v>
      </c>
      <c r="IV34" s="87">
        <f t="shared" si="337"/>
        <v>1.86</v>
      </c>
      <c r="IW34" s="87">
        <f t="shared" si="338"/>
        <v>-4.46</v>
      </c>
      <c r="IX34" s="87">
        <f t="shared" si="339"/>
        <v>-3.15</v>
      </c>
      <c r="IY34" s="103">
        <f t="shared" si="126"/>
        <v>110.27891072477658</v>
      </c>
      <c r="IZ34" s="165">
        <f>IF(JF34&gt;(IY34*'Irradiancia Horizontal'!G25),JF34,IY34*'Irradiancia Horizontal'!G25)</f>
        <v>36064.326007442047</v>
      </c>
      <c r="JA34" s="87">
        <f t="shared" si="340"/>
        <v>152.22999999999999</v>
      </c>
      <c r="JB34" s="87">
        <f t="shared" si="341"/>
        <v>0.35</v>
      </c>
      <c r="JC34" s="87">
        <f t="shared" si="342"/>
        <v>-45.27</v>
      </c>
      <c r="JD34" s="87">
        <f t="shared" si="343"/>
        <v>-7.98</v>
      </c>
      <c r="JE34" s="103">
        <f t="shared" si="131"/>
        <v>155.5246649394843</v>
      </c>
      <c r="JF34" s="87">
        <f>+JE34*'Irradiancia Horizontal'!G57</f>
        <v>7045.3487074761397</v>
      </c>
      <c r="JG34" s="87">
        <f t="shared" si="246"/>
        <v>29018.977299965907</v>
      </c>
      <c r="JH34" s="87">
        <f>+JG34/'Irradiancia Horizontal'!G86</f>
        <v>103.00360304769762</v>
      </c>
      <c r="JI34" s="38">
        <f t="shared" si="132"/>
        <v>-0.18277945247986727</v>
      </c>
      <c r="JJ34" s="87">
        <f t="shared" si="247"/>
        <v>0</v>
      </c>
      <c r="JK34" s="87">
        <f t="shared" si="248"/>
        <v>0.37969658883324864</v>
      </c>
      <c r="JL34" s="87">
        <f t="shared" si="249"/>
        <v>1.17</v>
      </c>
      <c r="JM34" s="87">
        <f t="shared" si="250"/>
        <v>-0.3</v>
      </c>
      <c r="JN34" s="87">
        <f t="shared" si="251"/>
        <v>-0.61499999999999999</v>
      </c>
      <c r="JO34" s="87">
        <f t="shared" si="252"/>
        <v>0.51800000000000002</v>
      </c>
      <c r="JP34" s="87">
        <f t="shared" si="253"/>
        <v>-1.8919999999999999</v>
      </c>
      <c r="JQ34" s="87">
        <f t="shared" si="254"/>
        <v>-5.5E-2</v>
      </c>
      <c r="JR34" s="87">
        <f t="shared" si="133"/>
        <v>0.41782553398258471</v>
      </c>
      <c r="JS34" s="87">
        <f t="shared" si="134"/>
        <v>0.29121220439510298</v>
      </c>
      <c r="JT34" s="88">
        <f t="shared" si="135"/>
        <v>4102.5025886770209</v>
      </c>
      <c r="JU34" s="87">
        <f t="shared" si="344"/>
        <v>0.67800000000000005</v>
      </c>
      <c r="JV34" s="87">
        <f t="shared" si="345"/>
        <v>-0.32700000000000001</v>
      </c>
      <c r="JW34" s="87">
        <f t="shared" si="346"/>
        <v>-0.25</v>
      </c>
      <c r="JX34" s="87">
        <f t="shared" si="347"/>
        <v>0.156</v>
      </c>
      <c r="JY34" s="87">
        <f t="shared" si="348"/>
        <v>-1.377</v>
      </c>
      <c r="JZ34" s="87">
        <f t="shared" si="349"/>
        <v>0.251</v>
      </c>
      <c r="KA34" s="87">
        <f t="shared" si="142"/>
        <v>0.35470106738878748</v>
      </c>
      <c r="KB34" s="87">
        <f t="shared" si="143"/>
        <v>0.33474435091165178</v>
      </c>
      <c r="KC34" s="106">
        <f>IF(II34&lt;0,0,((0.5*(1-KA34)*(1+COS(RADIANS($IP$15))))+(KA34*(JJ34/JK34))+(KB34*SIN(RADIANS($IP$15))))*'Irradiancia Horizontal'!G57)</f>
        <v>29.780283932690608</v>
      </c>
      <c r="KD34" s="87">
        <f t="shared" si="144"/>
        <v>0</v>
      </c>
      <c r="KE34" s="87">
        <f>KD34*'Irradiancia Horizontal'!G86</f>
        <v>0</v>
      </c>
      <c r="KF34" s="87">
        <f t="shared" si="255"/>
        <v>29.780283932690608</v>
      </c>
      <c r="KG34" s="88">
        <f t="shared" si="145"/>
        <v>3284.137273171686</v>
      </c>
      <c r="KH34" s="87">
        <f t="shared" si="256"/>
        <v>-818.36531550533482</v>
      </c>
      <c r="KI34" s="106">
        <f t="shared" si="257"/>
        <v>76426.752710992019</v>
      </c>
      <c r="KJ34" s="106">
        <f t="shared" si="258"/>
        <v>0</v>
      </c>
      <c r="KK34" s="106">
        <f t="shared" si="259"/>
        <v>4102.5025886770209</v>
      </c>
      <c r="KL34" s="86"/>
      <c r="KN34" s="39">
        <v>0.70833333333333304</v>
      </c>
      <c r="KO34" s="38">
        <v>-75</v>
      </c>
      <c r="KP34" s="38">
        <f t="shared" si="146"/>
        <v>23.63600454935963</v>
      </c>
      <c r="KQ34" s="38">
        <f t="shared" si="371"/>
        <v>-75.306075969479892</v>
      </c>
      <c r="KR34" s="38">
        <f t="shared" si="148"/>
        <v>66.363995450640374</v>
      </c>
      <c r="KS34" s="38">
        <f>+'Irradiancia Horizontal'!H86/COS(RADIANS(KR34))</f>
        <v>763.89790845759114</v>
      </c>
      <c r="KT34" s="38">
        <f>((('Irradiancia Horizontal'!H57+KS34)/'Irradiancia Horizontal'!H57)+1.041*((RADIANS('Cálculos iluminancia'!KR34))^3))/(1+1.041*((RADIANS('Cálculos iluminancia'!KR34))^3))</f>
        <v>7.4057633197618289</v>
      </c>
      <c r="KU34" s="87">
        <f t="shared" si="149"/>
        <v>2.4820642297670492</v>
      </c>
      <c r="KV34" s="87">
        <f t="shared" si="350"/>
        <v>2.4208244517181874</v>
      </c>
      <c r="KW34" s="106">
        <f>'Irradiancia Horizontal'!H57*KV34/$KU$15</f>
        <v>8.2189619091408123E-2</v>
      </c>
      <c r="KX34" s="87">
        <f>((17.27*Temp!G27)/(237.7+Temp!G27))+LN(HR!G38/100)</f>
        <v>1.2340824725083446</v>
      </c>
      <c r="KY34" s="87">
        <f t="shared" si="260"/>
        <v>18.292773282996428</v>
      </c>
      <c r="KZ34" s="87">
        <f t="shared" si="261"/>
        <v>3.3384082776216171</v>
      </c>
      <c r="LA34" s="87">
        <f t="shared" si="351"/>
        <v>8</v>
      </c>
      <c r="LB34" s="87">
        <f t="shared" si="352"/>
        <v>99.65</v>
      </c>
      <c r="LC34" s="87">
        <f t="shared" si="353"/>
        <v>1.86</v>
      </c>
      <c r="LD34" s="87">
        <f t="shared" si="354"/>
        <v>-4.46</v>
      </c>
      <c r="LE34" s="87">
        <f t="shared" si="355"/>
        <v>-3.15</v>
      </c>
      <c r="LF34" s="103">
        <f t="shared" si="156"/>
        <v>111.94230257646439</v>
      </c>
      <c r="LG34" s="165">
        <f>IF(LM34&gt;(LF34*'Irradiancia Horizontal'!H25),LM34,LF34*'Irradiancia Horizontal'!H25)</f>
        <v>39383.836819327415</v>
      </c>
      <c r="LH34" s="87">
        <f t="shared" si="356"/>
        <v>152.22999999999999</v>
      </c>
      <c r="LI34" s="87">
        <f t="shared" si="357"/>
        <v>0.35</v>
      </c>
      <c r="LJ34" s="87">
        <f t="shared" si="358"/>
        <v>-45.27</v>
      </c>
      <c r="LK34" s="87">
        <f t="shared" si="359"/>
        <v>-7.98</v>
      </c>
      <c r="LL34" s="103">
        <f t="shared" si="161"/>
        <v>155.18841313762044</v>
      </c>
      <c r="LM34" s="87">
        <f>+LL34*'Irradiancia Horizontal'!H57</f>
        <v>7069.9235101217464</v>
      </c>
      <c r="LN34" s="87">
        <f t="shared" si="262"/>
        <v>32313.913309205669</v>
      </c>
      <c r="LO34" s="87">
        <f>+LN34/'Irradiancia Horizontal'!H86</f>
        <v>105.50944047742986</v>
      </c>
      <c r="LP34" s="38">
        <f t="shared" si="162"/>
        <v>-0.23237646580970389</v>
      </c>
      <c r="LQ34" s="87">
        <f t="shared" si="263"/>
        <v>0</v>
      </c>
      <c r="LR34" s="87">
        <f t="shared" si="264"/>
        <v>0.4009247939175325</v>
      </c>
      <c r="LS34" s="87">
        <f t="shared" si="265"/>
        <v>1.17</v>
      </c>
      <c r="LT34" s="87">
        <f t="shared" si="266"/>
        <v>-0.3</v>
      </c>
      <c r="LU34" s="87">
        <f t="shared" si="267"/>
        <v>-0.61499999999999999</v>
      </c>
      <c r="LV34" s="87">
        <f t="shared" si="268"/>
        <v>0.51800000000000002</v>
      </c>
      <c r="LW34" s="87">
        <f t="shared" si="269"/>
        <v>-1.8919999999999999</v>
      </c>
      <c r="LX34" s="87">
        <f t="shared" si="270"/>
        <v>-5.5E-2</v>
      </c>
      <c r="LY34" s="87">
        <f t="shared" si="163"/>
        <v>0.43300692565636667</v>
      </c>
      <c r="LZ34" s="87">
        <f t="shared" si="164"/>
        <v>0.29879237828248417</v>
      </c>
      <c r="MA34" s="88">
        <f t="shared" si="165"/>
        <v>4116.7380930536556</v>
      </c>
      <c r="MB34" s="87">
        <f t="shared" si="360"/>
        <v>0.67800000000000005</v>
      </c>
      <c r="MC34" s="87">
        <f t="shared" si="361"/>
        <v>-0.32700000000000001</v>
      </c>
      <c r="MD34" s="87">
        <f t="shared" si="362"/>
        <v>-0.25</v>
      </c>
      <c r="ME34" s="87">
        <f t="shared" si="363"/>
        <v>0.156</v>
      </c>
      <c r="MF34" s="87">
        <f t="shared" si="364"/>
        <v>-1.377</v>
      </c>
      <c r="MG34" s="87">
        <f t="shared" si="365"/>
        <v>0.251</v>
      </c>
      <c r="MH34" s="87">
        <f t="shared" si="172"/>
        <v>0.36155643820905642</v>
      </c>
      <c r="MI34" s="87">
        <f t="shared" si="173"/>
        <v>0.3335507210845764</v>
      </c>
      <c r="MJ34" s="106">
        <f>IF(KP34&lt;0,0,((0.5*(1-MH34)*(1+COS(RADIANS($KW$15))))+(MH34*(LQ34/LR34))+(MI34*SIN(RADIANS($KW$15))))*'Irradiancia Horizontal'!H57)</f>
        <v>29.738377789952196</v>
      </c>
      <c r="MK34" s="87">
        <f t="shared" si="174"/>
        <v>0</v>
      </c>
      <c r="ML34" s="87">
        <f>MK34*'Irradiancia Horizontal'!H86</f>
        <v>0</v>
      </c>
      <c r="MM34" s="87">
        <f t="shared" si="271"/>
        <v>29.738377789952196</v>
      </c>
      <c r="MN34" s="88">
        <f t="shared" si="175"/>
        <v>3328.9824846960369</v>
      </c>
      <c r="MO34" s="87">
        <f t="shared" si="272"/>
        <v>-787.75560835761871</v>
      </c>
      <c r="MP34" s="106">
        <f t="shared" si="273"/>
        <v>80598.440903239374</v>
      </c>
      <c r="MQ34" s="106">
        <f t="shared" si="274"/>
        <v>0</v>
      </c>
      <c r="MR34" s="106">
        <f t="shared" si="275"/>
        <v>4116.7380930536556</v>
      </c>
    </row>
    <row r="35" spans="4:356" x14ac:dyDescent="0.25">
      <c r="E35" s="39">
        <v>0.75</v>
      </c>
      <c r="F35" s="38">
        <v>-90</v>
      </c>
      <c r="G35" s="38">
        <f t="shared" si="0"/>
        <v>-9.6327224739751234</v>
      </c>
      <c r="H35" s="38">
        <f t="shared" si="366"/>
        <v>-107.76935516675623</v>
      </c>
      <c r="I35" s="38">
        <f t="shared" si="2"/>
        <v>99.632722473975122</v>
      </c>
      <c r="J35" s="38">
        <f>'Irradiancia Horizontal'!C87/COS(RADIANS(I35))</f>
        <v>0</v>
      </c>
      <c r="K35" s="38" t="e">
        <f>((('Irradiancia Horizontal'!C58+J35)/'Irradiancia Horizontal'!C58)+1.041*((RADIANS('Cálculos iluminancia'!I35))^3))/(1+1.041*((RADIANS('Cálculos iluminancia'!I35))^3))</f>
        <v>#DIV/0!</v>
      </c>
      <c r="L35" s="36" t="e">
        <f t="shared" si="3"/>
        <v>#NUM!</v>
      </c>
      <c r="M35" s="36" t="e">
        <f t="shared" si="4"/>
        <v>#NUM!</v>
      </c>
      <c r="N35" s="106" t="e">
        <f>'Irradiancia Horizontal'!C58*M35/$L$15</f>
        <v>#NUM!</v>
      </c>
      <c r="O35" s="71">
        <f>((17.27*Temp!B28)/(237.7+Temp!B28))+LN(HR!B39/100)</f>
        <v>0.49726936799359156</v>
      </c>
      <c r="P35" s="71">
        <f t="shared" si="176"/>
        <v>7.0472084340590841</v>
      </c>
      <c r="Q35" s="71">
        <f t="shared" si="177"/>
        <v>1.5193833935002445</v>
      </c>
      <c r="R35" s="71" t="e">
        <f t="shared" si="277"/>
        <v>#DIV/0!</v>
      </c>
      <c r="S35" s="71" t="e">
        <f t="shared" si="6"/>
        <v>#DIV/0!</v>
      </c>
      <c r="T35" s="71" t="e">
        <f t="shared" si="7"/>
        <v>#DIV/0!</v>
      </c>
      <c r="U35" s="71" t="e">
        <f t="shared" si="8"/>
        <v>#DIV/0!</v>
      </c>
      <c r="V35" s="71" t="e">
        <f t="shared" si="9"/>
        <v>#DIV/0!</v>
      </c>
      <c r="W35" s="103">
        <f t="shared" si="10"/>
        <v>0</v>
      </c>
      <c r="X35" s="165">
        <f>IF(AD35&gt;(W35*'Irradiancia Horizontal'!C26),AD35,W35*'Irradiancia Horizontal'!C26)</f>
        <v>0</v>
      </c>
      <c r="Y35" s="71" t="e">
        <f t="shared" si="278"/>
        <v>#DIV/0!</v>
      </c>
      <c r="Z35" s="71" t="e">
        <f t="shared" si="279"/>
        <v>#DIV/0!</v>
      </c>
      <c r="AA35" s="71" t="e">
        <f t="shared" si="280"/>
        <v>#DIV/0!</v>
      </c>
      <c r="AB35" s="71" t="e">
        <f t="shared" si="281"/>
        <v>#DIV/0!</v>
      </c>
      <c r="AC35" s="103">
        <f t="shared" si="15"/>
        <v>0</v>
      </c>
      <c r="AD35" s="71">
        <f>+AC35*'Irradiancia Horizontal'!C58</f>
        <v>0</v>
      </c>
      <c r="AE35" s="71">
        <f t="shared" si="16"/>
        <v>0</v>
      </c>
      <c r="AF35" s="71" t="e">
        <f>+AE35/'Irradiancia Horizontal'!C87</f>
        <v>#DIV/0!</v>
      </c>
      <c r="AG35" s="38">
        <f t="shared" si="282"/>
        <v>0.30088308193212143</v>
      </c>
      <c r="AH35" s="84">
        <f t="shared" si="178"/>
        <v>0.30088308193212143</v>
      </c>
      <c r="AI35" s="84">
        <f t="shared" si="179"/>
        <v>8.6999999999999994E-2</v>
      </c>
      <c r="AJ35" s="84" t="e">
        <f t="shared" si="180"/>
        <v>#DIV/0!</v>
      </c>
      <c r="AK35" s="84" t="e">
        <f t="shared" si="181"/>
        <v>#DIV/0!</v>
      </c>
      <c r="AL35" s="84" t="e">
        <f t="shared" si="182"/>
        <v>#DIV/0!</v>
      </c>
      <c r="AM35" s="84" t="e">
        <f t="shared" si="183"/>
        <v>#DIV/0!</v>
      </c>
      <c r="AN35" s="84" t="e">
        <f t="shared" si="184"/>
        <v>#DIV/0!</v>
      </c>
      <c r="AO35" s="84" t="e">
        <f t="shared" si="185"/>
        <v>#DIV/0!</v>
      </c>
      <c r="AP35" s="84" t="e">
        <f t="shared" si="18"/>
        <v>#DIV/0!</v>
      </c>
      <c r="AQ35" s="84" t="e">
        <f t="shared" si="19"/>
        <v>#DIV/0!</v>
      </c>
      <c r="AR35" s="88">
        <f t="shared" si="20"/>
        <v>0</v>
      </c>
      <c r="AS35" s="84" t="e">
        <f t="shared" si="283"/>
        <v>#DIV/0!</v>
      </c>
      <c r="AT35" s="84" t="e">
        <f t="shared" si="284"/>
        <v>#DIV/0!</v>
      </c>
      <c r="AU35" s="84" t="e">
        <f t="shared" si="285"/>
        <v>#DIV/0!</v>
      </c>
      <c r="AV35" s="84" t="e">
        <f t="shared" si="286"/>
        <v>#DIV/0!</v>
      </c>
      <c r="AW35" s="84" t="e">
        <f t="shared" si="287"/>
        <v>#DIV/0!</v>
      </c>
      <c r="AX35" s="84" t="e">
        <f t="shared" si="288"/>
        <v>#DIV/0!</v>
      </c>
      <c r="AY35" s="84" t="e">
        <f t="shared" si="27"/>
        <v>#DIV/0!</v>
      </c>
      <c r="AZ35" s="84" t="e">
        <f t="shared" si="28"/>
        <v>#DIV/0!</v>
      </c>
      <c r="BA35" s="106">
        <f>IF(G35&lt;0,0,((0.5*(1-AY35)*(1+COS(RADIANS($N$15))))+(AY35*(AH35/AI35))+(AZ35*SIN(RADIANS($N$15))))*'Irradiancia Horizontal'!C58)</f>
        <v>0</v>
      </c>
      <c r="BB35" s="106">
        <f t="shared" si="186"/>
        <v>-1.7981221516401102</v>
      </c>
      <c r="BC35" s="84">
        <f>BB35*'Irradiancia Horizontal'!C87</f>
        <v>0</v>
      </c>
      <c r="BD35" s="84">
        <f t="shared" si="187"/>
        <v>0</v>
      </c>
      <c r="BE35" s="88">
        <f t="shared" si="29"/>
        <v>0</v>
      </c>
      <c r="BF35" s="84">
        <f t="shared" si="188"/>
        <v>0</v>
      </c>
      <c r="BG35" s="106">
        <f t="shared" si="189"/>
        <v>0</v>
      </c>
      <c r="BH35" s="106">
        <f t="shared" si="190"/>
        <v>0</v>
      </c>
      <c r="BI35" s="106">
        <f t="shared" si="191"/>
        <v>0</v>
      </c>
      <c r="BJ35" s="72"/>
      <c r="BL35" s="39">
        <v>0.75</v>
      </c>
      <c r="BM35" s="38">
        <v>-90</v>
      </c>
      <c r="BN35" s="38">
        <f t="shared" si="30"/>
        <v>-5.4296042813721792</v>
      </c>
      <c r="BO35" s="38">
        <f t="shared" si="367"/>
        <v>-99.840733192760467</v>
      </c>
      <c r="BP35" s="38">
        <f t="shared" si="32"/>
        <v>95.429604281372178</v>
      </c>
      <c r="BQ35" s="38">
        <f>+'Irradiancia Horizontal'!D87/COS(RADIANS(BP35))</f>
        <v>0</v>
      </c>
      <c r="BR35" s="38" t="e">
        <f>((('Irradiancia Horizontal'!D58+BQ35)/'Irradiancia Horizontal'!D58)+1.041*((RADIANS('Cálculos iluminancia'!BP35))^3))/(1+1.041*((RADIANS('Cálculos iluminancia'!BP35))^3))</f>
        <v>#DIV/0!</v>
      </c>
      <c r="BS35" s="84">
        <f t="shared" si="33"/>
        <v>1.0776808387634025</v>
      </c>
      <c r="BT35" s="84">
        <f t="shared" si="192"/>
        <v>1.0510913030930962</v>
      </c>
      <c r="BU35" s="106">
        <f>'Irradiancia Horizontal'!D58*BT35/$BS$15</f>
        <v>0</v>
      </c>
      <c r="BV35" s="84">
        <f>((17.27*Temp!C28)/(237.7+Temp!C28))+LN(HR!C39/100)</f>
        <v>0.56899456599343201</v>
      </c>
      <c r="BW35" s="84">
        <f t="shared" si="193"/>
        <v>8.0983153302401103</v>
      </c>
      <c r="BX35" s="84">
        <f t="shared" si="194"/>
        <v>1.635391251240246</v>
      </c>
      <c r="BY35" s="84" t="e">
        <f t="shared" si="289"/>
        <v>#DIV/0!</v>
      </c>
      <c r="BZ35" s="84" t="e">
        <f t="shared" si="290"/>
        <v>#DIV/0!</v>
      </c>
      <c r="CA35" s="84" t="e">
        <f t="shared" si="291"/>
        <v>#DIV/0!</v>
      </c>
      <c r="CB35" s="84" t="e">
        <f t="shared" si="292"/>
        <v>#DIV/0!</v>
      </c>
      <c r="CC35" s="84" t="e">
        <f t="shared" si="293"/>
        <v>#DIV/0!</v>
      </c>
      <c r="CD35" s="103">
        <f t="shared" si="39"/>
        <v>0</v>
      </c>
      <c r="CE35" s="165">
        <f>IF(CK35&gt;(CD35*'Irradiancia Horizontal'!D26),CK35,CD35*'Irradiancia Horizontal'!D26)</f>
        <v>0</v>
      </c>
      <c r="CF35" s="84" t="e">
        <f t="shared" si="294"/>
        <v>#DIV/0!</v>
      </c>
      <c r="CG35" s="84" t="e">
        <f t="shared" si="295"/>
        <v>#DIV/0!</v>
      </c>
      <c r="CH35" s="84" t="e">
        <f t="shared" si="296"/>
        <v>#DIV/0!</v>
      </c>
      <c r="CI35" s="84" t="e">
        <f t="shared" si="297"/>
        <v>#DIV/0!</v>
      </c>
      <c r="CJ35" s="103">
        <f t="shared" si="44"/>
        <v>0</v>
      </c>
      <c r="CK35" s="84">
        <f>+CJ35*'Irradiancia Horizontal'!D58</f>
        <v>0</v>
      </c>
      <c r="CL35" s="84">
        <f t="shared" si="195"/>
        <v>0</v>
      </c>
      <c r="CM35" s="84" t="e">
        <f>+CL35/'Irradiancia Horizontal'!D87</f>
        <v>#DIV/0!</v>
      </c>
      <c r="CN35" s="38">
        <f t="shared" si="45"/>
        <v>0.17014317259069431</v>
      </c>
      <c r="CO35" s="84">
        <f t="shared" si="196"/>
        <v>0.17014317259069431</v>
      </c>
      <c r="CP35" s="84">
        <f t="shared" si="197"/>
        <v>8.6999999999999994E-2</v>
      </c>
      <c r="CQ35" s="84" t="e">
        <f t="shared" si="198"/>
        <v>#DIV/0!</v>
      </c>
      <c r="CR35" s="84" t="e">
        <f t="shared" si="199"/>
        <v>#DIV/0!</v>
      </c>
      <c r="CS35" s="84" t="e">
        <f t="shared" si="200"/>
        <v>#DIV/0!</v>
      </c>
      <c r="CT35" s="84" t="e">
        <f t="shared" si="201"/>
        <v>#DIV/0!</v>
      </c>
      <c r="CU35" s="84" t="e">
        <f t="shared" si="202"/>
        <v>#DIV/0!</v>
      </c>
      <c r="CV35" s="84" t="e">
        <f t="shared" si="203"/>
        <v>#DIV/0!</v>
      </c>
      <c r="CW35" s="84" t="e">
        <f t="shared" si="46"/>
        <v>#DIV/0!</v>
      </c>
      <c r="CX35" s="84" t="e">
        <f t="shared" si="47"/>
        <v>#DIV/0!</v>
      </c>
      <c r="CY35" s="88">
        <f t="shared" si="48"/>
        <v>0</v>
      </c>
      <c r="CZ35" s="84" t="e">
        <f t="shared" si="298"/>
        <v>#DIV/0!</v>
      </c>
      <c r="DA35" s="84" t="e">
        <f t="shared" si="299"/>
        <v>#DIV/0!</v>
      </c>
      <c r="DB35" s="84" t="e">
        <f t="shared" si="300"/>
        <v>#DIV/0!</v>
      </c>
      <c r="DC35" s="84" t="e">
        <f t="shared" si="301"/>
        <v>#DIV/0!</v>
      </c>
      <c r="DD35" s="84" t="e">
        <f t="shared" si="302"/>
        <v>#DIV/0!</v>
      </c>
      <c r="DE35" s="84" t="e">
        <f t="shared" si="303"/>
        <v>#DIV/0!</v>
      </c>
      <c r="DF35" s="84" t="e">
        <f t="shared" si="55"/>
        <v>#DIV/0!</v>
      </c>
      <c r="DG35" s="84" t="e">
        <f t="shared" si="56"/>
        <v>#DIV/0!</v>
      </c>
      <c r="DH35" s="106">
        <f>IF(BN35&lt;0,0,((0.5*(1-DF35)*(1+COS(RADIANS($BU$15))))+(DF35*(CO35/CP35))+(DG35*SIN(RADIANS($BU$15))))*'Irradiancia Horizontal'!D58)</f>
        <v>0</v>
      </c>
      <c r="DI35" s="106">
        <f t="shared" si="204"/>
        <v>-1.7981221516401122</v>
      </c>
      <c r="DJ35" s="84">
        <f>DI35*'Irradiancia Horizontal'!D87</f>
        <v>0</v>
      </c>
      <c r="DK35" s="84">
        <f t="shared" si="205"/>
        <v>0</v>
      </c>
      <c r="DL35" s="88">
        <f t="shared" si="57"/>
        <v>0</v>
      </c>
      <c r="DM35" s="84">
        <f t="shared" si="206"/>
        <v>0</v>
      </c>
      <c r="DN35" s="106">
        <f t="shared" si="207"/>
        <v>0</v>
      </c>
      <c r="DO35" s="106">
        <f t="shared" si="208"/>
        <v>0</v>
      </c>
      <c r="DP35" s="106">
        <f t="shared" si="209"/>
        <v>0</v>
      </c>
      <c r="DQ35" s="44"/>
      <c r="DS35" s="39">
        <v>0.75</v>
      </c>
      <c r="DT35" s="38">
        <v>-90</v>
      </c>
      <c r="DU35" s="38">
        <f t="shared" si="58"/>
        <v>-0.19618646613255544</v>
      </c>
      <c r="DV35" s="38">
        <f t="shared" si="368"/>
        <v>-90.35277083812899</v>
      </c>
      <c r="DW35" s="38">
        <f t="shared" si="60"/>
        <v>90.196186466132559</v>
      </c>
      <c r="DX35" s="38">
        <f>+'Irradiancia Horizontal'!E87/COS(RADIANS(DW35))</f>
        <v>0</v>
      </c>
      <c r="DY35" s="38" t="e">
        <f>((('Irradiancia Horizontal'!E58+DX35)/'Irradiancia Horizontal'!E58)+1.041*((RADIANS('Cálculos iluminancia'!DW35))^3))/(1+1.041*((RADIANS('Cálculos iluminancia'!DW35))^3))</f>
        <v>#DIV/0!</v>
      </c>
      <c r="DZ35" s="84">
        <f t="shared" si="61"/>
        <v>40.980881356266345</v>
      </c>
      <c r="EA35" s="84">
        <f t="shared" si="210"/>
        <v>39.969763252066421</v>
      </c>
      <c r="EB35" s="106">
        <f>'Irradiancia Horizontal'!E58*EA35/$DZ$15</f>
        <v>0</v>
      </c>
      <c r="EC35" s="84">
        <f>((17.27*Temp!D28)/(237.7+Temp!D28))+LN(HR!D39/100)</f>
        <v>0.637833645910304</v>
      </c>
      <c r="ED35" s="84">
        <f t="shared" si="211"/>
        <v>9.1156530307069126</v>
      </c>
      <c r="EE35" s="84">
        <f t="shared" si="212"/>
        <v>1.7561004758150294</v>
      </c>
      <c r="EF35" s="84" t="e">
        <f t="shared" si="304"/>
        <v>#DIV/0!</v>
      </c>
      <c r="EG35" s="84" t="e">
        <f t="shared" si="305"/>
        <v>#DIV/0!</v>
      </c>
      <c r="EH35" s="84" t="e">
        <f t="shared" si="306"/>
        <v>#DIV/0!</v>
      </c>
      <c r="EI35" s="84" t="e">
        <f t="shared" si="307"/>
        <v>#DIV/0!</v>
      </c>
      <c r="EJ35" s="84" t="e">
        <f t="shared" si="308"/>
        <v>#DIV/0!</v>
      </c>
      <c r="EK35" s="103">
        <f t="shared" si="67"/>
        <v>0</v>
      </c>
      <c r="EL35" s="165">
        <f>IF(ER35&gt;(EK35*'Irradiancia Horizontal'!E26),ER35,EK35*'Irradiancia Horizontal'!E26)</f>
        <v>0</v>
      </c>
      <c r="EM35" s="84" t="e">
        <f t="shared" si="309"/>
        <v>#DIV/0!</v>
      </c>
      <c r="EN35" s="84" t="e">
        <f t="shared" si="310"/>
        <v>#DIV/0!</v>
      </c>
      <c r="EO35" s="84" t="e">
        <f t="shared" si="311"/>
        <v>#DIV/0!</v>
      </c>
      <c r="EP35" s="84" t="e">
        <f t="shared" si="312"/>
        <v>#DIV/0!</v>
      </c>
      <c r="EQ35" s="103">
        <f t="shared" si="72"/>
        <v>0</v>
      </c>
      <c r="ER35" s="84">
        <f>+EQ35*'Irradiancia Horizontal'!E58</f>
        <v>0</v>
      </c>
      <c r="ES35" s="84">
        <f t="shared" si="213"/>
        <v>0</v>
      </c>
      <c r="ET35" s="84" t="e">
        <f>+ES35/'Irradiancia Horizontal'!E87</f>
        <v>#DIV/0!</v>
      </c>
      <c r="EU35" s="38">
        <f t="shared" si="73"/>
        <v>6.1569376360545089E-3</v>
      </c>
      <c r="EV35" s="84">
        <f t="shared" si="214"/>
        <v>6.1569376360545089E-3</v>
      </c>
      <c r="EW35" s="84">
        <f t="shared" si="215"/>
        <v>8.6999999999999994E-2</v>
      </c>
      <c r="EX35" s="84" t="e">
        <f t="shared" si="216"/>
        <v>#DIV/0!</v>
      </c>
      <c r="EY35" s="84" t="e">
        <f t="shared" si="217"/>
        <v>#DIV/0!</v>
      </c>
      <c r="EZ35" s="84" t="e">
        <f t="shared" si="218"/>
        <v>#DIV/0!</v>
      </c>
      <c r="FA35" s="84" t="e">
        <f t="shared" si="219"/>
        <v>#DIV/0!</v>
      </c>
      <c r="FB35" s="84" t="e">
        <f t="shared" si="220"/>
        <v>#DIV/0!</v>
      </c>
      <c r="FC35" s="84" t="e">
        <f t="shared" si="221"/>
        <v>#DIV/0!</v>
      </c>
      <c r="FD35" s="84" t="e">
        <f t="shared" si="74"/>
        <v>#DIV/0!</v>
      </c>
      <c r="FE35" s="84" t="e">
        <f t="shared" si="75"/>
        <v>#DIV/0!</v>
      </c>
      <c r="FF35" s="88">
        <f t="shared" si="76"/>
        <v>0</v>
      </c>
      <c r="FG35" s="84" t="e">
        <f t="shared" si="313"/>
        <v>#DIV/0!</v>
      </c>
      <c r="FH35" s="84" t="e">
        <f t="shared" si="314"/>
        <v>#DIV/0!</v>
      </c>
      <c r="FI35" s="84" t="e">
        <f t="shared" si="315"/>
        <v>#DIV/0!</v>
      </c>
      <c r="FJ35" s="84" t="e">
        <f t="shared" si="316"/>
        <v>#DIV/0!</v>
      </c>
      <c r="FK35" s="84" t="e">
        <f t="shared" si="317"/>
        <v>#DIV/0!</v>
      </c>
      <c r="FL35" s="84" t="e">
        <f t="shared" si="318"/>
        <v>#DIV/0!</v>
      </c>
      <c r="FM35" s="84" t="e">
        <f t="shared" si="83"/>
        <v>#DIV/0!</v>
      </c>
      <c r="FN35" s="84" t="e">
        <f t="shared" si="84"/>
        <v>#DIV/0!</v>
      </c>
      <c r="FO35" s="106">
        <f>IF(DU35&lt;0,0,((0.5*(1-FM35)*(1+COS(RADIANS($EB$15))))+(FM35*(EV35/EW35))+(FN35*SIN(RADIANS($EB$15))))*'Irradiancia Horizontal'!E58)</f>
        <v>0</v>
      </c>
      <c r="FP35" s="106">
        <f t="shared" si="222"/>
        <v>-1.7981221516401298</v>
      </c>
      <c r="FQ35" s="84">
        <f>FP35*'Irradiancia Horizontal'!E87</f>
        <v>0</v>
      </c>
      <c r="FR35" s="84">
        <f t="shared" si="223"/>
        <v>0</v>
      </c>
      <c r="FS35" s="88">
        <f t="shared" si="85"/>
        <v>0</v>
      </c>
      <c r="FT35" s="84">
        <f t="shared" si="224"/>
        <v>0</v>
      </c>
      <c r="FU35" s="106">
        <f t="shared" si="225"/>
        <v>0</v>
      </c>
      <c r="FV35" s="106">
        <f t="shared" si="226"/>
        <v>0</v>
      </c>
      <c r="FW35" s="106">
        <f t="shared" si="227"/>
        <v>0</v>
      </c>
      <c r="FX35" s="83"/>
      <c r="FZ35" s="39">
        <v>0.75</v>
      </c>
      <c r="GA35" s="38">
        <v>-90</v>
      </c>
      <c r="GB35" s="38">
        <f t="shared" si="86"/>
        <v>5.5984380572590657</v>
      </c>
      <c r="GC35" s="38">
        <f t="shared" si="369"/>
        <v>-79.848129908924179</v>
      </c>
      <c r="GD35" s="38">
        <f t="shared" si="88"/>
        <v>84.40156194274094</v>
      </c>
      <c r="GE35" s="38">
        <f>+'Irradiancia Horizontal'!F87/COS(RADIANS(GD35))</f>
        <v>424.00190324601675</v>
      </c>
      <c r="GF35" s="38">
        <f>((('Irradiancia Horizontal'!F58+GE35)/'Irradiancia Horizontal'!F58)+1.041*((RADIANS('Cálculos iluminancia'!GD35))^3))/(1+1.041*((RADIANS('Cálculos iluminancia'!GD35))^3))</f>
        <v>5.7299441841936796</v>
      </c>
      <c r="GG35" s="84">
        <f t="shared" si="89"/>
        <v>9.3792616563021074</v>
      </c>
      <c r="GH35" s="84">
        <f t="shared" si="276"/>
        <v>9.1478478616042764</v>
      </c>
      <c r="GI35" s="106">
        <f>'Irradiancia Horizontal'!F58*GH35/$GG$15</f>
        <v>0.13801805983552479</v>
      </c>
      <c r="GJ35" s="84">
        <f>((17.27*Temp!E28)/(237.7+Temp!E28))+LN(HR!E39/100)</f>
        <v>0.77564901433301436</v>
      </c>
      <c r="GK35" s="84">
        <f t="shared" si="228"/>
        <v>11.177873616680653</v>
      </c>
      <c r="GL35" s="84">
        <f t="shared" si="229"/>
        <v>2.0288135278945716</v>
      </c>
      <c r="GM35" s="84">
        <f t="shared" si="319"/>
        <v>7</v>
      </c>
      <c r="GN35" s="84">
        <f t="shared" si="320"/>
        <v>78.63</v>
      </c>
      <c r="GO35" s="84">
        <f t="shared" si="321"/>
        <v>1.47</v>
      </c>
      <c r="GP35" s="84">
        <f t="shared" si="322"/>
        <v>4.93</v>
      </c>
      <c r="GQ35" s="84">
        <f t="shared" si="323"/>
        <v>-11.37</v>
      </c>
      <c r="GR35" s="103">
        <f t="shared" si="96"/>
        <v>104.61012107185712</v>
      </c>
      <c r="GS35" s="165">
        <f>IF(GY35&gt;(GR35*'Irradiancia Horizontal'!F26),GY35,GR35*'Irradiancia Horizontal'!F26)</f>
        <v>6493.960852559062</v>
      </c>
      <c r="GT35" s="84">
        <f t="shared" si="324"/>
        <v>141.88</v>
      </c>
      <c r="GU35" s="84">
        <f t="shared" si="325"/>
        <v>1.9</v>
      </c>
      <c r="GV35" s="84">
        <f t="shared" si="326"/>
        <v>-53.24</v>
      </c>
      <c r="GW35" s="84">
        <f t="shared" si="327"/>
        <v>-14.03</v>
      </c>
      <c r="GX35" s="103">
        <f t="shared" si="101"/>
        <v>168.32547797108293</v>
      </c>
      <c r="GY35" s="84">
        <f>+GX35*'Irradiancia Horizontal'!F58</f>
        <v>3486.680062879987</v>
      </c>
      <c r="GZ35" s="84">
        <f t="shared" si="230"/>
        <v>3007.280789679075</v>
      </c>
      <c r="HA35" s="84">
        <f>+GZ35/'Irradiancia Horizontal'!F87</f>
        <v>72.703148393605346</v>
      </c>
      <c r="HB35" s="38">
        <f t="shared" si="102"/>
        <v>-0.17541718887329541</v>
      </c>
      <c r="HC35" s="84">
        <f t="shared" si="231"/>
        <v>0</v>
      </c>
      <c r="HD35" s="84">
        <f t="shared" si="232"/>
        <v>9.755576878539271E-2</v>
      </c>
      <c r="HE35" s="84">
        <f t="shared" si="233"/>
        <v>1.4850000000000001</v>
      </c>
      <c r="HF35" s="84">
        <f t="shared" si="234"/>
        <v>-1.214</v>
      </c>
      <c r="HG35" s="84">
        <f t="shared" si="235"/>
        <v>-0.78400000000000003</v>
      </c>
      <c r="HH35" s="84">
        <f t="shared" si="236"/>
        <v>0.41099999999999998</v>
      </c>
      <c r="HI35" s="84">
        <f t="shared" si="237"/>
        <v>-0.629</v>
      </c>
      <c r="HJ35" s="84">
        <f t="shared" si="238"/>
        <v>-8.2000000000000003E-2</v>
      </c>
      <c r="HK35" s="84">
        <f t="shared" si="103"/>
        <v>0.16254731797388433</v>
      </c>
      <c r="HL35" s="84">
        <f t="shared" si="104"/>
        <v>0.20339365808585966</v>
      </c>
      <c r="HM35" s="88">
        <f t="shared" si="105"/>
        <v>2169.1333975771108</v>
      </c>
      <c r="HN35" s="84">
        <f t="shared" si="328"/>
        <v>1.06</v>
      </c>
      <c r="HO35" s="84">
        <f t="shared" si="329"/>
        <v>-1.6</v>
      </c>
      <c r="HP35" s="84">
        <f t="shared" si="330"/>
        <v>-0.35899999999999999</v>
      </c>
      <c r="HQ35" s="84">
        <f t="shared" si="331"/>
        <v>0.26400000000000001</v>
      </c>
      <c r="HR35" s="84">
        <f t="shared" si="332"/>
        <v>-1.127</v>
      </c>
      <c r="HS35" s="84">
        <f t="shared" si="333"/>
        <v>0.13100000000000001</v>
      </c>
      <c r="HT35" s="84">
        <f t="shared" si="112"/>
        <v>0.31033353551124965</v>
      </c>
      <c r="HU35" s="84">
        <f t="shared" si="113"/>
        <v>0.30142780117957058</v>
      </c>
      <c r="HV35" s="106">
        <f>IF(GB35&lt;0,0,((0.5*(1-HT35)*(1+COS(RADIANS($GI$15))))+(HT35*(HC35/HD35))+(HU35*SIN(RADIANS($GI$15))))*'Irradiancia Horizontal'!F58)</f>
        <v>13.386597726118383</v>
      </c>
      <c r="HW35" s="84">
        <f t="shared" si="114"/>
        <v>0</v>
      </c>
      <c r="HX35" s="84">
        <f>HW35*'Irradiancia Horizontal'!F87</f>
        <v>0</v>
      </c>
      <c r="HY35" s="84">
        <f t="shared" si="239"/>
        <v>13.386597726118383</v>
      </c>
      <c r="HZ35" s="88">
        <f t="shared" si="115"/>
        <v>1400.3736088694914</v>
      </c>
      <c r="IA35" s="84">
        <f t="shared" si="240"/>
        <v>-768.75978870761946</v>
      </c>
      <c r="IB35" s="106">
        <f t="shared" si="241"/>
        <v>30826.273290866255</v>
      </c>
      <c r="IC35" s="106">
        <f t="shared" si="242"/>
        <v>0</v>
      </c>
      <c r="ID35" s="106">
        <f t="shared" si="243"/>
        <v>2169.1333975771108</v>
      </c>
      <c r="IE35" s="83"/>
      <c r="IG35" s="39">
        <v>0.75</v>
      </c>
      <c r="IH35" s="38">
        <v>-90</v>
      </c>
      <c r="II35" s="38">
        <f t="shared" si="116"/>
        <v>9.6327224739751323</v>
      </c>
      <c r="IJ35" s="38">
        <f t="shared" si="370"/>
        <v>-72.230644833243772</v>
      </c>
      <c r="IK35" s="38">
        <f t="shared" si="118"/>
        <v>80.367277526024864</v>
      </c>
      <c r="IL35" s="38">
        <f>+'Irradiancia Horizontal'!G87/COS(RADIANS(IK35))</f>
        <v>649.98155610742947</v>
      </c>
      <c r="IM35" s="38">
        <f>((('Irradiancia Horizontal'!G58+IL35)/'Irradiancia Horizontal'!G58)+1.041*((RADIANS('Cálculos iluminancia'!IK35))^3))/(1+1.041*((RADIANS('Cálculos iluminancia'!IK35))^3))</f>
        <v>9.4065844441556781</v>
      </c>
      <c r="IN35" s="87">
        <f t="shared" si="119"/>
        <v>5.783409068371741</v>
      </c>
      <c r="IO35" s="87">
        <f t="shared" si="334"/>
        <v>5.6407154654160667</v>
      </c>
      <c r="IP35" s="106">
        <f>'Irradiancia Horizontal'!G58*IO35/$IN$15</f>
        <v>8.322901617879179E-2</v>
      </c>
      <c r="IQ35" s="87">
        <f>((17.27*Temp!F28)/(237.7+Temp!F28))+LN(HR!F39/100)</f>
        <v>0.95120988866434986</v>
      </c>
      <c r="IR35" s="87">
        <f t="shared" si="244"/>
        <v>13.855352571662563</v>
      </c>
      <c r="IS35" s="87">
        <f t="shared" si="245"/>
        <v>2.4470291085982834</v>
      </c>
      <c r="IT35" s="87">
        <f t="shared" si="335"/>
        <v>8</v>
      </c>
      <c r="IU35" s="87">
        <f t="shared" si="336"/>
        <v>99.65</v>
      </c>
      <c r="IV35" s="87">
        <f t="shared" si="337"/>
        <v>1.86</v>
      </c>
      <c r="IW35" s="87">
        <f t="shared" si="338"/>
        <v>-4.46</v>
      </c>
      <c r="IX35" s="87">
        <f t="shared" si="339"/>
        <v>-3.15</v>
      </c>
      <c r="IY35" s="103">
        <f t="shared" si="126"/>
        <v>111.28657575647529</v>
      </c>
      <c r="IZ35" s="165">
        <f>IF(JF35&gt;(IY35*'Irradiancia Horizontal'!G26),JF35,IY35*'Irradiancia Horizontal'!G26)</f>
        <v>14325.530770914645</v>
      </c>
      <c r="JA35" s="87">
        <f t="shared" si="340"/>
        <v>152.22999999999999</v>
      </c>
      <c r="JB35" s="87">
        <f t="shared" si="341"/>
        <v>0.35</v>
      </c>
      <c r="JC35" s="87">
        <f t="shared" si="342"/>
        <v>-45.27</v>
      </c>
      <c r="JD35" s="87">
        <f t="shared" si="343"/>
        <v>-7.98</v>
      </c>
      <c r="JE35" s="103">
        <f t="shared" si="131"/>
        <v>165.3508986821262</v>
      </c>
      <c r="JF35" s="87">
        <f>+JE35*'Irradiancia Horizontal'!G58</f>
        <v>3301.0466415108585</v>
      </c>
      <c r="JG35" s="87">
        <f t="shared" si="246"/>
        <v>11024.484129403787</v>
      </c>
      <c r="JH35" s="87">
        <f>+JG35/'Irradiancia Horizontal'!G87</f>
        <v>101.36281561899287</v>
      </c>
      <c r="JI35" s="38">
        <f t="shared" si="132"/>
        <v>-0.30088308193212143</v>
      </c>
      <c r="JJ35" s="87">
        <f t="shared" si="247"/>
        <v>0</v>
      </c>
      <c r="JK35" s="87">
        <f t="shared" si="248"/>
        <v>0.16733183652605546</v>
      </c>
      <c r="JL35" s="87">
        <f t="shared" si="249"/>
        <v>1.17</v>
      </c>
      <c r="JM35" s="87">
        <f t="shared" si="250"/>
        <v>-0.3</v>
      </c>
      <c r="JN35" s="87">
        <f t="shared" si="251"/>
        <v>-0.61499999999999999</v>
      </c>
      <c r="JO35" s="87">
        <f t="shared" si="252"/>
        <v>0.51800000000000002</v>
      </c>
      <c r="JP35" s="87">
        <f t="shared" si="253"/>
        <v>-1.8919999999999999</v>
      </c>
      <c r="JQ35" s="87">
        <f t="shared" si="254"/>
        <v>-5.5E-2</v>
      </c>
      <c r="JR35" s="87">
        <f t="shared" si="133"/>
        <v>0.28238702887505873</v>
      </c>
      <c r="JS35" s="87">
        <f t="shared" si="134"/>
        <v>0.28338365318660125</v>
      </c>
      <c r="JT35" s="88">
        <f t="shared" si="135"/>
        <v>2119.8996007290157</v>
      </c>
      <c r="JU35" s="87">
        <f t="shared" si="344"/>
        <v>0.67800000000000005</v>
      </c>
      <c r="JV35" s="87">
        <f t="shared" si="345"/>
        <v>-0.32700000000000001</v>
      </c>
      <c r="JW35" s="87">
        <f t="shared" si="346"/>
        <v>-0.25</v>
      </c>
      <c r="JX35" s="87">
        <f t="shared" si="347"/>
        <v>0.156</v>
      </c>
      <c r="JY35" s="87">
        <f t="shared" si="348"/>
        <v>-1.377</v>
      </c>
      <c r="JZ35" s="87">
        <f t="shared" si="349"/>
        <v>0.251</v>
      </c>
      <c r="KA35" s="87">
        <f t="shared" si="142"/>
        <v>0.30011571078624094</v>
      </c>
      <c r="KB35" s="87">
        <f t="shared" si="143"/>
        <v>0.39346471924879101</v>
      </c>
      <c r="KC35" s="106">
        <f>IF(II35&lt;0,0,((0.5*(1-KA35)*(1+COS(RADIANS($IP$15))))+(KA35*(JJ35/JK35))+(KB35*SIN(RADIANS($IP$15))))*'Irradiancia Horizontal'!G58)</f>
        <v>14.841290557026475</v>
      </c>
      <c r="KD35" s="87">
        <f t="shared" si="144"/>
        <v>0</v>
      </c>
      <c r="KE35" s="87">
        <f>KD35*'Irradiancia Horizontal'!G87</f>
        <v>0</v>
      </c>
      <c r="KF35" s="87">
        <f t="shared" si="255"/>
        <v>14.841290557026475</v>
      </c>
      <c r="KG35" s="88">
        <f t="shared" si="145"/>
        <v>1651.6364058983881</v>
      </c>
      <c r="KH35" s="87">
        <f t="shared" si="256"/>
        <v>-468.26319483062753</v>
      </c>
      <c r="KI35" s="106">
        <f t="shared" si="257"/>
        <v>65883.960627463443</v>
      </c>
      <c r="KJ35" s="106">
        <f t="shared" si="258"/>
        <v>0</v>
      </c>
      <c r="KK35" s="106">
        <f t="shared" si="259"/>
        <v>2119.8996007290157</v>
      </c>
      <c r="KL35" s="86"/>
      <c r="KN35" s="39">
        <v>0.75</v>
      </c>
      <c r="KO35" s="38">
        <v>-90</v>
      </c>
      <c r="KP35" s="38">
        <f t="shared" si="146"/>
        <v>11.152054967319165</v>
      </c>
      <c r="KQ35" s="38">
        <f t="shared" si="371"/>
        <v>-69.238766580276192</v>
      </c>
      <c r="KR35" s="38">
        <f t="shared" si="148"/>
        <v>78.84794503268084</v>
      </c>
      <c r="KS35" s="38">
        <f>+'Irradiancia Horizontal'!H87/COS(RADIANS(KR35))</f>
        <v>674.94692456357586</v>
      </c>
      <c r="KT35" s="38">
        <f>((('Irradiancia Horizontal'!H58+KS35)/'Irradiancia Horizontal'!H58)+1.041*((RADIANS('Cálculos iluminancia'!KR35))^3))/(1+1.041*((RADIANS('Cálculos iluminancia'!KR35))^3))</f>
        <v>9.2710854374603997</v>
      </c>
      <c r="KU35" s="87">
        <f t="shared" si="149"/>
        <v>5.0451994844823824</v>
      </c>
      <c r="KV35" s="87">
        <f t="shared" si="350"/>
        <v>4.9207196692799648</v>
      </c>
      <c r="KW35" s="106">
        <f>'Irradiancia Horizontal'!H58*KV35/$KU$15</f>
        <v>8.0594608000735243E-2</v>
      </c>
      <c r="KX35" s="87">
        <f>((17.27*Temp!G28)/(237.7+Temp!G28))+LN(HR!G39/100)</f>
        <v>1.2272322940201199</v>
      </c>
      <c r="KY35" s="87">
        <f t="shared" si="260"/>
        <v>18.183465698368714</v>
      </c>
      <c r="KZ35" s="87">
        <f t="shared" si="261"/>
        <v>3.312961819776957</v>
      </c>
      <c r="LA35" s="87">
        <f t="shared" si="351"/>
        <v>8</v>
      </c>
      <c r="LB35" s="87">
        <f t="shared" si="352"/>
        <v>99.65</v>
      </c>
      <c r="LC35" s="87">
        <f t="shared" si="353"/>
        <v>1.86</v>
      </c>
      <c r="LD35" s="87">
        <f t="shared" si="354"/>
        <v>-4.46</v>
      </c>
      <c r="LE35" s="87">
        <f t="shared" si="355"/>
        <v>-3.15</v>
      </c>
      <c r="LF35" s="103">
        <f t="shared" si="156"/>
        <v>112.88220424502312</v>
      </c>
      <c r="LG35" s="165">
        <f>IF(LM35&gt;(LF35*'Irradiancia Horizontal'!H26),LM35,LF35*'Irradiancia Horizontal'!H26)</f>
        <v>17216.944572493518</v>
      </c>
      <c r="LH35" s="87">
        <f t="shared" si="356"/>
        <v>152.22999999999999</v>
      </c>
      <c r="LI35" s="87">
        <f t="shared" si="357"/>
        <v>0.35</v>
      </c>
      <c r="LJ35" s="87">
        <f t="shared" si="358"/>
        <v>-45.27</v>
      </c>
      <c r="LK35" s="87">
        <f t="shared" si="359"/>
        <v>-7.98</v>
      </c>
      <c r="LL35" s="103">
        <f t="shared" si="161"/>
        <v>164.72993282232073</v>
      </c>
      <c r="LM35" s="87">
        <f>+LL35*'Irradiancia Horizontal'!H58</f>
        <v>3620.3589910180567</v>
      </c>
      <c r="LN35" s="87">
        <f t="shared" si="262"/>
        <v>13596.585581475461</v>
      </c>
      <c r="LO35" s="87">
        <f>+LN35/'Irradiancia Horizontal'!H87</f>
        <v>104.15344288353135</v>
      </c>
      <c r="LP35" s="38">
        <f t="shared" si="162"/>
        <v>-0.34778095732126574</v>
      </c>
      <c r="LQ35" s="87">
        <f t="shared" si="263"/>
        <v>0</v>
      </c>
      <c r="LR35" s="87">
        <f t="shared" si="264"/>
        <v>0.19341342133183026</v>
      </c>
      <c r="LS35" s="87">
        <f t="shared" si="265"/>
        <v>1.17</v>
      </c>
      <c r="LT35" s="87">
        <f t="shared" si="266"/>
        <v>-0.3</v>
      </c>
      <c r="LU35" s="87">
        <f t="shared" si="267"/>
        <v>-0.61499999999999999</v>
      </c>
      <c r="LV35" s="87">
        <f t="shared" si="268"/>
        <v>0.51800000000000002</v>
      </c>
      <c r="LW35" s="87">
        <f t="shared" si="269"/>
        <v>-1.8919999999999999</v>
      </c>
      <c r="LX35" s="87">
        <f t="shared" si="270"/>
        <v>-5.5E-2</v>
      </c>
      <c r="LY35" s="87">
        <f t="shared" si="163"/>
        <v>0.29948552430992925</v>
      </c>
      <c r="LZ35" s="87">
        <f t="shared" si="164"/>
        <v>0.28982640795376058</v>
      </c>
      <c r="MA35" s="88">
        <f t="shared" si="165"/>
        <v>2317.332582071288</v>
      </c>
      <c r="MB35" s="87">
        <f t="shared" si="360"/>
        <v>0.67800000000000005</v>
      </c>
      <c r="MC35" s="87">
        <f t="shared" si="361"/>
        <v>-0.32700000000000001</v>
      </c>
      <c r="MD35" s="87">
        <f t="shared" si="362"/>
        <v>-0.25</v>
      </c>
      <c r="ME35" s="87">
        <f t="shared" si="363"/>
        <v>0.156</v>
      </c>
      <c r="MF35" s="87">
        <f t="shared" si="364"/>
        <v>-1.377</v>
      </c>
      <c r="MG35" s="87">
        <f t="shared" si="365"/>
        <v>0.251</v>
      </c>
      <c r="MH35" s="87">
        <f t="shared" si="172"/>
        <v>0.30760650087081248</v>
      </c>
      <c r="MI35" s="87">
        <f t="shared" si="173"/>
        <v>0.39043644334518657</v>
      </c>
      <c r="MJ35" s="106">
        <f>IF(KP35&lt;0,0,((0.5*(1-MH35)*(1+COS(RADIANS($KW$15))))+(MH35*(LQ35/LR35))+(MI35*SIN(RADIANS($KW$15))))*'Irradiancia Horizontal'!H58)</f>
        <v>16.18938681842225</v>
      </c>
      <c r="MK35" s="87">
        <f t="shared" si="174"/>
        <v>0</v>
      </c>
      <c r="ML35" s="87">
        <f>MK35*'Irradiancia Horizontal'!H87</f>
        <v>0</v>
      </c>
      <c r="MM35" s="87">
        <f t="shared" si="271"/>
        <v>16.18938681842225</v>
      </c>
      <c r="MN35" s="88">
        <f t="shared" si="175"/>
        <v>1827.4936694388255</v>
      </c>
      <c r="MO35" s="87">
        <f t="shared" si="272"/>
        <v>-489.83891263246255</v>
      </c>
      <c r="MP35" s="106">
        <f t="shared" si="273"/>
        <v>70298.045956947535</v>
      </c>
      <c r="MQ35" s="106">
        <f t="shared" si="274"/>
        <v>0</v>
      </c>
      <c r="MR35" s="106">
        <f t="shared" si="275"/>
        <v>2317.332582071288</v>
      </c>
    </row>
    <row r="36" spans="4:356" x14ac:dyDescent="0.25">
      <c r="E36" s="39">
        <v>0.79166666666666663</v>
      </c>
      <c r="F36" s="38">
        <v>-105</v>
      </c>
      <c r="G36" s="38">
        <f t="shared" si="0"/>
        <v>-22.314889941656389</v>
      </c>
      <c r="H36" s="38">
        <f t="shared" si="366"/>
        <v>-101.39522725900767</v>
      </c>
      <c r="I36" s="38">
        <f t="shared" si="2"/>
        <v>112.31488994165639</v>
      </c>
      <c r="J36" s="38">
        <f>'Irradiancia Horizontal'!C88/COS(RADIANS(I36))</f>
        <v>0</v>
      </c>
      <c r="K36" s="38" t="e">
        <f>((('Irradiancia Horizontal'!C59+J36)/'Irradiancia Horizontal'!C59)+1.041*((RADIANS('Cálculos iluminancia'!I36))^3))/(1+1.041*((RADIANS('Cálculos iluminancia'!I36))^3))</f>
        <v>#DIV/0!</v>
      </c>
      <c r="L36" s="36" t="e">
        <f t="shared" si="3"/>
        <v>#NUM!</v>
      </c>
      <c r="M36" s="36" t="e">
        <f t="shared" si="4"/>
        <v>#NUM!</v>
      </c>
      <c r="N36" s="106" t="e">
        <f>'Irradiancia Horizontal'!C59*M36/$L$15</f>
        <v>#NUM!</v>
      </c>
      <c r="O36" s="71">
        <f>((17.27*Temp!B29)/(237.7+Temp!B29))+LN(HR!B40/100)</f>
        <v>0.50025721464392459</v>
      </c>
      <c r="P36" s="71">
        <f t="shared" si="176"/>
        <v>7.0908147753284689</v>
      </c>
      <c r="Q36" s="71">
        <f t="shared" si="177"/>
        <v>1.5240283116239843</v>
      </c>
      <c r="R36" s="71" t="e">
        <f t="shared" si="277"/>
        <v>#DIV/0!</v>
      </c>
      <c r="S36" s="71" t="e">
        <f t="shared" si="6"/>
        <v>#DIV/0!</v>
      </c>
      <c r="T36" s="71" t="e">
        <f t="shared" si="7"/>
        <v>#DIV/0!</v>
      </c>
      <c r="U36" s="71" t="e">
        <f t="shared" si="8"/>
        <v>#DIV/0!</v>
      </c>
      <c r="V36" s="71" t="e">
        <f t="shared" si="9"/>
        <v>#DIV/0!</v>
      </c>
      <c r="W36" s="103">
        <f t="shared" si="10"/>
        <v>0</v>
      </c>
      <c r="X36" s="165">
        <f>IF(AD36&gt;(W36*'Irradiancia Horizontal'!C27),AD36,W36*'Irradiancia Horizontal'!C27)</f>
        <v>0</v>
      </c>
      <c r="Y36" s="71" t="e">
        <f t="shared" si="278"/>
        <v>#DIV/0!</v>
      </c>
      <c r="Z36" s="71" t="e">
        <f t="shared" si="279"/>
        <v>#DIV/0!</v>
      </c>
      <c r="AA36" s="71" t="e">
        <f t="shared" si="280"/>
        <v>#DIV/0!</v>
      </c>
      <c r="AB36" s="71" t="e">
        <f t="shared" si="281"/>
        <v>#DIV/0!</v>
      </c>
      <c r="AC36" s="103">
        <f t="shared" si="15"/>
        <v>0</v>
      </c>
      <c r="AD36" s="71">
        <f>+AC36*'Irradiancia Horizontal'!C59</f>
        <v>0</v>
      </c>
      <c r="AE36" s="71">
        <f t="shared" si="16"/>
        <v>0</v>
      </c>
      <c r="AF36" s="71" t="e">
        <f>+AE36/'Irradiancia Horizontal'!C88</f>
        <v>#DIV/0!</v>
      </c>
      <c r="AG36" s="38">
        <f t="shared" si="282"/>
        <v>0.1827794524798671</v>
      </c>
      <c r="AH36" s="84">
        <f t="shared" si="178"/>
        <v>0.1827794524798671</v>
      </c>
      <c r="AI36" s="84">
        <f t="shared" si="179"/>
        <v>8.6999999999999994E-2</v>
      </c>
      <c r="AJ36" s="84" t="e">
        <f t="shared" si="180"/>
        <v>#DIV/0!</v>
      </c>
      <c r="AK36" s="84" t="e">
        <f t="shared" si="181"/>
        <v>#DIV/0!</v>
      </c>
      <c r="AL36" s="84" t="e">
        <f t="shared" si="182"/>
        <v>#DIV/0!</v>
      </c>
      <c r="AM36" s="84" t="e">
        <f t="shared" si="183"/>
        <v>#DIV/0!</v>
      </c>
      <c r="AN36" s="84" t="e">
        <f t="shared" si="184"/>
        <v>#DIV/0!</v>
      </c>
      <c r="AO36" s="84" t="e">
        <f t="shared" si="185"/>
        <v>#DIV/0!</v>
      </c>
      <c r="AP36" s="84" t="e">
        <f t="shared" si="18"/>
        <v>#DIV/0!</v>
      </c>
      <c r="AQ36" s="84" t="e">
        <f t="shared" si="19"/>
        <v>#DIV/0!</v>
      </c>
      <c r="AR36" s="88">
        <f t="shared" si="20"/>
        <v>0</v>
      </c>
      <c r="AS36" s="84" t="e">
        <f t="shared" si="283"/>
        <v>#DIV/0!</v>
      </c>
      <c r="AT36" s="84" t="e">
        <f t="shared" si="284"/>
        <v>#DIV/0!</v>
      </c>
      <c r="AU36" s="84" t="e">
        <f t="shared" si="285"/>
        <v>#DIV/0!</v>
      </c>
      <c r="AV36" s="84" t="e">
        <f t="shared" si="286"/>
        <v>#DIV/0!</v>
      </c>
      <c r="AW36" s="84" t="e">
        <f t="shared" si="287"/>
        <v>#DIV/0!</v>
      </c>
      <c r="AX36" s="84" t="e">
        <f t="shared" si="288"/>
        <v>#DIV/0!</v>
      </c>
      <c r="AY36" s="84" t="e">
        <f t="shared" si="27"/>
        <v>#DIV/0!</v>
      </c>
      <c r="AZ36" s="84" t="e">
        <f t="shared" si="28"/>
        <v>#DIV/0!</v>
      </c>
      <c r="BA36" s="106">
        <f>IF(G36&lt;0,0,((0.5*(1-AY36)*(1+COS(RADIANS($N$15))))+(AY36*(AH36/AI36))+(AZ36*SIN(RADIANS($N$15))))*'Irradiancia Horizontal'!C59)</f>
        <v>0</v>
      </c>
      <c r="BB36" s="106">
        <f t="shared" si="186"/>
        <v>-0.48138291956090812</v>
      </c>
      <c r="BC36" s="84">
        <f>BB36*'Irradiancia Horizontal'!C88</f>
        <v>0</v>
      </c>
      <c r="BD36" s="84">
        <f t="shared" si="187"/>
        <v>0</v>
      </c>
      <c r="BE36" s="88">
        <f t="shared" si="29"/>
        <v>0</v>
      </c>
      <c r="BF36" s="84">
        <f t="shared" si="188"/>
        <v>0</v>
      </c>
      <c r="BG36" s="106">
        <f t="shared" si="189"/>
        <v>0</v>
      </c>
      <c r="BH36" s="106">
        <f t="shared" si="190"/>
        <v>0</v>
      </c>
      <c r="BI36" s="106">
        <f t="shared" si="191"/>
        <v>0</v>
      </c>
      <c r="BJ36" s="72"/>
      <c r="BL36" s="39">
        <v>0.79166666666666663</v>
      </c>
      <c r="BM36" s="38">
        <v>-105</v>
      </c>
      <c r="BN36" s="38">
        <f t="shared" si="30"/>
        <v>-18.450636942948769</v>
      </c>
      <c r="BO36" s="38">
        <f t="shared" si="367"/>
        <v>-92.825247091319213</v>
      </c>
      <c r="BP36" s="38">
        <f t="shared" si="32"/>
        <v>108.45063694294876</v>
      </c>
      <c r="BQ36" s="38">
        <f>+'Irradiancia Horizontal'!D88/COS(RADIANS(BP36))</f>
        <v>0</v>
      </c>
      <c r="BR36" s="38" t="e">
        <f>((('Irradiancia Horizontal'!D59+BQ36)/'Irradiancia Horizontal'!D59)+1.041*((RADIANS('Cálculos iluminancia'!BP36))^3))/(1+1.041*((RADIANS('Cálculos iluminancia'!BP36))^3))</f>
        <v>#DIV/0!</v>
      </c>
      <c r="BS36" s="84" t="e">
        <f t="shared" si="33"/>
        <v>#NUM!</v>
      </c>
      <c r="BT36" s="84" t="e">
        <f t="shared" si="192"/>
        <v>#NUM!</v>
      </c>
      <c r="BU36" s="106" t="e">
        <f>'Irradiancia Horizontal'!D59*BT36/$BS$15</f>
        <v>#NUM!</v>
      </c>
      <c r="BV36" s="84">
        <f>((17.27*Temp!C29)/(237.7+Temp!C29))+LN(HR!C40/100)</f>
        <v>0.56875667855109202</v>
      </c>
      <c r="BW36" s="84">
        <f t="shared" si="193"/>
        <v>8.0948142536172529</v>
      </c>
      <c r="BX36" s="84">
        <f t="shared" si="194"/>
        <v>1.6349905062430885</v>
      </c>
      <c r="BY36" s="84" t="e">
        <f t="shared" si="289"/>
        <v>#DIV/0!</v>
      </c>
      <c r="BZ36" s="84" t="e">
        <f t="shared" si="290"/>
        <v>#DIV/0!</v>
      </c>
      <c r="CA36" s="84" t="e">
        <f t="shared" si="291"/>
        <v>#DIV/0!</v>
      </c>
      <c r="CB36" s="84" t="e">
        <f t="shared" si="292"/>
        <v>#DIV/0!</v>
      </c>
      <c r="CC36" s="84" t="e">
        <f t="shared" si="293"/>
        <v>#DIV/0!</v>
      </c>
      <c r="CD36" s="103">
        <f t="shared" si="39"/>
        <v>0</v>
      </c>
      <c r="CE36" s="165">
        <f>IF(CK36&gt;(CD36*'Irradiancia Horizontal'!D27),CK36,CD36*'Irradiancia Horizontal'!D27)</f>
        <v>0</v>
      </c>
      <c r="CF36" s="84" t="e">
        <f t="shared" si="294"/>
        <v>#DIV/0!</v>
      </c>
      <c r="CG36" s="84" t="e">
        <f t="shared" si="295"/>
        <v>#DIV/0!</v>
      </c>
      <c r="CH36" s="84" t="e">
        <f t="shared" si="296"/>
        <v>#DIV/0!</v>
      </c>
      <c r="CI36" s="84" t="e">
        <f t="shared" si="297"/>
        <v>#DIV/0!</v>
      </c>
      <c r="CJ36" s="103">
        <f t="shared" si="44"/>
        <v>0</v>
      </c>
      <c r="CK36" s="84">
        <f>+CJ36*'Irradiancia Horizontal'!D59</f>
        <v>0</v>
      </c>
      <c r="CL36" s="84">
        <f t="shared" si="195"/>
        <v>0</v>
      </c>
      <c r="CM36" s="84" t="e">
        <f>+CL36/'Irradiancia Horizontal'!D88</f>
        <v>#DIV/0!</v>
      </c>
      <c r="CN36" s="38">
        <f t="shared" si="45"/>
        <v>4.6756219988824954E-2</v>
      </c>
      <c r="CO36" s="84">
        <f t="shared" si="196"/>
        <v>4.6756219988824954E-2</v>
      </c>
      <c r="CP36" s="84">
        <f t="shared" si="197"/>
        <v>8.6999999999999994E-2</v>
      </c>
      <c r="CQ36" s="84" t="e">
        <f t="shared" si="198"/>
        <v>#DIV/0!</v>
      </c>
      <c r="CR36" s="84" t="e">
        <f t="shared" si="199"/>
        <v>#DIV/0!</v>
      </c>
      <c r="CS36" s="84" t="e">
        <f t="shared" si="200"/>
        <v>#DIV/0!</v>
      </c>
      <c r="CT36" s="84" t="e">
        <f t="shared" si="201"/>
        <v>#DIV/0!</v>
      </c>
      <c r="CU36" s="84" t="e">
        <f t="shared" si="202"/>
        <v>#DIV/0!</v>
      </c>
      <c r="CV36" s="84" t="e">
        <f t="shared" si="203"/>
        <v>#DIV/0!</v>
      </c>
      <c r="CW36" s="84" t="e">
        <f t="shared" si="46"/>
        <v>#DIV/0!</v>
      </c>
      <c r="CX36" s="84" t="e">
        <f t="shared" si="47"/>
        <v>#DIV/0!</v>
      </c>
      <c r="CY36" s="88">
        <f t="shared" si="48"/>
        <v>0</v>
      </c>
      <c r="CZ36" s="84" t="e">
        <f t="shared" si="298"/>
        <v>#DIV/0!</v>
      </c>
      <c r="DA36" s="84" t="e">
        <f t="shared" si="299"/>
        <v>#DIV/0!</v>
      </c>
      <c r="DB36" s="84" t="e">
        <f t="shared" si="300"/>
        <v>#DIV/0!</v>
      </c>
      <c r="DC36" s="84" t="e">
        <f t="shared" si="301"/>
        <v>#DIV/0!</v>
      </c>
      <c r="DD36" s="84" t="e">
        <f t="shared" si="302"/>
        <v>#DIV/0!</v>
      </c>
      <c r="DE36" s="84" t="e">
        <f t="shared" si="303"/>
        <v>#DIV/0!</v>
      </c>
      <c r="DF36" s="84" t="e">
        <f t="shared" si="55"/>
        <v>#DIV/0!</v>
      </c>
      <c r="DG36" s="84" t="e">
        <f t="shared" si="56"/>
        <v>#DIV/0!</v>
      </c>
      <c r="DH36" s="106">
        <f>IF(BN36&lt;0,0,((0.5*(1-DF36)*(1+COS(RADIANS($BU$15))))+(DF36*(CO36/CP36))+(DG36*SIN(RADIANS($BU$15))))*'Irradiancia Horizontal'!D59)</f>
        <v>0</v>
      </c>
      <c r="DI36" s="106">
        <f t="shared" si="204"/>
        <v>-0.14773480197467093</v>
      </c>
      <c r="DJ36" s="84">
        <f>DI36*'Irradiancia Horizontal'!D88</f>
        <v>0</v>
      </c>
      <c r="DK36" s="84">
        <f t="shared" si="205"/>
        <v>0</v>
      </c>
      <c r="DL36" s="88">
        <f t="shared" si="57"/>
        <v>0</v>
      </c>
      <c r="DM36" s="84">
        <f t="shared" si="206"/>
        <v>0</v>
      </c>
      <c r="DN36" s="106">
        <f t="shared" si="207"/>
        <v>0</v>
      </c>
      <c r="DO36" s="106">
        <f t="shared" si="208"/>
        <v>0</v>
      </c>
      <c r="DP36" s="106">
        <f t="shared" si="209"/>
        <v>0</v>
      </c>
      <c r="DQ36" s="44"/>
      <c r="DS36" s="39">
        <v>0.79166666666666663</v>
      </c>
      <c r="DT36" s="38">
        <v>-105</v>
      </c>
      <c r="DU36" s="38">
        <f t="shared" si="58"/>
        <v>-13.274188224930079</v>
      </c>
      <c r="DV36" s="38">
        <f t="shared" si="368"/>
        <v>-82.939465792216424</v>
      </c>
      <c r="DW36" s="38">
        <f t="shared" si="60"/>
        <v>103.27418822493007</v>
      </c>
      <c r="DX36" s="38">
        <f>+'Irradiancia Horizontal'!E88/COS(RADIANS(DW36))</f>
        <v>0</v>
      </c>
      <c r="DY36" s="38" t="e">
        <f>((('Irradiancia Horizontal'!E59+DX36)/'Irradiancia Horizontal'!E59)+1.041*((RADIANS('Cálculos iluminancia'!DW36))^3))/(1+1.041*((RADIANS('Cálculos iluminancia'!DW36))^3))</f>
        <v>#DIV/0!</v>
      </c>
      <c r="DZ36" s="84" t="e">
        <f t="shared" si="61"/>
        <v>#NUM!</v>
      </c>
      <c r="EA36" s="84" t="e">
        <f t="shared" si="210"/>
        <v>#NUM!</v>
      </c>
      <c r="EB36" s="106" t="e">
        <f>'Irradiancia Horizontal'!E59*EA36/$DZ$15</f>
        <v>#NUM!</v>
      </c>
      <c r="EC36" s="84">
        <f>((17.27*Temp!D29)/(237.7+Temp!D29))+LN(HR!D40/100)</f>
        <v>0.63248513921225646</v>
      </c>
      <c r="ED36" s="84">
        <f t="shared" si="211"/>
        <v>9.0363085381872388</v>
      </c>
      <c r="EE36" s="84">
        <f t="shared" si="212"/>
        <v>1.7463739289216345</v>
      </c>
      <c r="EF36" s="84" t="e">
        <f t="shared" si="304"/>
        <v>#DIV/0!</v>
      </c>
      <c r="EG36" s="84" t="e">
        <f t="shared" si="305"/>
        <v>#DIV/0!</v>
      </c>
      <c r="EH36" s="84" t="e">
        <f t="shared" si="306"/>
        <v>#DIV/0!</v>
      </c>
      <c r="EI36" s="84" t="e">
        <f t="shared" si="307"/>
        <v>#DIV/0!</v>
      </c>
      <c r="EJ36" s="84" t="e">
        <f t="shared" si="308"/>
        <v>#DIV/0!</v>
      </c>
      <c r="EK36" s="103">
        <f t="shared" si="67"/>
        <v>0</v>
      </c>
      <c r="EL36" s="165">
        <f>IF(ER36&gt;(EK36*'Irradiancia Horizontal'!E27),ER36,EK36*'Irradiancia Horizontal'!E27)</f>
        <v>0</v>
      </c>
      <c r="EM36" s="84" t="e">
        <f t="shared" si="309"/>
        <v>#DIV/0!</v>
      </c>
      <c r="EN36" s="84" t="e">
        <f t="shared" si="310"/>
        <v>#DIV/0!</v>
      </c>
      <c r="EO36" s="84" t="e">
        <f t="shared" si="311"/>
        <v>#DIV/0!</v>
      </c>
      <c r="EP36" s="84" t="e">
        <f t="shared" si="312"/>
        <v>#DIV/0!</v>
      </c>
      <c r="EQ36" s="103">
        <f t="shared" si="72"/>
        <v>0</v>
      </c>
      <c r="ER36" s="84">
        <f>+EQ36*'Irradiancia Horizontal'!E59</f>
        <v>0</v>
      </c>
      <c r="ES36" s="84">
        <f t="shared" si="213"/>
        <v>0</v>
      </c>
      <c r="ET36" s="84" t="e">
        <f>+ES36/'Irradiancia Horizontal'!E88</f>
        <v>#DIV/0!</v>
      </c>
      <c r="EU36" s="38">
        <f t="shared" si="73"/>
        <v>-0.11963385084333295</v>
      </c>
      <c r="EV36" s="84">
        <f t="shared" si="214"/>
        <v>0</v>
      </c>
      <c r="EW36" s="84">
        <f t="shared" si="215"/>
        <v>8.6999999999999994E-2</v>
      </c>
      <c r="EX36" s="84" t="e">
        <f t="shared" si="216"/>
        <v>#DIV/0!</v>
      </c>
      <c r="EY36" s="84" t="e">
        <f t="shared" si="217"/>
        <v>#DIV/0!</v>
      </c>
      <c r="EZ36" s="84" t="e">
        <f t="shared" si="218"/>
        <v>#DIV/0!</v>
      </c>
      <c r="FA36" s="84" t="e">
        <f t="shared" si="219"/>
        <v>#DIV/0!</v>
      </c>
      <c r="FB36" s="84" t="e">
        <f t="shared" si="220"/>
        <v>#DIV/0!</v>
      </c>
      <c r="FC36" s="84" t="e">
        <f t="shared" si="221"/>
        <v>#DIV/0!</v>
      </c>
      <c r="FD36" s="84" t="e">
        <f t="shared" si="74"/>
        <v>#DIV/0!</v>
      </c>
      <c r="FE36" s="84" t="e">
        <f t="shared" si="75"/>
        <v>#DIV/0!</v>
      </c>
      <c r="FF36" s="88">
        <f t="shared" si="76"/>
        <v>0</v>
      </c>
      <c r="FG36" s="84" t="e">
        <f t="shared" si="313"/>
        <v>#DIV/0!</v>
      </c>
      <c r="FH36" s="84" t="e">
        <f t="shared" si="314"/>
        <v>#DIV/0!</v>
      </c>
      <c r="FI36" s="84" t="e">
        <f t="shared" si="315"/>
        <v>#DIV/0!</v>
      </c>
      <c r="FJ36" s="84" t="e">
        <f t="shared" si="316"/>
        <v>#DIV/0!</v>
      </c>
      <c r="FK36" s="84" t="e">
        <f t="shared" si="317"/>
        <v>#DIV/0!</v>
      </c>
      <c r="FL36" s="84" t="e">
        <f t="shared" si="318"/>
        <v>#DIV/0!</v>
      </c>
      <c r="FM36" s="84" t="e">
        <f t="shared" si="83"/>
        <v>#DIV/0!</v>
      </c>
      <c r="FN36" s="84" t="e">
        <f t="shared" si="84"/>
        <v>#DIV/0!</v>
      </c>
      <c r="FO36" s="106">
        <f>IF(DU36&lt;0,0,((0.5*(1-FM36)*(1+COS(RADIANS($EB$15))))+(FM36*(EV36/EW36))+(FN36*SIN(RADIANS($EB$15))))*'Irradiancia Horizontal'!E59)</f>
        <v>0</v>
      </c>
      <c r="FP36" s="106">
        <f t="shared" si="222"/>
        <v>0</v>
      </c>
      <c r="FQ36" s="84">
        <f>FP36*'Irradiancia Horizontal'!E88</f>
        <v>0</v>
      </c>
      <c r="FR36" s="84">
        <f t="shared" si="223"/>
        <v>0</v>
      </c>
      <c r="FS36" s="88">
        <f t="shared" si="85"/>
        <v>0</v>
      </c>
      <c r="FT36" s="84">
        <f t="shared" si="224"/>
        <v>0</v>
      </c>
      <c r="FU36" s="106">
        <f t="shared" si="225"/>
        <v>0</v>
      </c>
      <c r="FV36" s="106">
        <f t="shared" si="226"/>
        <v>0</v>
      </c>
      <c r="FW36" s="106">
        <f t="shared" si="227"/>
        <v>0</v>
      </c>
      <c r="FX36" s="83"/>
      <c r="FZ36" s="39">
        <v>0.79166666666666663</v>
      </c>
      <c r="GA36" s="38">
        <v>-105</v>
      </c>
      <c r="GB36" s="38">
        <f t="shared" si="86"/>
        <v>-7.1249590451508507</v>
      </c>
      <c r="GC36" s="38">
        <f t="shared" si="369"/>
        <v>-72.483816717921655</v>
      </c>
      <c r="GD36" s="38">
        <f t="shared" si="88"/>
        <v>97.124959045150845</v>
      </c>
      <c r="GE36" s="38">
        <f>+'Irradiancia Horizontal'!F88/COS(RADIANS(GD36))</f>
        <v>0</v>
      </c>
      <c r="GF36" s="38" t="e">
        <f>((('Irradiancia Horizontal'!F59+GE36)/'Irradiancia Horizontal'!F59)+1.041*((RADIANS('Cálculos iluminancia'!GD36))^3))/(1+1.041*((RADIANS('Cálculos iluminancia'!GD36))^3))</f>
        <v>#DIV/0!</v>
      </c>
      <c r="GG36" s="84" t="e">
        <f t="shared" si="89"/>
        <v>#NUM!</v>
      </c>
      <c r="GH36" s="84" t="e">
        <f t="shared" si="276"/>
        <v>#NUM!</v>
      </c>
      <c r="GI36" s="106" t="e">
        <f>'Irradiancia Horizontal'!F59*GH36/$GG$15</f>
        <v>#NUM!</v>
      </c>
      <c r="GJ36" s="84">
        <f>((17.27*Temp!E29)/(237.7+Temp!E29))+LN(HR!E40/100)</f>
        <v>0.76440182162439796</v>
      </c>
      <c r="GK36" s="84">
        <f t="shared" si="228"/>
        <v>11.008284040148686</v>
      </c>
      <c r="GL36" s="84">
        <f t="shared" si="229"/>
        <v>2.0048713273430283</v>
      </c>
      <c r="GM36" s="84" t="e">
        <f t="shared" si="319"/>
        <v>#DIV/0!</v>
      </c>
      <c r="GN36" s="84" t="e">
        <f t="shared" si="320"/>
        <v>#DIV/0!</v>
      </c>
      <c r="GO36" s="84" t="e">
        <f t="shared" si="321"/>
        <v>#DIV/0!</v>
      </c>
      <c r="GP36" s="84" t="e">
        <f t="shared" si="322"/>
        <v>#DIV/0!</v>
      </c>
      <c r="GQ36" s="84" t="e">
        <f t="shared" si="323"/>
        <v>#DIV/0!</v>
      </c>
      <c r="GR36" s="103">
        <f t="shared" si="96"/>
        <v>0</v>
      </c>
      <c r="GS36" s="165">
        <f>IF(GY36&gt;(GR36*'Irradiancia Horizontal'!F27),GY36,GR36*'Irradiancia Horizontal'!F27)</f>
        <v>0</v>
      </c>
      <c r="GT36" s="84" t="e">
        <f t="shared" si="324"/>
        <v>#DIV/0!</v>
      </c>
      <c r="GU36" s="84" t="e">
        <f t="shared" si="325"/>
        <v>#DIV/0!</v>
      </c>
      <c r="GV36" s="84" t="e">
        <f t="shared" si="326"/>
        <v>#DIV/0!</v>
      </c>
      <c r="GW36" s="84" t="e">
        <f t="shared" si="327"/>
        <v>#DIV/0!</v>
      </c>
      <c r="GX36" s="103">
        <f t="shared" si="101"/>
        <v>0</v>
      </c>
      <c r="GY36" s="84">
        <f>+GX36*'Irradiancia Horizontal'!F59</f>
        <v>0</v>
      </c>
      <c r="GZ36" s="84">
        <f t="shared" si="230"/>
        <v>0</v>
      </c>
      <c r="HA36" s="84" t="e">
        <f>+GZ36/'Irradiancia Horizontal'!F88</f>
        <v>#DIV/0!</v>
      </c>
      <c r="HB36" s="38">
        <f t="shared" si="102"/>
        <v>-0.29865103633827</v>
      </c>
      <c r="HC36" s="84">
        <f t="shared" si="231"/>
        <v>0</v>
      </c>
      <c r="HD36" s="84">
        <f t="shared" si="232"/>
        <v>8.6999999999999994E-2</v>
      </c>
      <c r="HE36" s="84" t="e">
        <f t="shared" si="233"/>
        <v>#DIV/0!</v>
      </c>
      <c r="HF36" s="84" t="e">
        <f t="shared" si="234"/>
        <v>#DIV/0!</v>
      </c>
      <c r="HG36" s="84" t="e">
        <f t="shared" si="235"/>
        <v>#DIV/0!</v>
      </c>
      <c r="HH36" s="84" t="e">
        <f t="shared" si="236"/>
        <v>#DIV/0!</v>
      </c>
      <c r="HI36" s="84" t="e">
        <f t="shared" si="237"/>
        <v>#DIV/0!</v>
      </c>
      <c r="HJ36" s="84" t="e">
        <f t="shared" si="238"/>
        <v>#DIV/0!</v>
      </c>
      <c r="HK36" s="84" t="e">
        <f t="shared" si="103"/>
        <v>#DIV/0!</v>
      </c>
      <c r="HL36" s="84" t="e">
        <f t="shared" si="104"/>
        <v>#DIV/0!</v>
      </c>
      <c r="HM36" s="88">
        <f t="shared" si="105"/>
        <v>0</v>
      </c>
      <c r="HN36" s="84" t="e">
        <f t="shared" si="328"/>
        <v>#DIV/0!</v>
      </c>
      <c r="HO36" s="84" t="e">
        <f t="shared" si="329"/>
        <v>#DIV/0!</v>
      </c>
      <c r="HP36" s="84" t="e">
        <f t="shared" si="330"/>
        <v>#DIV/0!</v>
      </c>
      <c r="HQ36" s="84" t="e">
        <f t="shared" si="331"/>
        <v>#DIV/0!</v>
      </c>
      <c r="HR36" s="84" t="e">
        <f t="shared" si="332"/>
        <v>#DIV/0!</v>
      </c>
      <c r="HS36" s="84" t="e">
        <f t="shared" si="333"/>
        <v>#DIV/0!</v>
      </c>
      <c r="HT36" s="84" t="e">
        <f t="shared" si="112"/>
        <v>#DIV/0!</v>
      </c>
      <c r="HU36" s="84" t="e">
        <f t="shared" si="113"/>
        <v>#DIV/0!</v>
      </c>
      <c r="HV36" s="106">
        <f>IF(GB36&lt;0,0,((0.5*(1-HT36)*(1+COS(RADIANS($GI$15))))+(HT36*(HC36/HD36))+(HU36*SIN(RADIANS($GI$15))))*'Irradiancia Horizontal'!F59)</f>
        <v>0</v>
      </c>
      <c r="HW36" s="84">
        <f t="shared" si="114"/>
        <v>0</v>
      </c>
      <c r="HX36" s="84">
        <f>HW36*'Irradiancia Horizontal'!F88</f>
        <v>0</v>
      </c>
      <c r="HY36" s="84">
        <f t="shared" si="239"/>
        <v>0</v>
      </c>
      <c r="HZ36" s="88">
        <f t="shared" si="115"/>
        <v>0</v>
      </c>
      <c r="IA36" s="84">
        <f t="shared" si="240"/>
        <v>0</v>
      </c>
      <c r="IB36" s="106">
        <f t="shared" si="241"/>
        <v>0</v>
      </c>
      <c r="IC36" s="106">
        <f t="shared" si="242"/>
        <v>0</v>
      </c>
      <c r="ID36" s="106">
        <f t="shared" si="243"/>
        <v>0</v>
      </c>
      <c r="IE36" s="83"/>
      <c r="IG36" s="39">
        <v>0.79166666666666663</v>
      </c>
      <c r="IH36" s="38">
        <v>-105</v>
      </c>
      <c r="II36" s="38">
        <f t="shared" si="116"/>
        <v>-2.5810689008028098</v>
      </c>
      <c r="IJ36" s="38">
        <f t="shared" si="370"/>
        <v>-65.202516993585633</v>
      </c>
      <c r="IK36" s="38">
        <f t="shared" si="118"/>
        <v>92.581068900802805</v>
      </c>
      <c r="IL36" s="38">
        <f>+'Irradiancia Horizontal'!G88/COS(RADIANS(IK36))</f>
        <v>0</v>
      </c>
      <c r="IM36" s="38" t="e">
        <f>((('Irradiancia Horizontal'!G59+IL36)/'Irradiancia Horizontal'!G59)+1.041*((RADIANS('Cálculos iluminancia'!IK36))^3))/(1+1.041*((RADIANS('Cálculos iluminancia'!IK36))^3))</f>
        <v>#DIV/0!</v>
      </c>
      <c r="IN36" s="87">
        <f t="shared" si="119"/>
        <v>49.742376245906911</v>
      </c>
      <c r="IO36" s="87">
        <f t="shared" si="334"/>
        <v>48.515086458483395</v>
      </c>
      <c r="IP36" s="106">
        <f>'Irradiancia Horizontal'!G59*IO36/$IN$15</f>
        <v>0</v>
      </c>
      <c r="IQ36" s="87">
        <f>((17.27*Temp!F29)/(237.7+Temp!F29))+LN(HR!F40/100)</f>
        <v>0.93516999267638901</v>
      </c>
      <c r="IR36" s="87">
        <f t="shared" si="244"/>
        <v>13.608339184400172</v>
      </c>
      <c r="IS36" s="87">
        <f t="shared" si="245"/>
        <v>2.4050813850144421</v>
      </c>
      <c r="IT36" s="87" t="e">
        <f t="shared" si="335"/>
        <v>#DIV/0!</v>
      </c>
      <c r="IU36" s="87" t="e">
        <f t="shared" si="336"/>
        <v>#DIV/0!</v>
      </c>
      <c r="IV36" s="87" t="e">
        <f t="shared" si="337"/>
        <v>#DIV/0!</v>
      </c>
      <c r="IW36" s="87" t="e">
        <f t="shared" si="338"/>
        <v>#DIV/0!</v>
      </c>
      <c r="IX36" s="87" t="e">
        <f t="shared" si="339"/>
        <v>#DIV/0!</v>
      </c>
      <c r="IY36" s="103">
        <f t="shared" si="126"/>
        <v>0</v>
      </c>
      <c r="IZ36" s="165">
        <f>IF(JF36&gt;(IY36*'Irradiancia Horizontal'!G27),JF36,IY36*'Irradiancia Horizontal'!G27)</f>
        <v>0</v>
      </c>
      <c r="JA36" s="87" t="e">
        <f t="shared" si="340"/>
        <v>#DIV/0!</v>
      </c>
      <c r="JB36" s="87" t="e">
        <f t="shared" si="341"/>
        <v>#DIV/0!</v>
      </c>
      <c r="JC36" s="87" t="e">
        <f t="shared" si="342"/>
        <v>#DIV/0!</v>
      </c>
      <c r="JD36" s="87" t="e">
        <f t="shared" si="343"/>
        <v>#DIV/0!</v>
      </c>
      <c r="JE36" s="103">
        <f t="shared" si="131"/>
        <v>0</v>
      </c>
      <c r="JF36" s="87">
        <f>+JE36*'Irradiancia Horizontal'!G59</f>
        <v>0</v>
      </c>
      <c r="JG36" s="87">
        <f t="shared" si="246"/>
        <v>0</v>
      </c>
      <c r="JH36" s="87" t="e">
        <f>+JG36/'Irradiancia Horizontal'!G88</f>
        <v>#DIV/0!</v>
      </c>
      <c r="JI36" s="38">
        <f t="shared" si="132"/>
        <v>-0.41898671138437577</v>
      </c>
      <c r="JJ36" s="87">
        <f t="shared" si="247"/>
        <v>0</v>
      </c>
      <c r="JK36" s="87">
        <f t="shared" si="248"/>
        <v>8.6999999999999994E-2</v>
      </c>
      <c r="JL36" s="87" t="e">
        <f t="shared" si="249"/>
        <v>#DIV/0!</v>
      </c>
      <c r="JM36" s="87" t="e">
        <f t="shared" si="250"/>
        <v>#DIV/0!</v>
      </c>
      <c r="JN36" s="87" t="e">
        <f t="shared" si="251"/>
        <v>#DIV/0!</v>
      </c>
      <c r="JO36" s="87" t="e">
        <f t="shared" si="252"/>
        <v>#DIV/0!</v>
      </c>
      <c r="JP36" s="87" t="e">
        <f t="shared" si="253"/>
        <v>#DIV/0!</v>
      </c>
      <c r="JQ36" s="87" t="e">
        <f t="shared" si="254"/>
        <v>#DIV/0!</v>
      </c>
      <c r="JR36" s="87" t="e">
        <f t="shared" si="133"/>
        <v>#DIV/0!</v>
      </c>
      <c r="JS36" s="87" t="e">
        <f t="shared" si="134"/>
        <v>#DIV/0!</v>
      </c>
      <c r="JT36" s="88">
        <f t="shared" si="135"/>
        <v>0</v>
      </c>
      <c r="JU36" s="87" t="e">
        <f t="shared" si="344"/>
        <v>#DIV/0!</v>
      </c>
      <c r="JV36" s="87" t="e">
        <f t="shared" si="345"/>
        <v>#DIV/0!</v>
      </c>
      <c r="JW36" s="87" t="e">
        <f t="shared" si="346"/>
        <v>#DIV/0!</v>
      </c>
      <c r="JX36" s="87" t="e">
        <f t="shared" si="347"/>
        <v>#DIV/0!</v>
      </c>
      <c r="JY36" s="87" t="e">
        <f t="shared" si="348"/>
        <v>#DIV/0!</v>
      </c>
      <c r="JZ36" s="87" t="e">
        <f t="shared" si="349"/>
        <v>#DIV/0!</v>
      </c>
      <c r="KA36" s="87" t="e">
        <f t="shared" si="142"/>
        <v>#DIV/0!</v>
      </c>
      <c r="KB36" s="87" t="e">
        <f t="shared" si="143"/>
        <v>#DIV/0!</v>
      </c>
      <c r="KC36" s="106">
        <f>IF(II36&lt;0,0,((0.5*(1-KA36)*(1+COS(RADIANS($IP$15))))+(KA36*(JJ36/JK36))+(KB36*SIN(RADIANS($IP$15))))*'Irradiancia Horizontal'!G59)</f>
        <v>0</v>
      </c>
      <c r="KD36" s="87">
        <f t="shared" si="144"/>
        <v>0</v>
      </c>
      <c r="KE36" s="87">
        <f>KD36*'Irradiancia Horizontal'!G88</f>
        <v>0</v>
      </c>
      <c r="KF36" s="87">
        <f t="shared" si="255"/>
        <v>0</v>
      </c>
      <c r="KG36" s="88">
        <f t="shared" si="145"/>
        <v>0</v>
      </c>
      <c r="KH36" s="87">
        <f t="shared" si="256"/>
        <v>0</v>
      </c>
      <c r="KI36" s="106">
        <f t="shared" si="257"/>
        <v>0</v>
      </c>
      <c r="KJ36" s="106">
        <f t="shared" si="258"/>
        <v>0</v>
      </c>
      <c r="KK36" s="106">
        <f t="shared" si="259"/>
        <v>0</v>
      </c>
      <c r="KL36" s="86"/>
      <c r="KN36" s="39">
        <v>0.79166666666666663</v>
      </c>
      <c r="KO36" s="38">
        <v>-105</v>
      </c>
      <c r="KP36" s="38">
        <f t="shared" si="146"/>
        <v>-0.80777986614324515</v>
      </c>
      <c r="KQ36" s="38">
        <f t="shared" si="371"/>
        <v>-62.404173266606605</v>
      </c>
      <c r="KR36" s="38">
        <f t="shared" si="148"/>
        <v>90.80777986614325</v>
      </c>
      <c r="KS36" s="38">
        <f>+'Irradiancia Horizontal'!H88/COS(RADIANS(KR36))</f>
        <v>0</v>
      </c>
      <c r="KT36" s="38" t="e">
        <f>((('Irradiancia Horizontal'!H59+KS36)/'Irradiancia Horizontal'!H59)+1.041*((RADIANS('Cálculos iluminancia'!KR36))^3))/(1+1.041*((RADIANS('Cálculos iluminancia'!KR36))^3))</f>
        <v>#DIV/0!</v>
      </c>
      <c r="KU36" s="87">
        <f t="shared" si="149"/>
        <v>52.077274251785425</v>
      </c>
      <c r="KV36" s="87">
        <f t="shared" si="350"/>
        <v>50.79237570712997</v>
      </c>
      <c r="KW36" s="106">
        <f>'Irradiancia Horizontal'!H59*KV36/$KU$15</f>
        <v>0</v>
      </c>
      <c r="KX36" s="87">
        <f>((17.27*Temp!G29)/(237.7+Temp!G29))+LN(HR!G40/100)</f>
        <v>1.2117568920535149</v>
      </c>
      <c r="KY36" s="87">
        <f t="shared" si="260"/>
        <v>17.936869637911101</v>
      </c>
      <c r="KZ36" s="87">
        <f t="shared" si="261"/>
        <v>3.2562651355222862</v>
      </c>
      <c r="LA36" s="87" t="e">
        <f t="shared" si="351"/>
        <v>#DIV/0!</v>
      </c>
      <c r="LB36" s="87" t="e">
        <f t="shared" si="352"/>
        <v>#DIV/0!</v>
      </c>
      <c r="LC36" s="87" t="e">
        <f t="shared" si="353"/>
        <v>#DIV/0!</v>
      </c>
      <c r="LD36" s="87" t="e">
        <f t="shared" si="354"/>
        <v>#DIV/0!</v>
      </c>
      <c r="LE36" s="87" t="e">
        <f t="shared" si="355"/>
        <v>#DIV/0!</v>
      </c>
      <c r="LF36" s="103">
        <f t="shared" si="156"/>
        <v>0</v>
      </c>
      <c r="LG36" s="165">
        <f>IF(LM36&gt;(LF36*'Irradiancia Horizontal'!H27),LM36,LF36*'Irradiancia Horizontal'!H27)</f>
        <v>0</v>
      </c>
      <c r="LH36" s="87" t="e">
        <f t="shared" si="356"/>
        <v>#DIV/0!</v>
      </c>
      <c r="LI36" s="87" t="e">
        <f t="shared" si="357"/>
        <v>#DIV/0!</v>
      </c>
      <c r="LJ36" s="87" t="e">
        <f t="shared" si="358"/>
        <v>#DIV/0!</v>
      </c>
      <c r="LK36" s="87" t="e">
        <f t="shared" si="359"/>
        <v>#DIV/0!</v>
      </c>
      <c r="LL36" s="103">
        <f t="shared" si="161"/>
        <v>0</v>
      </c>
      <c r="LM36" s="87">
        <f>+LL36*'Irradiancia Horizontal'!H59</f>
        <v>0</v>
      </c>
      <c r="LN36" s="87">
        <f t="shared" si="262"/>
        <v>0</v>
      </c>
      <c r="LO36" s="87" t="e">
        <f>+LN36/'Irradiancia Horizontal'!H88</f>
        <v>#DIV/0!</v>
      </c>
      <c r="LP36" s="38">
        <f t="shared" si="162"/>
        <v>-0.46318544883282764</v>
      </c>
      <c r="LQ36" s="87">
        <f t="shared" si="263"/>
        <v>0</v>
      </c>
      <c r="LR36" s="87">
        <f t="shared" si="264"/>
        <v>8.6999999999999994E-2</v>
      </c>
      <c r="LS36" s="87" t="e">
        <f t="shared" si="265"/>
        <v>#DIV/0!</v>
      </c>
      <c r="LT36" s="87" t="e">
        <f t="shared" si="266"/>
        <v>#DIV/0!</v>
      </c>
      <c r="LU36" s="87" t="e">
        <f t="shared" si="267"/>
        <v>#DIV/0!</v>
      </c>
      <c r="LV36" s="87" t="e">
        <f t="shared" si="268"/>
        <v>#DIV/0!</v>
      </c>
      <c r="LW36" s="87" t="e">
        <f t="shared" si="269"/>
        <v>#DIV/0!</v>
      </c>
      <c r="LX36" s="87" t="e">
        <f t="shared" si="270"/>
        <v>#DIV/0!</v>
      </c>
      <c r="LY36" s="87" t="e">
        <f t="shared" si="163"/>
        <v>#DIV/0!</v>
      </c>
      <c r="LZ36" s="87" t="e">
        <f t="shared" si="164"/>
        <v>#DIV/0!</v>
      </c>
      <c r="MA36" s="88">
        <f t="shared" si="165"/>
        <v>0</v>
      </c>
      <c r="MB36" s="87" t="e">
        <f t="shared" si="360"/>
        <v>#DIV/0!</v>
      </c>
      <c r="MC36" s="87" t="e">
        <f t="shared" si="361"/>
        <v>#DIV/0!</v>
      </c>
      <c r="MD36" s="87" t="e">
        <f t="shared" si="362"/>
        <v>#DIV/0!</v>
      </c>
      <c r="ME36" s="87" t="e">
        <f t="shared" si="363"/>
        <v>#DIV/0!</v>
      </c>
      <c r="MF36" s="87" t="e">
        <f t="shared" si="364"/>
        <v>#DIV/0!</v>
      </c>
      <c r="MG36" s="87" t="e">
        <f t="shared" si="365"/>
        <v>#DIV/0!</v>
      </c>
      <c r="MH36" s="87" t="e">
        <f t="shared" si="172"/>
        <v>#DIV/0!</v>
      </c>
      <c r="MI36" s="87" t="e">
        <f t="shared" si="173"/>
        <v>#DIV/0!</v>
      </c>
      <c r="MJ36" s="106">
        <f>IF(KP36&lt;0,0,((0.5*(1-MH36)*(1+COS(RADIANS($KW$15))))+(MH36*(LQ36/LR36))+(MI36*SIN(RADIANS($KW$15))))*'Irradiancia Horizontal'!H59)</f>
        <v>0</v>
      </c>
      <c r="MK36" s="87">
        <f t="shared" si="174"/>
        <v>0</v>
      </c>
      <c r="ML36" s="87">
        <f>MK36*'Irradiancia Horizontal'!H88</f>
        <v>0</v>
      </c>
      <c r="MM36" s="87">
        <f t="shared" si="271"/>
        <v>0</v>
      </c>
      <c r="MN36" s="88">
        <f t="shared" si="175"/>
        <v>0</v>
      </c>
      <c r="MO36" s="87">
        <f t="shared" si="272"/>
        <v>0</v>
      </c>
      <c r="MP36" s="106">
        <f t="shared" si="273"/>
        <v>0</v>
      </c>
      <c r="MQ36" s="106">
        <f t="shared" si="274"/>
        <v>0</v>
      </c>
      <c r="MR36" s="106">
        <f t="shared" si="275"/>
        <v>0</v>
      </c>
    </row>
    <row r="37" spans="4:356" x14ac:dyDescent="0.25">
      <c r="E37" s="39">
        <v>0.83333333333333304</v>
      </c>
      <c r="F37" s="38">
        <v>-120</v>
      </c>
      <c r="G37" s="38">
        <f t="shared" si="0"/>
        <v>-35.281146205343312</v>
      </c>
      <c r="H37" s="38">
        <f t="shared" si="366"/>
        <v>-95.111099483439872</v>
      </c>
      <c r="I37" s="38">
        <f t="shared" si="2"/>
        <v>125.2811462053433</v>
      </c>
      <c r="J37" s="38">
        <f>'Irradiancia Horizontal'!C89/COS(RADIANS(I37))</f>
        <v>0</v>
      </c>
      <c r="K37" s="38" t="e">
        <f>((('Irradiancia Horizontal'!C60+J37)/'Irradiancia Horizontal'!C60)+1.041*((RADIANS('Cálculos iluminancia'!I37))^3))/(1+1.041*((RADIANS('Cálculos iluminancia'!I37))^3))</f>
        <v>#DIV/0!</v>
      </c>
      <c r="L37" s="36" t="e">
        <f t="shared" si="3"/>
        <v>#NUM!</v>
      </c>
      <c r="M37" s="36" t="e">
        <f t="shared" si="4"/>
        <v>#NUM!</v>
      </c>
      <c r="N37" s="106" t="e">
        <f>'Irradiancia Horizontal'!C60*M37/$L$15</f>
        <v>#NUM!</v>
      </c>
      <c r="O37" s="71">
        <f>((17.27*Temp!B30)/(237.7+Temp!B30))+LN(HR!B41/100)</f>
        <v>0.49442218210974231</v>
      </c>
      <c r="P37" s="71">
        <f t="shared" si="176"/>
        <v>7.0056694298870887</v>
      </c>
      <c r="Q37" s="71">
        <f t="shared" si="177"/>
        <v>1.5149718532745751</v>
      </c>
      <c r="R37" s="71" t="e">
        <f t="shared" si="277"/>
        <v>#DIV/0!</v>
      </c>
      <c r="S37" s="71" t="e">
        <f t="shared" si="6"/>
        <v>#DIV/0!</v>
      </c>
      <c r="T37" s="71" t="e">
        <f t="shared" si="7"/>
        <v>#DIV/0!</v>
      </c>
      <c r="U37" s="71" t="e">
        <f t="shared" si="8"/>
        <v>#DIV/0!</v>
      </c>
      <c r="V37" s="71" t="e">
        <f t="shared" si="9"/>
        <v>#DIV/0!</v>
      </c>
      <c r="W37" s="103">
        <f t="shared" si="10"/>
        <v>0</v>
      </c>
      <c r="X37" s="165">
        <f>IF(AD37&gt;(W37*'Irradiancia Horizontal'!C28),AD37,W37*'Irradiancia Horizontal'!C28)</f>
        <v>0</v>
      </c>
      <c r="Y37" s="71" t="e">
        <f t="shared" si="278"/>
        <v>#DIV/0!</v>
      </c>
      <c r="Z37" s="71" t="e">
        <f t="shared" si="279"/>
        <v>#DIV/0!</v>
      </c>
      <c r="AA37" s="71" t="e">
        <f t="shared" si="280"/>
        <v>#DIV/0!</v>
      </c>
      <c r="AB37" s="71" t="e">
        <f t="shared" si="281"/>
        <v>#DIV/0!</v>
      </c>
      <c r="AC37" s="103">
        <f t="shared" si="15"/>
        <v>0</v>
      </c>
      <c r="AD37" s="71">
        <f>+AC37*'Irradiancia Horizontal'!C60</f>
        <v>0</v>
      </c>
      <c r="AE37" s="71">
        <f t="shared" si="16"/>
        <v>0</v>
      </c>
      <c r="AF37" s="71" t="e">
        <f>+AE37/'Irradiancia Horizontal'!C89</f>
        <v>#DIV/0!</v>
      </c>
      <c r="AG37" s="38">
        <f t="shared" si="282"/>
        <v>7.2724390199308264E-2</v>
      </c>
      <c r="AH37" s="84">
        <f t="shared" si="178"/>
        <v>7.2724390199308264E-2</v>
      </c>
      <c r="AI37" s="84">
        <f t="shared" si="179"/>
        <v>8.6999999999999994E-2</v>
      </c>
      <c r="AJ37" s="84" t="e">
        <f t="shared" si="180"/>
        <v>#DIV/0!</v>
      </c>
      <c r="AK37" s="84" t="e">
        <f t="shared" si="181"/>
        <v>#DIV/0!</v>
      </c>
      <c r="AL37" s="84" t="e">
        <f t="shared" si="182"/>
        <v>#DIV/0!</v>
      </c>
      <c r="AM37" s="84" t="e">
        <f t="shared" si="183"/>
        <v>#DIV/0!</v>
      </c>
      <c r="AN37" s="84" t="e">
        <f t="shared" si="184"/>
        <v>#DIV/0!</v>
      </c>
      <c r="AO37" s="84" t="e">
        <f t="shared" si="185"/>
        <v>#DIV/0!</v>
      </c>
      <c r="AP37" s="84" t="e">
        <f t="shared" si="18"/>
        <v>#DIV/0!</v>
      </c>
      <c r="AQ37" s="84" t="e">
        <f t="shared" si="19"/>
        <v>#DIV/0!</v>
      </c>
      <c r="AR37" s="88">
        <f t="shared" si="20"/>
        <v>0</v>
      </c>
      <c r="AS37" s="84" t="e">
        <f t="shared" si="283"/>
        <v>#DIV/0!</v>
      </c>
      <c r="AT37" s="84" t="e">
        <f t="shared" si="284"/>
        <v>#DIV/0!</v>
      </c>
      <c r="AU37" s="84" t="e">
        <f t="shared" si="285"/>
        <v>#DIV/0!</v>
      </c>
      <c r="AV37" s="84" t="e">
        <f t="shared" si="286"/>
        <v>#DIV/0!</v>
      </c>
      <c r="AW37" s="84" t="e">
        <f t="shared" si="287"/>
        <v>#DIV/0!</v>
      </c>
      <c r="AX37" s="84" t="e">
        <f t="shared" si="288"/>
        <v>#DIV/0!</v>
      </c>
      <c r="AY37" s="84" t="e">
        <f t="shared" si="27"/>
        <v>#DIV/0!</v>
      </c>
      <c r="AZ37" s="84" t="e">
        <f t="shared" si="28"/>
        <v>#DIV/0!</v>
      </c>
      <c r="BA37" s="106">
        <f>IF(G37&lt;0,0,((0.5*(1-AY37)*(1+COS(RADIANS($N$15))))+(AY37*(AH37/AI37))+(AZ37*SIN(RADIANS($N$15))))*'Irradiancia Horizontal'!C60)</f>
        <v>0</v>
      </c>
      <c r="BB37" s="106">
        <f t="shared" si="186"/>
        <v>-0.12591026818490686</v>
      </c>
      <c r="BC37" s="84">
        <f>BB37*'Irradiancia Horizontal'!C89</f>
        <v>0</v>
      </c>
      <c r="BD37" s="84">
        <f t="shared" si="187"/>
        <v>0</v>
      </c>
      <c r="BE37" s="88">
        <f t="shared" si="29"/>
        <v>0</v>
      </c>
      <c r="BF37" s="84">
        <f t="shared" si="188"/>
        <v>0</v>
      </c>
      <c r="BG37" s="106">
        <f t="shared" si="189"/>
        <v>0</v>
      </c>
      <c r="BH37" s="106">
        <f t="shared" si="190"/>
        <v>0</v>
      </c>
      <c r="BI37" s="106">
        <f t="shared" si="191"/>
        <v>0</v>
      </c>
      <c r="BJ37" s="72"/>
      <c r="BL37" s="39">
        <v>0.83333333333333304</v>
      </c>
      <c r="BM37" s="38">
        <v>-120</v>
      </c>
      <c r="BN37" s="38">
        <f t="shared" si="30"/>
        <v>-31.549339111474108</v>
      </c>
      <c r="BO37" s="38">
        <f t="shared" si="367"/>
        <v>-85.408269313757486</v>
      </c>
      <c r="BP37" s="38">
        <f t="shared" si="32"/>
        <v>121.54933911147411</v>
      </c>
      <c r="BQ37" s="38">
        <f>+'Irradiancia Horizontal'!D89/COS(RADIANS(BP37))</f>
        <v>0</v>
      </c>
      <c r="BR37" s="38" t="e">
        <f>((('Irradiancia Horizontal'!D60+BQ37)/'Irradiancia Horizontal'!D60)+1.041*((RADIANS('Cálculos iluminancia'!BP37))^3))/(1+1.041*((RADIANS('Cálculos iluminancia'!BP37))^3))</f>
        <v>#DIV/0!</v>
      </c>
      <c r="BS37" s="84" t="e">
        <f t="shared" si="33"/>
        <v>#NUM!</v>
      </c>
      <c r="BT37" s="84" t="e">
        <f t="shared" si="192"/>
        <v>#NUM!</v>
      </c>
      <c r="BU37" s="106" t="e">
        <f>'Irradiancia Horizontal'!D60*BT37/$BS$15</f>
        <v>#NUM!</v>
      </c>
      <c r="BV37" s="84">
        <f>((17.27*Temp!C30)/(237.7+Temp!C30))+LN(HR!C41/100)</f>
        <v>0.55895731202297305</v>
      </c>
      <c r="BW37" s="84">
        <f t="shared" si="193"/>
        <v>7.9506800113347502</v>
      </c>
      <c r="BX37" s="84">
        <f t="shared" si="194"/>
        <v>1.6185773765229365</v>
      </c>
      <c r="BY37" s="84" t="e">
        <f t="shared" si="289"/>
        <v>#DIV/0!</v>
      </c>
      <c r="BZ37" s="84" t="e">
        <f t="shared" si="290"/>
        <v>#DIV/0!</v>
      </c>
      <c r="CA37" s="84" t="e">
        <f t="shared" si="291"/>
        <v>#DIV/0!</v>
      </c>
      <c r="CB37" s="84" t="e">
        <f t="shared" si="292"/>
        <v>#DIV/0!</v>
      </c>
      <c r="CC37" s="84" t="e">
        <f t="shared" si="293"/>
        <v>#DIV/0!</v>
      </c>
      <c r="CD37" s="103">
        <f t="shared" si="39"/>
        <v>0</v>
      </c>
      <c r="CE37" s="165">
        <f>IF(CK37&gt;(CD37*'Irradiancia Horizontal'!D28),CK37,CD37*'Irradiancia Horizontal'!D28)</f>
        <v>0</v>
      </c>
      <c r="CF37" s="84" t="e">
        <f t="shared" si="294"/>
        <v>#DIV/0!</v>
      </c>
      <c r="CG37" s="84" t="e">
        <f t="shared" si="295"/>
        <v>#DIV/0!</v>
      </c>
      <c r="CH37" s="84" t="e">
        <f t="shared" si="296"/>
        <v>#DIV/0!</v>
      </c>
      <c r="CI37" s="84" t="e">
        <f t="shared" si="297"/>
        <v>#DIV/0!</v>
      </c>
      <c r="CJ37" s="103">
        <f t="shared" si="44"/>
        <v>0</v>
      </c>
      <c r="CK37" s="84">
        <f>+CJ37*'Irradiancia Horizontal'!D60</f>
        <v>0</v>
      </c>
      <c r="CL37" s="84">
        <f t="shared" si="195"/>
        <v>0</v>
      </c>
      <c r="CM37" s="84" t="e">
        <f>+CL37/'Irradiancia Horizontal'!D89</f>
        <v>#DIV/0!</v>
      </c>
      <c r="CN37" s="38">
        <f t="shared" si="45"/>
        <v>-6.8222115699807018E-2</v>
      </c>
      <c r="CO37" s="84">
        <f t="shared" si="196"/>
        <v>0</v>
      </c>
      <c r="CP37" s="84">
        <f t="shared" si="197"/>
        <v>8.6999999999999994E-2</v>
      </c>
      <c r="CQ37" s="84" t="e">
        <f t="shared" si="198"/>
        <v>#DIV/0!</v>
      </c>
      <c r="CR37" s="84" t="e">
        <f t="shared" si="199"/>
        <v>#DIV/0!</v>
      </c>
      <c r="CS37" s="84" t="e">
        <f t="shared" si="200"/>
        <v>#DIV/0!</v>
      </c>
      <c r="CT37" s="84" t="e">
        <f t="shared" si="201"/>
        <v>#DIV/0!</v>
      </c>
      <c r="CU37" s="84" t="e">
        <f t="shared" si="202"/>
        <v>#DIV/0!</v>
      </c>
      <c r="CV37" s="84" t="e">
        <f t="shared" si="203"/>
        <v>#DIV/0!</v>
      </c>
      <c r="CW37" s="84" t="e">
        <f t="shared" si="46"/>
        <v>#DIV/0!</v>
      </c>
      <c r="CX37" s="84" t="e">
        <f t="shared" si="47"/>
        <v>#DIV/0!</v>
      </c>
      <c r="CY37" s="88">
        <f t="shared" si="48"/>
        <v>0</v>
      </c>
      <c r="CZ37" s="84" t="e">
        <f t="shared" si="298"/>
        <v>#DIV/0!</v>
      </c>
      <c r="DA37" s="84" t="e">
        <f t="shared" si="299"/>
        <v>#DIV/0!</v>
      </c>
      <c r="DB37" s="84" t="e">
        <f t="shared" si="300"/>
        <v>#DIV/0!</v>
      </c>
      <c r="DC37" s="84" t="e">
        <f t="shared" si="301"/>
        <v>#DIV/0!</v>
      </c>
      <c r="DD37" s="84" t="e">
        <f t="shared" si="302"/>
        <v>#DIV/0!</v>
      </c>
      <c r="DE37" s="84" t="e">
        <f t="shared" si="303"/>
        <v>#DIV/0!</v>
      </c>
      <c r="DF37" s="84" t="e">
        <f t="shared" si="55"/>
        <v>#DIV/0!</v>
      </c>
      <c r="DG37" s="84" t="e">
        <f t="shared" si="56"/>
        <v>#DIV/0!</v>
      </c>
      <c r="DH37" s="106">
        <f>IF(BN37&lt;0,0,((0.5*(1-DF37)*(1+COS(RADIANS($BU$15))))+(DF37*(CO37/CP37))+(DG37*SIN(RADIANS($BU$15))))*'Irradiancia Horizontal'!D60)</f>
        <v>0</v>
      </c>
      <c r="DI37" s="106">
        <f t="shared" si="204"/>
        <v>0</v>
      </c>
      <c r="DJ37" s="84">
        <f>DI37*'Irradiancia Horizontal'!D89</f>
        <v>0</v>
      </c>
      <c r="DK37" s="84">
        <f t="shared" si="205"/>
        <v>0</v>
      </c>
      <c r="DL37" s="88">
        <f t="shared" si="57"/>
        <v>0</v>
      </c>
      <c r="DM37" s="84">
        <f t="shared" si="206"/>
        <v>0</v>
      </c>
      <c r="DN37" s="106">
        <f t="shared" si="207"/>
        <v>0</v>
      </c>
      <c r="DO37" s="106">
        <f t="shared" si="208"/>
        <v>0</v>
      </c>
      <c r="DP37" s="106">
        <f t="shared" si="209"/>
        <v>0</v>
      </c>
      <c r="DQ37" s="44"/>
      <c r="DS37" s="39">
        <v>0.83333333333333304</v>
      </c>
      <c r="DT37" s="38">
        <v>-120</v>
      </c>
      <c r="DU37" s="38">
        <f t="shared" si="58"/>
        <v>-26.128398161118344</v>
      </c>
      <c r="DV37" s="38">
        <f t="shared" si="368"/>
        <v>-74.70367218763036</v>
      </c>
      <c r="DW37" s="38">
        <f t="shared" si="60"/>
        <v>116.12839816111834</v>
      </c>
      <c r="DX37" s="38">
        <f>+'Irradiancia Horizontal'!E89/COS(RADIANS(DW37))</f>
        <v>0</v>
      </c>
      <c r="DY37" s="38" t="e">
        <f>((('Irradiancia Horizontal'!E60+DX37)/'Irradiancia Horizontal'!E60)+1.041*((RADIANS('Cálculos iluminancia'!DW37))^3))/(1+1.041*((RADIANS('Cálculos iluminancia'!DW37))^3))</f>
        <v>#DIV/0!</v>
      </c>
      <c r="DZ37" s="84" t="e">
        <f t="shared" si="61"/>
        <v>#NUM!</v>
      </c>
      <c r="EA37" s="84" t="e">
        <f t="shared" si="210"/>
        <v>#NUM!</v>
      </c>
      <c r="EB37" s="106" t="e">
        <f>'Irradiancia Horizontal'!E60*EA37/$DZ$15</f>
        <v>#NUM!</v>
      </c>
      <c r="EC37" s="84">
        <f>((17.27*Temp!D30)/(237.7+Temp!D30))+LN(HR!D41/100)</f>
        <v>0.61720358106914064</v>
      </c>
      <c r="ED37" s="84">
        <f t="shared" si="211"/>
        <v>8.8098891939467876</v>
      </c>
      <c r="EE37" s="84">
        <f t="shared" si="212"/>
        <v>1.718913222215205</v>
      </c>
      <c r="EF37" s="84" t="e">
        <f t="shared" si="304"/>
        <v>#DIV/0!</v>
      </c>
      <c r="EG37" s="84" t="e">
        <f t="shared" si="305"/>
        <v>#DIV/0!</v>
      </c>
      <c r="EH37" s="84" t="e">
        <f t="shared" si="306"/>
        <v>#DIV/0!</v>
      </c>
      <c r="EI37" s="84" t="e">
        <f t="shared" si="307"/>
        <v>#DIV/0!</v>
      </c>
      <c r="EJ37" s="84" t="e">
        <f t="shared" si="308"/>
        <v>#DIV/0!</v>
      </c>
      <c r="EK37" s="103">
        <f t="shared" si="67"/>
        <v>0</v>
      </c>
      <c r="EL37" s="165">
        <f>IF(ER37&gt;(EK37*'Irradiancia Horizontal'!E28),ER37,EK37*'Irradiancia Horizontal'!E28)</f>
        <v>0</v>
      </c>
      <c r="EM37" s="84" t="e">
        <f t="shared" si="309"/>
        <v>#DIV/0!</v>
      </c>
      <c r="EN37" s="84" t="e">
        <f t="shared" si="310"/>
        <v>#DIV/0!</v>
      </c>
      <c r="EO37" s="84" t="e">
        <f t="shared" si="311"/>
        <v>#DIV/0!</v>
      </c>
      <c r="EP37" s="84" t="e">
        <f t="shared" si="312"/>
        <v>#DIV/0!</v>
      </c>
      <c r="EQ37" s="103">
        <f t="shared" si="72"/>
        <v>0</v>
      </c>
      <c r="ER37" s="84">
        <f>+EQ37*'Irradiancia Horizontal'!E60</f>
        <v>0</v>
      </c>
      <c r="ES37" s="84">
        <f t="shared" si="213"/>
        <v>0</v>
      </c>
      <c r="ET37" s="84" t="e">
        <f>+ES37/'Irradiancia Horizontal'!E89</f>
        <v>#DIV/0!</v>
      </c>
      <c r="EU37" s="38">
        <f t="shared" si="73"/>
        <v>-0.23685220496695675</v>
      </c>
      <c r="EV37" s="84">
        <f t="shared" si="214"/>
        <v>0</v>
      </c>
      <c r="EW37" s="84">
        <f t="shared" si="215"/>
        <v>8.6999999999999994E-2</v>
      </c>
      <c r="EX37" s="84" t="e">
        <f t="shared" si="216"/>
        <v>#DIV/0!</v>
      </c>
      <c r="EY37" s="84" t="e">
        <f t="shared" si="217"/>
        <v>#DIV/0!</v>
      </c>
      <c r="EZ37" s="84" t="e">
        <f t="shared" si="218"/>
        <v>#DIV/0!</v>
      </c>
      <c r="FA37" s="84" t="e">
        <f t="shared" si="219"/>
        <v>#DIV/0!</v>
      </c>
      <c r="FB37" s="84" t="e">
        <f t="shared" si="220"/>
        <v>#DIV/0!</v>
      </c>
      <c r="FC37" s="84" t="e">
        <f t="shared" si="221"/>
        <v>#DIV/0!</v>
      </c>
      <c r="FD37" s="84" t="e">
        <f t="shared" si="74"/>
        <v>#DIV/0!</v>
      </c>
      <c r="FE37" s="84" t="e">
        <f t="shared" si="75"/>
        <v>#DIV/0!</v>
      </c>
      <c r="FF37" s="88">
        <f t="shared" si="76"/>
        <v>0</v>
      </c>
      <c r="FG37" s="84" t="e">
        <f t="shared" si="313"/>
        <v>#DIV/0!</v>
      </c>
      <c r="FH37" s="84" t="e">
        <f t="shared" si="314"/>
        <v>#DIV/0!</v>
      </c>
      <c r="FI37" s="84" t="e">
        <f t="shared" si="315"/>
        <v>#DIV/0!</v>
      </c>
      <c r="FJ37" s="84" t="e">
        <f t="shared" si="316"/>
        <v>#DIV/0!</v>
      </c>
      <c r="FK37" s="84" t="e">
        <f t="shared" si="317"/>
        <v>#DIV/0!</v>
      </c>
      <c r="FL37" s="84" t="e">
        <f t="shared" si="318"/>
        <v>#DIV/0!</v>
      </c>
      <c r="FM37" s="84" t="e">
        <f t="shared" si="83"/>
        <v>#DIV/0!</v>
      </c>
      <c r="FN37" s="84" t="e">
        <f t="shared" si="84"/>
        <v>#DIV/0!</v>
      </c>
      <c r="FO37" s="106">
        <f>IF(DU37&lt;0,0,((0.5*(1-FM37)*(1+COS(RADIANS($EB$15))))+(FM37*(EV37/EW37))+(FN37*SIN(RADIANS($EB$15))))*'Irradiancia Horizontal'!E60)</f>
        <v>0</v>
      </c>
      <c r="FP37" s="106">
        <f t="shared" si="222"/>
        <v>0</v>
      </c>
      <c r="FQ37" s="84">
        <f>FP37*'Irradiancia Horizontal'!E89</f>
        <v>0</v>
      </c>
      <c r="FR37" s="84">
        <f t="shared" si="223"/>
        <v>0</v>
      </c>
      <c r="FS37" s="88">
        <f t="shared" si="85"/>
        <v>0</v>
      </c>
      <c r="FT37" s="84">
        <f t="shared" si="224"/>
        <v>0</v>
      </c>
      <c r="FU37" s="106">
        <f t="shared" si="225"/>
        <v>0</v>
      </c>
      <c r="FV37" s="106">
        <f t="shared" si="226"/>
        <v>0</v>
      </c>
      <c r="FW37" s="106">
        <f t="shared" si="227"/>
        <v>0</v>
      </c>
      <c r="FX37" s="83"/>
      <c r="FZ37" s="39">
        <v>0.83333333333333304</v>
      </c>
      <c r="GA37" s="38">
        <v>-120</v>
      </c>
      <c r="GB37" s="38">
        <f t="shared" si="86"/>
        <v>-19.300479677277462</v>
      </c>
      <c r="GC37" s="38">
        <f t="shared" si="369"/>
        <v>-64.016694998451214</v>
      </c>
      <c r="GD37" s="38">
        <f t="shared" si="88"/>
        <v>109.30047967727747</v>
      </c>
      <c r="GE37" s="38">
        <f>+'Irradiancia Horizontal'!F89/COS(RADIANS(GD37))</f>
        <v>0</v>
      </c>
      <c r="GF37" s="38" t="e">
        <f>((('Irradiancia Horizontal'!F60+GE37)/'Irradiancia Horizontal'!F60)+1.041*((RADIANS('Cálculos iluminancia'!GD37))^3))/(1+1.041*((RADIANS('Cálculos iluminancia'!GD37))^3))</f>
        <v>#DIV/0!</v>
      </c>
      <c r="GG37" s="84" t="e">
        <f t="shared" si="89"/>
        <v>#NUM!</v>
      </c>
      <c r="GH37" s="84" t="e">
        <f t="shared" si="276"/>
        <v>#NUM!</v>
      </c>
      <c r="GI37" s="106" t="e">
        <f>'Irradiancia Horizontal'!F60*GH37/$GG$15</f>
        <v>#NUM!</v>
      </c>
      <c r="GJ37" s="84">
        <f>((17.27*Temp!E30)/(237.7+Temp!E30))+LN(HR!E41/100)</f>
        <v>0.74437480629226338</v>
      </c>
      <c r="GK37" s="84">
        <f t="shared" si="228"/>
        <v>10.706880337758207</v>
      </c>
      <c r="GL37" s="84">
        <f t="shared" si="229"/>
        <v>1.9630151315469171</v>
      </c>
      <c r="GM37" s="84" t="e">
        <f t="shared" si="319"/>
        <v>#DIV/0!</v>
      </c>
      <c r="GN37" s="84" t="e">
        <f t="shared" si="320"/>
        <v>#DIV/0!</v>
      </c>
      <c r="GO37" s="84" t="e">
        <f t="shared" si="321"/>
        <v>#DIV/0!</v>
      </c>
      <c r="GP37" s="84" t="e">
        <f t="shared" si="322"/>
        <v>#DIV/0!</v>
      </c>
      <c r="GQ37" s="84" t="e">
        <f t="shared" si="323"/>
        <v>#DIV/0!</v>
      </c>
      <c r="GR37" s="103">
        <f t="shared" si="96"/>
        <v>0</v>
      </c>
      <c r="GS37" s="165">
        <f>IF(GY37&gt;(GR37*'Irradiancia Horizontal'!F28),GY37,GR37*'Irradiancia Horizontal'!F28)</f>
        <v>0</v>
      </c>
      <c r="GT37" s="84" t="e">
        <f t="shared" si="324"/>
        <v>#DIV/0!</v>
      </c>
      <c r="GU37" s="84" t="e">
        <f t="shared" si="325"/>
        <v>#DIV/0!</v>
      </c>
      <c r="GV37" s="84" t="e">
        <f t="shared" si="326"/>
        <v>#DIV/0!</v>
      </c>
      <c r="GW37" s="84" t="e">
        <f t="shared" si="327"/>
        <v>#DIV/0!</v>
      </c>
      <c r="GX37" s="103">
        <f t="shared" si="101"/>
        <v>0</v>
      </c>
      <c r="GY37" s="84">
        <f>+GX37*'Irradiancia Horizontal'!F60</f>
        <v>0</v>
      </c>
      <c r="GZ37" s="84">
        <f t="shared" si="230"/>
        <v>0</v>
      </c>
      <c r="HA37" s="84" t="e">
        <f>+GZ37/'Irradiancia Horizontal'!F89</f>
        <v>#DIV/0!</v>
      </c>
      <c r="HB37" s="38">
        <f t="shared" si="102"/>
        <v>-0.41348670075206839</v>
      </c>
      <c r="HC37" s="84">
        <f t="shared" si="231"/>
        <v>0</v>
      </c>
      <c r="HD37" s="84">
        <f t="shared" si="232"/>
        <v>8.6999999999999994E-2</v>
      </c>
      <c r="HE37" s="84" t="e">
        <f t="shared" si="233"/>
        <v>#DIV/0!</v>
      </c>
      <c r="HF37" s="84" t="e">
        <f t="shared" si="234"/>
        <v>#DIV/0!</v>
      </c>
      <c r="HG37" s="84" t="e">
        <f t="shared" si="235"/>
        <v>#DIV/0!</v>
      </c>
      <c r="HH37" s="84" t="e">
        <f t="shared" si="236"/>
        <v>#DIV/0!</v>
      </c>
      <c r="HI37" s="84" t="e">
        <f t="shared" si="237"/>
        <v>#DIV/0!</v>
      </c>
      <c r="HJ37" s="84" t="e">
        <f t="shared" si="238"/>
        <v>#DIV/0!</v>
      </c>
      <c r="HK37" s="84" t="e">
        <f t="shared" si="103"/>
        <v>#DIV/0!</v>
      </c>
      <c r="HL37" s="84" t="e">
        <f t="shared" si="104"/>
        <v>#DIV/0!</v>
      </c>
      <c r="HM37" s="88">
        <f t="shared" si="105"/>
        <v>0</v>
      </c>
      <c r="HN37" s="84" t="e">
        <f t="shared" si="328"/>
        <v>#DIV/0!</v>
      </c>
      <c r="HO37" s="84" t="e">
        <f t="shared" si="329"/>
        <v>#DIV/0!</v>
      </c>
      <c r="HP37" s="84" t="e">
        <f t="shared" si="330"/>
        <v>#DIV/0!</v>
      </c>
      <c r="HQ37" s="84" t="e">
        <f t="shared" si="331"/>
        <v>#DIV/0!</v>
      </c>
      <c r="HR37" s="84" t="e">
        <f t="shared" si="332"/>
        <v>#DIV/0!</v>
      </c>
      <c r="HS37" s="84" t="e">
        <f t="shared" si="333"/>
        <v>#DIV/0!</v>
      </c>
      <c r="HT37" s="84" t="e">
        <f t="shared" si="112"/>
        <v>#DIV/0!</v>
      </c>
      <c r="HU37" s="84" t="e">
        <f t="shared" si="113"/>
        <v>#DIV/0!</v>
      </c>
      <c r="HV37" s="106">
        <f>IF(GB37&lt;0,0,((0.5*(1-HT37)*(1+COS(RADIANS($GI$15))))+(HT37*(HC37/HD37))+(HU37*SIN(RADIANS($GI$15))))*'Irradiancia Horizontal'!F60)</f>
        <v>0</v>
      </c>
      <c r="HW37" s="84">
        <f t="shared" si="114"/>
        <v>0</v>
      </c>
      <c r="HX37" s="84">
        <f>HW37*'Irradiancia Horizontal'!F89</f>
        <v>0</v>
      </c>
      <c r="HY37" s="84">
        <f t="shared" si="239"/>
        <v>0</v>
      </c>
      <c r="HZ37" s="88">
        <f t="shared" si="115"/>
        <v>0</v>
      </c>
      <c r="IA37" s="84">
        <f t="shared" si="240"/>
        <v>0</v>
      </c>
      <c r="IB37" s="106">
        <f t="shared" si="241"/>
        <v>0</v>
      </c>
      <c r="IC37" s="106">
        <f t="shared" si="242"/>
        <v>0</v>
      </c>
      <c r="ID37" s="106">
        <f t="shared" si="243"/>
        <v>0</v>
      </c>
      <c r="IE37" s="83"/>
      <c r="IG37" s="39">
        <v>0.83333333333333304</v>
      </c>
      <c r="IH37" s="38">
        <v>-120</v>
      </c>
      <c r="II37" s="38">
        <f t="shared" si="116"/>
        <v>-14.059262104382483</v>
      </c>
      <c r="IJ37" s="38">
        <f t="shared" si="370"/>
        <v>-56.949460447538442</v>
      </c>
      <c r="IK37" s="38">
        <f t="shared" si="118"/>
        <v>104.05926210438248</v>
      </c>
      <c r="IL37" s="38">
        <f>+'Irradiancia Horizontal'!G89/COS(RADIANS(IK37))</f>
        <v>0</v>
      </c>
      <c r="IM37" s="38" t="e">
        <f>((('Irradiancia Horizontal'!G60+IL37)/'Irradiancia Horizontal'!G60)+1.041*((RADIANS('Cálculos iluminancia'!IK37))^3))/(1+1.041*((RADIANS('Cálculos iluminancia'!IK37))^3))</f>
        <v>#DIV/0!</v>
      </c>
      <c r="IN37" s="87" t="e">
        <f t="shared" si="119"/>
        <v>#NUM!</v>
      </c>
      <c r="IO37" s="87" t="e">
        <f t="shared" si="334"/>
        <v>#NUM!</v>
      </c>
      <c r="IP37" s="106" t="e">
        <f>'Irradiancia Horizontal'!G60*IO37/$IN$15</f>
        <v>#NUM!</v>
      </c>
      <c r="IQ37" s="87">
        <f>((17.27*Temp!F30)/(237.7+Temp!F30))+LN(HR!F41/100)</f>
        <v>0.9115572784725382</v>
      </c>
      <c r="IR37" s="87">
        <f t="shared" si="244"/>
        <v>13.245586317808753</v>
      </c>
      <c r="IS37" s="87">
        <f t="shared" si="245"/>
        <v>2.3447787370562394</v>
      </c>
      <c r="IT37" s="87" t="e">
        <f t="shared" si="335"/>
        <v>#DIV/0!</v>
      </c>
      <c r="IU37" s="87" t="e">
        <f t="shared" si="336"/>
        <v>#DIV/0!</v>
      </c>
      <c r="IV37" s="87" t="e">
        <f t="shared" si="337"/>
        <v>#DIV/0!</v>
      </c>
      <c r="IW37" s="87" t="e">
        <f t="shared" si="338"/>
        <v>#DIV/0!</v>
      </c>
      <c r="IX37" s="87" t="e">
        <f t="shared" si="339"/>
        <v>#DIV/0!</v>
      </c>
      <c r="IY37" s="103">
        <f t="shared" si="126"/>
        <v>0</v>
      </c>
      <c r="IZ37" s="165">
        <f>IF(JF37&gt;(IY37*'Irradiancia Horizontal'!G28),JF37,IY37*'Irradiancia Horizontal'!G28)</f>
        <v>0</v>
      </c>
      <c r="JA37" s="87" t="e">
        <f t="shared" si="340"/>
        <v>#DIV/0!</v>
      </c>
      <c r="JB37" s="87" t="e">
        <f t="shared" si="341"/>
        <v>#DIV/0!</v>
      </c>
      <c r="JC37" s="87" t="e">
        <f t="shared" si="342"/>
        <v>#DIV/0!</v>
      </c>
      <c r="JD37" s="87" t="e">
        <f t="shared" si="343"/>
        <v>#DIV/0!</v>
      </c>
      <c r="JE37" s="103">
        <f t="shared" si="131"/>
        <v>0</v>
      </c>
      <c r="JF37" s="87">
        <f>+JE37*'Irradiancia Horizontal'!G60</f>
        <v>0</v>
      </c>
      <c r="JG37" s="87">
        <f t="shared" si="246"/>
        <v>0</v>
      </c>
      <c r="JH37" s="87" t="e">
        <f>+JG37/'Irradiancia Horizontal'!G89</f>
        <v>#DIV/0!</v>
      </c>
      <c r="JI37" s="38">
        <f t="shared" si="132"/>
        <v>-0.52904177366493466</v>
      </c>
      <c r="JJ37" s="87">
        <f t="shared" si="247"/>
        <v>0</v>
      </c>
      <c r="JK37" s="87">
        <f t="shared" si="248"/>
        <v>8.6999999999999994E-2</v>
      </c>
      <c r="JL37" s="87" t="e">
        <f t="shared" si="249"/>
        <v>#DIV/0!</v>
      </c>
      <c r="JM37" s="87" t="e">
        <f t="shared" si="250"/>
        <v>#DIV/0!</v>
      </c>
      <c r="JN37" s="87" t="e">
        <f t="shared" si="251"/>
        <v>#DIV/0!</v>
      </c>
      <c r="JO37" s="87" t="e">
        <f t="shared" si="252"/>
        <v>#DIV/0!</v>
      </c>
      <c r="JP37" s="87" t="e">
        <f t="shared" si="253"/>
        <v>#DIV/0!</v>
      </c>
      <c r="JQ37" s="87" t="e">
        <f t="shared" si="254"/>
        <v>#DIV/0!</v>
      </c>
      <c r="JR37" s="87" t="e">
        <f t="shared" si="133"/>
        <v>#DIV/0!</v>
      </c>
      <c r="JS37" s="87" t="e">
        <f t="shared" si="134"/>
        <v>#DIV/0!</v>
      </c>
      <c r="JT37" s="88">
        <f t="shared" si="135"/>
        <v>0</v>
      </c>
      <c r="JU37" s="87" t="e">
        <f t="shared" si="344"/>
        <v>#DIV/0!</v>
      </c>
      <c r="JV37" s="87" t="e">
        <f t="shared" si="345"/>
        <v>#DIV/0!</v>
      </c>
      <c r="JW37" s="87" t="e">
        <f t="shared" si="346"/>
        <v>#DIV/0!</v>
      </c>
      <c r="JX37" s="87" t="e">
        <f t="shared" si="347"/>
        <v>#DIV/0!</v>
      </c>
      <c r="JY37" s="87" t="e">
        <f t="shared" si="348"/>
        <v>#DIV/0!</v>
      </c>
      <c r="JZ37" s="87" t="e">
        <f t="shared" si="349"/>
        <v>#DIV/0!</v>
      </c>
      <c r="KA37" s="87" t="e">
        <f t="shared" si="142"/>
        <v>#DIV/0!</v>
      </c>
      <c r="KB37" s="87" t="e">
        <f t="shared" si="143"/>
        <v>#DIV/0!</v>
      </c>
      <c r="KC37" s="106">
        <f>IF(II37&lt;0,0,((0.5*(1-KA37)*(1+COS(RADIANS($IP$15))))+(KA37*(JJ37/JK37))+(KB37*SIN(RADIANS($IP$15))))*'Irradiancia Horizontal'!G60)</f>
        <v>0</v>
      </c>
      <c r="KD37" s="87">
        <f t="shared" si="144"/>
        <v>0</v>
      </c>
      <c r="KE37" s="87">
        <f>KD37*'Irradiancia Horizontal'!G89</f>
        <v>0</v>
      </c>
      <c r="KF37" s="87">
        <f t="shared" si="255"/>
        <v>0</v>
      </c>
      <c r="KG37" s="88">
        <f t="shared" si="145"/>
        <v>0</v>
      </c>
      <c r="KH37" s="87">
        <f t="shared" si="256"/>
        <v>0</v>
      </c>
      <c r="KI37" s="106">
        <f t="shared" si="257"/>
        <v>0</v>
      </c>
      <c r="KJ37" s="106">
        <f t="shared" si="258"/>
        <v>0</v>
      </c>
      <c r="KK37" s="106">
        <f t="shared" si="259"/>
        <v>0</v>
      </c>
      <c r="KL37" s="86"/>
      <c r="KN37" s="39">
        <v>0.83333333333333304</v>
      </c>
      <c r="KO37" s="38">
        <v>-120</v>
      </c>
      <c r="KP37" s="38">
        <f t="shared" si="146"/>
        <v>-11.973998043852708</v>
      </c>
      <c r="KQ37" s="38">
        <f t="shared" si="371"/>
        <v>-54.308590994652675</v>
      </c>
      <c r="KR37" s="38">
        <f t="shared" si="148"/>
        <v>101.9739980438527</v>
      </c>
      <c r="KS37" s="38">
        <f>+'Irradiancia Horizontal'!H89/COS(RADIANS(KR37))</f>
        <v>0</v>
      </c>
      <c r="KT37" s="38" t="e">
        <f>((('Irradiancia Horizontal'!H60+KS37)/'Irradiancia Horizontal'!H60)+1.041*((RADIANS('Cálculos iluminancia'!KR37))^3))/(1+1.041*((RADIANS('Cálculos iluminancia'!KR37))^3))</f>
        <v>#DIV/0!</v>
      </c>
      <c r="KU37" s="87" t="e">
        <f t="shared" si="149"/>
        <v>#NUM!</v>
      </c>
      <c r="KV37" s="87" t="e">
        <f t="shared" si="350"/>
        <v>#NUM!</v>
      </c>
      <c r="KW37" s="106" t="e">
        <f>'Irradiancia Horizontal'!H60*KV37/$KU$15</f>
        <v>#NUM!</v>
      </c>
      <c r="KX37" s="87">
        <f>((17.27*Temp!G30)/(237.7+Temp!G30))+LN(HR!G41/100)</f>
        <v>1.1905281117473148</v>
      </c>
      <c r="KY37" s="87">
        <f t="shared" si="260"/>
        <v>17.59936732555763</v>
      </c>
      <c r="KZ37" s="87">
        <f t="shared" si="261"/>
        <v>3.1802369696992039</v>
      </c>
      <c r="LA37" s="87" t="e">
        <f t="shared" si="351"/>
        <v>#DIV/0!</v>
      </c>
      <c r="LB37" s="87" t="e">
        <f t="shared" si="352"/>
        <v>#DIV/0!</v>
      </c>
      <c r="LC37" s="87" t="e">
        <f t="shared" si="353"/>
        <v>#DIV/0!</v>
      </c>
      <c r="LD37" s="87" t="e">
        <f t="shared" si="354"/>
        <v>#DIV/0!</v>
      </c>
      <c r="LE37" s="87" t="e">
        <f t="shared" si="355"/>
        <v>#DIV/0!</v>
      </c>
      <c r="LF37" s="103">
        <f t="shared" si="156"/>
        <v>0</v>
      </c>
      <c r="LG37" s="165">
        <f>IF(LM37&gt;(LF37*'Irradiancia Horizontal'!H28),LM37,LF37*'Irradiancia Horizontal'!H28)</f>
        <v>0</v>
      </c>
      <c r="LH37" s="87" t="e">
        <f t="shared" si="356"/>
        <v>#DIV/0!</v>
      </c>
      <c r="LI37" s="87" t="e">
        <f t="shared" si="357"/>
        <v>#DIV/0!</v>
      </c>
      <c r="LJ37" s="87" t="e">
        <f t="shared" si="358"/>
        <v>#DIV/0!</v>
      </c>
      <c r="LK37" s="87" t="e">
        <f t="shared" si="359"/>
        <v>#DIV/0!</v>
      </c>
      <c r="LL37" s="103">
        <f t="shared" si="161"/>
        <v>0</v>
      </c>
      <c r="LM37" s="87">
        <f>+LL37*'Irradiancia Horizontal'!H60</f>
        <v>0</v>
      </c>
      <c r="LN37" s="87">
        <f t="shared" si="262"/>
        <v>0</v>
      </c>
      <c r="LO37" s="87" t="e">
        <f>+LN37/'Irradiancia Horizontal'!H89</f>
        <v>#DIV/0!</v>
      </c>
      <c r="LP37" s="38">
        <f t="shared" si="162"/>
        <v>-0.57072531496281587</v>
      </c>
      <c r="LQ37" s="87">
        <f t="shared" si="263"/>
        <v>0</v>
      </c>
      <c r="LR37" s="87">
        <f t="shared" si="264"/>
        <v>8.6999999999999994E-2</v>
      </c>
      <c r="LS37" s="87" t="e">
        <f t="shared" si="265"/>
        <v>#DIV/0!</v>
      </c>
      <c r="LT37" s="87" t="e">
        <f t="shared" si="266"/>
        <v>#DIV/0!</v>
      </c>
      <c r="LU37" s="87" t="e">
        <f t="shared" si="267"/>
        <v>#DIV/0!</v>
      </c>
      <c r="LV37" s="87" t="e">
        <f t="shared" si="268"/>
        <v>#DIV/0!</v>
      </c>
      <c r="LW37" s="87" t="e">
        <f t="shared" si="269"/>
        <v>#DIV/0!</v>
      </c>
      <c r="LX37" s="87" t="e">
        <f t="shared" si="270"/>
        <v>#DIV/0!</v>
      </c>
      <c r="LY37" s="87" t="e">
        <f t="shared" si="163"/>
        <v>#DIV/0!</v>
      </c>
      <c r="LZ37" s="87" t="e">
        <f t="shared" si="164"/>
        <v>#DIV/0!</v>
      </c>
      <c r="MA37" s="88">
        <f t="shared" si="165"/>
        <v>0</v>
      </c>
      <c r="MB37" s="87" t="e">
        <f t="shared" si="360"/>
        <v>#DIV/0!</v>
      </c>
      <c r="MC37" s="87" t="e">
        <f t="shared" si="361"/>
        <v>#DIV/0!</v>
      </c>
      <c r="MD37" s="87" t="e">
        <f t="shared" si="362"/>
        <v>#DIV/0!</v>
      </c>
      <c r="ME37" s="87" t="e">
        <f t="shared" si="363"/>
        <v>#DIV/0!</v>
      </c>
      <c r="MF37" s="87" t="e">
        <f t="shared" si="364"/>
        <v>#DIV/0!</v>
      </c>
      <c r="MG37" s="87" t="e">
        <f t="shared" si="365"/>
        <v>#DIV/0!</v>
      </c>
      <c r="MH37" s="87" t="e">
        <f t="shared" si="172"/>
        <v>#DIV/0!</v>
      </c>
      <c r="MI37" s="87" t="e">
        <f t="shared" si="173"/>
        <v>#DIV/0!</v>
      </c>
      <c r="MJ37" s="106">
        <f>IF(KP37&lt;0,0,((0.5*(1-MH37)*(1+COS(RADIANS($KW$15))))+(MH37*(LQ37/LR37))+(MI37*SIN(RADIANS($KW$15))))*'Irradiancia Horizontal'!H60)</f>
        <v>0</v>
      </c>
      <c r="MK37" s="87">
        <f t="shared" si="174"/>
        <v>0</v>
      </c>
      <c r="ML37" s="87">
        <f>MK37*'Irradiancia Horizontal'!H89</f>
        <v>0</v>
      </c>
      <c r="MM37" s="87">
        <f t="shared" si="271"/>
        <v>0</v>
      </c>
      <c r="MN37" s="88">
        <f t="shared" si="175"/>
        <v>0</v>
      </c>
      <c r="MO37" s="87">
        <f t="shared" si="272"/>
        <v>0</v>
      </c>
      <c r="MP37" s="106">
        <f t="shared" si="273"/>
        <v>0</v>
      </c>
      <c r="MQ37" s="106">
        <f t="shared" si="274"/>
        <v>0</v>
      </c>
      <c r="MR37" s="106">
        <f t="shared" si="275"/>
        <v>0</v>
      </c>
    </row>
    <row r="38" spans="4:356" x14ac:dyDescent="0.25">
      <c r="E38" s="39">
        <v>0.875</v>
      </c>
      <c r="F38" s="38">
        <v>-135</v>
      </c>
      <c r="G38" s="38">
        <f t="shared" si="0"/>
        <v>-48.376276838475903</v>
      </c>
      <c r="H38" s="38">
        <f t="shared" si="366"/>
        <v>-88.120784127746333</v>
      </c>
      <c r="I38" s="38">
        <f t="shared" si="2"/>
        <v>138.37627683847592</v>
      </c>
      <c r="J38" s="38">
        <f>'Irradiancia Horizontal'!C90/COS(RADIANS(I38))</f>
        <v>0</v>
      </c>
      <c r="K38" s="38" t="e">
        <f>((('Irradiancia Horizontal'!C61+J38)/'Irradiancia Horizontal'!C61)+1.041*((RADIANS('Cálculos iluminancia'!I38))^3))/(1+1.041*((RADIANS('Cálculos iluminancia'!I38))^3))</f>
        <v>#DIV/0!</v>
      </c>
      <c r="L38" s="36" t="e">
        <f t="shared" si="3"/>
        <v>#NUM!</v>
      </c>
      <c r="M38" s="36" t="e">
        <f t="shared" si="4"/>
        <v>#NUM!</v>
      </c>
      <c r="N38" s="106" t="e">
        <f>'Irradiancia Horizontal'!C61*M38/$L$15</f>
        <v>#NUM!</v>
      </c>
      <c r="O38" s="71">
        <f>((17.27*Temp!B31)/(237.7+Temp!B31))+LN(HR!B42/100)</f>
        <v>0.48134244791598235</v>
      </c>
      <c r="P38" s="71">
        <f t="shared" si="176"/>
        <v>6.815023745327772</v>
      </c>
      <c r="Q38" s="71">
        <f t="shared" si="177"/>
        <v>1.4948885598724755</v>
      </c>
      <c r="R38" s="71" t="e">
        <f t="shared" si="277"/>
        <v>#DIV/0!</v>
      </c>
      <c r="S38" s="71" t="e">
        <f t="shared" si="6"/>
        <v>#DIV/0!</v>
      </c>
      <c r="T38" s="71" t="e">
        <f t="shared" si="7"/>
        <v>#DIV/0!</v>
      </c>
      <c r="U38" s="71" t="e">
        <f t="shared" si="8"/>
        <v>#DIV/0!</v>
      </c>
      <c r="V38" s="71" t="e">
        <f t="shared" si="9"/>
        <v>#DIV/0!</v>
      </c>
      <c r="W38" s="103">
        <f t="shared" si="10"/>
        <v>0</v>
      </c>
      <c r="X38" s="165">
        <f>IF(AD38&gt;(W38*'Irradiancia Horizontal'!C29),AD38,W38*'Irradiancia Horizontal'!C29)</f>
        <v>0</v>
      </c>
      <c r="Y38" s="71" t="e">
        <f t="shared" si="278"/>
        <v>#DIV/0!</v>
      </c>
      <c r="Z38" s="71" t="e">
        <f t="shared" si="279"/>
        <v>#DIV/0!</v>
      </c>
      <c r="AA38" s="71" t="e">
        <f t="shared" si="280"/>
        <v>#DIV/0!</v>
      </c>
      <c r="AB38" s="71" t="e">
        <f t="shared" si="281"/>
        <v>#DIV/0!</v>
      </c>
      <c r="AC38" s="103">
        <f t="shared" si="15"/>
        <v>0</v>
      </c>
      <c r="AD38" s="71">
        <f>+AC38*'Irradiancia Horizontal'!C61</f>
        <v>0</v>
      </c>
      <c r="AE38" s="71">
        <f t="shared" si="16"/>
        <v>0</v>
      </c>
      <c r="AF38" s="71" t="e">
        <f>+AE38/'Irradiancia Horizontal'!C90</f>
        <v>#DIV/0!</v>
      </c>
      <c r="AG38" s="38">
        <f t="shared" si="282"/>
        <v>-2.1782034289725249E-2</v>
      </c>
      <c r="AH38" s="84">
        <f t="shared" si="178"/>
        <v>0</v>
      </c>
      <c r="AI38" s="84">
        <f t="shared" si="179"/>
        <v>8.6999999999999994E-2</v>
      </c>
      <c r="AJ38" s="84" t="e">
        <f t="shared" si="180"/>
        <v>#DIV/0!</v>
      </c>
      <c r="AK38" s="84" t="e">
        <f t="shared" si="181"/>
        <v>#DIV/0!</v>
      </c>
      <c r="AL38" s="84" t="e">
        <f t="shared" si="182"/>
        <v>#DIV/0!</v>
      </c>
      <c r="AM38" s="84" t="e">
        <f t="shared" si="183"/>
        <v>#DIV/0!</v>
      </c>
      <c r="AN38" s="84" t="e">
        <f t="shared" si="184"/>
        <v>#DIV/0!</v>
      </c>
      <c r="AO38" s="84" t="e">
        <f t="shared" si="185"/>
        <v>#DIV/0!</v>
      </c>
      <c r="AP38" s="84" t="e">
        <f t="shared" si="18"/>
        <v>#DIV/0!</v>
      </c>
      <c r="AQ38" s="84" t="e">
        <f t="shared" si="19"/>
        <v>#DIV/0!</v>
      </c>
      <c r="AR38" s="88">
        <f t="shared" si="20"/>
        <v>0</v>
      </c>
      <c r="AS38" s="84" t="e">
        <f t="shared" si="283"/>
        <v>#DIV/0!</v>
      </c>
      <c r="AT38" s="84" t="e">
        <f t="shared" si="284"/>
        <v>#DIV/0!</v>
      </c>
      <c r="AU38" s="84" t="e">
        <f t="shared" si="285"/>
        <v>#DIV/0!</v>
      </c>
      <c r="AV38" s="84" t="e">
        <f t="shared" si="286"/>
        <v>#DIV/0!</v>
      </c>
      <c r="AW38" s="84" t="e">
        <f t="shared" si="287"/>
        <v>#DIV/0!</v>
      </c>
      <c r="AX38" s="84" t="e">
        <f t="shared" si="288"/>
        <v>#DIV/0!</v>
      </c>
      <c r="AY38" s="84" t="e">
        <f t="shared" si="27"/>
        <v>#DIV/0!</v>
      </c>
      <c r="AZ38" s="84" t="e">
        <f t="shared" si="28"/>
        <v>#DIV/0!</v>
      </c>
      <c r="BA38" s="106">
        <f>IF(G38&lt;0,0,((0.5*(1-AY38)*(1+COS(RADIANS($N$15))))+(AY38*(AH38/AI38))+(AZ38*SIN(RADIANS($N$15))))*'Irradiancia Horizontal'!C61)</f>
        <v>0</v>
      </c>
      <c r="BB38" s="106">
        <f t="shared" si="186"/>
        <v>0</v>
      </c>
      <c r="BC38" s="84">
        <f>BB38*'Irradiancia Horizontal'!C90</f>
        <v>0</v>
      </c>
      <c r="BD38" s="84">
        <f t="shared" si="187"/>
        <v>0</v>
      </c>
      <c r="BE38" s="88">
        <f t="shared" si="29"/>
        <v>0</v>
      </c>
      <c r="BF38" s="84">
        <f t="shared" si="188"/>
        <v>0</v>
      </c>
      <c r="BG38" s="106">
        <f t="shared" si="189"/>
        <v>0</v>
      </c>
      <c r="BH38" s="106">
        <f t="shared" si="190"/>
        <v>0</v>
      </c>
      <c r="BI38" s="106">
        <f t="shared" si="191"/>
        <v>0</v>
      </c>
      <c r="BJ38" s="72"/>
      <c r="BL38" s="39">
        <v>0.875</v>
      </c>
      <c r="BM38" s="38">
        <v>-135</v>
      </c>
      <c r="BN38" s="38">
        <f t="shared" si="30"/>
        <v>-44.488704712458158</v>
      </c>
      <c r="BO38" s="38">
        <f t="shared" si="367"/>
        <v>-76.465390391360472</v>
      </c>
      <c r="BP38" s="38">
        <f t="shared" si="32"/>
        <v>134.48870471245817</v>
      </c>
      <c r="BQ38" s="38">
        <f>+'Irradiancia Horizontal'!D90/COS(RADIANS(BP38))</f>
        <v>0</v>
      </c>
      <c r="BR38" s="38" t="e">
        <f>((('Irradiancia Horizontal'!D61+BQ38)/'Irradiancia Horizontal'!D61)+1.041*((RADIANS('Cálculos iluminancia'!BP38))^3))/(1+1.041*((RADIANS('Cálculos iluminancia'!BP38))^3))</f>
        <v>#DIV/0!</v>
      </c>
      <c r="BS38" s="84" t="e">
        <f t="shared" si="33"/>
        <v>#NUM!</v>
      </c>
      <c r="BT38" s="84" t="e">
        <f t="shared" si="192"/>
        <v>#NUM!</v>
      </c>
      <c r="BU38" s="106" t="e">
        <f>'Irradiancia Horizontal'!D61*BT38/$BS$15</f>
        <v>#NUM!</v>
      </c>
      <c r="BV38" s="84">
        <f>((17.27*Temp!C31)/(237.7+Temp!C31))+LN(HR!C42/100)</f>
        <v>0.54198332008744377</v>
      </c>
      <c r="BW38" s="84">
        <f t="shared" si="193"/>
        <v>7.7014171882962765</v>
      </c>
      <c r="BX38" s="84">
        <f t="shared" si="194"/>
        <v>1.5905807532835785</v>
      </c>
      <c r="BY38" s="84" t="e">
        <f t="shared" si="289"/>
        <v>#DIV/0!</v>
      </c>
      <c r="BZ38" s="84" t="e">
        <f t="shared" si="290"/>
        <v>#DIV/0!</v>
      </c>
      <c r="CA38" s="84" t="e">
        <f t="shared" si="291"/>
        <v>#DIV/0!</v>
      </c>
      <c r="CB38" s="84" t="e">
        <f t="shared" si="292"/>
        <v>#DIV/0!</v>
      </c>
      <c r="CC38" s="84" t="e">
        <f t="shared" si="293"/>
        <v>#DIV/0!</v>
      </c>
      <c r="CD38" s="103">
        <f t="shared" si="39"/>
        <v>0</v>
      </c>
      <c r="CE38" s="165">
        <f>IF(CK38&gt;(CD38*'Irradiancia Horizontal'!D29),CK38,CD38*'Irradiancia Horizontal'!D29)</f>
        <v>0</v>
      </c>
      <c r="CF38" s="84" t="e">
        <f t="shared" si="294"/>
        <v>#DIV/0!</v>
      </c>
      <c r="CG38" s="84" t="e">
        <f t="shared" si="295"/>
        <v>#DIV/0!</v>
      </c>
      <c r="CH38" s="84" t="e">
        <f t="shared" si="296"/>
        <v>#DIV/0!</v>
      </c>
      <c r="CI38" s="84" t="e">
        <f t="shared" si="297"/>
        <v>#DIV/0!</v>
      </c>
      <c r="CJ38" s="103">
        <f t="shared" si="44"/>
        <v>0</v>
      </c>
      <c r="CK38" s="84">
        <f>+CJ38*'Irradiancia Horizontal'!D61</f>
        <v>0</v>
      </c>
      <c r="CL38" s="84">
        <f t="shared" si="195"/>
        <v>0</v>
      </c>
      <c r="CM38" s="84" t="e">
        <f>+CL38/'Irradiancia Horizontal'!D90</f>
        <v>#DIV/0!</v>
      </c>
      <c r="CN38" s="38">
        <f t="shared" si="45"/>
        <v>-0.1669562509087055</v>
      </c>
      <c r="CO38" s="84">
        <f t="shared" si="196"/>
        <v>0</v>
      </c>
      <c r="CP38" s="84">
        <f t="shared" si="197"/>
        <v>8.6999999999999994E-2</v>
      </c>
      <c r="CQ38" s="84" t="e">
        <f t="shared" si="198"/>
        <v>#DIV/0!</v>
      </c>
      <c r="CR38" s="84" t="e">
        <f t="shared" si="199"/>
        <v>#DIV/0!</v>
      </c>
      <c r="CS38" s="84" t="e">
        <f t="shared" si="200"/>
        <v>#DIV/0!</v>
      </c>
      <c r="CT38" s="84" t="e">
        <f t="shared" si="201"/>
        <v>#DIV/0!</v>
      </c>
      <c r="CU38" s="84" t="e">
        <f t="shared" si="202"/>
        <v>#DIV/0!</v>
      </c>
      <c r="CV38" s="84" t="e">
        <f t="shared" si="203"/>
        <v>#DIV/0!</v>
      </c>
      <c r="CW38" s="84" t="e">
        <f t="shared" si="46"/>
        <v>#DIV/0!</v>
      </c>
      <c r="CX38" s="84" t="e">
        <f t="shared" si="47"/>
        <v>#DIV/0!</v>
      </c>
      <c r="CY38" s="88">
        <f t="shared" si="48"/>
        <v>0</v>
      </c>
      <c r="CZ38" s="84" t="e">
        <f t="shared" si="298"/>
        <v>#DIV/0!</v>
      </c>
      <c r="DA38" s="84" t="e">
        <f t="shared" si="299"/>
        <v>#DIV/0!</v>
      </c>
      <c r="DB38" s="84" t="e">
        <f t="shared" si="300"/>
        <v>#DIV/0!</v>
      </c>
      <c r="DC38" s="84" t="e">
        <f t="shared" si="301"/>
        <v>#DIV/0!</v>
      </c>
      <c r="DD38" s="84" t="e">
        <f t="shared" si="302"/>
        <v>#DIV/0!</v>
      </c>
      <c r="DE38" s="84" t="e">
        <f t="shared" si="303"/>
        <v>#DIV/0!</v>
      </c>
      <c r="DF38" s="84" t="e">
        <f t="shared" si="55"/>
        <v>#DIV/0!</v>
      </c>
      <c r="DG38" s="84" t="e">
        <f t="shared" si="56"/>
        <v>#DIV/0!</v>
      </c>
      <c r="DH38" s="106">
        <f>IF(BN38&lt;0,0,((0.5*(1-DF38)*(1+COS(RADIANS($BU$15))))+(DF38*(CO38/CP38))+(DG38*SIN(RADIANS($BU$15))))*'Irradiancia Horizontal'!D61)</f>
        <v>0</v>
      </c>
      <c r="DI38" s="106">
        <f t="shared" si="204"/>
        <v>0</v>
      </c>
      <c r="DJ38" s="84">
        <f>DI38*'Irradiancia Horizontal'!D90</f>
        <v>0</v>
      </c>
      <c r="DK38" s="84">
        <f t="shared" si="205"/>
        <v>0</v>
      </c>
      <c r="DL38" s="88">
        <f t="shared" si="57"/>
        <v>0</v>
      </c>
      <c r="DM38" s="84">
        <f t="shared" si="206"/>
        <v>0</v>
      </c>
      <c r="DN38" s="106">
        <f t="shared" si="207"/>
        <v>0</v>
      </c>
      <c r="DO38" s="106">
        <f t="shared" si="208"/>
        <v>0</v>
      </c>
      <c r="DP38" s="106">
        <f t="shared" si="209"/>
        <v>0</v>
      </c>
      <c r="DQ38" s="44"/>
      <c r="DS38" s="39">
        <v>0.875</v>
      </c>
      <c r="DT38" s="38">
        <v>-135</v>
      </c>
      <c r="DU38" s="38">
        <f t="shared" si="58"/>
        <v>-38.416908217684238</v>
      </c>
      <c r="DV38" s="38">
        <f t="shared" si="368"/>
        <v>-64.483787989037083</v>
      </c>
      <c r="DW38" s="38">
        <f t="shared" si="60"/>
        <v>128.41690821768424</v>
      </c>
      <c r="DX38" s="38">
        <f>+'Irradiancia Horizontal'!E90/COS(RADIANS(DW38))</f>
        <v>0</v>
      </c>
      <c r="DY38" s="38" t="e">
        <f>((('Irradiancia Horizontal'!E61+DX38)/'Irradiancia Horizontal'!E61)+1.041*((RADIANS('Cálculos iluminancia'!DW38))^3))/(1+1.041*((RADIANS('Cálculos iluminancia'!DW38))^3))</f>
        <v>#DIV/0!</v>
      </c>
      <c r="DZ38" s="84" t="e">
        <f t="shared" si="61"/>
        <v>#NUM!</v>
      </c>
      <c r="EA38" s="84" t="e">
        <f t="shared" si="210"/>
        <v>#NUM!</v>
      </c>
      <c r="EB38" s="106" t="e">
        <f>'Irradiancia Horizontal'!E61*EA38/$DZ$15</f>
        <v>#NUM!</v>
      </c>
      <c r="EC38" s="84">
        <f>((17.27*Temp!D31)/(237.7+Temp!D31))+LN(HR!D42/100)</f>
        <v>0.59521932799876098</v>
      </c>
      <c r="ED38" s="84">
        <f t="shared" si="211"/>
        <v>8.4848872706836751</v>
      </c>
      <c r="EE38" s="84">
        <f t="shared" si="212"/>
        <v>1.6802491885737301</v>
      </c>
      <c r="EF38" s="84" t="e">
        <f t="shared" si="304"/>
        <v>#DIV/0!</v>
      </c>
      <c r="EG38" s="84" t="e">
        <f t="shared" si="305"/>
        <v>#DIV/0!</v>
      </c>
      <c r="EH38" s="84" t="e">
        <f t="shared" si="306"/>
        <v>#DIV/0!</v>
      </c>
      <c r="EI38" s="84" t="e">
        <f t="shared" si="307"/>
        <v>#DIV/0!</v>
      </c>
      <c r="EJ38" s="84" t="e">
        <f t="shared" si="308"/>
        <v>#DIV/0!</v>
      </c>
      <c r="EK38" s="103">
        <f t="shared" si="67"/>
        <v>0</v>
      </c>
      <c r="EL38" s="165">
        <f>IF(ER38&gt;(EK38*'Irradiancia Horizontal'!E29),ER38,EK38*'Irradiancia Horizontal'!E29)</f>
        <v>0</v>
      </c>
      <c r="EM38" s="84" t="e">
        <f t="shared" si="309"/>
        <v>#DIV/0!</v>
      </c>
      <c r="EN38" s="84" t="e">
        <f t="shared" si="310"/>
        <v>#DIV/0!</v>
      </c>
      <c r="EO38" s="84" t="e">
        <f t="shared" si="311"/>
        <v>#DIV/0!</v>
      </c>
      <c r="EP38" s="84" t="e">
        <f t="shared" si="312"/>
        <v>#DIV/0!</v>
      </c>
      <c r="EQ38" s="103">
        <f t="shared" si="72"/>
        <v>0</v>
      </c>
      <c r="ER38" s="84">
        <f>+EQ38*'Irradiancia Horizontal'!E61</f>
        <v>0</v>
      </c>
      <c r="ES38" s="84">
        <f t="shared" si="213"/>
        <v>0</v>
      </c>
      <c r="ET38" s="84" t="e">
        <f>+ES38/'Irradiancia Horizontal'!E90</f>
        <v>#DIV/0!</v>
      </c>
      <c r="EU38" s="38">
        <f t="shared" si="73"/>
        <v>-0.33750988761378159</v>
      </c>
      <c r="EV38" s="84">
        <f t="shared" si="214"/>
        <v>0</v>
      </c>
      <c r="EW38" s="84">
        <f t="shared" si="215"/>
        <v>8.6999999999999994E-2</v>
      </c>
      <c r="EX38" s="84" t="e">
        <f t="shared" si="216"/>
        <v>#DIV/0!</v>
      </c>
      <c r="EY38" s="84" t="e">
        <f t="shared" si="217"/>
        <v>#DIV/0!</v>
      </c>
      <c r="EZ38" s="84" t="e">
        <f t="shared" si="218"/>
        <v>#DIV/0!</v>
      </c>
      <c r="FA38" s="84" t="e">
        <f t="shared" si="219"/>
        <v>#DIV/0!</v>
      </c>
      <c r="FB38" s="84" t="e">
        <f t="shared" si="220"/>
        <v>#DIV/0!</v>
      </c>
      <c r="FC38" s="84" t="e">
        <f t="shared" si="221"/>
        <v>#DIV/0!</v>
      </c>
      <c r="FD38" s="84" t="e">
        <f t="shared" si="74"/>
        <v>#DIV/0!</v>
      </c>
      <c r="FE38" s="84" t="e">
        <f t="shared" si="75"/>
        <v>#DIV/0!</v>
      </c>
      <c r="FF38" s="88">
        <f t="shared" si="76"/>
        <v>0</v>
      </c>
      <c r="FG38" s="84" t="e">
        <f t="shared" si="313"/>
        <v>#DIV/0!</v>
      </c>
      <c r="FH38" s="84" t="e">
        <f t="shared" si="314"/>
        <v>#DIV/0!</v>
      </c>
      <c r="FI38" s="84" t="e">
        <f t="shared" si="315"/>
        <v>#DIV/0!</v>
      </c>
      <c r="FJ38" s="84" t="e">
        <f t="shared" si="316"/>
        <v>#DIV/0!</v>
      </c>
      <c r="FK38" s="84" t="e">
        <f t="shared" si="317"/>
        <v>#DIV/0!</v>
      </c>
      <c r="FL38" s="84" t="e">
        <f t="shared" si="318"/>
        <v>#DIV/0!</v>
      </c>
      <c r="FM38" s="84" t="e">
        <f t="shared" si="83"/>
        <v>#DIV/0!</v>
      </c>
      <c r="FN38" s="84" t="e">
        <f t="shared" si="84"/>
        <v>#DIV/0!</v>
      </c>
      <c r="FO38" s="106">
        <f>IF(DU38&lt;0,0,((0.5*(1-FM38)*(1+COS(RADIANS($EB$15))))+(FM38*(EV38/EW38))+(FN38*SIN(RADIANS($EB$15))))*'Irradiancia Horizontal'!E61)</f>
        <v>0</v>
      </c>
      <c r="FP38" s="106">
        <f t="shared" si="222"/>
        <v>0</v>
      </c>
      <c r="FQ38" s="84">
        <f>FP38*'Irradiancia Horizontal'!E90</f>
        <v>0</v>
      </c>
      <c r="FR38" s="84">
        <f t="shared" si="223"/>
        <v>0</v>
      </c>
      <c r="FS38" s="88">
        <f t="shared" si="85"/>
        <v>0</v>
      </c>
      <c r="FT38" s="84">
        <f t="shared" si="224"/>
        <v>0</v>
      </c>
      <c r="FU38" s="106">
        <f t="shared" si="225"/>
        <v>0</v>
      </c>
      <c r="FV38" s="106">
        <f t="shared" si="226"/>
        <v>0</v>
      </c>
      <c r="FW38" s="106">
        <f t="shared" si="227"/>
        <v>0</v>
      </c>
      <c r="FX38" s="83"/>
      <c r="FZ38" s="39">
        <v>0.875</v>
      </c>
      <c r="GA38" s="38">
        <v>-135</v>
      </c>
      <c r="GB38" s="38">
        <f t="shared" si="86"/>
        <v>-30.519929247839638</v>
      </c>
      <c r="GC38" s="38">
        <f t="shared" si="369"/>
        <v>-53.525917714699233</v>
      </c>
      <c r="GD38" s="38">
        <f t="shared" si="88"/>
        <v>120.51992924783964</v>
      </c>
      <c r="GE38" s="38">
        <f>+'Irradiancia Horizontal'!F90/COS(RADIANS(GD38))</f>
        <v>0</v>
      </c>
      <c r="GF38" s="38" t="e">
        <f>((('Irradiancia Horizontal'!F61+GE38)/'Irradiancia Horizontal'!F61)+1.041*((RADIANS('Cálculos iluminancia'!GD38))^3))/(1+1.041*((RADIANS('Cálculos iluminancia'!GD38))^3))</f>
        <v>#DIV/0!</v>
      </c>
      <c r="GG38" s="84" t="e">
        <f t="shared" si="89"/>
        <v>#NUM!</v>
      </c>
      <c r="GH38" s="84" t="e">
        <f t="shared" si="276"/>
        <v>#NUM!</v>
      </c>
      <c r="GI38" s="106" t="e">
        <f>'Irradiancia Horizontal'!F61*GH38/$GG$15</f>
        <v>#NUM!</v>
      </c>
      <c r="GJ38" s="84">
        <f>((17.27*Temp!E31)/(237.7+Temp!E31))+LN(HR!E42/100)</f>
        <v>0.71911450093714324</v>
      </c>
      <c r="GK38" s="84">
        <f t="shared" si="228"/>
        <v>10.32775659540618</v>
      </c>
      <c r="GL38" s="84">
        <f t="shared" si="229"/>
        <v>1.9116045380607594</v>
      </c>
      <c r="GM38" s="84" t="e">
        <f t="shared" si="319"/>
        <v>#DIV/0!</v>
      </c>
      <c r="GN38" s="84" t="e">
        <f t="shared" si="320"/>
        <v>#DIV/0!</v>
      </c>
      <c r="GO38" s="84" t="e">
        <f t="shared" si="321"/>
        <v>#DIV/0!</v>
      </c>
      <c r="GP38" s="84" t="e">
        <f t="shared" si="322"/>
        <v>#DIV/0!</v>
      </c>
      <c r="GQ38" s="84" t="e">
        <f t="shared" si="323"/>
        <v>#DIV/0!</v>
      </c>
      <c r="GR38" s="103">
        <f t="shared" si="96"/>
        <v>0</v>
      </c>
      <c r="GS38" s="165">
        <f>IF(GY38&gt;(GR38*'Irradiancia Horizontal'!F29),GY38,GR38*'Irradiancia Horizontal'!F29)</f>
        <v>0</v>
      </c>
      <c r="GT38" s="84" t="e">
        <f t="shared" si="324"/>
        <v>#DIV/0!</v>
      </c>
      <c r="GU38" s="84" t="e">
        <f t="shared" si="325"/>
        <v>#DIV/0!</v>
      </c>
      <c r="GV38" s="84" t="e">
        <f t="shared" si="326"/>
        <v>#DIV/0!</v>
      </c>
      <c r="GW38" s="84" t="e">
        <f t="shared" si="327"/>
        <v>#DIV/0!</v>
      </c>
      <c r="GX38" s="103">
        <f t="shared" si="101"/>
        <v>0</v>
      </c>
      <c r="GY38" s="84">
        <f>+GX38*'Irradiancia Horizontal'!F61</f>
        <v>0</v>
      </c>
      <c r="GZ38" s="84">
        <f t="shared" si="230"/>
        <v>0</v>
      </c>
      <c r="HA38" s="84" t="e">
        <f>+GZ38/'Irradiancia Horizontal'!F90</f>
        <v>#DIV/0!</v>
      </c>
      <c r="HB38" s="38">
        <f t="shared" si="102"/>
        <v>-0.51209832135979894</v>
      </c>
      <c r="HC38" s="84">
        <f t="shared" si="231"/>
        <v>0</v>
      </c>
      <c r="HD38" s="84">
        <f t="shared" si="232"/>
        <v>8.6999999999999994E-2</v>
      </c>
      <c r="HE38" s="84" t="e">
        <f t="shared" si="233"/>
        <v>#DIV/0!</v>
      </c>
      <c r="HF38" s="84" t="e">
        <f t="shared" si="234"/>
        <v>#DIV/0!</v>
      </c>
      <c r="HG38" s="84" t="e">
        <f t="shared" si="235"/>
        <v>#DIV/0!</v>
      </c>
      <c r="HH38" s="84" t="e">
        <f t="shared" si="236"/>
        <v>#DIV/0!</v>
      </c>
      <c r="HI38" s="84" t="e">
        <f t="shared" si="237"/>
        <v>#DIV/0!</v>
      </c>
      <c r="HJ38" s="84" t="e">
        <f t="shared" si="238"/>
        <v>#DIV/0!</v>
      </c>
      <c r="HK38" s="84" t="e">
        <f t="shared" si="103"/>
        <v>#DIV/0!</v>
      </c>
      <c r="HL38" s="84" t="e">
        <f t="shared" si="104"/>
        <v>#DIV/0!</v>
      </c>
      <c r="HM38" s="88">
        <f t="shared" si="105"/>
        <v>0</v>
      </c>
      <c r="HN38" s="84" t="e">
        <f t="shared" si="328"/>
        <v>#DIV/0!</v>
      </c>
      <c r="HO38" s="84" t="e">
        <f t="shared" si="329"/>
        <v>#DIV/0!</v>
      </c>
      <c r="HP38" s="84" t="e">
        <f t="shared" si="330"/>
        <v>#DIV/0!</v>
      </c>
      <c r="HQ38" s="84" t="e">
        <f t="shared" si="331"/>
        <v>#DIV/0!</v>
      </c>
      <c r="HR38" s="84" t="e">
        <f t="shared" si="332"/>
        <v>#DIV/0!</v>
      </c>
      <c r="HS38" s="84" t="e">
        <f t="shared" si="333"/>
        <v>#DIV/0!</v>
      </c>
      <c r="HT38" s="84" t="e">
        <f t="shared" si="112"/>
        <v>#DIV/0!</v>
      </c>
      <c r="HU38" s="84" t="e">
        <f t="shared" si="113"/>
        <v>#DIV/0!</v>
      </c>
      <c r="HV38" s="106">
        <f>IF(GB38&lt;0,0,((0.5*(1-HT38)*(1+COS(RADIANS($GI$15))))+(HT38*(HC38/HD38))+(HU38*SIN(RADIANS($GI$15))))*'Irradiancia Horizontal'!F61)</f>
        <v>0</v>
      </c>
      <c r="HW38" s="84">
        <f t="shared" si="114"/>
        <v>0</v>
      </c>
      <c r="HX38" s="84">
        <f>HW38*'Irradiancia Horizontal'!F90</f>
        <v>0</v>
      </c>
      <c r="HY38" s="84">
        <f t="shared" si="239"/>
        <v>0</v>
      </c>
      <c r="HZ38" s="88">
        <f t="shared" si="115"/>
        <v>0</v>
      </c>
      <c r="IA38" s="84">
        <f t="shared" si="240"/>
        <v>0</v>
      </c>
      <c r="IB38" s="106">
        <f t="shared" si="241"/>
        <v>0</v>
      </c>
      <c r="IC38" s="106">
        <f t="shared" si="242"/>
        <v>0</v>
      </c>
      <c r="ID38" s="106">
        <f t="shared" si="243"/>
        <v>0</v>
      </c>
      <c r="IE38" s="83"/>
      <c r="IG38" s="39">
        <v>0.875</v>
      </c>
      <c r="IH38" s="38">
        <v>-135</v>
      </c>
      <c r="II38" s="38">
        <f t="shared" si="116"/>
        <v>-24.384588412739511</v>
      </c>
      <c r="IJ38" s="38">
        <f t="shared" si="370"/>
        <v>-46.794279070804748</v>
      </c>
      <c r="IK38" s="38">
        <f t="shared" si="118"/>
        <v>114.3845884127395</v>
      </c>
      <c r="IL38" s="38">
        <f>+'Irradiancia Horizontal'!G90/COS(RADIANS(IK38))</f>
        <v>0</v>
      </c>
      <c r="IM38" s="38" t="e">
        <f>((('Irradiancia Horizontal'!G61+IL38)/'Irradiancia Horizontal'!G61)+1.041*((RADIANS('Cálculos iluminancia'!IK38))^3))/(1+1.041*((RADIANS('Cálculos iluminancia'!IK38))^3))</f>
        <v>#DIV/0!</v>
      </c>
      <c r="IN38" s="87" t="e">
        <f t="shared" si="119"/>
        <v>#NUM!</v>
      </c>
      <c r="IO38" s="87" t="e">
        <f t="shared" si="334"/>
        <v>#NUM!</v>
      </c>
      <c r="IP38" s="106" t="e">
        <f>'Irradiancia Horizontal'!G61*IO38/$IN$15</f>
        <v>#NUM!</v>
      </c>
      <c r="IQ38" s="87">
        <f>((17.27*Temp!F31)/(237.7+Temp!F31))+LN(HR!F42/100)</f>
        <v>0.88397744480508478</v>
      </c>
      <c r="IR38" s="87">
        <f t="shared" si="244"/>
        <v>12.823211851588301</v>
      </c>
      <c r="IS38" s="87">
        <f t="shared" si="245"/>
        <v>2.2764673411520384</v>
      </c>
      <c r="IT38" s="87" t="e">
        <f t="shared" si="335"/>
        <v>#DIV/0!</v>
      </c>
      <c r="IU38" s="87" t="e">
        <f t="shared" si="336"/>
        <v>#DIV/0!</v>
      </c>
      <c r="IV38" s="87" t="e">
        <f t="shared" si="337"/>
        <v>#DIV/0!</v>
      </c>
      <c r="IW38" s="87" t="e">
        <f t="shared" si="338"/>
        <v>#DIV/0!</v>
      </c>
      <c r="IX38" s="87" t="e">
        <f t="shared" si="339"/>
        <v>#DIV/0!</v>
      </c>
      <c r="IY38" s="103">
        <f t="shared" si="126"/>
        <v>0</v>
      </c>
      <c r="IZ38" s="165">
        <f>IF(JF38&gt;(IY38*'Irradiancia Horizontal'!G29),JF38,IY38*'Irradiancia Horizontal'!G29)</f>
        <v>0</v>
      </c>
      <c r="JA38" s="87" t="e">
        <f t="shared" si="340"/>
        <v>#DIV/0!</v>
      </c>
      <c r="JB38" s="87" t="e">
        <f t="shared" si="341"/>
        <v>#DIV/0!</v>
      </c>
      <c r="JC38" s="87" t="e">
        <f t="shared" si="342"/>
        <v>#DIV/0!</v>
      </c>
      <c r="JD38" s="87" t="e">
        <f t="shared" si="343"/>
        <v>#DIV/0!</v>
      </c>
      <c r="JE38" s="103">
        <f t="shared" si="131"/>
        <v>0</v>
      </c>
      <c r="JF38" s="87">
        <f>+JE38*'Irradiancia Horizontal'!G61</f>
        <v>0</v>
      </c>
      <c r="JG38" s="87">
        <f t="shared" si="246"/>
        <v>0</v>
      </c>
      <c r="JH38" s="87" t="e">
        <f>+JG38/'Irradiancia Horizontal'!G90</f>
        <v>#DIV/0!</v>
      </c>
      <c r="JI38" s="38">
        <f t="shared" si="132"/>
        <v>-0.62354819815396811</v>
      </c>
      <c r="JJ38" s="87">
        <f t="shared" si="247"/>
        <v>0</v>
      </c>
      <c r="JK38" s="87">
        <f t="shared" si="248"/>
        <v>8.6999999999999994E-2</v>
      </c>
      <c r="JL38" s="87" t="e">
        <f t="shared" si="249"/>
        <v>#DIV/0!</v>
      </c>
      <c r="JM38" s="87" t="e">
        <f t="shared" si="250"/>
        <v>#DIV/0!</v>
      </c>
      <c r="JN38" s="87" t="e">
        <f t="shared" si="251"/>
        <v>#DIV/0!</v>
      </c>
      <c r="JO38" s="87" t="e">
        <f t="shared" si="252"/>
        <v>#DIV/0!</v>
      </c>
      <c r="JP38" s="87" t="e">
        <f t="shared" si="253"/>
        <v>#DIV/0!</v>
      </c>
      <c r="JQ38" s="87" t="e">
        <f t="shared" si="254"/>
        <v>#DIV/0!</v>
      </c>
      <c r="JR38" s="87" t="e">
        <f t="shared" si="133"/>
        <v>#DIV/0!</v>
      </c>
      <c r="JS38" s="87" t="e">
        <f t="shared" si="134"/>
        <v>#DIV/0!</v>
      </c>
      <c r="JT38" s="88">
        <f t="shared" si="135"/>
        <v>0</v>
      </c>
      <c r="JU38" s="87" t="e">
        <f t="shared" si="344"/>
        <v>#DIV/0!</v>
      </c>
      <c r="JV38" s="87" t="e">
        <f t="shared" si="345"/>
        <v>#DIV/0!</v>
      </c>
      <c r="JW38" s="87" t="e">
        <f t="shared" si="346"/>
        <v>#DIV/0!</v>
      </c>
      <c r="JX38" s="87" t="e">
        <f t="shared" si="347"/>
        <v>#DIV/0!</v>
      </c>
      <c r="JY38" s="87" t="e">
        <f t="shared" si="348"/>
        <v>#DIV/0!</v>
      </c>
      <c r="JZ38" s="87" t="e">
        <f t="shared" si="349"/>
        <v>#DIV/0!</v>
      </c>
      <c r="KA38" s="87" t="e">
        <f t="shared" si="142"/>
        <v>#DIV/0!</v>
      </c>
      <c r="KB38" s="87" t="e">
        <f t="shared" si="143"/>
        <v>#DIV/0!</v>
      </c>
      <c r="KC38" s="106">
        <f>IF(II38&lt;0,0,((0.5*(1-KA38)*(1+COS(RADIANS($IP$15))))+(KA38*(JJ38/JK38))+(KB38*SIN(RADIANS($IP$15))))*'Irradiancia Horizontal'!G61)</f>
        <v>0</v>
      </c>
      <c r="KD38" s="87">
        <f t="shared" si="144"/>
        <v>0</v>
      </c>
      <c r="KE38" s="87">
        <f>KD38*'Irradiancia Horizontal'!G90</f>
        <v>0</v>
      </c>
      <c r="KF38" s="87">
        <f t="shared" si="255"/>
        <v>0</v>
      </c>
      <c r="KG38" s="88">
        <f t="shared" si="145"/>
        <v>0</v>
      </c>
      <c r="KH38" s="87">
        <f t="shared" si="256"/>
        <v>0</v>
      </c>
      <c r="KI38" s="106">
        <f t="shared" si="257"/>
        <v>0</v>
      </c>
      <c r="KJ38" s="106">
        <f t="shared" si="258"/>
        <v>0</v>
      </c>
      <c r="KK38" s="106">
        <f t="shared" si="259"/>
        <v>0</v>
      </c>
      <c r="KL38" s="86"/>
      <c r="KN38" s="39">
        <v>0.875</v>
      </c>
      <c r="KO38" s="38">
        <v>-135</v>
      </c>
      <c r="KP38" s="38">
        <f t="shared" si="146"/>
        <v>-21.932757611792816</v>
      </c>
      <c r="KQ38" s="38">
        <f t="shared" si="371"/>
        <v>-44.372564277814263</v>
      </c>
      <c r="KR38" s="38">
        <f t="shared" si="148"/>
        <v>111.93275761179282</v>
      </c>
      <c r="KS38" s="38">
        <f>+'Irradiancia Horizontal'!H90/COS(RADIANS(KR38))</f>
        <v>0</v>
      </c>
      <c r="KT38" s="38" t="e">
        <f>((('Irradiancia Horizontal'!H61+KS38)/'Irradiancia Horizontal'!H61)+1.041*((RADIANS('Cálculos iluminancia'!KR38))^3))/(1+1.041*((RADIANS('Cálculos iluminancia'!KR38))^3))</f>
        <v>#DIV/0!</v>
      </c>
      <c r="KU38" s="87" t="e">
        <f t="shared" si="149"/>
        <v>#NUM!</v>
      </c>
      <c r="KV38" s="87" t="e">
        <f t="shared" si="350"/>
        <v>#NUM!</v>
      </c>
      <c r="KW38" s="106" t="e">
        <f>'Irradiancia Horizontal'!H61*KV38/$KU$15</f>
        <v>#NUM!</v>
      </c>
      <c r="KX38" s="87">
        <f>((17.27*Temp!G31)/(237.7+Temp!G31))+LN(HR!G42/100)</f>
        <v>1.1664963379728719</v>
      </c>
      <c r="KY38" s="87">
        <f t="shared" si="260"/>
        <v>17.218375910950538</v>
      </c>
      <c r="KZ38" s="87">
        <f t="shared" si="261"/>
        <v>3.0965429560933875</v>
      </c>
      <c r="LA38" s="87" t="e">
        <f t="shared" si="351"/>
        <v>#DIV/0!</v>
      </c>
      <c r="LB38" s="87" t="e">
        <f t="shared" si="352"/>
        <v>#DIV/0!</v>
      </c>
      <c r="LC38" s="87" t="e">
        <f t="shared" si="353"/>
        <v>#DIV/0!</v>
      </c>
      <c r="LD38" s="87" t="e">
        <f t="shared" si="354"/>
        <v>#DIV/0!</v>
      </c>
      <c r="LE38" s="87" t="e">
        <f t="shared" si="355"/>
        <v>#DIV/0!</v>
      </c>
      <c r="LF38" s="103">
        <f t="shared" si="156"/>
        <v>0</v>
      </c>
      <c r="LG38" s="165">
        <f>IF(LM38&gt;(LF38*'Irradiancia Horizontal'!H29),LM38,LF38*'Irradiancia Horizontal'!H29)</f>
        <v>0</v>
      </c>
      <c r="LH38" s="87" t="e">
        <f t="shared" si="356"/>
        <v>#DIV/0!</v>
      </c>
      <c r="LI38" s="87" t="e">
        <f t="shared" si="357"/>
        <v>#DIV/0!</v>
      </c>
      <c r="LJ38" s="87" t="e">
        <f t="shared" si="358"/>
        <v>#DIV/0!</v>
      </c>
      <c r="LK38" s="87" t="e">
        <f t="shared" si="359"/>
        <v>#DIV/0!</v>
      </c>
      <c r="LL38" s="103">
        <f t="shared" si="161"/>
        <v>0</v>
      </c>
      <c r="LM38" s="87">
        <f>+LL38*'Irradiancia Horizontal'!H61</f>
        <v>0</v>
      </c>
      <c r="LN38" s="87">
        <f t="shared" si="262"/>
        <v>0</v>
      </c>
      <c r="LO38" s="87" t="e">
        <f>+LN38/'Irradiancia Horizontal'!H90</f>
        <v>#DIV/0!</v>
      </c>
      <c r="LP38" s="38">
        <f t="shared" si="162"/>
        <v>-0.6630718915525039</v>
      </c>
      <c r="LQ38" s="87">
        <f t="shared" si="263"/>
        <v>0</v>
      </c>
      <c r="LR38" s="87">
        <f t="shared" si="264"/>
        <v>8.6999999999999994E-2</v>
      </c>
      <c r="LS38" s="87" t="e">
        <f t="shared" si="265"/>
        <v>#DIV/0!</v>
      </c>
      <c r="LT38" s="87" t="e">
        <f t="shared" si="266"/>
        <v>#DIV/0!</v>
      </c>
      <c r="LU38" s="87" t="e">
        <f t="shared" si="267"/>
        <v>#DIV/0!</v>
      </c>
      <c r="LV38" s="87" t="e">
        <f t="shared" si="268"/>
        <v>#DIV/0!</v>
      </c>
      <c r="LW38" s="87" t="e">
        <f t="shared" si="269"/>
        <v>#DIV/0!</v>
      </c>
      <c r="LX38" s="87" t="e">
        <f t="shared" si="270"/>
        <v>#DIV/0!</v>
      </c>
      <c r="LY38" s="87" t="e">
        <f t="shared" si="163"/>
        <v>#DIV/0!</v>
      </c>
      <c r="LZ38" s="87" t="e">
        <f t="shared" si="164"/>
        <v>#DIV/0!</v>
      </c>
      <c r="MA38" s="88">
        <f t="shared" si="165"/>
        <v>0</v>
      </c>
      <c r="MB38" s="87" t="e">
        <f t="shared" si="360"/>
        <v>#DIV/0!</v>
      </c>
      <c r="MC38" s="87" t="e">
        <f t="shared" si="361"/>
        <v>#DIV/0!</v>
      </c>
      <c r="MD38" s="87" t="e">
        <f t="shared" si="362"/>
        <v>#DIV/0!</v>
      </c>
      <c r="ME38" s="87" t="e">
        <f t="shared" si="363"/>
        <v>#DIV/0!</v>
      </c>
      <c r="MF38" s="87" t="e">
        <f t="shared" si="364"/>
        <v>#DIV/0!</v>
      </c>
      <c r="MG38" s="87" t="e">
        <f t="shared" si="365"/>
        <v>#DIV/0!</v>
      </c>
      <c r="MH38" s="87" t="e">
        <f t="shared" si="172"/>
        <v>#DIV/0!</v>
      </c>
      <c r="MI38" s="87" t="e">
        <f t="shared" si="173"/>
        <v>#DIV/0!</v>
      </c>
      <c r="MJ38" s="106">
        <f>IF(KP38&lt;0,0,((0.5*(1-MH38)*(1+COS(RADIANS($KW$15))))+(MH38*(LQ38/LR38))+(MI38*SIN(RADIANS($KW$15))))*'Irradiancia Horizontal'!H61)</f>
        <v>0</v>
      </c>
      <c r="MK38" s="87">
        <f t="shared" si="174"/>
        <v>0</v>
      </c>
      <c r="ML38" s="87">
        <f>MK38*'Irradiancia Horizontal'!H90</f>
        <v>0</v>
      </c>
      <c r="MM38" s="87">
        <f t="shared" si="271"/>
        <v>0</v>
      </c>
      <c r="MN38" s="88">
        <f t="shared" si="175"/>
        <v>0</v>
      </c>
      <c r="MO38" s="87">
        <f t="shared" si="272"/>
        <v>0</v>
      </c>
      <c r="MP38" s="106">
        <f t="shared" si="273"/>
        <v>0</v>
      </c>
      <c r="MQ38" s="106">
        <f t="shared" si="274"/>
        <v>0</v>
      </c>
      <c r="MR38" s="106">
        <f t="shared" si="275"/>
        <v>0</v>
      </c>
    </row>
    <row r="39" spans="4:356" x14ac:dyDescent="0.25">
      <c r="E39" s="39">
        <v>0.91666666666666696</v>
      </c>
      <c r="F39" s="38">
        <v>-150</v>
      </c>
      <c r="G39" s="38">
        <f t="shared" si="0"/>
        <v>-61.392241505320605</v>
      </c>
      <c r="H39" s="38">
        <f t="shared" si="366"/>
        <v>-78.641634584200517</v>
      </c>
      <c r="I39" s="38">
        <f t="shared" si="2"/>
        <v>151.39224150532061</v>
      </c>
      <c r="J39" s="38">
        <f>'Irradiancia Horizontal'!C91/COS(RADIANS(I39))</f>
        <v>0</v>
      </c>
      <c r="K39" s="38" t="e">
        <f>((('Irradiancia Horizontal'!C62+J39)/'Irradiancia Horizontal'!C62)+1.041*((RADIANS('Cálculos iluminancia'!I39))^3))/(1+1.041*((RADIANS('Cálculos iluminancia'!I39))^3))</f>
        <v>#DIV/0!</v>
      </c>
      <c r="L39" s="36" t="e">
        <f t="shared" si="3"/>
        <v>#NUM!</v>
      </c>
      <c r="M39" s="36" t="e">
        <f t="shared" si="4"/>
        <v>#NUM!</v>
      </c>
      <c r="N39" s="106" t="e">
        <f>'Irradiancia Horizontal'!C62*M39/$L$15</f>
        <v>#NUM!</v>
      </c>
      <c r="O39" s="71">
        <f>((17.27*Temp!B32)/(237.7+Temp!B32))+LN(HR!B43/100)</f>
        <v>0.46357710710099087</v>
      </c>
      <c r="P39" s="71">
        <f t="shared" si="176"/>
        <v>6.5565575173324708</v>
      </c>
      <c r="Q39" s="71">
        <f t="shared" si="177"/>
        <v>1.4680852874361596</v>
      </c>
      <c r="R39" s="71" t="e">
        <f t="shared" si="277"/>
        <v>#DIV/0!</v>
      </c>
      <c r="S39" s="71" t="e">
        <f t="shared" si="6"/>
        <v>#DIV/0!</v>
      </c>
      <c r="T39" s="71" t="e">
        <f t="shared" si="7"/>
        <v>#DIV/0!</v>
      </c>
      <c r="U39" s="71" t="e">
        <f t="shared" si="8"/>
        <v>#DIV/0!</v>
      </c>
      <c r="V39" s="71" t="e">
        <f t="shared" si="9"/>
        <v>#DIV/0!</v>
      </c>
      <c r="W39" s="103">
        <f t="shared" si="10"/>
        <v>0</v>
      </c>
      <c r="X39" s="165">
        <f>IF(AD39&gt;(W39*'Irradiancia Horizontal'!C30),AD39,W39*'Irradiancia Horizontal'!C30)</f>
        <v>0</v>
      </c>
      <c r="Y39" s="71" t="e">
        <f t="shared" si="278"/>
        <v>#DIV/0!</v>
      </c>
      <c r="Z39" s="71" t="e">
        <f t="shared" si="279"/>
        <v>#DIV/0!</v>
      </c>
      <c r="AA39" s="71" t="e">
        <f t="shared" si="280"/>
        <v>#DIV/0!</v>
      </c>
      <c r="AB39" s="71" t="e">
        <f t="shared" si="281"/>
        <v>#DIV/0!</v>
      </c>
      <c r="AC39" s="103">
        <f t="shared" si="15"/>
        <v>0</v>
      </c>
      <c r="AD39" s="71">
        <f>+AC39*'Irradiancia Horizontal'!C62</f>
        <v>0</v>
      </c>
      <c r="AE39" s="71">
        <f t="shared" si="16"/>
        <v>0</v>
      </c>
      <c r="AF39" s="71" t="e">
        <f>+AE39/'Irradiancia Horizontal'!C91</f>
        <v>#DIV/0!</v>
      </c>
      <c r="AG39" s="38">
        <f t="shared" si="282"/>
        <v>-9.4299364337556368E-2</v>
      </c>
      <c r="AH39" s="84">
        <f t="shared" si="178"/>
        <v>0</v>
      </c>
      <c r="AI39" s="84">
        <f t="shared" si="179"/>
        <v>8.6999999999999994E-2</v>
      </c>
      <c r="AJ39" s="84" t="e">
        <f t="shared" si="180"/>
        <v>#DIV/0!</v>
      </c>
      <c r="AK39" s="84" t="e">
        <f t="shared" si="181"/>
        <v>#DIV/0!</v>
      </c>
      <c r="AL39" s="84" t="e">
        <f t="shared" si="182"/>
        <v>#DIV/0!</v>
      </c>
      <c r="AM39" s="84" t="e">
        <f t="shared" si="183"/>
        <v>#DIV/0!</v>
      </c>
      <c r="AN39" s="84" t="e">
        <f t="shared" si="184"/>
        <v>#DIV/0!</v>
      </c>
      <c r="AO39" s="84" t="e">
        <f t="shared" si="185"/>
        <v>#DIV/0!</v>
      </c>
      <c r="AP39" s="84" t="e">
        <f t="shared" si="18"/>
        <v>#DIV/0!</v>
      </c>
      <c r="AQ39" s="84" t="e">
        <f t="shared" si="19"/>
        <v>#DIV/0!</v>
      </c>
      <c r="AR39" s="88">
        <f t="shared" si="20"/>
        <v>0</v>
      </c>
      <c r="AS39" s="84" t="e">
        <f t="shared" si="283"/>
        <v>#DIV/0!</v>
      </c>
      <c r="AT39" s="84" t="e">
        <f t="shared" si="284"/>
        <v>#DIV/0!</v>
      </c>
      <c r="AU39" s="84" t="e">
        <f t="shared" si="285"/>
        <v>#DIV/0!</v>
      </c>
      <c r="AV39" s="84" t="e">
        <f t="shared" si="286"/>
        <v>#DIV/0!</v>
      </c>
      <c r="AW39" s="84" t="e">
        <f t="shared" si="287"/>
        <v>#DIV/0!</v>
      </c>
      <c r="AX39" s="84" t="e">
        <f t="shared" si="288"/>
        <v>#DIV/0!</v>
      </c>
      <c r="AY39" s="84" t="e">
        <f t="shared" si="27"/>
        <v>#DIV/0!</v>
      </c>
      <c r="AZ39" s="84" t="e">
        <f t="shared" si="28"/>
        <v>#DIV/0!</v>
      </c>
      <c r="BA39" s="106">
        <f>IF(G39&lt;0,0,((0.5*(1-AY39)*(1+COS(RADIANS($N$15))))+(AY39*(AH39/AI39))+(AZ39*SIN(RADIANS($N$15))))*'Irradiancia Horizontal'!C62)</f>
        <v>0</v>
      </c>
      <c r="BB39" s="106">
        <f t="shared" si="186"/>
        <v>0</v>
      </c>
      <c r="BC39" s="84">
        <f>BB39*'Irradiancia Horizontal'!C91</f>
        <v>0</v>
      </c>
      <c r="BD39" s="84">
        <f t="shared" si="187"/>
        <v>0</v>
      </c>
      <c r="BE39" s="88">
        <f t="shared" si="29"/>
        <v>0</v>
      </c>
      <c r="BF39" s="84">
        <f t="shared" si="188"/>
        <v>0</v>
      </c>
      <c r="BG39" s="106">
        <f t="shared" si="189"/>
        <v>0</v>
      </c>
      <c r="BH39" s="106">
        <f t="shared" si="190"/>
        <v>0</v>
      </c>
      <c r="BI39" s="106">
        <f t="shared" si="191"/>
        <v>0</v>
      </c>
      <c r="BJ39" s="72"/>
      <c r="BK39" s="13"/>
      <c r="BL39" s="39">
        <v>0.91666666666666696</v>
      </c>
      <c r="BM39" s="38">
        <v>-150</v>
      </c>
      <c r="BN39" s="38">
        <f t="shared" si="30"/>
        <v>-56.824338115711754</v>
      </c>
      <c r="BO39" s="38">
        <f t="shared" si="367"/>
        <v>-63.668970769506515</v>
      </c>
      <c r="BP39" s="38">
        <f t="shared" si="32"/>
        <v>146.82433811571175</v>
      </c>
      <c r="BQ39" s="38">
        <f>+'Irradiancia Horizontal'!D91/COS(RADIANS(BP39))</f>
        <v>0</v>
      </c>
      <c r="BR39" s="38" t="e">
        <f>((('Irradiancia Horizontal'!D62+BQ39)/'Irradiancia Horizontal'!D62)+1.041*((RADIANS('Cálculos iluminancia'!BP39))^3))/(1+1.041*((RADIANS('Cálculos iluminancia'!BP39))^3))</f>
        <v>#DIV/0!</v>
      </c>
      <c r="BS39" s="84" t="e">
        <f t="shared" si="33"/>
        <v>#NUM!</v>
      </c>
      <c r="BT39" s="84" t="e">
        <f t="shared" si="192"/>
        <v>#NUM!</v>
      </c>
      <c r="BU39" s="106" t="e">
        <f>'Irradiancia Horizontal'!D62*BT39/$BS$15</f>
        <v>#NUM!</v>
      </c>
      <c r="BV39" s="84">
        <f>((17.27*Temp!C32)/(237.7+Temp!C32))+LN(HR!C43/100)</f>
        <v>0.5208062086784141</v>
      </c>
      <c r="BW39" s="84">
        <f t="shared" si="193"/>
        <v>7.3911399763612744</v>
      </c>
      <c r="BX39" s="84">
        <f t="shared" si="194"/>
        <v>1.5564067489028144</v>
      </c>
      <c r="BY39" s="84" t="e">
        <f t="shared" si="289"/>
        <v>#DIV/0!</v>
      </c>
      <c r="BZ39" s="84" t="e">
        <f t="shared" si="290"/>
        <v>#DIV/0!</v>
      </c>
      <c r="CA39" s="84" t="e">
        <f t="shared" si="291"/>
        <v>#DIV/0!</v>
      </c>
      <c r="CB39" s="84" t="e">
        <f t="shared" si="292"/>
        <v>#DIV/0!</v>
      </c>
      <c r="CC39" s="84" t="e">
        <f t="shared" si="293"/>
        <v>#DIV/0!</v>
      </c>
      <c r="CD39" s="103">
        <f t="shared" si="39"/>
        <v>0</v>
      </c>
      <c r="CE39" s="165">
        <f>IF(CK39&gt;(CD39*'Irradiancia Horizontal'!D30),CK39,CD39*'Irradiancia Horizontal'!D30)</f>
        <v>0</v>
      </c>
      <c r="CF39" s="84" t="e">
        <f t="shared" si="294"/>
        <v>#DIV/0!</v>
      </c>
      <c r="CG39" s="84" t="e">
        <f t="shared" si="295"/>
        <v>#DIV/0!</v>
      </c>
      <c r="CH39" s="84" t="e">
        <f t="shared" si="296"/>
        <v>#DIV/0!</v>
      </c>
      <c r="CI39" s="84" t="e">
        <f t="shared" si="297"/>
        <v>#DIV/0!</v>
      </c>
      <c r="CJ39" s="103">
        <f t="shared" si="44"/>
        <v>0</v>
      </c>
      <c r="CK39" s="84">
        <f>+CJ39*'Irradiancia Horizontal'!D62</f>
        <v>0</v>
      </c>
      <c r="CL39" s="84">
        <f t="shared" si="195"/>
        <v>0</v>
      </c>
      <c r="CM39" s="84" t="e">
        <f>+CL39/'Irradiancia Horizontal'!D91</f>
        <v>#DIV/0!</v>
      </c>
      <c r="CN39" s="38">
        <f t="shared" si="45"/>
        <v>-0.24271761748925696</v>
      </c>
      <c r="CO39" s="84">
        <f t="shared" si="196"/>
        <v>0</v>
      </c>
      <c r="CP39" s="84">
        <f t="shared" si="197"/>
        <v>8.6999999999999994E-2</v>
      </c>
      <c r="CQ39" s="84" t="e">
        <f t="shared" si="198"/>
        <v>#DIV/0!</v>
      </c>
      <c r="CR39" s="84" t="e">
        <f t="shared" si="199"/>
        <v>#DIV/0!</v>
      </c>
      <c r="CS39" s="84" t="e">
        <f t="shared" si="200"/>
        <v>#DIV/0!</v>
      </c>
      <c r="CT39" s="84" t="e">
        <f t="shared" si="201"/>
        <v>#DIV/0!</v>
      </c>
      <c r="CU39" s="84" t="e">
        <f t="shared" si="202"/>
        <v>#DIV/0!</v>
      </c>
      <c r="CV39" s="84" t="e">
        <f t="shared" si="203"/>
        <v>#DIV/0!</v>
      </c>
      <c r="CW39" s="84" t="e">
        <f t="shared" si="46"/>
        <v>#DIV/0!</v>
      </c>
      <c r="CX39" s="84" t="e">
        <f t="shared" si="47"/>
        <v>#DIV/0!</v>
      </c>
      <c r="CY39" s="88">
        <f t="shared" si="48"/>
        <v>0</v>
      </c>
      <c r="CZ39" s="84" t="e">
        <f t="shared" si="298"/>
        <v>#DIV/0!</v>
      </c>
      <c r="DA39" s="84" t="e">
        <f t="shared" si="299"/>
        <v>#DIV/0!</v>
      </c>
      <c r="DB39" s="84" t="e">
        <f t="shared" si="300"/>
        <v>#DIV/0!</v>
      </c>
      <c r="DC39" s="84" t="e">
        <f t="shared" si="301"/>
        <v>#DIV/0!</v>
      </c>
      <c r="DD39" s="84" t="e">
        <f t="shared" si="302"/>
        <v>#DIV/0!</v>
      </c>
      <c r="DE39" s="84" t="e">
        <f t="shared" si="303"/>
        <v>#DIV/0!</v>
      </c>
      <c r="DF39" s="84" t="e">
        <f t="shared" si="55"/>
        <v>#DIV/0!</v>
      </c>
      <c r="DG39" s="84" t="e">
        <f t="shared" si="56"/>
        <v>#DIV/0!</v>
      </c>
      <c r="DH39" s="106">
        <f>IF(BN39&lt;0,0,((0.5*(1-DF39)*(1+COS(RADIANS($BU$15))))+(DF39*(CO39/CP39))+(DG39*SIN(RADIANS($BU$15))))*'Irradiancia Horizontal'!D62)</f>
        <v>0</v>
      </c>
      <c r="DI39" s="106">
        <f t="shared" si="204"/>
        <v>0</v>
      </c>
      <c r="DJ39" s="84">
        <f>DI39*'Irradiancia Horizontal'!D91</f>
        <v>0</v>
      </c>
      <c r="DK39" s="84">
        <f t="shared" si="205"/>
        <v>0</v>
      </c>
      <c r="DL39" s="88">
        <f t="shared" si="57"/>
        <v>0</v>
      </c>
      <c r="DM39" s="84">
        <f t="shared" si="206"/>
        <v>0</v>
      </c>
      <c r="DN39" s="106">
        <f t="shared" si="207"/>
        <v>0</v>
      </c>
      <c r="DO39" s="106">
        <f t="shared" si="208"/>
        <v>0</v>
      </c>
      <c r="DP39" s="106">
        <f t="shared" si="209"/>
        <v>0</v>
      </c>
      <c r="DQ39" s="44"/>
      <c r="DS39" s="39">
        <v>0.91666666666666696</v>
      </c>
      <c r="DT39" s="38">
        <v>-150</v>
      </c>
      <c r="DU39" s="38">
        <f t="shared" si="58"/>
        <v>-49.487232401773802</v>
      </c>
      <c r="DV39" s="38">
        <f t="shared" si="368"/>
        <v>-50.323781849922142</v>
      </c>
      <c r="DW39" s="38">
        <f t="shared" si="60"/>
        <v>139.48723240177381</v>
      </c>
      <c r="DX39" s="38">
        <f>+'Irradiancia Horizontal'!E91/COS(RADIANS(DW39))</f>
        <v>0</v>
      </c>
      <c r="DY39" s="38" t="e">
        <f>((('Irradiancia Horizontal'!E62+DX39)/'Irradiancia Horizontal'!E62)+1.041*((RADIANS('Cálculos iluminancia'!DW39))^3))/(1+1.041*((RADIANS('Cálculos iluminancia'!DW39))^3))</f>
        <v>#DIV/0!</v>
      </c>
      <c r="DZ39" s="84" t="e">
        <f t="shared" si="61"/>
        <v>#NUM!</v>
      </c>
      <c r="EA39" s="84" t="e">
        <f t="shared" si="210"/>
        <v>#NUM!</v>
      </c>
      <c r="EB39" s="106" t="e">
        <f>'Irradiancia Horizontal'!E62*EA39/$DZ$15</f>
        <v>#NUM!</v>
      </c>
      <c r="EC39" s="84">
        <f>((17.27*Temp!D32)/(237.7+Temp!D32))+LN(HR!D43/100)</f>
        <v>0.56985865712912687</v>
      </c>
      <c r="ED39" s="84">
        <f t="shared" si="211"/>
        <v>8.1110333151412544</v>
      </c>
      <c r="EE39" s="84">
        <f t="shared" si="212"/>
        <v>1.636847821193109</v>
      </c>
      <c r="EF39" s="84" t="e">
        <f t="shared" si="304"/>
        <v>#DIV/0!</v>
      </c>
      <c r="EG39" s="84" t="e">
        <f t="shared" si="305"/>
        <v>#DIV/0!</v>
      </c>
      <c r="EH39" s="84" t="e">
        <f t="shared" si="306"/>
        <v>#DIV/0!</v>
      </c>
      <c r="EI39" s="84" t="e">
        <f t="shared" si="307"/>
        <v>#DIV/0!</v>
      </c>
      <c r="EJ39" s="84" t="e">
        <f t="shared" si="308"/>
        <v>#DIV/0!</v>
      </c>
      <c r="EK39" s="103">
        <f t="shared" si="67"/>
        <v>0</v>
      </c>
      <c r="EL39" s="165">
        <f>IF(ER39&gt;(EK39*'Irradiancia Horizontal'!E30),ER39,EK39*'Irradiancia Horizontal'!E30)</f>
        <v>0</v>
      </c>
      <c r="EM39" s="84" t="e">
        <f t="shared" si="309"/>
        <v>#DIV/0!</v>
      </c>
      <c r="EN39" s="84" t="e">
        <f t="shared" si="310"/>
        <v>#DIV/0!</v>
      </c>
      <c r="EO39" s="84" t="e">
        <f t="shared" si="311"/>
        <v>#DIV/0!</v>
      </c>
      <c r="EP39" s="84" t="e">
        <f t="shared" si="312"/>
        <v>#DIV/0!</v>
      </c>
      <c r="EQ39" s="103">
        <f t="shared" si="72"/>
        <v>0</v>
      </c>
      <c r="ER39" s="84">
        <f>+EQ39*'Irradiancia Horizontal'!E62</f>
        <v>0</v>
      </c>
      <c r="ES39" s="84">
        <f t="shared" si="213"/>
        <v>0</v>
      </c>
      <c r="ET39" s="84" t="e">
        <f>+ES39/'Irradiancia Horizontal'!E91</f>
        <v>#DIV/0!</v>
      </c>
      <c r="EU39" s="38">
        <f t="shared" si="73"/>
        <v>-0.4147472440561118</v>
      </c>
      <c r="EV39" s="84">
        <f t="shared" si="214"/>
        <v>0</v>
      </c>
      <c r="EW39" s="84">
        <f t="shared" si="215"/>
        <v>8.6999999999999994E-2</v>
      </c>
      <c r="EX39" s="84" t="e">
        <f t="shared" si="216"/>
        <v>#DIV/0!</v>
      </c>
      <c r="EY39" s="84" t="e">
        <f t="shared" si="217"/>
        <v>#DIV/0!</v>
      </c>
      <c r="EZ39" s="84" t="e">
        <f t="shared" si="218"/>
        <v>#DIV/0!</v>
      </c>
      <c r="FA39" s="84" t="e">
        <f t="shared" si="219"/>
        <v>#DIV/0!</v>
      </c>
      <c r="FB39" s="84" t="e">
        <f t="shared" si="220"/>
        <v>#DIV/0!</v>
      </c>
      <c r="FC39" s="84" t="e">
        <f t="shared" si="221"/>
        <v>#DIV/0!</v>
      </c>
      <c r="FD39" s="84" t="e">
        <f t="shared" si="74"/>
        <v>#DIV/0!</v>
      </c>
      <c r="FE39" s="84" t="e">
        <f t="shared" si="75"/>
        <v>#DIV/0!</v>
      </c>
      <c r="FF39" s="88">
        <f t="shared" si="76"/>
        <v>0</v>
      </c>
      <c r="FG39" s="84" t="e">
        <f t="shared" si="313"/>
        <v>#DIV/0!</v>
      </c>
      <c r="FH39" s="84" t="e">
        <f t="shared" si="314"/>
        <v>#DIV/0!</v>
      </c>
      <c r="FI39" s="84" t="e">
        <f t="shared" si="315"/>
        <v>#DIV/0!</v>
      </c>
      <c r="FJ39" s="84" t="e">
        <f t="shared" si="316"/>
        <v>#DIV/0!</v>
      </c>
      <c r="FK39" s="84" t="e">
        <f t="shared" si="317"/>
        <v>#DIV/0!</v>
      </c>
      <c r="FL39" s="84" t="e">
        <f t="shared" si="318"/>
        <v>#DIV/0!</v>
      </c>
      <c r="FM39" s="84" t="e">
        <f t="shared" si="83"/>
        <v>#DIV/0!</v>
      </c>
      <c r="FN39" s="84" t="e">
        <f t="shared" si="84"/>
        <v>#DIV/0!</v>
      </c>
      <c r="FO39" s="106">
        <f>IF(DU39&lt;0,0,((0.5*(1-FM39)*(1+COS(RADIANS($EB$15))))+(FM39*(EV39/EW39))+(FN39*SIN(RADIANS($EB$15))))*'Irradiancia Horizontal'!E62)</f>
        <v>0</v>
      </c>
      <c r="FP39" s="106">
        <f t="shared" si="222"/>
        <v>0</v>
      </c>
      <c r="FQ39" s="84">
        <f>FP39*'Irradiancia Horizontal'!E91</f>
        <v>0</v>
      </c>
      <c r="FR39" s="84">
        <f t="shared" si="223"/>
        <v>0</v>
      </c>
      <c r="FS39" s="88">
        <f t="shared" si="85"/>
        <v>0</v>
      </c>
      <c r="FT39" s="84">
        <f t="shared" si="224"/>
        <v>0</v>
      </c>
      <c r="FU39" s="106">
        <f t="shared" si="225"/>
        <v>0</v>
      </c>
      <c r="FV39" s="106">
        <f t="shared" si="226"/>
        <v>0</v>
      </c>
      <c r="FW39" s="106">
        <f t="shared" si="227"/>
        <v>0</v>
      </c>
      <c r="FX39" s="83"/>
      <c r="FZ39" s="39">
        <v>0.91666666666666696</v>
      </c>
      <c r="GA39" s="38">
        <v>-150</v>
      </c>
      <c r="GB39" s="38">
        <f t="shared" si="86"/>
        <v>-40.08304052557321</v>
      </c>
      <c r="GC39" s="38">
        <f t="shared" si="369"/>
        <v>-39.806701213504226</v>
      </c>
      <c r="GD39" s="38">
        <f t="shared" si="88"/>
        <v>130.08304052557321</v>
      </c>
      <c r="GE39" s="38">
        <f>+'Irradiancia Horizontal'!F91/COS(RADIANS(GD39))</f>
        <v>0</v>
      </c>
      <c r="GF39" s="38" t="e">
        <f>((('Irradiancia Horizontal'!F62+GE39)/'Irradiancia Horizontal'!F62)+1.041*((RADIANS('Cálculos iluminancia'!GD39))^3))/(1+1.041*((RADIANS('Cálculos iluminancia'!GD39))^3))</f>
        <v>#DIV/0!</v>
      </c>
      <c r="GG39" s="84" t="e">
        <f t="shared" si="89"/>
        <v>#NUM!</v>
      </c>
      <c r="GH39" s="84" t="e">
        <f t="shared" si="276"/>
        <v>#NUM!</v>
      </c>
      <c r="GI39" s="106" t="e">
        <f>'Irradiancia Horizontal'!F62*GH39/$GG$15</f>
        <v>#NUM!</v>
      </c>
      <c r="GJ39" s="84">
        <f>((17.27*Temp!E32)/(237.7+Temp!E32))+LN(HR!E43/100)</f>
        <v>0.69182442014638446</v>
      </c>
      <c r="GK39" s="84">
        <f t="shared" si="228"/>
        <v>9.9194669447606145</v>
      </c>
      <c r="GL39" s="84">
        <f t="shared" si="229"/>
        <v>1.8577436986672227</v>
      </c>
      <c r="GM39" s="84" t="e">
        <f t="shared" si="319"/>
        <v>#DIV/0!</v>
      </c>
      <c r="GN39" s="84" t="e">
        <f t="shared" si="320"/>
        <v>#DIV/0!</v>
      </c>
      <c r="GO39" s="84" t="e">
        <f t="shared" si="321"/>
        <v>#DIV/0!</v>
      </c>
      <c r="GP39" s="84" t="e">
        <f t="shared" si="322"/>
        <v>#DIV/0!</v>
      </c>
      <c r="GQ39" s="84" t="e">
        <f t="shared" si="323"/>
        <v>#DIV/0!</v>
      </c>
      <c r="GR39" s="103">
        <f t="shared" si="96"/>
        <v>0</v>
      </c>
      <c r="GS39" s="165">
        <f>IF(GY39&gt;(GR39*'Irradiancia Horizontal'!F30),GY39,GR39*'Irradiancia Horizontal'!F30)</f>
        <v>0</v>
      </c>
      <c r="GT39" s="84" t="e">
        <f t="shared" si="324"/>
        <v>#DIV/0!</v>
      </c>
      <c r="GU39" s="84" t="e">
        <f t="shared" si="325"/>
        <v>#DIV/0!</v>
      </c>
      <c r="GV39" s="84" t="e">
        <f t="shared" si="326"/>
        <v>#DIV/0!</v>
      </c>
      <c r="GW39" s="84" t="e">
        <f t="shared" si="327"/>
        <v>#DIV/0!</v>
      </c>
      <c r="GX39" s="103">
        <f t="shared" si="101"/>
        <v>0</v>
      </c>
      <c r="GY39" s="84">
        <f>+GX39*'Irradiancia Horizontal'!F62</f>
        <v>0</v>
      </c>
      <c r="GZ39" s="84">
        <f t="shared" si="230"/>
        <v>0</v>
      </c>
      <c r="HA39" s="84" t="e">
        <f>+GZ39/'Irradiancia Horizontal'!F91</f>
        <v>#DIV/0!</v>
      </c>
      <c r="HB39" s="38">
        <f t="shared" si="102"/>
        <v>-0.58776567918045286</v>
      </c>
      <c r="HC39" s="84">
        <f t="shared" si="231"/>
        <v>0</v>
      </c>
      <c r="HD39" s="84">
        <f t="shared" si="232"/>
        <v>8.6999999999999994E-2</v>
      </c>
      <c r="HE39" s="84" t="e">
        <f t="shared" si="233"/>
        <v>#DIV/0!</v>
      </c>
      <c r="HF39" s="84" t="e">
        <f t="shared" si="234"/>
        <v>#DIV/0!</v>
      </c>
      <c r="HG39" s="84" t="e">
        <f t="shared" si="235"/>
        <v>#DIV/0!</v>
      </c>
      <c r="HH39" s="84" t="e">
        <f t="shared" si="236"/>
        <v>#DIV/0!</v>
      </c>
      <c r="HI39" s="84" t="e">
        <f t="shared" si="237"/>
        <v>#DIV/0!</v>
      </c>
      <c r="HJ39" s="84" t="e">
        <f t="shared" si="238"/>
        <v>#DIV/0!</v>
      </c>
      <c r="HK39" s="84" t="e">
        <f t="shared" si="103"/>
        <v>#DIV/0!</v>
      </c>
      <c r="HL39" s="84" t="e">
        <f t="shared" si="104"/>
        <v>#DIV/0!</v>
      </c>
      <c r="HM39" s="88">
        <f t="shared" si="105"/>
        <v>0</v>
      </c>
      <c r="HN39" s="84" t="e">
        <f t="shared" si="328"/>
        <v>#DIV/0!</v>
      </c>
      <c r="HO39" s="84" t="e">
        <f t="shared" si="329"/>
        <v>#DIV/0!</v>
      </c>
      <c r="HP39" s="84" t="e">
        <f t="shared" si="330"/>
        <v>#DIV/0!</v>
      </c>
      <c r="HQ39" s="84" t="e">
        <f t="shared" si="331"/>
        <v>#DIV/0!</v>
      </c>
      <c r="HR39" s="84" t="e">
        <f t="shared" si="332"/>
        <v>#DIV/0!</v>
      </c>
      <c r="HS39" s="84" t="e">
        <f t="shared" si="333"/>
        <v>#DIV/0!</v>
      </c>
      <c r="HT39" s="84" t="e">
        <f t="shared" si="112"/>
        <v>#DIV/0!</v>
      </c>
      <c r="HU39" s="84" t="e">
        <f t="shared" si="113"/>
        <v>#DIV/0!</v>
      </c>
      <c r="HV39" s="106">
        <f>IF(GB39&lt;0,0,((0.5*(1-HT39)*(1+COS(RADIANS($GI$15))))+(HT39*(HC39/HD39))+(HU39*SIN(RADIANS($GI$15))))*'Irradiancia Horizontal'!F62)</f>
        <v>0</v>
      </c>
      <c r="HW39" s="84">
        <f t="shared" si="114"/>
        <v>0</v>
      </c>
      <c r="HX39" s="84">
        <f>HW39*'Irradiancia Horizontal'!F91</f>
        <v>0</v>
      </c>
      <c r="HY39" s="84">
        <f t="shared" si="239"/>
        <v>0</v>
      </c>
      <c r="HZ39" s="88">
        <f t="shared" si="115"/>
        <v>0</v>
      </c>
      <c r="IA39" s="84">
        <f t="shared" si="240"/>
        <v>0</v>
      </c>
      <c r="IB39" s="106">
        <f t="shared" si="241"/>
        <v>0</v>
      </c>
      <c r="IC39" s="106">
        <f t="shared" si="242"/>
        <v>0</v>
      </c>
      <c r="ID39" s="106">
        <f t="shared" si="243"/>
        <v>0</v>
      </c>
      <c r="IE39" s="83"/>
      <c r="IG39" s="39">
        <v>0.91666666666666696</v>
      </c>
      <c r="IH39" s="38">
        <v>-150</v>
      </c>
      <c r="II39" s="38">
        <f t="shared" si="116"/>
        <v>-32.905461024397972</v>
      </c>
      <c r="IJ39" s="38">
        <f t="shared" si="370"/>
        <v>-33.996089916728636</v>
      </c>
      <c r="IK39" s="38">
        <f t="shared" si="118"/>
        <v>122.90546102439797</v>
      </c>
      <c r="IL39" s="38">
        <f>+'Irradiancia Horizontal'!G91/COS(RADIANS(IK39))</f>
        <v>0</v>
      </c>
      <c r="IM39" s="38" t="e">
        <f>((('Irradiancia Horizontal'!G62+IL39)/'Irradiancia Horizontal'!G62)+1.041*((RADIANS('Cálculos iluminancia'!IK39))^3))/(1+1.041*((RADIANS('Cálculos iluminancia'!IK39))^3))</f>
        <v>#DIV/0!</v>
      </c>
      <c r="IN39" s="87" t="e">
        <f t="shared" si="119"/>
        <v>#NUM!</v>
      </c>
      <c r="IO39" s="87" t="e">
        <f t="shared" si="334"/>
        <v>#NUM!</v>
      </c>
      <c r="IP39" s="106" t="e">
        <f>'Irradiancia Horizontal'!G62*IO39/$IN$15</f>
        <v>#NUM!</v>
      </c>
      <c r="IQ39" s="87">
        <f>((17.27*Temp!F32)/(237.7+Temp!F32))+LN(HR!F43/100)</f>
        <v>0.85543510163783265</v>
      </c>
      <c r="IR39" s="87">
        <f t="shared" si="244"/>
        <v>12.387591442012676</v>
      </c>
      <c r="IS39" s="87">
        <f t="shared" si="245"/>
        <v>2.2080977559014277</v>
      </c>
      <c r="IT39" s="87" t="e">
        <f t="shared" si="335"/>
        <v>#DIV/0!</v>
      </c>
      <c r="IU39" s="87" t="e">
        <f t="shared" si="336"/>
        <v>#DIV/0!</v>
      </c>
      <c r="IV39" s="87" t="e">
        <f t="shared" si="337"/>
        <v>#DIV/0!</v>
      </c>
      <c r="IW39" s="87" t="e">
        <f t="shared" si="338"/>
        <v>#DIV/0!</v>
      </c>
      <c r="IX39" s="87" t="e">
        <f t="shared" si="339"/>
        <v>#DIV/0!</v>
      </c>
      <c r="IY39" s="103">
        <f t="shared" si="126"/>
        <v>0</v>
      </c>
      <c r="IZ39" s="165">
        <f>IF(JF39&gt;(IY39*'Irradiancia Horizontal'!G30),JF39,IY39*'Irradiancia Horizontal'!G30)</f>
        <v>0</v>
      </c>
      <c r="JA39" s="87" t="e">
        <f t="shared" si="340"/>
        <v>#DIV/0!</v>
      </c>
      <c r="JB39" s="87" t="e">
        <f t="shared" si="341"/>
        <v>#DIV/0!</v>
      </c>
      <c r="JC39" s="87" t="e">
        <f t="shared" si="342"/>
        <v>#DIV/0!</v>
      </c>
      <c r="JD39" s="87" t="e">
        <f t="shared" si="343"/>
        <v>#DIV/0!</v>
      </c>
      <c r="JE39" s="103">
        <f t="shared" si="131"/>
        <v>0</v>
      </c>
      <c r="JF39" s="87">
        <f>+JE39*'Irradiancia Horizontal'!G62</f>
        <v>0</v>
      </c>
      <c r="JG39" s="87">
        <f t="shared" si="246"/>
        <v>0</v>
      </c>
      <c r="JH39" s="87" t="e">
        <f>+JG39/'Irradiancia Horizontal'!G91</f>
        <v>#DIV/0!</v>
      </c>
      <c r="JI39" s="38">
        <f t="shared" si="132"/>
        <v>-0.69606552820179923</v>
      </c>
      <c r="JJ39" s="87">
        <f t="shared" si="247"/>
        <v>0</v>
      </c>
      <c r="JK39" s="87">
        <f t="shared" si="248"/>
        <v>8.6999999999999994E-2</v>
      </c>
      <c r="JL39" s="87" t="e">
        <f t="shared" si="249"/>
        <v>#DIV/0!</v>
      </c>
      <c r="JM39" s="87" t="e">
        <f t="shared" si="250"/>
        <v>#DIV/0!</v>
      </c>
      <c r="JN39" s="87" t="e">
        <f t="shared" si="251"/>
        <v>#DIV/0!</v>
      </c>
      <c r="JO39" s="87" t="e">
        <f t="shared" si="252"/>
        <v>#DIV/0!</v>
      </c>
      <c r="JP39" s="87" t="e">
        <f t="shared" si="253"/>
        <v>#DIV/0!</v>
      </c>
      <c r="JQ39" s="87" t="e">
        <f t="shared" si="254"/>
        <v>#DIV/0!</v>
      </c>
      <c r="JR39" s="87" t="e">
        <f t="shared" si="133"/>
        <v>#DIV/0!</v>
      </c>
      <c r="JS39" s="87" t="e">
        <f t="shared" si="134"/>
        <v>#DIV/0!</v>
      </c>
      <c r="JT39" s="88">
        <f t="shared" si="135"/>
        <v>0</v>
      </c>
      <c r="JU39" s="87" t="e">
        <f t="shared" si="344"/>
        <v>#DIV/0!</v>
      </c>
      <c r="JV39" s="87" t="e">
        <f t="shared" si="345"/>
        <v>#DIV/0!</v>
      </c>
      <c r="JW39" s="87" t="e">
        <f t="shared" si="346"/>
        <v>#DIV/0!</v>
      </c>
      <c r="JX39" s="87" t="e">
        <f t="shared" si="347"/>
        <v>#DIV/0!</v>
      </c>
      <c r="JY39" s="87" t="e">
        <f t="shared" si="348"/>
        <v>#DIV/0!</v>
      </c>
      <c r="JZ39" s="87" t="e">
        <f t="shared" si="349"/>
        <v>#DIV/0!</v>
      </c>
      <c r="KA39" s="87" t="e">
        <f t="shared" si="142"/>
        <v>#DIV/0!</v>
      </c>
      <c r="KB39" s="87" t="e">
        <f t="shared" si="143"/>
        <v>#DIV/0!</v>
      </c>
      <c r="KC39" s="106">
        <f>IF(II39&lt;0,0,((0.5*(1-KA39)*(1+COS(RADIANS($IP$15))))+(KA39*(JJ39/JK39))+(KB39*SIN(RADIANS($IP$15))))*'Irradiancia Horizontal'!G62)</f>
        <v>0</v>
      </c>
      <c r="KD39" s="87">
        <f t="shared" si="144"/>
        <v>0</v>
      </c>
      <c r="KE39" s="87">
        <f>KD39*'Irradiancia Horizontal'!G91</f>
        <v>0</v>
      </c>
      <c r="KF39" s="87">
        <f t="shared" si="255"/>
        <v>0</v>
      </c>
      <c r="KG39" s="88">
        <f t="shared" si="145"/>
        <v>0</v>
      </c>
      <c r="KH39" s="87">
        <f t="shared" si="256"/>
        <v>0</v>
      </c>
      <c r="KI39" s="106">
        <f t="shared" si="257"/>
        <v>0</v>
      </c>
      <c r="KJ39" s="106">
        <f t="shared" si="258"/>
        <v>0</v>
      </c>
      <c r="KK39" s="106">
        <f t="shared" si="259"/>
        <v>0</v>
      </c>
      <c r="KL39" s="86"/>
      <c r="KN39" s="39">
        <v>0.91666666666666696</v>
      </c>
      <c r="KO39" s="38">
        <v>-150</v>
      </c>
      <c r="KP39" s="38">
        <f t="shared" si="146"/>
        <v>-30.061756873161897</v>
      </c>
      <c r="KQ39" s="38">
        <f t="shared" si="371"/>
        <v>-32.005223707712958</v>
      </c>
      <c r="KR39" s="38">
        <f t="shared" si="148"/>
        <v>120.0617568731619</v>
      </c>
      <c r="KS39" s="38">
        <f>+'Irradiancia Horizontal'!H91/COS(RADIANS(KR39))</f>
        <v>0</v>
      </c>
      <c r="KT39" s="38" t="e">
        <f>((('Irradiancia Horizontal'!H62+KS39)/'Irradiancia Horizontal'!H62)+1.041*((RADIANS('Cálculos iluminancia'!KR39))^3))/(1+1.041*((RADIANS('Cálculos iluminancia'!KR39))^3))</f>
        <v>#DIV/0!</v>
      </c>
      <c r="KU39" s="87" t="e">
        <f t="shared" si="149"/>
        <v>#NUM!</v>
      </c>
      <c r="KV39" s="87" t="e">
        <f t="shared" si="350"/>
        <v>#NUM!</v>
      </c>
      <c r="KW39" s="106" t="e">
        <f>'Irradiancia Horizontal'!H62*KV39/$KU$15</f>
        <v>#NUM!</v>
      </c>
      <c r="KX39" s="87">
        <f>((17.27*Temp!G32)/(237.7+Temp!G32))+LN(HR!G43/100)</f>
        <v>1.1420640146111867</v>
      </c>
      <c r="KY39" s="87">
        <f t="shared" si="260"/>
        <v>16.832198275031441</v>
      </c>
      <c r="KZ39" s="87">
        <f t="shared" si="261"/>
        <v>3.01395713835513</v>
      </c>
      <c r="LA39" s="87" t="e">
        <f t="shared" si="351"/>
        <v>#DIV/0!</v>
      </c>
      <c r="LB39" s="87" t="e">
        <f t="shared" si="352"/>
        <v>#DIV/0!</v>
      </c>
      <c r="LC39" s="87" t="e">
        <f t="shared" si="353"/>
        <v>#DIV/0!</v>
      </c>
      <c r="LD39" s="87" t="e">
        <f t="shared" si="354"/>
        <v>#DIV/0!</v>
      </c>
      <c r="LE39" s="87" t="e">
        <f t="shared" si="355"/>
        <v>#DIV/0!</v>
      </c>
      <c r="LF39" s="103">
        <f t="shared" si="156"/>
        <v>0</v>
      </c>
      <c r="LG39" s="165">
        <f>IF(LM39&gt;(LF39*'Irradiancia Horizontal'!H30),LM39,LF39*'Irradiancia Horizontal'!H30)</f>
        <v>0</v>
      </c>
      <c r="LH39" s="87" t="e">
        <f t="shared" si="356"/>
        <v>#DIV/0!</v>
      </c>
      <c r="LI39" s="87" t="e">
        <f t="shared" si="357"/>
        <v>#DIV/0!</v>
      </c>
      <c r="LJ39" s="87" t="e">
        <f t="shared" si="358"/>
        <v>#DIV/0!</v>
      </c>
      <c r="LK39" s="87" t="e">
        <f t="shared" si="359"/>
        <v>#DIV/0!</v>
      </c>
      <c r="LL39" s="103">
        <f t="shared" si="161"/>
        <v>0</v>
      </c>
      <c r="LM39" s="87">
        <f>+LL39*'Irradiancia Horizontal'!H62</f>
        <v>0</v>
      </c>
      <c r="LN39" s="87">
        <f t="shared" si="262"/>
        <v>0</v>
      </c>
      <c r="LO39" s="87" t="e">
        <f>+LN39/'Irradiancia Horizontal'!H91</f>
        <v>#DIV/0!</v>
      </c>
      <c r="LP39" s="38">
        <f t="shared" si="162"/>
        <v>-0.73393191201723762</v>
      </c>
      <c r="LQ39" s="87">
        <f t="shared" si="263"/>
        <v>0</v>
      </c>
      <c r="LR39" s="87">
        <f t="shared" si="264"/>
        <v>8.6999999999999994E-2</v>
      </c>
      <c r="LS39" s="87" t="e">
        <f t="shared" si="265"/>
        <v>#DIV/0!</v>
      </c>
      <c r="LT39" s="87" t="e">
        <f t="shared" si="266"/>
        <v>#DIV/0!</v>
      </c>
      <c r="LU39" s="87" t="e">
        <f t="shared" si="267"/>
        <v>#DIV/0!</v>
      </c>
      <c r="LV39" s="87" t="e">
        <f t="shared" si="268"/>
        <v>#DIV/0!</v>
      </c>
      <c r="LW39" s="87" t="e">
        <f t="shared" si="269"/>
        <v>#DIV/0!</v>
      </c>
      <c r="LX39" s="87" t="e">
        <f t="shared" si="270"/>
        <v>#DIV/0!</v>
      </c>
      <c r="LY39" s="87" t="e">
        <f t="shared" si="163"/>
        <v>#DIV/0!</v>
      </c>
      <c r="LZ39" s="87" t="e">
        <f t="shared" si="164"/>
        <v>#DIV/0!</v>
      </c>
      <c r="MA39" s="88">
        <f t="shared" si="165"/>
        <v>0</v>
      </c>
      <c r="MB39" s="87" t="e">
        <f t="shared" si="360"/>
        <v>#DIV/0!</v>
      </c>
      <c r="MC39" s="87" t="e">
        <f t="shared" si="361"/>
        <v>#DIV/0!</v>
      </c>
      <c r="MD39" s="87" t="e">
        <f t="shared" si="362"/>
        <v>#DIV/0!</v>
      </c>
      <c r="ME39" s="87" t="e">
        <f t="shared" si="363"/>
        <v>#DIV/0!</v>
      </c>
      <c r="MF39" s="87" t="e">
        <f t="shared" si="364"/>
        <v>#DIV/0!</v>
      </c>
      <c r="MG39" s="87" t="e">
        <f t="shared" si="365"/>
        <v>#DIV/0!</v>
      </c>
      <c r="MH39" s="87" t="e">
        <f t="shared" si="172"/>
        <v>#DIV/0!</v>
      </c>
      <c r="MI39" s="87" t="e">
        <f t="shared" si="173"/>
        <v>#DIV/0!</v>
      </c>
      <c r="MJ39" s="106">
        <f>IF(KP39&lt;0,0,((0.5*(1-MH39)*(1+COS(RADIANS($KW$15))))+(MH39*(LQ39/LR39))+(MI39*SIN(RADIANS($KW$15))))*'Irradiancia Horizontal'!H62)</f>
        <v>0</v>
      </c>
      <c r="MK39" s="87">
        <f t="shared" si="174"/>
        <v>0</v>
      </c>
      <c r="ML39" s="87">
        <f>MK39*'Irradiancia Horizontal'!H91</f>
        <v>0</v>
      </c>
      <c r="MM39" s="87">
        <f t="shared" si="271"/>
        <v>0</v>
      </c>
      <c r="MN39" s="88">
        <f t="shared" si="175"/>
        <v>0</v>
      </c>
      <c r="MO39" s="87">
        <f t="shared" si="272"/>
        <v>0</v>
      </c>
      <c r="MP39" s="106">
        <f t="shared" si="273"/>
        <v>0</v>
      </c>
      <c r="MQ39" s="106">
        <f t="shared" si="274"/>
        <v>0</v>
      </c>
      <c r="MR39" s="106">
        <f t="shared" si="275"/>
        <v>0</v>
      </c>
    </row>
    <row r="40" spans="4:356" x14ac:dyDescent="0.25">
      <c r="E40" s="39">
        <v>0.95833333333333304</v>
      </c>
      <c r="F40" s="38">
        <v>-165</v>
      </c>
      <c r="G40" s="38">
        <f t="shared" si="0"/>
        <v>-73.716868534260627</v>
      </c>
      <c r="H40" s="38">
        <f t="shared" si="366"/>
        <v>-60.072270889731158</v>
      </c>
      <c r="I40" s="38">
        <f t="shared" si="2"/>
        <v>163.71686853426064</v>
      </c>
      <c r="J40" s="38">
        <f>'Irradiancia Horizontal'!C92/COS(RADIANS(I40))</f>
        <v>0</v>
      </c>
      <c r="K40" s="38" t="e">
        <f>((('Irradiancia Horizontal'!C63+J40)/'Irradiancia Horizontal'!C63)+1.041*((RADIANS('Cálculos iluminancia'!I40))^3))/(1+1.041*((RADIANS('Cálculos iluminancia'!I40))^3))</f>
        <v>#DIV/0!</v>
      </c>
      <c r="L40" s="36" t="e">
        <f t="shared" si="3"/>
        <v>#NUM!</v>
      </c>
      <c r="M40" s="36" t="e">
        <f t="shared" si="4"/>
        <v>#NUM!</v>
      </c>
      <c r="N40" s="106" t="e">
        <f>'Irradiancia Horizontal'!C63*M40/$L$15</f>
        <v>#NUM!</v>
      </c>
      <c r="O40" s="71">
        <f>((17.27*Temp!B33)/(237.7+Temp!B33))+LN(HR!B44/100)</f>
        <v>0.44363067584186755</v>
      </c>
      <c r="P40" s="71">
        <f t="shared" si="176"/>
        <v>6.2670092172654659</v>
      </c>
      <c r="Q40" s="71">
        <f t="shared" si="177"/>
        <v>1.4386290985075707</v>
      </c>
      <c r="R40" s="71" t="e">
        <f t="shared" si="277"/>
        <v>#DIV/0!</v>
      </c>
      <c r="S40" s="71" t="e">
        <f t="shared" si="6"/>
        <v>#DIV/0!</v>
      </c>
      <c r="T40" s="71" t="e">
        <f t="shared" si="7"/>
        <v>#DIV/0!</v>
      </c>
      <c r="U40" s="71" t="e">
        <f t="shared" si="8"/>
        <v>#DIV/0!</v>
      </c>
      <c r="V40" s="71" t="e">
        <f t="shared" si="9"/>
        <v>#DIV/0!</v>
      </c>
      <c r="W40" s="103">
        <f t="shared" si="10"/>
        <v>0</v>
      </c>
      <c r="X40" s="165">
        <f>IF(AD40&gt;(W40*'Irradiancia Horizontal'!C31),AD40,W40*'Irradiancia Horizontal'!C31)</f>
        <v>0</v>
      </c>
      <c r="Y40" s="71" t="e">
        <f t="shared" si="278"/>
        <v>#DIV/0!</v>
      </c>
      <c r="Z40" s="71" t="e">
        <f t="shared" si="279"/>
        <v>#DIV/0!</v>
      </c>
      <c r="AA40" s="71" t="e">
        <f t="shared" si="280"/>
        <v>#DIV/0!</v>
      </c>
      <c r="AB40" s="71" t="e">
        <f t="shared" si="281"/>
        <v>#DIV/0!</v>
      </c>
      <c r="AC40" s="103">
        <f t="shared" si="15"/>
        <v>0</v>
      </c>
      <c r="AD40" s="71">
        <f>+AC40*'Irradiancia Horizontal'!C63</f>
        <v>0</v>
      </c>
      <c r="AE40" s="71">
        <f t="shared" si="16"/>
        <v>0</v>
      </c>
      <c r="AF40" s="71" t="e">
        <f>+AE40/'Irradiancia Horizontal'!C92</f>
        <v>#DIV/0!</v>
      </c>
      <c r="AG40" s="38">
        <f t="shared" si="282"/>
        <v>-0.13988566374197947</v>
      </c>
      <c r="AH40" s="84">
        <f t="shared" si="178"/>
        <v>0</v>
      </c>
      <c r="AI40" s="84">
        <f t="shared" si="179"/>
        <v>8.6999999999999994E-2</v>
      </c>
      <c r="AJ40" s="84" t="e">
        <f t="shared" si="180"/>
        <v>#DIV/0!</v>
      </c>
      <c r="AK40" s="84" t="e">
        <f t="shared" si="181"/>
        <v>#DIV/0!</v>
      </c>
      <c r="AL40" s="84" t="e">
        <f t="shared" si="182"/>
        <v>#DIV/0!</v>
      </c>
      <c r="AM40" s="84" t="e">
        <f t="shared" si="183"/>
        <v>#DIV/0!</v>
      </c>
      <c r="AN40" s="84" t="e">
        <f t="shared" si="184"/>
        <v>#DIV/0!</v>
      </c>
      <c r="AO40" s="84" t="e">
        <f t="shared" si="185"/>
        <v>#DIV/0!</v>
      </c>
      <c r="AP40" s="84" t="e">
        <f t="shared" si="18"/>
        <v>#DIV/0!</v>
      </c>
      <c r="AQ40" s="84" t="e">
        <f t="shared" si="19"/>
        <v>#DIV/0!</v>
      </c>
      <c r="AR40" s="88">
        <f t="shared" si="20"/>
        <v>0</v>
      </c>
      <c r="AS40" s="84" t="e">
        <f t="shared" si="283"/>
        <v>#DIV/0!</v>
      </c>
      <c r="AT40" s="84" t="e">
        <f t="shared" si="284"/>
        <v>#DIV/0!</v>
      </c>
      <c r="AU40" s="84" t="e">
        <f t="shared" si="285"/>
        <v>#DIV/0!</v>
      </c>
      <c r="AV40" s="84" t="e">
        <f t="shared" si="286"/>
        <v>#DIV/0!</v>
      </c>
      <c r="AW40" s="84" t="e">
        <f t="shared" si="287"/>
        <v>#DIV/0!</v>
      </c>
      <c r="AX40" s="84" t="e">
        <f t="shared" si="288"/>
        <v>#DIV/0!</v>
      </c>
      <c r="AY40" s="84" t="e">
        <f t="shared" si="27"/>
        <v>#DIV/0!</v>
      </c>
      <c r="AZ40" s="84" t="e">
        <f t="shared" si="28"/>
        <v>#DIV/0!</v>
      </c>
      <c r="BA40" s="106">
        <f>IF(G40&lt;0,0,((0.5*(1-AY40)*(1+COS(RADIANS($N$15))))+(AY40*(AH40/AI40))+(AZ40*SIN(RADIANS($N$15))))*'Irradiancia Horizontal'!C63)</f>
        <v>0</v>
      </c>
      <c r="BB40" s="106">
        <f t="shared" si="186"/>
        <v>0</v>
      </c>
      <c r="BC40" s="84">
        <f>BB40*'Irradiancia Horizontal'!C92</f>
        <v>0</v>
      </c>
      <c r="BD40" s="84">
        <f t="shared" si="187"/>
        <v>0</v>
      </c>
      <c r="BE40" s="88">
        <f t="shared" si="29"/>
        <v>0</v>
      </c>
      <c r="BF40" s="84">
        <f t="shared" si="188"/>
        <v>0</v>
      </c>
      <c r="BG40" s="106">
        <f t="shared" si="189"/>
        <v>0</v>
      </c>
      <c r="BH40" s="106">
        <f t="shared" si="190"/>
        <v>0</v>
      </c>
      <c r="BI40" s="106">
        <f t="shared" si="191"/>
        <v>0</v>
      </c>
      <c r="BJ40" s="72"/>
      <c r="BK40" s="13"/>
      <c r="BL40" s="39">
        <v>0.95833333333333304</v>
      </c>
      <c r="BM40" s="38">
        <v>-165</v>
      </c>
      <c r="BN40" s="38">
        <f t="shared" si="30"/>
        <v>-67.31416291835562</v>
      </c>
      <c r="BO40" s="38">
        <f t="shared" si="367"/>
        <v>-41.165405469571056</v>
      </c>
      <c r="BP40" s="38">
        <f t="shared" si="32"/>
        <v>157.31416291835563</v>
      </c>
      <c r="BQ40" s="38">
        <f>+'Irradiancia Horizontal'!D92/COS(RADIANS(BP40))</f>
        <v>0</v>
      </c>
      <c r="BR40" s="38" t="e">
        <f>((('Irradiancia Horizontal'!D63+BQ40)/'Irradiancia Horizontal'!D63)+1.041*((RADIANS('Cálculos iluminancia'!BP40))^3))/(1+1.041*((RADIANS('Cálculos iluminancia'!BP40))^3))</f>
        <v>#DIV/0!</v>
      </c>
      <c r="BS40" s="84" t="e">
        <f t="shared" si="33"/>
        <v>#NUM!</v>
      </c>
      <c r="BT40" s="84" t="e">
        <f t="shared" si="192"/>
        <v>#NUM!</v>
      </c>
      <c r="BU40" s="106" t="e">
        <f>'Irradiancia Horizontal'!D63*BT40/$BS$15</f>
        <v>#NUM!</v>
      </c>
      <c r="BV40" s="84">
        <f>((17.27*Temp!C33)/(237.7+Temp!C33))+LN(HR!C44/100)</f>
        <v>0.49807229193083347</v>
      </c>
      <c r="BW40" s="84">
        <f t="shared" si="193"/>
        <v>7.0589252382121508</v>
      </c>
      <c r="BX40" s="84">
        <f t="shared" si="194"/>
        <v>1.5206300669122013</v>
      </c>
      <c r="BY40" s="84" t="e">
        <f t="shared" si="289"/>
        <v>#DIV/0!</v>
      </c>
      <c r="BZ40" s="84" t="e">
        <f t="shared" si="290"/>
        <v>#DIV/0!</v>
      </c>
      <c r="CA40" s="84" t="e">
        <f t="shared" si="291"/>
        <v>#DIV/0!</v>
      </c>
      <c r="CB40" s="84" t="e">
        <f t="shared" si="292"/>
        <v>#DIV/0!</v>
      </c>
      <c r="CC40" s="84" t="e">
        <f t="shared" si="293"/>
        <v>#DIV/0!</v>
      </c>
      <c r="CD40" s="103">
        <f t="shared" si="39"/>
        <v>0</v>
      </c>
      <c r="CE40" s="165">
        <f>IF(CK40&gt;(CD40*'Irradiancia Horizontal'!D31),CK40,CD40*'Irradiancia Horizontal'!D31)</f>
        <v>0</v>
      </c>
      <c r="CF40" s="84" t="e">
        <f t="shared" si="294"/>
        <v>#DIV/0!</v>
      </c>
      <c r="CG40" s="84" t="e">
        <f t="shared" si="295"/>
        <v>#DIV/0!</v>
      </c>
      <c r="CH40" s="84" t="e">
        <f t="shared" si="296"/>
        <v>#DIV/0!</v>
      </c>
      <c r="CI40" s="84" t="e">
        <f t="shared" si="297"/>
        <v>#DIV/0!</v>
      </c>
      <c r="CJ40" s="103">
        <f t="shared" si="44"/>
        <v>0</v>
      </c>
      <c r="CK40" s="84">
        <f>+CJ40*'Irradiancia Horizontal'!D63</f>
        <v>0</v>
      </c>
      <c r="CL40" s="84">
        <f t="shared" si="195"/>
        <v>0</v>
      </c>
      <c r="CM40" s="84" t="e">
        <f>+CL40/'Irradiancia Horizontal'!D92</f>
        <v>#DIV/0!</v>
      </c>
      <c r="CN40" s="38">
        <f t="shared" si="45"/>
        <v>-0.2903432035105748</v>
      </c>
      <c r="CO40" s="84">
        <f t="shared" si="196"/>
        <v>0</v>
      </c>
      <c r="CP40" s="84">
        <f t="shared" si="197"/>
        <v>8.6999999999999994E-2</v>
      </c>
      <c r="CQ40" s="84" t="e">
        <f t="shared" si="198"/>
        <v>#DIV/0!</v>
      </c>
      <c r="CR40" s="84" t="e">
        <f t="shared" si="199"/>
        <v>#DIV/0!</v>
      </c>
      <c r="CS40" s="84" t="e">
        <f t="shared" si="200"/>
        <v>#DIV/0!</v>
      </c>
      <c r="CT40" s="84" t="e">
        <f t="shared" si="201"/>
        <v>#DIV/0!</v>
      </c>
      <c r="CU40" s="84" t="e">
        <f t="shared" si="202"/>
        <v>#DIV/0!</v>
      </c>
      <c r="CV40" s="84" t="e">
        <f t="shared" si="203"/>
        <v>#DIV/0!</v>
      </c>
      <c r="CW40" s="84" t="e">
        <f t="shared" si="46"/>
        <v>#DIV/0!</v>
      </c>
      <c r="CX40" s="84" t="e">
        <f t="shared" si="47"/>
        <v>#DIV/0!</v>
      </c>
      <c r="CY40" s="88">
        <f t="shared" si="48"/>
        <v>0</v>
      </c>
      <c r="CZ40" s="84" t="e">
        <f t="shared" si="298"/>
        <v>#DIV/0!</v>
      </c>
      <c r="DA40" s="84" t="e">
        <f t="shared" si="299"/>
        <v>#DIV/0!</v>
      </c>
      <c r="DB40" s="84" t="e">
        <f t="shared" si="300"/>
        <v>#DIV/0!</v>
      </c>
      <c r="DC40" s="84" t="e">
        <f t="shared" si="301"/>
        <v>#DIV/0!</v>
      </c>
      <c r="DD40" s="84" t="e">
        <f t="shared" si="302"/>
        <v>#DIV/0!</v>
      </c>
      <c r="DE40" s="84" t="e">
        <f t="shared" si="303"/>
        <v>#DIV/0!</v>
      </c>
      <c r="DF40" s="84" t="e">
        <f t="shared" si="55"/>
        <v>#DIV/0!</v>
      </c>
      <c r="DG40" s="84" t="e">
        <f t="shared" si="56"/>
        <v>#DIV/0!</v>
      </c>
      <c r="DH40" s="106">
        <f>IF(BN40&lt;0,0,((0.5*(1-DF40)*(1+COS(RADIANS($BU$15))))+(DF40*(CO40/CP40))+(DG40*SIN(RADIANS($BU$15))))*'Irradiancia Horizontal'!D63)</f>
        <v>0</v>
      </c>
      <c r="DI40" s="106">
        <f t="shared" si="204"/>
        <v>0</v>
      </c>
      <c r="DJ40" s="84">
        <f>DI40*'Irradiancia Horizontal'!D92</f>
        <v>0</v>
      </c>
      <c r="DK40" s="84">
        <f t="shared" si="205"/>
        <v>0</v>
      </c>
      <c r="DL40" s="88">
        <f t="shared" si="57"/>
        <v>0</v>
      </c>
      <c r="DM40" s="84">
        <f t="shared" si="206"/>
        <v>0</v>
      </c>
      <c r="DN40" s="106">
        <f t="shared" si="207"/>
        <v>0</v>
      </c>
      <c r="DO40" s="106">
        <f t="shared" si="208"/>
        <v>0</v>
      </c>
      <c r="DP40" s="106">
        <f t="shared" si="209"/>
        <v>0</v>
      </c>
      <c r="DQ40" s="44"/>
      <c r="DS40" s="39">
        <v>0.95833333333333304</v>
      </c>
      <c r="DT40" s="38">
        <v>-165</v>
      </c>
      <c r="DU40" s="38">
        <f t="shared" si="58"/>
        <v>-57.947937391387804</v>
      </c>
      <c r="DV40" s="38">
        <f t="shared" si="368"/>
        <v>-29.188938126724253</v>
      </c>
      <c r="DW40" s="38">
        <f t="shared" si="60"/>
        <v>147.9479373913878</v>
      </c>
      <c r="DX40" s="38">
        <f>+'Irradiancia Horizontal'!E92/COS(RADIANS(DW40))</f>
        <v>0</v>
      </c>
      <c r="DY40" s="38" t="e">
        <f>((('Irradiancia Horizontal'!E63+DX40)/'Irradiancia Horizontal'!E63)+1.041*((RADIANS('Cálculos iluminancia'!DW40))^3))/(1+1.041*((RADIANS('Cálculos iluminancia'!DW40))^3))</f>
        <v>#DIV/0!</v>
      </c>
      <c r="DZ40" s="84" t="e">
        <f t="shared" si="61"/>
        <v>#NUM!</v>
      </c>
      <c r="EA40" s="84" t="e">
        <f t="shared" si="210"/>
        <v>#NUM!</v>
      </c>
      <c r="EB40" s="106" t="e">
        <f>'Irradiancia Horizontal'!E63*EA40/$DZ$15</f>
        <v>#NUM!</v>
      </c>
      <c r="EC40" s="84">
        <f>((17.27*Temp!D33)/(237.7+Temp!D33))+LN(HR!D44/100)</f>
        <v>0.54382978989464947</v>
      </c>
      <c r="ED40" s="84">
        <f t="shared" si="211"/>
        <v>7.7285080466213882</v>
      </c>
      <c r="EE40" s="84">
        <f t="shared" si="212"/>
        <v>1.5935999289498244</v>
      </c>
      <c r="EF40" s="84" t="e">
        <f t="shared" si="304"/>
        <v>#DIV/0!</v>
      </c>
      <c r="EG40" s="84" t="e">
        <f t="shared" si="305"/>
        <v>#DIV/0!</v>
      </c>
      <c r="EH40" s="84" t="e">
        <f t="shared" si="306"/>
        <v>#DIV/0!</v>
      </c>
      <c r="EI40" s="84" t="e">
        <f t="shared" si="307"/>
        <v>#DIV/0!</v>
      </c>
      <c r="EJ40" s="84" t="e">
        <f t="shared" si="308"/>
        <v>#DIV/0!</v>
      </c>
      <c r="EK40" s="103">
        <f t="shared" si="67"/>
        <v>0</v>
      </c>
      <c r="EL40" s="165">
        <f>IF(ER40&gt;(EK40*'Irradiancia Horizontal'!E31),ER40,EK40*'Irradiancia Horizontal'!E31)</f>
        <v>0</v>
      </c>
      <c r="EM40" s="84" t="e">
        <f t="shared" si="309"/>
        <v>#DIV/0!</v>
      </c>
      <c r="EN40" s="84" t="e">
        <f t="shared" si="310"/>
        <v>#DIV/0!</v>
      </c>
      <c r="EO40" s="84" t="e">
        <f t="shared" si="311"/>
        <v>#DIV/0!</v>
      </c>
      <c r="EP40" s="84" t="e">
        <f t="shared" si="312"/>
        <v>#DIV/0!</v>
      </c>
      <c r="EQ40" s="103">
        <f t="shared" si="72"/>
        <v>0</v>
      </c>
      <c r="ER40" s="84">
        <f>+EQ40*'Irradiancia Horizontal'!E63</f>
        <v>0</v>
      </c>
      <c r="ES40" s="84">
        <f t="shared" si="213"/>
        <v>0</v>
      </c>
      <c r="ET40" s="84" t="e">
        <f>+ES40/'Irradiancia Horizontal'!E92</f>
        <v>#DIV/0!</v>
      </c>
      <c r="EU40" s="38">
        <f t="shared" si="73"/>
        <v>-0.46330067609316905</v>
      </c>
      <c r="EV40" s="84">
        <f t="shared" si="214"/>
        <v>0</v>
      </c>
      <c r="EW40" s="84">
        <f t="shared" si="215"/>
        <v>8.6999999999999994E-2</v>
      </c>
      <c r="EX40" s="84" t="e">
        <f t="shared" si="216"/>
        <v>#DIV/0!</v>
      </c>
      <c r="EY40" s="84" t="e">
        <f t="shared" si="217"/>
        <v>#DIV/0!</v>
      </c>
      <c r="EZ40" s="84" t="e">
        <f t="shared" si="218"/>
        <v>#DIV/0!</v>
      </c>
      <c r="FA40" s="84" t="e">
        <f t="shared" si="219"/>
        <v>#DIV/0!</v>
      </c>
      <c r="FB40" s="84" t="e">
        <f t="shared" si="220"/>
        <v>#DIV/0!</v>
      </c>
      <c r="FC40" s="84" t="e">
        <f t="shared" si="221"/>
        <v>#DIV/0!</v>
      </c>
      <c r="FD40" s="84" t="e">
        <f t="shared" si="74"/>
        <v>#DIV/0!</v>
      </c>
      <c r="FE40" s="84" t="e">
        <f t="shared" si="75"/>
        <v>#DIV/0!</v>
      </c>
      <c r="FF40" s="88">
        <f t="shared" si="76"/>
        <v>0</v>
      </c>
      <c r="FG40" s="84" t="e">
        <f t="shared" si="313"/>
        <v>#DIV/0!</v>
      </c>
      <c r="FH40" s="84" t="e">
        <f t="shared" si="314"/>
        <v>#DIV/0!</v>
      </c>
      <c r="FI40" s="84" t="e">
        <f t="shared" si="315"/>
        <v>#DIV/0!</v>
      </c>
      <c r="FJ40" s="84" t="e">
        <f t="shared" si="316"/>
        <v>#DIV/0!</v>
      </c>
      <c r="FK40" s="84" t="e">
        <f t="shared" si="317"/>
        <v>#DIV/0!</v>
      </c>
      <c r="FL40" s="84" t="e">
        <f t="shared" si="318"/>
        <v>#DIV/0!</v>
      </c>
      <c r="FM40" s="84" t="e">
        <f t="shared" si="83"/>
        <v>#DIV/0!</v>
      </c>
      <c r="FN40" s="84" t="e">
        <f t="shared" si="84"/>
        <v>#DIV/0!</v>
      </c>
      <c r="FO40" s="106">
        <f>IF(DU40&lt;0,0,((0.5*(1-FM40)*(1+COS(RADIANS($EB$15))))+(FM40*(EV40/EW40))+(FN40*SIN(RADIANS($EB$15))))*'Irradiancia Horizontal'!E63)</f>
        <v>0</v>
      </c>
      <c r="FP40" s="106">
        <f t="shared" si="222"/>
        <v>0</v>
      </c>
      <c r="FQ40" s="84">
        <f>FP40*'Irradiancia Horizontal'!E92</f>
        <v>0</v>
      </c>
      <c r="FR40" s="84">
        <f t="shared" si="223"/>
        <v>0</v>
      </c>
      <c r="FS40" s="88">
        <f t="shared" si="85"/>
        <v>0</v>
      </c>
      <c r="FT40" s="84">
        <f t="shared" si="224"/>
        <v>0</v>
      </c>
      <c r="FU40" s="106">
        <f t="shared" si="225"/>
        <v>0</v>
      </c>
      <c r="FV40" s="106">
        <f t="shared" si="226"/>
        <v>0</v>
      </c>
      <c r="FW40" s="106">
        <f t="shared" si="227"/>
        <v>0</v>
      </c>
      <c r="FX40" s="83"/>
      <c r="FZ40" s="39">
        <v>0.95833333333333304</v>
      </c>
      <c r="GA40" s="38">
        <v>-165</v>
      </c>
      <c r="GB40" s="38">
        <f t="shared" si="86"/>
        <v>-46.838424540719231</v>
      </c>
      <c r="GC40" s="38">
        <f t="shared" si="369"/>
        <v>-21.756217560360398</v>
      </c>
      <c r="GD40" s="38">
        <f t="shared" si="88"/>
        <v>136.83842454071925</v>
      </c>
      <c r="GE40" s="38">
        <f>+'Irradiancia Horizontal'!F92/COS(RADIANS(GD40))</f>
        <v>0</v>
      </c>
      <c r="GF40" s="38" t="e">
        <f>((('Irradiancia Horizontal'!F63+GE40)/'Irradiancia Horizontal'!F63)+1.041*((RADIANS('Cálculos iluminancia'!GD40))^3))/(1+1.041*((RADIANS('Cálculos iluminancia'!GD40))^3))</f>
        <v>#DIV/0!</v>
      </c>
      <c r="GG40" s="84" t="e">
        <f t="shared" si="89"/>
        <v>#NUM!</v>
      </c>
      <c r="GH40" s="84" t="e">
        <f t="shared" si="276"/>
        <v>#NUM!</v>
      </c>
      <c r="GI40" s="106" t="e">
        <f>'Irradiancia Horizontal'!F63*GH40/$GG$15</f>
        <v>#NUM!</v>
      </c>
      <c r="GJ40" s="84">
        <f>((17.27*Temp!E33)/(237.7+Temp!E33))+LN(HR!E44/100)</f>
        <v>0.66491897095465569</v>
      </c>
      <c r="GK40" s="84">
        <f t="shared" si="228"/>
        <v>9.5182455972037072</v>
      </c>
      <c r="GL40" s="84">
        <f t="shared" si="229"/>
        <v>1.8062939265935849</v>
      </c>
      <c r="GM40" s="84" t="e">
        <f t="shared" si="319"/>
        <v>#DIV/0!</v>
      </c>
      <c r="GN40" s="84" t="e">
        <f t="shared" si="320"/>
        <v>#DIV/0!</v>
      </c>
      <c r="GO40" s="84" t="e">
        <f t="shared" si="321"/>
        <v>#DIV/0!</v>
      </c>
      <c r="GP40" s="84" t="e">
        <f t="shared" si="322"/>
        <v>#DIV/0!</v>
      </c>
      <c r="GQ40" s="84" t="e">
        <f t="shared" si="323"/>
        <v>#DIV/0!</v>
      </c>
      <c r="GR40" s="103">
        <f t="shared" si="96"/>
        <v>0</v>
      </c>
      <c r="GS40" s="165">
        <f>IF(GY40&gt;(GR40*'Irradiancia Horizontal'!F31),GY40,GR40*'Irradiancia Horizontal'!F31)</f>
        <v>0</v>
      </c>
      <c r="GT40" s="84" t="e">
        <f t="shared" si="324"/>
        <v>#DIV/0!</v>
      </c>
      <c r="GU40" s="84" t="e">
        <f t="shared" si="325"/>
        <v>#DIV/0!</v>
      </c>
      <c r="GV40" s="84" t="e">
        <f t="shared" si="326"/>
        <v>#DIV/0!</v>
      </c>
      <c r="GW40" s="84" t="e">
        <f t="shared" si="327"/>
        <v>#DIV/0!</v>
      </c>
      <c r="GX40" s="103">
        <f t="shared" si="101"/>
        <v>0</v>
      </c>
      <c r="GY40" s="84">
        <f>+GX40*'Irradiancia Horizontal'!F63</f>
        <v>0</v>
      </c>
      <c r="GZ40" s="84">
        <f t="shared" si="230"/>
        <v>0</v>
      </c>
      <c r="HA40" s="84" t="e">
        <f>+GZ40/'Irradiancia Horizontal'!F92</f>
        <v>#DIV/0!</v>
      </c>
      <c r="HB40" s="38">
        <f t="shared" si="102"/>
        <v>-0.6353321688247735</v>
      </c>
      <c r="HC40" s="84">
        <f t="shared" si="231"/>
        <v>0</v>
      </c>
      <c r="HD40" s="84">
        <f t="shared" si="232"/>
        <v>8.6999999999999994E-2</v>
      </c>
      <c r="HE40" s="84" t="e">
        <f t="shared" si="233"/>
        <v>#DIV/0!</v>
      </c>
      <c r="HF40" s="84" t="e">
        <f t="shared" si="234"/>
        <v>#DIV/0!</v>
      </c>
      <c r="HG40" s="84" t="e">
        <f t="shared" si="235"/>
        <v>#DIV/0!</v>
      </c>
      <c r="HH40" s="84" t="e">
        <f t="shared" si="236"/>
        <v>#DIV/0!</v>
      </c>
      <c r="HI40" s="84" t="e">
        <f t="shared" si="237"/>
        <v>#DIV/0!</v>
      </c>
      <c r="HJ40" s="84" t="e">
        <f t="shared" si="238"/>
        <v>#DIV/0!</v>
      </c>
      <c r="HK40" s="84" t="e">
        <f t="shared" si="103"/>
        <v>#DIV/0!</v>
      </c>
      <c r="HL40" s="84" t="e">
        <f t="shared" si="104"/>
        <v>#DIV/0!</v>
      </c>
      <c r="HM40" s="88">
        <f t="shared" si="105"/>
        <v>0</v>
      </c>
      <c r="HN40" s="84" t="e">
        <f t="shared" si="328"/>
        <v>#DIV/0!</v>
      </c>
      <c r="HO40" s="84" t="e">
        <f t="shared" si="329"/>
        <v>#DIV/0!</v>
      </c>
      <c r="HP40" s="84" t="e">
        <f t="shared" si="330"/>
        <v>#DIV/0!</v>
      </c>
      <c r="HQ40" s="84" t="e">
        <f t="shared" si="331"/>
        <v>#DIV/0!</v>
      </c>
      <c r="HR40" s="84" t="e">
        <f t="shared" si="332"/>
        <v>#DIV/0!</v>
      </c>
      <c r="HS40" s="84" t="e">
        <f t="shared" si="333"/>
        <v>#DIV/0!</v>
      </c>
      <c r="HT40" s="84" t="e">
        <f t="shared" si="112"/>
        <v>#DIV/0!</v>
      </c>
      <c r="HU40" s="84" t="e">
        <f t="shared" si="113"/>
        <v>#DIV/0!</v>
      </c>
      <c r="HV40" s="106">
        <f>IF(GB40&lt;0,0,((0.5*(1-HT40)*(1+COS(RADIANS($GI$15))))+(HT40*(HC40/HD40))+(HU40*SIN(RADIANS($GI$15))))*'Irradiancia Horizontal'!F63)</f>
        <v>0</v>
      </c>
      <c r="HW40" s="84">
        <f t="shared" si="114"/>
        <v>0</v>
      </c>
      <c r="HX40" s="84">
        <f>HW40*'Irradiancia Horizontal'!F92</f>
        <v>0</v>
      </c>
      <c r="HY40" s="84">
        <f t="shared" si="239"/>
        <v>0</v>
      </c>
      <c r="HZ40" s="88">
        <f t="shared" si="115"/>
        <v>0</v>
      </c>
      <c r="IA40" s="84">
        <f t="shared" si="240"/>
        <v>0</v>
      </c>
      <c r="IB40" s="106">
        <f t="shared" si="241"/>
        <v>0</v>
      </c>
      <c r="IC40" s="106">
        <f t="shared" si="242"/>
        <v>0</v>
      </c>
      <c r="ID40" s="106">
        <f t="shared" si="243"/>
        <v>0</v>
      </c>
      <c r="IE40" s="83"/>
      <c r="IG40" s="39">
        <v>0.95833333333333304</v>
      </c>
      <c r="IH40" s="38">
        <v>-165</v>
      </c>
      <c r="II40" s="38">
        <f t="shared" si="116"/>
        <v>-38.698645677170404</v>
      </c>
      <c r="IJ40" s="38">
        <f t="shared" si="370"/>
        <v>-18.140977525375803</v>
      </c>
      <c r="IK40" s="38">
        <f t="shared" si="118"/>
        <v>128.69864567717042</v>
      </c>
      <c r="IL40" s="38">
        <f>+'Irradiancia Horizontal'!G92/COS(RADIANS(IK40))</f>
        <v>0</v>
      </c>
      <c r="IM40" s="38" t="e">
        <f>((('Irradiancia Horizontal'!G63+IL40)/'Irradiancia Horizontal'!G63)+1.041*((RADIANS('Cálculos iluminancia'!IK40))^3))/(1+1.041*((RADIANS('Cálculos iluminancia'!IK40))^3))</f>
        <v>#DIV/0!</v>
      </c>
      <c r="IN40" s="87" t="e">
        <f t="shared" si="119"/>
        <v>#NUM!</v>
      </c>
      <c r="IO40" s="87" t="e">
        <f t="shared" si="334"/>
        <v>#NUM!</v>
      </c>
      <c r="IP40" s="106" t="e">
        <f>'Irradiancia Horizontal'!G63*IO40/$IN$15</f>
        <v>#NUM!</v>
      </c>
      <c r="IQ40" s="87">
        <f>((17.27*Temp!F33)/(237.7+Temp!F33))+LN(HR!F44/100)</f>
        <v>0.82806802552305869</v>
      </c>
      <c r="IR40" s="87">
        <f t="shared" si="244"/>
        <v>11.971328550220008</v>
      </c>
      <c r="IS40" s="87">
        <f t="shared" si="245"/>
        <v>2.1446856649945443</v>
      </c>
      <c r="IT40" s="87" t="e">
        <f t="shared" si="335"/>
        <v>#DIV/0!</v>
      </c>
      <c r="IU40" s="87" t="e">
        <f t="shared" si="336"/>
        <v>#DIV/0!</v>
      </c>
      <c r="IV40" s="87" t="e">
        <f t="shared" si="337"/>
        <v>#DIV/0!</v>
      </c>
      <c r="IW40" s="87" t="e">
        <f t="shared" si="338"/>
        <v>#DIV/0!</v>
      </c>
      <c r="IX40" s="87" t="e">
        <f t="shared" si="339"/>
        <v>#DIV/0!</v>
      </c>
      <c r="IY40" s="103">
        <f t="shared" si="126"/>
        <v>0</v>
      </c>
      <c r="IZ40" s="165">
        <f>IF(JF40&gt;(IY40*'Irradiancia Horizontal'!G31),JF40,IY40*'Irradiancia Horizontal'!G31)</f>
        <v>0</v>
      </c>
      <c r="JA40" s="87" t="e">
        <f t="shared" si="340"/>
        <v>#DIV/0!</v>
      </c>
      <c r="JB40" s="87" t="e">
        <f t="shared" si="341"/>
        <v>#DIV/0!</v>
      </c>
      <c r="JC40" s="87" t="e">
        <f t="shared" si="342"/>
        <v>#DIV/0!</v>
      </c>
      <c r="JD40" s="87" t="e">
        <f t="shared" si="343"/>
        <v>#DIV/0!</v>
      </c>
      <c r="JE40" s="103">
        <f t="shared" si="131"/>
        <v>0</v>
      </c>
      <c r="JF40" s="87">
        <f>+JE40*'Irradiancia Horizontal'!G63</f>
        <v>0</v>
      </c>
      <c r="JG40" s="87">
        <f t="shared" si="246"/>
        <v>0</v>
      </c>
      <c r="JH40" s="87" t="e">
        <f>+JG40/'Irradiancia Horizontal'!G92</f>
        <v>#DIV/0!</v>
      </c>
      <c r="JI40" s="38">
        <f t="shared" si="132"/>
        <v>-0.74165182760622228</v>
      </c>
      <c r="JJ40" s="87">
        <f t="shared" si="247"/>
        <v>0</v>
      </c>
      <c r="JK40" s="87">
        <f t="shared" si="248"/>
        <v>8.6999999999999994E-2</v>
      </c>
      <c r="JL40" s="87" t="e">
        <f t="shared" si="249"/>
        <v>#DIV/0!</v>
      </c>
      <c r="JM40" s="87" t="e">
        <f t="shared" si="250"/>
        <v>#DIV/0!</v>
      </c>
      <c r="JN40" s="87" t="e">
        <f t="shared" si="251"/>
        <v>#DIV/0!</v>
      </c>
      <c r="JO40" s="87" t="e">
        <f t="shared" si="252"/>
        <v>#DIV/0!</v>
      </c>
      <c r="JP40" s="87" t="e">
        <f t="shared" si="253"/>
        <v>#DIV/0!</v>
      </c>
      <c r="JQ40" s="87" t="e">
        <f t="shared" si="254"/>
        <v>#DIV/0!</v>
      </c>
      <c r="JR40" s="87" t="e">
        <f t="shared" si="133"/>
        <v>#DIV/0!</v>
      </c>
      <c r="JS40" s="87" t="e">
        <f t="shared" si="134"/>
        <v>#DIV/0!</v>
      </c>
      <c r="JT40" s="88">
        <f t="shared" si="135"/>
        <v>0</v>
      </c>
      <c r="JU40" s="87" t="e">
        <f t="shared" si="344"/>
        <v>#DIV/0!</v>
      </c>
      <c r="JV40" s="87" t="e">
        <f t="shared" si="345"/>
        <v>#DIV/0!</v>
      </c>
      <c r="JW40" s="87" t="e">
        <f t="shared" si="346"/>
        <v>#DIV/0!</v>
      </c>
      <c r="JX40" s="87" t="e">
        <f t="shared" si="347"/>
        <v>#DIV/0!</v>
      </c>
      <c r="JY40" s="87" t="e">
        <f t="shared" si="348"/>
        <v>#DIV/0!</v>
      </c>
      <c r="JZ40" s="87" t="e">
        <f t="shared" si="349"/>
        <v>#DIV/0!</v>
      </c>
      <c r="KA40" s="87" t="e">
        <f t="shared" si="142"/>
        <v>#DIV/0!</v>
      </c>
      <c r="KB40" s="87" t="e">
        <f t="shared" si="143"/>
        <v>#DIV/0!</v>
      </c>
      <c r="KC40" s="106">
        <f>IF(II40&lt;0,0,((0.5*(1-KA40)*(1+COS(RADIANS($IP$15))))+(KA40*(JJ40/JK40))+(KB40*SIN(RADIANS($IP$15))))*'Irradiancia Horizontal'!G63)</f>
        <v>0</v>
      </c>
      <c r="KD40" s="87">
        <f t="shared" si="144"/>
        <v>0</v>
      </c>
      <c r="KE40" s="87">
        <f>KD40*'Irradiancia Horizontal'!G92</f>
        <v>0</v>
      </c>
      <c r="KF40" s="87">
        <f t="shared" si="255"/>
        <v>0</v>
      </c>
      <c r="KG40" s="88">
        <f t="shared" si="145"/>
        <v>0</v>
      </c>
      <c r="KH40" s="87">
        <f t="shared" si="256"/>
        <v>0</v>
      </c>
      <c r="KI40" s="106">
        <f t="shared" si="257"/>
        <v>0</v>
      </c>
      <c r="KJ40" s="106">
        <f t="shared" si="258"/>
        <v>0</v>
      </c>
      <c r="KK40" s="106">
        <f t="shared" si="259"/>
        <v>0</v>
      </c>
      <c r="KL40" s="86"/>
      <c r="KN40" s="39">
        <v>0.95833333333333304</v>
      </c>
      <c r="KO40" s="38">
        <v>-165</v>
      </c>
      <c r="KP40" s="38">
        <f t="shared" si="146"/>
        <v>-35.522989333110012</v>
      </c>
      <c r="KQ40" s="38">
        <f t="shared" si="371"/>
        <v>-16.962222906987591</v>
      </c>
      <c r="KR40" s="38">
        <f t="shared" si="148"/>
        <v>125.52298933311002</v>
      </c>
      <c r="KS40" s="38">
        <f>+'Irradiancia Horizontal'!H92/COS(RADIANS(KR40))</f>
        <v>0</v>
      </c>
      <c r="KT40" s="38" t="e">
        <f>((('Irradiancia Horizontal'!H63+KS40)/'Irradiancia Horizontal'!H63)+1.041*((RADIANS('Cálculos iluminancia'!KR40))^3))/(1+1.041*((RADIANS('Cálculos iluminancia'!KR40))^3))</f>
        <v>#DIV/0!</v>
      </c>
      <c r="KU40" s="87" t="e">
        <f t="shared" si="149"/>
        <v>#NUM!</v>
      </c>
      <c r="KV40" s="87" t="e">
        <f t="shared" si="350"/>
        <v>#NUM!</v>
      </c>
      <c r="KW40" s="106" t="e">
        <f>'Irradiancia Horizontal'!H63*KV40/$KU$15</f>
        <v>#NUM!</v>
      </c>
      <c r="KX40" s="87">
        <f>((17.27*Temp!G33)/(237.7+Temp!G33))+LN(HR!G44/100)</f>
        <v>1.1189069312441142</v>
      </c>
      <c r="KY40" s="87">
        <f t="shared" si="260"/>
        <v>16.467255586015462</v>
      </c>
      <c r="KZ40" s="87">
        <f t="shared" si="261"/>
        <v>2.9379377540448846</v>
      </c>
      <c r="LA40" s="87" t="e">
        <f t="shared" si="351"/>
        <v>#DIV/0!</v>
      </c>
      <c r="LB40" s="87" t="e">
        <f t="shared" si="352"/>
        <v>#DIV/0!</v>
      </c>
      <c r="LC40" s="87" t="e">
        <f t="shared" si="353"/>
        <v>#DIV/0!</v>
      </c>
      <c r="LD40" s="87" t="e">
        <f t="shared" si="354"/>
        <v>#DIV/0!</v>
      </c>
      <c r="LE40" s="87" t="e">
        <f t="shared" si="355"/>
        <v>#DIV/0!</v>
      </c>
      <c r="LF40" s="103">
        <f t="shared" si="156"/>
        <v>0</v>
      </c>
      <c r="LG40" s="165">
        <f>IF(LM40&gt;(LF40*'Irradiancia Horizontal'!H31),LM40,LF40*'Irradiancia Horizontal'!H31)</f>
        <v>0</v>
      </c>
      <c r="LH40" s="87" t="e">
        <f t="shared" si="356"/>
        <v>#DIV/0!</v>
      </c>
      <c r="LI40" s="87" t="e">
        <f t="shared" si="357"/>
        <v>#DIV/0!</v>
      </c>
      <c r="LJ40" s="87" t="e">
        <f t="shared" si="358"/>
        <v>#DIV/0!</v>
      </c>
      <c r="LK40" s="87" t="e">
        <f t="shared" si="359"/>
        <v>#DIV/0!</v>
      </c>
      <c r="LL40" s="103">
        <f t="shared" si="161"/>
        <v>0</v>
      </c>
      <c r="LM40" s="87">
        <f>+LL40*'Irradiancia Horizontal'!H63</f>
        <v>0</v>
      </c>
      <c r="LN40" s="87">
        <f t="shared" si="262"/>
        <v>0</v>
      </c>
      <c r="LO40" s="87" t="e">
        <f>+LN40/'Irradiancia Horizontal'!H92</f>
        <v>#DIV/0!</v>
      </c>
      <c r="LP40" s="38">
        <f t="shared" si="162"/>
        <v>-0.77847638306406575</v>
      </c>
      <c r="LQ40" s="87">
        <f t="shared" si="263"/>
        <v>0</v>
      </c>
      <c r="LR40" s="87">
        <f t="shared" si="264"/>
        <v>8.6999999999999994E-2</v>
      </c>
      <c r="LS40" s="87" t="e">
        <f t="shared" si="265"/>
        <v>#DIV/0!</v>
      </c>
      <c r="LT40" s="87" t="e">
        <f t="shared" si="266"/>
        <v>#DIV/0!</v>
      </c>
      <c r="LU40" s="87" t="e">
        <f t="shared" si="267"/>
        <v>#DIV/0!</v>
      </c>
      <c r="LV40" s="87" t="e">
        <f t="shared" si="268"/>
        <v>#DIV/0!</v>
      </c>
      <c r="LW40" s="87" t="e">
        <f t="shared" si="269"/>
        <v>#DIV/0!</v>
      </c>
      <c r="LX40" s="87" t="e">
        <f t="shared" si="270"/>
        <v>#DIV/0!</v>
      </c>
      <c r="LY40" s="87" t="e">
        <f t="shared" si="163"/>
        <v>#DIV/0!</v>
      </c>
      <c r="LZ40" s="87" t="e">
        <f t="shared" si="164"/>
        <v>#DIV/0!</v>
      </c>
      <c r="MA40" s="88">
        <f t="shared" si="165"/>
        <v>0</v>
      </c>
      <c r="MB40" s="87" t="e">
        <f t="shared" si="360"/>
        <v>#DIV/0!</v>
      </c>
      <c r="MC40" s="87" t="e">
        <f t="shared" si="361"/>
        <v>#DIV/0!</v>
      </c>
      <c r="MD40" s="87" t="e">
        <f t="shared" si="362"/>
        <v>#DIV/0!</v>
      </c>
      <c r="ME40" s="87" t="e">
        <f t="shared" si="363"/>
        <v>#DIV/0!</v>
      </c>
      <c r="MF40" s="87" t="e">
        <f t="shared" si="364"/>
        <v>#DIV/0!</v>
      </c>
      <c r="MG40" s="87" t="e">
        <f t="shared" si="365"/>
        <v>#DIV/0!</v>
      </c>
      <c r="MH40" s="87" t="e">
        <f t="shared" si="172"/>
        <v>#DIV/0!</v>
      </c>
      <c r="MI40" s="87" t="e">
        <f t="shared" si="173"/>
        <v>#DIV/0!</v>
      </c>
      <c r="MJ40" s="106">
        <f>IF(KP40&lt;0,0,((0.5*(1-MH40)*(1+COS(RADIANS($KW$15))))+(MH40*(LQ40/LR40))+(MI40*SIN(RADIANS($KW$15))))*'Irradiancia Horizontal'!H63)</f>
        <v>0</v>
      </c>
      <c r="MK40" s="87">
        <f t="shared" si="174"/>
        <v>0</v>
      </c>
      <c r="ML40" s="87">
        <f>MK40*'Irradiancia Horizontal'!H92</f>
        <v>0</v>
      </c>
      <c r="MM40" s="87">
        <f t="shared" si="271"/>
        <v>0</v>
      </c>
      <c r="MN40" s="88">
        <f t="shared" si="175"/>
        <v>0</v>
      </c>
      <c r="MO40" s="87">
        <f t="shared" si="272"/>
        <v>0</v>
      </c>
      <c r="MP40" s="106">
        <f t="shared" si="273"/>
        <v>0</v>
      </c>
      <c r="MQ40" s="106">
        <f t="shared" si="274"/>
        <v>0</v>
      </c>
      <c r="MR40" s="106">
        <f t="shared" si="275"/>
        <v>0</v>
      </c>
    </row>
    <row r="41" spans="4:356" x14ac:dyDescent="0.25">
      <c r="E41" s="39">
        <v>1</v>
      </c>
      <c r="F41" s="38">
        <v>-180</v>
      </c>
      <c r="G41" s="38">
        <f t="shared" si="0"/>
        <v>-81.058014821567568</v>
      </c>
      <c r="H41" s="38">
        <f>+IF(H15&gt;=-19,0,180)</f>
        <v>0</v>
      </c>
      <c r="I41" s="38">
        <f t="shared" si="2"/>
        <v>171.05801482156755</v>
      </c>
      <c r="J41" s="38">
        <f>'Irradiancia Horizontal'!C93/COS(RADIANS(I41))</f>
        <v>0</v>
      </c>
      <c r="K41" s="38" t="e">
        <f>((('Irradiancia Horizontal'!C64+J41)/'Irradiancia Horizontal'!C64)+1.041*((RADIANS('Cálculos iluminancia'!I41))^3))/(1+1.041*((RADIANS('Cálculos iluminancia'!I41))^3))</f>
        <v>#DIV/0!</v>
      </c>
      <c r="L41" s="36" t="e">
        <f t="shared" si="3"/>
        <v>#NUM!</v>
      </c>
      <c r="M41" s="36" t="e">
        <f t="shared" si="4"/>
        <v>#NUM!</v>
      </c>
      <c r="N41" s="106" t="e">
        <f>'Irradiancia Horizontal'!C64*M41/$L$15</f>
        <v>#NUM!</v>
      </c>
      <c r="O41" s="71">
        <f>((17.27*Temp!B10)/(237.7+Temp!B10))+LN(HR!B21/100)</f>
        <v>0.42348847382480193</v>
      </c>
      <c r="P41" s="71">
        <f t="shared" si="176"/>
        <v>5.9753148342759479</v>
      </c>
      <c r="Q41" s="71">
        <f t="shared" si="177"/>
        <v>1.4095521620882305</v>
      </c>
      <c r="R41" s="71" t="e">
        <f t="shared" si="277"/>
        <v>#DIV/0!</v>
      </c>
      <c r="S41" s="71" t="e">
        <f t="shared" si="6"/>
        <v>#DIV/0!</v>
      </c>
      <c r="T41" s="71" t="e">
        <f t="shared" si="7"/>
        <v>#DIV/0!</v>
      </c>
      <c r="U41" s="71" t="e">
        <f t="shared" si="8"/>
        <v>#DIV/0!</v>
      </c>
      <c r="V41" s="71" t="e">
        <f t="shared" si="9"/>
        <v>#DIV/0!</v>
      </c>
      <c r="W41" s="103">
        <f t="shared" si="10"/>
        <v>0</v>
      </c>
      <c r="X41" s="165">
        <f>IF(AD41&gt;(W41*'Irradiancia Horizontal'!C32),AD41,W41*'Irradiancia Horizontal'!C32)</f>
        <v>0</v>
      </c>
      <c r="Y41" s="71" t="e">
        <f t="shared" si="278"/>
        <v>#DIV/0!</v>
      </c>
      <c r="Z41" s="71" t="e">
        <f t="shared" si="279"/>
        <v>#DIV/0!</v>
      </c>
      <c r="AA41" s="71" t="e">
        <f t="shared" si="280"/>
        <v>#DIV/0!</v>
      </c>
      <c r="AB41" s="71" t="e">
        <f t="shared" si="281"/>
        <v>#DIV/0!</v>
      </c>
      <c r="AC41" s="103">
        <f t="shared" si="15"/>
        <v>0</v>
      </c>
      <c r="AD41" s="71">
        <f>+AC41*'Irradiancia Horizontal'!C64</f>
        <v>0</v>
      </c>
      <c r="AE41" s="71">
        <f t="shared" si="16"/>
        <v>0</v>
      </c>
      <c r="AF41" s="71" t="e">
        <f>+AE41/'Irradiancia Horizontal'!C93</f>
        <v>#DIV/0!</v>
      </c>
      <c r="AG41" s="38">
        <f t="shared" si="282"/>
        <v>-0.15543430153350513</v>
      </c>
      <c r="AH41" s="84">
        <f t="shared" si="178"/>
        <v>0</v>
      </c>
      <c r="AI41" s="84">
        <f t="shared" si="179"/>
        <v>8.6999999999999994E-2</v>
      </c>
      <c r="AJ41" s="84" t="e">
        <f t="shared" si="180"/>
        <v>#DIV/0!</v>
      </c>
      <c r="AK41" s="84" t="e">
        <f t="shared" si="181"/>
        <v>#DIV/0!</v>
      </c>
      <c r="AL41" s="84" t="e">
        <f t="shared" si="182"/>
        <v>#DIV/0!</v>
      </c>
      <c r="AM41" s="84" t="e">
        <f t="shared" si="183"/>
        <v>#DIV/0!</v>
      </c>
      <c r="AN41" s="84" t="e">
        <f t="shared" si="184"/>
        <v>#DIV/0!</v>
      </c>
      <c r="AO41" s="84" t="e">
        <f t="shared" si="185"/>
        <v>#DIV/0!</v>
      </c>
      <c r="AP41" s="84" t="e">
        <f t="shared" si="18"/>
        <v>#DIV/0!</v>
      </c>
      <c r="AQ41" s="84" t="e">
        <f t="shared" si="19"/>
        <v>#DIV/0!</v>
      </c>
      <c r="AR41" s="88">
        <f t="shared" si="20"/>
        <v>0</v>
      </c>
      <c r="AS41" s="84" t="e">
        <f t="shared" ref="AS41" si="372">IF(R41=1,$AB$81,IF(R41=2,$AB$82,IF(R41=3,$AB$83,IF(R41=4,$AB$84,IF(R41=5,$AB$85,IF(R41=6,$AB$86,IF(R41=7,$AB$87,$AB$88)))))))</f>
        <v>#DIV/0!</v>
      </c>
      <c r="AT41" s="84" t="e">
        <f t="shared" ref="AT41" si="373">IF(R41=1,$AC$81,IF(R41=2,$AC$82,IF(R41=3,$AC$83,IF(R41=4,$AC$84,IF(R41=5,$AC$85,IF(R41=6,$AC$86,IF(R41=7,$AC$87,$AC$88)))))))</f>
        <v>#DIV/0!</v>
      </c>
      <c r="AU41" s="84" t="e">
        <f t="shared" ref="AU41" si="374">IF(R41=1,$AD$81,IF(R41=2,$AD$82,IF(R41=3,$AD$83,IF(R41=4,$AD$84,IF(R41=5,$AD$85,IF(R41=6,$AD$86,IF(R41=7,$AD$87,$AD$88)))))))</f>
        <v>#DIV/0!</v>
      </c>
      <c r="AV41" s="84" t="e">
        <f t="shared" ref="AV41" si="375">IF(R41=1,$AE$81,IF(R41=2,$AE$82,IF(R41=3,$AE$83,IF(R41=4,$AE$84,IF(R41=5,$AE$85,IF(R41=6,$AE$86,IF(R41=7,$AE$87,$AE$88)))))))</f>
        <v>#DIV/0!</v>
      </c>
      <c r="AW41" s="84" t="e">
        <f t="shared" ref="AW41" si="376">IF(R41=1,$AF$81,IF(R41=2,$AF$82,IF(R41=3,$AF$83,IF(R41=4,$AF$84,IF(R41=5,$AF$85,IF(R41=6,$AF$86,IF(R41=7,$AF$87,$AF$88)))))))</f>
        <v>#DIV/0!</v>
      </c>
      <c r="AX41" s="84" t="e">
        <f t="shared" ref="AX41" si="377">IF(R41=1,$AG$81,IF(R41=2,$AG$82,IF(R41=3,$AG$83,IF(R41=4,$AG$84,IF(R41=5,$AG$85,IF(R41=6,$AG$86,IF(R41=7,$AG$87,$AG$88)))))))</f>
        <v>#DIV/0!</v>
      </c>
      <c r="AY41" s="84" t="e">
        <f t="shared" si="27"/>
        <v>#DIV/0!</v>
      </c>
      <c r="AZ41" s="84" t="e">
        <f t="shared" si="28"/>
        <v>#DIV/0!</v>
      </c>
      <c r="BA41" s="106">
        <f>IF(G41&lt;0,0,((0.5*(1-AY41)*(1+COS(RADIANS($N$15))))+(AY41*(AH41/AI41))+(AZ41*SIN(RADIANS($N$15))))*'Irradiancia Horizontal'!C64)</f>
        <v>0</v>
      </c>
      <c r="BB41" s="106">
        <f t="shared" si="186"/>
        <v>0</v>
      </c>
      <c r="BC41" s="84">
        <f>BB41*'Irradiancia Horizontal'!C93</f>
        <v>0</v>
      </c>
      <c r="BD41" s="84">
        <f t="shared" si="187"/>
        <v>0</v>
      </c>
      <c r="BE41" s="88">
        <f t="shared" si="29"/>
        <v>0</v>
      </c>
      <c r="BF41" s="84">
        <f t="shared" si="188"/>
        <v>0</v>
      </c>
      <c r="BG41" s="106">
        <f t="shared" si="189"/>
        <v>0</v>
      </c>
      <c r="BH41" s="106">
        <f t="shared" si="190"/>
        <v>0</v>
      </c>
      <c r="BI41" s="106">
        <f t="shared" si="191"/>
        <v>0</v>
      </c>
      <c r="BJ41" s="72"/>
      <c r="BK41" s="13"/>
      <c r="BL41" s="39">
        <v>1</v>
      </c>
      <c r="BM41" s="38">
        <v>-180</v>
      </c>
      <c r="BN41" s="38">
        <f t="shared" si="30"/>
        <v>-72.146308550715247</v>
      </c>
      <c r="BO41" s="38">
        <f>IF(((((SIN(RADIANS(BN41)))*SIN(RADIANS($BO$15)))-SIN(RADIANS($BO$15)))/((COS(RADIANS(BN41)))*COS(RADIANS($BO$15))))&lt;=-1,-(180-DEGREES(ACOS(-1))),IF(((((SIN(RADIANS(BN41)))*SIN(RADIANS($BO$15)))-SIN(RADIANS($BO$15)))/((COS(RADIANS(BN41)))*COS(RADIANS($BO$15))))&gt;=1,-(180-DEGREES(ACOS(1))),-(180-DEGREES(ACOS((((SIN(RADIANS(BN41)))*SIN(RADIANS($BO$15)))-SIN(RADIANS($BN$15)))/((COS(RADIANS(BN41)))*COS(RADIANS($BO$15))))))))</f>
        <v>0</v>
      </c>
      <c r="BP41" s="38">
        <f t="shared" si="32"/>
        <v>162.14630855071525</v>
      </c>
      <c r="BQ41" s="38">
        <f>+'Irradiancia Horizontal'!D93/COS(RADIANS(BP41))</f>
        <v>0</v>
      </c>
      <c r="BR41" s="38" t="e">
        <f>((('Irradiancia Horizontal'!D64+BQ41)/'Irradiancia Horizontal'!D64)+1.041*((RADIANS('Cálculos iluminancia'!BP41))^3))/(1+1.041*((RADIANS('Cálculos iluminancia'!BP41))^3))</f>
        <v>#DIV/0!</v>
      </c>
      <c r="BS41" s="84" t="e">
        <f t="shared" si="33"/>
        <v>#NUM!</v>
      </c>
      <c r="BT41" s="84" t="e">
        <f t="shared" si="192"/>
        <v>#NUM!</v>
      </c>
      <c r="BU41" s="106" t="e">
        <f>'Irradiancia Horizontal'!D64*BT41/$BS$15</f>
        <v>#NUM!</v>
      </c>
      <c r="BV41" s="84">
        <f>((17.27*Temp!C10)/(237.7+Temp!C10))+LN(HR!C21/100)</f>
        <v>0.47575748215841818</v>
      </c>
      <c r="BW41" s="84">
        <f t="shared" si="193"/>
        <v>6.7337096858590648</v>
      </c>
      <c r="BX41" s="84">
        <f t="shared" si="194"/>
        <v>1.486403848194543</v>
      </c>
      <c r="BY41" s="84" t="e">
        <f t="shared" si="289"/>
        <v>#DIV/0!</v>
      </c>
      <c r="BZ41" s="84" t="e">
        <f t="shared" si="290"/>
        <v>#DIV/0!</v>
      </c>
      <c r="CA41" s="84" t="e">
        <f t="shared" si="291"/>
        <v>#DIV/0!</v>
      </c>
      <c r="CB41" s="84" t="e">
        <f t="shared" si="292"/>
        <v>#DIV/0!</v>
      </c>
      <c r="CC41" s="84" t="e">
        <f t="shared" si="293"/>
        <v>#DIV/0!</v>
      </c>
      <c r="CD41" s="103">
        <f t="shared" si="39"/>
        <v>0</v>
      </c>
      <c r="CE41" s="165">
        <f>IF(CK41&gt;(CD41*'Irradiancia Horizontal'!D32),CK41,CD41*'Irradiancia Horizontal'!D32)</f>
        <v>0</v>
      </c>
      <c r="CF41" s="84" t="e">
        <f t="shared" si="294"/>
        <v>#DIV/0!</v>
      </c>
      <c r="CG41" s="84" t="e">
        <f t="shared" si="295"/>
        <v>#DIV/0!</v>
      </c>
      <c r="CH41" s="84" t="e">
        <f t="shared" si="296"/>
        <v>#DIV/0!</v>
      </c>
      <c r="CI41" s="84" t="e">
        <f t="shared" si="297"/>
        <v>#DIV/0!</v>
      </c>
      <c r="CJ41" s="103">
        <f t="shared" si="44"/>
        <v>0</v>
      </c>
      <c r="CK41" s="84">
        <f>+CJ41*'Irradiancia Horizontal'!D64</f>
        <v>0</v>
      </c>
      <c r="CL41" s="84">
        <f t="shared" si="195"/>
        <v>0</v>
      </c>
      <c r="CM41" s="84" t="e">
        <f>+CL41/'Irradiancia Horizontal'!D93</f>
        <v>#DIV/0!</v>
      </c>
      <c r="CN41" s="38">
        <f t="shared" si="45"/>
        <v>-0.30658740399030854</v>
      </c>
      <c r="CO41" s="84">
        <f t="shared" si="196"/>
        <v>0</v>
      </c>
      <c r="CP41" s="84">
        <f t="shared" si="197"/>
        <v>8.6999999999999994E-2</v>
      </c>
      <c r="CQ41" s="84" t="e">
        <f t="shared" si="198"/>
        <v>#DIV/0!</v>
      </c>
      <c r="CR41" s="84" t="e">
        <f t="shared" si="199"/>
        <v>#DIV/0!</v>
      </c>
      <c r="CS41" s="84" t="e">
        <f t="shared" si="200"/>
        <v>#DIV/0!</v>
      </c>
      <c r="CT41" s="84" t="e">
        <f t="shared" si="201"/>
        <v>#DIV/0!</v>
      </c>
      <c r="CU41" s="84" t="e">
        <f t="shared" si="202"/>
        <v>#DIV/0!</v>
      </c>
      <c r="CV41" s="84" t="e">
        <f t="shared" si="203"/>
        <v>#DIV/0!</v>
      </c>
      <c r="CW41" s="84" t="e">
        <f t="shared" si="46"/>
        <v>#DIV/0!</v>
      </c>
      <c r="CX41" s="84" t="e">
        <f t="shared" si="47"/>
        <v>#DIV/0!</v>
      </c>
      <c r="CY41" s="88">
        <f t="shared" si="48"/>
        <v>0</v>
      </c>
      <c r="CZ41" s="84" t="e">
        <f t="shared" si="298"/>
        <v>#DIV/0!</v>
      </c>
      <c r="DA41" s="84" t="e">
        <f t="shared" si="299"/>
        <v>#DIV/0!</v>
      </c>
      <c r="DB41" s="84" t="e">
        <f t="shared" si="300"/>
        <v>#DIV/0!</v>
      </c>
      <c r="DC41" s="84" t="e">
        <f t="shared" si="301"/>
        <v>#DIV/0!</v>
      </c>
      <c r="DD41" s="84" t="e">
        <f t="shared" si="302"/>
        <v>#DIV/0!</v>
      </c>
      <c r="DE41" s="84" t="e">
        <f t="shared" si="303"/>
        <v>#DIV/0!</v>
      </c>
      <c r="DF41" s="84" t="e">
        <f t="shared" si="55"/>
        <v>#DIV/0!</v>
      </c>
      <c r="DG41" s="84" t="e">
        <f t="shared" si="56"/>
        <v>#DIV/0!</v>
      </c>
      <c r="DH41" s="106">
        <f>IF(BN41&lt;0,0,((0.5*(1-DF41)*(1+COS(RADIANS($BU$15))))+(DF41*(CO41/CP41))+(DG41*SIN(RADIANS($BU$15))))*'Irradiancia Horizontal'!D64)</f>
        <v>0</v>
      </c>
      <c r="DI41" s="106">
        <f t="shared" si="204"/>
        <v>0</v>
      </c>
      <c r="DJ41" s="84">
        <f>DI41*'Irradiancia Horizontal'!D93</f>
        <v>0</v>
      </c>
      <c r="DK41" s="84">
        <f t="shared" si="205"/>
        <v>0</v>
      </c>
      <c r="DL41" s="88">
        <f t="shared" si="57"/>
        <v>0</v>
      </c>
      <c r="DM41" s="84">
        <f t="shared" si="206"/>
        <v>0</v>
      </c>
      <c r="DN41" s="106">
        <f t="shared" si="207"/>
        <v>0</v>
      </c>
      <c r="DO41" s="106">
        <f t="shared" si="208"/>
        <v>0</v>
      </c>
      <c r="DP41" s="106">
        <f t="shared" si="209"/>
        <v>0</v>
      </c>
      <c r="DQ41" s="44"/>
      <c r="DS41" s="39">
        <v>1</v>
      </c>
      <c r="DT41" s="38">
        <v>-180</v>
      </c>
      <c r="DU41" s="38">
        <f t="shared" si="58"/>
        <v>-61.323653201854306</v>
      </c>
      <c r="DV41" s="38">
        <f>IF(((((SIN(RADIANS(DU41)))*SIN(RADIANS($DV$15)))-SIN(RADIANS($DV$15)))/((COS(RADIANS(DU41)))*COS(RADIANS($DV$15))))&lt;=-1,-(180-DEGREES(ACOS(-1))),-(180-DEGREES(ACOS((((SIN(RADIANS(DU41)))*SIN(RADIANS($DV$15)))-SIN(RADIANS($DU$15)))/((COS(RADIANS(DU41)))*COS(RADIANS($DV$15)))))))</f>
        <v>0</v>
      </c>
      <c r="DW41" s="38">
        <f t="shared" si="60"/>
        <v>151.32365320185431</v>
      </c>
      <c r="DX41" s="38">
        <f>+'Irradiancia Horizontal'!E93/COS(RADIANS(DW41))</f>
        <v>0</v>
      </c>
      <c r="DY41" s="38" t="e">
        <f>((('Irradiancia Horizontal'!E64+DX41)/'Irradiancia Horizontal'!E64)+1.041*((RADIANS('Cálculos iluminancia'!DW41))^3))/(1+1.041*((RADIANS('Cálculos iluminancia'!DW41))^3))</f>
        <v>#DIV/0!</v>
      </c>
      <c r="DZ41" s="84" t="e">
        <f t="shared" si="61"/>
        <v>#NUM!</v>
      </c>
      <c r="EA41" s="84" t="e">
        <f t="shared" si="210"/>
        <v>#NUM!</v>
      </c>
      <c r="EB41" s="106" t="e">
        <f>'Irradiancia Horizontal'!E64*EA41/$DZ$15</f>
        <v>#NUM!</v>
      </c>
      <c r="EC41" s="84">
        <f>((17.27*Temp!D10)/(237.7+Temp!D10))+LN(HR!D21/100)</f>
        <v>0.51902509225303828</v>
      </c>
      <c r="ED41" s="84">
        <f t="shared" si="211"/>
        <v>7.3650796510649785</v>
      </c>
      <c r="EE41" s="84">
        <f t="shared" si="212"/>
        <v>1.5535701043933308</v>
      </c>
      <c r="EF41" s="84" t="e">
        <f t="shared" si="304"/>
        <v>#DIV/0!</v>
      </c>
      <c r="EG41" s="84" t="e">
        <f t="shared" si="305"/>
        <v>#DIV/0!</v>
      </c>
      <c r="EH41" s="84" t="e">
        <f t="shared" si="306"/>
        <v>#DIV/0!</v>
      </c>
      <c r="EI41" s="84" t="e">
        <f t="shared" si="307"/>
        <v>#DIV/0!</v>
      </c>
      <c r="EJ41" s="84" t="e">
        <f t="shared" si="308"/>
        <v>#DIV/0!</v>
      </c>
      <c r="EK41" s="103">
        <f t="shared" si="67"/>
        <v>0</v>
      </c>
      <c r="EL41" s="165">
        <f>IF(ER41&gt;(EK41*'Irradiancia Horizontal'!E32),ER41,EK41*'Irradiancia Horizontal'!E32)</f>
        <v>0</v>
      </c>
      <c r="EM41" s="84" t="e">
        <f t="shared" si="309"/>
        <v>#DIV/0!</v>
      </c>
      <c r="EN41" s="84" t="e">
        <f t="shared" si="310"/>
        <v>#DIV/0!</v>
      </c>
      <c r="EO41" s="84" t="e">
        <f t="shared" si="311"/>
        <v>#DIV/0!</v>
      </c>
      <c r="EP41" s="84" t="e">
        <f t="shared" si="312"/>
        <v>#DIV/0!</v>
      </c>
      <c r="EQ41" s="103">
        <f t="shared" si="72"/>
        <v>0</v>
      </c>
      <c r="ER41" s="84">
        <f>+EQ41*'Irradiancia Horizontal'!E64</f>
        <v>0</v>
      </c>
      <c r="ES41" s="84">
        <f t="shared" si="213"/>
        <v>0</v>
      </c>
      <c r="ET41" s="84" t="e">
        <f>+ES41/'Irradiancia Horizontal'!E93</f>
        <v>#DIV/0!</v>
      </c>
      <c r="EU41" s="38">
        <f t="shared" si="73"/>
        <v>-0.47986134756996823</v>
      </c>
      <c r="EV41" s="84">
        <f t="shared" si="214"/>
        <v>0</v>
      </c>
      <c r="EW41" s="84">
        <f t="shared" si="215"/>
        <v>8.6999999999999994E-2</v>
      </c>
      <c r="EX41" s="84" t="e">
        <f t="shared" si="216"/>
        <v>#DIV/0!</v>
      </c>
      <c r="EY41" s="84" t="e">
        <f t="shared" si="217"/>
        <v>#DIV/0!</v>
      </c>
      <c r="EZ41" s="84" t="e">
        <f t="shared" si="218"/>
        <v>#DIV/0!</v>
      </c>
      <c r="FA41" s="84" t="e">
        <f t="shared" si="219"/>
        <v>#DIV/0!</v>
      </c>
      <c r="FB41" s="84" t="e">
        <f t="shared" si="220"/>
        <v>#DIV/0!</v>
      </c>
      <c r="FC41" s="84" t="e">
        <f t="shared" si="221"/>
        <v>#DIV/0!</v>
      </c>
      <c r="FD41" s="84" t="e">
        <f t="shared" si="74"/>
        <v>#DIV/0!</v>
      </c>
      <c r="FE41" s="84" t="e">
        <f t="shared" si="75"/>
        <v>#DIV/0!</v>
      </c>
      <c r="FF41" s="88">
        <f t="shared" si="76"/>
        <v>0</v>
      </c>
      <c r="FG41" s="84" t="e">
        <f t="shared" si="313"/>
        <v>#DIV/0!</v>
      </c>
      <c r="FH41" s="84" t="e">
        <f t="shared" si="314"/>
        <v>#DIV/0!</v>
      </c>
      <c r="FI41" s="84" t="e">
        <f t="shared" si="315"/>
        <v>#DIV/0!</v>
      </c>
      <c r="FJ41" s="84" t="e">
        <f t="shared" si="316"/>
        <v>#DIV/0!</v>
      </c>
      <c r="FK41" s="84" t="e">
        <f t="shared" si="317"/>
        <v>#DIV/0!</v>
      </c>
      <c r="FL41" s="84" t="e">
        <f t="shared" si="318"/>
        <v>#DIV/0!</v>
      </c>
      <c r="FM41" s="84" t="e">
        <f t="shared" si="83"/>
        <v>#DIV/0!</v>
      </c>
      <c r="FN41" s="84" t="e">
        <f t="shared" si="84"/>
        <v>#DIV/0!</v>
      </c>
      <c r="FO41" s="106">
        <f>IF(DU41&lt;0,0,((0.5*(1-FM41)*(1+COS(RADIANS($EB$15))))+(FM41*(EV41/EW41))+(FN41*SIN(RADIANS($EB$15))))*'Irradiancia Horizontal'!E64)</f>
        <v>0</v>
      </c>
      <c r="FP41" s="106">
        <f t="shared" si="222"/>
        <v>0</v>
      </c>
      <c r="FQ41" s="84">
        <f>FP41*'Irradiancia Horizontal'!E93</f>
        <v>0</v>
      </c>
      <c r="FR41" s="84">
        <f t="shared" si="223"/>
        <v>0</v>
      </c>
      <c r="FS41" s="88">
        <f t="shared" si="85"/>
        <v>0</v>
      </c>
      <c r="FT41" s="84">
        <f t="shared" si="224"/>
        <v>0</v>
      </c>
      <c r="FU41" s="106">
        <f t="shared" si="225"/>
        <v>0</v>
      </c>
      <c r="FV41" s="106">
        <f t="shared" si="226"/>
        <v>0</v>
      </c>
      <c r="FW41" s="106">
        <f t="shared" si="227"/>
        <v>0</v>
      </c>
      <c r="FX41" s="83"/>
      <c r="FZ41" s="39">
        <v>1</v>
      </c>
      <c r="GA41" s="38">
        <v>-180</v>
      </c>
      <c r="GB41" s="38">
        <f t="shared" si="86"/>
        <v>-49.340963348748545</v>
      </c>
      <c r="GC41" s="38">
        <f>IF(((((SIN(RADIANS(GB41)))*SIN(RADIANS($GC$15)))-SIN(RADIANS($GB$15)))/((COS(RADIANS(GB41)))*COS(RADIANS($GC$15))))&gt;=-1,-(180-DEGREES(ACOS(-1))),-(180-DEGREES(ACOS((((SIN(RADIANS(GB41)))*SIN(RADIANS($GC$15)))-SIN(RADIANS($GB$15)))/((COS(RADIANS(GB41)))*COS(RADIANS($GC$15)))))))</f>
        <v>0</v>
      </c>
      <c r="GD41" s="38">
        <f t="shared" si="88"/>
        <v>139.34096334874855</v>
      </c>
      <c r="GE41" s="38">
        <f>+'Irradiancia Horizontal'!F93/COS(RADIANS(GD41))</f>
        <v>0</v>
      </c>
      <c r="GF41" s="38" t="e">
        <f>((('Irradiancia Horizontal'!F64+GE41)/'Irradiancia Horizontal'!F64)+1.041*((RADIANS('Cálculos iluminancia'!GD41))^3))/(1+1.041*((RADIANS('Cálculos iluminancia'!GD41))^3))</f>
        <v>#DIV/0!</v>
      </c>
      <c r="GG41" s="84" t="e">
        <f t="shared" si="89"/>
        <v>#NUM!</v>
      </c>
      <c r="GH41" s="84" t="e">
        <f t="shared" si="276"/>
        <v>#NUM!</v>
      </c>
      <c r="GI41" s="106" t="e">
        <f>'Irradiancia Horizontal'!F64*GH41/$GG$15</f>
        <v>#NUM!</v>
      </c>
      <c r="GJ41" s="84">
        <f>((17.27*Temp!E10)/(237.7+Temp!E10))+LN(HR!E21/100)</f>
        <v>0.63997288363027627</v>
      </c>
      <c r="GK41" s="84">
        <f t="shared" si="228"/>
        <v>9.1474026695468336</v>
      </c>
      <c r="GL41" s="84">
        <f t="shared" si="229"/>
        <v>1.7600077049769294</v>
      </c>
      <c r="GM41" s="84" t="e">
        <f t="shared" si="319"/>
        <v>#DIV/0!</v>
      </c>
      <c r="GN41" s="84" t="e">
        <f t="shared" si="320"/>
        <v>#DIV/0!</v>
      </c>
      <c r="GO41" s="84" t="e">
        <f t="shared" si="321"/>
        <v>#DIV/0!</v>
      </c>
      <c r="GP41" s="84" t="e">
        <f t="shared" si="322"/>
        <v>#DIV/0!</v>
      </c>
      <c r="GQ41" s="84" t="e">
        <f t="shared" si="323"/>
        <v>#DIV/0!</v>
      </c>
      <c r="GR41" s="103">
        <f t="shared" si="96"/>
        <v>0</v>
      </c>
      <c r="GS41" s="165">
        <f>IF(GY41&gt;(GR41*'Irradiancia Horizontal'!F32),GY41,GR41*'Irradiancia Horizontal'!F32)</f>
        <v>0</v>
      </c>
      <c r="GT41" s="84" t="e">
        <f t="shared" si="324"/>
        <v>#DIV/0!</v>
      </c>
      <c r="GU41" s="84" t="e">
        <f t="shared" si="325"/>
        <v>#DIV/0!</v>
      </c>
      <c r="GV41" s="84" t="e">
        <f t="shared" si="326"/>
        <v>#DIV/0!</v>
      </c>
      <c r="GW41" s="84" t="e">
        <f t="shared" si="327"/>
        <v>#DIV/0!</v>
      </c>
      <c r="GX41" s="103">
        <f t="shared" si="101"/>
        <v>0</v>
      </c>
      <c r="GY41" s="84">
        <f>+GX41*'Irradiancia Horizontal'!F64</f>
        <v>0</v>
      </c>
      <c r="GZ41" s="84">
        <f t="shared" si="230"/>
        <v>0</v>
      </c>
      <c r="HA41" s="84" t="e">
        <f>+GZ41/'Irradiancia Horizontal'!F93</f>
        <v>#DIV/0!</v>
      </c>
      <c r="HB41" s="38">
        <f t="shared" si="102"/>
        <v>-0.65155621263084162</v>
      </c>
      <c r="HC41" s="84">
        <f t="shared" si="231"/>
        <v>0</v>
      </c>
      <c r="HD41" s="84">
        <f t="shared" si="232"/>
        <v>8.6999999999999994E-2</v>
      </c>
      <c r="HE41" s="84" t="e">
        <f t="shared" si="233"/>
        <v>#DIV/0!</v>
      </c>
      <c r="HF41" s="84" t="e">
        <f t="shared" si="234"/>
        <v>#DIV/0!</v>
      </c>
      <c r="HG41" s="84" t="e">
        <f t="shared" si="235"/>
        <v>#DIV/0!</v>
      </c>
      <c r="HH41" s="84" t="e">
        <f t="shared" si="236"/>
        <v>#DIV/0!</v>
      </c>
      <c r="HI41" s="84" t="e">
        <f t="shared" si="237"/>
        <v>#DIV/0!</v>
      </c>
      <c r="HJ41" s="84" t="e">
        <f t="shared" si="238"/>
        <v>#DIV/0!</v>
      </c>
      <c r="HK41" s="84" t="e">
        <f t="shared" si="103"/>
        <v>#DIV/0!</v>
      </c>
      <c r="HL41" s="84" t="e">
        <f t="shared" si="104"/>
        <v>#DIV/0!</v>
      </c>
      <c r="HM41" s="88">
        <f t="shared" si="105"/>
        <v>0</v>
      </c>
      <c r="HN41" s="84" t="e">
        <f t="shared" si="328"/>
        <v>#DIV/0!</v>
      </c>
      <c r="HO41" s="84" t="e">
        <f t="shared" si="329"/>
        <v>#DIV/0!</v>
      </c>
      <c r="HP41" s="84" t="e">
        <f t="shared" si="330"/>
        <v>#DIV/0!</v>
      </c>
      <c r="HQ41" s="84" t="e">
        <f t="shared" si="331"/>
        <v>#DIV/0!</v>
      </c>
      <c r="HR41" s="84" t="e">
        <f t="shared" si="332"/>
        <v>#DIV/0!</v>
      </c>
      <c r="HS41" s="84" t="e">
        <f t="shared" si="333"/>
        <v>#DIV/0!</v>
      </c>
      <c r="HT41" s="84" t="e">
        <f t="shared" si="112"/>
        <v>#DIV/0!</v>
      </c>
      <c r="HU41" s="84" t="e">
        <f t="shared" si="113"/>
        <v>#DIV/0!</v>
      </c>
      <c r="HV41" s="106">
        <f>IF(GB41&lt;0,0,((0.5*(1-HT41)*(1+COS(RADIANS($GI$15))))+(HT41*(HC41/HD41))+(HU41*SIN(RADIANS($GI$15))))*'Irradiancia Horizontal'!F64)</f>
        <v>0</v>
      </c>
      <c r="HW41" s="84">
        <f t="shared" si="114"/>
        <v>0</v>
      </c>
      <c r="HX41" s="84">
        <f>HW41*'Irradiancia Horizontal'!F93</f>
        <v>0</v>
      </c>
      <c r="HY41" s="84">
        <f t="shared" si="239"/>
        <v>0</v>
      </c>
      <c r="HZ41" s="88">
        <f t="shared" si="115"/>
        <v>0</v>
      </c>
      <c r="IA41" s="84">
        <f t="shared" si="240"/>
        <v>0</v>
      </c>
      <c r="IB41" s="106">
        <f t="shared" si="241"/>
        <v>0</v>
      </c>
      <c r="IC41" s="106">
        <f t="shared" si="242"/>
        <v>0</v>
      </c>
      <c r="ID41" s="106">
        <f t="shared" si="243"/>
        <v>0</v>
      </c>
      <c r="IE41" s="83"/>
      <c r="IG41" s="39">
        <v>1</v>
      </c>
      <c r="IH41" s="38">
        <v>-180</v>
      </c>
      <c r="II41" s="38">
        <f t="shared" si="116"/>
        <v>-40.781985178432421</v>
      </c>
      <c r="IJ41" s="38">
        <f>IF(((((SIN(RADIANS(II41)))*SIN(RADIANS($IJ$15)))-SIN(RADIANS($II$15)))/((COS(RADIANS(II41)))*COS(RADIANS($IJ$15))))&lt;=-1,-(180-DEGREES(ACOS(-1))),-(180-DEGREES(ACOS((((SIN(RADIANS(II41)))*SIN(RADIANS($IJ$15)))-SIN(RADIANS($II$15)))/((COS(RADIANS(II41)))*COS(RADIANS($IJ$15)))))))</f>
        <v>0</v>
      </c>
      <c r="IK41" s="38">
        <f t="shared" si="118"/>
        <v>130.78198517843242</v>
      </c>
      <c r="IL41" s="38">
        <f>+'Irradiancia Horizontal'!G93/COS(RADIANS(IK41))</f>
        <v>0</v>
      </c>
      <c r="IM41" s="38" t="e">
        <f>((('Irradiancia Horizontal'!G64+IL41)/'Irradiancia Horizontal'!G64)+1.041*((RADIANS('Cálculos iluminancia'!IK41))^3))/(1+1.041*((RADIANS('Cálculos iluminancia'!IK41))^3))</f>
        <v>#DIV/0!</v>
      </c>
      <c r="IN41" s="87" t="e">
        <f t="shared" si="119"/>
        <v>#NUM!</v>
      </c>
      <c r="IO41" s="87" t="e">
        <f t="shared" si="334"/>
        <v>#NUM!</v>
      </c>
      <c r="IP41" s="106" t="e">
        <f>'Irradiancia Horizontal'!G64*IO41/$IN$15</f>
        <v>#NUM!</v>
      </c>
      <c r="IQ41" s="87">
        <f>((17.27*Temp!F10)/(237.7+Temp!F10))+LN(HR!F21/100)</f>
        <v>0.80318736196069684</v>
      </c>
      <c r="IR41" s="87">
        <f t="shared" si="244"/>
        <v>11.594085639683946</v>
      </c>
      <c r="IS41" s="87">
        <f t="shared" si="245"/>
        <v>2.0887921803309339</v>
      </c>
      <c r="IT41" s="87" t="e">
        <f t="shared" si="335"/>
        <v>#DIV/0!</v>
      </c>
      <c r="IU41" s="87" t="e">
        <f t="shared" si="336"/>
        <v>#DIV/0!</v>
      </c>
      <c r="IV41" s="87" t="e">
        <f t="shared" si="337"/>
        <v>#DIV/0!</v>
      </c>
      <c r="IW41" s="87" t="e">
        <f t="shared" si="338"/>
        <v>#DIV/0!</v>
      </c>
      <c r="IX41" s="87" t="e">
        <f t="shared" si="339"/>
        <v>#DIV/0!</v>
      </c>
      <c r="IY41" s="103">
        <f t="shared" si="126"/>
        <v>0</v>
      </c>
      <c r="IZ41" s="165">
        <f>IF(JF41&gt;(IY41*'Irradiancia Horizontal'!G32),JF41,IY41*'Irradiancia Horizontal'!G32)</f>
        <v>0</v>
      </c>
      <c r="JA41" s="87" t="e">
        <f t="shared" si="340"/>
        <v>#DIV/0!</v>
      </c>
      <c r="JB41" s="87" t="e">
        <f t="shared" si="341"/>
        <v>#DIV/0!</v>
      </c>
      <c r="JC41" s="87" t="e">
        <f t="shared" si="342"/>
        <v>#DIV/0!</v>
      </c>
      <c r="JD41" s="87" t="e">
        <f t="shared" si="343"/>
        <v>#DIV/0!</v>
      </c>
      <c r="JE41" s="103">
        <f t="shared" si="131"/>
        <v>0</v>
      </c>
      <c r="JF41" s="87">
        <f>+JE41*'Irradiancia Horizontal'!G64</f>
        <v>0</v>
      </c>
      <c r="JG41" s="87">
        <f t="shared" si="246"/>
        <v>0</v>
      </c>
      <c r="JH41" s="87" t="e">
        <f>+JG41/'Irradiancia Horizontal'!G93</f>
        <v>#DIV/0!</v>
      </c>
      <c r="JI41" s="38">
        <f t="shared" si="132"/>
        <v>-0.75720046539774799</v>
      </c>
      <c r="JJ41" s="87">
        <f t="shared" si="247"/>
        <v>0</v>
      </c>
      <c r="JK41" s="87">
        <f t="shared" si="248"/>
        <v>8.6999999999999994E-2</v>
      </c>
      <c r="JL41" s="87" t="e">
        <f t="shared" si="249"/>
        <v>#DIV/0!</v>
      </c>
      <c r="JM41" s="87" t="e">
        <f t="shared" si="250"/>
        <v>#DIV/0!</v>
      </c>
      <c r="JN41" s="87" t="e">
        <f t="shared" si="251"/>
        <v>#DIV/0!</v>
      </c>
      <c r="JO41" s="87" t="e">
        <f t="shared" si="252"/>
        <v>#DIV/0!</v>
      </c>
      <c r="JP41" s="87" t="e">
        <f t="shared" si="253"/>
        <v>#DIV/0!</v>
      </c>
      <c r="JQ41" s="87" t="e">
        <f t="shared" si="254"/>
        <v>#DIV/0!</v>
      </c>
      <c r="JR41" s="87" t="e">
        <f t="shared" si="133"/>
        <v>#DIV/0!</v>
      </c>
      <c r="JS41" s="87" t="e">
        <f t="shared" si="134"/>
        <v>#DIV/0!</v>
      </c>
      <c r="JT41" s="88">
        <f t="shared" si="135"/>
        <v>0</v>
      </c>
      <c r="JU41" s="87" t="e">
        <f t="shared" si="344"/>
        <v>#DIV/0!</v>
      </c>
      <c r="JV41" s="87" t="e">
        <f t="shared" si="345"/>
        <v>#DIV/0!</v>
      </c>
      <c r="JW41" s="87" t="e">
        <f t="shared" si="346"/>
        <v>#DIV/0!</v>
      </c>
      <c r="JX41" s="87" t="e">
        <f t="shared" si="347"/>
        <v>#DIV/0!</v>
      </c>
      <c r="JY41" s="87" t="e">
        <f t="shared" si="348"/>
        <v>#DIV/0!</v>
      </c>
      <c r="JZ41" s="87" t="e">
        <f t="shared" si="349"/>
        <v>#DIV/0!</v>
      </c>
      <c r="KA41" s="87" t="e">
        <f t="shared" si="142"/>
        <v>#DIV/0!</v>
      </c>
      <c r="KB41" s="87" t="e">
        <f t="shared" si="143"/>
        <v>#DIV/0!</v>
      </c>
      <c r="KC41" s="106">
        <f>IF(II41&lt;0,0,((0.5*(1-KA41)*(1+COS(RADIANS($IP$15))))+(KA41*(JJ41/JK41))+(KB41*SIN(RADIANS($IP$15))))*'Irradiancia Horizontal'!G64)</f>
        <v>0</v>
      </c>
      <c r="KD41" s="87">
        <f t="shared" si="144"/>
        <v>0</v>
      </c>
      <c r="KE41" s="87">
        <f>KD41*'Irradiancia Horizontal'!G93</f>
        <v>0</v>
      </c>
      <c r="KF41" s="87">
        <f t="shared" si="255"/>
        <v>0</v>
      </c>
      <c r="KG41" s="88">
        <f t="shared" si="145"/>
        <v>0</v>
      </c>
      <c r="KH41" s="87">
        <f t="shared" si="256"/>
        <v>0</v>
      </c>
      <c r="KI41" s="106">
        <f t="shared" si="257"/>
        <v>0</v>
      </c>
      <c r="KJ41" s="106">
        <f t="shared" si="258"/>
        <v>0</v>
      </c>
      <c r="KK41" s="106">
        <f t="shared" si="259"/>
        <v>0</v>
      </c>
      <c r="KL41" s="86"/>
      <c r="KN41" s="39">
        <v>1</v>
      </c>
      <c r="KO41" s="38">
        <v>-180</v>
      </c>
      <c r="KP41" s="38">
        <f t="shared" si="146"/>
        <v>-37.47021715318634</v>
      </c>
      <c r="KQ41" s="38">
        <f>IF(((((SIN(RADIANS(KP41)))*SIN(RADIANS($KQ$15)))-SIN(RADIANS($KP$15)))/((COS(RADIANS(KP41)))*COS(RADIANS($KQ$15))))&gt;=-1,-(180-DEGREES(ACOS(-1))),-(180-DEGREES(ACOS((((SIN(RADIANS(KP41)))*SIN(RADIANS($KQ$15)))-SIN(RADIANS($KP$15)))/((COS(RADIANS(KP41)))*COS(RADIANS($KQ$15)))))))</f>
        <v>0</v>
      </c>
      <c r="KR41" s="38">
        <f t="shared" si="148"/>
        <v>127.47021715318634</v>
      </c>
      <c r="KS41" s="38">
        <f>+'Irradiancia Horizontal'!H93/COS(RADIANS(KR41))</f>
        <v>0</v>
      </c>
      <c r="KT41" s="38" t="e">
        <f>((('Irradiancia Horizontal'!H64+KS41)/'Irradiancia Horizontal'!H64)+1.041*((RADIANS('Cálculos iluminancia'!KR41))^3))/(1+1.041*((RADIANS('Cálculos iluminancia'!KR41))^3))</f>
        <v>#DIV/0!</v>
      </c>
      <c r="KU41" s="87" t="e">
        <f t="shared" si="149"/>
        <v>#NUM!</v>
      </c>
      <c r="KV41" s="87" t="e">
        <f t="shared" si="350"/>
        <v>#NUM!</v>
      </c>
      <c r="KW41" s="106" t="e">
        <f>'Irradiancia Horizontal'!H64*KV41/$KU$15</f>
        <v>#NUM!</v>
      </c>
      <c r="KX41" s="87">
        <f>((17.27*Temp!G10)/(237.7+Temp!G10))+LN(HR!G21/100)</f>
        <v>1.0980255079871677</v>
      </c>
      <c r="KY41" s="87">
        <f t="shared" si="260"/>
        <v>16.139072157048926</v>
      </c>
      <c r="KZ41" s="87">
        <f t="shared" si="261"/>
        <v>2.8712143277319315</v>
      </c>
      <c r="LA41" s="87" t="e">
        <f t="shared" si="351"/>
        <v>#DIV/0!</v>
      </c>
      <c r="LB41" s="87" t="e">
        <f t="shared" si="352"/>
        <v>#DIV/0!</v>
      </c>
      <c r="LC41" s="87" t="e">
        <f t="shared" si="353"/>
        <v>#DIV/0!</v>
      </c>
      <c r="LD41" s="87" t="e">
        <f t="shared" si="354"/>
        <v>#DIV/0!</v>
      </c>
      <c r="LE41" s="87" t="e">
        <f t="shared" si="355"/>
        <v>#DIV/0!</v>
      </c>
      <c r="LF41" s="103">
        <f t="shared" si="156"/>
        <v>0</v>
      </c>
      <c r="LG41" s="165">
        <f>IF(LM41&gt;(LF41*'Irradiancia Horizontal'!H32),LM41,LF41*'Irradiancia Horizontal'!H32)</f>
        <v>0</v>
      </c>
      <c r="LH41" s="87" t="e">
        <f t="shared" si="356"/>
        <v>#DIV/0!</v>
      </c>
      <c r="LI41" s="87" t="e">
        <f t="shared" si="357"/>
        <v>#DIV/0!</v>
      </c>
      <c r="LJ41" s="87" t="e">
        <f t="shared" si="358"/>
        <v>#DIV/0!</v>
      </c>
      <c r="LK41" s="87" t="e">
        <f t="shared" si="359"/>
        <v>#DIV/0!</v>
      </c>
      <c r="LL41" s="103">
        <f t="shared" si="161"/>
        <v>0</v>
      </c>
      <c r="LM41" s="87">
        <f>+LL41*'Irradiancia Horizontal'!H64</f>
        <v>0</v>
      </c>
      <c r="LN41" s="87">
        <f t="shared" si="262"/>
        <v>0</v>
      </c>
      <c r="LO41" s="87" t="e">
        <f>+LN41/'Irradiancia Horizontal'!H93</f>
        <v>#DIV/0!</v>
      </c>
      <c r="LP41" s="38">
        <f t="shared" si="162"/>
        <v>-0.79366967260436638</v>
      </c>
      <c r="LQ41" s="87">
        <f t="shared" si="263"/>
        <v>0</v>
      </c>
      <c r="LR41" s="87">
        <f t="shared" si="264"/>
        <v>8.6999999999999994E-2</v>
      </c>
      <c r="LS41" s="87" t="e">
        <f t="shared" si="265"/>
        <v>#DIV/0!</v>
      </c>
      <c r="LT41" s="87" t="e">
        <f t="shared" si="266"/>
        <v>#DIV/0!</v>
      </c>
      <c r="LU41" s="87" t="e">
        <f t="shared" si="267"/>
        <v>#DIV/0!</v>
      </c>
      <c r="LV41" s="87" t="e">
        <f t="shared" si="268"/>
        <v>#DIV/0!</v>
      </c>
      <c r="LW41" s="87" t="e">
        <f t="shared" si="269"/>
        <v>#DIV/0!</v>
      </c>
      <c r="LX41" s="87" t="e">
        <f t="shared" si="270"/>
        <v>#DIV/0!</v>
      </c>
      <c r="LY41" s="87" t="e">
        <f t="shared" si="163"/>
        <v>#DIV/0!</v>
      </c>
      <c r="LZ41" s="87" t="e">
        <f t="shared" si="164"/>
        <v>#DIV/0!</v>
      </c>
      <c r="MA41" s="88">
        <f t="shared" si="165"/>
        <v>0</v>
      </c>
      <c r="MB41" s="87" t="e">
        <f t="shared" si="360"/>
        <v>#DIV/0!</v>
      </c>
      <c r="MC41" s="87" t="e">
        <f t="shared" si="361"/>
        <v>#DIV/0!</v>
      </c>
      <c r="MD41" s="87" t="e">
        <f t="shared" si="362"/>
        <v>#DIV/0!</v>
      </c>
      <c r="ME41" s="87" t="e">
        <f t="shared" si="363"/>
        <v>#DIV/0!</v>
      </c>
      <c r="MF41" s="87" t="e">
        <f t="shared" si="364"/>
        <v>#DIV/0!</v>
      </c>
      <c r="MG41" s="87" t="e">
        <f t="shared" si="365"/>
        <v>#DIV/0!</v>
      </c>
      <c r="MH41" s="87" t="e">
        <f t="shared" si="172"/>
        <v>#DIV/0!</v>
      </c>
      <c r="MI41" s="87" t="e">
        <f t="shared" si="173"/>
        <v>#DIV/0!</v>
      </c>
      <c r="MJ41" s="106">
        <f>IF(KP41&lt;0,0,((0.5*(1-MH41)*(1+COS(RADIANS($KW$15))))+(MH41*(LQ41/LR41))+(MI41*SIN(RADIANS($KW$15))))*'Irradiancia Horizontal'!H64)</f>
        <v>0</v>
      </c>
      <c r="MK41" s="87">
        <f t="shared" si="174"/>
        <v>0</v>
      </c>
      <c r="ML41" s="87">
        <f>MK41*'Irradiancia Horizontal'!H93</f>
        <v>0</v>
      </c>
      <c r="MM41" s="87">
        <f t="shared" si="271"/>
        <v>0</v>
      </c>
      <c r="MN41" s="88">
        <f t="shared" si="175"/>
        <v>0</v>
      </c>
      <c r="MO41" s="87">
        <f t="shared" si="272"/>
        <v>0</v>
      </c>
      <c r="MP41" s="106">
        <f t="shared" si="273"/>
        <v>0</v>
      </c>
      <c r="MQ41" s="106">
        <f t="shared" si="274"/>
        <v>0</v>
      </c>
      <c r="MR41" s="106">
        <f t="shared" si="275"/>
        <v>0</v>
      </c>
    </row>
    <row r="42" spans="4:356" x14ac:dyDescent="0.25">
      <c r="KX42" s="13"/>
      <c r="KY42" s="13"/>
      <c r="KZ42" s="13"/>
      <c r="LA42" s="13"/>
      <c r="LB42" s="13"/>
      <c r="LC42" s="13"/>
      <c r="LD42" s="13"/>
      <c r="LE42" s="13"/>
      <c r="LF42" s="13"/>
      <c r="LG42" s="13"/>
      <c r="LH42" s="13"/>
    </row>
    <row r="43" spans="4:356" x14ac:dyDescent="0.25"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</row>
    <row r="44" spans="4:356" x14ac:dyDescent="0.25">
      <c r="D44" s="41" t="s">
        <v>92</v>
      </c>
      <c r="E44" s="41">
        <v>21</v>
      </c>
      <c r="F44" s="315"/>
      <c r="G44" s="315"/>
      <c r="H44" s="328"/>
      <c r="I44" s="328"/>
      <c r="J44" s="363" t="s">
        <v>135</v>
      </c>
      <c r="K44" s="315"/>
      <c r="L44" s="315"/>
      <c r="M44" s="315"/>
      <c r="N44" s="315"/>
      <c r="BK44" s="41" t="s">
        <v>92</v>
      </c>
      <c r="BL44" s="41">
        <v>21</v>
      </c>
      <c r="BM44" s="315"/>
      <c r="BN44" s="315"/>
      <c r="BO44" s="316"/>
      <c r="BP44" s="328"/>
      <c r="BQ44" s="363" t="s">
        <v>135</v>
      </c>
      <c r="BR44" s="315"/>
      <c r="BS44" s="315"/>
      <c r="BT44" s="315"/>
      <c r="BU44" s="315"/>
      <c r="DR44" s="41" t="s">
        <v>92</v>
      </c>
      <c r="DS44" s="41">
        <v>21</v>
      </c>
      <c r="DT44" s="315"/>
      <c r="DU44" s="315"/>
      <c r="DV44" s="316"/>
      <c r="DW44" s="328"/>
      <c r="DX44" s="363" t="s">
        <v>135</v>
      </c>
      <c r="DY44" s="315"/>
      <c r="DZ44" s="315"/>
      <c r="EA44" s="315"/>
      <c r="EB44" s="315"/>
      <c r="FY44" s="41" t="s">
        <v>92</v>
      </c>
      <c r="FZ44" s="41">
        <v>21</v>
      </c>
      <c r="GA44" s="315"/>
      <c r="GB44" s="315"/>
      <c r="GC44" s="316"/>
      <c r="GD44" s="328"/>
      <c r="GE44" s="363" t="s">
        <v>135</v>
      </c>
      <c r="GF44" s="315"/>
      <c r="GG44" s="315"/>
      <c r="GH44" s="315"/>
      <c r="GI44" s="315"/>
      <c r="IF44" s="41" t="s">
        <v>92</v>
      </c>
      <c r="IG44" s="41">
        <v>21</v>
      </c>
      <c r="IH44" s="315"/>
      <c r="II44" s="315"/>
      <c r="IJ44" s="316"/>
      <c r="IK44" s="328"/>
      <c r="IL44" s="363" t="s">
        <v>135</v>
      </c>
      <c r="IM44" s="315"/>
      <c r="IN44" s="315"/>
      <c r="IO44" s="315"/>
      <c r="IP44" s="315"/>
      <c r="KM44" s="41" t="s">
        <v>92</v>
      </c>
      <c r="KN44" s="41">
        <v>21</v>
      </c>
      <c r="KO44" s="315"/>
      <c r="KP44" s="315"/>
      <c r="KQ44" s="316"/>
      <c r="KR44" s="328"/>
      <c r="KS44" s="363" t="s">
        <v>135</v>
      </c>
      <c r="KT44" s="315"/>
      <c r="KU44" s="315"/>
      <c r="KV44" s="315"/>
      <c r="KW44" s="315"/>
    </row>
    <row r="45" spans="4:356" x14ac:dyDescent="0.25">
      <c r="D45" s="41" t="s">
        <v>91</v>
      </c>
      <c r="E45" s="41">
        <v>7</v>
      </c>
      <c r="F45" s="315"/>
      <c r="G45" s="315"/>
      <c r="H45" s="328"/>
      <c r="I45" s="362"/>
      <c r="J45" s="364"/>
      <c r="K45" s="317"/>
      <c r="L45" s="317"/>
      <c r="M45" s="315"/>
      <c r="N45" s="315"/>
      <c r="BK45" s="41" t="s">
        <v>91</v>
      </c>
      <c r="BL45" s="41">
        <v>8</v>
      </c>
      <c r="BM45" s="315"/>
      <c r="BN45" s="315"/>
      <c r="BO45" s="316"/>
      <c r="BP45" s="362"/>
      <c r="BQ45" s="364"/>
      <c r="BR45" s="317"/>
      <c r="BS45" s="317"/>
      <c r="BT45" s="315"/>
      <c r="BU45" s="315"/>
      <c r="DR45" s="41" t="s">
        <v>91</v>
      </c>
      <c r="DS45" s="41">
        <v>9</v>
      </c>
      <c r="DT45" s="315"/>
      <c r="DU45" s="315"/>
      <c r="DV45" s="316"/>
      <c r="DW45" s="362"/>
      <c r="DX45" s="364"/>
      <c r="DY45" s="317"/>
      <c r="DZ45" s="317"/>
      <c r="EA45" s="315"/>
      <c r="EB45" s="315"/>
      <c r="FY45" s="41" t="s">
        <v>91</v>
      </c>
      <c r="FZ45" s="41">
        <v>10</v>
      </c>
      <c r="GA45" s="315"/>
      <c r="GB45" s="315"/>
      <c r="GC45" s="316"/>
      <c r="GD45" s="362"/>
      <c r="GE45" s="364"/>
      <c r="GF45" s="317"/>
      <c r="GG45" s="317"/>
      <c r="GH45" s="315"/>
      <c r="GI45" s="315"/>
      <c r="IF45" s="41" t="s">
        <v>91</v>
      </c>
      <c r="IG45" s="41">
        <v>11</v>
      </c>
      <c r="IH45" s="315"/>
      <c r="II45" s="315"/>
      <c r="IJ45" s="316"/>
      <c r="IK45" s="362"/>
      <c r="IL45" s="364"/>
      <c r="IM45" s="317"/>
      <c r="IN45" s="317"/>
      <c r="IO45" s="315"/>
      <c r="IP45" s="315"/>
      <c r="KM45" s="41" t="s">
        <v>91</v>
      </c>
      <c r="KN45" s="41">
        <v>12</v>
      </c>
      <c r="KO45" s="315"/>
      <c r="KP45" s="315"/>
      <c r="KQ45" s="316"/>
      <c r="KR45" s="362"/>
      <c r="KS45" s="364"/>
      <c r="KT45" s="317"/>
      <c r="KU45" s="317"/>
      <c r="KV45" s="315"/>
      <c r="KW45" s="315"/>
    </row>
    <row r="46" spans="4:356" x14ac:dyDescent="0.25">
      <c r="F46" s="36">
        <f>+IF(E45=$A$76,E44,IF(E45=$B$76,$A$77+E44,IF(E45=$C$76,$A$77+$B$77+E44,IF(E45=$D$76,$A$77+$B$77+$C$77+E44,IF(E45=$E$76,$A$77+$B$77+$C$77+$D$77+E44,IF(E45=$F$76,$A$77+$B$77+$C$77+$D$77+$E$77+E44,IF(E45=$G$76,$A$77+$B$77+$C$77+$D$77+$E$77+$F$77+E44,IF(E45=$H$76,$A$77+$B$77+$C$77+$D$77+$E$77+$F$77+$G$77+E44,IF(E45=$I$76,$A$77+$B$77+$C$77+$D$77+$E$77+$F$77+$G$77+$H$77+E44,IF(E45=$J$76,$A$77+$B$77+$C$77+$D$77+$E$77+$F$77+$G$77+$H$77+$I$77+E44,IF(E45=$K$76,$A$77+$B$77+$C$77+$D$77+$E$77+$F$77+$G$77+$H$77+$I$77+$J$77+E44,IF(E45=$L$76,$A$77+$B$77+$C$77+$D$77+$E$77+$F$77+$G$77+$H$77+$I$77+$J$77+$K$77+E44,"error"))))))))))))</f>
        <v>202</v>
      </c>
      <c r="G46" s="38">
        <f>23.45*SIN(RADIANS(360*((284+F46)/365)))</f>
        <v>20.44151317373359</v>
      </c>
      <c r="H46" s="41">
        <f>+IF($C$4&gt;89.9,89.9,IF($C$4&lt;-89.9,-89.9,$C$4))</f>
        <v>29.08</v>
      </c>
      <c r="I46" s="87">
        <f>(F46-1)*2*PI()/365</f>
        <v>3.4600554705290327</v>
      </c>
      <c r="J46" s="87">
        <f>J15</f>
        <v>211</v>
      </c>
      <c r="K46" s="87">
        <f>EXP(-0.0001184*J46)</f>
        <v>0.9753270776338413</v>
      </c>
      <c r="L46" s="38">
        <f>1387*(1.00011+0.034221*COS(I46)+0.00128*SIN(I46)+0.000719*COS(2*I46)+0.000077*SIN(2*I46))</f>
        <v>1342.384019879411</v>
      </c>
      <c r="M46" s="87">
        <f>+A8</f>
        <v>0</v>
      </c>
      <c r="N46" s="87">
        <f>+B8</f>
        <v>90</v>
      </c>
      <c r="O46" s="45"/>
      <c r="P46" s="45"/>
      <c r="Q46" s="45"/>
      <c r="R46" s="45"/>
      <c r="S46" s="359" t="s">
        <v>139</v>
      </c>
      <c r="T46" s="360"/>
      <c r="U46" s="360"/>
      <c r="V46" s="360"/>
      <c r="W46" s="360"/>
      <c r="X46" s="361"/>
      <c r="Y46" s="359" t="s">
        <v>140</v>
      </c>
      <c r="Z46" s="360"/>
      <c r="AA46" s="360"/>
      <c r="AB46" s="360"/>
      <c r="AC46" s="360"/>
      <c r="AD46" s="361"/>
      <c r="AE46" s="315" t="s">
        <v>153</v>
      </c>
      <c r="AF46" s="315"/>
      <c r="AJ46" s="315" t="s">
        <v>154</v>
      </c>
      <c r="AK46" s="315"/>
      <c r="AL46" s="315"/>
      <c r="AM46" s="315"/>
      <c r="AN46" s="315"/>
      <c r="AO46" s="315"/>
      <c r="AP46" s="315"/>
      <c r="AQ46" s="315"/>
      <c r="AR46" s="315"/>
      <c r="AS46" s="315" t="s">
        <v>155</v>
      </c>
      <c r="AT46" s="315"/>
      <c r="AU46" s="315"/>
      <c r="AV46" s="315"/>
      <c r="AW46" s="315"/>
      <c r="AX46" s="315"/>
      <c r="AY46" s="315"/>
      <c r="AZ46" s="315"/>
      <c r="BA46" s="315"/>
      <c r="BB46" s="315" t="s">
        <v>156</v>
      </c>
      <c r="BC46" s="315"/>
      <c r="BD46" s="315" t="s">
        <v>157</v>
      </c>
      <c r="BE46" s="315"/>
      <c r="BM46" s="36">
        <f>+IF(BL45=$A$76,BL44,IF(BL45=$B$76,$A$77+BL44,IF(BL45=$C$76,$A$77+$B$77+BL44,IF(BL45=$D$76,$A$77+$B$77+$C$77+BL44,IF(BL45=$E$76,$A$77+$B$77+$C$77+$D$77+BL44,IF(BL45=$F$76,$A$77+$B$77+$C$77+$D$77+$E$77+BL44,IF(BL45=$G$76,$A$77+$B$77+$C$77+$D$77+$E$77+$F$77+BL44,IF(BL45=$H$76,$A$77+$B$77+$C$77+$D$77+$E$77+$F$77+$G$77+BL44,IF(BL45=$I$76,$A$77+$B$77+$C$77+$D$77+$E$77+$F$77+$G$77+$H$77+BL44,IF(BL45=$J$76,$A$77+$B$77+$C$77+$D$77+$E$77+$F$77+$G$77+$H$77+$I$77+BL44,IF(BL45=$K$76,$A$77+$B$77+$C$77+$D$77+$E$77+$F$77+$G$77+$H$77+$I$77+$J$77+BL44,IF(BL45=$L$76,$A$77+$B$77+$C$77+$D$77+$E$77+$F$77+$G$77+$H$77+$I$77+$J$77+$K$77+BL44,"error"))))))))))))</f>
        <v>233</v>
      </c>
      <c r="BN46" s="38">
        <f>23.45*SIN(RADIANS(360*((284+BM46)/365)))</f>
        <v>11.754120525303437</v>
      </c>
      <c r="BO46" s="41">
        <f>+IF($C$4&gt;89.9,89.9,IF($C$4&lt;-89.9,-89.9,$C$4))</f>
        <v>29.08</v>
      </c>
      <c r="BP46" s="87">
        <f>(BM46-1)*2*PI()/365</f>
        <v>3.9936958664812714</v>
      </c>
      <c r="BQ46" s="87">
        <f>J15</f>
        <v>211</v>
      </c>
      <c r="BR46" s="87">
        <f>EXP(-0.0001184*BQ46)</f>
        <v>0.9753270776338413</v>
      </c>
      <c r="BS46" s="38">
        <f>1387*(1.00011+0.034221*COS(BP46)+0.00128*SIN(BP46)+0.000719*COS(2*BP46)+0.000077*SIN(2*BP46))</f>
        <v>1354.5387963031146</v>
      </c>
      <c r="BT46" s="87">
        <f>+A8</f>
        <v>0</v>
      </c>
      <c r="BU46" s="87">
        <f>+B8</f>
        <v>90</v>
      </c>
      <c r="BV46" s="45"/>
      <c r="BW46" s="45"/>
      <c r="BX46" s="45"/>
      <c r="BY46" s="45"/>
      <c r="BZ46" s="359" t="s">
        <v>139</v>
      </c>
      <c r="CA46" s="360"/>
      <c r="CB46" s="360"/>
      <c r="CC46" s="360"/>
      <c r="CD46" s="360"/>
      <c r="CE46" s="361"/>
      <c r="CF46" s="359" t="s">
        <v>140</v>
      </c>
      <c r="CG46" s="360"/>
      <c r="CH46" s="360"/>
      <c r="CI46" s="360"/>
      <c r="CJ46" s="360"/>
      <c r="CK46" s="361"/>
      <c r="CL46" s="315" t="s">
        <v>153</v>
      </c>
      <c r="CM46" s="315"/>
      <c r="CQ46" s="315" t="s">
        <v>154</v>
      </c>
      <c r="CR46" s="315"/>
      <c r="CS46" s="315"/>
      <c r="CT46" s="315"/>
      <c r="CU46" s="315"/>
      <c r="CV46" s="315"/>
      <c r="CW46" s="315"/>
      <c r="CX46" s="315"/>
      <c r="CY46" s="315"/>
      <c r="CZ46" s="315" t="s">
        <v>155</v>
      </c>
      <c r="DA46" s="315"/>
      <c r="DB46" s="315"/>
      <c r="DC46" s="315"/>
      <c r="DD46" s="315"/>
      <c r="DE46" s="315"/>
      <c r="DF46" s="315"/>
      <c r="DG46" s="315"/>
      <c r="DH46" s="315"/>
      <c r="DI46" s="315" t="s">
        <v>156</v>
      </c>
      <c r="DJ46" s="315"/>
      <c r="DK46" s="315" t="s">
        <v>157</v>
      </c>
      <c r="DL46" s="315"/>
      <c r="DT46" s="36">
        <f>+IF(DS45=$A$76,DS44,IF(DS45=$B$76,$A$77+DS44,IF(DS45=$C$76,$A$77+$B$77+DS44,IF(DS45=$D$76,$A$77+$B$77+$C$77+DS44,IF(DS45=$E$76,$A$77+$B$77+$C$77+$D$77+DS44,IF(DS45=$F$76,$A$77+$B$77+$C$77+$D$77+$E$77+DS44,IF(DS45=$G$76,$A$77+$B$77+$C$77+$D$77+$E$77+$F$77+DS44,IF(DS45=$H$76,$A$77+$B$77+$C$77+$D$77+$E$77+$F$77+$G$77+DS44,IF(DS45=$I$76,$A$77+$B$77+$C$77+$D$77+$E$77+$F$77+$G$77+$H$77+DS44,IF(DS45=$J$76,$A$77+$B$77+$C$77+$D$77+$E$77+$F$77+$G$77+$H$77+$I$77+DS44,IF(DS45=$K$76,$A$77+$B$77+$C$77+$D$77+$E$77+$F$77+$G$77+$H$77+$I$77+$J$77+DS44,IF(DS45=$L$76,$A$77+$B$77+$C$77+$D$77+$E$77+$F$77+$G$77+$H$77+$I$77+$J$77+$K$77+DS44,"error"))))))))))))</f>
        <v>264</v>
      </c>
      <c r="DU46" s="38">
        <f>23.45*SIN(RADIANS(360*((284+DT46)/365)))</f>
        <v>-0.20183407703972808</v>
      </c>
      <c r="DV46" s="41">
        <f>+IF($C$4&gt;89.9,89.9,IF($C$4&lt;-89.9,-89.9,$C$4))</f>
        <v>29.08</v>
      </c>
      <c r="DW46" s="87">
        <f>(DT46-1)*2*PI()/365</f>
        <v>4.5273362624335105</v>
      </c>
      <c r="DX46" s="87">
        <f>J15</f>
        <v>211</v>
      </c>
      <c r="DY46" s="87">
        <f>EXP(-0.0001184*DX46)</f>
        <v>0.9753270776338413</v>
      </c>
      <c r="DZ46" s="38">
        <f>1387*(1.00011+0.034221*COS(DW46)+0.00128*SIN(DW46)+0.000719*COS(2*DW46)+0.000077*SIN(2*DW46))</f>
        <v>1375.7830292364877</v>
      </c>
      <c r="EA46" s="87">
        <f>+A8</f>
        <v>0</v>
      </c>
      <c r="EB46" s="87">
        <f>+B8</f>
        <v>90</v>
      </c>
      <c r="EC46" s="45"/>
      <c r="ED46" s="45"/>
      <c r="EE46" s="45"/>
      <c r="EF46" s="45"/>
      <c r="EG46" s="359" t="s">
        <v>139</v>
      </c>
      <c r="EH46" s="360"/>
      <c r="EI46" s="360"/>
      <c r="EJ46" s="360"/>
      <c r="EK46" s="360"/>
      <c r="EL46" s="361"/>
      <c r="EM46" s="359" t="s">
        <v>140</v>
      </c>
      <c r="EN46" s="360"/>
      <c r="EO46" s="360"/>
      <c r="EP46" s="360"/>
      <c r="EQ46" s="360"/>
      <c r="ER46" s="361"/>
      <c r="ES46" s="315" t="s">
        <v>153</v>
      </c>
      <c r="ET46" s="315"/>
      <c r="EX46" s="315" t="s">
        <v>154</v>
      </c>
      <c r="EY46" s="315"/>
      <c r="EZ46" s="315"/>
      <c r="FA46" s="315"/>
      <c r="FB46" s="315"/>
      <c r="FC46" s="315"/>
      <c r="FD46" s="315"/>
      <c r="FE46" s="315"/>
      <c r="FF46" s="315"/>
      <c r="FG46" s="315" t="s">
        <v>155</v>
      </c>
      <c r="FH46" s="315"/>
      <c r="FI46" s="315"/>
      <c r="FJ46" s="315"/>
      <c r="FK46" s="315"/>
      <c r="FL46" s="315"/>
      <c r="FM46" s="315"/>
      <c r="FN46" s="315"/>
      <c r="FO46" s="315"/>
      <c r="FP46" s="315" t="s">
        <v>156</v>
      </c>
      <c r="FQ46" s="315"/>
      <c r="FR46" s="315" t="s">
        <v>157</v>
      </c>
      <c r="FS46" s="315"/>
      <c r="GA46" s="36">
        <f>+IF(FZ45=$A$76,FZ44,IF(FZ45=$B$76,$A$77+FZ44,IF(FZ45=$C$76,$A$77+$B$77+FZ44,IF(FZ45=$D$76,$A$77+$B$77+$C$77+FZ44,IF(FZ45=$E$76,$A$77+$B$77+$C$77+$D$77+FZ44,IF(FZ45=$F$76,$A$77+$B$77+$C$77+$D$77+$E$77+FZ44,IF(FZ45=$G$76,$A$77+$B$77+$C$77+$D$77+$E$77+$F$77+FZ44,IF(FZ45=$H$76,$A$77+$B$77+$C$77+$D$77+$E$77+$F$77+$G$77+FZ44,IF(FZ45=$I$76,$A$77+$B$77+$C$77+$D$77+$E$77+$F$77+$G$77+$H$77+FZ44,IF(FZ45=$J$76,$A$77+$B$77+$C$77+$D$77+$E$77+$F$77+$G$77+$H$77+$I$77+FZ44,IF(FZ45=$K$76,$A$77+$B$77+$C$77+$D$77+$E$77+$F$77+$G$77+$H$77+$I$77+$J$77+FZ44,IF(FZ45=$L$76,$A$77+$B$77+$C$77+$D$77+$E$77+$F$77+$G$77+$H$77+$I$77+$J$77+$K$77+FZ44,"error"))))))))))))</f>
        <v>294</v>
      </c>
      <c r="GB46" s="38">
        <f>23.45*SIN(RADIANS(360*((284+GA46)/365)))</f>
        <v>-11.754120525303421</v>
      </c>
      <c r="GC46" s="41">
        <f>+IF($C$4&gt;89.9,89.9,IF($C$4&lt;-89.9,-89.9,$C$4))</f>
        <v>29.08</v>
      </c>
      <c r="GD46" s="88">
        <f>(GA46-1)*2*PI()/365</f>
        <v>5.0437624520647084</v>
      </c>
      <c r="GE46" s="88">
        <f>J15</f>
        <v>211</v>
      </c>
      <c r="GF46" s="88">
        <f>EXP(-0.0001184*GE46)</f>
        <v>0.9753270776338413</v>
      </c>
      <c r="GG46" s="38">
        <f>1387*(1.00011+0.034221*COS(GD46)+0.00128*SIN(GD46)+0.000719*COS(2*GD46)+0.000077*SIN(2*GD46))</f>
        <v>1400.0641527998318</v>
      </c>
      <c r="GH46" s="88">
        <f>+A8</f>
        <v>0</v>
      </c>
      <c r="GI46" s="88">
        <f>+B8</f>
        <v>90</v>
      </c>
      <c r="GJ46" s="45"/>
      <c r="GK46" s="45"/>
      <c r="GL46" s="45"/>
      <c r="GM46" s="45"/>
      <c r="GN46" s="359" t="s">
        <v>139</v>
      </c>
      <c r="GO46" s="360"/>
      <c r="GP46" s="360"/>
      <c r="GQ46" s="360"/>
      <c r="GR46" s="360"/>
      <c r="GS46" s="361"/>
      <c r="GT46" s="359" t="s">
        <v>140</v>
      </c>
      <c r="GU46" s="360"/>
      <c r="GV46" s="360"/>
      <c r="GW46" s="360"/>
      <c r="GX46" s="360"/>
      <c r="GY46" s="361"/>
      <c r="GZ46" s="315" t="s">
        <v>153</v>
      </c>
      <c r="HA46" s="315"/>
      <c r="HE46" s="315" t="s">
        <v>154</v>
      </c>
      <c r="HF46" s="315"/>
      <c r="HG46" s="315"/>
      <c r="HH46" s="315"/>
      <c r="HI46" s="315"/>
      <c r="HJ46" s="315"/>
      <c r="HK46" s="315"/>
      <c r="HL46" s="315"/>
      <c r="HM46" s="315"/>
      <c r="HN46" s="315" t="s">
        <v>155</v>
      </c>
      <c r="HO46" s="315"/>
      <c r="HP46" s="315"/>
      <c r="HQ46" s="315"/>
      <c r="HR46" s="315"/>
      <c r="HS46" s="315"/>
      <c r="HT46" s="315"/>
      <c r="HU46" s="315"/>
      <c r="HV46" s="315"/>
      <c r="HW46" s="315" t="s">
        <v>156</v>
      </c>
      <c r="HX46" s="315"/>
      <c r="HY46" s="315" t="s">
        <v>157</v>
      </c>
      <c r="HZ46" s="315"/>
      <c r="IH46" s="36">
        <f>+IF(IG45=$A$76,IG44,IF(IG45=$B$76,$A$77+IG44,IF(IG45=$C$76,$A$77+$B$77+IG44,IF(IG45=$D$76,$A$77+$B$77+$C$77+IG44,IF(IG45=$E$76,$A$77+$B$77+$C$77+$D$77+IG44,IF(IG45=$F$76,$A$77+$B$77+$C$77+$D$77+$E$77+IG44,IF(IG45=$G$76,$A$77+$B$77+$C$77+$D$77+$E$77+$F$77+IG44,IF(IG45=$H$76,$A$77+$B$77+$C$77+$D$77+$E$77+$F$77+$G$77+IG44,IF(IG45=$I$76,$A$77+$B$77+$C$77+$D$77+$E$77+$F$77+$G$77+$H$77+IG44,IF(IG45=$J$76,$A$77+$B$77+$C$77+$D$77+$E$77+$F$77+$G$77+$H$77+$I$77+IG44,IF(IG45=$K$76,$A$77+$B$77+$C$77+$D$77+$E$77+$F$77+$G$77+$H$77+$I$77+$J$77+IG44,IF(IG45=$L$76,$A$77+$B$77+$C$77+$D$77+$E$77+$F$77+$G$77+$H$77+$I$77+$J$77+$K$77+IG44,"error"))))))))))))</f>
        <v>325</v>
      </c>
      <c r="II46" s="38">
        <f>23.45*SIN(RADIANS(360*((284+IH46)/365)))</f>
        <v>-20.441513173733579</v>
      </c>
      <c r="IJ46" s="41">
        <f>+IF($C$4&gt;89.9,89.9,IF($C$4&lt;-89.9,-89.9,$C$4))</f>
        <v>29.08</v>
      </c>
      <c r="IK46" s="88">
        <f>(IH46-1)*2*PI()/365</f>
        <v>5.5774028480169475</v>
      </c>
      <c r="IL46" s="88">
        <f>J15</f>
        <v>211</v>
      </c>
      <c r="IM46" s="88">
        <f>EXP(-0.0001184*IL46)</f>
        <v>0.9753270776338413</v>
      </c>
      <c r="IN46" s="38">
        <f>1387*(1.00011+0.034221*COS(IK46)+0.00128*SIN(IK46)+0.000719*COS(2*IK46)+0.000077*SIN(2*IK46))</f>
        <v>1422.1791485469141</v>
      </c>
      <c r="IO46" s="88">
        <f>+A8</f>
        <v>0</v>
      </c>
      <c r="IP46" s="88">
        <f>+B8</f>
        <v>90</v>
      </c>
      <c r="IQ46" s="45"/>
      <c r="IR46" s="45"/>
      <c r="IS46" s="45"/>
      <c r="IT46" s="45"/>
      <c r="IU46" s="359" t="s">
        <v>139</v>
      </c>
      <c r="IV46" s="360"/>
      <c r="IW46" s="360"/>
      <c r="IX46" s="360"/>
      <c r="IY46" s="360"/>
      <c r="IZ46" s="361"/>
      <c r="JA46" s="359" t="s">
        <v>140</v>
      </c>
      <c r="JB46" s="360"/>
      <c r="JC46" s="360"/>
      <c r="JD46" s="360"/>
      <c r="JE46" s="360"/>
      <c r="JF46" s="361"/>
      <c r="JG46" s="315" t="s">
        <v>153</v>
      </c>
      <c r="JH46" s="315"/>
      <c r="JL46" s="315" t="s">
        <v>154</v>
      </c>
      <c r="JM46" s="315"/>
      <c r="JN46" s="315"/>
      <c r="JO46" s="315"/>
      <c r="JP46" s="315"/>
      <c r="JQ46" s="315"/>
      <c r="JR46" s="315"/>
      <c r="JS46" s="315"/>
      <c r="JT46" s="315"/>
      <c r="JU46" s="315" t="s">
        <v>155</v>
      </c>
      <c r="JV46" s="315"/>
      <c r="JW46" s="315"/>
      <c r="JX46" s="315"/>
      <c r="JY46" s="315"/>
      <c r="JZ46" s="315"/>
      <c r="KA46" s="315"/>
      <c r="KB46" s="315"/>
      <c r="KC46" s="315"/>
      <c r="KD46" s="315" t="s">
        <v>156</v>
      </c>
      <c r="KE46" s="315"/>
      <c r="KF46" s="315" t="s">
        <v>157</v>
      </c>
      <c r="KG46" s="315"/>
      <c r="KO46" s="36">
        <f>+IF(KN45=$A$76,KN44,IF(KN45=$B$76,$A$77+KN44,IF(KN45=$C$76,$A$77+$B$77+KN44,IF(KN45=$D$76,$A$77+$B$77+$C$77+KN44,IF(KN45=$E$76,$A$77+$B$77+$C$77+$D$77+KN44,IF(KN45=$F$76,$A$77+$B$77+$C$77+$D$77+$E$77+KN44,IF(KN45=$G$76,$A$77+$B$77+$C$77+$D$77+$E$77+$F$77+KN44,IF(KN45=$H$76,$A$77+$B$77+$C$77+$D$77+$E$77+$F$77+$G$77+KN44,IF(KN45=$I$76,$A$77+$B$77+$C$77+$D$77+$E$77+$F$77+$G$77+$H$77+KN44,IF(KN45=$J$76,$A$77+$B$77+$C$77+$D$77+$E$77+$F$77+$G$77+$H$77+$I$77+KN44,IF(KN45=$K$76,$A$77+$B$77+$C$77+$D$77+$E$77+$F$77+$G$77+$H$77+$I$77+$J$77+KN44,IF(KN45=$L$76,$A$77+$B$77+$C$77+$D$77+$E$77+$F$77+$G$77+$H$77+$I$77+$J$77+$K$77+KN44,"error"))))))))))))</f>
        <v>355</v>
      </c>
      <c r="KP46" s="38">
        <f>23.45*SIN(RADIANS(360*((284+KO46)/365)))</f>
        <v>-23.449782846813658</v>
      </c>
      <c r="KQ46" s="41">
        <f>+IF($C$4&gt;89.9,89.9,IF($C$4&lt;-89.9,-89.9,$C$4))</f>
        <v>29.08</v>
      </c>
      <c r="KR46" s="88">
        <f>(KO46-1)*2*PI()/365</f>
        <v>6.0938290376481472</v>
      </c>
      <c r="KS46" s="88">
        <f>J15</f>
        <v>211</v>
      </c>
      <c r="KT46" s="88">
        <f>EXP(-0.0001184*KS46)</f>
        <v>0.9753270776338413</v>
      </c>
      <c r="KU46" s="38">
        <f>1387*(1.00011+0.034221*COS(KR46)+0.00128*SIN(KR46)+0.000719*COS(2*KR46)+0.000077*SIN(2*KR46))</f>
        <v>1434.3216300140157</v>
      </c>
      <c r="KV46" s="88">
        <f>+A8</f>
        <v>0</v>
      </c>
      <c r="KW46" s="88">
        <f>+B8</f>
        <v>90</v>
      </c>
      <c r="KX46" s="45"/>
      <c r="KY46" s="45"/>
      <c r="KZ46" s="45"/>
      <c r="LA46" s="45"/>
      <c r="LB46" s="359" t="s">
        <v>139</v>
      </c>
      <c r="LC46" s="360"/>
      <c r="LD46" s="360"/>
      <c r="LE46" s="360"/>
      <c r="LF46" s="360"/>
      <c r="LG46" s="361"/>
      <c r="LH46" s="359" t="s">
        <v>140</v>
      </c>
      <c r="LI46" s="360"/>
      <c r="LJ46" s="360"/>
      <c r="LK46" s="360"/>
      <c r="LL46" s="360"/>
      <c r="LM46" s="361"/>
      <c r="LN46" s="315" t="s">
        <v>153</v>
      </c>
      <c r="LO46" s="315"/>
      <c r="LS46" s="315" t="s">
        <v>154</v>
      </c>
      <c r="LT46" s="315"/>
      <c r="LU46" s="315"/>
      <c r="LV46" s="315"/>
      <c r="LW46" s="315"/>
      <c r="LX46" s="315"/>
      <c r="LY46" s="315"/>
      <c r="LZ46" s="315"/>
      <c r="MA46" s="315"/>
      <c r="MB46" s="315" t="s">
        <v>155</v>
      </c>
      <c r="MC46" s="315"/>
      <c r="MD46" s="315"/>
      <c r="ME46" s="315"/>
      <c r="MF46" s="315"/>
      <c r="MG46" s="315"/>
      <c r="MH46" s="315"/>
      <c r="MI46" s="315"/>
      <c r="MJ46" s="315"/>
      <c r="MK46" s="315" t="s">
        <v>156</v>
      </c>
      <c r="ML46" s="315"/>
      <c r="MM46" s="315" t="s">
        <v>157</v>
      </c>
      <c r="MN46" s="315"/>
    </row>
    <row r="47" spans="4:356" x14ac:dyDescent="0.25">
      <c r="E47" s="317" t="s">
        <v>90</v>
      </c>
      <c r="F47" s="315"/>
      <c r="G47" s="315"/>
      <c r="H47" s="315"/>
      <c r="I47" s="355" t="s">
        <v>134</v>
      </c>
      <c r="J47" s="315"/>
      <c r="K47" s="365" t="s">
        <v>133</v>
      </c>
      <c r="L47" s="355" t="s">
        <v>49</v>
      </c>
      <c r="M47" s="356" t="s">
        <v>132</v>
      </c>
      <c r="N47" s="356"/>
      <c r="O47" s="357" t="s">
        <v>137</v>
      </c>
      <c r="P47" s="356"/>
      <c r="Q47" s="356" t="s">
        <v>138</v>
      </c>
      <c r="R47" s="358" t="s">
        <v>152</v>
      </c>
      <c r="S47" s="355" t="s">
        <v>136</v>
      </c>
      <c r="T47" s="355" t="s">
        <v>50</v>
      </c>
      <c r="U47" s="355" t="s">
        <v>150</v>
      </c>
      <c r="V47" s="355" t="s">
        <v>151</v>
      </c>
      <c r="W47" s="355"/>
      <c r="X47" s="355"/>
      <c r="Y47" s="355" t="s">
        <v>136</v>
      </c>
      <c r="Z47" s="355" t="s">
        <v>50</v>
      </c>
      <c r="AA47" s="355" t="s">
        <v>150</v>
      </c>
      <c r="AB47" s="355" t="s">
        <v>151</v>
      </c>
      <c r="AC47" s="355"/>
      <c r="AD47" s="355"/>
      <c r="AE47" s="355"/>
      <c r="AF47" s="355"/>
      <c r="AG47" s="315"/>
      <c r="AH47" s="355" t="s">
        <v>136</v>
      </c>
      <c r="AI47" s="355" t="s">
        <v>50</v>
      </c>
      <c r="AJ47" s="355"/>
      <c r="AK47" s="355"/>
      <c r="AL47" s="355"/>
      <c r="AM47" s="355"/>
      <c r="AN47" s="355"/>
      <c r="AO47" s="355"/>
      <c r="AP47" s="355"/>
      <c r="AQ47" s="355"/>
      <c r="AR47" s="355"/>
      <c r="AS47" s="355"/>
      <c r="AT47" s="355"/>
      <c r="AU47" s="355"/>
      <c r="AV47" s="355"/>
      <c r="AW47" s="355"/>
      <c r="AX47" s="355"/>
      <c r="AY47" s="355"/>
      <c r="AZ47" s="355"/>
      <c r="BA47" s="355"/>
      <c r="BB47" s="355"/>
      <c r="BC47" s="355"/>
      <c r="BD47" s="355"/>
      <c r="BE47" s="355"/>
      <c r="BF47" s="355"/>
      <c r="BG47" s="355"/>
      <c r="BH47" s="355"/>
      <c r="BI47" s="355"/>
      <c r="BL47" s="317" t="s">
        <v>90</v>
      </c>
      <c r="BM47" s="315"/>
      <c r="BN47" s="315"/>
      <c r="BO47" s="315"/>
      <c r="BP47" s="355" t="s">
        <v>134</v>
      </c>
      <c r="BQ47" s="315"/>
      <c r="BR47" s="365" t="s">
        <v>133</v>
      </c>
      <c r="BS47" s="355" t="s">
        <v>49</v>
      </c>
      <c r="BT47" s="356" t="s">
        <v>132</v>
      </c>
      <c r="BU47" s="356"/>
      <c r="BV47" s="357" t="s">
        <v>137</v>
      </c>
      <c r="BW47" s="356"/>
      <c r="BX47" s="356" t="s">
        <v>138</v>
      </c>
      <c r="BY47" s="358" t="s">
        <v>152</v>
      </c>
      <c r="BZ47" s="355" t="s">
        <v>136</v>
      </c>
      <c r="CA47" s="355" t="s">
        <v>50</v>
      </c>
      <c r="CB47" s="355" t="s">
        <v>150</v>
      </c>
      <c r="CC47" s="355" t="s">
        <v>151</v>
      </c>
      <c r="CD47" s="355"/>
      <c r="CE47" s="355"/>
      <c r="CF47" s="355" t="s">
        <v>136</v>
      </c>
      <c r="CG47" s="355" t="s">
        <v>50</v>
      </c>
      <c r="CH47" s="355" t="s">
        <v>150</v>
      </c>
      <c r="CI47" s="355" t="s">
        <v>151</v>
      </c>
      <c r="CJ47" s="355"/>
      <c r="CK47" s="355"/>
      <c r="CL47" s="355"/>
      <c r="CM47" s="355"/>
      <c r="CN47" s="315"/>
      <c r="CO47" s="355" t="s">
        <v>136</v>
      </c>
      <c r="CP47" s="355" t="s">
        <v>50</v>
      </c>
      <c r="CQ47" s="355"/>
      <c r="CR47" s="355"/>
      <c r="CS47" s="355"/>
      <c r="CT47" s="355"/>
      <c r="CU47" s="355"/>
      <c r="CV47" s="355"/>
      <c r="CW47" s="355"/>
      <c r="CX47" s="355"/>
      <c r="CY47" s="355"/>
      <c r="CZ47" s="355"/>
      <c r="DA47" s="355"/>
      <c r="DB47" s="355"/>
      <c r="DC47" s="355"/>
      <c r="DD47" s="355"/>
      <c r="DE47" s="355"/>
      <c r="DF47" s="355"/>
      <c r="DG47" s="355"/>
      <c r="DH47" s="355"/>
      <c r="DI47" s="355"/>
      <c r="DJ47" s="355"/>
      <c r="DK47" s="355"/>
      <c r="DL47" s="355"/>
      <c r="DM47" s="355"/>
      <c r="DN47" s="355"/>
      <c r="DO47" s="355"/>
      <c r="DP47" s="355"/>
      <c r="DQ47" s="13"/>
      <c r="DS47" s="317" t="s">
        <v>90</v>
      </c>
      <c r="DT47" s="315"/>
      <c r="DU47" s="315"/>
      <c r="DV47" s="315"/>
      <c r="DW47" s="355" t="s">
        <v>134</v>
      </c>
      <c r="DX47" s="315"/>
      <c r="DY47" s="365" t="s">
        <v>133</v>
      </c>
      <c r="DZ47" s="355" t="s">
        <v>49</v>
      </c>
      <c r="EA47" s="356" t="s">
        <v>132</v>
      </c>
      <c r="EB47" s="356"/>
      <c r="EC47" s="357" t="s">
        <v>137</v>
      </c>
      <c r="ED47" s="356"/>
      <c r="EE47" s="356" t="s">
        <v>138</v>
      </c>
      <c r="EF47" s="358" t="s">
        <v>152</v>
      </c>
      <c r="EG47" s="355" t="s">
        <v>136</v>
      </c>
      <c r="EH47" s="355" t="s">
        <v>50</v>
      </c>
      <c r="EI47" s="355" t="s">
        <v>150</v>
      </c>
      <c r="EJ47" s="355" t="s">
        <v>151</v>
      </c>
      <c r="EK47" s="355"/>
      <c r="EL47" s="355"/>
      <c r="EM47" s="355" t="s">
        <v>136</v>
      </c>
      <c r="EN47" s="355" t="s">
        <v>50</v>
      </c>
      <c r="EO47" s="355" t="s">
        <v>150</v>
      </c>
      <c r="EP47" s="355" t="s">
        <v>151</v>
      </c>
      <c r="EQ47" s="355"/>
      <c r="ER47" s="355"/>
      <c r="ES47" s="355"/>
      <c r="ET47" s="355"/>
      <c r="EU47" s="315"/>
      <c r="EV47" s="355" t="s">
        <v>136</v>
      </c>
      <c r="EW47" s="355" t="s">
        <v>50</v>
      </c>
      <c r="EX47" s="355"/>
      <c r="EY47" s="355"/>
      <c r="EZ47" s="355"/>
      <c r="FA47" s="355"/>
      <c r="FB47" s="355"/>
      <c r="FC47" s="355"/>
      <c r="FD47" s="355"/>
      <c r="FE47" s="355"/>
      <c r="FF47" s="355"/>
      <c r="FG47" s="355"/>
      <c r="FH47" s="355"/>
      <c r="FI47" s="355"/>
      <c r="FJ47" s="355"/>
      <c r="FK47" s="355"/>
      <c r="FL47" s="355"/>
      <c r="FM47" s="355"/>
      <c r="FN47" s="355"/>
      <c r="FO47" s="355"/>
      <c r="FP47" s="355"/>
      <c r="FQ47" s="355"/>
      <c r="FR47" s="355"/>
      <c r="FS47" s="355"/>
      <c r="FT47" s="355"/>
      <c r="FU47" s="355"/>
      <c r="FV47" s="355"/>
      <c r="FW47" s="355"/>
      <c r="FX47" s="50"/>
      <c r="FZ47" s="317" t="s">
        <v>90</v>
      </c>
      <c r="GA47" s="315"/>
      <c r="GB47" s="315"/>
      <c r="GC47" s="315"/>
      <c r="GD47" s="355" t="s">
        <v>134</v>
      </c>
      <c r="GE47" s="315"/>
      <c r="GF47" s="365" t="s">
        <v>133</v>
      </c>
      <c r="GG47" s="355" t="s">
        <v>49</v>
      </c>
      <c r="GH47" s="356" t="s">
        <v>132</v>
      </c>
      <c r="GI47" s="356"/>
      <c r="GJ47" s="357" t="s">
        <v>137</v>
      </c>
      <c r="GK47" s="356"/>
      <c r="GL47" s="356" t="s">
        <v>138</v>
      </c>
      <c r="GM47" s="358" t="s">
        <v>152</v>
      </c>
      <c r="GN47" s="355" t="s">
        <v>136</v>
      </c>
      <c r="GO47" s="355" t="s">
        <v>50</v>
      </c>
      <c r="GP47" s="355" t="s">
        <v>150</v>
      </c>
      <c r="GQ47" s="355" t="s">
        <v>151</v>
      </c>
      <c r="GR47" s="355"/>
      <c r="GS47" s="355"/>
      <c r="GT47" s="355" t="s">
        <v>136</v>
      </c>
      <c r="GU47" s="355" t="s">
        <v>50</v>
      </c>
      <c r="GV47" s="355" t="s">
        <v>150</v>
      </c>
      <c r="GW47" s="355" t="s">
        <v>151</v>
      </c>
      <c r="GX47" s="355"/>
      <c r="GY47" s="355"/>
      <c r="GZ47" s="355"/>
      <c r="HA47" s="355"/>
      <c r="HB47" s="315"/>
      <c r="HC47" s="355" t="s">
        <v>136</v>
      </c>
      <c r="HD47" s="355" t="s">
        <v>50</v>
      </c>
      <c r="HE47" s="355"/>
      <c r="HF47" s="355"/>
      <c r="HG47" s="355"/>
      <c r="HH47" s="355"/>
      <c r="HI47" s="355"/>
      <c r="HJ47" s="355"/>
      <c r="HK47" s="355"/>
      <c r="HL47" s="355"/>
      <c r="HM47" s="355"/>
      <c r="HN47" s="355"/>
      <c r="HO47" s="355"/>
      <c r="HP47" s="355"/>
      <c r="HQ47" s="355"/>
      <c r="HR47" s="355"/>
      <c r="HS47" s="355"/>
      <c r="HT47" s="355"/>
      <c r="HU47" s="355"/>
      <c r="HV47" s="355"/>
      <c r="HW47" s="355"/>
      <c r="HX47" s="355"/>
      <c r="HY47" s="355"/>
      <c r="HZ47" s="355"/>
      <c r="IA47" s="355"/>
      <c r="IB47" s="355"/>
      <c r="IC47" s="355"/>
      <c r="ID47" s="355"/>
      <c r="IE47" s="50"/>
      <c r="IG47" s="317" t="s">
        <v>90</v>
      </c>
      <c r="IH47" s="315"/>
      <c r="II47" s="315"/>
      <c r="IJ47" s="315"/>
      <c r="IK47" s="355" t="s">
        <v>134</v>
      </c>
      <c r="IL47" s="315"/>
      <c r="IM47" s="365" t="s">
        <v>133</v>
      </c>
      <c r="IN47" s="355" t="s">
        <v>49</v>
      </c>
      <c r="IO47" s="356" t="s">
        <v>132</v>
      </c>
      <c r="IP47" s="356"/>
      <c r="IQ47" s="357" t="s">
        <v>137</v>
      </c>
      <c r="IR47" s="356"/>
      <c r="IS47" s="356" t="s">
        <v>138</v>
      </c>
      <c r="IT47" s="358" t="s">
        <v>152</v>
      </c>
      <c r="IU47" s="355" t="s">
        <v>136</v>
      </c>
      <c r="IV47" s="355" t="s">
        <v>50</v>
      </c>
      <c r="IW47" s="355" t="s">
        <v>150</v>
      </c>
      <c r="IX47" s="355" t="s">
        <v>151</v>
      </c>
      <c r="IY47" s="355"/>
      <c r="IZ47" s="355"/>
      <c r="JA47" s="355" t="s">
        <v>136</v>
      </c>
      <c r="JB47" s="355" t="s">
        <v>50</v>
      </c>
      <c r="JC47" s="355" t="s">
        <v>150</v>
      </c>
      <c r="JD47" s="355" t="s">
        <v>151</v>
      </c>
      <c r="JE47" s="355"/>
      <c r="JF47" s="355"/>
      <c r="JG47" s="355"/>
      <c r="JH47" s="355"/>
      <c r="JI47" s="315"/>
      <c r="JJ47" s="355" t="s">
        <v>136</v>
      </c>
      <c r="JK47" s="355" t="s">
        <v>50</v>
      </c>
      <c r="JL47" s="355"/>
      <c r="JM47" s="355"/>
      <c r="JN47" s="355"/>
      <c r="JO47" s="355"/>
      <c r="JP47" s="355"/>
      <c r="JQ47" s="355"/>
      <c r="JR47" s="355"/>
      <c r="JS47" s="355"/>
      <c r="JT47" s="355"/>
      <c r="JU47" s="355"/>
      <c r="JV47" s="355"/>
      <c r="JW47" s="355"/>
      <c r="JX47" s="355"/>
      <c r="JY47" s="355"/>
      <c r="JZ47" s="355"/>
      <c r="KA47" s="355"/>
      <c r="KB47" s="355"/>
      <c r="KC47" s="355"/>
      <c r="KD47" s="355"/>
      <c r="KE47" s="355"/>
      <c r="KF47" s="355"/>
      <c r="KG47" s="355"/>
      <c r="KH47" s="355"/>
      <c r="KI47" s="355"/>
      <c r="KJ47" s="355"/>
      <c r="KK47" s="355"/>
      <c r="KL47" s="319"/>
      <c r="KN47" s="317" t="s">
        <v>90</v>
      </c>
      <c r="KO47" s="315"/>
      <c r="KP47" s="315"/>
      <c r="KQ47" s="315"/>
      <c r="KR47" s="355" t="s">
        <v>134</v>
      </c>
      <c r="KS47" s="315"/>
      <c r="KT47" s="365" t="s">
        <v>133</v>
      </c>
      <c r="KU47" s="355" t="s">
        <v>49</v>
      </c>
      <c r="KV47" s="356" t="s">
        <v>132</v>
      </c>
      <c r="KW47" s="356"/>
      <c r="KX47" s="357" t="s">
        <v>137</v>
      </c>
      <c r="KY47" s="356"/>
      <c r="KZ47" s="356" t="s">
        <v>138</v>
      </c>
      <c r="LA47" s="358" t="s">
        <v>152</v>
      </c>
      <c r="LB47" s="355" t="s">
        <v>136</v>
      </c>
      <c r="LC47" s="355" t="s">
        <v>50</v>
      </c>
      <c r="LD47" s="355" t="s">
        <v>150</v>
      </c>
      <c r="LE47" s="355" t="s">
        <v>151</v>
      </c>
      <c r="LF47" s="355"/>
      <c r="LG47" s="355"/>
      <c r="LH47" s="355" t="s">
        <v>136</v>
      </c>
      <c r="LI47" s="355" t="s">
        <v>50</v>
      </c>
      <c r="LJ47" s="355" t="s">
        <v>150</v>
      </c>
      <c r="LK47" s="355" t="s">
        <v>151</v>
      </c>
      <c r="LL47" s="355"/>
      <c r="LM47" s="355"/>
      <c r="LN47" s="355"/>
      <c r="LO47" s="355"/>
      <c r="LP47" s="315"/>
      <c r="LQ47" s="355" t="s">
        <v>136</v>
      </c>
      <c r="LR47" s="355" t="s">
        <v>50</v>
      </c>
      <c r="LS47" s="355"/>
      <c r="LT47" s="355"/>
      <c r="LU47" s="355"/>
      <c r="LV47" s="355"/>
      <c r="LW47" s="355"/>
      <c r="LX47" s="355"/>
      <c r="LY47" s="355"/>
      <c r="LZ47" s="355"/>
      <c r="MA47" s="355"/>
      <c r="MB47" s="355"/>
      <c r="MC47" s="355"/>
      <c r="MD47" s="355"/>
      <c r="ME47" s="355"/>
      <c r="MF47" s="355"/>
      <c r="MG47" s="355"/>
      <c r="MH47" s="355"/>
      <c r="MI47" s="355"/>
      <c r="MJ47" s="355"/>
      <c r="MK47" s="355"/>
      <c r="ML47" s="355"/>
      <c r="MM47" s="355"/>
      <c r="MN47" s="355"/>
      <c r="MO47" s="355"/>
      <c r="MP47" s="355"/>
      <c r="MQ47" s="355"/>
      <c r="MR47" s="355"/>
    </row>
    <row r="48" spans="4:356" x14ac:dyDescent="0.25">
      <c r="E48" s="318"/>
      <c r="F48" s="315"/>
      <c r="G48" s="315"/>
      <c r="H48" s="315"/>
      <c r="I48" s="355"/>
      <c r="J48" s="315"/>
      <c r="K48" s="355"/>
      <c r="L48" s="355"/>
      <c r="M48" s="355"/>
      <c r="N48" s="355"/>
      <c r="O48" s="355"/>
      <c r="P48" s="355"/>
      <c r="Q48" s="355"/>
      <c r="R48" s="355"/>
      <c r="S48" s="355"/>
      <c r="T48" s="355"/>
      <c r="U48" s="355"/>
      <c r="V48" s="355"/>
      <c r="W48" s="355"/>
      <c r="X48" s="355"/>
      <c r="Y48" s="355"/>
      <c r="Z48" s="355"/>
      <c r="AA48" s="355"/>
      <c r="AB48" s="355"/>
      <c r="AC48" s="355"/>
      <c r="AD48" s="355"/>
      <c r="AE48" s="355"/>
      <c r="AF48" s="355"/>
      <c r="AG48" s="315"/>
      <c r="AH48" s="355"/>
      <c r="AI48" s="355"/>
      <c r="AJ48" s="355"/>
      <c r="AK48" s="355"/>
      <c r="AL48" s="355"/>
      <c r="AM48" s="355"/>
      <c r="AN48" s="355"/>
      <c r="AO48" s="355"/>
      <c r="AP48" s="355"/>
      <c r="AQ48" s="355"/>
      <c r="AR48" s="355"/>
      <c r="AS48" s="355"/>
      <c r="AT48" s="355"/>
      <c r="AU48" s="355"/>
      <c r="AV48" s="355"/>
      <c r="AW48" s="355"/>
      <c r="AX48" s="355"/>
      <c r="AY48" s="355"/>
      <c r="AZ48" s="355"/>
      <c r="BA48" s="355"/>
      <c r="BB48" s="355"/>
      <c r="BC48" s="355"/>
      <c r="BD48" s="355"/>
      <c r="BE48" s="355"/>
      <c r="BF48" s="355"/>
      <c r="BG48" s="355"/>
      <c r="BH48" s="355"/>
      <c r="BI48" s="355"/>
      <c r="BL48" s="318"/>
      <c r="BM48" s="315"/>
      <c r="BN48" s="315"/>
      <c r="BO48" s="315"/>
      <c r="BP48" s="355"/>
      <c r="BQ48" s="315"/>
      <c r="BR48" s="355"/>
      <c r="BS48" s="355"/>
      <c r="BT48" s="355"/>
      <c r="BU48" s="355"/>
      <c r="BV48" s="355"/>
      <c r="BW48" s="355"/>
      <c r="BX48" s="355"/>
      <c r="BY48" s="355"/>
      <c r="BZ48" s="355"/>
      <c r="CA48" s="355"/>
      <c r="CB48" s="355"/>
      <c r="CC48" s="355"/>
      <c r="CD48" s="355"/>
      <c r="CE48" s="355"/>
      <c r="CF48" s="355"/>
      <c r="CG48" s="355"/>
      <c r="CH48" s="355"/>
      <c r="CI48" s="355"/>
      <c r="CJ48" s="355"/>
      <c r="CK48" s="355"/>
      <c r="CL48" s="355"/>
      <c r="CM48" s="355"/>
      <c r="CN48" s="315"/>
      <c r="CO48" s="355"/>
      <c r="CP48" s="355"/>
      <c r="CQ48" s="355"/>
      <c r="CR48" s="355"/>
      <c r="CS48" s="355"/>
      <c r="CT48" s="355"/>
      <c r="CU48" s="355"/>
      <c r="CV48" s="355"/>
      <c r="CW48" s="355"/>
      <c r="CX48" s="355"/>
      <c r="CY48" s="355"/>
      <c r="CZ48" s="355"/>
      <c r="DA48" s="355"/>
      <c r="DB48" s="355"/>
      <c r="DC48" s="355"/>
      <c r="DD48" s="355"/>
      <c r="DE48" s="355"/>
      <c r="DF48" s="355"/>
      <c r="DG48" s="355"/>
      <c r="DH48" s="355"/>
      <c r="DI48" s="355"/>
      <c r="DJ48" s="355"/>
      <c r="DK48" s="355"/>
      <c r="DL48" s="355"/>
      <c r="DM48" s="355"/>
      <c r="DN48" s="355"/>
      <c r="DO48" s="355"/>
      <c r="DP48" s="355"/>
      <c r="DQ48" s="13"/>
      <c r="DS48" s="318"/>
      <c r="DT48" s="315"/>
      <c r="DU48" s="315"/>
      <c r="DV48" s="315"/>
      <c r="DW48" s="355"/>
      <c r="DX48" s="315"/>
      <c r="DY48" s="355"/>
      <c r="DZ48" s="355"/>
      <c r="EA48" s="355"/>
      <c r="EB48" s="355"/>
      <c r="EC48" s="355"/>
      <c r="ED48" s="355"/>
      <c r="EE48" s="355"/>
      <c r="EF48" s="355"/>
      <c r="EG48" s="355"/>
      <c r="EH48" s="355"/>
      <c r="EI48" s="355"/>
      <c r="EJ48" s="355"/>
      <c r="EK48" s="355"/>
      <c r="EL48" s="355"/>
      <c r="EM48" s="355"/>
      <c r="EN48" s="355"/>
      <c r="EO48" s="355"/>
      <c r="EP48" s="355"/>
      <c r="EQ48" s="355"/>
      <c r="ER48" s="355"/>
      <c r="ES48" s="355"/>
      <c r="ET48" s="355"/>
      <c r="EU48" s="315"/>
      <c r="EV48" s="355"/>
      <c r="EW48" s="355"/>
      <c r="EX48" s="355"/>
      <c r="EY48" s="355"/>
      <c r="EZ48" s="355"/>
      <c r="FA48" s="355"/>
      <c r="FB48" s="355"/>
      <c r="FC48" s="355"/>
      <c r="FD48" s="355"/>
      <c r="FE48" s="355"/>
      <c r="FF48" s="355"/>
      <c r="FG48" s="355"/>
      <c r="FH48" s="355"/>
      <c r="FI48" s="355"/>
      <c r="FJ48" s="355"/>
      <c r="FK48" s="355"/>
      <c r="FL48" s="355"/>
      <c r="FM48" s="355"/>
      <c r="FN48" s="355"/>
      <c r="FO48" s="355"/>
      <c r="FP48" s="355"/>
      <c r="FQ48" s="355"/>
      <c r="FR48" s="355"/>
      <c r="FS48" s="355"/>
      <c r="FT48" s="355"/>
      <c r="FU48" s="355"/>
      <c r="FV48" s="355"/>
      <c r="FW48" s="355"/>
      <c r="FX48" s="50"/>
      <c r="FZ48" s="318"/>
      <c r="GA48" s="315"/>
      <c r="GB48" s="315"/>
      <c r="GC48" s="315"/>
      <c r="GD48" s="355"/>
      <c r="GE48" s="315"/>
      <c r="GF48" s="355"/>
      <c r="GG48" s="355"/>
      <c r="GH48" s="355"/>
      <c r="GI48" s="355"/>
      <c r="GJ48" s="355"/>
      <c r="GK48" s="355"/>
      <c r="GL48" s="355"/>
      <c r="GM48" s="355"/>
      <c r="GN48" s="355"/>
      <c r="GO48" s="355"/>
      <c r="GP48" s="355"/>
      <c r="GQ48" s="355"/>
      <c r="GR48" s="355"/>
      <c r="GS48" s="355"/>
      <c r="GT48" s="355"/>
      <c r="GU48" s="355"/>
      <c r="GV48" s="355"/>
      <c r="GW48" s="355"/>
      <c r="GX48" s="355"/>
      <c r="GY48" s="355"/>
      <c r="GZ48" s="355"/>
      <c r="HA48" s="355"/>
      <c r="HB48" s="315"/>
      <c r="HC48" s="355"/>
      <c r="HD48" s="355"/>
      <c r="HE48" s="355"/>
      <c r="HF48" s="355"/>
      <c r="HG48" s="355"/>
      <c r="HH48" s="355"/>
      <c r="HI48" s="355"/>
      <c r="HJ48" s="355"/>
      <c r="HK48" s="355"/>
      <c r="HL48" s="355"/>
      <c r="HM48" s="355"/>
      <c r="HN48" s="355"/>
      <c r="HO48" s="355"/>
      <c r="HP48" s="355"/>
      <c r="HQ48" s="355"/>
      <c r="HR48" s="355"/>
      <c r="HS48" s="355"/>
      <c r="HT48" s="355"/>
      <c r="HU48" s="355"/>
      <c r="HV48" s="355"/>
      <c r="HW48" s="355"/>
      <c r="HX48" s="355"/>
      <c r="HY48" s="355"/>
      <c r="HZ48" s="355"/>
      <c r="IA48" s="355"/>
      <c r="IB48" s="355"/>
      <c r="IC48" s="355"/>
      <c r="ID48" s="355"/>
      <c r="IE48" s="50"/>
      <c r="IG48" s="318"/>
      <c r="IH48" s="315"/>
      <c r="II48" s="315"/>
      <c r="IJ48" s="315"/>
      <c r="IK48" s="355"/>
      <c r="IL48" s="315"/>
      <c r="IM48" s="355"/>
      <c r="IN48" s="355"/>
      <c r="IO48" s="355"/>
      <c r="IP48" s="355"/>
      <c r="IQ48" s="355"/>
      <c r="IR48" s="355"/>
      <c r="IS48" s="355"/>
      <c r="IT48" s="355"/>
      <c r="IU48" s="355"/>
      <c r="IV48" s="355"/>
      <c r="IW48" s="355"/>
      <c r="IX48" s="355"/>
      <c r="IY48" s="355"/>
      <c r="IZ48" s="355"/>
      <c r="JA48" s="355"/>
      <c r="JB48" s="355"/>
      <c r="JC48" s="355"/>
      <c r="JD48" s="355"/>
      <c r="JE48" s="355"/>
      <c r="JF48" s="355"/>
      <c r="JG48" s="355"/>
      <c r="JH48" s="355"/>
      <c r="JI48" s="315"/>
      <c r="JJ48" s="355"/>
      <c r="JK48" s="355"/>
      <c r="JL48" s="355"/>
      <c r="JM48" s="355"/>
      <c r="JN48" s="355"/>
      <c r="JO48" s="355"/>
      <c r="JP48" s="355"/>
      <c r="JQ48" s="355"/>
      <c r="JR48" s="355"/>
      <c r="JS48" s="355"/>
      <c r="JT48" s="355"/>
      <c r="JU48" s="355"/>
      <c r="JV48" s="355"/>
      <c r="JW48" s="355"/>
      <c r="JX48" s="355"/>
      <c r="JY48" s="355"/>
      <c r="JZ48" s="355"/>
      <c r="KA48" s="355"/>
      <c r="KB48" s="355"/>
      <c r="KC48" s="355"/>
      <c r="KD48" s="355"/>
      <c r="KE48" s="355"/>
      <c r="KF48" s="355"/>
      <c r="KG48" s="355"/>
      <c r="KH48" s="355"/>
      <c r="KI48" s="355"/>
      <c r="KJ48" s="355"/>
      <c r="KK48" s="355"/>
      <c r="KL48" s="319"/>
      <c r="KN48" s="318"/>
      <c r="KO48" s="315"/>
      <c r="KP48" s="315"/>
      <c r="KQ48" s="315"/>
      <c r="KR48" s="355"/>
      <c r="KS48" s="315"/>
      <c r="KT48" s="355"/>
      <c r="KU48" s="355"/>
      <c r="KV48" s="355"/>
      <c r="KW48" s="355"/>
      <c r="KX48" s="355"/>
      <c r="KY48" s="355"/>
      <c r="KZ48" s="355"/>
      <c r="LA48" s="355"/>
      <c r="LB48" s="355"/>
      <c r="LC48" s="355"/>
      <c r="LD48" s="355"/>
      <c r="LE48" s="355"/>
      <c r="LF48" s="355"/>
      <c r="LG48" s="355"/>
      <c r="LH48" s="355"/>
      <c r="LI48" s="355"/>
      <c r="LJ48" s="355"/>
      <c r="LK48" s="355"/>
      <c r="LL48" s="355"/>
      <c r="LM48" s="355"/>
      <c r="LN48" s="355"/>
      <c r="LO48" s="355"/>
      <c r="LP48" s="315"/>
      <c r="LQ48" s="355"/>
      <c r="LR48" s="355"/>
      <c r="LS48" s="355"/>
      <c r="LT48" s="355"/>
      <c r="LU48" s="355"/>
      <c r="LV48" s="355"/>
      <c r="LW48" s="355"/>
      <c r="LX48" s="355"/>
      <c r="LY48" s="355"/>
      <c r="LZ48" s="355"/>
      <c r="MA48" s="355"/>
      <c r="MB48" s="355"/>
      <c r="MC48" s="355"/>
      <c r="MD48" s="355"/>
      <c r="ME48" s="355"/>
      <c r="MF48" s="355"/>
      <c r="MG48" s="355"/>
      <c r="MH48" s="355"/>
      <c r="MI48" s="355"/>
      <c r="MJ48" s="355"/>
      <c r="MK48" s="355"/>
      <c r="ML48" s="355"/>
      <c r="MM48" s="355"/>
      <c r="MN48" s="355"/>
      <c r="MO48" s="355"/>
      <c r="MP48" s="355"/>
      <c r="MQ48" s="355"/>
      <c r="MR48" s="355"/>
    </row>
    <row r="49" spans="1:356" x14ac:dyDescent="0.25">
      <c r="E49" s="39">
        <v>4.1666666666666664E-2</v>
      </c>
      <c r="F49" s="38">
        <v>165</v>
      </c>
      <c r="G49" s="38">
        <f t="shared" ref="G49:G72" si="378">+DEGREES(ASIN(COS(RADIANS($H$46))*COS(RADIANS($G$46))*COS(RADIANS(F49))+SIN(RADIANS($H$46))*SIN(RADIANS($G$46))))</f>
        <v>-38.408119853513838</v>
      </c>
      <c r="H49" s="38">
        <f t="shared" ref="H49:H59" si="379">180-DEGREES(ACOS((((SIN(RADIANS(G49)))*SIN(RADIANS($H$46)))-SIN(RADIANS($G$46)))/((COS(RADIANS(G49)))*COS(RADIANS($H$46)))))</f>
        <v>18.028725663187345</v>
      </c>
      <c r="I49" s="38">
        <f t="shared" ref="I49:I72" si="380">90-G49</f>
        <v>128.40811985351382</v>
      </c>
      <c r="J49" s="38">
        <f>+'Irradiancia Horizontal'!I70/COS(RADIANS(I49))</f>
        <v>0</v>
      </c>
      <c r="K49" s="38" t="e">
        <f>((('Irradiancia Horizontal'!I41+J49)/'Irradiancia Horizontal'!I41)+1.041*((RADIANS('Cálculos iluminancia'!I49))^3))/(1+1.041*((RADIANS('Cálculos iluminancia'!I49))^3))</f>
        <v>#DIV/0!</v>
      </c>
      <c r="L49" s="87" t="e">
        <f t="shared" ref="L49:L72" si="381">1/(SIN(RADIANS(G49))+((0.50572)/((G49+6.07995)^1.6364)))</f>
        <v>#NUM!</v>
      </c>
      <c r="M49" s="87" t="e">
        <f>L49*K46</f>
        <v>#NUM!</v>
      </c>
      <c r="N49" s="87" t="e">
        <f>'Irradiancia Horizontal'!I41*M49/$L$46</f>
        <v>#NUM!</v>
      </c>
      <c r="O49" s="87">
        <f>((17.27*Temp!H11)/(237.7+Temp!H11))+LN(HR!H22/100)</f>
        <v>1.2773286153598604</v>
      </c>
      <c r="P49" s="87">
        <f>(237.7*O49)/(17.27-O49)</f>
        <v>18.985009106273885</v>
      </c>
      <c r="Q49" s="87">
        <f>EXP((0.07*P49)-0.075)</f>
        <v>3.504159310756509</v>
      </c>
      <c r="R49" s="87" t="e">
        <f t="shared" ref="R49:R54" si="382">IF(K49&lt;$E$81,1,IF(K49&lt;$E$82,2,IF(K49&lt;$E$83,3,IF(K49&lt;$E$84,4,IF(K49&lt;$E$85,5,IF(K49&lt;$E$86,6,IF(K49&lt;$E$87,7,8)))))))</f>
        <v>#DIV/0!</v>
      </c>
      <c r="S49" s="87" t="e">
        <f t="shared" ref="S49:S54" si="383">IF(R49=1,$H$81,IF(R49=2,$H$82,IF(R49=3,$H$83,IF(R49=4,$H$84,IF(R49=5,$H$85,IF(R49=6,$H$86,IF(R49=7,$H$87,$H$88)))))))</f>
        <v>#DIV/0!</v>
      </c>
      <c r="T49" s="87" t="e">
        <f t="shared" ref="T49:T54" si="384">IF(R49=1,$I$81,IF(R49=2,$I$82,IF(R49=3,$I$83,IF(R49=4,$I$84,IF(R49=5,$I$85,IF(R49=6,$I$86,IF(R49=7,$I$87,$I$88)))))))</f>
        <v>#DIV/0!</v>
      </c>
      <c r="U49" s="87" t="e">
        <f t="shared" ref="U49:U54" si="385">IF(R49=1,$J$81,IF(R49=2,$J$82,IF(R49=3,$J$83,IF(R49=4,$J$84,IF(R49=5,$J$85,IF(R49=6,$J$86,IF(R49=7,$J$87,$J$88)))))))</f>
        <v>#DIV/0!</v>
      </c>
      <c r="V49" s="87" t="e">
        <f t="shared" ref="V49:V54" si="386">IF(R49=1,$K$81,IF(R49=2,$K$82,IF(R49=3,$K$83,IF(R49=4,$K$84,IF(R49=5,$K$85,IF(R49=6,$K$86,IF(R49=7,$K$87,$K$88)))))))</f>
        <v>#DIV/0!</v>
      </c>
      <c r="W49" s="87">
        <f t="shared" ref="W49:W72" si="387">IF(G49&lt;0,0,S49+T49*Q49+U49*COS(RADIANS(I49))+V49*LN(N49))</f>
        <v>0</v>
      </c>
      <c r="X49" s="165">
        <f>IF(AD49&gt;(W49*'Irradiancia Horizontal'!I9),AD49,W49*'Irradiancia Horizontal'!I9)</f>
        <v>0</v>
      </c>
      <c r="Y49" s="87" t="e">
        <f t="shared" ref="Y49:Y54" si="388">IF(R49=1,$N$81,IF(R49=2,$N$82,IF(R49=3,$N$83,IF(R49=4,$N$84,IF(R49=5,$N$85,IF(R49=6,$N$86,IF(R49=7,$N$87,$N$88)))))))</f>
        <v>#DIV/0!</v>
      </c>
      <c r="Z49" s="87" t="e">
        <f t="shared" ref="Z49:Z54" si="389">IF(R49=1,$O$81,IF(R49=2,$O$82,IF(R49=3,$O$83,IF(R49=4,$O$84,IF(R49=5,$O$85,IF(R49=6,$O$86,IF(R49=7,$O$87,$O$88)))))))</f>
        <v>#DIV/0!</v>
      </c>
      <c r="AA49" s="87" t="e">
        <f t="shared" ref="AA49:AA54" si="390">IF(R49=1,$P$81,IF(R49=2,$P$82,IF(R49=3,$P$83,IF(R49=4,$P$84,IF(R49=5,$P$85,IF(R49=6,$P$86,IF(R49=7,$P$87,$P$88)))))))</f>
        <v>#DIV/0!</v>
      </c>
      <c r="AB49" s="87" t="e">
        <f t="shared" ref="AB49:AB54" si="391">IF(R49=1,$Q$81,IF(R49=2,$Q$82,IF(R49=3,$Q$83,IF(R49=4,$Q$84,IF(R49=5,$Q$85,IF(R49=6,$Q$86,IF(R49=7,$Q$87,$Q$88)))))))</f>
        <v>#DIV/0!</v>
      </c>
      <c r="AC49" s="87">
        <f t="shared" ref="AC49:AC72" si="392">IF(G49&lt;0,0,Y49+Z49*Q49+AA49*COS(RADIANS(I49))+AB49*LN(N49))</f>
        <v>0</v>
      </c>
      <c r="AD49" s="87">
        <f>+AC49*'Irradiancia Horizontal'!I41</f>
        <v>0</v>
      </c>
      <c r="AE49" s="87">
        <f t="shared" ref="AE49:AE72" si="393">X49-AD49</f>
        <v>0</v>
      </c>
      <c r="AF49" s="87" t="e">
        <f>+AE49/'Irradiancia Horizontal'!I70</f>
        <v>#DIV/0!</v>
      </c>
      <c r="AG49" s="38">
        <f>SIN(RADIANS(G46))*SIN(RADIANS(H46))*COS(RADIANS(N46))-SIN(RADIANS(G46))*COS(RADIANS(H46))*SIN(RADIANS(N46))*COS(RADIANS(M46))+COS(RADIANS(G46))*COS(RADIANS(H46))*COS(RADIANS(N46))*COS(RADIANS(F49))+COS(RADIANS(G46))*SIN(RADIANS(H46))*SIN(RADIANS(N46))*COS(RADIANS(M46))*COS(RADIANS(F49))+COS(RADIANS(G46))*SIN(RADIANS(N46))*SIN(RADIANS(M46))*SIN(RADIANS(F49))</f>
        <v>-0.7451315462992476</v>
      </c>
      <c r="AH49" s="87">
        <f>IF(AG49&lt;0,0,AG49)</f>
        <v>0</v>
      </c>
      <c r="AI49" s="87">
        <f>IF(COS(RADIANS(I49))&lt;0.087,0.087,COS(RADIANS(I49)))</f>
        <v>8.6999999999999994E-2</v>
      </c>
      <c r="AJ49" s="87" t="e">
        <f>IF(R49=1,$T$81,IF(R49=2,$T$82,IF(R49=3,$T$83,IF(R49=4,$T$84,IF(R49=5,$T$85,IF(R49=6,$T$86,IF(R49=7,$T$87,$T$88)))))))</f>
        <v>#DIV/0!</v>
      </c>
      <c r="AK49" s="87" t="e">
        <f>IF(R49=1,$U$81,IF(R49=2,$U$82,IF(R49=3,$U$83,IF(R49=4,$U$84,IF(R49=5,$U$85,IF(R49=6,$U$86,IF(R49=7,$U$87,$U$88)))))))</f>
        <v>#DIV/0!</v>
      </c>
      <c r="AL49" s="87" t="e">
        <f>IF(R49=1,$V$81,IF(R49=2,$V$82,IF(R49=3,$V$83,IF(R49=4,$V$84,IF(R49=5,$V$85,IF(R49=6,$V$86,IF(R49=7,$V$87,$V$88)))))))</f>
        <v>#DIV/0!</v>
      </c>
      <c r="AM49" s="87" t="e">
        <f>IF(R49=1,$W$81,IF(R49=2,$W$82,IF(R49=3,$W$83,IF(R49=4,$W$84,IF(R49=5,$W$85,IF(R49=6,$W$86,IF(R49=7,$W$87,$W$88)))))))</f>
        <v>#DIV/0!</v>
      </c>
      <c r="AN49" s="87" t="e">
        <f>IF(R49=1,$X$81,IF(R49=2,$X$82,IF(R49=3,$X$83,IF(R49=4,$X$84,IF(R49=5,$X$85,IF(R49=6,$X$86,IF(R49=7,$X$87,$X$88)))))))</f>
        <v>#DIV/0!</v>
      </c>
      <c r="AO49" s="87" t="e">
        <f>IF(R49=1,$Y$81,IF(R49=2,$Y$82,IF(R49=3,$Y$83,IF(R49=4,$Y$84,IF(R49=5,$Y$85,IF(R49=6,$Y$86,IF(R49=7,$Y$87,$Y$88)))))))</f>
        <v>#DIV/0!</v>
      </c>
      <c r="AP49" s="87" t="e">
        <f t="shared" ref="AP49:AP72" si="394">IF(AJ49+AK49*N49+AL49*RADIANS(I49)&lt;0,0,AJ49+AK49*N49+AL49*RADIANS(I49))</f>
        <v>#DIV/0!</v>
      </c>
      <c r="AQ49" s="87" t="e">
        <f t="shared" ref="AQ49:AQ72" si="395">AM49+AN49*N49+AO49*RADIANS(I49)</f>
        <v>#DIV/0!</v>
      </c>
      <c r="AR49" s="87">
        <f t="shared" ref="AR49:AR72" si="396">IF(G49&lt;0,0,((0.5*(1-AP49)*(1+COS(RADIANS($N$46))))+(AP49*(AH49/AI49))+(AQ49*SIN(RADIANS($N$46))))*AD49)</f>
        <v>0</v>
      </c>
      <c r="AS49" s="87" t="e">
        <f t="shared" ref="AS49:AS54" si="397">IF(R49=1,$AB$81,IF(R49=2,$AB$82,IF(R49=3,$AB$83,IF(R49=4,$AB$84,IF(R49=5,$AB$85,IF(R49=6,$AB$86,IF(R49=7,$AB$87,$AB$88)))))))</f>
        <v>#DIV/0!</v>
      </c>
      <c r="AT49" s="87" t="e">
        <f t="shared" ref="AT49:AT54" si="398">IF(R49=1,$AC$81,IF(R49=2,$AC$82,IF(R49=3,$AC$83,IF(R49=4,$AC$84,IF(R49=5,$AC$85,IF(R49=6,$AC$86,IF(R49=7,$AC$87,$AC$88)))))))</f>
        <v>#DIV/0!</v>
      </c>
      <c r="AU49" s="87" t="e">
        <f t="shared" ref="AU49:AU54" si="399">IF(R49=1,$AD$81,IF(R49=2,$AD$82,IF(R49=3,$AD$83,IF(R49=4,$AD$84,IF(R49=5,$AD$85,IF(R49=6,$AD$86,IF(R49=7,$AD$87,$AD$88)))))))</f>
        <v>#DIV/0!</v>
      </c>
      <c r="AV49" s="87" t="e">
        <f t="shared" ref="AV49:AV54" si="400">IF(R49=1,$AE$81,IF(R49=2,$AE$82,IF(R49=3,$AE$83,IF(R49=4,$AE$84,IF(R49=5,$AE$85,IF(R49=6,$AE$86,IF(R49=7,$AE$87,$AE$88)))))))</f>
        <v>#DIV/0!</v>
      </c>
      <c r="AW49" s="87" t="e">
        <f t="shared" ref="AW49:AW54" si="401">IF(R49=1,$AF$81,IF(R49=2,$AF$82,IF(R49=3,$AF$83,IF(R49=4,$AF$84,IF(R49=5,$AF$85,IF(R49=6,$AF$86,IF(R49=7,$AF$87,$AF$88)))))))</f>
        <v>#DIV/0!</v>
      </c>
      <c r="AX49" s="87" t="e">
        <f t="shared" ref="AX49:AX54" si="402">IF(R49=1,$AG$81,IF(R49=2,$AG$82,IF(R49=3,$AG$83,IF(R49=4,$AG$84,IF(R49=5,$AG$85,IF(R49=6,$AG$86,IF(R49=7,$AG$87,$AG$88)))))))</f>
        <v>#DIV/0!</v>
      </c>
      <c r="AY49" s="87" t="e">
        <f t="shared" ref="AY49:AY72" si="403">IF(AS49+AT49*N49+AU49*RADIANS(I49)&lt;0,0,AS49+AT49*N49+AU49*RADIANS(I49))</f>
        <v>#DIV/0!</v>
      </c>
      <c r="AZ49" s="87" t="e">
        <f t="shared" ref="AZ49:AZ72" si="404">AV49+AW49*N49+AX49*RADIANS(I49)</f>
        <v>#DIV/0!</v>
      </c>
      <c r="BA49" s="87">
        <f>IF(G49&lt;0,0,((0.5*(1-AY49)*(1+COS(RADIANS($N$46))))+(AY49*(AH49/AI49))+(AZ49*SIN(RADIANS($N$46))))*'Irradiancia Horizontal'!I41)</f>
        <v>0</v>
      </c>
      <c r="BB49" s="87">
        <f t="shared" ref="BB49:BB72" si="405">AH49/COS(RADIANS(I49))</f>
        <v>0</v>
      </c>
      <c r="BC49" s="87">
        <f>BB49*'Irradiancia Horizontal'!I70</f>
        <v>0</v>
      </c>
      <c r="BD49" s="87">
        <f>+BA49+BC49</f>
        <v>0</v>
      </c>
      <c r="BE49" s="88">
        <f t="shared" ref="BE49:BE72" si="406">IF(G49&lt;0,0,BD49*W49)</f>
        <v>0</v>
      </c>
      <c r="BF49" s="87">
        <f>BE49-AR49</f>
        <v>0</v>
      </c>
      <c r="BG49" s="106">
        <f>AE49/COS(RADIANS(I49))</f>
        <v>0</v>
      </c>
      <c r="BH49" s="106">
        <f>IF(AG49&lt;0,0,BG49*AG49)</f>
        <v>0</v>
      </c>
      <c r="BI49" s="106">
        <f>BH49+AR49</f>
        <v>0</v>
      </c>
      <c r="BJ49" s="44"/>
      <c r="BL49" s="39">
        <v>4.1666666666666699E-2</v>
      </c>
      <c r="BM49" s="38">
        <v>165</v>
      </c>
      <c r="BN49" s="38">
        <f t="shared" ref="BN49:BN72" si="407">+DEGREES(ASIN(COS(RADIANS($BO$46))*COS(RADIANS($BN$46))*COS(RADIANS(BM49))+SIN(RADIANS($BO$46))*SIN(RADIANS($BN$46))))</f>
        <v>-46.673158273074598</v>
      </c>
      <c r="BO49" s="38">
        <f t="shared" ref="BO49:BO59" si="408">180-DEGREES(ACOS((((SIN(RADIANS(BN49)))*SIN(RADIANS($BO$46)))-SIN(RADIANS($BN$46)))/((COS(RADIANS(BN49)))*COS(RADIANS($BO$46)))))</f>
        <v>21.671843965141704</v>
      </c>
      <c r="BP49" s="38">
        <f t="shared" ref="BP49:BP72" si="409">90-BN49</f>
        <v>136.67315827307459</v>
      </c>
      <c r="BQ49" s="38">
        <f>+'Irradiancia Horizontal'!J70/COS(RADIANS(BP49))</f>
        <v>0</v>
      </c>
      <c r="BR49" s="38" t="e">
        <f>((('Irradiancia Horizontal'!J41+BQ49)/'Irradiancia Horizontal'!J41)+1.041*((RADIANS('Cálculos iluminancia'!BP49))^3))/(1+1.041*((RADIANS('Cálculos iluminancia'!BP49))^3))</f>
        <v>#DIV/0!</v>
      </c>
      <c r="BS49" s="87" t="e">
        <f t="shared" ref="BS49:BS72" si="410">1/(SIN(RADIANS(BN49))+((0.50572)/((BN49+6.07995)^1.6364)))</f>
        <v>#NUM!</v>
      </c>
      <c r="BT49" s="87" t="e">
        <f>BS49*$BR$46</f>
        <v>#NUM!</v>
      </c>
      <c r="BU49" s="87" t="e">
        <f>'Irradiancia Horizontal'!J41*BT49/$BS$46</f>
        <v>#NUM!</v>
      </c>
      <c r="BV49" s="87">
        <f>((17.27*Temp!I11)/(237.7+Temp!I11))+LN(HR!I22/100)</f>
        <v>1.4418691653077222</v>
      </c>
      <c r="BW49" s="87">
        <f>(237.7*BV49)/(17.27-BV49)</f>
        <v>21.653365401961487</v>
      </c>
      <c r="BX49" s="87">
        <f>EXP((0.07*BW49)-0.075)</f>
        <v>4.2238016107006819</v>
      </c>
      <c r="BY49" s="87" t="e">
        <f t="shared" ref="BY49:BY54" si="411">IF(BR49&lt;$E$81,1,IF(BR49&lt;$E$82,2,IF(BR49&lt;$E$83,3,IF(BR49&lt;$E$84,4,IF(BR49&lt;$E$85,5,IF(BR49&lt;$E$86,6,IF(BR49&lt;$E$87,7,8)))))))</f>
        <v>#DIV/0!</v>
      </c>
      <c r="BZ49" s="87" t="e">
        <f t="shared" ref="BZ49:BZ54" si="412">IF(BY49=1,$H$81,IF(BY49=2,$H$82,IF(BY49=3,$H$83,IF(BY49=4,$H$84,IF(BY49=5,$H$85,IF(BY49=6,$H$86,IF(BY49=7,$H$87,$H$88)))))))</f>
        <v>#DIV/0!</v>
      </c>
      <c r="CA49" s="87" t="e">
        <f t="shared" ref="CA49:CA54" si="413">IF(BY49=1,$I$81,IF(BY49=2,$I$82,IF(BY49=3,$I$83,IF(BY49=4,$I$84,IF(BY49=5,$I$85,IF(BY49=6,$I$86,IF(BY49=7,$I$87,$I$88)))))))</f>
        <v>#DIV/0!</v>
      </c>
      <c r="CB49" s="87" t="e">
        <f t="shared" ref="CB49:CB54" si="414">IF(BY49=1,$J$81,IF(BY49=2,$J$82,IF(BY49=3,$J$83,IF(BY49=4,$J$84,IF(BY49=5,$J$85,IF(BY49=6,$J$86,IF(BY49=7,$J$87,$J$88)))))))</f>
        <v>#DIV/0!</v>
      </c>
      <c r="CC49" s="87" t="e">
        <f t="shared" ref="CC49:CC54" si="415">IF(BY49=1,$K$81,IF(BY49=2,$K$82,IF(BY49=3,$K$83,IF(BY49=4,$K$84,IF(BY49=5,$K$85,IF(BY49=6,$K$86,IF(BY49=7,$K$87,$K$88)))))))</f>
        <v>#DIV/0!</v>
      </c>
      <c r="CD49" s="87">
        <f t="shared" ref="CD49:CD72" si="416">IF(BN49&lt;0,0,BZ49+CA49*BX49+CB49*COS(RADIANS(BP49))+CC49*LN(BU49))</f>
        <v>0</v>
      </c>
      <c r="CE49" s="165">
        <f>IF(CK49&gt;(CD49*'Irradiancia Horizontal'!J9),CK49,CD49*'Irradiancia Horizontal'!J9)</f>
        <v>0</v>
      </c>
      <c r="CF49" s="87" t="e">
        <f t="shared" ref="CF49:CF54" si="417">IF(BY49=1,$N$81,IF(BY49=2,$N$82,IF(BY49=3,$N$83,IF(BY49=4,$N$84,IF(BY49=5,$N$85,IF(BY49=6,$N$86,IF(BY49=7,$N$87,$N$88)))))))</f>
        <v>#DIV/0!</v>
      </c>
      <c r="CG49" s="87" t="e">
        <f t="shared" ref="CG49:CG54" si="418">IF(BY49=1,$O$81,IF(BY49=2,$O$82,IF(BY49=3,$O$83,IF(BY49=4,$O$84,IF(BY49=5,$O$85,IF(BY49=6,$O$86,IF(BY49=7,$O$87,$O$88)))))))</f>
        <v>#DIV/0!</v>
      </c>
      <c r="CH49" s="87" t="e">
        <f t="shared" ref="CH49:CH54" si="419">IF(BY49=1,$P$81,IF(BY49=2,$P$82,IF(BY49=3,$P$83,IF(BY49=4,$P$84,IF(BY49=5,$P$85,IF(BY49=6,$P$86,IF(BY49=7,$P$87,$P$88)))))))</f>
        <v>#DIV/0!</v>
      </c>
      <c r="CI49" s="87" t="e">
        <f t="shared" ref="CI49:CI54" si="420">IF(BY49=1,$Q$81,IF(BY49=2,$Q$82,IF(BY49=3,$Q$83,IF(BY49=4,$Q$84,IF(BY49=5,$Q$85,IF(BY49=6,$Q$86,IF(BY49=7,$Q$87,$Q$88)))))))</f>
        <v>#DIV/0!</v>
      </c>
      <c r="CJ49" s="87">
        <f t="shared" ref="CJ49:CJ72" si="421">IF(BN49&lt;0,0,CF49+CG49*BX49+CH49*COS(RADIANS(BP49))+CI49*LN(BU49))</f>
        <v>0</v>
      </c>
      <c r="CK49" s="87">
        <f>+CJ49*'Irradiancia Horizontal'!J41</f>
        <v>0</v>
      </c>
      <c r="CL49" s="87">
        <f>CE49-CK49</f>
        <v>0</v>
      </c>
      <c r="CM49" s="87" t="e">
        <f>+CL49/'Irradiancia Horizontal'!J70</f>
        <v>#DIV/0!</v>
      </c>
      <c r="CN49" s="38">
        <f t="shared" ref="CN49:CN72" si="422">SIN(RADIANS($BN$46))*SIN(RADIANS($BO$46))*COS(RADIANS($BU$46))-SIN(RADIANS($BN$46))*COS(RADIANS($BO$46))*SIN(RADIANS($BU$46))*COS(RADIANS($BT$46))+COS(RADIANS($BN$46))*COS(RADIANS($BO$46))*COS(RADIANS($BU$46))*COS(RADIANS(BM49))+COS(RADIANS($BN$46))*SIN(RADIANS($BO$46))*SIN(RADIANS($BU$46))*COS(RADIANS($BT$46))*COS(RADIANS(BM49))+COS(RADIANS($BN$46))*SIN(RADIANS($BU$46))*SIN(RADIANS($BT$46))*SIN(RADIANS(BM49))</f>
        <v>-0.6376574801723931</v>
      </c>
      <c r="CO49" s="87">
        <f>IF(CN49&lt;0,0,CN49)</f>
        <v>0</v>
      </c>
      <c r="CP49" s="87">
        <f>IF(COS(RADIANS(BP49))&lt;0.087,0.087,COS(RADIANS(BP49)))</f>
        <v>8.6999999999999994E-2</v>
      </c>
      <c r="CQ49" s="87" t="e">
        <f>IF(BY49=1,$T$81,IF(BY49=2,$T$82,IF(BY49=3,$T$83,IF(BY49=4,$T$84,IF(BY49=5,$T$85,IF(BY49=6,$T$86,IF(BY49=7,$T$87,$T$88)))))))</f>
        <v>#DIV/0!</v>
      </c>
      <c r="CR49" s="87" t="e">
        <f>IF(BY49=1,$U$81,IF(BY49=2,$U$82,IF(BY49=3,$U$83,IF(BY49=4,$U$84,IF(BY49=5,$U$85,IF(BY49=6,$U$86,IF(BY49=7,$U$87,$U$88)))))))</f>
        <v>#DIV/0!</v>
      </c>
      <c r="CS49" s="87" t="e">
        <f>IF(BY49=1,$V$81,IF(BY49=2,$V$82,IF(BY49=3,$V$83,IF(BY49=4,$V$84,IF(BY49=5,$V$85,IF(BY49=6,$V$86,IF(BY49=7,$V$87,$V$88)))))))</f>
        <v>#DIV/0!</v>
      </c>
      <c r="CT49" s="87" t="e">
        <f>IF(BY49=1,$W$81,IF(BY49=2,$W$82,IF(BY49=3,$W$83,IF(BY49=4,$W$84,IF(BY49=5,$W$85,IF(BY49=6,$W$86,IF(BY49=7,$W$87,$W$88)))))))</f>
        <v>#DIV/0!</v>
      </c>
      <c r="CU49" s="87" t="e">
        <f>IF(BY49=1,$X$81,IF(BY49=2,$X$82,IF(BY49=3,$X$83,IF(BY49=4,$X$84,IF(BY49=5,$X$85,IF(BY49=6,$X$86,IF(BY49=7,$X$87,$X$88)))))))</f>
        <v>#DIV/0!</v>
      </c>
      <c r="CV49" s="87" t="e">
        <f>IF(BY49=1,$Y$81,IF(BY49=2,$Y$82,IF(BY49=3,$Y$83,IF(BY49=4,$Y$84,IF(BY49=5,$Y$85,IF(BY49=6,$Y$86,IF(BY49=7,$Y$87,$Y$88)))))))</f>
        <v>#DIV/0!</v>
      </c>
      <c r="CW49" s="87" t="e">
        <f t="shared" ref="CW49:CW72" si="423">IF(CQ49+CR49*BU49+CS49*RADIANS(BP49)&lt;0,0,CQ49+CR49*BU49+CS49*RADIANS(BP49))</f>
        <v>#DIV/0!</v>
      </c>
      <c r="CX49" s="87" t="e">
        <f t="shared" ref="CX49:CX72" si="424">CT49+CU49*BU49+CV49*RADIANS(BP49)</f>
        <v>#DIV/0!</v>
      </c>
      <c r="CY49" s="87">
        <f t="shared" ref="CY49:CY72" si="425">IF(BN49&lt;0,0,((0.5*(1-CW49)*(1+COS(RADIANS($BU$46))))+(CW49*(CO49/CP49))+(CX49*SIN(RADIANS($BU$46))))*CK49)</f>
        <v>0</v>
      </c>
      <c r="CZ49" s="87" t="e">
        <f t="shared" ref="CZ49:CZ54" si="426">IF(BY49=1,$AB$81,IF(BY49=2,$AB$82,IF(BY49=3,$AB$83,IF(BY49=4,$AB$84,IF(BY49=5,$AB$85,IF(BY49=6,$AB$86,IF(BY49=7,$AB$87,$AB$88)))))))</f>
        <v>#DIV/0!</v>
      </c>
      <c r="DA49" s="87" t="e">
        <f t="shared" ref="DA49:DA54" si="427">IF(BY49=1,$AC$81,IF(BY49=2,$AC$82,IF(BY49=3,$AC$83,IF(BY49=4,$AC$84,IF(BY49=5,$AC$85,IF(BY49=6,$AC$86,IF(BY49=7,$AC$87,$AC$88)))))))</f>
        <v>#DIV/0!</v>
      </c>
      <c r="DB49" s="87" t="e">
        <f t="shared" ref="DB49:DB54" si="428">IF(BY49=1,$AD$81,IF(BY49=2,$AD$82,IF(BY49=3,$AD$83,IF(BY49=4,$AD$84,IF(BY49=5,$AD$85,IF(BY49=6,$AD$86,IF(BY49=7,$AD$87,$AD$88)))))))</f>
        <v>#DIV/0!</v>
      </c>
      <c r="DC49" s="87" t="e">
        <f t="shared" ref="DC49:DC54" si="429">IF(BY49=1,$AE$81,IF(BY49=2,$AE$82,IF(BY49=3,$AE$83,IF(BY49=4,$AE$84,IF(BY49=5,$AE$85,IF(BY49=6,$AE$86,IF(BY49=7,$AE$87,$AE$88)))))))</f>
        <v>#DIV/0!</v>
      </c>
      <c r="DD49" s="87" t="e">
        <f t="shared" ref="DD49:DD54" si="430">IF(BY49=1,$AF$81,IF(BY49=2,$AF$82,IF(BY49=3,$AF$83,IF(BY49=4,$AF$84,IF(BY49=5,$AF$85,IF(BY49=6,$AF$86,IF(BY49=7,$AF$87,$AF$88)))))))</f>
        <v>#DIV/0!</v>
      </c>
      <c r="DE49" s="87" t="e">
        <f t="shared" ref="DE49:DE54" si="431">IF(BY49=1,$AG$81,IF(BY49=2,$AG$82,IF(BY49=3,$AG$83,IF(BY49=4,$AG$84,IF(BY49=5,$AG$85,IF(BY49=6,$AG$86,IF(BY49=7,$AG$87,$AG$88)))))))</f>
        <v>#DIV/0!</v>
      </c>
      <c r="DF49" s="87" t="e">
        <f t="shared" ref="DF49:DF72" si="432">IF(CZ49+DA49*BU49+DB49*RADIANS(BP49)&lt;0,0,CZ49+DA49*BU49+DB49*RADIANS(BP49))</f>
        <v>#DIV/0!</v>
      </c>
      <c r="DG49" s="87" t="e">
        <f t="shared" ref="DG49:DG72" si="433">DC49+DD49*BU49+DE49*RADIANS(BP49)</f>
        <v>#DIV/0!</v>
      </c>
      <c r="DH49" s="87">
        <f>IF(BN49&lt;0,0,((0.5*(1-DF49)*(1+COS(RADIANS($BU$46))))+(DF49*(CO49/CP49))+(DG49*SIN(RADIANS($BU$46))))*'Irradiancia Horizontal'!J41)</f>
        <v>0</v>
      </c>
      <c r="DI49" s="87">
        <f t="shared" ref="DI49:DI72" si="434">CO49/COS(RADIANS(BP49))</f>
        <v>0</v>
      </c>
      <c r="DJ49" s="87">
        <f>DI49*'Irradiancia Horizontal'!J70</f>
        <v>0</v>
      </c>
      <c r="DK49" s="87">
        <f>+DH49+DJ49</f>
        <v>0</v>
      </c>
      <c r="DL49" s="88">
        <f t="shared" ref="DL49:DL72" si="435">IF(BN49&lt;0,0,DK49*CD49)</f>
        <v>0</v>
      </c>
      <c r="DM49" s="87">
        <f>DL49-CY49</f>
        <v>0</v>
      </c>
      <c r="DN49" s="106">
        <f>CL49/COS(RADIANS(BP49))</f>
        <v>0</v>
      </c>
      <c r="DO49" s="106">
        <f>IF(CN49&lt;0,0,DN49*CN49)</f>
        <v>0</v>
      </c>
      <c r="DP49" s="106">
        <f>DO49+CY49</f>
        <v>0</v>
      </c>
      <c r="DQ49" s="44"/>
      <c r="DS49" s="39">
        <v>4.1666666666666699E-2</v>
      </c>
      <c r="DT49" s="38">
        <v>165</v>
      </c>
      <c r="DU49" s="38">
        <f t="shared" ref="DU49:DU72" si="436">+DEGREES(ASIN(COS(RADIANS($DV$46))*COS(RADIANS($DU$46))*COS(RADIANS(DT49))+SIN(RADIANS($DV$46))*SIN(RADIANS($DU$46))))</f>
        <v>-57.765265737180506</v>
      </c>
      <c r="DV49" s="38">
        <f t="shared" ref="DV49:DV59" si="437">180-DEGREES(ACOS((((SIN(RADIANS(DU49)))*SIN(RADIANS($DV$46)))-SIN(RADIANS($DU$46)))/((COS(RADIANS(DU49)))*COS(RADIANS($DV$46)))))</f>
        <v>29.027667227369875</v>
      </c>
      <c r="DW49" s="38">
        <f t="shared" ref="DW49:DW72" si="438">90-DU49</f>
        <v>147.7652657371805</v>
      </c>
      <c r="DX49" s="38">
        <f>+'Irradiancia Horizontal'!K70/COS(RADIANS(DW49))</f>
        <v>0</v>
      </c>
      <c r="DY49" s="38" t="e">
        <f>((('Irradiancia Horizontal'!K41+DX49)/'Irradiancia Horizontal'!K41)+1.041*((RADIANS('Cálculos iluminancia'!DW49))^3))/(1+1.041*((RADIANS('Cálculos iluminancia'!DW49))^3))</f>
        <v>#DIV/0!</v>
      </c>
      <c r="DZ49" s="87" t="e">
        <f t="shared" ref="DZ49:DZ72" si="439">1/(SIN(RADIANS(DU49))+((0.50572)/((DU49+6.07995)^1.6364)))</f>
        <v>#NUM!</v>
      </c>
      <c r="EA49" s="87" t="e">
        <f>DZ49*$DY$46</f>
        <v>#NUM!</v>
      </c>
      <c r="EB49" s="87" t="e">
        <f>'Irradiancia Horizontal'!K41*EA49/$DZ$46</f>
        <v>#NUM!</v>
      </c>
      <c r="EC49" s="87">
        <f>((17.27*Temp!J11)/(237.7+Temp!J11))+LN(HR!J22/100)</f>
        <v>1.3138067362460752</v>
      </c>
      <c r="ED49" s="87">
        <f>(237.7*EC49)/(17.27-EC49)</f>
        <v>19.571827443021387</v>
      </c>
      <c r="EE49" s="87">
        <f>EXP((0.07*ED49)-0.075)</f>
        <v>3.6510979150649825</v>
      </c>
      <c r="EF49" s="87" t="e">
        <f t="shared" ref="EF49:EF54" si="440">IF(DY49&lt;$E$81,1,IF(DY49&lt;$E$82,2,IF(DY49&lt;$E$83,3,IF(DY49&lt;$E$84,4,IF(DY49&lt;$E$85,5,IF(DY49&lt;$E$86,6,IF(DY49&lt;$E$87,7,8)))))))</f>
        <v>#DIV/0!</v>
      </c>
      <c r="EG49" s="87" t="e">
        <f t="shared" ref="EG49:EG54" si="441">IF(EF49=1,$H$81,IF(EF49=2,$H$82,IF(EF49=3,$H$83,IF(EF49=4,$H$84,IF(EF49=5,$H$85,IF(EF49=6,$H$86,IF(EF49=7,$H$87,$H$88)))))))</f>
        <v>#DIV/0!</v>
      </c>
      <c r="EH49" s="87" t="e">
        <f t="shared" ref="EH49:EH54" si="442">IF(EF49=1,$I$81,IF(EF49=2,$I$82,IF(EF49=3,$I$83,IF(EF49=4,$I$84,IF(EF49=5,$I$85,IF(EF49=6,$I$86,IF(EF49=7,$I$87,$I$88)))))))</f>
        <v>#DIV/0!</v>
      </c>
      <c r="EI49" s="87" t="e">
        <f t="shared" ref="EI49:EI54" si="443">IF(EF49=1,$J$81,IF(EF49=2,$J$82,IF(EF49=3,$J$83,IF(EF49=4,$J$84,IF(EF49=5,$J$85,IF(EF49=6,$J$86,IF(EF49=7,$J$87,$J$88)))))))</f>
        <v>#DIV/0!</v>
      </c>
      <c r="EJ49" s="87" t="e">
        <f t="shared" ref="EJ49:EJ54" si="444">IF(EF49=1,$K$81,IF(EF49=2,$K$82,IF(EF49=3,$K$83,IF(EF49=4,$K$84,IF(EF49=5,$K$85,IF(EF49=6,$K$86,IF(EF49=7,$K$87,$K$88)))))))</f>
        <v>#DIV/0!</v>
      </c>
      <c r="EK49" s="87">
        <f t="shared" ref="EK49:EK72" si="445">IF(DU49&lt;0,0,EG49+EH49*EE49+EI49*COS(RADIANS(DW49))+EJ49*LN(EB49))</f>
        <v>0</v>
      </c>
      <c r="EL49" s="165">
        <f>IF(ER49&gt;(EK49*'Irradiancia Horizontal'!K9),ER49,EK49*'Irradiancia Horizontal'!K9)</f>
        <v>0</v>
      </c>
      <c r="EM49" s="87" t="e">
        <f t="shared" ref="EM49:EM54" si="446">IF(EF49=1,$N$81,IF(EF49=2,$N$82,IF(EF49=3,$N$83,IF(EF49=4,$N$84,IF(EF49=5,$N$85,IF(EF49=6,$N$86,IF(EF49=7,$N$87,$N$88)))))))</f>
        <v>#DIV/0!</v>
      </c>
      <c r="EN49" s="87" t="e">
        <f t="shared" ref="EN49:EN54" si="447">IF(EF49=1,$O$81,IF(EF49=2,$O$82,IF(EF49=3,$O$83,IF(EF49=4,$O$84,IF(EF49=5,$O$85,IF(EF49=6,$O$86,IF(EF49=7,$O$87,$O$88)))))))</f>
        <v>#DIV/0!</v>
      </c>
      <c r="EO49" s="87" t="e">
        <f t="shared" ref="EO49:EO54" si="448">IF(EF49=1,$P$81,IF(EF49=2,$P$82,IF(EF49=3,$P$83,IF(EF49=4,$P$84,IF(EF49=5,$P$85,IF(EF49=6,$P$86,IF(EF49=7,$P$87,$P$88)))))))</f>
        <v>#DIV/0!</v>
      </c>
      <c r="EP49" s="87" t="e">
        <f t="shared" ref="EP49:EP54" si="449">IF(EF49=1,$Q$81,IF(EF49=2,$Q$82,IF(EF49=3,$Q$83,IF(EF49=4,$Q$84,IF(EF49=5,$Q$85,IF(EF49=6,$Q$86,IF(EF49=7,$Q$87,$Q$88)))))))</f>
        <v>#DIV/0!</v>
      </c>
      <c r="EQ49" s="87">
        <f t="shared" ref="EQ49:EQ72" si="450">IF(DU49&lt;0,0,EM49+EN49*EE49+EO49*COS(RADIANS(DW49))+EP49*LN(EB49))</f>
        <v>0</v>
      </c>
      <c r="ER49" s="87">
        <f>+EQ49*'Irradiancia Horizontal'!K41</f>
        <v>0</v>
      </c>
      <c r="ES49" s="87">
        <f>EL49-ER49</f>
        <v>0</v>
      </c>
      <c r="ET49" s="87" t="e">
        <f>+ES49/'Irradiancia Horizontal'!K70</f>
        <v>#DIV/0!</v>
      </c>
      <c r="EU49" s="38">
        <f t="shared" ref="EU49:EU72" si="451">SIN(RADIANS($DU$46))*SIN(RADIANS($DV$46))*COS(RADIANS($EB$46))-SIN(RADIANS($DU$46))*COS(RADIANS($DV$46))*SIN(RADIANS($EB$46))*COS(RADIANS($EA$46))+COS(RADIANS($DU$46))*COS(RADIANS($DV$46))*COS(RADIANS($EB$46))*COS(RADIANS(DT49))+COS(RADIANS($DU$46))*SIN(RADIANS($DV$46))*SIN(RADIANS($EB$46))*COS(RADIANS($EA$46))*COS(RADIANS(DT49))+COS(RADIANS($DU$46))*SIN(RADIANS($EB$46))*SIN(RADIANS($EA$46))*SIN(RADIANS(DT49))</f>
        <v>-0.46638774947558609</v>
      </c>
      <c r="EV49" s="87">
        <f>IF(EU49&lt;0,0,EU49)</f>
        <v>0</v>
      </c>
      <c r="EW49" s="87">
        <f>IF(COS(RADIANS(DW49))&lt;0.087,0.087,COS(RADIANS(DW49)))</f>
        <v>8.6999999999999994E-2</v>
      </c>
      <c r="EX49" s="87" t="e">
        <f>IF(EF49=1,$T$81,IF(EF49=2,$T$82,IF(EF49=3,$T$83,IF(EF49=4,$T$84,IF(EF49=5,$T$85,IF(EF49=6,$T$86,IF(EF49=7,$T$87,$T$88)))))))</f>
        <v>#DIV/0!</v>
      </c>
      <c r="EY49" s="87" t="e">
        <f>IF(EF49=1,$U$81,IF(EF49=2,$U$82,IF(EF49=3,$U$83,IF(EF49=4,$U$84,IF(EF49=5,$U$85,IF(EF49=6,$U$86,IF(EF49=7,$U$87,$U$88)))))))</f>
        <v>#DIV/0!</v>
      </c>
      <c r="EZ49" s="87" t="e">
        <f>IF(EF49=1,$V$81,IF(EF49=2,$V$82,IF(EF49=3,$V$83,IF(EF49=4,$V$84,IF(EF49=5,$V$85,IF(EF49=6,$V$86,IF(EF49=7,$V$87,$V$88)))))))</f>
        <v>#DIV/0!</v>
      </c>
      <c r="FA49" s="87" t="e">
        <f>IF(EF49=1,$W$81,IF(EF49=2,$W$82,IF(EF49=3,$W$83,IF(EF49=4,$W$84,IF(EF49=5,$W$85,IF(EF49=6,$W$86,IF(EF49=7,$W$87,$W$88)))))))</f>
        <v>#DIV/0!</v>
      </c>
      <c r="FB49" s="87" t="e">
        <f>IF(EF49=1,$X$81,IF(EF49=2,$X$82,IF(EF49=3,$X$83,IF(EF49=4,$X$84,IF(EF49=5,$X$85,IF(EF49=6,$X$86,IF(EF49=7,$X$87,$X$88)))))))</f>
        <v>#DIV/0!</v>
      </c>
      <c r="FC49" s="87" t="e">
        <f>IF(EF49=1,$Y$81,IF(EF49=2,$Y$82,IF(EF49=3,$Y$83,IF(EF49=4,$Y$84,IF(EF49=5,$Y$85,IF(EF49=6,$Y$86,IF(EF49=7,$Y$87,$Y$88)))))))</f>
        <v>#DIV/0!</v>
      </c>
      <c r="FD49" s="87" t="e">
        <f t="shared" ref="FD49:FD72" si="452">IF(EX49+EY49*EB49+EZ49*RADIANS(DW49)&lt;0,0,EX49+EY49*EB49+EZ49*RADIANS(DW49))</f>
        <v>#DIV/0!</v>
      </c>
      <c r="FE49" s="87" t="e">
        <f t="shared" ref="FE49:FE72" si="453">FA49+FB49*EB49+FC49*RADIANS(DW49)</f>
        <v>#DIV/0!</v>
      </c>
      <c r="FF49" s="87">
        <f t="shared" ref="FF49:FF72" si="454">IF(DU49&lt;0,0,((0.5*(1-FD49)*(1+COS(RADIANS($EB$46))))+(FD49*(EV49/EW49))+(FE49*SIN(RADIANS($EB$46))))*ER49)</f>
        <v>0</v>
      </c>
      <c r="FG49" s="87" t="e">
        <f t="shared" ref="FG49:FG54" si="455">IF(EF49=1,$AB$81,IF(EF49=2,$AB$82,IF(EF49=3,$AB$83,IF(EF49=4,$AB$84,IF(EF49=5,$AB$85,IF(EF49=6,$AB$86,IF(EF49=7,$AB$87,$AB$88)))))))</f>
        <v>#DIV/0!</v>
      </c>
      <c r="FH49" s="87" t="e">
        <f t="shared" ref="FH49:FH54" si="456">IF(EF49=1,$AC$81,IF(EF49=2,$AC$82,IF(EF49=3,$AC$83,IF(EF49=4,$AC$84,IF(EF49=5,$AC$85,IF(EF49=6,$AC$86,IF(EF49=7,$AC$87,$AC$88)))))))</f>
        <v>#DIV/0!</v>
      </c>
      <c r="FI49" s="87" t="e">
        <f t="shared" ref="FI49:FI54" si="457">IF(EF49=1,$AD$81,IF(EF49=2,$AD$82,IF(EF49=3,$AD$83,IF(EF49=4,$AD$84,IF(EF49=5,$AD$85,IF(EF49=6,$AD$86,IF(EF49=7,$AD$87,$AD$88)))))))</f>
        <v>#DIV/0!</v>
      </c>
      <c r="FJ49" s="87" t="e">
        <f t="shared" ref="FJ49:FJ54" si="458">IF(EF49=1,$AE$81,IF(EF49=2,$AE$82,IF(EF49=3,$AE$83,IF(EF49=4,$AE$84,IF(EF49=5,$AE$85,IF(EF49=6,$AE$86,IF(EF49=7,$AE$87,$AE$88)))))))</f>
        <v>#DIV/0!</v>
      </c>
      <c r="FK49" s="87" t="e">
        <f t="shared" ref="FK49:FK54" si="459">IF(EF49=1,$AF$81,IF(EF49=2,$AF$82,IF(EF49=3,$AF$83,IF(EF49=4,$AF$84,IF(EF49=5,$AF$85,IF(EF49=6,$AF$86,IF(EF49=7,$AF$87,$AF$88)))))))</f>
        <v>#DIV/0!</v>
      </c>
      <c r="FL49" s="87" t="e">
        <f t="shared" ref="FL49:FL54" si="460">IF(EF49=1,$AG$81,IF(EF49=2,$AG$82,IF(EF49=3,$AG$83,IF(EF49=4,$AG$84,IF(EF49=5,$AG$85,IF(EF49=6,$AG$86,IF(EF49=7,$AG$87,$AG$88)))))))</f>
        <v>#DIV/0!</v>
      </c>
      <c r="FM49" s="87" t="e">
        <f t="shared" ref="FM49:FM72" si="461">IF(FG49+FH49*EB49+FI49*RADIANS(DW49)&lt;0,0,FG49+FH49*EB49+FI49*RADIANS(DW49))</f>
        <v>#DIV/0!</v>
      </c>
      <c r="FN49" s="87" t="e">
        <f t="shared" ref="FN49:FN72" si="462">FJ49+FK49*EB49+FL49*RADIANS(DW49)</f>
        <v>#DIV/0!</v>
      </c>
      <c r="FO49" s="87">
        <f>IF(DU49&lt;0,0,((0.5*(1-FM49)*(1+COS(RADIANS($EB$46))))+(FM49*(EV49/EW49))+(FN49*SIN(RADIANS($EB$46))))*'Irradiancia Horizontal'!K41)</f>
        <v>0</v>
      </c>
      <c r="FP49" s="87">
        <f t="shared" ref="FP49:FP72" si="463">EV49/COS(RADIANS(DW49))</f>
        <v>0</v>
      </c>
      <c r="FQ49" s="87">
        <f>FP49*'Irradiancia Horizontal'!K70</f>
        <v>0</v>
      </c>
      <c r="FR49" s="87">
        <f>+FO49+FQ49</f>
        <v>0</v>
      </c>
      <c r="FS49" s="88">
        <f t="shared" ref="FS49:FS72" si="464">IF(DU49&lt;0,0,FR49*EK49)</f>
        <v>0</v>
      </c>
      <c r="FT49" s="87">
        <f>FS49-FF49</f>
        <v>0</v>
      </c>
      <c r="FU49" s="106">
        <f>ES49/COS(RADIANS(DW49))</f>
        <v>0</v>
      </c>
      <c r="FV49" s="106">
        <f>IF(EU49&lt;0,0,FU49*EU49)</f>
        <v>0</v>
      </c>
      <c r="FW49" s="106">
        <f>FV49+FF49</f>
        <v>0</v>
      </c>
      <c r="FX49" s="83"/>
      <c r="FZ49" s="39">
        <v>4.1666666666666699E-2</v>
      </c>
      <c r="GA49" s="38">
        <v>165</v>
      </c>
      <c r="GB49" s="38">
        <f t="shared" ref="GB49:GB72" si="465">+DEGREES(ASIN(COS(RADIANS($GC$46))*COS(RADIANS($GB$46))*COS(RADIANS(GA49))+SIN(RADIANS($GC$46))*SIN(RADIANS($GB$46))))</f>
        <v>-67.739632253222211</v>
      </c>
      <c r="GC49" s="38">
        <f t="shared" ref="GC49:GC59" si="466">180-DEGREES(ACOS((((SIN(RADIANS(GB49)))*SIN(RADIANS($GC$46)))-SIN(RADIANS($GB$46)))/((COS(RADIANS(GB49)))*COS(RADIANS($GC$46)))))</f>
        <v>41.982577246800219</v>
      </c>
      <c r="GD49" s="38">
        <f t="shared" ref="GD49:GD72" si="467">90-GB49</f>
        <v>157.73963225322223</v>
      </c>
      <c r="GE49" s="38">
        <f>+'Irradiancia Horizontal'!L70/COS(RADIANS(GD49))</f>
        <v>0</v>
      </c>
      <c r="GF49" s="38" t="e">
        <f>((('Irradiancia Horizontal'!L41+GE49)/'Irradiancia Horizontal'!L41)+1.041*((RADIANS('Cálculos iluminancia'!GD49))^3))/(1+1.041*((RADIANS('Cálculos iluminancia'!GD49))^3))</f>
        <v>#DIV/0!</v>
      </c>
      <c r="GG49" s="88" t="e">
        <f t="shared" ref="GG49:GG72" si="468">1/(SIN(RADIANS(GB49))+((0.50572)/((GB49+6.07995)^1.6364)))</f>
        <v>#NUM!</v>
      </c>
      <c r="GH49" s="88" t="e">
        <f>GG49*$GF$46</f>
        <v>#NUM!</v>
      </c>
      <c r="GI49" s="88" t="e">
        <f>'Irradiancia Horizontal'!L41*GH49/$GG$46</f>
        <v>#NUM!</v>
      </c>
      <c r="GJ49" s="88">
        <f>((17.27*Temp!K11)/(237.7+Temp!K11))+LN(HR!K22/100)</f>
        <v>0.95759497759269629</v>
      </c>
      <c r="GK49" s="88">
        <f>(237.7*GJ49)/(17.27-GJ49)</f>
        <v>13.953817714868926</v>
      </c>
      <c r="GL49" s="88">
        <f>EXP((0.07*GK49)-0.075)</f>
        <v>2.4639536633622714</v>
      </c>
      <c r="GM49" s="88" t="e">
        <f t="shared" ref="GM49:GM54" si="469">IF(GF49&lt;$E$81,1,IF(GF49&lt;$E$82,2,IF(GF49&lt;$E$83,3,IF(GF49&lt;$E$84,4,IF(GF49&lt;$E$85,5,IF(GF49&lt;$E$86,6,IF(GF49&lt;$E$87,7,8)))))))</f>
        <v>#DIV/0!</v>
      </c>
      <c r="GN49" s="88" t="e">
        <f t="shared" ref="GN49:GN54" si="470">IF(GM49=1,$H$81,IF(GM49=2,$H$82,IF(GM49=3,$H$83,IF(GM49=4,$H$84,IF(GM49=5,$H$85,IF(GM49=6,$H$86,IF(GM49=7,$H$87,$H$88)))))))</f>
        <v>#DIV/0!</v>
      </c>
      <c r="GO49" s="88" t="e">
        <f t="shared" ref="GO49:GO54" si="471">IF(GM49=1,$I$81,IF(GM49=2,$I$82,IF(GM49=3,$I$83,IF(GM49=4,$I$84,IF(GM49=5,$I$85,IF(GM49=6,$I$86,IF(GM49=7,$I$87,$I$88)))))))</f>
        <v>#DIV/0!</v>
      </c>
      <c r="GP49" s="88" t="e">
        <f t="shared" ref="GP49:GP54" si="472">IF(GM49=1,$J$81,IF(GM49=2,$J$82,IF(GM49=3,$J$83,IF(GM49=4,$J$84,IF(GM49=5,$J$85,IF(GM49=6,$J$86,IF(GM49=7,$J$87,$J$88)))))))</f>
        <v>#DIV/0!</v>
      </c>
      <c r="GQ49" s="88" t="e">
        <f t="shared" ref="GQ49:GQ54" si="473">IF(GM49=1,$K$81,IF(GM49=2,$K$82,IF(GM49=3,$K$83,IF(GM49=4,$K$84,IF(GM49=5,$K$85,IF(GM49=6,$K$86,IF(GM49=7,$K$87,$K$88)))))))</f>
        <v>#DIV/0!</v>
      </c>
      <c r="GR49" s="88">
        <f t="shared" ref="GR49:GR72" si="474">IF(GB49&lt;0,0,GN49+GO49*GL49+GP49*COS(RADIANS(GD49))+GQ49*LN(GI49))</f>
        <v>0</v>
      </c>
      <c r="GS49" s="165">
        <f>IF(GY49&gt;(GR49*'Irradiancia Horizontal'!L9),GY49,GR49*'Irradiancia Horizontal'!L9)</f>
        <v>0</v>
      </c>
      <c r="GT49" s="88" t="e">
        <f t="shared" ref="GT49:GT54" si="475">IF(GM49=1,$N$81,IF(GM49=2,$N$82,IF(GM49=3,$N$83,IF(GM49=4,$N$84,IF(GM49=5,$N$85,IF(GM49=6,$N$86,IF(GM49=7,$N$87,$N$88)))))))</f>
        <v>#DIV/0!</v>
      </c>
      <c r="GU49" s="88" t="e">
        <f t="shared" ref="GU49:GU54" si="476">IF(GM49=1,$O$81,IF(GM49=2,$O$82,IF(GM49=3,$O$83,IF(GM49=4,$O$84,IF(GM49=5,$O$85,IF(GM49=6,$O$86,IF(GM49=7,$O$87,$O$88)))))))</f>
        <v>#DIV/0!</v>
      </c>
      <c r="GV49" s="88" t="e">
        <f t="shared" ref="GV49:GV54" si="477">IF(GM49=1,$P$81,IF(GM49=2,$P$82,IF(GM49=3,$P$83,IF(GM49=4,$P$84,IF(GM49=5,$P$85,IF(GM49=6,$P$86,IF(GM49=7,$P$87,$P$88)))))))</f>
        <v>#DIV/0!</v>
      </c>
      <c r="GW49" s="88" t="e">
        <f t="shared" ref="GW49:GW54" si="478">IF(GM49=1,$Q$81,IF(GM49=2,$Q$82,IF(GM49=3,$Q$83,IF(GM49=4,$Q$84,IF(GM49=5,$Q$85,IF(GM49=6,$Q$86,IF(GM49=7,$Q$87,$Q$88)))))))</f>
        <v>#DIV/0!</v>
      </c>
      <c r="GX49" s="88">
        <f t="shared" ref="GX49:GX72" si="479">IF(GB49&lt;0,0,GT49+GU49*GL49+GV49*COS(RADIANS(GD49))+GW49*LN(GI49))</f>
        <v>0</v>
      </c>
      <c r="GY49" s="88">
        <f>+GX49*'Irradiancia Horizontal'!L41</f>
        <v>0</v>
      </c>
      <c r="GZ49" s="88">
        <f>GS49-GY49</f>
        <v>0</v>
      </c>
      <c r="HA49" s="88" t="e">
        <f>+GZ49/'Irradiancia Horizontal'!L70</f>
        <v>#DIV/0!</v>
      </c>
      <c r="HB49" s="38">
        <f t="shared" ref="HB49:HB72" si="480">SIN(RADIANS($GB$46))*SIN(RADIANS($GC$46))*COS(RADIANS($GI$46))-SIN(RADIANS($GB$46))*COS(RADIANS($GC$46))*SIN(RADIANS($GI$46))*COS(RADIANS($GH$46))+COS(RADIANS($GB$46))*COS(RADIANS($GC$46))*COS(RADIANS($GI$46))*COS(RADIANS(GA49))+COS(RADIANS($GB$46))*SIN(RADIANS($GC$46))*SIN(RADIANS($GI$46))*COS(RADIANS($GH$46))*COS(RADIANS(GA49))+COS(RADIANS($GB$46))*SIN(RADIANS($GI$46))*SIN(RADIANS($GH$46))*SIN(RADIANS(GA49))</f>
        <v>-0.28159228181321871</v>
      </c>
      <c r="HC49" s="88">
        <f>IF(HB49&lt;0,0,HB49)</f>
        <v>0</v>
      </c>
      <c r="HD49" s="88">
        <f>IF(COS(RADIANS(GD49))&lt;0.087,0.087,COS(RADIANS(GD49)))</f>
        <v>8.6999999999999994E-2</v>
      </c>
      <c r="HE49" s="88" t="e">
        <f>IF(GM49=1,$T$81,IF(GM49=2,$T$82,IF(GM49=3,$T$83,IF(GM49=4,$T$84,IF(GM49=5,$T$85,IF(GM49=6,$T$86,IF(GM49=7,$T$87,$T$88)))))))</f>
        <v>#DIV/0!</v>
      </c>
      <c r="HF49" s="88" t="e">
        <f>IF(GM49=1,$U$81,IF(GM49=2,$U$82,IF(GM49=3,$U$83,IF(GM49=4,$U$84,IF(GM49=5,$U$85,IF(GM49=6,$U$86,IF(GM49=7,$U$87,$U$88)))))))</f>
        <v>#DIV/0!</v>
      </c>
      <c r="HG49" s="88" t="e">
        <f>IF(GM49=1,$V$81,IF(GM49=2,$V$82,IF(GM49=3,$V$83,IF(GM49=4,$V$84,IF(GM49=5,$V$85,IF(GM49=6,$V$86,IF(GM49=7,$V$87,$V$88)))))))</f>
        <v>#DIV/0!</v>
      </c>
      <c r="HH49" s="88" t="e">
        <f>IF(GM49=1,$W$81,IF(GM49=2,$W$82,IF(GM49=3,$W$83,IF(GM49=4,$W$84,IF(GM49=5,$W$85,IF(GM49=6,$W$86,IF(GM49=7,$W$87,$W$88)))))))</f>
        <v>#DIV/0!</v>
      </c>
      <c r="HI49" s="88" t="e">
        <f>IF(GM49=1,$X$81,IF(GM49=2,$X$82,IF(GM49=3,$X$83,IF(GM49=4,$X$84,IF(GM49=5,$X$85,IF(GM49=6,$X$86,IF(GM49=7,$X$87,$X$88)))))))</f>
        <v>#DIV/0!</v>
      </c>
      <c r="HJ49" s="88" t="e">
        <f>IF(GM49=1,$Y$81,IF(GM49=2,$Y$82,IF(GM49=3,$Y$83,IF(GM49=4,$Y$84,IF(GM49=5,$Y$85,IF(GM49=6,$Y$86,IF(GM49=7,$Y$87,$Y$88)))))))</f>
        <v>#DIV/0!</v>
      </c>
      <c r="HK49" s="88" t="e">
        <f t="shared" ref="HK49:HK72" si="481">IF(HE49+HF49*GI49+HG49*RADIANS(GD49)&lt;0,0,HE49+HF49*GI49+HG49*RADIANS(GD49))</f>
        <v>#DIV/0!</v>
      </c>
      <c r="HL49" s="88" t="e">
        <f t="shared" ref="HL49:HL72" si="482">HH49+HI49*GI49+HJ49*RADIANS(GD49)</f>
        <v>#DIV/0!</v>
      </c>
      <c r="HM49" s="88">
        <f t="shared" ref="HM49:HM72" si="483">IF(GB49&lt;0,0,((0.5*(1-HK49)*(1+COS(RADIANS($GI$46))))+(HK49*(HC49/HD49))+(HL49*SIN(RADIANS($GI$46))))*GY49)</f>
        <v>0</v>
      </c>
      <c r="HN49" s="88" t="e">
        <f t="shared" ref="HN49:HN54" si="484">IF(GM49=1,$AB$81,IF(GM49=2,$AB$82,IF(GM49=3,$AB$83,IF(GM49=4,$AB$84,IF(GM49=5,$AB$85,IF(GM49=6,$AB$86,IF(GM49=7,$AB$87,$AB$88)))))))</f>
        <v>#DIV/0!</v>
      </c>
      <c r="HO49" s="88" t="e">
        <f t="shared" ref="HO49:HO54" si="485">IF(GM49=1,$AC$81,IF(GM49=2,$AC$82,IF(GM49=3,$AC$83,IF(GM49=4,$AC$84,IF(GM49=5,$AC$85,IF(GM49=6,$AC$86,IF(GM49=7,$AC$87,$AC$88)))))))</f>
        <v>#DIV/0!</v>
      </c>
      <c r="HP49" s="88" t="e">
        <f t="shared" ref="HP49:HP54" si="486">IF(GM49=1,$AD$81,IF(GM49=2,$AD$82,IF(GM49=3,$AD$83,IF(GM49=4,$AD$84,IF(GM49=5,$AD$85,IF(GM49=6,$AD$86,IF(GM49=7,$AD$87,$AD$88)))))))</f>
        <v>#DIV/0!</v>
      </c>
      <c r="HQ49" s="88" t="e">
        <f t="shared" ref="HQ49:HQ54" si="487">IF(GM49=1,$AE$81,IF(GM49=2,$AE$82,IF(GM49=3,$AE$83,IF(GM49=4,$AE$84,IF(GM49=5,$AE$85,IF(GM49=6,$AE$86,IF(GM49=7,$AE$87,$AE$88)))))))</f>
        <v>#DIV/0!</v>
      </c>
      <c r="HR49" s="88" t="e">
        <f t="shared" ref="HR49:HR54" si="488">IF(GM49=1,$AF$81,IF(GM49=2,$AF$82,IF(GM49=3,$AF$83,IF(GM49=4,$AF$84,IF(GM49=5,$AF$85,IF(GM49=6,$AF$86,IF(GM49=7,$AF$87,$AF$88)))))))</f>
        <v>#DIV/0!</v>
      </c>
      <c r="HS49" s="88" t="e">
        <f t="shared" ref="HS49:HS54" si="489">IF(GM49=1,$AG$81,IF(GM49=2,$AG$82,IF(GM49=3,$AG$83,IF(GM49=4,$AG$84,IF(GM49=5,$AG$85,IF(GM49=6,$AG$86,IF(GM49=7,$AG$87,$AG$88)))))))</f>
        <v>#DIV/0!</v>
      </c>
      <c r="HT49" s="88" t="e">
        <f t="shared" ref="HT49:HT72" si="490">IF(HN49+HO49*GI49+HP49*RADIANS(GD49)&lt;0,0,HN49+HO49*GI49+HP49*RADIANS(GD49))</f>
        <v>#DIV/0!</v>
      </c>
      <c r="HU49" s="88" t="e">
        <f t="shared" ref="HU49:HU72" si="491">HQ49+HR49*GI49+HS49*RADIANS(GD49)</f>
        <v>#DIV/0!</v>
      </c>
      <c r="HV49" s="88">
        <f>IF(GB49&lt;0,0,((0.5*(1-HT49)*(1+COS(RADIANS($GI$46))))+(HT49*(HC49/HD49))+(HU49*SIN(RADIANS($GI$46))))*'Irradiancia Horizontal'!L41)</f>
        <v>0</v>
      </c>
      <c r="HW49" s="88">
        <f t="shared" ref="HW49:HW72" si="492">HC49/COS(RADIANS(GD49))</f>
        <v>0</v>
      </c>
      <c r="HX49" s="88">
        <f>HW49*'Irradiancia Horizontal'!L70</f>
        <v>0</v>
      </c>
      <c r="HY49" s="88">
        <f>+HV49+HX49</f>
        <v>0</v>
      </c>
      <c r="HZ49" s="88">
        <f t="shared" ref="HZ49:HZ72" si="493">IF(GB49&lt;0,0,HY49*GR49)</f>
        <v>0</v>
      </c>
      <c r="IA49" s="88">
        <f>HZ49-HM49</f>
        <v>0</v>
      </c>
      <c r="IB49" s="106">
        <f>GZ49/COS(RADIANS(GD49))</f>
        <v>0</v>
      </c>
      <c r="IC49" s="106">
        <f>IF(HB49&lt;0,0,IB49*HB49)</f>
        <v>0</v>
      </c>
      <c r="ID49" s="106">
        <f>IC49+HM49</f>
        <v>0</v>
      </c>
      <c r="IE49" s="83"/>
      <c r="IG49" s="39">
        <v>4.1666666666666699E-2</v>
      </c>
      <c r="IH49" s="38">
        <v>165</v>
      </c>
      <c r="II49" s="38">
        <f t="shared" ref="II49:II72" si="494">+DEGREES(ASIN(COS(RADIANS($IJ$46))*COS(RADIANS($II$46))*COS(RADIANS(IH49))+SIN(RADIANS($IJ$46))*SIN(RADIANS($II$46))))</f>
        <v>-73.894403228018092</v>
      </c>
      <c r="IJ49" s="38">
        <f t="shared" ref="IJ49:IJ59" si="495">180-DEGREES(ACOS((((SIN(RADIANS(II49)))*SIN(RADIANS($IJ$46)))-SIN(RADIANS($II$46)))/((COS(RADIANS(II49)))*COS(RADIANS($IJ$46)))))</f>
        <v>60.954897692664431</v>
      </c>
      <c r="IK49" s="38">
        <f t="shared" ref="IK49:IK72" si="496">90-II49</f>
        <v>163.89440322801809</v>
      </c>
      <c r="IL49" s="38">
        <f>+'Irradiancia Horizontal'!M70/COS(RADIANS(IK49))</f>
        <v>0</v>
      </c>
      <c r="IM49" s="38" t="e">
        <f>((('Irradiancia Horizontal'!M41+IL49)/'Irradiancia Horizontal'!M41)+1.041*((RADIANS('Cálculos iluminancia'!IK49))^3))/(1+1.041*((RADIANS('Cálculos iluminancia'!IK49))^3))</f>
        <v>#DIV/0!</v>
      </c>
      <c r="IN49" s="88" t="e">
        <f t="shared" ref="IN49:IN72" si="497">1/(SIN(RADIANS(II49))+((0.50572)/((II49+6.07995)^1.6364)))</f>
        <v>#NUM!</v>
      </c>
      <c r="IO49" s="88" t="e">
        <f>IN49*$IM$46</f>
        <v>#NUM!</v>
      </c>
      <c r="IP49" s="88" t="e">
        <f>'Irradiancia Horizontal'!M41*IO49/$IN$46</f>
        <v>#NUM!</v>
      </c>
      <c r="IQ49" s="88">
        <f>((17.27*Temp!L11)/(237.7+Temp!L11))+LN(HR!L22/100)</f>
        <v>0.66084804037516665</v>
      </c>
      <c r="IR49" s="88">
        <f>(237.7*IQ49)/(17.27-IQ49)</f>
        <v>9.4576519968648238</v>
      </c>
      <c r="IS49" s="88">
        <f>EXP((0.07*IR49)-0.075)</f>
        <v>1.7986486622889553</v>
      </c>
      <c r="IT49" s="88" t="e">
        <f t="shared" ref="IT49:IT54" si="498">IF(IM49&lt;$E$81,1,IF(IM49&lt;$E$82,2,IF(IM49&lt;$E$83,3,IF(IM49&lt;$E$84,4,IF(IM49&lt;$E$85,5,IF(IM49&lt;$E$86,6,IF(IM49&lt;$E$87,7,8)))))))</f>
        <v>#DIV/0!</v>
      </c>
      <c r="IU49" s="88" t="e">
        <f t="shared" ref="IU49:IU54" si="499">IF(IT49=1,$H$81,IF(IT49=2,$H$82,IF(IT49=3,$H$83,IF(IT49=4,$H$84,IF(IT49=5,$H$85,IF(IT49=6,$H$86,IF(IT49=7,$H$87,$H$88)))))))</f>
        <v>#DIV/0!</v>
      </c>
      <c r="IV49" s="88" t="e">
        <f t="shared" ref="IV49:IV54" si="500">IF(IT49=1,$I$81,IF(IT49=2,$I$82,IF(IT49=3,$I$83,IF(IT49=4,$I$84,IF(IT49=5,$I$85,IF(IT49=6,$I$86,IF(IT49=7,$I$87,$I$88)))))))</f>
        <v>#DIV/0!</v>
      </c>
      <c r="IW49" s="88" t="e">
        <f t="shared" ref="IW49:IW54" si="501">IF(IT49=1,$J$81,IF(IT49=2,$J$82,IF(IT49=3,$J$83,IF(IT49=4,$J$84,IF(IT49=5,$J$85,IF(IT49=6,$J$86,IF(IT49=7,$J$87,$J$88)))))))</f>
        <v>#DIV/0!</v>
      </c>
      <c r="IX49" s="88" t="e">
        <f t="shared" ref="IX49:IX54" si="502">IF(IT49=1,$K$81,IF(IT49=2,$K$82,IF(IT49=3,$K$83,IF(IT49=4,$K$84,IF(IT49=5,$K$85,IF(IT49=6,$K$86,IF(IT49=7,$K$87,$K$88)))))))</f>
        <v>#DIV/0!</v>
      </c>
      <c r="IY49" s="88">
        <f t="shared" ref="IY49:IY72" si="503">IF(II49&lt;0,0,IU49+IV49*IS49+IW49*COS(RADIANS(IK49))+IX49*LN(IP49))</f>
        <v>0</v>
      </c>
      <c r="IZ49" s="165">
        <f>IF(JF49&gt;(IY49*'Irradiancia Horizontal'!M9),JF49,IY49*'Irradiancia Horizontal'!M9)</f>
        <v>0</v>
      </c>
      <c r="JA49" s="88" t="e">
        <f t="shared" ref="JA49:JA54" si="504">IF(IT49=1,$N$81,IF(IT49=2,$N$82,IF(IT49=3,$N$83,IF(IT49=4,$N$84,IF(IT49=5,$N$85,IF(IT49=6,$N$86,IF(IT49=7,$N$87,$N$88)))))))</f>
        <v>#DIV/0!</v>
      </c>
      <c r="JB49" s="88" t="e">
        <f t="shared" ref="JB49:JB54" si="505">IF(IT49=1,$O$81,IF(IT49=2,$O$82,IF(IT49=3,$O$83,IF(IT49=4,$O$84,IF(IT49=5,$O$85,IF(IT49=6,$O$86,IF(IT49=7,$O$87,$O$88)))))))</f>
        <v>#DIV/0!</v>
      </c>
      <c r="JC49" s="88" t="e">
        <f t="shared" ref="JC49:JC54" si="506">IF(IT49=1,$P$81,IF(IT49=2,$P$82,IF(IT49=3,$P$83,IF(IT49=4,$P$84,IF(IT49=5,$P$85,IF(IT49=6,$P$86,IF(IT49=7,$P$87,$P$88)))))))</f>
        <v>#DIV/0!</v>
      </c>
      <c r="JD49" s="88" t="e">
        <f t="shared" ref="JD49:JD54" si="507">IF(IT49=1,$Q$81,IF(IT49=2,$Q$82,IF(IT49=3,$Q$83,IF(IT49=4,$Q$84,IF(IT49=5,$Q$85,IF(IT49=6,$Q$86,IF(IT49=7,$Q$87,$Q$88)))))))</f>
        <v>#DIV/0!</v>
      </c>
      <c r="JE49" s="88">
        <f t="shared" ref="JE49:JE72" si="508">IF(II49&lt;0,0,JA49+JB49*IS49+JC49*COS(RADIANS(IK49))+JD49*LN(IP49))</f>
        <v>0</v>
      </c>
      <c r="JF49" s="88">
        <f>+JE49*'Irradiancia Horizontal'!M41</f>
        <v>0</v>
      </c>
      <c r="JG49" s="88">
        <f>IZ49-JF49</f>
        <v>0</v>
      </c>
      <c r="JH49" s="88" t="e">
        <f>+JG49/'Irradiancia Horizontal'!M70</f>
        <v>#DIV/0!</v>
      </c>
      <c r="JI49" s="38">
        <f t="shared" ref="JI49:JI72" si="509">SIN(RADIANS($II$46))*SIN(RADIANS($IJ$46))*COS(RADIANS($IP$46))-SIN(RADIANS($II$46))*COS(RADIANS($IJ$46))*SIN(RADIANS($IP$46))*COS(RADIANS($IO$46))+COS(RADIANS($II$46))*COS(RADIANS($IJ$46))*COS(RADIANS($IP$46))*COS(RADIANS(IH49))+COS(RADIANS($II$46))*SIN(RADIANS($IJ$46))*SIN(RADIANS($IP$46))*COS(RADIANS($IO$46))*COS(RADIANS(IH49))+COS(RADIANS($II$46))*SIN(RADIANS($IP$46))*SIN(RADIANS($IO$46))*SIN(RADIANS(IH49))</f>
        <v>-0.13468126124738228</v>
      </c>
      <c r="JJ49" s="88">
        <f>IF(JI49&lt;0,0,JI49)</f>
        <v>0</v>
      </c>
      <c r="JK49" s="88">
        <f>IF(COS(RADIANS(IK49))&lt;0.087,0.087,COS(RADIANS(IK49)))</f>
        <v>8.6999999999999994E-2</v>
      </c>
      <c r="JL49" s="88" t="e">
        <f>IF(IT49=1,$T$81,IF(IT49=2,$T$82,IF(IT49=3,$T$83,IF(IT49=4,$T$84,IF(IT49=5,$T$85,IF(IT49=6,$T$86,IF(IT49=7,$T$87,$T$88)))))))</f>
        <v>#DIV/0!</v>
      </c>
      <c r="JM49" s="88" t="e">
        <f>IF(IT49=1,$U$81,IF(IT49=2,$U$82,IF(IT49=3,$U$83,IF(IT49=4,$U$84,IF(IT49=5,$U$85,IF(IT49=6,$U$86,IF(IT49=7,$U$87,$U$88)))))))</f>
        <v>#DIV/0!</v>
      </c>
      <c r="JN49" s="88" t="e">
        <f>IF(IT49=1,$V$81,IF(IT49=2,$V$82,IF(IT49=3,$V$83,IF(IT49=4,$V$84,IF(IT49=5,$V$85,IF(IT49=6,$V$86,IF(IT49=7,$V$87,$V$88)))))))</f>
        <v>#DIV/0!</v>
      </c>
      <c r="JO49" s="88" t="e">
        <f>IF(IT49=1,$W$81,IF(IT49=2,$W$82,IF(IT49=3,$W$83,IF(IT49=4,$W$84,IF(IT49=5,$W$85,IF(IT49=6,$W$86,IF(IT49=7,$W$87,$W$88)))))))</f>
        <v>#DIV/0!</v>
      </c>
      <c r="JP49" s="88" t="e">
        <f>IF(IT49=1,$X$81,IF(IT49=2,$X$82,IF(IT49=3,$X$83,IF(IT49=4,$X$84,IF(IT49=5,$X$85,IF(IT49=6,$X$86,IF(IT49=7,$X$87,$X$88)))))))</f>
        <v>#DIV/0!</v>
      </c>
      <c r="JQ49" s="88" t="e">
        <f>IF(IT49=1,$Y$81,IF(IT49=2,$Y$82,IF(IT49=3,$Y$83,IF(IT49=4,$Y$84,IF(IT49=5,$Y$85,IF(IT49=6,$Y$86,IF(IT49=7,$Y$87,$Y$88)))))))</f>
        <v>#DIV/0!</v>
      </c>
      <c r="JR49" s="88" t="e">
        <f t="shared" ref="JR49:JR72" si="510">IF(JL49+JM49*IP49+JN49*RADIANS(IK49)&lt;0,0,JL49+JM49*IP49+JN49*RADIANS(IK49))</f>
        <v>#DIV/0!</v>
      </c>
      <c r="JS49" s="88" t="e">
        <f t="shared" ref="JS49:JS72" si="511">JO49+JP49*IP49+JQ49*RADIANS(IK49)</f>
        <v>#DIV/0!</v>
      </c>
      <c r="JT49" s="88">
        <f t="shared" ref="JT49:JT72" si="512">IF(II49&lt;0,0,((0.5*(1-JR49)*(1+COS(RADIANS($IP$46))))+(JR49*(JJ49/JK49))+(JS49*SIN(RADIANS($IP$46))))*JF49)</f>
        <v>0</v>
      </c>
      <c r="JU49" s="88" t="e">
        <f t="shared" ref="JU49:JU54" si="513">IF(IT49=1,$AB$81,IF(IT49=2,$AB$82,IF(IT49=3,$AB$83,IF(IT49=4,$AB$84,IF(IT49=5,$AB$85,IF(IT49=6,$AB$86,IF(IT49=7,$AB$87,$AB$88)))))))</f>
        <v>#DIV/0!</v>
      </c>
      <c r="JV49" s="88" t="e">
        <f t="shared" ref="JV49:JV54" si="514">IF(IT49=1,$AC$81,IF(IT49=2,$AC$82,IF(IT49=3,$AC$83,IF(IT49=4,$AC$84,IF(IT49=5,$AC$85,IF(IT49=6,$AC$86,IF(IT49=7,$AC$87,$AC$88)))))))</f>
        <v>#DIV/0!</v>
      </c>
      <c r="JW49" s="88" t="e">
        <f t="shared" ref="JW49:JW54" si="515">IF(IT49=1,$AD$81,IF(IT49=2,$AD$82,IF(IT49=3,$AD$83,IF(IT49=4,$AD$84,IF(IT49=5,$AD$85,IF(IT49=6,$AD$86,IF(IT49=7,$AD$87,$AD$88)))))))</f>
        <v>#DIV/0!</v>
      </c>
      <c r="JX49" s="88" t="e">
        <f t="shared" ref="JX49:JX54" si="516">IF(IT49=1,$AE$81,IF(IT49=2,$AE$82,IF(IT49=3,$AE$83,IF(IT49=4,$AE$84,IF(IT49=5,$AE$85,IF(IT49=6,$AE$86,IF(IT49=7,$AE$87,$AE$88)))))))</f>
        <v>#DIV/0!</v>
      </c>
      <c r="JY49" s="88" t="e">
        <f t="shared" ref="JY49:JY54" si="517">IF(IT49=1,$AF$81,IF(IT49=2,$AF$82,IF(IT49=3,$AF$83,IF(IT49=4,$AF$84,IF(IT49=5,$AF$85,IF(IT49=6,$AF$86,IF(IT49=7,$AF$87,$AF$88)))))))</f>
        <v>#DIV/0!</v>
      </c>
      <c r="JZ49" s="88" t="e">
        <f t="shared" ref="JZ49:JZ54" si="518">IF(IT49=1,$AG$81,IF(IT49=2,$AG$82,IF(IT49=3,$AG$83,IF(IT49=4,$AG$84,IF(IT49=5,$AG$85,IF(IT49=6,$AG$86,IF(IT49=7,$AG$87,$AG$88)))))))</f>
        <v>#DIV/0!</v>
      </c>
      <c r="KA49" s="88" t="e">
        <f t="shared" ref="KA49:KA72" si="519">IF(JU49+JV49*IP49+JW49*RADIANS(IK49)&lt;0,0,JU49+JV49*IP49+JW49*RADIANS(IK49))</f>
        <v>#DIV/0!</v>
      </c>
      <c r="KB49" s="88" t="e">
        <f t="shared" ref="KB49:KB72" si="520">JX49+JY49*IP49+JZ49*RADIANS(IK49)</f>
        <v>#DIV/0!</v>
      </c>
      <c r="KC49" s="88">
        <f>IF(II49&lt;0,0,((0.5*(1-KA49)*(1+COS(RADIANS($IP$46))))+(KA49*(JJ49/JK49))+(KB49*SIN(RADIANS($IP$46))))*'Irradiancia Horizontal'!M41)</f>
        <v>0</v>
      </c>
      <c r="KD49" s="88">
        <f t="shared" ref="KD49:KD72" si="521">JJ49/COS(RADIANS(IK49))</f>
        <v>0</v>
      </c>
      <c r="KE49" s="88">
        <f>KD49*'Irradiancia Horizontal'!M70</f>
        <v>0</v>
      </c>
      <c r="KF49" s="88">
        <f>+KC49+KE49</f>
        <v>0</v>
      </c>
      <c r="KG49" s="88">
        <f t="shared" ref="KG49:KG72" si="522">IF(II49&lt;0,0,KF49*IY49)</f>
        <v>0</v>
      </c>
      <c r="KH49" s="88">
        <f>KG49-JT49</f>
        <v>0</v>
      </c>
      <c r="KI49" s="106">
        <f>JG49/COS(RADIANS(IK49))</f>
        <v>0</v>
      </c>
      <c r="KJ49" s="106">
        <f>IF(JI49&lt;0,0,KI49*JI49)</f>
        <v>0</v>
      </c>
      <c r="KK49" s="106">
        <f>KJ49+JT49</f>
        <v>0</v>
      </c>
      <c r="KL49" s="40"/>
      <c r="KN49" s="39">
        <v>4.1666666666666699E-2</v>
      </c>
      <c r="KO49" s="38">
        <v>165</v>
      </c>
      <c r="KP49" s="38">
        <f t="shared" ref="KP49:KP72" si="523">+DEGREES(ASIN(COS(RADIANS($KQ$46))*COS(RADIANS($KP$46))*COS(RADIANS(KO49))+SIN(RADIANS($KQ$46))*SIN(RADIANS($KP$46))))</f>
        <v>-75.43350470599799</v>
      </c>
      <c r="KQ49" s="38">
        <f t="shared" ref="KQ49:KQ59" si="524">180-DEGREES(ACOS((((SIN(RADIANS(KP49)))*SIN(RADIANS($KQ$46)))-SIN(RADIANS($KP$46)))/((COS(RADIANS(KP49)))*COS(RADIANS($KQ$46)))))</f>
        <v>70.750931390631095</v>
      </c>
      <c r="KR49" s="38">
        <f t="shared" ref="KR49:KR72" si="525">90-KP49</f>
        <v>165.43350470599799</v>
      </c>
      <c r="KS49" s="38">
        <f>+'Irradiancia Horizontal'!N70/COS(RADIANS(KR49))</f>
        <v>0</v>
      </c>
      <c r="KT49" s="38" t="e">
        <f>((('Irradiancia Horizontal'!N41+KS49)/'Irradiancia Horizontal'!N41)+1.041*((RADIANS('Cálculos iluminancia'!KR49))^3))/(1+1.041*((RADIANS('Cálculos iluminancia'!KR49))^3))</f>
        <v>#DIV/0!</v>
      </c>
      <c r="KU49" s="88" t="e">
        <f t="shared" ref="KU49:KU72" si="526">1/(SIN(RADIANS(KP49))+((0.50572)/((KP49+6.07995)^1.6364)))</f>
        <v>#NUM!</v>
      </c>
      <c r="KV49" s="88" t="e">
        <f>KU49*$KT$46</f>
        <v>#NUM!</v>
      </c>
      <c r="KW49" s="88" t="e">
        <f>'Irradiancia Horizontal'!N41*KV49/$KU$46</f>
        <v>#NUM!</v>
      </c>
      <c r="KX49" s="88">
        <f>((17.27*Temp!M11)/(237.7+Temp!M11))+LN(HR!M22/100)</f>
        <v>0.38796704411236604</v>
      </c>
      <c r="KY49" s="88">
        <f>(237.7*KX49)/(17.27-KX49)</f>
        <v>5.4625984101842198</v>
      </c>
      <c r="KZ49" s="88">
        <f>EXP((0.07*KY49)-0.075)</f>
        <v>1.3598601841797391</v>
      </c>
      <c r="LA49" s="88" t="e">
        <f t="shared" ref="LA49:LA54" si="527">IF(KT49&lt;$E$81,1,IF(KT49&lt;$E$82,2,IF(KT49&lt;$E$83,3,IF(KT49&lt;$E$84,4,IF(KT49&lt;$E$85,5,IF(KT49&lt;$E$86,6,IF(KT49&lt;$E$87,7,8)))))))</f>
        <v>#DIV/0!</v>
      </c>
      <c r="LB49" s="88" t="e">
        <f t="shared" ref="LB49:LB54" si="528">IF(LA49=1,$H$81,IF(LA49=2,$H$82,IF(LA49=3,$H$83,IF(LA49=4,$H$84,IF(LA49=5,$H$85,IF(LA49=6,$H$86,IF(LA49=7,$H$87,$H$88)))))))</f>
        <v>#DIV/0!</v>
      </c>
      <c r="LC49" s="88" t="e">
        <f t="shared" ref="LC49:LC54" si="529">IF(LA49=1,$I$81,IF(LA49=2,$I$82,IF(LA49=3,$I$83,IF(LA49=4,$I$84,IF(LA49=5,$I$85,IF(LA49=6,$I$86,IF(LA49=7,$I$87,$I$88)))))))</f>
        <v>#DIV/0!</v>
      </c>
      <c r="LD49" s="88" t="e">
        <f t="shared" ref="LD49:LD54" si="530">IF(LA49=1,$J$81,IF(LA49=2,$J$82,IF(LA49=3,$J$83,IF(LA49=4,$J$84,IF(LA49=5,$J$85,IF(LA49=6,$J$86,IF(LA49=7,$J$87,$J$88)))))))</f>
        <v>#DIV/0!</v>
      </c>
      <c r="LE49" s="88" t="e">
        <f t="shared" ref="LE49:LE54" si="531">IF(LA49=1,$K$81,IF(LA49=2,$K$82,IF(LA49=3,$K$83,IF(LA49=4,$K$84,IF(LA49=5,$K$85,IF(LA49=6,$K$86,IF(LA49=7,$K$87,$K$88)))))))</f>
        <v>#DIV/0!</v>
      </c>
      <c r="LF49" s="88">
        <f t="shared" ref="LF49:LF72" si="532">IF(KP49&lt;0,0,LB49+LC49*KZ49+LD49*COS(RADIANS(KR49))+LE49*LN(KW49))</f>
        <v>0</v>
      </c>
      <c r="LG49" s="165">
        <f>IF(LM49&gt;(LF49*'Irradiancia Horizontal'!N9),LM49,LF49*'Irradiancia Horizontal'!N9)</f>
        <v>0</v>
      </c>
      <c r="LH49" s="88" t="e">
        <f t="shared" ref="LH49:LH54" si="533">IF(LA49=1,$N$81,IF(LA49=2,$N$82,IF(LA49=3,$N$83,IF(LA49=4,$N$84,IF(LA49=5,$N$85,IF(LA49=6,$N$86,IF(LA49=7,$N$87,$N$88)))))))</f>
        <v>#DIV/0!</v>
      </c>
      <c r="LI49" s="88" t="e">
        <f t="shared" ref="LI49:LI54" si="534">IF(LA49=1,$O$81,IF(LA49=2,$O$82,IF(LA49=3,$O$83,IF(LA49=4,$O$84,IF(LA49=5,$O$85,IF(LA49=6,$O$86,IF(LA49=7,$O$87,$O$88)))))))</f>
        <v>#DIV/0!</v>
      </c>
      <c r="LJ49" s="88" t="e">
        <f t="shared" ref="LJ49:LJ54" si="535">IF(LA49=1,$P$81,IF(LA49=2,$P$82,IF(LA49=3,$P$83,IF(LA49=4,$P$84,IF(LA49=5,$P$85,IF(LA49=6,$P$86,IF(LA49=7,$P$87,$P$88)))))))</f>
        <v>#DIV/0!</v>
      </c>
      <c r="LK49" s="88" t="e">
        <f t="shared" ref="LK49:LK54" si="536">IF(LA49=1,$Q$81,IF(LA49=2,$Q$82,IF(LA49=3,$Q$83,IF(LA49=4,$Q$84,IF(LA49=5,$Q$85,IF(LA49=6,$Q$86,IF(LA49=7,$Q$87,$Q$88)))))))</f>
        <v>#DIV/0!</v>
      </c>
      <c r="LL49" s="88">
        <f t="shared" ref="LL49:LL72" si="537">IF(KP49&lt;0,0,LH49+LI49*KZ49+LJ49*COS(RADIANS(KR49))+LK49*LN(KW49))</f>
        <v>0</v>
      </c>
      <c r="LM49" s="88">
        <f>+LL49*'Irradiancia Horizontal'!N41</f>
        <v>0</v>
      </c>
      <c r="LN49" s="88">
        <f>LG49-LM49</f>
        <v>0</v>
      </c>
      <c r="LO49" s="88" t="e">
        <f>+LN49/'Irradiancia Horizontal'!N70</f>
        <v>#DIV/0!</v>
      </c>
      <c r="LP49" s="38">
        <f t="shared" ref="LP49:LP72" si="538">SIN(RADIANS($KP$46))*SIN(RADIANS($KQ$46))*COS(RADIANS($KW$46))-SIN(RADIANS($KP$46))*COS(RADIANS($KQ$46))*SIN(RADIANS($KW$46))*COS(RADIANS($KV$46))+COS(RADIANS($KP$46))*COS(RADIANS($KQ$46))*COS(RADIANS($KW$46))*COS(RADIANS(KO49))+COS(RADIANS($KP$46))*SIN(RADIANS($KQ$46))*SIN(RADIANS($KW$46))*COS(RADIANS($KV$46))*COS(RADIANS(KO49))+COS(RADIANS($KP$46))*SIN(RADIANS($KW$46))*SIN(RADIANS($KV$46))*SIN(RADIANS(KO49))</f>
        <v>-8.2914468421534271E-2</v>
      </c>
      <c r="LQ49" s="88">
        <f>IF(LP49&lt;0,0,LP49)</f>
        <v>0</v>
      </c>
      <c r="LR49" s="88">
        <f>IF(COS(RADIANS(KR49))&lt;0.087,0.087,COS(RADIANS(KR49)))</f>
        <v>8.6999999999999994E-2</v>
      </c>
      <c r="LS49" s="88" t="e">
        <f>IF(LA49=1,$T$81,IF(LA49=2,$T$82,IF(LA49=3,$T$83,IF(LA49=4,$T$84,IF(LA49=5,$T$85,IF(LA49=6,$T$86,IF(LA49=7,$T$87,$T$88)))))))</f>
        <v>#DIV/0!</v>
      </c>
      <c r="LT49" s="88" t="e">
        <f>IF(LA49=1,$U$81,IF(LA49=2,$U$82,IF(LA49=3,$U$83,IF(LA49=4,$U$84,IF(LA49=5,$U$85,IF(LA49=6,$U$86,IF(LA49=7,$U$87,$U$88)))))))</f>
        <v>#DIV/0!</v>
      </c>
      <c r="LU49" s="88" t="e">
        <f>IF(LA49=1,$V$81,IF(LA49=2,$V$82,IF(LA49=3,$V$83,IF(LA49=4,$V$84,IF(LA49=5,$V$85,IF(LA49=6,$V$86,IF(LA49=7,$V$87,$V$88)))))))</f>
        <v>#DIV/0!</v>
      </c>
      <c r="LV49" s="88" t="e">
        <f>IF(LA49=1,$W$81,IF(LA49=2,$W$82,IF(LA49=3,$W$83,IF(LA49=4,$W$84,IF(LA49=5,$W$85,IF(LA49=6,$W$86,IF(LA49=7,$W$87,$W$88)))))))</f>
        <v>#DIV/0!</v>
      </c>
      <c r="LW49" s="88" t="e">
        <f>IF(LA49=1,$X$81,IF(LA49=2,$X$82,IF(LA49=3,$X$83,IF(LA49=4,$X$84,IF(LA49=5,$X$85,IF(LA49=6,$X$86,IF(LA49=7,$X$87,$X$88)))))))</f>
        <v>#DIV/0!</v>
      </c>
      <c r="LX49" s="88" t="e">
        <f>IF(LA49=1,$Y$81,IF(LA49=2,$Y$82,IF(LA49=3,$Y$83,IF(LA49=4,$Y$84,IF(LA49=5,$Y$85,IF(LA49=6,$Y$86,IF(LA49=7,$Y$87,$Y$88)))))))</f>
        <v>#DIV/0!</v>
      </c>
      <c r="LY49" s="88" t="e">
        <f t="shared" ref="LY49:LY72" si="539">IF(LS49+LT49*KW49+LU49*RADIANS(KR49)&lt;0,0,LS49+LT49*KW49+LU49*RADIANS(KR49))</f>
        <v>#DIV/0!</v>
      </c>
      <c r="LZ49" s="88" t="e">
        <f t="shared" ref="LZ49:LZ72" si="540">LV49+LW49*KW49+LX49*RADIANS(KR49)</f>
        <v>#DIV/0!</v>
      </c>
      <c r="MA49" s="88">
        <f t="shared" ref="MA49:MA72" si="541">IF(KP49&lt;0,0,((0.5*(1-LY49)*(1+COS(RADIANS($KW$46))))+(LY49*(LQ49/LR49))+(LZ49*SIN(RADIANS($KW$46))))*LM49)</f>
        <v>0</v>
      </c>
      <c r="MB49" s="88" t="e">
        <f t="shared" ref="MB49:MB54" si="542">IF(LA49=1,$AB$81,IF(LA49=2,$AB$82,IF(LA49=3,$AB$83,IF(LA49=4,$AB$84,IF(LA49=5,$AB$85,IF(LA49=6,$AB$86,IF(LA49=7,$AB$87,$AB$88)))))))</f>
        <v>#DIV/0!</v>
      </c>
      <c r="MC49" s="88" t="e">
        <f t="shared" ref="MC49:MC54" si="543">IF(LA49=1,$AC$81,IF(LA49=2,$AC$82,IF(LA49=3,$AC$83,IF(LA49=4,$AC$84,IF(LA49=5,$AC$85,IF(LA49=6,$AC$86,IF(LA49=7,$AC$87,$AC$88)))))))</f>
        <v>#DIV/0!</v>
      </c>
      <c r="MD49" s="88" t="e">
        <f t="shared" ref="MD49:MD54" si="544">IF(LA49=1,$AD$81,IF(LA49=2,$AD$82,IF(LA49=3,$AD$83,IF(LA49=4,$AD$84,IF(LA49=5,$AD$85,IF(LA49=6,$AD$86,IF(LA49=7,$AD$87,$AD$88)))))))</f>
        <v>#DIV/0!</v>
      </c>
      <c r="ME49" s="88" t="e">
        <f t="shared" ref="ME49:ME54" si="545">IF(LA49=1,$AE$81,IF(LA49=2,$AE$82,IF(LA49=3,$AE$83,IF(LA49=4,$AE$84,IF(LA49=5,$AE$85,IF(LA49=6,$AE$86,IF(LA49=7,$AE$87,$AE$88)))))))</f>
        <v>#DIV/0!</v>
      </c>
      <c r="MF49" s="88" t="e">
        <f t="shared" ref="MF49:MF54" si="546">IF(LA49=1,$AF$81,IF(LA49=2,$AF$82,IF(LA49=3,$AF$83,IF(LA49=4,$AF$84,IF(LA49=5,$AF$85,IF(LA49=6,$AF$86,IF(LA49=7,$AF$87,$AF$88)))))))</f>
        <v>#DIV/0!</v>
      </c>
      <c r="MG49" s="88" t="e">
        <f t="shared" ref="MG49:MG54" si="547">IF(LA49=1,$AG$81,IF(LA49=2,$AG$82,IF(LA49=3,$AG$83,IF(LA49=4,$AG$84,IF(LA49=5,$AG$85,IF(LA49=6,$AG$86,IF(LA49=7,$AG$87,$AG$88)))))))</f>
        <v>#DIV/0!</v>
      </c>
      <c r="MH49" s="88" t="e">
        <f t="shared" ref="MH49:MH72" si="548">IF(MB49+MC49*KW49+MD49*RADIANS(KR49)&lt;0,0,MB49+MC49*KW49+MD49*RADIANS(KR49))</f>
        <v>#DIV/0!</v>
      </c>
      <c r="MI49" s="88" t="e">
        <f t="shared" ref="MI49:MI72" si="549">ME49+MF49*KW49+MG49*RADIANS(KR49)</f>
        <v>#DIV/0!</v>
      </c>
      <c r="MJ49" s="88">
        <f>IF(KP49&lt;0,0,((0.5*(1-MH49)*(1+COS(RADIANS($KW$46))))+(MH49*(LQ49/LR49))+(MI49*SIN(RADIANS($KW$46))))*'Irradiancia Horizontal'!N41)</f>
        <v>0</v>
      </c>
      <c r="MK49" s="88">
        <f t="shared" ref="MK49:MK72" si="550">LQ49/COS(RADIANS(KR49))</f>
        <v>0</v>
      </c>
      <c r="ML49" s="88">
        <f>MK49*'Irradiancia Horizontal'!N70</f>
        <v>0</v>
      </c>
      <c r="MM49" s="88">
        <f>+MJ49+ML49</f>
        <v>0</v>
      </c>
      <c r="MN49" s="88">
        <f t="shared" ref="MN49:MN72" si="551">IF(KP49&lt;0,0,MM49*LF49)</f>
        <v>0</v>
      </c>
      <c r="MO49" s="88">
        <f>MN49-MA49</f>
        <v>0</v>
      </c>
      <c r="MP49" s="106">
        <f>LN49/COS(RADIANS(KR49))</f>
        <v>0</v>
      </c>
      <c r="MQ49" s="106">
        <f>IF(LP49&lt;0,0,MP49*LP49)</f>
        <v>0</v>
      </c>
      <c r="MR49" s="106">
        <f>MQ49+MA49</f>
        <v>0</v>
      </c>
    </row>
    <row r="50" spans="1:356" x14ac:dyDescent="0.25">
      <c r="E50" s="39">
        <v>8.3333333333333301E-2</v>
      </c>
      <c r="F50" s="38">
        <v>150</v>
      </c>
      <c r="G50" s="38">
        <f t="shared" si="378"/>
        <v>-32.646169918095012</v>
      </c>
      <c r="H50" s="38">
        <f t="shared" si="379"/>
        <v>33.808490976895825</v>
      </c>
      <c r="I50" s="38">
        <f t="shared" si="380"/>
        <v>122.64616991809501</v>
      </c>
      <c r="J50" s="38">
        <f>+'Irradiancia Horizontal'!I71/COS(RADIANS(I50))</f>
        <v>0</v>
      </c>
      <c r="K50" s="38" t="e">
        <f>((('Irradiancia Horizontal'!I42+J50)/'Irradiancia Horizontal'!I42)+1.041*((RADIANS('Cálculos iluminancia'!I50))^3))/(1+1.041*((RADIANS('Cálculos iluminancia'!I50))^3))</f>
        <v>#DIV/0!</v>
      </c>
      <c r="L50" s="87" t="e">
        <f t="shared" si="381"/>
        <v>#NUM!</v>
      </c>
      <c r="M50" s="87" t="e">
        <f t="shared" ref="M50:M54" si="552">L50*$K$46</f>
        <v>#NUM!</v>
      </c>
      <c r="N50" s="106" t="e">
        <f>'Irradiancia Horizontal'!I42*M50/$L$46</f>
        <v>#NUM!</v>
      </c>
      <c r="O50" s="87">
        <f>((17.27*Temp!H12)/(237.7+Temp!H12))+LN(HR!H23/100)</f>
        <v>1.2663424085038546</v>
      </c>
      <c r="P50" s="87">
        <f t="shared" ref="P50:P72" si="553">(237.7*O50)/(17.27-O50)</f>
        <v>18.80879972471503</v>
      </c>
      <c r="Q50" s="87">
        <f t="shared" ref="Q50:Q72" si="554">EXP((0.07*P50)-0.075)</f>
        <v>3.4612021839472997</v>
      </c>
      <c r="R50" s="87" t="e">
        <f t="shared" si="382"/>
        <v>#DIV/0!</v>
      </c>
      <c r="S50" s="87" t="e">
        <f t="shared" si="383"/>
        <v>#DIV/0!</v>
      </c>
      <c r="T50" s="87" t="e">
        <f t="shared" si="384"/>
        <v>#DIV/0!</v>
      </c>
      <c r="U50" s="87" t="e">
        <f t="shared" si="385"/>
        <v>#DIV/0!</v>
      </c>
      <c r="V50" s="87" t="e">
        <f t="shared" si="386"/>
        <v>#DIV/0!</v>
      </c>
      <c r="W50" s="103">
        <f t="shared" si="387"/>
        <v>0</v>
      </c>
      <c r="X50" s="165">
        <f>IF(AD50&gt;(W50*'Irradiancia Horizontal'!I10),AD50,W50*'Irradiancia Horizontal'!I10)</f>
        <v>0</v>
      </c>
      <c r="Y50" s="87" t="e">
        <f t="shared" si="388"/>
        <v>#DIV/0!</v>
      </c>
      <c r="Z50" s="87" t="e">
        <f t="shared" si="389"/>
        <v>#DIV/0!</v>
      </c>
      <c r="AA50" s="87" t="e">
        <f t="shared" si="390"/>
        <v>#DIV/0!</v>
      </c>
      <c r="AB50" s="87" t="e">
        <f t="shared" si="391"/>
        <v>#DIV/0!</v>
      </c>
      <c r="AC50" s="103">
        <f t="shared" si="392"/>
        <v>0</v>
      </c>
      <c r="AD50" s="87">
        <f>+AC50*'Irradiancia Horizontal'!I42</f>
        <v>0</v>
      </c>
      <c r="AE50" s="87">
        <f t="shared" si="393"/>
        <v>0</v>
      </c>
      <c r="AF50" s="87" t="e">
        <f>+AE50/'Irradiancia Horizontal'!I71</f>
        <v>#DIV/0!</v>
      </c>
      <c r="AG50" s="38">
        <f t="shared" ref="AG50:AG72" si="555">SIN(RADIANS($G$46))*SIN(RADIANS($H$46))*COS(RADIANS($N$46))-SIN(RADIANS($G$46))*COS(RADIANS($H$46))*SIN(RADIANS($N$46))*COS(RADIANS($M$46))+COS(RADIANS($G$46))*COS(RADIANS($H$46))*COS(RADIANS($N$46))*COS(RADIANS(F50))+COS(RADIANS($G$46))*SIN(RADIANS($H$46))*SIN(RADIANS($N$46))*COS(RADIANS($M$46))*COS(RADIANS(F50))+COS(RADIANS($G$46))*SIN(RADIANS($N$46))*SIN(RADIANS($M$46))*SIN(RADIANS(F50))</f>
        <v>-0.69963443419874294</v>
      </c>
      <c r="AH50" s="87">
        <f t="shared" ref="AH50:AH72" si="556">IF(AG50&lt;0,0,AG50)</f>
        <v>0</v>
      </c>
      <c r="AI50" s="87">
        <f t="shared" ref="AI50:AI72" si="557">IF(COS(RADIANS(I50))&lt;0.087,0.087,COS(RADIANS(I50)))</f>
        <v>8.6999999999999994E-2</v>
      </c>
      <c r="AJ50" s="87" t="e">
        <f t="shared" ref="AJ50:AJ72" si="558">IF(R50=1,$T$81,IF(R50=2,$T$82,IF(R50=3,$T$83,IF(R50=4,$T$84,IF(R50=5,$T$85,IF(R50=6,$T$86,IF(R50=7,$T$87,$T$88)))))))</f>
        <v>#DIV/0!</v>
      </c>
      <c r="AK50" s="87" t="e">
        <f t="shared" ref="AK50:AK72" si="559">IF(R50=1,$U$81,IF(R50=2,$U$82,IF(R50=3,$U$83,IF(R50=4,$U$84,IF(R50=5,$U$85,IF(R50=6,$U$86,IF(R50=7,$U$87,$U$88)))))))</f>
        <v>#DIV/0!</v>
      </c>
      <c r="AL50" s="87" t="e">
        <f t="shared" ref="AL50:AL72" si="560">IF(R50=1,$V$81,IF(R50=2,$V$82,IF(R50=3,$V$83,IF(R50=4,$V$84,IF(R50=5,$V$85,IF(R50=6,$V$86,IF(R50=7,$V$87,$V$88)))))))</f>
        <v>#DIV/0!</v>
      </c>
      <c r="AM50" s="87" t="e">
        <f t="shared" ref="AM50:AM72" si="561">IF(R50=1,$W$81,IF(R50=2,$W$82,IF(R50=3,$W$83,IF(R50=4,$W$84,IF(R50=5,$W$85,IF(R50=6,$W$86,IF(R50=7,$W$87,$W$88)))))))</f>
        <v>#DIV/0!</v>
      </c>
      <c r="AN50" s="87" t="e">
        <f t="shared" ref="AN50:AN72" si="562">IF(R50=1,$X$81,IF(R50=2,$X$82,IF(R50=3,$X$83,IF(R50=4,$X$84,IF(R50=5,$X$85,IF(R50=6,$X$86,IF(R50=7,$X$87,$X$88)))))))</f>
        <v>#DIV/0!</v>
      </c>
      <c r="AO50" s="87" t="e">
        <f t="shared" ref="AO50:AO72" si="563">IF(R50=1,$Y$81,IF(R50=2,$Y$82,IF(R50=3,$Y$83,IF(R50=4,$Y$84,IF(R50=5,$Y$85,IF(R50=6,$Y$86,IF(R50=7,$Y$87,$Y$88)))))))</f>
        <v>#DIV/0!</v>
      </c>
      <c r="AP50" s="87" t="e">
        <f t="shared" si="394"/>
        <v>#DIV/0!</v>
      </c>
      <c r="AQ50" s="87" t="e">
        <f t="shared" si="395"/>
        <v>#DIV/0!</v>
      </c>
      <c r="AR50" s="88">
        <f t="shared" si="396"/>
        <v>0</v>
      </c>
      <c r="AS50" s="87" t="e">
        <f t="shared" si="397"/>
        <v>#DIV/0!</v>
      </c>
      <c r="AT50" s="87" t="e">
        <f t="shared" si="398"/>
        <v>#DIV/0!</v>
      </c>
      <c r="AU50" s="87" t="e">
        <f t="shared" si="399"/>
        <v>#DIV/0!</v>
      </c>
      <c r="AV50" s="87" t="e">
        <f t="shared" si="400"/>
        <v>#DIV/0!</v>
      </c>
      <c r="AW50" s="87" t="e">
        <f t="shared" si="401"/>
        <v>#DIV/0!</v>
      </c>
      <c r="AX50" s="87" t="e">
        <f t="shared" si="402"/>
        <v>#DIV/0!</v>
      </c>
      <c r="AY50" s="87" t="e">
        <f t="shared" si="403"/>
        <v>#DIV/0!</v>
      </c>
      <c r="AZ50" s="87" t="e">
        <f t="shared" si="404"/>
        <v>#DIV/0!</v>
      </c>
      <c r="BA50" s="106">
        <f>IF(G50&lt;0,0,((0.5*(1-AY50)*(1+COS(RADIANS($N$46))))+(AY50*(AH50/AI50))+(AZ50*SIN(RADIANS($N$46))))*'Irradiancia Horizontal'!I42)</f>
        <v>0</v>
      </c>
      <c r="BB50" s="87">
        <f t="shared" si="405"/>
        <v>0</v>
      </c>
      <c r="BC50" s="87">
        <f>BB50*'Irradiancia Horizontal'!I71</f>
        <v>0</v>
      </c>
      <c r="BD50" s="87">
        <f t="shared" ref="BD50:BD72" si="564">+BA50+BC50</f>
        <v>0</v>
      </c>
      <c r="BE50" s="88">
        <f t="shared" si="406"/>
        <v>0</v>
      </c>
      <c r="BF50" s="87">
        <f t="shared" ref="BF50:BF72" si="565">BE50-AR50</f>
        <v>0</v>
      </c>
      <c r="BG50" s="106">
        <f t="shared" ref="BG50:BG72" si="566">AE50/COS(RADIANS(I50))</f>
        <v>0</v>
      </c>
      <c r="BH50" s="106">
        <f t="shared" ref="BH50:BH72" si="567">IF(AG50&lt;0,0,BG50*AG50)</f>
        <v>0</v>
      </c>
      <c r="BI50" s="106">
        <f t="shared" ref="BI50:BI72" si="568">BH50+AR50</f>
        <v>0</v>
      </c>
      <c r="BJ50" s="44"/>
      <c r="BL50" s="39">
        <v>8.3333333333333301E-2</v>
      </c>
      <c r="BM50" s="38">
        <v>150</v>
      </c>
      <c r="BN50" s="38">
        <f t="shared" si="407"/>
        <v>-39.939246849075218</v>
      </c>
      <c r="BO50" s="38">
        <f t="shared" si="408"/>
        <v>39.676284442541061</v>
      </c>
      <c r="BP50" s="38">
        <f t="shared" si="409"/>
        <v>129.93924684907523</v>
      </c>
      <c r="BQ50" s="38">
        <f>+'Irradiancia Horizontal'!J71/COS(RADIANS(BP50))</f>
        <v>0</v>
      </c>
      <c r="BR50" s="38" t="e">
        <f>((('Irradiancia Horizontal'!J42+BQ50)/'Irradiancia Horizontal'!J42)+1.041*((RADIANS('Cálculos iluminancia'!BP50))^3))/(1+1.041*((RADIANS('Cálculos iluminancia'!BP50))^3))</f>
        <v>#DIV/0!</v>
      </c>
      <c r="BS50" s="87" t="e">
        <f t="shared" si="410"/>
        <v>#NUM!</v>
      </c>
      <c r="BT50" s="87" t="e">
        <f t="shared" ref="BT50:BT72" si="569">BS50*$BR$46</f>
        <v>#NUM!</v>
      </c>
      <c r="BU50" s="106" t="e">
        <f>'Irradiancia Horizontal'!J42*BT50/$BS$46</f>
        <v>#NUM!</v>
      </c>
      <c r="BV50" s="87">
        <f>((17.27*Temp!I12)/(237.7+Temp!I12))+LN(HR!I23/100)</f>
        <v>1.4321777366763391</v>
      </c>
      <c r="BW50" s="87">
        <f t="shared" ref="BW50:BW72" si="570">(237.7*BV50)/(17.27-BV50)</f>
        <v>21.49466273505994</v>
      </c>
      <c r="BX50" s="87">
        <f t="shared" ref="BX50:BX72" si="571">EXP((0.07*BW50)-0.075)</f>
        <v>4.1771382857968895</v>
      </c>
      <c r="BY50" s="87" t="e">
        <f t="shared" si="411"/>
        <v>#DIV/0!</v>
      </c>
      <c r="BZ50" s="87" t="e">
        <f t="shared" si="412"/>
        <v>#DIV/0!</v>
      </c>
      <c r="CA50" s="87" t="e">
        <f t="shared" si="413"/>
        <v>#DIV/0!</v>
      </c>
      <c r="CB50" s="87" t="e">
        <f t="shared" si="414"/>
        <v>#DIV/0!</v>
      </c>
      <c r="CC50" s="87" t="e">
        <f t="shared" si="415"/>
        <v>#DIV/0!</v>
      </c>
      <c r="CD50" s="103">
        <f t="shared" si="416"/>
        <v>0</v>
      </c>
      <c r="CE50" s="165">
        <f>IF(CK50&gt;(CD50*'Irradiancia Horizontal'!J10),CK50,CD50*'Irradiancia Horizontal'!J10)</f>
        <v>0</v>
      </c>
      <c r="CF50" s="87" t="e">
        <f t="shared" si="417"/>
        <v>#DIV/0!</v>
      </c>
      <c r="CG50" s="87" t="e">
        <f t="shared" si="418"/>
        <v>#DIV/0!</v>
      </c>
      <c r="CH50" s="87" t="e">
        <f t="shared" si="419"/>
        <v>#DIV/0!</v>
      </c>
      <c r="CI50" s="87" t="e">
        <f t="shared" si="420"/>
        <v>#DIV/0!</v>
      </c>
      <c r="CJ50" s="103">
        <f t="shared" si="421"/>
        <v>0</v>
      </c>
      <c r="CK50" s="87">
        <f>+CJ50*'Irradiancia Horizontal'!J42</f>
        <v>0</v>
      </c>
      <c r="CL50" s="87">
        <f t="shared" ref="CL50:CL72" si="572">CE50-CK50</f>
        <v>0</v>
      </c>
      <c r="CM50" s="87" t="e">
        <f>+CL50/'Irradiancia Horizontal'!J71</f>
        <v>#DIV/0!</v>
      </c>
      <c r="CN50" s="38">
        <f t="shared" si="422"/>
        <v>-0.59012099387589756</v>
      </c>
      <c r="CO50" s="87">
        <f t="shared" ref="CO50:CO72" si="573">IF(CN50&lt;0,0,CN50)</f>
        <v>0</v>
      </c>
      <c r="CP50" s="87">
        <f t="shared" ref="CP50:CP72" si="574">IF(COS(RADIANS(BP50))&lt;0.087,0.087,COS(RADIANS(BP50)))</f>
        <v>8.6999999999999994E-2</v>
      </c>
      <c r="CQ50" s="87" t="e">
        <f t="shared" ref="CQ50:CQ72" si="575">IF(BY50=1,$T$81,IF(BY50=2,$T$82,IF(BY50=3,$T$83,IF(BY50=4,$T$84,IF(BY50=5,$T$85,IF(BY50=6,$T$86,IF(BY50=7,$T$87,$T$88)))))))</f>
        <v>#DIV/0!</v>
      </c>
      <c r="CR50" s="87" t="e">
        <f t="shared" ref="CR50:CR72" si="576">IF(BY50=1,$U$81,IF(BY50=2,$U$82,IF(BY50=3,$U$83,IF(BY50=4,$U$84,IF(BY50=5,$U$85,IF(BY50=6,$U$86,IF(BY50=7,$U$87,$U$88)))))))</f>
        <v>#DIV/0!</v>
      </c>
      <c r="CS50" s="87" t="e">
        <f t="shared" ref="CS50:CS72" si="577">IF(BY50=1,$V$81,IF(BY50=2,$V$82,IF(BY50=3,$V$83,IF(BY50=4,$V$84,IF(BY50=5,$V$85,IF(BY50=6,$V$86,IF(BY50=7,$V$87,$V$88)))))))</f>
        <v>#DIV/0!</v>
      </c>
      <c r="CT50" s="87" t="e">
        <f t="shared" ref="CT50:CT72" si="578">IF(BY50=1,$W$81,IF(BY50=2,$W$82,IF(BY50=3,$W$83,IF(BY50=4,$W$84,IF(BY50=5,$W$85,IF(BY50=6,$W$86,IF(BY50=7,$W$87,$W$88)))))))</f>
        <v>#DIV/0!</v>
      </c>
      <c r="CU50" s="87" t="e">
        <f t="shared" ref="CU50:CU72" si="579">IF(BY50=1,$X$81,IF(BY50=2,$X$82,IF(BY50=3,$X$83,IF(BY50=4,$X$84,IF(BY50=5,$X$85,IF(BY50=6,$X$86,IF(BY50=7,$X$87,$X$88)))))))</f>
        <v>#DIV/0!</v>
      </c>
      <c r="CV50" s="87" t="e">
        <f t="shared" ref="CV50:CV72" si="580">IF(BY50=1,$Y$81,IF(BY50=2,$Y$82,IF(BY50=3,$Y$83,IF(BY50=4,$Y$84,IF(BY50=5,$Y$85,IF(BY50=6,$Y$86,IF(BY50=7,$Y$87,$Y$88)))))))</f>
        <v>#DIV/0!</v>
      </c>
      <c r="CW50" s="87" t="e">
        <f t="shared" si="423"/>
        <v>#DIV/0!</v>
      </c>
      <c r="CX50" s="87" t="e">
        <f t="shared" si="424"/>
        <v>#DIV/0!</v>
      </c>
      <c r="CY50" s="88">
        <f t="shared" si="425"/>
        <v>0</v>
      </c>
      <c r="CZ50" s="87" t="e">
        <f t="shared" si="426"/>
        <v>#DIV/0!</v>
      </c>
      <c r="DA50" s="87" t="e">
        <f t="shared" si="427"/>
        <v>#DIV/0!</v>
      </c>
      <c r="DB50" s="87" t="e">
        <f t="shared" si="428"/>
        <v>#DIV/0!</v>
      </c>
      <c r="DC50" s="87" t="e">
        <f t="shared" si="429"/>
        <v>#DIV/0!</v>
      </c>
      <c r="DD50" s="87" t="e">
        <f t="shared" si="430"/>
        <v>#DIV/0!</v>
      </c>
      <c r="DE50" s="87" t="e">
        <f t="shared" si="431"/>
        <v>#DIV/0!</v>
      </c>
      <c r="DF50" s="87" t="e">
        <f t="shared" si="432"/>
        <v>#DIV/0!</v>
      </c>
      <c r="DG50" s="87" t="e">
        <f t="shared" si="433"/>
        <v>#DIV/0!</v>
      </c>
      <c r="DH50" s="106">
        <f>IF(BN50&lt;0,0,((0.5*(1-DF50)*(1+COS(RADIANS($BU$46))))+(DF50*(CO50/CP50))+(DG50*SIN(RADIANS($BU$46))))*'Irradiancia Horizontal'!J42)</f>
        <v>0</v>
      </c>
      <c r="DI50" s="87">
        <f t="shared" si="434"/>
        <v>0</v>
      </c>
      <c r="DJ50" s="87">
        <f>DI50*'Irradiancia Horizontal'!J71</f>
        <v>0</v>
      </c>
      <c r="DK50" s="87">
        <f t="shared" ref="DK50:DK72" si="581">+DH50+DJ50</f>
        <v>0</v>
      </c>
      <c r="DL50" s="88">
        <f t="shared" si="435"/>
        <v>0</v>
      </c>
      <c r="DM50" s="87">
        <f t="shared" ref="DM50:DM72" si="582">DL50-CY50</f>
        <v>0</v>
      </c>
      <c r="DN50" s="106">
        <f t="shared" ref="DN50:DN72" si="583">CL50/COS(RADIANS(BP50))</f>
        <v>0</v>
      </c>
      <c r="DO50" s="106">
        <f t="shared" ref="DO50:DO72" si="584">IF(CN50&lt;0,0,DN50*CN50)</f>
        <v>0</v>
      </c>
      <c r="DP50" s="106">
        <f t="shared" ref="DP50:DP72" si="585">DO50+CY50</f>
        <v>0</v>
      </c>
      <c r="DQ50" s="44"/>
      <c r="DS50" s="39">
        <v>8.3333333333333301E-2</v>
      </c>
      <c r="DT50" s="38">
        <v>150</v>
      </c>
      <c r="DU50" s="38">
        <f t="shared" si="436"/>
        <v>-49.337708282446648</v>
      </c>
      <c r="DV50" s="38">
        <f t="shared" si="437"/>
        <v>50.115439938979534</v>
      </c>
      <c r="DW50" s="38">
        <f t="shared" si="438"/>
        <v>139.33770828244664</v>
      </c>
      <c r="DX50" s="38">
        <f>+'Irradiancia Horizontal'!K71/COS(RADIANS(DW50))</f>
        <v>0</v>
      </c>
      <c r="DY50" s="38" t="e">
        <f>((('Irradiancia Horizontal'!K42+DX50)/'Irradiancia Horizontal'!K42)+1.041*((RADIANS('Cálculos iluminancia'!DW50))^3))/(1+1.041*((RADIANS('Cálculos iluminancia'!DW50))^3))</f>
        <v>#DIV/0!</v>
      </c>
      <c r="DZ50" s="87" t="e">
        <f t="shared" si="439"/>
        <v>#NUM!</v>
      </c>
      <c r="EA50" s="87" t="e">
        <f t="shared" ref="EA50:EA72" si="586">DZ50*$DY$46</f>
        <v>#NUM!</v>
      </c>
      <c r="EB50" s="106" t="e">
        <f>'Irradiancia Horizontal'!K42*EA50/$DZ$46</f>
        <v>#NUM!</v>
      </c>
      <c r="EC50" s="87">
        <f>((17.27*Temp!J12)/(237.7+Temp!J12))+LN(HR!J23/100)</f>
        <v>1.3028342480060628</v>
      </c>
      <c r="ED50" s="87">
        <f t="shared" ref="ED50:ED72" si="587">(237.7*EC50)/(17.27-EC50)</f>
        <v>19.395032628904012</v>
      </c>
      <c r="EE50" s="87">
        <f t="shared" ref="EE50:EE72" si="588">EXP((0.07*ED50)-0.075)</f>
        <v>3.60619169732241</v>
      </c>
      <c r="EF50" s="87" t="e">
        <f t="shared" si="440"/>
        <v>#DIV/0!</v>
      </c>
      <c r="EG50" s="87" t="e">
        <f t="shared" si="441"/>
        <v>#DIV/0!</v>
      </c>
      <c r="EH50" s="87" t="e">
        <f t="shared" si="442"/>
        <v>#DIV/0!</v>
      </c>
      <c r="EI50" s="87" t="e">
        <f t="shared" si="443"/>
        <v>#DIV/0!</v>
      </c>
      <c r="EJ50" s="87" t="e">
        <f t="shared" si="444"/>
        <v>#DIV/0!</v>
      </c>
      <c r="EK50" s="103">
        <f t="shared" si="445"/>
        <v>0</v>
      </c>
      <c r="EL50" s="165">
        <f>IF(ER50&gt;(EK50*'Irradiancia Horizontal'!K10),ER50,EK50*'Irradiancia Horizontal'!K10)</f>
        <v>0</v>
      </c>
      <c r="EM50" s="87" t="e">
        <f t="shared" si="446"/>
        <v>#DIV/0!</v>
      </c>
      <c r="EN50" s="87" t="e">
        <f t="shared" si="447"/>
        <v>#DIV/0!</v>
      </c>
      <c r="EO50" s="87" t="e">
        <f t="shared" si="448"/>
        <v>#DIV/0!</v>
      </c>
      <c r="EP50" s="87" t="e">
        <f t="shared" si="449"/>
        <v>#DIV/0!</v>
      </c>
      <c r="EQ50" s="103">
        <f t="shared" si="450"/>
        <v>0</v>
      </c>
      <c r="ER50" s="87">
        <f>+EQ50*'Irradiancia Horizontal'!K42</f>
        <v>0</v>
      </c>
      <c r="ES50" s="87">
        <f t="shared" ref="ES50:ES72" si="589">EL50-ER50</f>
        <v>0</v>
      </c>
      <c r="ET50" s="87" t="e">
        <f>+ES50/'Irradiancia Horizontal'!K71</f>
        <v>#DIV/0!</v>
      </c>
      <c r="EU50" s="38">
        <f t="shared" si="451"/>
        <v>-0.41783341374630062</v>
      </c>
      <c r="EV50" s="87">
        <f t="shared" ref="EV50:EV72" si="590">IF(EU50&lt;0,0,EU50)</f>
        <v>0</v>
      </c>
      <c r="EW50" s="87">
        <f t="shared" ref="EW50:EW72" si="591">IF(COS(RADIANS(DW50))&lt;0.087,0.087,COS(RADIANS(DW50)))</f>
        <v>8.6999999999999994E-2</v>
      </c>
      <c r="EX50" s="87" t="e">
        <f t="shared" ref="EX50:EX72" si="592">IF(EF50=1,$T$81,IF(EF50=2,$T$82,IF(EF50=3,$T$83,IF(EF50=4,$T$84,IF(EF50=5,$T$85,IF(EF50=6,$T$86,IF(EF50=7,$T$87,$T$88)))))))</f>
        <v>#DIV/0!</v>
      </c>
      <c r="EY50" s="87" t="e">
        <f t="shared" ref="EY50:EY72" si="593">IF(EF50=1,$U$81,IF(EF50=2,$U$82,IF(EF50=3,$U$83,IF(EF50=4,$U$84,IF(EF50=5,$U$85,IF(EF50=6,$U$86,IF(EF50=7,$U$87,$U$88)))))))</f>
        <v>#DIV/0!</v>
      </c>
      <c r="EZ50" s="87" t="e">
        <f t="shared" ref="EZ50:EZ72" si="594">IF(EF50=1,$V$81,IF(EF50=2,$V$82,IF(EF50=3,$V$83,IF(EF50=4,$V$84,IF(EF50=5,$V$85,IF(EF50=6,$V$86,IF(EF50=7,$V$87,$V$88)))))))</f>
        <v>#DIV/0!</v>
      </c>
      <c r="FA50" s="87" t="e">
        <f t="shared" ref="FA50:FA72" si="595">IF(EF50=1,$W$81,IF(EF50=2,$W$82,IF(EF50=3,$W$83,IF(EF50=4,$W$84,IF(EF50=5,$W$85,IF(EF50=6,$W$86,IF(EF50=7,$W$87,$W$88)))))))</f>
        <v>#DIV/0!</v>
      </c>
      <c r="FB50" s="87" t="e">
        <f t="shared" ref="FB50:FB72" si="596">IF(EF50=1,$X$81,IF(EF50=2,$X$82,IF(EF50=3,$X$83,IF(EF50=4,$X$84,IF(EF50=5,$X$85,IF(EF50=6,$X$86,IF(EF50=7,$X$87,$X$88)))))))</f>
        <v>#DIV/0!</v>
      </c>
      <c r="FC50" s="87" t="e">
        <f t="shared" ref="FC50:FC72" si="597">IF(EF50=1,$Y$81,IF(EF50=2,$Y$82,IF(EF50=3,$Y$83,IF(EF50=4,$Y$84,IF(EF50=5,$Y$85,IF(EF50=6,$Y$86,IF(EF50=7,$Y$87,$Y$88)))))))</f>
        <v>#DIV/0!</v>
      </c>
      <c r="FD50" s="87" t="e">
        <f t="shared" si="452"/>
        <v>#DIV/0!</v>
      </c>
      <c r="FE50" s="87" t="e">
        <f t="shared" si="453"/>
        <v>#DIV/0!</v>
      </c>
      <c r="FF50" s="88">
        <f t="shared" si="454"/>
        <v>0</v>
      </c>
      <c r="FG50" s="87" t="e">
        <f t="shared" si="455"/>
        <v>#DIV/0!</v>
      </c>
      <c r="FH50" s="87" t="e">
        <f t="shared" si="456"/>
        <v>#DIV/0!</v>
      </c>
      <c r="FI50" s="87" t="e">
        <f t="shared" si="457"/>
        <v>#DIV/0!</v>
      </c>
      <c r="FJ50" s="87" t="e">
        <f t="shared" si="458"/>
        <v>#DIV/0!</v>
      </c>
      <c r="FK50" s="87" t="e">
        <f t="shared" si="459"/>
        <v>#DIV/0!</v>
      </c>
      <c r="FL50" s="87" t="e">
        <f t="shared" si="460"/>
        <v>#DIV/0!</v>
      </c>
      <c r="FM50" s="87" t="e">
        <f t="shared" si="461"/>
        <v>#DIV/0!</v>
      </c>
      <c r="FN50" s="87" t="e">
        <f t="shared" si="462"/>
        <v>#DIV/0!</v>
      </c>
      <c r="FO50" s="106">
        <f>IF(DU50&lt;0,0,((0.5*(1-FM50)*(1+COS(RADIANS($EB$46))))+(FM50*(EV50/EW50))+(FN50*SIN(RADIANS($EB$46))))*'Irradiancia Horizontal'!K42)</f>
        <v>0</v>
      </c>
      <c r="FP50" s="87">
        <f t="shared" si="463"/>
        <v>0</v>
      </c>
      <c r="FQ50" s="87">
        <f>FP50*'Irradiancia Horizontal'!K71</f>
        <v>0</v>
      </c>
      <c r="FR50" s="87">
        <f t="shared" ref="FR50:FR72" si="598">+FO50+FQ50</f>
        <v>0</v>
      </c>
      <c r="FS50" s="88">
        <f t="shared" si="464"/>
        <v>0</v>
      </c>
      <c r="FT50" s="87">
        <f t="shared" ref="FT50:FT72" si="599">FS50-FF50</f>
        <v>0</v>
      </c>
      <c r="FU50" s="106">
        <f t="shared" ref="FU50:FU72" si="600">ES50/COS(RADIANS(DW50))</f>
        <v>0</v>
      </c>
      <c r="FV50" s="106">
        <f t="shared" ref="FV50:FV72" si="601">IF(EU50&lt;0,0,FU50*EU50)</f>
        <v>0</v>
      </c>
      <c r="FW50" s="106">
        <f t="shared" ref="FW50:FW72" si="602">FV50+FF50</f>
        <v>0</v>
      </c>
      <c r="FX50" s="83"/>
      <c r="FZ50" s="39">
        <v>8.3333333333333301E-2</v>
      </c>
      <c r="GA50" s="38">
        <v>150</v>
      </c>
      <c r="GB50" s="38">
        <f t="shared" si="465"/>
        <v>-57.139651075019273</v>
      </c>
      <c r="GC50" s="38">
        <f t="shared" si="466"/>
        <v>64.445776384922439</v>
      </c>
      <c r="GD50" s="38">
        <f t="shared" si="467"/>
        <v>147.13965107501929</v>
      </c>
      <c r="GE50" s="38">
        <f>+'Irradiancia Horizontal'!L71/COS(RADIANS(GD50))</f>
        <v>0</v>
      </c>
      <c r="GF50" s="38" t="e">
        <f>((('Irradiancia Horizontal'!L42+GE50)/'Irradiancia Horizontal'!L42)+1.041*((RADIANS('Cálculos iluminancia'!GD50))^3))/(1+1.041*((RADIANS('Cálculos iluminancia'!GD50))^3))</f>
        <v>#DIV/0!</v>
      </c>
      <c r="GG50" s="88" t="e">
        <f t="shared" si="468"/>
        <v>#NUM!</v>
      </c>
      <c r="GH50" s="88" t="e">
        <f t="shared" ref="GH50:GH72" si="603">GG50*$GF$46</f>
        <v>#NUM!</v>
      </c>
      <c r="GI50" s="106" t="e">
        <f>'Irradiancia Horizontal'!L42*GH50/$GG$46</f>
        <v>#NUM!</v>
      </c>
      <c r="GJ50" s="88">
        <f>((17.27*Temp!K12)/(237.7+Temp!K12))+LN(HR!K23/100)</f>
        <v>0.94130278725082195</v>
      </c>
      <c r="GK50" s="88">
        <f t="shared" ref="GK50:GK72" si="604">(237.7*GJ50)/(17.27-GJ50)</f>
        <v>13.702726531962506</v>
      </c>
      <c r="GL50" s="88">
        <f t="shared" ref="GL50:GL72" si="605">EXP((0.07*GK50)-0.075)</f>
        <v>2.4210246441658301</v>
      </c>
      <c r="GM50" s="88" t="e">
        <f t="shared" si="469"/>
        <v>#DIV/0!</v>
      </c>
      <c r="GN50" s="88" t="e">
        <f t="shared" si="470"/>
        <v>#DIV/0!</v>
      </c>
      <c r="GO50" s="88" t="e">
        <f t="shared" si="471"/>
        <v>#DIV/0!</v>
      </c>
      <c r="GP50" s="88" t="e">
        <f t="shared" si="472"/>
        <v>#DIV/0!</v>
      </c>
      <c r="GQ50" s="88" t="e">
        <f t="shared" si="473"/>
        <v>#DIV/0!</v>
      </c>
      <c r="GR50" s="103">
        <f t="shared" si="474"/>
        <v>0</v>
      </c>
      <c r="GS50" s="165">
        <f>IF(GY50&gt;(GR50*'Irradiancia Horizontal'!L10),GY50,GR50*'Irradiancia Horizontal'!L10)</f>
        <v>0</v>
      </c>
      <c r="GT50" s="88" t="e">
        <f t="shared" si="475"/>
        <v>#DIV/0!</v>
      </c>
      <c r="GU50" s="88" t="e">
        <f t="shared" si="476"/>
        <v>#DIV/0!</v>
      </c>
      <c r="GV50" s="88" t="e">
        <f t="shared" si="477"/>
        <v>#DIV/0!</v>
      </c>
      <c r="GW50" s="88" t="e">
        <f t="shared" si="478"/>
        <v>#DIV/0!</v>
      </c>
      <c r="GX50" s="103">
        <f t="shared" si="479"/>
        <v>0</v>
      </c>
      <c r="GY50" s="88">
        <f>+GX50*'Irradiancia Horizontal'!L42</f>
        <v>0</v>
      </c>
      <c r="GZ50" s="88">
        <f t="shared" ref="GZ50:GZ72" si="606">GS50-GY50</f>
        <v>0</v>
      </c>
      <c r="HA50" s="88" t="e">
        <f>+GZ50/'Irradiancia Horizontal'!L71</f>
        <v>#DIV/0!</v>
      </c>
      <c r="HB50" s="38">
        <f t="shared" si="480"/>
        <v>-0.23405579551672329</v>
      </c>
      <c r="HC50" s="88">
        <f t="shared" ref="HC50:HC72" si="607">IF(HB50&lt;0,0,HB50)</f>
        <v>0</v>
      </c>
      <c r="HD50" s="88">
        <f t="shared" ref="HD50:HD72" si="608">IF(COS(RADIANS(GD50))&lt;0.087,0.087,COS(RADIANS(GD50)))</f>
        <v>8.6999999999999994E-2</v>
      </c>
      <c r="HE50" s="88" t="e">
        <f t="shared" ref="HE50:HE72" si="609">IF(GM50=1,$T$81,IF(GM50=2,$T$82,IF(GM50=3,$T$83,IF(GM50=4,$T$84,IF(GM50=5,$T$85,IF(GM50=6,$T$86,IF(GM50=7,$T$87,$T$88)))))))</f>
        <v>#DIV/0!</v>
      </c>
      <c r="HF50" s="88" t="e">
        <f t="shared" ref="HF50:HF72" si="610">IF(GM50=1,$U$81,IF(GM50=2,$U$82,IF(GM50=3,$U$83,IF(GM50=4,$U$84,IF(GM50=5,$U$85,IF(GM50=6,$U$86,IF(GM50=7,$U$87,$U$88)))))))</f>
        <v>#DIV/0!</v>
      </c>
      <c r="HG50" s="88" t="e">
        <f t="shared" ref="HG50:HG72" si="611">IF(GM50=1,$V$81,IF(GM50=2,$V$82,IF(GM50=3,$V$83,IF(GM50=4,$V$84,IF(GM50=5,$V$85,IF(GM50=6,$V$86,IF(GM50=7,$V$87,$V$88)))))))</f>
        <v>#DIV/0!</v>
      </c>
      <c r="HH50" s="88" t="e">
        <f t="shared" ref="HH50:HH72" si="612">IF(GM50=1,$W$81,IF(GM50=2,$W$82,IF(GM50=3,$W$83,IF(GM50=4,$W$84,IF(GM50=5,$W$85,IF(GM50=6,$W$86,IF(GM50=7,$W$87,$W$88)))))))</f>
        <v>#DIV/0!</v>
      </c>
      <c r="HI50" s="88" t="e">
        <f t="shared" ref="HI50:HI72" si="613">IF(GM50=1,$X$81,IF(GM50=2,$X$82,IF(GM50=3,$X$83,IF(GM50=4,$X$84,IF(GM50=5,$X$85,IF(GM50=6,$X$86,IF(GM50=7,$X$87,$X$88)))))))</f>
        <v>#DIV/0!</v>
      </c>
      <c r="HJ50" s="88" t="e">
        <f t="shared" ref="HJ50:HJ72" si="614">IF(GM50=1,$Y$81,IF(GM50=2,$Y$82,IF(GM50=3,$Y$83,IF(GM50=4,$Y$84,IF(GM50=5,$Y$85,IF(GM50=6,$Y$86,IF(GM50=7,$Y$87,$Y$88)))))))</f>
        <v>#DIV/0!</v>
      </c>
      <c r="HK50" s="88" t="e">
        <f t="shared" si="481"/>
        <v>#DIV/0!</v>
      </c>
      <c r="HL50" s="88" t="e">
        <f t="shared" si="482"/>
        <v>#DIV/0!</v>
      </c>
      <c r="HM50" s="88">
        <f t="shared" si="483"/>
        <v>0</v>
      </c>
      <c r="HN50" s="88" t="e">
        <f t="shared" si="484"/>
        <v>#DIV/0!</v>
      </c>
      <c r="HO50" s="88" t="e">
        <f t="shared" si="485"/>
        <v>#DIV/0!</v>
      </c>
      <c r="HP50" s="88" t="e">
        <f t="shared" si="486"/>
        <v>#DIV/0!</v>
      </c>
      <c r="HQ50" s="88" t="e">
        <f t="shared" si="487"/>
        <v>#DIV/0!</v>
      </c>
      <c r="HR50" s="88" t="e">
        <f t="shared" si="488"/>
        <v>#DIV/0!</v>
      </c>
      <c r="HS50" s="88" t="e">
        <f t="shared" si="489"/>
        <v>#DIV/0!</v>
      </c>
      <c r="HT50" s="88" t="e">
        <f t="shared" si="490"/>
        <v>#DIV/0!</v>
      </c>
      <c r="HU50" s="88" t="e">
        <f t="shared" si="491"/>
        <v>#DIV/0!</v>
      </c>
      <c r="HV50" s="106">
        <f>IF(GB50&lt;0,0,((0.5*(1-HT50)*(1+COS(RADIANS($GI$46))))+(HT50*(HC50/HD50))+(HU50*SIN(RADIANS($GI$46))))*'Irradiancia Horizontal'!L42)</f>
        <v>0</v>
      </c>
      <c r="HW50" s="88">
        <f t="shared" si="492"/>
        <v>0</v>
      </c>
      <c r="HX50" s="88">
        <f>HW50*'Irradiancia Horizontal'!L71</f>
        <v>0</v>
      </c>
      <c r="HY50" s="88">
        <f t="shared" ref="HY50:HY72" si="615">+HV50+HX50</f>
        <v>0</v>
      </c>
      <c r="HZ50" s="88">
        <f t="shared" si="493"/>
        <v>0</v>
      </c>
      <c r="IA50" s="88">
        <f t="shared" ref="IA50:IA72" si="616">HZ50-HM50</f>
        <v>0</v>
      </c>
      <c r="IB50" s="106">
        <f t="shared" ref="IB50:IB72" si="617">GZ50/COS(RADIANS(GD50))</f>
        <v>0</v>
      </c>
      <c r="IC50" s="106">
        <f t="shared" ref="IC50:IC72" si="618">IF(HB50&lt;0,0,IB50*HB50)</f>
        <v>0</v>
      </c>
      <c r="ID50" s="106">
        <f t="shared" ref="ID50:ID72" si="619">IC50+HM50</f>
        <v>0</v>
      </c>
      <c r="IE50" s="83"/>
      <c r="IG50" s="39">
        <v>8.3333333333333301E-2</v>
      </c>
      <c r="IH50" s="38">
        <v>150</v>
      </c>
      <c r="II50" s="38">
        <f t="shared" si="494"/>
        <v>-61.515083298976833</v>
      </c>
      <c r="IJ50" s="38">
        <f t="shared" si="495"/>
        <v>79.22239655881755</v>
      </c>
      <c r="IK50" s="38">
        <f t="shared" si="496"/>
        <v>151.51508329897683</v>
      </c>
      <c r="IL50" s="38">
        <f>+'Irradiancia Horizontal'!M71/COS(RADIANS(IK50))</f>
        <v>0</v>
      </c>
      <c r="IM50" s="38" t="e">
        <f>((('Irradiancia Horizontal'!M42+IL50)/'Irradiancia Horizontal'!M42)+1.041*((RADIANS('Cálculos iluminancia'!IK50))^3))/(1+1.041*((RADIANS('Cálculos iluminancia'!IK50))^3))</f>
        <v>#DIV/0!</v>
      </c>
      <c r="IN50" s="88" t="e">
        <f t="shared" si="497"/>
        <v>#NUM!</v>
      </c>
      <c r="IO50" s="88" t="e">
        <f t="shared" ref="IO50:IO72" si="620">IN50*$IM$46</f>
        <v>#NUM!</v>
      </c>
      <c r="IP50" s="106" t="e">
        <f>'Irradiancia Horizontal'!M42*IO50/$IN$46</f>
        <v>#NUM!</v>
      </c>
      <c r="IQ50" s="88">
        <f>((17.27*Temp!L12)/(237.7+Temp!L12))+LN(HR!L23/100)</f>
        <v>0.64270992674224869</v>
      </c>
      <c r="IR50" s="88">
        <f t="shared" ref="IR50:IR72" si="621">(237.7*IQ50)/(17.27-IQ50)</f>
        <v>9.1880365900599319</v>
      </c>
      <c r="IS50" s="88">
        <f t="shared" ref="IS50:IS72" si="622">EXP((0.07*IR50)-0.075)</f>
        <v>1.7650209522962819</v>
      </c>
      <c r="IT50" s="88" t="e">
        <f t="shared" si="498"/>
        <v>#DIV/0!</v>
      </c>
      <c r="IU50" s="88" t="e">
        <f t="shared" si="499"/>
        <v>#DIV/0!</v>
      </c>
      <c r="IV50" s="88" t="e">
        <f t="shared" si="500"/>
        <v>#DIV/0!</v>
      </c>
      <c r="IW50" s="88" t="e">
        <f t="shared" si="501"/>
        <v>#DIV/0!</v>
      </c>
      <c r="IX50" s="88" t="e">
        <f t="shared" si="502"/>
        <v>#DIV/0!</v>
      </c>
      <c r="IY50" s="103">
        <f t="shared" si="503"/>
        <v>0</v>
      </c>
      <c r="IZ50" s="165">
        <f>IF(JF50&gt;(IY50*'Irradiancia Horizontal'!M10),JF50,IY50*'Irradiancia Horizontal'!M10)</f>
        <v>0</v>
      </c>
      <c r="JA50" s="88" t="e">
        <f t="shared" si="504"/>
        <v>#DIV/0!</v>
      </c>
      <c r="JB50" s="88" t="e">
        <f t="shared" si="505"/>
        <v>#DIV/0!</v>
      </c>
      <c r="JC50" s="88" t="e">
        <f t="shared" si="506"/>
        <v>#DIV/0!</v>
      </c>
      <c r="JD50" s="88" t="e">
        <f t="shared" si="507"/>
        <v>#DIV/0!</v>
      </c>
      <c r="JE50" s="103">
        <f t="shared" si="508"/>
        <v>0</v>
      </c>
      <c r="JF50" s="88">
        <f>+JE50*'Irradiancia Horizontal'!M42</f>
        <v>0</v>
      </c>
      <c r="JG50" s="88">
        <f t="shared" ref="JG50:JG72" si="623">IZ50-JF50</f>
        <v>0</v>
      </c>
      <c r="JH50" s="88" t="e">
        <f>+JG50/'Irradiancia Horizontal'!M71</f>
        <v>#DIV/0!</v>
      </c>
      <c r="JI50" s="38">
        <f t="shared" si="509"/>
        <v>-8.9184149146877667E-2</v>
      </c>
      <c r="JJ50" s="88">
        <f t="shared" ref="JJ50:JJ72" si="624">IF(JI50&lt;0,0,JI50)</f>
        <v>0</v>
      </c>
      <c r="JK50" s="88">
        <f t="shared" ref="JK50:JK72" si="625">IF(COS(RADIANS(IK50))&lt;0.087,0.087,COS(RADIANS(IK50)))</f>
        <v>8.6999999999999994E-2</v>
      </c>
      <c r="JL50" s="88" t="e">
        <f t="shared" ref="JL50:JL72" si="626">IF(IT50=1,$T$81,IF(IT50=2,$T$82,IF(IT50=3,$T$83,IF(IT50=4,$T$84,IF(IT50=5,$T$85,IF(IT50=6,$T$86,IF(IT50=7,$T$87,$T$88)))))))</f>
        <v>#DIV/0!</v>
      </c>
      <c r="JM50" s="88" t="e">
        <f t="shared" ref="JM50:JM72" si="627">IF(IT50=1,$U$81,IF(IT50=2,$U$82,IF(IT50=3,$U$83,IF(IT50=4,$U$84,IF(IT50=5,$U$85,IF(IT50=6,$U$86,IF(IT50=7,$U$87,$U$88)))))))</f>
        <v>#DIV/0!</v>
      </c>
      <c r="JN50" s="88" t="e">
        <f t="shared" ref="JN50:JN72" si="628">IF(IT50=1,$V$81,IF(IT50=2,$V$82,IF(IT50=3,$V$83,IF(IT50=4,$V$84,IF(IT50=5,$V$85,IF(IT50=6,$V$86,IF(IT50=7,$V$87,$V$88)))))))</f>
        <v>#DIV/0!</v>
      </c>
      <c r="JO50" s="88" t="e">
        <f t="shared" ref="JO50:JO72" si="629">IF(IT50=1,$W$81,IF(IT50=2,$W$82,IF(IT50=3,$W$83,IF(IT50=4,$W$84,IF(IT50=5,$W$85,IF(IT50=6,$W$86,IF(IT50=7,$W$87,$W$88)))))))</f>
        <v>#DIV/0!</v>
      </c>
      <c r="JP50" s="88" t="e">
        <f t="shared" ref="JP50:JP72" si="630">IF(IT50=1,$X$81,IF(IT50=2,$X$82,IF(IT50=3,$X$83,IF(IT50=4,$X$84,IF(IT50=5,$X$85,IF(IT50=6,$X$86,IF(IT50=7,$X$87,$X$88)))))))</f>
        <v>#DIV/0!</v>
      </c>
      <c r="JQ50" s="88" t="e">
        <f t="shared" ref="JQ50:JQ72" si="631">IF(IT50=1,$Y$81,IF(IT50=2,$Y$82,IF(IT50=3,$Y$83,IF(IT50=4,$Y$84,IF(IT50=5,$Y$85,IF(IT50=6,$Y$86,IF(IT50=7,$Y$87,$Y$88)))))))</f>
        <v>#DIV/0!</v>
      </c>
      <c r="JR50" s="88" t="e">
        <f t="shared" si="510"/>
        <v>#DIV/0!</v>
      </c>
      <c r="JS50" s="88" t="e">
        <f t="shared" si="511"/>
        <v>#DIV/0!</v>
      </c>
      <c r="JT50" s="88">
        <f t="shared" si="512"/>
        <v>0</v>
      </c>
      <c r="JU50" s="88" t="e">
        <f t="shared" si="513"/>
        <v>#DIV/0!</v>
      </c>
      <c r="JV50" s="88" t="e">
        <f t="shared" si="514"/>
        <v>#DIV/0!</v>
      </c>
      <c r="JW50" s="88" t="e">
        <f t="shared" si="515"/>
        <v>#DIV/0!</v>
      </c>
      <c r="JX50" s="88" t="e">
        <f t="shared" si="516"/>
        <v>#DIV/0!</v>
      </c>
      <c r="JY50" s="88" t="e">
        <f t="shared" si="517"/>
        <v>#DIV/0!</v>
      </c>
      <c r="JZ50" s="88" t="e">
        <f t="shared" si="518"/>
        <v>#DIV/0!</v>
      </c>
      <c r="KA50" s="88" t="e">
        <f t="shared" si="519"/>
        <v>#DIV/0!</v>
      </c>
      <c r="KB50" s="88" t="e">
        <f t="shared" si="520"/>
        <v>#DIV/0!</v>
      </c>
      <c r="KC50" s="106">
        <f>IF(II50&lt;0,0,((0.5*(1-KA50)*(1+COS(RADIANS($IP$46))))+(KA50*(JJ50/JK50))+(KB50*SIN(RADIANS($IP$46))))*'Irradiancia Horizontal'!M42)</f>
        <v>0</v>
      </c>
      <c r="KD50" s="88">
        <f t="shared" si="521"/>
        <v>0</v>
      </c>
      <c r="KE50" s="88">
        <f>KD50*'Irradiancia Horizontal'!M71</f>
        <v>0</v>
      </c>
      <c r="KF50" s="88">
        <f t="shared" ref="KF50:KF72" si="632">+KC50+KE50</f>
        <v>0</v>
      </c>
      <c r="KG50" s="88">
        <f t="shared" si="522"/>
        <v>0</v>
      </c>
      <c r="KH50" s="88">
        <f t="shared" ref="KH50:KH72" si="633">KG50-JT50</f>
        <v>0</v>
      </c>
      <c r="KI50" s="106">
        <f t="shared" ref="KI50:KI72" si="634">JG50/COS(RADIANS(IK50))</f>
        <v>0</v>
      </c>
      <c r="KJ50" s="106">
        <f t="shared" ref="KJ50:KJ72" si="635">IF(JI50&lt;0,0,KI50*JI50)</f>
        <v>0</v>
      </c>
      <c r="KK50" s="106">
        <f t="shared" ref="KK50:KK72" si="636">KJ50+JT50</f>
        <v>0</v>
      </c>
      <c r="KL50" s="40"/>
      <c r="KN50" s="39">
        <v>8.3333333333333301E-2</v>
      </c>
      <c r="KO50" s="38">
        <v>150</v>
      </c>
      <c r="KP50" s="38">
        <f t="shared" si="523"/>
        <v>-62.593106094089499</v>
      </c>
      <c r="KQ50" s="38">
        <f t="shared" si="524"/>
        <v>85.218419971753733</v>
      </c>
      <c r="KR50" s="38">
        <f t="shared" si="525"/>
        <v>152.59310609408951</v>
      </c>
      <c r="KS50" s="38">
        <f>+'Irradiancia Horizontal'!N71/COS(RADIANS(KR50))</f>
        <v>0</v>
      </c>
      <c r="KT50" s="38" t="e">
        <f>((('Irradiancia Horizontal'!N42+KS50)/'Irradiancia Horizontal'!N42)+1.041*((RADIANS('Cálculos iluminancia'!KR50))^3))/(1+1.041*((RADIANS('Cálculos iluminancia'!KR50))^3))</f>
        <v>#DIV/0!</v>
      </c>
      <c r="KU50" s="88" t="e">
        <f t="shared" si="526"/>
        <v>#NUM!</v>
      </c>
      <c r="KV50" s="88" t="e">
        <f t="shared" ref="KV50:KV72" si="637">KU50*$KT$46</f>
        <v>#NUM!</v>
      </c>
      <c r="KW50" s="106" t="e">
        <f>'Irradiancia Horizontal'!N42*KV50/$KU$46</f>
        <v>#NUM!</v>
      </c>
      <c r="KX50" s="88">
        <f>((17.27*Temp!M12)/(237.7+Temp!M12))+LN(HR!M23/100)</f>
        <v>0.37167914048360806</v>
      </c>
      <c r="KY50" s="88">
        <f t="shared" ref="KY50:KY72" si="638">(237.7*KX50)/(17.27-KX50)</f>
        <v>5.2282195626081887</v>
      </c>
      <c r="KZ50" s="88">
        <f t="shared" ref="KZ50:KZ72" si="639">EXP((0.07*KY50)-0.075)</f>
        <v>1.3377316343881465</v>
      </c>
      <c r="LA50" s="88" t="e">
        <f t="shared" si="527"/>
        <v>#DIV/0!</v>
      </c>
      <c r="LB50" s="88" t="e">
        <f t="shared" si="528"/>
        <v>#DIV/0!</v>
      </c>
      <c r="LC50" s="88" t="e">
        <f t="shared" si="529"/>
        <v>#DIV/0!</v>
      </c>
      <c r="LD50" s="88" t="e">
        <f t="shared" si="530"/>
        <v>#DIV/0!</v>
      </c>
      <c r="LE50" s="88" t="e">
        <f t="shared" si="531"/>
        <v>#DIV/0!</v>
      </c>
      <c r="LF50" s="103">
        <f t="shared" si="532"/>
        <v>0</v>
      </c>
      <c r="LG50" s="165">
        <f>IF(LM50&gt;(LF50*'Irradiancia Horizontal'!N10),LM50,LF50*'Irradiancia Horizontal'!N10)</f>
        <v>0</v>
      </c>
      <c r="LH50" s="88" t="e">
        <f t="shared" si="533"/>
        <v>#DIV/0!</v>
      </c>
      <c r="LI50" s="88" t="e">
        <f t="shared" si="534"/>
        <v>#DIV/0!</v>
      </c>
      <c r="LJ50" s="88" t="e">
        <f t="shared" si="535"/>
        <v>#DIV/0!</v>
      </c>
      <c r="LK50" s="88" t="e">
        <f t="shared" si="536"/>
        <v>#DIV/0!</v>
      </c>
      <c r="LL50" s="103">
        <f t="shared" si="537"/>
        <v>0</v>
      </c>
      <c r="LM50" s="88">
        <f>+LL50*'Irradiancia Horizontal'!N42</f>
        <v>0</v>
      </c>
      <c r="LN50" s="88">
        <f t="shared" ref="LN50:LN72" si="640">LG50-LM50</f>
        <v>0</v>
      </c>
      <c r="LO50" s="88" t="e">
        <f>+LN50/'Irradiancia Horizontal'!N71</f>
        <v>#DIV/0!</v>
      </c>
      <c r="LP50" s="38">
        <f t="shared" si="538"/>
        <v>-3.8369997374706089E-2</v>
      </c>
      <c r="LQ50" s="88">
        <f t="shared" ref="LQ50:LQ72" si="641">IF(LP50&lt;0,0,LP50)</f>
        <v>0</v>
      </c>
      <c r="LR50" s="88">
        <f t="shared" ref="LR50:LR72" si="642">IF(COS(RADIANS(KR50))&lt;0.087,0.087,COS(RADIANS(KR50)))</f>
        <v>8.6999999999999994E-2</v>
      </c>
      <c r="LS50" s="88" t="e">
        <f t="shared" ref="LS50:LS72" si="643">IF(LA50=1,$T$81,IF(LA50=2,$T$82,IF(LA50=3,$T$83,IF(LA50=4,$T$84,IF(LA50=5,$T$85,IF(LA50=6,$T$86,IF(LA50=7,$T$87,$T$88)))))))</f>
        <v>#DIV/0!</v>
      </c>
      <c r="LT50" s="88" t="e">
        <f t="shared" ref="LT50:LT72" si="644">IF(LA50=1,$U$81,IF(LA50=2,$U$82,IF(LA50=3,$U$83,IF(LA50=4,$U$84,IF(LA50=5,$U$85,IF(LA50=6,$U$86,IF(LA50=7,$U$87,$U$88)))))))</f>
        <v>#DIV/0!</v>
      </c>
      <c r="LU50" s="88" t="e">
        <f t="shared" ref="LU50:LU72" si="645">IF(LA50=1,$V$81,IF(LA50=2,$V$82,IF(LA50=3,$V$83,IF(LA50=4,$V$84,IF(LA50=5,$V$85,IF(LA50=6,$V$86,IF(LA50=7,$V$87,$V$88)))))))</f>
        <v>#DIV/0!</v>
      </c>
      <c r="LV50" s="88" t="e">
        <f t="shared" ref="LV50:LV72" si="646">IF(LA50=1,$W$81,IF(LA50=2,$W$82,IF(LA50=3,$W$83,IF(LA50=4,$W$84,IF(LA50=5,$W$85,IF(LA50=6,$W$86,IF(LA50=7,$W$87,$W$88)))))))</f>
        <v>#DIV/0!</v>
      </c>
      <c r="LW50" s="88" t="e">
        <f t="shared" ref="LW50:LW72" si="647">IF(LA50=1,$X$81,IF(LA50=2,$X$82,IF(LA50=3,$X$83,IF(LA50=4,$X$84,IF(LA50=5,$X$85,IF(LA50=6,$X$86,IF(LA50=7,$X$87,$X$88)))))))</f>
        <v>#DIV/0!</v>
      </c>
      <c r="LX50" s="88" t="e">
        <f t="shared" ref="LX50:LX72" si="648">IF(LA50=1,$Y$81,IF(LA50=2,$Y$82,IF(LA50=3,$Y$83,IF(LA50=4,$Y$84,IF(LA50=5,$Y$85,IF(LA50=6,$Y$86,IF(LA50=7,$Y$87,$Y$88)))))))</f>
        <v>#DIV/0!</v>
      </c>
      <c r="LY50" s="88" t="e">
        <f t="shared" si="539"/>
        <v>#DIV/0!</v>
      </c>
      <c r="LZ50" s="88" t="e">
        <f t="shared" si="540"/>
        <v>#DIV/0!</v>
      </c>
      <c r="MA50" s="88">
        <f t="shared" si="541"/>
        <v>0</v>
      </c>
      <c r="MB50" s="88" t="e">
        <f t="shared" si="542"/>
        <v>#DIV/0!</v>
      </c>
      <c r="MC50" s="88" t="e">
        <f t="shared" si="543"/>
        <v>#DIV/0!</v>
      </c>
      <c r="MD50" s="88" t="e">
        <f t="shared" si="544"/>
        <v>#DIV/0!</v>
      </c>
      <c r="ME50" s="88" t="e">
        <f t="shared" si="545"/>
        <v>#DIV/0!</v>
      </c>
      <c r="MF50" s="88" t="e">
        <f t="shared" si="546"/>
        <v>#DIV/0!</v>
      </c>
      <c r="MG50" s="88" t="e">
        <f t="shared" si="547"/>
        <v>#DIV/0!</v>
      </c>
      <c r="MH50" s="88" t="e">
        <f t="shared" si="548"/>
        <v>#DIV/0!</v>
      </c>
      <c r="MI50" s="88" t="e">
        <f t="shared" si="549"/>
        <v>#DIV/0!</v>
      </c>
      <c r="MJ50" s="106">
        <f>IF(KP50&lt;0,0,((0.5*(1-MH50)*(1+COS(RADIANS($KW$46))))+(MH50*(LQ50/LR50))+(MI50*SIN(RADIANS($KW$46))))*'Irradiancia Horizontal'!N42)</f>
        <v>0</v>
      </c>
      <c r="MK50" s="88">
        <f t="shared" si="550"/>
        <v>0</v>
      </c>
      <c r="ML50" s="88">
        <f>MK50*'Irradiancia Horizontal'!N71</f>
        <v>0</v>
      </c>
      <c r="MM50" s="88">
        <f t="shared" ref="MM50:MM72" si="649">+MJ50+ML50</f>
        <v>0</v>
      </c>
      <c r="MN50" s="88">
        <f t="shared" si="551"/>
        <v>0</v>
      </c>
      <c r="MO50" s="88">
        <f t="shared" ref="MO50:MO72" si="650">MN50-MA50</f>
        <v>0</v>
      </c>
      <c r="MP50" s="106">
        <f t="shared" ref="MP50:MP72" si="651">LN50/COS(RADIANS(KR50))</f>
        <v>0</v>
      </c>
      <c r="MQ50" s="106">
        <f t="shared" ref="MQ50:MQ72" si="652">IF(LP50&lt;0,0,MP50*LP50)</f>
        <v>0</v>
      </c>
      <c r="MR50" s="106">
        <f t="shared" ref="MR50:MR72" si="653">MQ50+MA50</f>
        <v>0</v>
      </c>
    </row>
    <row r="51" spans="1:356" x14ac:dyDescent="0.25">
      <c r="E51" s="39">
        <v>0.125</v>
      </c>
      <c r="F51" s="38">
        <v>135</v>
      </c>
      <c r="G51" s="38">
        <f t="shared" si="378"/>
        <v>-24.161470214332297</v>
      </c>
      <c r="H51" s="38">
        <f t="shared" si="379"/>
        <v>46.568585429046891</v>
      </c>
      <c r="I51" s="38">
        <f t="shared" si="380"/>
        <v>114.1614702143323</v>
      </c>
      <c r="J51" s="38">
        <f>+'Irradiancia Horizontal'!I72/COS(RADIANS(I51))</f>
        <v>0</v>
      </c>
      <c r="K51" s="38" t="e">
        <f>((('Irradiancia Horizontal'!I43+J51)/'Irradiancia Horizontal'!I43)+1.041*((RADIANS('Cálculos iluminancia'!I51))^3))/(1+1.041*((RADIANS('Cálculos iluminancia'!I51))^3))</f>
        <v>#DIV/0!</v>
      </c>
      <c r="L51" s="87" t="e">
        <f t="shared" si="381"/>
        <v>#NUM!</v>
      </c>
      <c r="M51" s="87" t="e">
        <f t="shared" si="552"/>
        <v>#NUM!</v>
      </c>
      <c r="N51" s="106" t="e">
        <f>'Irradiancia Horizontal'!I43*M51/$L$46</f>
        <v>#NUM!</v>
      </c>
      <c r="O51" s="87">
        <f>((17.27*Temp!H13)/(237.7+Temp!H13))+LN(HR!H24/100)</f>
        <v>1.2572579052954334</v>
      </c>
      <c r="P51" s="87">
        <f t="shared" si="553"/>
        <v>18.663274679703648</v>
      </c>
      <c r="Q51" s="87">
        <f t="shared" si="554"/>
        <v>3.4261227478213954</v>
      </c>
      <c r="R51" s="87" t="e">
        <f t="shared" si="382"/>
        <v>#DIV/0!</v>
      </c>
      <c r="S51" s="87" t="e">
        <f t="shared" si="383"/>
        <v>#DIV/0!</v>
      </c>
      <c r="T51" s="87" t="e">
        <f t="shared" si="384"/>
        <v>#DIV/0!</v>
      </c>
      <c r="U51" s="87" t="e">
        <f t="shared" si="385"/>
        <v>#DIV/0!</v>
      </c>
      <c r="V51" s="87" t="e">
        <f t="shared" si="386"/>
        <v>#DIV/0!</v>
      </c>
      <c r="W51" s="103">
        <f t="shared" si="387"/>
        <v>0</v>
      </c>
      <c r="X51" s="165">
        <f>IF(AD51&gt;(W51*'Irradiancia Horizontal'!I11),AD51,W51*'Irradiancia Horizontal'!I11)</f>
        <v>0</v>
      </c>
      <c r="Y51" s="87" t="e">
        <f t="shared" si="388"/>
        <v>#DIV/0!</v>
      </c>
      <c r="Z51" s="87" t="e">
        <f t="shared" si="389"/>
        <v>#DIV/0!</v>
      </c>
      <c r="AA51" s="87" t="e">
        <f t="shared" si="390"/>
        <v>#DIV/0!</v>
      </c>
      <c r="AB51" s="87" t="e">
        <f t="shared" si="391"/>
        <v>#DIV/0!</v>
      </c>
      <c r="AC51" s="103">
        <f t="shared" si="392"/>
        <v>0</v>
      </c>
      <c r="AD51" s="87">
        <f>+AC51*'Irradiancia Horizontal'!I43</f>
        <v>0</v>
      </c>
      <c r="AE51" s="87">
        <f t="shared" si="393"/>
        <v>0</v>
      </c>
      <c r="AF51" s="87" t="e">
        <f>+AE51/'Irradiancia Horizontal'!I72</f>
        <v>#DIV/0!</v>
      </c>
      <c r="AG51" s="38">
        <f t="shared" si="555"/>
        <v>-0.62725898066290853</v>
      </c>
      <c r="AH51" s="87">
        <f t="shared" si="556"/>
        <v>0</v>
      </c>
      <c r="AI51" s="87">
        <f t="shared" si="557"/>
        <v>8.6999999999999994E-2</v>
      </c>
      <c r="AJ51" s="87" t="e">
        <f t="shared" si="558"/>
        <v>#DIV/0!</v>
      </c>
      <c r="AK51" s="87" t="e">
        <f t="shared" si="559"/>
        <v>#DIV/0!</v>
      </c>
      <c r="AL51" s="87" t="e">
        <f t="shared" si="560"/>
        <v>#DIV/0!</v>
      </c>
      <c r="AM51" s="87" t="e">
        <f t="shared" si="561"/>
        <v>#DIV/0!</v>
      </c>
      <c r="AN51" s="87" t="e">
        <f t="shared" si="562"/>
        <v>#DIV/0!</v>
      </c>
      <c r="AO51" s="87" t="e">
        <f t="shared" si="563"/>
        <v>#DIV/0!</v>
      </c>
      <c r="AP51" s="87" t="e">
        <f t="shared" si="394"/>
        <v>#DIV/0!</v>
      </c>
      <c r="AQ51" s="87" t="e">
        <f t="shared" si="395"/>
        <v>#DIV/0!</v>
      </c>
      <c r="AR51" s="88">
        <f t="shared" si="396"/>
        <v>0</v>
      </c>
      <c r="AS51" s="87" t="e">
        <f t="shared" si="397"/>
        <v>#DIV/0!</v>
      </c>
      <c r="AT51" s="87" t="e">
        <f t="shared" si="398"/>
        <v>#DIV/0!</v>
      </c>
      <c r="AU51" s="87" t="e">
        <f t="shared" si="399"/>
        <v>#DIV/0!</v>
      </c>
      <c r="AV51" s="87" t="e">
        <f t="shared" si="400"/>
        <v>#DIV/0!</v>
      </c>
      <c r="AW51" s="87" t="e">
        <f t="shared" si="401"/>
        <v>#DIV/0!</v>
      </c>
      <c r="AX51" s="87" t="e">
        <f t="shared" si="402"/>
        <v>#DIV/0!</v>
      </c>
      <c r="AY51" s="87" t="e">
        <f t="shared" si="403"/>
        <v>#DIV/0!</v>
      </c>
      <c r="AZ51" s="87" t="e">
        <f t="shared" si="404"/>
        <v>#DIV/0!</v>
      </c>
      <c r="BA51" s="106">
        <f>IF(G51&lt;0,0,((0.5*(1-AY51)*(1+COS(RADIANS($N$46))))+(AY51*(AH51/AI51))+(AZ51*SIN(RADIANS($N$46))))*'Irradiancia Horizontal'!I43)</f>
        <v>0</v>
      </c>
      <c r="BB51" s="87">
        <f t="shared" si="405"/>
        <v>0</v>
      </c>
      <c r="BC51" s="87">
        <f>BB51*'Irradiancia Horizontal'!I72</f>
        <v>0</v>
      </c>
      <c r="BD51" s="87">
        <f t="shared" si="564"/>
        <v>0</v>
      </c>
      <c r="BE51" s="88">
        <f t="shared" si="406"/>
        <v>0</v>
      </c>
      <c r="BF51" s="87">
        <f t="shared" si="565"/>
        <v>0</v>
      </c>
      <c r="BG51" s="106">
        <f t="shared" si="566"/>
        <v>0</v>
      </c>
      <c r="BH51" s="106">
        <f t="shared" si="567"/>
        <v>0</v>
      </c>
      <c r="BI51" s="106">
        <f t="shared" si="568"/>
        <v>0</v>
      </c>
      <c r="BJ51" s="44"/>
      <c r="BL51" s="39">
        <v>0.125</v>
      </c>
      <c r="BM51" s="38">
        <v>135</v>
      </c>
      <c r="BN51" s="38">
        <f t="shared" si="407"/>
        <v>-30.397866606469517</v>
      </c>
      <c r="BO51" s="38">
        <f t="shared" si="408"/>
        <v>53.380302526991059</v>
      </c>
      <c r="BP51" s="38">
        <f t="shared" si="409"/>
        <v>120.39786660646952</v>
      </c>
      <c r="BQ51" s="38">
        <f>+'Irradiancia Horizontal'!J72/COS(RADIANS(BP51))</f>
        <v>0</v>
      </c>
      <c r="BR51" s="38" t="e">
        <f>((('Irradiancia Horizontal'!J43+BQ51)/'Irradiancia Horizontal'!J43)+1.041*((RADIANS('Cálculos iluminancia'!BP51))^3))/(1+1.041*((RADIANS('Cálculos iluminancia'!BP51))^3))</f>
        <v>#DIV/0!</v>
      </c>
      <c r="BS51" s="87" t="e">
        <f t="shared" si="410"/>
        <v>#NUM!</v>
      </c>
      <c r="BT51" s="87" t="e">
        <f t="shared" si="569"/>
        <v>#NUM!</v>
      </c>
      <c r="BU51" s="106" t="e">
        <f>'Irradiancia Horizontal'!J43*BT51/$BS$46</f>
        <v>#NUM!</v>
      </c>
      <c r="BV51" s="87">
        <f>((17.27*Temp!I13)/(237.7+Temp!I13))+LN(HR!I24/100)</f>
        <v>1.4240975917652836</v>
      </c>
      <c r="BW51" s="87">
        <f t="shared" si="570"/>
        <v>21.362494154116071</v>
      </c>
      <c r="BX51" s="87">
        <f t="shared" si="571"/>
        <v>4.1386704577506883</v>
      </c>
      <c r="BY51" s="87" t="e">
        <f t="shared" si="411"/>
        <v>#DIV/0!</v>
      </c>
      <c r="BZ51" s="87" t="e">
        <f t="shared" si="412"/>
        <v>#DIV/0!</v>
      </c>
      <c r="CA51" s="87" t="e">
        <f t="shared" si="413"/>
        <v>#DIV/0!</v>
      </c>
      <c r="CB51" s="87" t="e">
        <f t="shared" si="414"/>
        <v>#DIV/0!</v>
      </c>
      <c r="CC51" s="87" t="e">
        <f t="shared" si="415"/>
        <v>#DIV/0!</v>
      </c>
      <c r="CD51" s="103">
        <f t="shared" si="416"/>
        <v>0</v>
      </c>
      <c r="CE51" s="165">
        <f>IF(CK51&gt;(CD51*'Irradiancia Horizontal'!J11),CK51,CD51*'Irradiancia Horizontal'!J11)</f>
        <v>0</v>
      </c>
      <c r="CF51" s="87" t="e">
        <f t="shared" si="417"/>
        <v>#DIV/0!</v>
      </c>
      <c r="CG51" s="87" t="e">
        <f t="shared" si="418"/>
        <v>#DIV/0!</v>
      </c>
      <c r="CH51" s="87" t="e">
        <f t="shared" si="419"/>
        <v>#DIV/0!</v>
      </c>
      <c r="CI51" s="87" t="e">
        <f t="shared" si="420"/>
        <v>#DIV/0!</v>
      </c>
      <c r="CJ51" s="103">
        <f t="shared" si="421"/>
        <v>0</v>
      </c>
      <c r="CK51" s="87">
        <f>+CJ51*'Irradiancia Horizontal'!J43</f>
        <v>0</v>
      </c>
      <c r="CL51" s="87">
        <f t="shared" si="572"/>
        <v>0</v>
      </c>
      <c r="CM51" s="87" t="e">
        <f>+CL51/'Irradiancia Horizontal'!J72</f>
        <v>#DIV/0!</v>
      </c>
      <c r="CN51" s="38">
        <f t="shared" si="422"/>
        <v>-0.51450136448911987</v>
      </c>
      <c r="CO51" s="87">
        <f t="shared" si="573"/>
        <v>0</v>
      </c>
      <c r="CP51" s="87">
        <f t="shared" si="574"/>
        <v>8.6999999999999994E-2</v>
      </c>
      <c r="CQ51" s="87" t="e">
        <f t="shared" si="575"/>
        <v>#DIV/0!</v>
      </c>
      <c r="CR51" s="87" t="e">
        <f t="shared" si="576"/>
        <v>#DIV/0!</v>
      </c>
      <c r="CS51" s="87" t="e">
        <f t="shared" si="577"/>
        <v>#DIV/0!</v>
      </c>
      <c r="CT51" s="87" t="e">
        <f t="shared" si="578"/>
        <v>#DIV/0!</v>
      </c>
      <c r="CU51" s="87" t="e">
        <f t="shared" si="579"/>
        <v>#DIV/0!</v>
      </c>
      <c r="CV51" s="87" t="e">
        <f t="shared" si="580"/>
        <v>#DIV/0!</v>
      </c>
      <c r="CW51" s="87" t="e">
        <f t="shared" si="423"/>
        <v>#DIV/0!</v>
      </c>
      <c r="CX51" s="87" t="e">
        <f t="shared" si="424"/>
        <v>#DIV/0!</v>
      </c>
      <c r="CY51" s="88">
        <f t="shared" si="425"/>
        <v>0</v>
      </c>
      <c r="CZ51" s="87" t="e">
        <f t="shared" si="426"/>
        <v>#DIV/0!</v>
      </c>
      <c r="DA51" s="87" t="e">
        <f t="shared" si="427"/>
        <v>#DIV/0!</v>
      </c>
      <c r="DB51" s="87" t="e">
        <f t="shared" si="428"/>
        <v>#DIV/0!</v>
      </c>
      <c r="DC51" s="87" t="e">
        <f t="shared" si="429"/>
        <v>#DIV/0!</v>
      </c>
      <c r="DD51" s="87" t="e">
        <f t="shared" si="430"/>
        <v>#DIV/0!</v>
      </c>
      <c r="DE51" s="87" t="e">
        <f t="shared" si="431"/>
        <v>#DIV/0!</v>
      </c>
      <c r="DF51" s="87" t="e">
        <f t="shared" si="432"/>
        <v>#DIV/0!</v>
      </c>
      <c r="DG51" s="87" t="e">
        <f t="shared" si="433"/>
        <v>#DIV/0!</v>
      </c>
      <c r="DH51" s="106">
        <f>IF(BN51&lt;0,0,((0.5*(1-DF51)*(1+COS(RADIANS($BU$46))))+(DF51*(CO51/CP51))+(DG51*SIN(RADIANS($BU$46))))*'Irradiancia Horizontal'!J43)</f>
        <v>0</v>
      </c>
      <c r="DI51" s="87">
        <f t="shared" si="434"/>
        <v>0</v>
      </c>
      <c r="DJ51" s="87">
        <f>DI51*'Irradiancia Horizontal'!J72</f>
        <v>0</v>
      </c>
      <c r="DK51" s="87">
        <f t="shared" si="581"/>
        <v>0</v>
      </c>
      <c r="DL51" s="88">
        <f t="shared" si="435"/>
        <v>0</v>
      </c>
      <c r="DM51" s="87">
        <f t="shared" si="582"/>
        <v>0</v>
      </c>
      <c r="DN51" s="106">
        <f t="shared" si="583"/>
        <v>0</v>
      </c>
      <c r="DO51" s="106">
        <f t="shared" si="584"/>
        <v>0</v>
      </c>
      <c r="DP51" s="106">
        <f t="shared" si="585"/>
        <v>0</v>
      </c>
      <c r="DQ51" s="44"/>
      <c r="DS51" s="39">
        <v>0.125</v>
      </c>
      <c r="DT51" s="38">
        <v>135</v>
      </c>
      <c r="DU51" s="38">
        <f t="shared" si="436"/>
        <v>-38.292664540459405</v>
      </c>
      <c r="DV51" s="38">
        <f t="shared" si="437"/>
        <v>64.280975136579571</v>
      </c>
      <c r="DW51" s="38">
        <f t="shared" si="438"/>
        <v>128.29266454045941</v>
      </c>
      <c r="DX51" s="38">
        <f>+'Irradiancia Horizontal'!K72/COS(RADIANS(DW51))</f>
        <v>0</v>
      </c>
      <c r="DY51" s="38" t="e">
        <f>((('Irradiancia Horizontal'!K43+DX51)/'Irradiancia Horizontal'!K43)+1.041*((RADIANS('Cálculos iluminancia'!DW51))^3))/(1+1.041*((RADIANS('Cálculos iluminancia'!DW51))^3))</f>
        <v>#DIV/0!</v>
      </c>
      <c r="DZ51" s="87" t="e">
        <f t="shared" si="439"/>
        <v>#NUM!</v>
      </c>
      <c r="EA51" s="87" t="e">
        <f t="shared" si="586"/>
        <v>#NUM!</v>
      </c>
      <c r="EB51" s="106" t="e">
        <f>'Irradiancia Horizontal'!K43*EA51/$DZ$46</f>
        <v>#NUM!</v>
      </c>
      <c r="EC51" s="87">
        <f>((17.27*Temp!J13)/(237.7+Temp!J13))+LN(HR!J24/100)</f>
        <v>1.2935863740235658</v>
      </c>
      <c r="ED51" s="87">
        <f t="shared" si="587"/>
        <v>19.24621434471711</v>
      </c>
      <c r="EE51" s="87">
        <f t="shared" si="588"/>
        <v>3.5688199828316467</v>
      </c>
      <c r="EF51" s="87" t="e">
        <f t="shared" si="440"/>
        <v>#DIV/0!</v>
      </c>
      <c r="EG51" s="87" t="e">
        <f t="shared" si="441"/>
        <v>#DIV/0!</v>
      </c>
      <c r="EH51" s="87" t="e">
        <f t="shared" si="442"/>
        <v>#DIV/0!</v>
      </c>
      <c r="EI51" s="87" t="e">
        <f t="shared" si="443"/>
        <v>#DIV/0!</v>
      </c>
      <c r="EJ51" s="87" t="e">
        <f t="shared" si="444"/>
        <v>#DIV/0!</v>
      </c>
      <c r="EK51" s="103">
        <f t="shared" si="445"/>
        <v>0</v>
      </c>
      <c r="EL51" s="165">
        <f>IF(ER51&gt;(EK51*'Irradiancia Horizontal'!K11),ER51,EK51*'Irradiancia Horizontal'!K11)</f>
        <v>0</v>
      </c>
      <c r="EM51" s="87" t="e">
        <f t="shared" si="446"/>
        <v>#DIV/0!</v>
      </c>
      <c r="EN51" s="87" t="e">
        <f t="shared" si="447"/>
        <v>#DIV/0!</v>
      </c>
      <c r="EO51" s="87" t="e">
        <f t="shared" si="448"/>
        <v>#DIV/0!</v>
      </c>
      <c r="EP51" s="87" t="e">
        <f t="shared" si="449"/>
        <v>#DIV/0!</v>
      </c>
      <c r="EQ51" s="103">
        <f t="shared" si="450"/>
        <v>0</v>
      </c>
      <c r="ER51" s="87">
        <f>+EQ51*'Irradiancia Horizontal'!K43</f>
        <v>0</v>
      </c>
      <c r="ES51" s="87">
        <f t="shared" si="589"/>
        <v>0</v>
      </c>
      <c r="ET51" s="87" t="e">
        <f>+ES51/'Irradiancia Horizontal'!K72</f>
        <v>#DIV/0!</v>
      </c>
      <c r="EU51" s="38">
        <f t="shared" si="451"/>
        <v>-0.3405946197372357</v>
      </c>
      <c r="EV51" s="87">
        <f t="shared" si="590"/>
        <v>0</v>
      </c>
      <c r="EW51" s="87">
        <f t="shared" si="591"/>
        <v>8.6999999999999994E-2</v>
      </c>
      <c r="EX51" s="87" t="e">
        <f t="shared" si="592"/>
        <v>#DIV/0!</v>
      </c>
      <c r="EY51" s="87" t="e">
        <f t="shared" si="593"/>
        <v>#DIV/0!</v>
      </c>
      <c r="EZ51" s="87" t="e">
        <f t="shared" si="594"/>
        <v>#DIV/0!</v>
      </c>
      <c r="FA51" s="87" t="e">
        <f t="shared" si="595"/>
        <v>#DIV/0!</v>
      </c>
      <c r="FB51" s="87" t="e">
        <f t="shared" si="596"/>
        <v>#DIV/0!</v>
      </c>
      <c r="FC51" s="87" t="e">
        <f t="shared" si="597"/>
        <v>#DIV/0!</v>
      </c>
      <c r="FD51" s="87" t="e">
        <f t="shared" si="452"/>
        <v>#DIV/0!</v>
      </c>
      <c r="FE51" s="87" t="e">
        <f t="shared" si="453"/>
        <v>#DIV/0!</v>
      </c>
      <c r="FF51" s="88">
        <f t="shared" si="454"/>
        <v>0</v>
      </c>
      <c r="FG51" s="87" t="e">
        <f t="shared" si="455"/>
        <v>#DIV/0!</v>
      </c>
      <c r="FH51" s="87" t="e">
        <f t="shared" si="456"/>
        <v>#DIV/0!</v>
      </c>
      <c r="FI51" s="87" t="e">
        <f t="shared" si="457"/>
        <v>#DIV/0!</v>
      </c>
      <c r="FJ51" s="87" t="e">
        <f t="shared" si="458"/>
        <v>#DIV/0!</v>
      </c>
      <c r="FK51" s="87" t="e">
        <f t="shared" si="459"/>
        <v>#DIV/0!</v>
      </c>
      <c r="FL51" s="87" t="e">
        <f t="shared" si="460"/>
        <v>#DIV/0!</v>
      </c>
      <c r="FM51" s="87" t="e">
        <f t="shared" si="461"/>
        <v>#DIV/0!</v>
      </c>
      <c r="FN51" s="87" t="e">
        <f t="shared" si="462"/>
        <v>#DIV/0!</v>
      </c>
      <c r="FO51" s="106">
        <f>IF(DU51&lt;0,0,((0.5*(1-FM51)*(1+COS(RADIANS($EB$46))))+(FM51*(EV51/EW51))+(FN51*SIN(RADIANS($EB$46))))*'Irradiancia Horizontal'!K43)</f>
        <v>0</v>
      </c>
      <c r="FP51" s="87">
        <f t="shared" si="463"/>
        <v>0</v>
      </c>
      <c r="FQ51" s="87">
        <f>FP51*'Irradiancia Horizontal'!K72</f>
        <v>0</v>
      </c>
      <c r="FR51" s="87">
        <f t="shared" si="598"/>
        <v>0</v>
      </c>
      <c r="FS51" s="88">
        <f t="shared" si="464"/>
        <v>0</v>
      </c>
      <c r="FT51" s="87">
        <f t="shared" si="599"/>
        <v>0</v>
      </c>
      <c r="FU51" s="106">
        <f t="shared" si="600"/>
        <v>0</v>
      </c>
      <c r="FV51" s="106">
        <f t="shared" si="601"/>
        <v>0</v>
      </c>
      <c r="FW51" s="106">
        <f t="shared" si="602"/>
        <v>0</v>
      </c>
      <c r="FX51" s="83"/>
      <c r="FZ51" s="39">
        <v>0.125</v>
      </c>
      <c r="GA51" s="38">
        <v>135</v>
      </c>
      <c r="GB51" s="38">
        <f t="shared" si="465"/>
        <v>-44.750605705383343</v>
      </c>
      <c r="GC51" s="38">
        <f t="shared" si="466"/>
        <v>77.109198540105993</v>
      </c>
      <c r="GD51" s="38">
        <f t="shared" si="467"/>
        <v>134.75060570538335</v>
      </c>
      <c r="GE51" s="38">
        <f>+'Irradiancia Horizontal'!L72/COS(RADIANS(GD51))</f>
        <v>0</v>
      </c>
      <c r="GF51" s="38" t="e">
        <f>((('Irradiancia Horizontal'!L43+GE51)/'Irradiancia Horizontal'!L43)+1.041*((RADIANS('Cálculos iluminancia'!GD51))^3))/(1+1.041*((RADIANS('Cálculos iluminancia'!GD51))^3))</f>
        <v>#DIV/0!</v>
      </c>
      <c r="GG51" s="88" t="e">
        <f t="shared" si="468"/>
        <v>#NUM!</v>
      </c>
      <c r="GH51" s="88" t="e">
        <f t="shared" si="603"/>
        <v>#NUM!</v>
      </c>
      <c r="GI51" s="106" t="e">
        <f>'Irradiancia Horizontal'!L43*GH51/$GG$46</f>
        <v>#NUM!</v>
      </c>
      <c r="GJ51" s="88">
        <f>((17.27*Temp!K13)/(237.7+Temp!K13))+LN(HR!K24/100)</f>
        <v>0.92742601131797997</v>
      </c>
      <c r="GK51" s="88">
        <f t="shared" si="604"/>
        <v>13.489255917883863</v>
      </c>
      <c r="GL51" s="88">
        <f t="shared" si="605"/>
        <v>2.3851163667778241</v>
      </c>
      <c r="GM51" s="88" t="e">
        <f t="shared" si="469"/>
        <v>#DIV/0!</v>
      </c>
      <c r="GN51" s="88" t="e">
        <f t="shared" si="470"/>
        <v>#DIV/0!</v>
      </c>
      <c r="GO51" s="88" t="e">
        <f t="shared" si="471"/>
        <v>#DIV/0!</v>
      </c>
      <c r="GP51" s="88" t="e">
        <f t="shared" si="472"/>
        <v>#DIV/0!</v>
      </c>
      <c r="GQ51" s="88" t="e">
        <f t="shared" si="473"/>
        <v>#DIV/0!</v>
      </c>
      <c r="GR51" s="103">
        <f t="shared" si="474"/>
        <v>0</v>
      </c>
      <c r="GS51" s="165">
        <f>IF(GY51&gt;(GR51*'Irradiancia Horizontal'!L11),GY51,GR51*'Irradiancia Horizontal'!L11)</f>
        <v>0</v>
      </c>
      <c r="GT51" s="88" t="e">
        <f t="shared" si="475"/>
        <v>#DIV/0!</v>
      </c>
      <c r="GU51" s="88" t="e">
        <f t="shared" si="476"/>
        <v>#DIV/0!</v>
      </c>
      <c r="GV51" s="88" t="e">
        <f t="shared" si="477"/>
        <v>#DIV/0!</v>
      </c>
      <c r="GW51" s="88" t="e">
        <f t="shared" si="478"/>
        <v>#DIV/0!</v>
      </c>
      <c r="GX51" s="103">
        <f t="shared" si="479"/>
        <v>0</v>
      </c>
      <c r="GY51" s="88">
        <f>+GX51*'Irradiancia Horizontal'!L43</f>
        <v>0</v>
      </c>
      <c r="GZ51" s="88">
        <f t="shared" si="606"/>
        <v>0</v>
      </c>
      <c r="HA51" s="88" t="e">
        <f>+GZ51/'Irradiancia Horizontal'!L72</f>
        <v>#DIV/0!</v>
      </c>
      <c r="HB51" s="38">
        <f t="shared" si="480"/>
        <v>-0.15843616612994552</v>
      </c>
      <c r="HC51" s="88">
        <f t="shared" si="607"/>
        <v>0</v>
      </c>
      <c r="HD51" s="88">
        <f t="shared" si="608"/>
        <v>8.6999999999999994E-2</v>
      </c>
      <c r="HE51" s="88" t="e">
        <f t="shared" si="609"/>
        <v>#DIV/0!</v>
      </c>
      <c r="HF51" s="88" t="e">
        <f t="shared" si="610"/>
        <v>#DIV/0!</v>
      </c>
      <c r="HG51" s="88" t="e">
        <f t="shared" si="611"/>
        <v>#DIV/0!</v>
      </c>
      <c r="HH51" s="88" t="e">
        <f t="shared" si="612"/>
        <v>#DIV/0!</v>
      </c>
      <c r="HI51" s="88" t="e">
        <f t="shared" si="613"/>
        <v>#DIV/0!</v>
      </c>
      <c r="HJ51" s="88" t="e">
        <f t="shared" si="614"/>
        <v>#DIV/0!</v>
      </c>
      <c r="HK51" s="88" t="e">
        <f t="shared" si="481"/>
        <v>#DIV/0!</v>
      </c>
      <c r="HL51" s="88" t="e">
        <f t="shared" si="482"/>
        <v>#DIV/0!</v>
      </c>
      <c r="HM51" s="88">
        <f t="shared" si="483"/>
        <v>0</v>
      </c>
      <c r="HN51" s="88" t="e">
        <f t="shared" si="484"/>
        <v>#DIV/0!</v>
      </c>
      <c r="HO51" s="88" t="e">
        <f t="shared" si="485"/>
        <v>#DIV/0!</v>
      </c>
      <c r="HP51" s="88" t="e">
        <f t="shared" si="486"/>
        <v>#DIV/0!</v>
      </c>
      <c r="HQ51" s="88" t="e">
        <f t="shared" si="487"/>
        <v>#DIV/0!</v>
      </c>
      <c r="HR51" s="88" t="e">
        <f t="shared" si="488"/>
        <v>#DIV/0!</v>
      </c>
      <c r="HS51" s="88" t="e">
        <f t="shared" si="489"/>
        <v>#DIV/0!</v>
      </c>
      <c r="HT51" s="88" t="e">
        <f t="shared" si="490"/>
        <v>#DIV/0!</v>
      </c>
      <c r="HU51" s="88" t="e">
        <f t="shared" si="491"/>
        <v>#DIV/0!</v>
      </c>
      <c r="HV51" s="106">
        <f>IF(GB51&lt;0,0,((0.5*(1-HT51)*(1+COS(RADIANS($GI$46))))+(HT51*(HC51/HD51))+(HU51*SIN(RADIANS($GI$46))))*'Irradiancia Horizontal'!L43)</f>
        <v>0</v>
      </c>
      <c r="HW51" s="88">
        <f t="shared" si="492"/>
        <v>0</v>
      </c>
      <c r="HX51" s="88">
        <f>HW51*'Irradiancia Horizontal'!L72</f>
        <v>0</v>
      </c>
      <c r="HY51" s="88">
        <f t="shared" si="615"/>
        <v>0</v>
      </c>
      <c r="HZ51" s="88">
        <f t="shared" si="493"/>
        <v>0</v>
      </c>
      <c r="IA51" s="88">
        <f t="shared" si="616"/>
        <v>0</v>
      </c>
      <c r="IB51" s="106">
        <f t="shared" si="617"/>
        <v>0</v>
      </c>
      <c r="IC51" s="106">
        <f t="shared" si="618"/>
        <v>0</v>
      </c>
      <c r="ID51" s="106">
        <f t="shared" si="619"/>
        <v>0</v>
      </c>
      <c r="IE51" s="83"/>
      <c r="IG51" s="39">
        <v>0.125</v>
      </c>
      <c r="IH51" s="38">
        <v>135</v>
      </c>
      <c r="II51" s="38">
        <f t="shared" si="494"/>
        <v>-48.486777985752788</v>
      </c>
      <c r="IJ51" s="38">
        <f t="shared" si="495"/>
        <v>88.546800017478972</v>
      </c>
      <c r="IK51" s="38">
        <f t="shared" si="496"/>
        <v>138.48677798575278</v>
      </c>
      <c r="IL51" s="38">
        <f>+'Irradiancia Horizontal'!M72/COS(RADIANS(IK51))</f>
        <v>0</v>
      </c>
      <c r="IM51" s="38" t="e">
        <f>((('Irradiancia Horizontal'!M43+IL51)/'Irradiancia Horizontal'!M43)+1.041*((RADIANS('Cálculos iluminancia'!IK51))^3))/(1+1.041*((RADIANS('Cálculos iluminancia'!IK51))^3))</f>
        <v>#DIV/0!</v>
      </c>
      <c r="IN51" s="88" t="e">
        <f t="shared" si="497"/>
        <v>#NUM!</v>
      </c>
      <c r="IO51" s="88" t="e">
        <f t="shared" si="620"/>
        <v>#NUM!</v>
      </c>
      <c r="IP51" s="106" t="e">
        <f>'Irradiancia Horizontal'!M43*IO51/$IN$46</f>
        <v>#NUM!</v>
      </c>
      <c r="IQ51" s="88">
        <f>((17.27*Temp!L13)/(237.7+Temp!L13))+LN(HR!L24/100)</f>
        <v>0.62707972037123638</v>
      </c>
      <c r="IR51" s="88">
        <f t="shared" si="621"/>
        <v>8.9561715749303428</v>
      </c>
      <c r="IS51" s="88">
        <f t="shared" si="622"/>
        <v>1.736604917364766</v>
      </c>
      <c r="IT51" s="88" t="e">
        <f t="shared" si="498"/>
        <v>#DIV/0!</v>
      </c>
      <c r="IU51" s="88" t="e">
        <f t="shared" si="499"/>
        <v>#DIV/0!</v>
      </c>
      <c r="IV51" s="88" t="e">
        <f t="shared" si="500"/>
        <v>#DIV/0!</v>
      </c>
      <c r="IW51" s="88" t="e">
        <f t="shared" si="501"/>
        <v>#DIV/0!</v>
      </c>
      <c r="IX51" s="88" t="e">
        <f t="shared" si="502"/>
        <v>#DIV/0!</v>
      </c>
      <c r="IY51" s="103">
        <f t="shared" si="503"/>
        <v>0</v>
      </c>
      <c r="IZ51" s="165">
        <f>IF(JF51&gt;(IY51*'Irradiancia Horizontal'!M11),JF51,IY51*'Irradiancia Horizontal'!M11)</f>
        <v>0</v>
      </c>
      <c r="JA51" s="88" t="e">
        <f t="shared" si="504"/>
        <v>#DIV/0!</v>
      </c>
      <c r="JB51" s="88" t="e">
        <f t="shared" si="505"/>
        <v>#DIV/0!</v>
      </c>
      <c r="JC51" s="88" t="e">
        <f t="shared" si="506"/>
        <v>#DIV/0!</v>
      </c>
      <c r="JD51" s="88" t="e">
        <f t="shared" si="507"/>
        <v>#DIV/0!</v>
      </c>
      <c r="JE51" s="103">
        <f t="shared" si="508"/>
        <v>0</v>
      </c>
      <c r="JF51" s="88">
        <f>+JE51*'Irradiancia Horizontal'!M43</f>
        <v>0</v>
      </c>
      <c r="JG51" s="88">
        <f t="shared" si="623"/>
        <v>0</v>
      </c>
      <c r="JH51" s="88" t="e">
        <f>+JG51/'Irradiancia Horizontal'!M72</f>
        <v>#DIV/0!</v>
      </c>
      <c r="JI51" s="38">
        <f t="shared" si="509"/>
        <v>-1.6808695611043145E-2</v>
      </c>
      <c r="JJ51" s="88">
        <f t="shared" si="624"/>
        <v>0</v>
      </c>
      <c r="JK51" s="88">
        <f t="shared" si="625"/>
        <v>8.6999999999999994E-2</v>
      </c>
      <c r="JL51" s="88" t="e">
        <f t="shared" si="626"/>
        <v>#DIV/0!</v>
      </c>
      <c r="JM51" s="88" t="e">
        <f t="shared" si="627"/>
        <v>#DIV/0!</v>
      </c>
      <c r="JN51" s="88" t="e">
        <f t="shared" si="628"/>
        <v>#DIV/0!</v>
      </c>
      <c r="JO51" s="88" t="e">
        <f t="shared" si="629"/>
        <v>#DIV/0!</v>
      </c>
      <c r="JP51" s="88" t="e">
        <f t="shared" si="630"/>
        <v>#DIV/0!</v>
      </c>
      <c r="JQ51" s="88" t="e">
        <f t="shared" si="631"/>
        <v>#DIV/0!</v>
      </c>
      <c r="JR51" s="88" t="e">
        <f t="shared" si="510"/>
        <v>#DIV/0!</v>
      </c>
      <c r="JS51" s="88" t="e">
        <f t="shared" si="511"/>
        <v>#DIV/0!</v>
      </c>
      <c r="JT51" s="88">
        <f t="shared" si="512"/>
        <v>0</v>
      </c>
      <c r="JU51" s="88" t="e">
        <f t="shared" si="513"/>
        <v>#DIV/0!</v>
      </c>
      <c r="JV51" s="88" t="e">
        <f t="shared" si="514"/>
        <v>#DIV/0!</v>
      </c>
      <c r="JW51" s="88" t="e">
        <f t="shared" si="515"/>
        <v>#DIV/0!</v>
      </c>
      <c r="JX51" s="88" t="e">
        <f t="shared" si="516"/>
        <v>#DIV/0!</v>
      </c>
      <c r="JY51" s="88" t="e">
        <f t="shared" si="517"/>
        <v>#DIV/0!</v>
      </c>
      <c r="JZ51" s="88" t="e">
        <f t="shared" si="518"/>
        <v>#DIV/0!</v>
      </c>
      <c r="KA51" s="88" t="e">
        <f t="shared" si="519"/>
        <v>#DIV/0!</v>
      </c>
      <c r="KB51" s="88" t="e">
        <f t="shared" si="520"/>
        <v>#DIV/0!</v>
      </c>
      <c r="KC51" s="106">
        <f>IF(II51&lt;0,0,((0.5*(1-KA51)*(1+COS(RADIANS($IP$46))))+(KA51*(JJ51/JK51))+(KB51*SIN(RADIANS($IP$46))))*'Irradiancia Horizontal'!M43)</f>
        <v>0</v>
      </c>
      <c r="KD51" s="88">
        <f t="shared" si="521"/>
        <v>0</v>
      </c>
      <c r="KE51" s="88">
        <f>KD51*'Irradiancia Horizontal'!M72</f>
        <v>0</v>
      </c>
      <c r="KF51" s="88">
        <f t="shared" si="632"/>
        <v>0</v>
      </c>
      <c r="KG51" s="88">
        <f t="shared" si="522"/>
        <v>0</v>
      </c>
      <c r="KH51" s="88">
        <f t="shared" si="633"/>
        <v>0</v>
      </c>
      <c r="KI51" s="106">
        <f t="shared" si="634"/>
        <v>0</v>
      </c>
      <c r="KJ51" s="106">
        <f t="shared" si="635"/>
        <v>0</v>
      </c>
      <c r="KK51" s="106">
        <f t="shared" si="636"/>
        <v>0</v>
      </c>
      <c r="KL51" s="40"/>
      <c r="KN51" s="39">
        <v>0.125</v>
      </c>
      <c r="KO51" s="38">
        <v>135</v>
      </c>
      <c r="KP51" s="38">
        <f t="shared" si="523"/>
        <v>-49.494624805188721</v>
      </c>
      <c r="KQ51" s="38">
        <f t="shared" si="524"/>
        <v>92.867225270837807</v>
      </c>
      <c r="KR51" s="38">
        <f t="shared" si="525"/>
        <v>139.49462480518872</v>
      </c>
      <c r="KS51" s="38">
        <f>+'Irradiancia Horizontal'!N72/COS(RADIANS(KR51))</f>
        <v>0</v>
      </c>
      <c r="KT51" s="38" t="e">
        <f>((('Irradiancia Horizontal'!N43+KS51)/'Irradiancia Horizontal'!N43)+1.041*((RADIANS('Cálculos iluminancia'!KR51))^3))/(1+1.041*((RADIANS('Cálculos iluminancia'!KR51))^3))</f>
        <v>#DIV/0!</v>
      </c>
      <c r="KU51" s="88" t="e">
        <f t="shared" si="526"/>
        <v>#NUM!</v>
      </c>
      <c r="KV51" s="88" t="e">
        <f t="shared" si="637"/>
        <v>#NUM!</v>
      </c>
      <c r="KW51" s="106" t="e">
        <f>'Irradiancia Horizontal'!N43*KV51/$KU$46</f>
        <v>#NUM!</v>
      </c>
      <c r="KX51" s="88">
        <f>((17.27*Temp!M13)/(237.7+Temp!M13))+LN(HR!M24/100)</f>
        <v>0.35754026937132083</v>
      </c>
      <c r="KY51" s="88">
        <f t="shared" si="638"/>
        <v>5.02513078423772</v>
      </c>
      <c r="KZ51" s="88">
        <f t="shared" si="639"/>
        <v>1.3188486945309292</v>
      </c>
      <c r="LA51" s="88" t="e">
        <f t="shared" si="527"/>
        <v>#DIV/0!</v>
      </c>
      <c r="LB51" s="88" t="e">
        <f t="shared" si="528"/>
        <v>#DIV/0!</v>
      </c>
      <c r="LC51" s="88" t="e">
        <f t="shared" si="529"/>
        <v>#DIV/0!</v>
      </c>
      <c r="LD51" s="88" t="e">
        <f t="shared" si="530"/>
        <v>#DIV/0!</v>
      </c>
      <c r="LE51" s="88" t="e">
        <f t="shared" si="531"/>
        <v>#DIV/0!</v>
      </c>
      <c r="LF51" s="103">
        <f t="shared" si="532"/>
        <v>0</v>
      </c>
      <c r="LG51" s="165">
        <f>IF(LM51&gt;(LF51*'Irradiancia Horizontal'!N11),LM51,LF51*'Irradiancia Horizontal'!N11)</f>
        <v>0</v>
      </c>
      <c r="LH51" s="88" t="e">
        <f t="shared" si="533"/>
        <v>#DIV/0!</v>
      </c>
      <c r="LI51" s="88" t="e">
        <f t="shared" si="534"/>
        <v>#DIV/0!</v>
      </c>
      <c r="LJ51" s="88" t="e">
        <f t="shared" si="535"/>
        <v>#DIV/0!</v>
      </c>
      <c r="LK51" s="88" t="e">
        <f t="shared" si="536"/>
        <v>#DIV/0!</v>
      </c>
      <c r="LL51" s="103">
        <f t="shared" si="537"/>
        <v>0</v>
      </c>
      <c r="LM51" s="88">
        <f>+LL51*'Irradiancia Horizontal'!N43</f>
        <v>0</v>
      </c>
      <c r="LN51" s="88">
        <f t="shared" si="640"/>
        <v>0</v>
      </c>
      <c r="LO51" s="88" t="e">
        <f>+LN51/'Irradiancia Horizontal'!N72</f>
        <v>#DIV/0!</v>
      </c>
      <c r="LP51" s="38">
        <f t="shared" si="538"/>
        <v>3.2490023090027575E-2</v>
      </c>
      <c r="LQ51" s="88">
        <f t="shared" si="641"/>
        <v>3.2490023090027575E-2</v>
      </c>
      <c r="LR51" s="88">
        <f t="shared" si="642"/>
        <v>8.6999999999999994E-2</v>
      </c>
      <c r="LS51" s="88" t="e">
        <f t="shared" si="643"/>
        <v>#DIV/0!</v>
      </c>
      <c r="LT51" s="88" t="e">
        <f t="shared" si="644"/>
        <v>#DIV/0!</v>
      </c>
      <c r="LU51" s="88" t="e">
        <f t="shared" si="645"/>
        <v>#DIV/0!</v>
      </c>
      <c r="LV51" s="88" t="e">
        <f t="shared" si="646"/>
        <v>#DIV/0!</v>
      </c>
      <c r="LW51" s="88" t="e">
        <f t="shared" si="647"/>
        <v>#DIV/0!</v>
      </c>
      <c r="LX51" s="88" t="e">
        <f t="shared" si="648"/>
        <v>#DIV/0!</v>
      </c>
      <c r="LY51" s="88" t="e">
        <f t="shared" si="539"/>
        <v>#DIV/0!</v>
      </c>
      <c r="LZ51" s="88" t="e">
        <f t="shared" si="540"/>
        <v>#DIV/0!</v>
      </c>
      <c r="MA51" s="88">
        <f t="shared" si="541"/>
        <v>0</v>
      </c>
      <c r="MB51" s="88" t="e">
        <f t="shared" si="542"/>
        <v>#DIV/0!</v>
      </c>
      <c r="MC51" s="88" t="e">
        <f t="shared" si="543"/>
        <v>#DIV/0!</v>
      </c>
      <c r="MD51" s="88" t="e">
        <f t="shared" si="544"/>
        <v>#DIV/0!</v>
      </c>
      <c r="ME51" s="88" t="e">
        <f t="shared" si="545"/>
        <v>#DIV/0!</v>
      </c>
      <c r="MF51" s="88" t="e">
        <f t="shared" si="546"/>
        <v>#DIV/0!</v>
      </c>
      <c r="MG51" s="88" t="e">
        <f t="shared" si="547"/>
        <v>#DIV/0!</v>
      </c>
      <c r="MH51" s="88" t="e">
        <f t="shared" si="548"/>
        <v>#DIV/0!</v>
      </c>
      <c r="MI51" s="88" t="e">
        <f t="shared" si="549"/>
        <v>#DIV/0!</v>
      </c>
      <c r="MJ51" s="106">
        <f>IF(KP51&lt;0,0,((0.5*(1-MH51)*(1+COS(RADIANS($KW$46))))+(MH51*(LQ51/LR51))+(MI51*SIN(RADIANS($KW$46))))*'Irradiancia Horizontal'!N43)</f>
        <v>0</v>
      </c>
      <c r="MK51" s="88">
        <f t="shared" si="550"/>
        <v>-4.2730630990883998E-2</v>
      </c>
      <c r="ML51" s="88">
        <f>MK51*'Irradiancia Horizontal'!N72</f>
        <v>0</v>
      </c>
      <c r="MM51" s="88">
        <f t="shared" si="649"/>
        <v>0</v>
      </c>
      <c r="MN51" s="88">
        <f t="shared" si="551"/>
        <v>0</v>
      </c>
      <c r="MO51" s="88">
        <f t="shared" si="650"/>
        <v>0</v>
      </c>
      <c r="MP51" s="106">
        <f t="shared" si="651"/>
        <v>0</v>
      </c>
      <c r="MQ51" s="106">
        <f t="shared" si="652"/>
        <v>0</v>
      </c>
      <c r="MR51" s="106">
        <f t="shared" si="653"/>
        <v>0</v>
      </c>
    </row>
    <row r="52" spans="1:356" x14ac:dyDescent="0.25">
      <c r="E52" s="39">
        <v>0.16666666666666699</v>
      </c>
      <c r="F52" s="38">
        <v>120</v>
      </c>
      <c r="G52" s="38">
        <f t="shared" si="378"/>
        <v>-13.869303302725935</v>
      </c>
      <c r="H52" s="38">
        <f t="shared" si="379"/>
        <v>56.705551891658374</v>
      </c>
      <c r="I52" s="38">
        <f t="shared" si="380"/>
        <v>103.86930330272594</v>
      </c>
      <c r="J52" s="38">
        <f>+'Irradiancia Horizontal'!I73/COS(RADIANS(I52))</f>
        <v>0</v>
      </c>
      <c r="K52" s="38" t="e">
        <f>((('Irradiancia Horizontal'!I44+J52)/'Irradiancia Horizontal'!I44)+1.041*((RADIANS('Cálculos iluminancia'!I52))^3))/(1+1.041*((RADIANS('Cálculos iluminancia'!I52))^3))</f>
        <v>#DIV/0!</v>
      </c>
      <c r="L52" s="87" t="e">
        <f t="shared" si="381"/>
        <v>#NUM!</v>
      </c>
      <c r="M52" s="87" t="e">
        <f t="shared" si="552"/>
        <v>#NUM!</v>
      </c>
      <c r="N52" s="106" t="e">
        <f>'Irradiancia Horizontal'!I44*M52/$L$46</f>
        <v>#NUM!</v>
      </c>
      <c r="O52" s="87">
        <f>((17.27*Temp!H14)/(237.7+Temp!H14))+LN(HR!H25/100)</f>
        <v>1.249892387639588</v>
      </c>
      <c r="P52" s="87">
        <f t="shared" si="553"/>
        <v>18.545407292564075</v>
      </c>
      <c r="Q52" s="87">
        <f t="shared" si="554"/>
        <v>3.3979710737297957</v>
      </c>
      <c r="R52" s="87" t="e">
        <f t="shared" si="382"/>
        <v>#DIV/0!</v>
      </c>
      <c r="S52" s="87" t="e">
        <f t="shared" si="383"/>
        <v>#DIV/0!</v>
      </c>
      <c r="T52" s="87" t="e">
        <f t="shared" si="384"/>
        <v>#DIV/0!</v>
      </c>
      <c r="U52" s="87" t="e">
        <f t="shared" si="385"/>
        <v>#DIV/0!</v>
      </c>
      <c r="V52" s="87" t="e">
        <f t="shared" si="386"/>
        <v>#DIV/0!</v>
      </c>
      <c r="W52" s="103">
        <f t="shared" si="387"/>
        <v>0</v>
      </c>
      <c r="X52" s="165">
        <f>IF(AD52&gt;(W52*'Irradiancia Horizontal'!I12),AD52,W52*'Irradiancia Horizontal'!I12)</f>
        <v>0</v>
      </c>
      <c r="Y52" s="87" t="e">
        <f t="shared" si="388"/>
        <v>#DIV/0!</v>
      </c>
      <c r="Z52" s="87" t="e">
        <f t="shared" si="389"/>
        <v>#DIV/0!</v>
      </c>
      <c r="AA52" s="87" t="e">
        <f t="shared" si="390"/>
        <v>#DIV/0!</v>
      </c>
      <c r="AB52" s="87" t="e">
        <f t="shared" si="391"/>
        <v>#DIV/0!</v>
      </c>
      <c r="AC52" s="103">
        <f t="shared" si="392"/>
        <v>0</v>
      </c>
      <c r="AD52" s="87">
        <f>+AC52*'Irradiancia Horizontal'!I44</f>
        <v>0</v>
      </c>
      <c r="AE52" s="87">
        <f t="shared" si="393"/>
        <v>0</v>
      </c>
      <c r="AF52" s="87" t="e">
        <f>+AE52/'Irradiancia Horizontal'!I73</f>
        <v>#DIV/0!</v>
      </c>
      <c r="AG52" s="38">
        <f t="shared" si="555"/>
        <v>-0.53293745324411912</v>
      </c>
      <c r="AH52" s="87">
        <f t="shared" si="556"/>
        <v>0</v>
      </c>
      <c r="AI52" s="87">
        <f t="shared" si="557"/>
        <v>8.6999999999999994E-2</v>
      </c>
      <c r="AJ52" s="87" t="e">
        <f t="shared" si="558"/>
        <v>#DIV/0!</v>
      </c>
      <c r="AK52" s="87" t="e">
        <f t="shared" si="559"/>
        <v>#DIV/0!</v>
      </c>
      <c r="AL52" s="87" t="e">
        <f t="shared" si="560"/>
        <v>#DIV/0!</v>
      </c>
      <c r="AM52" s="87" t="e">
        <f t="shared" si="561"/>
        <v>#DIV/0!</v>
      </c>
      <c r="AN52" s="87" t="e">
        <f t="shared" si="562"/>
        <v>#DIV/0!</v>
      </c>
      <c r="AO52" s="87" t="e">
        <f t="shared" si="563"/>
        <v>#DIV/0!</v>
      </c>
      <c r="AP52" s="87" t="e">
        <f t="shared" si="394"/>
        <v>#DIV/0!</v>
      </c>
      <c r="AQ52" s="87" t="e">
        <f t="shared" si="395"/>
        <v>#DIV/0!</v>
      </c>
      <c r="AR52" s="88">
        <f t="shared" si="396"/>
        <v>0</v>
      </c>
      <c r="AS52" s="87" t="e">
        <f t="shared" si="397"/>
        <v>#DIV/0!</v>
      </c>
      <c r="AT52" s="87" t="e">
        <f t="shared" si="398"/>
        <v>#DIV/0!</v>
      </c>
      <c r="AU52" s="87" t="e">
        <f t="shared" si="399"/>
        <v>#DIV/0!</v>
      </c>
      <c r="AV52" s="87" t="e">
        <f t="shared" si="400"/>
        <v>#DIV/0!</v>
      </c>
      <c r="AW52" s="87" t="e">
        <f t="shared" si="401"/>
        <v>#DIV/0!</v>
      </c>
      <c r="AX52" s="87" t="e">
        <f t="shared" si="402"/>
        <v>#DIV/0!</v>
      </c>
      <c r="AY52" s="87" t="e">
        <f t="shared" si="403"/>
        <v>#DIV/0!</v>
      </c>
      <c r="AZ52" s="87" t="e">
        <f t="shared" si="404"/>
        <v>#DIV/0!</v>
      </c>
      <c r="BA52" s="106">
        <f>IF(G52&lt;0,0,((0.5*(1-AY52)*(1+COS(RADIANS($N$46))))+(AY52*(AH52/AI52))+(AZ52*SIN(RADIANS($N$46))))*'Irradiancia Horizontal'!I44)</f>
        <v>0</v>
      </c>
      <c r="BB52" s="87">
        <f t="shared" si="405"/>
        <v>0</v>
      </c>
      <c r="BC52" s="87">
        <f>BB52*'Irradiancia Horizontal'!I73</f>
        <v>0</v>
      </c>
      <c r="BD52" s="87">
        <f t="shared" si="564"/>
        <v>0</v>
      </c>
      <c r="BE52" s="88">
        <f t="shared" si="406"/>
        <v>0</v>
      </c>
      <c r="BF52" s="87">
        <f t="shared" si="565"/>
        <v>0</v>
      </c>
      <c r="BG52" s="106">
        <f t="shared" si="566"/>
        <v>0</v>
      </c>
      <c r="BH52" s="106">
        <f t="shared" si="567"/>
        <v>0</v>
      </c>
      <c r="BI52" s="106">
        <f t="shared" si="568"/>
        <v>0</v>
      </c>
      <c r="BJ52" s="44"/>
      <c r="BL52" s="39">
        <v>0.16666666666666699</v>
      </c>
      <c r="BM52" s="38">
        <v>120</v>
      </c>
      <c r="BN52" s="38">
        <f t="shared" si="407"/>
        <v>-19.195820278510361</v>
      </c>
      <c r="BO52" s="38">
        <f t="shared" si="408"/>
        <v>63.868024811432448</v>
      </c>
      <c r="BP52" s="38">
        <f t="shared" si="409"/>
        <v>109.19582027851035</v>
      </c>
      <c r="BQ52" s="38">
        <f>+'Irradiancia Horizontal'!J73/COS(RADIANS(BP52))</f>
        <v>0</v>
      </c>
      <c r="BR52" s="38" t="e">
        <f>((('Irradiancia Horizontal'!J44+BQ52)/'Irradiancia Horizontal'!J44)+1.041*((RADIANS('Cálculos iluminancia'!BP52))^3))/(1+1.041*((RADIANS('Cálculos iluminancia'!BP52))^3))</f>
        <v>#DIV/0!</v>
      </c>
      <c r="BS52" s="87" t="e">
        <f t="shared" si="410"/>
        <v>#NUM!</v>
      </c>
      <c r="BT52" s="87" t="e">
        <f t="shared" si="569"/>
        <v>#NUM!</v>
      </c>
      <c r="BU52" s="106" t="e">
        <f>'Irradiancia Horizontal'!J44*BT52/$BS$46</f>
        <v>#NUM!</v>
      </c>
      <c r="BV52" s="87">
        <f>((17.27*Temp!I14)/(237.7+Temp!I14))+LN(HR!I25/100)</f>
        <v>1.4175024547599109</v>
      </c>
      <c r="BW52" s="87">
        <f t="shared" si="570"/>
        <v>21.254716017767269</v>
      </c>
      <c r="BX52" s="87">
        <f t="shared" si="571"/>
        <v>4.1075638734131168</v>
      </c>
      <c r="BY52" s="87" t="e">
        <f t="shared" si="411"/>
        <v>#DIV/0!</v>
      </c>
      <c r="BZ52" s="87" t="e">
        <f t="shared" si="412"/>
        <v>#DIV/0!</v>
      </c>
      <c r="CA52" s="87" t="e">
        <f t="shared" si="413"/>
        <v>#DIV/0!</v>
      </c>
      <c r="CB52" s="87" t="e">
        <f t="shared" si="414"/>
        <v>#DIV/0!</v>
      </c>
      <c r="CC52" s="87" t="e">
        <f t="shared" si="415"/>
        <v>#DIV/0!</v>
      </c>
      <c r="CD52" s="103">
        <f t="shared" si="416"/>
        <v>0</v>
      </c>
      <c r="CE52" s="165">
        <f>IF(CK52&gt;(CD52*'Irradiancia Horizontal'!J12),CK52,CD52*'Irradiancia Horizontal'!J12)</f>
        <v>0</v>
      </c>
      <c r="CF52" s="87" t="e">
        <f t="shared" si="417"/>
        <v>#DIV/0!</v>
      </c>
      <c r="CG52" s="87" t="e">
        <f t="shared" si="418"/>
        <v>#DIV/0!</v>
      </c>
      <c r="CH52" s="87" t="e">
        <f t="shared" si="419"/>
        <v>#DIV/0!</v>
      </c>
      <c r="CI52" s="87" t="e">
        <f t="shared" si="420"/>
        <v>#DIV/0!</v>
      </c>
      <c r="CJ52" s="103">
        <f t="shared" si="421"/>
        <v>0</v>
      </c>
      <c r="CK52" s="87">
        <f>+CJ52*'Irradiancia Horizontal'!J44</f>
        <v>0</v>
      </c>
      <c r="CL52" s="87">
        <f t="shared" si="572"/>
        <v>0</v>
      </c>
      <c r="CM52" s="87" t="e">
        <f>+CL52/'Irradiancia Horizontal'!J73</f>
        <v>#DIV/0!</v>
      </c>
      <c r="CN52" s="38">
        <f t="shared" si="422"/>
        <v>-0.4159519447874227</v>
      </c>
      <c r="CO52" s="87">
        <f t="shared" si="573"/>
        <v>0</v>
      </c>
      <c r="CP52" s="87">
        <f t="shared" si="574"/>
        <v>8.6999999999999994E-2</v>
      </c>
      <c r="CQ52" s="87" t="e">
        <f t="shared" si="575"/>
        <v>#DIV/0!</v>
      </c>
      <c r="CR52" s="87" t="e">
        <f t="shared" si="576"/>
        <v>#DIV/0!</v>
      </c>
      <c r="CS52" s="87" t="e">
        <f t="shared" si="577"/>
        <v>#DIV/0!</v>
      </c>
      <c r="CT52" s="87" t="e">
        <f t="shared" si="578"/>
        <v>#DIV/0!</v>
      </c>
      <c r="CU52" s="87" t="e">
        <f t="shared" si="579"/>
        <v>#DIV/0!</v>
      </c>
      <c r="CV52" s="87" t="e">
        <f t="shared" si="580"/>
        <v>#DIV/0!</v>
      </c>
      <c r="CW52" s="87" t="e">
        <f t="shared" si="423"/>
        <v>#DIV/0!</v>
      </c>
      <c r="CX52" s="87" t="e">
        <f t="shared" si="424"/>
        <v>#DIV/0!</v>
      </c>
      <c r="CY52" s="88">
        <f t="shared" si="425"/>
        <v>0</v>
      </c>
      <c r="CZ52" s="87" t="e">
        <f t="shared" si="426"/>
        <v>#DIV/0!</v>
      </c>
      <c r="DA52" s="87" t="e">
        <f t="shared" si="427"/>
        <v>#DIV/0!</v>
      </c>
      <c r="DB52" s="87" t="e">
        <f t="shared" si="428"/>
        <v>#DIV/0!</v>
      </c>
      <c r="DC52" s="87" t="e">
        <f t="shared" si="429"/>
        <v>#DIV/0!</v>
      </c>
      <c r="DD52" s="87" t="e">
        <f t="shared" si="430"/>
        <v>#DIV/0!</v>
      </c>
      <c r="DE52" s="87" t="e">
        <f t="shared" si="431"/>
        <v>#DIV/0!</v>
      </c>
      <c r="DF52" s="87" t="e">
        <f t="shared" si="432"/>
        <v>#DIV/0!</v>
      </c>
      <c r="DG52" s="87" t="e">
        <f t="shared" si="433"/>
        <v>#DIV/0!</v>
      </c>
      <c r="DH52" s="106">
        <f>IF(BN52&lt;0,0,((0.5*(1-DF52)*(1+COS(RADIANS($BU$46))))+(DF52*(CO52/CP52))+(DG52*SIN(RADIANS($BU$46))))*'Irradiancia Horizontal'!J44)</f>
        <v>0</v>
      </c>
      <c r="DI52" s="87">
        <f t="shared" si="434"/>
        <v>0</v>
      </c>
      <c r="DJ52" s="87">
        <f>DI52*'Irradiancia Horizontal'!J73</f>
        <v>0</v>
      </c>
      <c r="DK52" s="87">
        <f t="shared" si="581"/>
        <v>0</v>
      </c>
      <c r="DL52" s="88">
        <f t="shared" si="435"/>
        <v>0</v>
      </c>
      <c r="DM52" s="87">
        <f t="shared" si="582"/>
        <v>0</v>
      </c>
      <c r="DN52" s="106">
        <f t="shared" si="583"/>
        <v>0</v>
      </c>
      <c r="DO52" s="106">
        <f t="shared" si="584"/>
        <v>0</v>
      </c>
      <c r="DP52" s="106">
        <f t="shared" si="585"/>
        <v>0</v>
      </c>
      <c r="DQ52" s="44"/>
      <c r="DS52" s="39">
        <v>0.16666666666666699</v>
      </c>
      <c r="DT52" s="38">
        <v>120</v>
      </c>
      <c r="DU52" s="38">
        <f t="shared" si="436"/>
        <v>-26.019714198290455</v>
      </c>
      <c r="DV52" s="38">
        <f t="shared" si="437"/>
        <v>74.514348919386748</v>
      </c>
      <c r="DW52" s="38">
        <f t="shared" si="438"/>
        <v>116.01971419829046</v>
      </c>
      <c r="DX52" s="38">
        <f>+'Irradiancia Horizontal'!K73/COS(RADIANS(DW52))</f>
        <v>0</v>
      </c>
      <c r="DY52" s="38" t="e">
        <f>((('Irradiancia Horizontal'!K44+DX52)/'Irradiancia Horizontal'!K44)+1.041*((RADIANS('Cálculos iluminancia'!DW52))^3))/(1+1.041*((RADIANS('Cálculos iluminancia'!DW52))^3))</f>
        <v>#DIV/0!</v>
      </c>
      <c r="DZ52" s="87" t="e">
        <f t="shared" si="439"/>
        <v>#NUM!</v>
      </c>
      <c r="EA52" s="87" t="e">
        <f t="shared" si="586"/>
        <v>#NUM!</v>
      </c>
      <c r="EB52" s="106" t="e">
        <f>'Irradiancia Horizontal'!K44*EA52/$DZ$46</f>
        <v>#NUM!</v>
      </c>
      <c r="EC52" s="87">
        <f>((17.27*Temp!J14)/(237.7+Temp!J14))+LN(HR!J25/100)</f>
        <v>1.2859714174473922</v>
      </c>
      <c r="ED52" s="87">
        <f t="shared" si="587"/>
        <v>19.123802510019633</v>
      </c>
      <c r="EE52" s="87">
        <f t="shared" si="588"/>
        <v>3.5383700232600295</v>
      </c>
      <c r="EF52" s="87" t="e">
        <f t="shared" si="440"/>
        <v>#DIV/0!</v>
      </c>
      <c r="EG52" s="87" t="e">
        <f t="shared" si="441"/>
        <v>#DIV/0!</v>
      </c>
      <c r="EH52" s="87" t="e">
        <f t="shared" si="442"/>
        <v>#DIV/0!</v>
      </c>
      <c r="EI52" s="87" t="e">
        <f t="shared" si="443"/>
        <v>#DIV/0!</v>
      </c>
      <c r="EJ52" s="87" t="e">
        <f t="shared" si="444"/>
        <v>#DIV/0!</v>
      </c>
      <c r="EK52" s="103">
        <f t="shared" si="445"/>
        <v>0</v>
      </c>
      <c r="EL52" s="165">
        <f>IF(ER52&gt;(EK52*'Irradiancia Horizontal'!K12),ER52,EK52*'Irradiancia Horizontal'!K12)</f>
        <v>0</v>
      </c>
      <c r="EM52" s="87" t="e">
        <f t="shared" si="446"/>
        <v>#DIV/0!</v>
      </c>
      <c r="EN52" s="87" t="e">
        <f t="shared" si="447"/>
        <v>#DIV/0!</v>
      </c>
      <c r="EO52" s="87" t="e">
        <f t="shared" si="448"/>
        <v>#DIV/0!</v>
      </c>
      <c r="EP52" s="87" t="e">
        <f t="shared" si="449"/>
        <v>#DIV/0!</v>
      </c>
      <c r="EQ52" s="103">
        <f t="shared" si="450"/>
        <v>0</v>
      </c>
      <c r="ER52" s="87">
        <f>+EQ52*'Irradiancia Horizontal'!K44</f>
        <v>0</v>
      </c>
      <c r="ES52" s="87">
        <f t="shared" si="589"/>
        <v>0</v>
      </c>
      <c r="ET52" s="87" t="e">
        <f>+ES52/'Irradiancia Horizontal'!K73</f>
        <v>#DIV/0!</v>
      </c>
      <c r="EU52" s="38">
        <f t="shared" si="451"/>
        <v>-0.23993506361696706</v>
      </c>
      <c r="EV52" s="87">
        <f t="shared" si="590"/>
        <v>0</v>
      </c>
      <c r="EW52" s="87">
        <f t="shared" si="591"/>
        <v>8.6999999999999994E-2</v>
      </c>
      <c r="EX52" s="87" t="e">
        <f t="shared" si="592"/>
        <v>#DIV/0!</v>
      </c>
      <c r="EY52" s="87" t="e">
        <f t="shared" si="593"/>
        <v>#DIV/0!</v>
      </c>
      <c r="EZ52" s="87" t="e">
        <f t="shared" si="594"/>
        <v>#DIV/0!</v>
      </c>
      <c r="FA52" s="87" t="e">
        <f t="shared" si="595"/>
        <v>#DIV/0!</v>
      </c>
      <c r="FB52" s="87" t="e">
        <f t="shared" si="596"/>
        <v>#DIV/0!</v>
      </c>
      <c r="FC52" s="87" t="e">
        <f t="shared" si="597"/>
        <v>#DIV/0!</v>
      </c>
      <c r="FD52" s="87" t="e">
        <f t="shared" si="452"/>
        <v>#DIV/0!</v>
      </c>
      <c r="FE52" s="87" t="e">
        <f t="shared" si="453"/>
        <v>#DIV/0!</v>
      </c>
      <c r="FF52" s="88">
        <f t="shared" si="454"/>
        <v>0</v>
      </c>
      <c r="FG52" s="87" t="e">
        <f t="shared" si="455"/>
        <v>#DIV/0!</v>
      </c>
      <c r="FH52" s="87" t="e">
        <f t="shared" si="456"/>
        <v>#DIV/0!</v>
      </c>
      <c r="FI52" s="87" t="e">
        <f t="shared" si="457"/>
        <v>#DIV/0!</v>
      </c>
      <c r="FJ52" s="87" t="e">
        <f t="shared" si="458"/>
        <v>#DIV/0!</v>
      </c>
      <c r="FK52" s="87" t="e">
        <f t="shared" si="459"/>
        <v>#DIV/0!</v>
      </c>
      <c r="FL52" s="87" t="e">
        <f t="shared" si="460"/>
        <v>#DIV/0!</v>
      </c>
      <c r="FM52" s="87" t="e">
        <f t="shared" si="461"/>
        <v>#DIV/0!</v>
      </c>
      <c r="FN52" s="87" t="e">
        <f t="shared" si="462"/>
        <v>#DIV/0!</v>
      </c>
      <c r="FO52" s="106">
        <f>IF(DU52&lt;0,0,((0.5*(1-FM52)*(1+COS(RADIANS($EB$46))))+(FM52*(EV52/EW52))+(FN52*SIN(RADIANS($EB$46))))*'Irradiancia Horizontal'!K44)</f>
        <v>0</v>
      </c>
      <c r="FP52" s="87">
        <f t="shared" si="463"/>
        <v>0</v>
      </c>
      <c r="FQ52" s="87">
        <f>FP52*'Irradiancia Horizontal'!K73</f>
        <v>0</v>
      </c>
      <c r="FR52" s="87">
        <f t="shared" si="598"/>
        <v>0</v>
      </c>
      <c r="FS52" s="88">
        <f t="shared" si="464"/>
        <v>0</v>
      </c>
      <c r="FT52" s="87">
        <f t="shared" si="599"/>
        <v>0</v>
      </c>
      <c r="FU52" s="106">
        <f t="shared" si="600"/>
        <v>0</v>
      </c>
      <c r="FV52" s="106">
        <f t="shared" si="601"/>
        <v>0</v>
      </c>
      <c r="FW52" s="106">
        <f t="shared" si="602"/>
        <v>0</v>
      </c>
      <c r="FX52" s="83"/>
      <c r="FZ52" s="39">
        <v>0.16666666666666699</v>
      </c>
      <c r="GA52" s="38">
        <v>120</v>
      </c>
      <c r="GB52" s="38">
        <f t="shared" si="465"/>
        <v>-31.790733696612147</v>
      </c>
      <c r="GC52" s="38">
        <f t="shared" si="466"/>
        <v>85.959773722349823</v>
      </c>
      <c r="GD52" s="38">
        <f t="shared" si="467"/>
        <v>121.79073369661215</v>
      </c>
      <c r="GE52" s="38">
        <f>+'Irradiancia Horizontal'!L73/COS(RADIANS(GD52))</f>
        <v>0</v>
      </c>
      <c r="GF52" s="38" t="e">
        <f>((('Irradiancia Horizontal'!L44+GE52)/'Irradiancia Horizontal'!L44)+1.041*((RADIANS('Cálculos iluminancia'!GD52))^3))/(1+1.041*((RADIANS('Cálculos iluminancia'!GD52))^3))</f>
        <v>#DIV/0!</v>
      </c>
      <c r="GG52" s="88" t="e">
        <f t="shared" si="468"/>
        <v>#NUM!</v>
      </c>
      <c r="GH52" s="88" t="e">
        <f t="shared" si="603"/>
        <v>#NUM!</v>
      </c>
      <c r="GI52" s="106" t="e">
        <f>'Irradiancia Horizontal'!L44*GH52/$GG$46</f>
        <v>#NUM!</v>
      </c>
      <c r="GJ52" s="88">
        <f>((17.27*Temp!K14)/(237.7+Temp!K14))+LN(HR!K25/100)</f>
        <v>0.9159017115052126</v>
      </c>
      <c r="GK52" s="88">
        <f t="shared" si="604"/>
        <v>13.312249503719157</v>
      </c>
      <c r="GL52" s="88">
        <f t="shared" si="605"/>
        <v>2.35574603564267</v>
      </c>
      <c r="GM52" s="88" t="e">
        <f t="shared" si="469"/>
        <v>#DIV/0!</v>
      </c>
      <c r="GN52" s="88" t="e">
        <f t="shared" si="470"/>
        <v>#DIV/0!</v>
      </c>
      <c r="GO52" s="88" t="e">
        <f t="shared" si="471"/>
        <v>#DIV/0!</v>
      </c>
      <c r="GP52" s="88" t="e">
        <f t="shared" si="472"/>
        <v>#DIV/0!</v>
      </c>
      <c r="GQ52" s="88" t="e">
        <f t="shared" si="473"/>
        <v>#DIV/0!</v>
      </c>
      <c r="GR52" s="103">
        <f t="shared" si="474"/>
        <v>0</v>
      </c>
      <c r="GS52" s="165">
        <f>IF(GY52&gt;(GR52*'Irradiancia Horizontal'!L12),GY52,GR52*'Irradiancia Horizontal'!L12)</f>
        <v>0</v>
      </c>
      <c r="GT52" s="88" t="e">
        <f t="shared" si="475"/>
        <v>#DIV/0!</v>
      </c>
      <c r="GU52" s="88" t="e">
        <f t="shared" si="476"/>
        <v>#DIV/0!</v>
      </c>
      <c r="GV52" s="88" t="e">
        <f t="shared" si="477"/>
        <v>#DIV/0!</v>
      </c>
      <c r="GW52" s="88" t="e">
        <f t="shared" si="478"/>
        <v>#DIV/0!</v>
      </c>
      <c r="GX52" s="103">
        <f t="shared" si="479"/>
        <v>0</v>
      </c>
      <c r="GY52" s="88">
        <f>+GX52*'Irradiancia Horizontal'!L44</f>
        <v>0</v>
      </c>
      <c r="GZ52" s="88">
        <f t="shared" si="606"/>
        <v>0</v>
      </c>
      <c r="HA52" s="88" t="e">
        <f>+GZ52/'Irradiancia Horizontal'!L73</f>
        <v>#DIV/0!</v>
      </c>
      <c r="HB52" s="38">
        <f t="shared" si="480"/>
        <v>-5.9886746428248316E-2</v>
      </c>
      <c r="HC52" s="88">
        <f t="shared" si="607"/>
        <v>0</v>
      </c>
      <c r="HD52" s="88">
        <f t="shared" si="608"/>
        <v>8.6999999999999994E-2</v>
      </c>
      <c r="HE52" s="88" t="e">
        <f t="shared" si="609"/>
        <v>#DIV/0!</v>
      </c>
      <c r="HF52" s="88" t="e">
        <f t="shared" si="610"/>
        <v>#DIV/0!</v>
      </c>
      <c r="HG52" s="88" t="e">
        <f t="shared" si="611"/>
        <v>#DIV/0!</v>
      </c>
      <c r="HH52" s="88" t="e">
        <f t="shared" si="612"/>
        <v>#DIV/0!</v>
      </c>
      <c r="HI52" s="88" t="e">
        <f t="shared" si="613"/>
        <v>#DIV/0!</v>
      </c>
      <c r="HJ52" s="88" t="e">
        <f t="shared" si="614"/>
        <v>#DIV/0!</v>
      </c>
      <c r="HK52" s="88" t="e">
        <f t="shared" si="481"/>
        <v>#DIV/0!</v>
      </c>
      <c r="HL52" s="88" t="e">
        <f t="shared" si="482"/>
        <v>#DIV/0!</v>
      </c>
      <c r="HM52" s="88">
        <f t="shared" si="483"/>
        <v>0</v>
      </c>
      <c r="HN52" s="88" t="e">
        <f t="shared" si="484"/>
        <v>#DIV/0!</v>
      </c>
      <c r="HO52" s="88" t="e">
        <f t="shared" si="485"/>
        <v>#DIV/0!</v>
      </c>
      <c r="HP52" s="88" t="e">
        <f t="shared" si="486"/>
        <v>#DIV/0!</v>
      </c>
      <c r="HQ52" s="88" t="e">
        <f t="shared" si="487"/>
        <v>#DIV/0!</v>
      </c>
      <c r="HR52" s="88" t="e">
        <f t="shared" si="488"/>
        <v>#DIV/0!</v>
      </c>
      <c r="HS52" s="88" t="e">
        <f t="shared" si="489"/>
        <v>#DIV/0!</v>
      </c>
      <c r="HT52" s="88" t="e">
        <f t="shared" si="490"/>
        <v>#DIV/0!</v>
      </c>
      <c r="HU52" s="88" t="e">
        <f t="shared" si="491"/>
        <v>#DIV/0!</v>
      </c>
      <c r="HV52" s="106">
        <f>IF(GB52&lt;0,0,((0.5*(1-HT52)*(1+COS(RADIANS($GI$46))))+(HT52*(HC52/HD52))+(HU52*SIN(RADIANS($GI$46))))*'Irradiancia Horizontal'!L44)</f>
        <v>0</v>
      </c>
      <c r="HW52" s="88">
        <f t="shared" si="492"/>
        <v>0</v>
      </c>
      <c r="HX52" s="88">
        <f>HW52*'Irradiancia Horizontal'!L73</f>
        <v>0</v>
      </c>
      <c r="HY52" s="88">
        <f t="shared" si="615"/>
        <v>0</v>
      </c>
      <c r="HZ52" s="88">
        <f t="shared" si="493"/>
        <v>0</v>
      </c>
      <c r="IA52" s="88">
        <f t="shared" si="616"/>
        <v>0</v>
      </c>
      <c r="IB52" s="106">
        <f t="shared" si="617"/>
        <v>0</v>
      </c>
      <c r="IC52" s="106">
        <f t="shared" si="618"/>
        <v>0</v>
      </c>
      <c r="ID52" s="106">
        <f t="shared" si="619"/>
        <v>0</v>
      </c>
      <c r="IE52" s="83"/>
      <c r="IG52" s="39">
        <v>0.16666666666666699</v>
      </c>
      <c r="IH52" s="38">
        <v>120</v>
      </c>
      <c r="II52" s="38">
        <f t="shared" si="494"/>
        <v>-35.394376206101413</v>
      </c>
      <c r="IJ52" s="38">
        <f t="shared" si="495"/>
        <v>95.456282657838045</v>
      </c>
      <c r="IK52" s="38">
        <f t="shared" si="496"/>
        <v>125.39437620610141</v>
      </c>
      <c r="IL52" s="38">
        <f>+'Irradiancia Horizontal'!M73/COS(RADIANS(IK52))</f>
        <v>0</v>
      </c>
      <c r="IM52" s="38" t="e">
        <f>((('Irradiancia Horizontal'!M44+IL52)/'Irradiancia Horizontal'!M44)+1.041*((RADIANS('Cálculos iluminancia'!IK52))^3))/(1+1.041*((RADIANS('Cálculos iluminancia'!IK52))^3))</f>
        <v>#DIV/0!</v>
      </c>
      <c r="IN52" s="88" t="e">
        <f t="shared" si="497"/>
        <v>#NUM!</v>
      </c>
      <c r="IO52" s="88" t="e">
        <f t="shared" si="620"/>
        <v>#NUM!</v>
      </c>
      <c r="IP52" s="106" t="e">
        <f>'Irradiancia Horizontal'!M44*IO52/$IN$46</f>
        <v>#NUM!</v>
      </c>
      <c r="IQ52" s="88">
        <f>((17.27*Temp!L14)/(237.7+Temp!L14))+LN(HR!L25/100)</f>
        <v>0.61397880985506403</v>
      </c>
      <c r="IR52" s="88">
        <f t="shared" si="621"/>
        <v>8.7621624298184955</v>
      </c>
      <c r="IS52" s="88">
        <f t="shared" si="622"/>
        <v>1.713180132697097</v>
      </c>
      <c r="IT52" s="88" t="e">
        <f t="shared" si="498"/>
        <v>#DIV/0!</v>
      </c>
      <c r="IU52" s="88" t="e">
        <f t="shared" si="499"/>
        <v>#DIV/0!</v>
      </c>
      <c r="IV52" s="88" t="e">
        <f t="shared" si="500"/>
        <v>#DIV/0!</v>
      </c>
      <c r="IW52" s="88" t="e">
        <f t="shared" si="501"/>
        <v>#DIV/0!</v>
      </c>
      <c r="IX52" s="88" t="e">
        <f t="shared" si="502"/>
        <v>#DIV/0!</v>
      </c>
      <c r="IY52" s="103">
        <f t="shared" si="503"/>
        <v>0</v>
      </c>
      <c r="IZ52" s="165">
        <f>IF(JF52&gt;(IY52*'Irradiancia Horizontal'!M12),JF52,IY52*'Irradiancia Horizontal'!M12)</f>
        <v>0</v>
      </c>
      <c r="JA52" s="88" t="e">
        <f t="shared" si="504"/>
        <v>#DIV/0!</v>
      </c>
      <c r="JB52" s="88" t="e">
        <f t="shared" si="505"/>
        <v>#DIV/0!</v>
      </c>
      <c r="JC52" s="88" t="e">
        <f t="shared" si="506"/>
        <v>#DIV/0!</v>
      </c>
      <c r="JD52" s="88" t="e">
        <f t="shared" si="507"/>
        <v>#DIV/0!</v>
      </c>
      <c r="JE52" s="103">
        <f t="shared" si="508"/>
        <v>0</v>
      </c>
      <c r="JF52" s="88">
        <f>+JE52*'Irradiancia Horizontal'!M44</f>
        <v>0</v>
      </c>
      <c r="JG52" s="88">
        <f t="shared" si="623"/>
        <v>0</v>
      </c>
      <c r="JH52" s="88" t="e">
        <f>+JG52/'Irradiancia Horizontal'!M73</f>
        <v>#DIV/0!</v>
      </c>
      <c r="JI52" s="38">
        <f t="shared" si="509"/>
        <v>7.7512831807746152E-2</v>
      </c>
      <c r="JJ52" s="88">
        <f t="shared" si="624"/>
        <v>7.7512831807746152E-2</v>
      </c>
      <c r="JK52" s="88">
        <f t="shared" si="625"/>
        <v>8.6999999999999994E-2</v>
      </c>
      <c r="JL52" s="88" t="e">
        <f t="shared" si="626"/>
        <v>#DIV/0!</v>
      </c>
      <c r="JM52" s="88" t="e">
        <f t="shared" si="627"/>
        <v>#DIV/0!</v>
      </c>
      <c r="JN52" s="88" t="e">
        <f t="shared" si="628"/>
        <v>#DIV/0!</v>
      </c>
      <c r="JO52" s="88" t="e">
        <f t="shared" si="629"/>
        <v>#DIV/0!</v>
      </c>
      <c r="JP52" s="88" t="e">
        <f t="shared" si="630"/>
        <v>#DIV/0!</v>
      </c>
      <c r="JQ52" s="88" t="e">
        <f t="shared" si="631"/>
        <v>#DIV/0!</v>
      </c>
      <c r="JR52" s="88" t="e">
        <f t="shared" si="510"/>
        <v>#DIV/0!</v>
      </c>
      <c r="JS52" s="88" t="e">
        <f t="shared" si="511"/>
        <v>#DIV/0!</v>
      </c>
      <c r="JT52" s="88">
        <f t="shared" si="512"/>
        <v>0</v>
      </c>
      <c r="JU52" s="88" t="e">
        <f t="shared" si="513"/>
        <v>#DIV/0!</v>
      </c>
      <c r="JV52" s="88" t="e">
        <f t="shared" si="514"/>
        <v>#DIV/0!</v>
      </c>
      <c r="JW52" s="88" t="e">
        <f t="shared" si="515"/>
        <v>#DIV/0!</v>
      </c>
      <c r="JX52" s="88" t="e">
        <f t="shared" si="516"/>
        <v>#DIV/0!</v>
      </c>
      <c r="JY52" s="88" t="e">
        <f t="shared" si="517"/>
        <v>#DIV/0!</v>
      </c>
      <c r="JZ52" s="88" t="e">
        <f t="shared" si="518"/>
        <v>#DIV/0!</v>
      </c>
      <c r="KA52" s="88" t="e">
        <f t="shared" si="519"/>
        <v>#DIV/0!</v>
      </c>
      <c r="KB52" s="88" t="e">
        <f t="shared" si="520"/>
        <v>#DIV/0!</v>
      </c>
      <c r="KC52" s="106">
        <f>IF(II52&lt;0,0,((0.5*(1-KA52)*(1+COS(RADIANS($IP$46))))+(KA52*(JJ52/JK52))+(KB52*SIN(RADIANS($IP$46))))*'Irradiancia Horizontal'!M44)</f>
        <v>0</v>
      </c>
      <c r="KD52" s="88">
        <f t="shared" si="521"/>
        <v>-0.13382713456000858</v>
      </c>
      <c r="KE52" s="88">
        <f>KD52*'Irradiancia Horizontal'!M73</f>
        <v>0</v>
      </c>
      <c r="KF52" s="88">
        <f t="shared" si="632"/>
        <v>0</v>
      </c>
      <c r="KG52" s="88">
        <f t="shared" si="522"/>
        <v>0</v>
      </c>
      <c r="KH52" s="88">
        <f t="shared" si="633"/>
        <v>0</v>
      </c>
      <c r="KI52" s="106">
        <f t="shared" si="634"/>
        <v>0</v>
      </c>
      <c r="KJ52" s="106">
        <f t="shared" si="635"/>
        <v>0</v>
      </c>
      <c r="KK52" s="106">
        <f t="shared" si="636"/>
        <v>0</v>
      </c>
      <c r="KL52" s="40"/>
      <c r="KN52" s="39">
        <v>0.16666666666666699</v>
      </c>
      <c r="KO52" s="38">
        <v>120</v>
      </c>
      <c r="KP52" s="38">
        <f t="shared" si="523"/>
        <v>-36.462362723804368</v>
      </c>
      <c r="KQ52" s="38">
        <f t="shared" si="524"/>
        <v>98.929650560124273</v>
      </c>
      <c r="KR52" s="38">
        <f t="shared" si="525"/>
        <v>126.46236272380438</v>
      </c>
      <c r="KS52" s="38">
        <f>+'Irradiancia Horizontal'!N73/COS(RADIANS(KR52))</f>
        <v>0</v>
      </c>
      <c r="KT52" s="38" t="e">
        <f>((('Irradiancia Horizontal'!N44+KS52)/'Irradiancia Horizontal'!N44)+1.041*((RADIANS('Cálculos iluminancia'!KR52))^3))/(1+1.041*((RADIANS('Cálculos iluminancia'!KR52))^3))</f>
        <v>#DIV/0!</v>
      </c>
      <c r="KU52" s="88" t="e">
        <f t="shared" si="526"/>
        <v>#NUM!</v>
      </c>
      <c r="KV52" s="88" t="e">
        <f t="shared" si="637"/>
        <v>#NUM!</v>
      </c>
      <c r="KW52" s="106" t="e">
        <f>'Irradiancia Horizontal'!N44*KV52/$KU$46</f>
        <v>#NUM!</v>
      </c>
      <c r="KX52" s="88">
        <f>((17.27*Temp!M14)/(237.7+Temp!M14))+LN(HR!M25/100)</f>
        <v>0.34562168603659071</v>
      </c>
      <c r="KY52" s="88">
        <f t="shared" si="638"/>
        <v>4.8541974923307212</v>
      </c>
      <c r="KZ52" s="88">
        <f t="shared" si="639"/>
        <v>1.303162267898639</v>
      </c>
      <c r="LA52" s="88" t="e">
        <f t="shared" si="527"/>
        <v>#DIV/0!</v>
      </c>
      <c r="LB52" s="88" t="e">
        <f t="shared" si="528"/>
        <v>#DIV/0!</v>
      </c>
      <c r="LC52" s="88" t="e">
        <f t="shared" si="529"/>
        <v>#DIV/0!</v>
      </c>
      <c r="LD52" s="88" t="e">
        <f t="shared" si="530"/>
        <v>#DIV/0!</v>
      </c>
      <c r="LE52" s="88" t="e">
        <f t="shared" si="531"/>
        <v>#DIV/0!</v>
      </c>
      <c r="LF52" s="103">
        <f t="shared" si="532"/>
        <v>0</v>
      </c>
      <c r="LG52" s="165">
        <f>IF(LM52&gt;(LF52*'Irradiancia Horizontal'!N12),LM52,LF52*'Irradiancia Horizontal'!N12)</f>
        <v>0</v>
      </c>
      <c r="LH52" s="88" t="e">
        <f t="shared" si="533"/>
        <v>#DIV/0!</v>
      </c>
      <c r="LI52" s="88" t="e">
        <f t="shared" si="534"/>
        <v>#DIV/0!</v>
      </c>
      <c r="LJ52" s="88" t="e">
        <f t="shared" si="535"/>
        <v>#DIV/0!</v>
      </c>
      <c r="LK52" s="88" t="e">
        <f t="shared" si="536"/>
        <v>#DIV/0!</v>
      </c>
      <c r="LL52" s="103">
        <f t="shared" si="537"/>
        <v>0</v>
      </c>
      <c r="LM52" s="88">
        <f>+LL52*'Irradiancia Horizontal'!N44</f>
        <v>0</v>
      </c>
      <c r="LN52" s="88">
        <f t="shared" si="640"/>
        <v>0</v>
      </c>
      <c r="LO52" s="88" t="e">
        <f>+LN52/'Irradiancia Horizontal'!N73</f>
        <v>#DIV/0!</v>
      </c>
      <c r="LP52" s="38">
        <f t="shared" si="538"/>
        <v>0.12483659967971558</v>
      </c>
      <c r="LQ52" s="88">
        <f t="shared" si="641"/>
        <v>0.12483659967971558</v>
      </c>
      <c r="LR52" s="88">
        <f t="shared" si="642"/>
        <v>8.6999999999999994E-2</v>
      </c>
      <c r="LS52" s="88" t="e">
        <f t="shared" si="643"/>
        <v>#DIV/0!</v>
      </c>
      <c r="LT52" s="88" t="e">
        <f t="shared" si="644"/>
        <v>#DIV/0!</v>
      </c>
      <c r="LU52" s="88" t="e">
        <f t="shared" si="645"/>
        <v>#DIV/0!</v>
      </c>
      <c r="LV52" s="88" t="e">
        <f t="shared" si="646"/>
        <v>#DIV/0!</v>
      </c>
      <c r="LW52" s="88" t="e">
        <f t="shared" si="647"/>
        <v>#DIV/0!</v>
      </c>
      <c r="LX52" s="88" t="e">
        <f t="shared" si="648"/>
        <v>#DIV/0!</v>
      </c>
      <c r="LY52" s="88" t="e">
        <f t="shared" si="539"/>
        <v>#DIV/0!</v>
      </c>
      <c r="LZ52" s="88" t="e">
        <f t="shared" si="540"/>
        <v>#DIV/0!</v>
      </c>
      <c r="MA52" s="88">
        <f t="shared" si="541"/>
        <v>0</v>
      </c>
      <c r="MB52" s="88" t="e">
        <f t="shared" si="542"/>
        <v>#DIV/0!</v>
      </c>
      <c r="MC52" s="88" t="e">
        <f t="shared" si="543"/>
        <v>#DIV/0!</v>
      </c>
      <c r="MD52" s="88" t="e">
        <f t="shared" si="544"/>
        <v>#DIV/0!</v>
      </c>
      <c r="ME52" s="88" t="e">
        <f t="shared" si="545"/>
        <v>#DIV/0!</v>
      </c>
      <c r="MF52" s="88" t="e">
        <f t="shared" si="546"/>
        <v>#DIV/0!</v>
      </c>
      <c r="MG52" s="88" t="e">
        <f t="shared" si="547"/>
        <v>#DIV/0!</v>
      </c>
      <c r="MH52" s="88" t="e">
        <f t="shared" si="548"/>
        <v>#DIV/0!</v>
      </c>
      <c r="MI52" s="88" t="e">
        <f t="shared" si="549"/>
        <v>#DIV/0!</v>
      </c>
      <c r="MJ52" s="106">
        <f>IF(KP52&lt;0,0,((0.5*(1-MH52)*(1+COS(RADIANS($KW$46))))+(MH52*(LQ52/LR52))+(MI52*SIN(RADIANS($KW$46))))*'Irradiancia Horizontal'!N44)</f>
        <v>0</v>
      </c>
      <c r="MK52" s="88">
        <f t="shared" si="550"/>
        <v>-0.21005844190273429</v>
      </c>
      <c r="ML52" s="88">
        <f>MK52*'Irradiancia Horizontal'!N73</f>
        <v>0</v>
      </c>
      <c r="MM52" s="88">
        <f t="shared" si="649"/>
        <v>0</v>
      </c>
      <c r="MN52" s="88">
        <f t="shared" si="551"/>
        <v>0</v>
      </c>
      <c r="MO52" s="88">
        <f t="shared" si="650"/>
        <v>0</v>
      </c>
      <c r="MP52" s="106">
        <f t="shared" si="651"/>
        <v>0</v>
      </c>
      <c r="MQ52" s="106">
        <f t="shared" si="652"/>
        <v>0</v>
      </c>
      <c r="MR52" s="106">
        <f t="shared" si="653"/>
        <v>0</v>
      </c>
    </row>
    <row r="53" spans="1:356" x14ac:dyDescent="0.25">
      <c r="A53" s="13"/>
      <c r="B53" s="13"/>
      <c r="E53" s="39">
        <v>0.20833333333333334</v>
      </c>
      <c r="F53" s="38">
        <v>105</v>
      </c>
      <c r="G53" s="38">
        <f t="shared" si="378"/>
        <v>-2.4187526411256099</v>
      </c>
      <c r="H53" s="38">
        <f t="shared" si="379"/>
        <v>64.945826356938582</v>
      </c>
      <c r="I53" s="38">
        <f t="shared" si="380"/>
        <v>92.418752641125607</v>
      </c>
      <c r="J53" s="38">
        <f>+'Irradiancia Horizontal'!I74/COS(RADIANS(I53))</f>
        <v>0</v>
      </c>
      <c r="K53" s="38" t="e">
        <f>((('Irradiancia Horizontal'!I45+J53)/'Irradiancia Horizontal'!I45)+1.041*((RADIANS('Cálculos iluminancia'!I53))^3))/(1+1.041*((RADIANS('Cálculos iluminancia'!I53))^3))</f>
        <v>#DIV/0!</v>
      </c>
      <c r="L53" s="87">
        <f t="shared" si="381"/>
        <v>54.718626079652843</v>
      </c>
      <c r="M53" s="87">
        <f t="shared" si="552"/>
        <v>53.368557666406701</v>
      </c>
      <c r="N53" s="106">
        <f>'Irradiancia Horizontal'!I45*M53/$L$46</f>
        <v>0</v>
      </c>
      <c r="O53" s="87">
        <f>((17.27*Temp!H15)/(237.7+Temp!H15))+LN(HR!H26/100)</f>
        <v>1.2440171896789458</v>
      </c>
      <c r="P53" s="87">
        <f t="shared" si="553"/>
        <v>18.451466564424795</v>
      </c>
      <c r="Q53" s="87">
        <f t="shared" si="554"/>
        <v>3.3756998287972539</v>
      </c>
      <c r="R53" s="87" t="e">
        <f t="shared" si="382"/>
        <v>#DIV/0!</v>
      </c>
      <c r="S53" s="87" t="e">
        <f t="shared" si="383"/>
        <v>#DIV/0!</v>
      </c>
      <c r="T53" s="87" t="e">
        <f t="shared" si="384"/>
        <v>#DIV/0!</v>
      </c>
      <c r="U53" s="87" t="e">
        <f t="shared" si="385"/>
        <v>#DIV/0!</v>
      </c>
      <c r="V53" s="87" t="e">
        <f t="shared" si="386"/>
        <v>#DIV/0!</v>
      </c>
      <c r="W53" s="103">
        <f t="shared" si="387"/>
        <v>0</v>
      </c>
      <c r="X53" s="165">
        <f>IF(AD53&gt;(W53*'Irradiancia Horizontal'!I13),AD53,W53*'Irradiancia Horizontal'!I13)</f>
        <v>0</v>
      </c>
      <c r="Y53" s="87" t="e">
        <f t="shared" si="388"/>
        <v>#DIV/0!</v>
      </c>
      <c r="Z53" s="87" t="e">
        <f t="shared" si="389"/>
        <v>#DIV/0!</v>
      </c>
      <c r="AA53" s="87" t="e">
        <f t="shared" si="390"/>
        <v>#DIV/0!</v>
      </c>
      <c r="AB53" s="87" t="e">
        <f t="shared" si="391"/>
        <v>#DIV/0!</v>
      </c>
      <c r="AC53" s="103">
        <f t="shared" si="392"/>
        <v>0</v>
      </c>
      <c r="AD53" s="87">
        <f>+AC53*'Irradiancia Horizontal'!I45</f>
        <v>0</v>
      </c>
      <c r="AE53" s="87">
        <f t="shared" si="393"/>
        <v>0</v>
      </c>
      <c r="AF53" s="87" t="e">
        <f>+AE53/'Irradiancia Horizontal'!I74</f>
        <v>#DIV/0!</v>
      </c>
      <c r="AG53" s="38">
        <f t="shared" si="555"/>
        <v>-0.42309770816227182</v>
      </c>
      <c r="AH53" s="87">
        <f t="shared" si="556"/>
        <v>0</v>
      </c>
      <c r="AI53" s="87">
        <f t="shared" si="557"/>
        <v>8.6999999999999994E-2</v>
      </c>
      <c r="AJ53" s="87" t="e">
        <f t="shared" si="558"/>
        <v>#DIV/0!</v>
      </c>
      <c r="AK53" s="87" t="e">
        <f t="shared" si="559"/>
        <v>#DIV/0!</v>
      </c>
      <c r="AL53" s="87" t="e">
        <f t="shared" si="560"/>
        <v>#DIV/0!</v>
      </c>
      <c r="AM53" s="87" t="e">
        <f t="shared" si="561"/>
        <v>#DIV/0!</v>
      </c>
      <c r="AN53" s="87" t="e">
        <f t="shared" si="562"/>
        <v>#DIV/0!</v>
      </c>
      <c r="AO53" s="87" t="e">
        <f t="shared" si="563"/>
        <v>#DIV/0!</v>
      </c>
      <c r="AP53" s="87" t="e">
        <f t="shared" si="394"/>
        <v>#DIV/0!</v>
      </c>
      <c r="AQ53" s="87" t="e">
        <f t="shared" si="395"/>
        <v>#DIV/0!</v>
      </c>
      <c r="AR53" s="88">
        <f t="shared" si="396"/>
        <v>0</v>
      </c>
      <c r="AS53" s="87" t="e">
        <f t="shared" si="397"/>
        <v>#DIV/0!</v>
      </c>
      <c r="AT53" s="87" t="e">
        <f t="shared" si="398"/>
        <v>#DIV/0!</v>
      </c>
      <c r="AU53" s="87" t="e">
        <f t="shared" si="399"/>
        <v>#DIV/0!</v>
      </c>
      <c r="AV53" s="87" t="e">
        <f t="shared" si="400"/>
        <v>#DIV/0!</v>
      </c>
      <c r="AW53" s="87" t="e">
        <f t="shared" si="401"/>
        <v>#DIV/0!</v>
      </c>
      <c r="AX53" s="87" t="e">
        <f t="shared" si="402"/>
        <v>#DIV/0!</v>
      </c>
      <c r="AY53" s="87" t="e">
        <f t="shared" si="403"/>
        <v>#DIV/0!</v>
      </c>
      <c r="AZ53" s="87" t="e">
        <f t="shared" si="404"/>
        <v>#DIV/0!</v>
      </c>
      <c r="BA53" s="106">
        <f>IF(G53&lt;0,0,((0.5*(1-AY53)*(1+COS(RADIANS($N$46))))+(AY53*(AH53/AI53))+(AZ53*SIN(RADIANS($N$46))))*'Irradiancia Horizontal'!I45)</f>
        <v>0</v>
      </c>
      <c r="BB53" s="87">
        <f t="shared" si="405"/>
        <v>0</v>
      </c>
      <c r="BC53" s="87">
        <f>BB53*'Irradiancia Horizontal'!I74</f>
        <v>0</v>
      </c>
      <c r="BD53" s="87">
        <f t="shared" si="564"/>
        <v>0</v>
      </c>
      <c r="BE53" s="88">
        <f t="shared" si="406"/>
        <v>0</v>
      </c>
      <c r="BF53" s="87">
        <f t="shared" si="565"/>
        <v>0</v>
      </c>
      <c r="BG53" s="106">
        <f t="shared" si="566"/>
        <v>0</v>
      </c>
      <c r="BH53" s="106">
        <f t="shared" si="567"/>
        <v>0</v>
      </c>
      <c r="BI53" s="106">
        <f t="shared" si="568"/>
        <v>0</v>
      </c>
      <c r="BJ53" s="44"/>
      <c r="BL53" s="39">
        <v>0.20833333333333334</v>
      </c>
      <c r="BM53" s="38">
        <v>105</v>
      </c>
      <c r="BN53" s="38">
        <f t="shared" si="407"/>
        <v>-7.0329110421435894</v>
      </c>
      <c r="BO53" s="38">
        <f t="shared" si="408"/>
        <v>72.333738054171704</v>
      </c>
      <c r="BP53" s="38">
        <f t="shared" si="409"/>
        <v>97.032911042143596</v>
      </c>
      <c r="BQ53" s="38">
        <f>+'Irradiancia Horizontal'!J74/COS(RADIANS(BP53))</f>
        <v>0</v>
      </c>
      <c r="BR53" s="38" t="e">
        <f>((('Irradiancia Horizontal'!J45+BQ53)/'Irradiancia Horizontal'!J45)+1.041*((RADIANS('Cálculos iluminancia'!BP53))^3))/(1+1.041*((RADIANS('Cálculos iluminancia'!BP53))^3))</f>
        <v>#DIV/0!</v>
      </c>
      <c r="BS53" s="87" t="e">
        <f t="shared" si="410"/>
        <v>#NUM!</v>
      </c>
      <c r="BT53" s="87" t="e">
        <f t="shared" si="569"/>
        <v>#NUM!</v>
      </c>
      <c r="BU53" s="106" t="e">
        <f>'Irradiancia Horizontal'!J45*BT53/$BS$46</f>
        <v>#NUM!</v>
      </c>
      <c r="BV53" s="87">
        <f>((17.27*Temp!I15)/(237.7+Temp!I15))+LN(HR!I26/100)</f>
        <v>1.4122127317165722</v>
      </c>
      <c r="BW53" s="87">
        <f t="shared" si="570"/>
        <v>21.168335824533116</v>
      </c>
      <c r="BX53" s="87">
        <f t="shared" si="571"/>
        <v>4.0828019604390038</v>
      </c>
      <c r="BY53" s="87" t="e">
        <f t="shared" si="411"/>
        <v>#DIV/0!</v>
      </c>
      <c r="BZ53" s="87" t="e">
        <f t="shared" si="412"/>
        <v>#DIV/0!</v>
      </c>
      <c r="CA53" s="87" t="e">
        <f t="shared" si="413"/>
        <v>#DIV/0!</v>
      </c>
      <c r="CB53" s="87" t="e">
        <f t="shared" si="414"/>
        <v>#DIV/0!</v>
      </c>
      <c r="CC53" s="87" t="e">
        <f t="shared" si="415"/>
        <v>#DIV/0!</v>
      </c>
      <c r="CD53" s="103">
        <f t="shared" si="416"/>
        <v>0</v>
      </c>
      <c r="CE53" s="165">
        <f>IF(CK53&gt;(CD53*'Irradiancia Horizontal'!J13),CK53,CD53*'Irradiancia Horizontal'!J13)</f>
        <v>0</v>
      </c>
      <c r="CF53" s="87" t="e">
        <f t="shared" si="417"/>
        <v>#DIV/0!</v>
      </c>
      <c r="CG53" s="87" t="e">
        <f t="shared" si="418"/>
        <v>#DIV/0!</v>
      </c>
      <c r="CH53" s="87" t="e">
        <f t="shared" si="419"/>
        <v>#DIV/0!</v>
      </c>
      <c r="CI53" s="87" t="e">
        <f t="shared" si="420"/>
        <v>#DIV/0!</v>
      </c>
      <c r="CJ53" s="103">
        <f t="shared" si="421"/>
        <v>0</v>
      </c>
      <c r="CK53" s="87">
        <f>+CJ53*'Irradiancia Horizontal'!J45</f>
        <v>0</v>
      </c>
      <c r="CL53" s="87">
        <f t="shared" si="572"/>
        <v>0</v>
      </c>
      <c r="CM53" s="87" t="e">
        <f>+CL53/'Irradiancia Horizontal'!J74</f>
        <v>#DIV/0!</v>
      </c>
      <c r="CN53" s="38">
        <f t="shared" si="422"/>
        <v>-0.30118871486286053</v>
      </c>
      <c r="CO53" s="87">
        <f t="shared" si="573"/>
        <v>0</v>
      </c>
      <c r="CP53" s="87">
        <f t="shared" si="574"/>
        <v>8.6999999999999994E-2</v>
      </c>
      <c r="CQ53" s="87" t="e">
        <f t="shared" si="575"/>
        <v>#DIV/0!</v>
      </c>
      <c r="CR53" s="87" t="e">
        <f t="shared" si="576"/>
        <v>#DIV/0!</v>
      </c>
      <c r="CS53" s="87" t="e">
        <f t="shared" si="577"/>
        <v>#DIV/0!</v>
      </c>
      <c r="CT53" s="87" t="e">
        <f t="shared" si="578"/>
        <v>#DIV/0!</v>
      </c>
      <c r="CU53" s="87" t="e">
        <f t="shared" si="579"/>
        <v>#DIV/0!</v>
      </c>
      <c r="CV53" s="87" t="e">
        <f t="shared" si="580"/>
        <v>#DIV/0!</v>
      </c>
      <c r="CW53" s="87" t="e">
        <f t="shared" si="423"/>
        <v>#DIV/0!</v>
      </c>
      <c r="CX53" s="87" t="e">
        <f t="shared" si="424"/>
        <v>#DIV/0!</v>
      </c>
      <c r="CY53" s="88">
        <f t="shared" si="425"/>
        <v>0</v>
      </c>
      <c r="CZ53" s="87" t="e">
        <f t="shared" si="426"/>
        <v>#DIV/0!</v>
      </c>
      <c r="DA53" s="87" t="e">
        <f t="shared" si="427"/>
        <v>#DIV/0!</v>
      </c>
      <c r="DB53" s="87" t="e">
        <f t="shared" si="428"/>
        <v>#DIV/0!</v>
      </c>
      <c r="DC53" s="87" t="e">
        <f t="shared" si="429"/>
        <v>#DIV/0!</v>
      </c>
      <c r="DD53" s="87" t="e">
        <f t="shared" si="430"/>
        <v>#DIV/0!</v>
      </c>
      <c r="DE53" s="87" t="e">
        <f t="shared" si="431"/>
        <v>#DIV/0!</v>
      </c>
      <c r="DF53" s="87" t="e">
        <f t="shared" si="432"/>
        <v>#DIV/0!</v>
      </c>
      <c r="DG53" s="87" t="e">
        <f t="shared" si="433"/>
        <v>#DIV/0!</v>
      </c>
      <c r="DH53" s="106">
        <f>IF(BN53&lt;0,0,((0.5*(1-DF53)*(1+COS(RADIANS($BU$46))))+(DF53*(CO53/CP53))+(DG53*SIN(RADIANS($BU$46))))*'Irradiancia Horizontal'!J45)</f>
        <v>0</v>
      </c>
      <c r="DI53" s="87">
        <f t="shared" si="434"/>
        <v>0</v>
      </c>
      <c r="DJ53" s="87">
        <f>DI53*'Irradiancia Horizontal'!J74</f>
        <v>0</v>
      </c>
      <c r="DK53" s="87">
        <f t="shared" si="581"/>
        <v>0</v>
      </c>
      <c r="DL53" s="88">
        <f t="shared" si="435"/>
        <v>0</v>
      </c>
      <c r="DM53" s="87">
        <f t="shared" si="582"/>
        <v>0</v>
      </c>
      <c r="DN53" s="106">
        <f t="shared" si="583"/>
        <v>0</v>
      </c>
      <c r="DO53" s="106">
        <f t="shared" si="584"/>
        <v>0</v>
      </c>
      <c r="DP53" s="106">
        <f t="shared" si="585"/>
        <v>0</v>
      </c>
      <c r="DQ53" s="44"/>
      <c r="DS53" s="39">
        <v>0.20833333333333334</v>
      </c>
      <c r="DT53" s="38">
        <v>105</v>
      </c>
      <c r="DU53" s="38">
        <f t="shared" si="436"/>
        <v>-13.173675365510617</v>
      </c>
      <c r="DV53" s="38">
        <f t="shared" si="437"/>
        <v>82.759689794839844</v>
      </c>
      <c r="DW53" s="38">
        <f t="shared" si="438"/>
        <v>103.17367536551062</v>
      </c>
      <c r="DX53" s="38">
        <f>+'Irradiancia Horizontal'!K74/COS(RADIANS(DW53))</f>
        <v>0</v>
      </c>
      <c r="DY53" s="38" t="e">
        <f>((('Irradiancia Horizontal'!K45+DX53)/'Irradiancia Horizontal'!K45)+1.041*((RADIANS('Cálculos iluminancia'!DW53))^3))/(1+1.041*((RADIANS('Cálculos iluminancia'!DW53))^3))</f>
        <v>#DIV/0!</v>
      </c>
      <c r="DZ53" s="87" t="e">
        <f t="shared" si="439"/>
        <v>#NUM!</v>
      </c>
      <c r="EA53" s="87" t="e">
        <f t="shared" si="586"/>
        <v>#NUM!</v>
      </c>
      <c r="EB53" s="106" t="e">
        <f>'Irradiancia Horizontal'!K45*EA53/$DZ$46</f>
        <v>#NUM!</v>
      </c>
      <c r="EC53" s="87">
        <f>((17.27*Temp!J15)/(237.7+Temp!J15))+LN(HR!J26/100)</f>
        <v>1.279819169203507</v>
      </c>
      <c r="ED53" s="87">
        <f t="shared" si="587"/>
        <v>19.024989131690784</v>
      </c>
      <c r="EE53" s="87">
        <f t="shared" si="588"/>
        <v>3.5139797926375236</v>
      </c>
      <c r="EF53" s="87" t="e">
        <f t="shared" si="440"/>
        <v>#DIV/0!</v>
      </c>
      <c r="EG53" s="87" t="e">
        <f t="shared" si="441"/>
        <v>#DIV/0!</v>
      </c>
      <c r="EH53" s="87" t="e">
        <f t="shared" si="442"/>
        <v>#DIV/0!</v>
      </c>
      <c r="EI53" s="87" t="e">
        <f t="shared" si="443"/>
        <v>#DIV/0!</v>
      </c>
      <c r="EJ53" s="87" t="e">
        <f t="shared" si="444"/>
        <v>#DIV/0!</v>
      </c>
      <c r="EK53" s="103">
        <f t="shared" si="445"/>
        <v>0</v>
      </c>
      <c r="EL53" s="165">
        <f>IF(ER53&gt;(EK53*'Irradiancia Horizontal'!K13),ER53,EK53*'Irradiancia Horizontal'!K13)</f>
        <v>0</v>
      </c>
      <c r="EM53" s="87" t="e">
        <f t="shared" si="446"/>
        <v>#DIV/0!</v>
      </c>
      <c r="EN53" s="87" t="e">
        <f t="shared" si="447"/>
        <v>#DIV/0!</v>
      </c>
      <c r="EO53" s="87" t="e">
        <f t="shared" si="448"/>
        <v>#DIV/0!</v>
      </c>
      <c r="EP53" s="87" t="e">
        <f t="shared" si="449"/>
        <v>#DIV/0!</v>
      </c>
      <c r="EQ53" s="103">
        <f t="shared" si="450"/>
        <v>0</v>
      </c>
      <c r="ER53" s="87">
        <f>+EQ53*'Irradiancia Horizontal'!K45</f>
        <v>0</v>
      </c>
      <c r="ES53" s="87">
        <f t="shared" si="589"/>
        <v>0</v>
      </c>
      <c r="ET53" s="87" t="e">
        <f>+ES53/'Irradiancia Horizontal'!K74</f>
        <v>#DIV/0!</v>
      </c>
      <c r="EU53" s="38">
        <f t="shared" si="451"/>
        <v>-0.12271452778730947</v>
      </c>
      <c r="EV53" s="87">
        <f t="shared" si="590"/>
        <v>0</v>
      </c>
      <c r="EW53" s="87">
        <f t="shared" si="591"/>
        <v>8.6999999999999994E-2</v>
      </c>
      <c r="EX53" s="87" t="e">
        <f t="shared" si="592"/>
        <v>#DIV/0!</v>
      </c>
      <c r="EY53" s="87" t="e">
        <f t="shared" si="593"/>
        <v>#DIV/0!</v>
      </c>
      <c r="EZ53" s="87" t="e">
        <f t="shared" si="594"/>
        <v>#DIV/0!</v>
      </c>
      <c r="FA53" s="87" t="e">
        <f t="shared" si="595"/>
        <v>#DIV/0!</v>
      </c>
      <c r="FB53" s="87" t="e">
        <f t="shared" si="596"/>
        <v>#DIV/0!</v>
      </c>
      <c r="FC53" s="87" t="e">
        <f t="shared" si="597"/>
        <v>#DIV/0!</v>
      </c>
      <c r="FD53" s="87" t="e">
        <f t="shared" si="452"/>
        <v>#DIV/0!</v>
      </c>
      <c r="FE53" s="87" t="e">
        <f t="shared" si="453"/>
        <v>#DIV/0!</v>
      </c>
      <c r="FF53" s="88">
        <f t="shared" si="454"/>
        <v>0</v>
      </c>
      <c r="FG53" s="87" t="e">
        <f t="shared" si="455"/>
        <v>#DIV/0!</v>
      </c>
      <c r="FH53" s="87" t="e">
        <f t="shared" si="456"/>
        <v>#DIV/0!</v>
      </c>
      <c r="FI53" s="87" t="e">
        <f t="shared" si="457"/>
        <v>#DIV/0!</v>
      </c>
      <c r="FJ53" s="87" t="e">
        <f t="shared" si="458"/>
        <v>#DIV/0!</v>
      </c>
      <c r="FK53" s="87" t="e">
        <f t="shared" si="459"/>
        <v>#DIV/0!</v>
      </c>
      <c r="FL53" s="87" t="e">
        <f t="shared" si="460"/>
        <v>#DIV/0!</v>
      </c>
      <c r="FM53" s="87" t="e">
        <f t="shared" si="461"/>
        <v>#DIV/0!</v>
      </c>
      <c r="FN53" s="87" t="e">
        <f t="shared" si="462"/>
        <v>#DIV/0!</v>
      </c>
      <c r="FO53" s="106">
        <f>IF(DU53&lt;0,0,((0.5*(1-FM53)*(1+COS(RADIANS($EB$46))))+(FM53*(EV53/EW53))+(FN53*SIN(RADIANS($EB$46))))*'Irradiancia Horizontal'!K45)</f>
        <v>0</v>
      </c>
      <c r="FP53" s="87">
        <f t="shared" si="463"/>
        <v>0</v>
      </c>
      <c r="FQ53" s="87">
        <f>FP53*'Irradiancia Horizontal'!K74</f>
        <v>0</v>
      </c>
      <c r="FR53" s="87">
        <f t="shared" si="598"/>
        <v>0</v>
      </c>
      <c r="FS53" s="88">
        <f t="shared" si="464"/>
        <v>0</v>
      </c>
      <c r="FT53" s="87">
        <f t="shared" si="599"/>
        <v>0</v>
      </c>
      <c r="FU53" s="106">
        <f t="shared" si="600"/>
        <v>0</v>
      </c>
      <c r="FV53" s="106">
        <f t="shared" si="601"/>
        <v>0</v>
      </c>
      <c r="FW53" s="106">
        <f t="shared" si="602"/>
        <v>0</v>
      </c>
      <c r="FX53" s="83"/>
      <c r="FZ53" s="39">
        <v>0.20833333333333334</v>
      </c>
      <c r="GA53" s="38">
        <v>105</v>
      </c>
      <c r="GB53" s="38">
        <f t="shared" si="465"/>
        <v>-18.690747924130889</v>
      </c>
      <c r="GC53" s="38">
        <f t="shared" si="466"/>
        <v>93.321100316012661</v>
      </c>
      <c r="GD53" s="38">
        <f t="shared" si="467"/>
        <v>108.69074792413089</v>
      </c>
      <c r="GE53" s="38">
        <f>+'Irradiancia Horizontal'!L74/COS(RADIANS(GD53))</f>
        <v>0</v>
      </c>
      <c r="GF53" s="38" t="e">
        <f>((('Irradiancia Horizontal'!L45+GE53)/'Irradiancia Horizontal'!L45)+1.041*((RADIANS('Cálculos iluminancia'!GD53))^3))/(1+1.041*((RADIANS('Cálculos iluminancia'!GD53))^3))</f>
        <v>#DIV/0!</v>
      </c>
      <c r="GG53" s="88" t="e">
        <f t="shared" si="468"/>
        <v>#NUM!</v>
      </c>
      <c r="GH53" s="88" t="e">
        <f t="shared" si="603"/>
        <v>#NUM!</v>
      </c>
      <c r="GI53" s="106" t="e">
        <f>'Irradiancia Horizontal'!L45*GH53/$GG$46</f>
        <v>#NUM!</v>
      </c>
      <c r="GJ53" s="88">
        <f>((17.27*Temp!K15)/(237.7+Temp!K15))+LN(HR!K26/100)</f>
        <v>0.90652516661417037</v>
      </c>
      <c r="GK53" s="88">
        <f t="shared" si="604"/>
        <v>13.168415284542732</v>
      </c>
      <c r="GL53" s="88">
        <f t="shared" si="605"/>
        <v>2.3321464575329895</v>
      </c>
      <c r="GM53" s="88" t="e">
        <f t="shared" si="469"/>
        <v>#DIV/0!</v>
      </c>
      <c r="GN53" s="88" t="e">
        <f t="shared" si="470"/>
        <v>#DIV/0!</v>
      </c>
      <c r="GO53" s="88" t="e">
        <f t="shared" si="471"/>
        <v>#DIV/0!</v>
      </c>
      <c r="GP53" s="88" t="e">
        <f t="shared" si="472"/>
        <v>#DIV/0!</v>
      </c>
      <c r="GQ53" s="88" t="e">
        <f t="shared" si="473"/>
        <v>#DIV/0!</v>
      </c>
      <c r="GR53" s="103">
        <f t="shared" si="474"/>
        <v>0</v>
      </c>
      <c r="GS53" s="165">
        <f>IF(GY53&gt;(GR53*'Irradiancia Horizontal'!L13),GY53,GR53*'Irradiancia Horizontal'!L13)</f>
        <v>0</v>
      </c>
      <c r="GT53" s="88" t="e">
        <f t="shared" si="475"/>
        <v>#DIV/0!</v>
      </c>
      <c r="GU53" s="88" t="e">
        <f t="shared" si="476"/>
        <v>#DIV/0!</v>
      </c>
      <c r="GV53" s="88" t="e">
        <f t="shared" si="477"/>
        <v>#DIV/0!</v>
      </c>
      <c r="GW53" s="88" t="e">
        <f t="shared" si="478"/>
        <v>#DIV/0!</v>
      </c>
      <c r="GX53" s="103">
        <f t="shared" si="479"/>
        <v>0</v>
      </c>
      <c r="GY53" s="88">
        <f>+GX53*'Irradiancia Horizontal'!L45</f>
        <v>0</v>
      </c>
      <c r="GZ53" s="88">
        <f t="shared" si="606"/>
        <v>0</v>
      </c>
      <c r="HA53" s="88" t="e">
        <f>+GZ53/'Irradiancia Horizontal'!L74</f>
        <v>#DIV/0!</v>
      </c>
      <c r="HB53" s="38">
        <f t="shared" si="480"/>
        <v>5.4876483496313841E-2</v>
      </c>
      <c r="HC53" s="88">
        <f t="shared" si="607"/>
        <v>5.4876483496313841E-2</v>
      </c>
      <c r="HD53" s="88">
        <f t="shared" si="608"/>
        <v>8.6999999999999994E-2</v>
      </c>
      <c r="HE53" s="88" t="e">
        <f t="shared" si="609"/>
        <v>#DIV/0!</v>
      </c>
      <c r="HF53" s="88" t="e">
        <f t="shared" si="610"/>
        <v>#DIV/0!</v>
      </c>
      <c r="HG53" s="88" t="e">
        <f t="shared" si="611"/>
        <v>#DIV/0!</v>
      </c>
      <c r="HH53" s="88" t="e">
        <f t="shared" si="612"/>
        <v>#DIV/0!</v>
      </c>
      <c r="HI53" s="88" t="e">
        <f t="shared" si="613"/>
        <v>#DIV/0!</v>
      </c>
      <c r="HJ53" s="88" t="e">
        <f t="shared" si="614"/>
        <v>#DIV/0!</v>
      </c>
      <c r="HK53" s="88" t="e">
        <f t="shared" si="481"/>
        <v>#DIV/0!</v>
      </c>
      <c r="HL53" s="88" t="e">
        <f t="shared" si="482"/>
        <v>#DIV/0!</v>
      </c>
      <c r="HM53" s="88">
        <f t="shared" si="483"/>
        <v>0</v>
      </c>
      <c r="HN53" s="88" t="e">
        <f t="shared" si="484"/>
        <v>#DIV/0!</v>
      </c>
      <c r="HO53" s="88" t="e">
        <f t="shared" si="485"/>
        <v>#DIV/0!</v>
      </c>
      <c r="HP53" s="88" t="e">
        <f t="shared" si="486"/>
        <v>#DIV/0!</v>
      </c>
      <c r="HQ53" s="88" t="e">
        <f t="shared" si="487"/>
        <v>#DIV/0!</v>
      </c>
      <c r="HR53" s="88" t="e">
        <f t="shared" si="488"/>
        <v>#DIV/0!</v>
      </c>
      <c r="HS53" s="88" t="e">
        <f t="shared" si="489"/>
        <v>#DIV/0!</v>
      </c>
      <c r="HT53" s="88" t="e">
        <f t="shared" si="490"/>
        <v>#DIV/0!</v>
      </c>
      <c r="HU53" s="88" t="e">
        <f t="shared" si="491"/>
        <v>#DIV/0!</v>
      </c>
      <c r="HV53" s="106">
        <f>IF(GB53&lt;0,0,((0.5*(1-HT53)*(1+COS(RADIANS($GI$46))))+(HT53*(HC53/HD53))+(HU53*SIN(RADIANS($GI$46))))*'Irradiancia Horizontal'!L45)</f>
        <v>0</v>
      </c>
      <c r="HW53" s="88">
        <f t="shared" si="492"/>
        <v>-0.17124283241145613</v>
      </c>
      <c r="HX53" s="88">
        <f>HW53*'Irradiancia Horizontal'!L74</f>
        <v>0</v>
      </c>
      <c r="HY53" s="88">
        <f t="shared" si="615"/>
        <v>0</v>
      </c>
      <c r="HZ53" s="88">
        <f t="shared" si="493"/>
        <v>0</v>
      </c>
      <c r="IA53" s="88">
        <f t="shared" si="616"/>
        <v>0</v>
      </c>
      <c r="IB53" s="106">
        <f t="shared" si="617"/>
        <v>0</v>
      </c>
      <c r="IC53" s="106">
        <f t="shared" si="618"/>
        <v>0</v>
      </c>
      <c r="ID53" s="106">
        <f t="shared" si="619"/>
        <v>0</v>
      </c>
      <c r="IE53" s="83"/>
      <c r="IG53" s="39">
        <v>0.20833333333333334</v>
      </c>
      <c r="IH53" s="38">
        <v>105</v>
      </c>
      <c r="II53" s="38">
        <f t="shared" si="494"/>
        <v>-22.438769178429386</v>
      </c>
      <c r="IJ53" s="38">
        <f t="shared" si="495"/>
        <v>101.6948546143569</v>
      </c>
      <c r="IK53" s="38">
        <f t="shared" si="496"/>
        <v>112.43876917842938</v>
      </c>
      <c r="IL53" s="38">
        <f>+'Irradiancia Horizontal'!M74/COS(RADIANS(IK53))</f>
        <v>0</v>
      </c>
      <c r="IM53" s="38" t="e">
        <f>((('Irradiancia Horizontal'!M45+IL53)/'Irradiancia Horizontal'!M45)+1.041*((RADIANS('Cálculos iluminancia'!IK53))^3))/(1+1.041*((RADIANS('Cálculos iluminancia'!IK53))^3))</f>
        <v>#DIV/0!</v>
      </c>
      <c r="IN53" s="88" t="e">
        <f t="shared" si="497"/>
        <v>#NUM!</v>
      </c>
      <c r="IO53" s="88" t="e">
        <f t="shared" si="620"/>
        <v>#NUM!</v>
      </c>
      <c r="IP53" s="106" t="e">
        <f>'Irradiancia Horizontal'!M45*IO53/$IN$46</f>
        <v>#NUM!</v>
      </c>
      <c r="IQ53" s="88">
        <f>((17.27*Temp!L15)/(237.7+Temp!L15))+LN(HR!L26/100)</f>
        <v>0.6032393715025467</v>
      </c>
      <c r="IR53" s="88">
        <f t="shared" si="621"/>
        <v>8.6033514131703388</v>
      </c>
      <c r="IS53" s="88">
        <f t="shared" si="622"/>
        <v>1.6942405696407157</v>
      </c>
      <c r="IT53" s="88" t="e">
        <f t="shared" si="498"/>
        <v>#DIV/0!</v>
      </c>
      <c r="IU53" s="88" t="e">
        <f t="shared" si="499"/>
        <v>#DIV/0!</v>
      </c>
      <c r="IV53" s="88" t="e">
        <f t="shared" si="500"/>
        <v>#DIV/0!</v>
      </c>
      <c r="IW53" s="88" t="e">
        <f t="shared" si="501"/>
        <v>#DIV/0!</v>
      </c>
      <c r="IX53" s="88" t="e">
        <f t="shared" si="502"/>
        <v>#DIV/0!</v>
      </c>
      <c r="IY53" s="103">
        <f t="shared" si="503"/>
        <v>0</v>
      </c>
      <c r="IZ53" s="165">
        <f>IF(JF53&gt;(IY53*'Irradiancia Horizontal'!M13),JF53,IY53*'Irradiancia Horizontal'!M13)</f>
        <v>0</v>
      </c>
      <c r="JA53" s="88" t="e">
        <f t="shared" si="504"/>
        <v>#DIV/0!</v>
      </c>
      <c r="JB53" s="88" t="e">
        <f t="shared" si="505"/>
        <v>#DIV/0!</v>
      </c>
      <c r="JC53" s="88" t="e">
        <f t="shared" si="506"/>
        <v>#DIV/0!</v>
      </c>
      <c r="JD53" s="88" t="e">
        <f t="shared" si="507"/>
        <v>#DIV/0!</v>
      </c>
      <c r="JE53" s="103">
        <f t="shared" si="508"/>
        <v>0</v>
      </c>
      <c r="JF53" s="88">
        <f>+JE53*'Irradiancia Horizontal'!M45</f>
        <v>0</v>
      </c>
      <c r="JG53" s="88">
        <f t="shared" si="623"/>
        <v>0</v>
      </c>
      <c r="JH53" s="88" t="e">
        <f>+JG53/'Irradiancia Horizontal'!M74</f>
        <v>#DIV/0!</v>
      </c>
      <c r="JI53" s="38">
        <f t="shared" si="509"/>
        <v>0.18735257688959348</v>
      </c>
      <c r="JJ53" s="88">
        <f t="shared" si="624"/>
        <v>0.18735257688959348</v>
      </c>
      <c r="JK53" s="88">
        <f t="shared" si="625"/>
        <v>8.6999999999999994E-2</v>
      </c>
      <c r="JL53" s="88" t="e">
        <f t="shared" si="626"/>
        <v>#DIV/0!</v>
      </c>
      <c r="JM53" s="88" t="e">
        <f t="shared" si="627"/>
        <v>#DIV/0!</v>
      </c>
      <c r="JN53" s="88" t="e">
        <f t="shared" si="628"/>
        <v>#DIV/0!</v>
      </c>
      <c r="JO53" s="88" t="e">
        <f t="shared" si="629"/>
        <v>#DIV/0!</v>
      </c>
      <c r="JP53" s="88" t="e">
        <f t="shared" si="630"/>
        <v>#DIV/0!</v>
      </c>
      <c r="JQ53" s="88" t="e">
        <f t="shared" si="631"/>
        <v>#DIV/0!</v>
      </c>
      <c r="JR53" s="88" t="e">
        <f t="shared" si="510"/>
        <v>#DIV/0!</v>
      </c>
      <c r="JS53" s="88" t="e">
        <f t="shared" si="511"/>
        <v>#DIV/0!</v>
      </c>
      <c r="JT53" s="88">
        <f t="shared" si="512"/>
        <v>0</v>
      </c>
      <c r="JU53" s="88" t="e">
        <f t="shared" si="513"/>
        <v>#DIV/0!</v>
      </c>
      <c r="JV53" s="88" t="e">
        <f t="shared" si="514"/>
        <v>#DIV/0!</v>
      </c>
      <c r="JW53" s="88" t="e">
        <f t="shared" si="515"/>
        <v>#DIV/0!</v>
      </c>
      <c r="JX53" s="88" t="e">
        <f t="shared" si="516"/>
        <v>#DIV/0!</v>
      </c>
      <c r="JY53" s="88" t="e">
        <f t="shared" si="517"/>
        <v>#DIV/0!</v>
      </c>
      <c r="JZ53" s="88" t="e">
        <f t="shared" si="518"/>
        <v>#DIV/0!</v>
      </c>
      <c r="KA53" s="88" t="e">
        <f t="shared" si="519"/>
        <v>#DIV/0!</v>
      </c>
      <c r="KB53" s="88" t="e">
        <f t="shared" si="520"/>
        <v>#DIV/0!</v>
      </c>
      <c r="KC53" s="106">
        <f>IF(II53&lt;0,0,((0.5*(1-KA53)*(1+COS(RADIANS($IP$46))))+(KA53*(JJ53/JK53))+(KB53*SIN(RADIANS($IP$46))))*'Irradiancia Horizontal'!M45)</f>
        <v>0</v>
      </c>
      <c r="KD53" s="88">
        <f t="shared" si="521"/>
        <v>-0.49084254049153836</v>
      </c>
      <c r="KE53" s="88">
        <f>KD53*'Irradiancia Horizontal'!M74</f>
        <v>0</v>
      </c>
      <c r="KF53" s="88">
        <f t="shared" si="632"/>
        <v>0</v>
      </c>
      <c r="KG53" s="88">
        <f t="shared" si="522"/>
        <v>0</v>
      </c>
      <c r="KH53" s="88">
        <f t="shared" si="633"/>
        <v>0</v>
      </c>
      <c r="KI53" s="106">
        <f t="shared" si="634"/>
        <v>0</v>
      </c>
      <c r="KJ53" s="106">
        <f t="shared" si="635"/>
        <v>0</v>
      </c>
      <c r="KK53" s="106">
        <f t="shared" si="636"/>
        <v>0</v>
      </c>
      <c r="KL53" s="40"/>
      <c r="KN53" s="39">
        <v>0.20833333333333334</v>
      </c>
      <c r="KO53" s="38">
        <v>105</v>
      </c>
      <c r="KP53" s="38">
        <f t="shared" si="523"/>
        <v>-23.636004549359633</v>
      </c>
      <c r="KQ53" s="38">
        <f t="shared" si="524"/>
        <v>104.69392403052011</v>
      </c>
      <c r="KR53" s="38">
        <f t="shared" si="525"/>
        <v>113.63600454935963</v>
      </c>
      <c r="KS53" s="38">
        <f>+'Irradiancia Horizontal'!N74/COS(RADIANS(KR53))</f>
        <v>0</v>
      </c>
      <c r="KT53" s="38" t="e">
        <f>((('Irradiancia Horizontal'!N45+KS53)/'Irradiancia Horizontal'!N45)+1.041*((RADIANS('Cálculos iluminancia'!KR53))^3))/(1+1.041*((RADIANS('Cálculos iluminancia'!KR53))^3))</f>
        <v>#DIV/0!</v>
      </c>
      <c r="KU53" s="88" t="e">
        <f t="shared" si="526"/>
        <v>#NUM!</v>
      </c>
      <c r="KV53" s="88" t="e">
        <f t="shared" si="637"/>
        <v>#NUM!</v>
      </c>
      <c r="KW53" s="106" t="e">
        <f>'Irradiancia Horizontal'!N45*KV53/$KU$46</f>
        <v>#NUM!</v>
      </c>
      <c r="KX53" s="88">
        <f>((17.27*Temp!M15)/(237.7+Temp!M15))+LN(HR!M26/100)</f>
        <v>0.33580706335219412</v>
      </c>
      <c r="KY53" s="88">
        <f t="shared" si="638"/>
        <v>4.7136193178756542</v>
      </c>
      <c r="KZ53" s="88">
        <f t="shared" si="639"/>
        <v>1.2904014251474956</v>
      </c>
      <c r="LA53" s="88" t="e">
        <f t="shared" si="527"/>
        <v>#DIV/0!</v>
      </c>
      <c r="LB53" s="88" t="e">
        <f t="shared" si="528"/>
        <v>#DIV/0!</v>
      </c>
      <c r="LC53" s="88" t="e">
        <f t="shared" si="529"/>
        <v>#DIV/0!</v>
      </c>
      <c r="LD53" s="88" t="e">
        <f t="shared" si="530"/>
        <v>#DIV/0!</v>
      </c>
      <c r="LE53" s="88" t="e">
        <f t="shared" si="531"/>
        <v>#DIV/0!</v>
      </c>
      <c r="LF53" s="103">
        <f t="shared" si="532"/>
        <v>0</v>
      </c>
      <c r="LG53" s="165">
        <f>IF(LM53&gt;(LF53*'Irradiancia Horizontal'!N13),LM53,LF53*'Irradiancia Horizontal'!N13)</f>
        <v>0</v>
      </c>
      <c r="LH53" s="88" t="e">
        <f t="shared" si="533"/>
        <v>#DIV/0!</v>
      </c>
      <c r="LI53" s="88" t="e">
        <f t="shared" si="534"/>
        <v>#DIV/0!</v>
      </c>
      <c r="LJ53" s="88" t="e">
        <f t="shared" si="535"/>
        <v>#DIV/0!</v>
      </c>
      <c r="LK53" s="88" t="e">
        <f t="shared" si="536"/>
        <v>#DIV/0!</v>
      </c>
      <c r="LL53" s="103">
        <f t="shared" si="537"/>
        <v>0</v>
      </c>
      <c r="LM53" s="88">
        <f>+LL53*'Irradiancia Horizontal'!N45</f>
        <v>0</v>
      </c>
      <c r="LN53" s="88">
        <f t="shared" si="640"/>
        <v>0</v>
      </c>
      <c r="LO53" s="88" t="e">
        <f>+LN53/'Irradiancia Horizontal'!N74</f>
        <v>#DIV/0!</v>
      </c>
      <c r="LP53" s="38">
        <f t="shared" si="538"/>
        <v>0.23237646580970386</v>
      </c>
      <c r="LQ53" s="88">
        <f t="shared" si="641"/>
        <v>0.23237646580970386</v>
      </c>
      <c r="LR53" s="88">
        <f t="shared" si="642"/>
        <v>8.6999999999999994E-2</v>
      </c>
      <c r="LS53" s="88" t="e">
        <f t="shared" si="643"/>
        <v>#DIV/0!</v>
      </c>
      <c r="LT53" s="88" t="e">
        <f t="shared" si="644"/>
        <v>#DIV/0!</v>
      </c>
      <c r="LU53" s="88" t="e">
        <f t="shared" si="645"/>
        <v>#DIV/0!</v>
      </c>
      <c r="LV53" s="88" t="e">
        <f t="shared" si="646"/>
        <v>#DIV/0!</v>
      </c>
      <c r="LW53" s="88" t="e">
        <f t="shared" si="647"/>
        <v>#DIV/0!</v>
      </c>
      <c r="LX53" s="88" t="e">
        <f t="shared" si="648"/>
        <v>#DIV/0!</v>
      </c>
      <c r="LY53" s="88" t="e">
        <f t="shared" si="539"/>
        <v>#DIV/0!</v>
      </c>
      <c r="LZ53" s="88" t="e">
        <f t="shared" si="540"/>
        <v>#DIV/0!</v>
      </c>
      <c r="MA53" s="88">
        <f t="shared" si="541"/>
        <v>0</v>
      </c>
      <c r="MB53" s="88" t="e">
        <f t="shared" si="542"/>
        <v>#DIV/0!</v>
      </c>
      <c r="MC53" s="88" t="e">
        <f t="shared" si="543"/>
        <v>#DIV/0!</v>
      </c>
      <c r="MD53" s="88" t="e">
        <f t="shared" si="544"/>
        <v>#DIV/0!</v>
      </c>
      <c r="ME53" s="88" t="e">
        <f t="shared" si="545"/>
        <v>#DIV/0!</v>
      </c>
      <c r="MF53" s="88" t="e">
        <f t="shared" si="546"/>
        <v>#DIV/0!</v>
      </c>
      <c r="MG53" s="88" t="e">
        <f t="shared" si="547"/>
        <v>#DIV/0!</v>
      </c>
      <c r="MH53" s="88" t="e">
        <f t="shared" si="548"/>
        <v>#DIV/0!</v>
      </c>
      <c r="MI53" s="88" t="e">
        <f t="shared" si="549"/>
        <v>#DIV/0!</v>
      </c>
      <c r="MJ53" s="106">
        <f>IF(KP53&lt;0,0,((0.5*(1-MH53)*(1+COS(RADIANS($KW$46))))+(MH53*(LQ53/LR53))+(MI53*SIN(RADIANS($KW$46))))*'Irradiancia Horizontal'!N45)</f>
        <v>0</v>
      </c>
      <c r="MK53" s="88">
        <f t="shared" si="550"/>
        <v>-0.57960113551246739</v>
      </c>
      <c r="ML53" s="88">
        <f>MK53*'Irradiancia Horizontal'!N74</f>
        <v>0</v>
      </c>
      <c r="MM53" s="88">
        <f t="shared" si="649"/>
        <v>0</v>
      </c>
      <c r="MN53" s="88">
        <f t="shared" si="551"/>
        <v>0</v>
      </c>
      <c r="MO53" s="88">
        <f t="shared" si="650"/>
        <v>0</v>
      </c>
      <c r="MP53" s="106">
        <f t="shared" si="651"/>
        <v>0</v>
      </c>
      <c r="MQ53" s="106">
        <f t="shared" si="652"/>
        <v>0</v>
      </c>
      <c r="MR53" s="106">
        <f t="shared" si="653"/>
        <v>0</v>
      </c>
    </row>
    <row r="54" spans="1:356" x14ac:dyDescent="0.25">
      <c r="A54" s="48"/>
      <c r="B54" s="37"/>
      <c r="E54" s="39">
        <v>0.25</v>
      </c>
      <c r="F54" s="38">
        <v>90</v>
      </c>
      <c r="G54" s="38">
        <f t="shared" si="378"/>
        <v>9.7730868529410237</v>
      </c>
      <c r="H54" s="38">
        <f t="shared" si="379"/>
        <v>71.957650170580621</v>
      </c>
      <c r="I54" s="38">
        <f t="shared" si="380"/>
        <v>80.22691314705898</v>
      </c>
      <c r="J54" s="38">
        <f>+'Irradiancia Horizontal'!I75/COS(RADIANS(I54))</f>
        <v>421.17269761830295</v>
      </c>
      <c r="K54" s="38">
        <f>((('Irradiancia Horizontal'!I46+J54)/'Irradiancia Horizontal'!I46)+1.041*((RADIANS('Cálculos iluminancia'!I54))^3))/(1+1.041*((RADIANS('Cálculos iluminancia'!I54))^3))</f>
        <v>3.8169750852095823</v>
      </c>
      <c r="L54" s="87">
        <f t="shared" si="381"/>
        <v>5.7063749330725395</v>
      </c>
      <c r="M54" s="87">
        <f t="shared" si="552"/>
        <v>5.565581987356647</v>
      </c>
      <c r="N54" s="106">
        <f>'Irradiancia Horizontal'!I46*M54/$L$46</f>
        <v>0.16068042619645032</v>
      </c>
      <c r="O54" s="87">
        <f>((17.27*Temp!H16)/(237.7+Temp!H16))+LN(HR!H27/100)</f>
        <v>1.2279901272884579</v>
      </c>
      <c r="P54" s="87">
        <f t="shared" si="553"/>
        <v>18.195553772410715</v>
      </c>
      <c r="Q54" s="87">
        <f t="shared" si="554"/>
        <v>3.3157663190887647</v>
      </c>
      <c r="R54" s="87">
        <f t="shared" si="382"/>
        <v>6</v>
      </c>
      <c r="S54" s="87">
        <f t="shared" si="383"/>
        <v>88.34</v>
      </c>
      <c r="T54" s="87">
        <f t="shared" si="384"/>
        <v>1.39</v>
      </c>
      <c r="U54" s="87">
        <f t="shared" si="385"/>
        <v>6.06</v>
      </c>
      <c r="V54" s="87">
        <f t="shared" si="386"/>
        <v>-7.6</v>
      </c>
      <c r="W54" s="103">
        <f t="shared" si="387"/>
        <v>107.87294705947301</v>
      </c>
      <c r="X54" s="165">
        <f>IF(AD54&gt;(W54*'Irradiancia Horizontal'!I14),AD54,W54*'Irradiancia Horizontal'!I14)</f>
        <v>11892.751346647969</v>
      </c>
      <c r="Y54" s="87">
        <f t="shared" si="388"/>
        <v>106.42</v>
      </c>
      <c r="Z54" s="87">
        <f t="shared" si="389"/>
        <v>3.83</v>
      </c>
      <c r="AA54" s="87">
        <f t="shared" si="390"/>
        <v>-36.15</v>
      </c>
      <c r="AB54" s="87">
        <f t="shared" si="391"/>
        <v>-28.83</v>
      </c>
      <c r="AC54" s="103">
        <f t="shared" si="392"/>
        <v>165.69402425717743</v>
      </c>
      <c r="AD54" s="87">
        <f>+AC54*'Irradiancia Horizontal'!I46</f>
        <v>6421.4929438384179</v>
      </c>
      <c r="AE54" s="87">
        <f t="shared" si="393"/>
        <v>5471.2584028095507</v>
      </c>
      <c r="AF54" s="87">
        <f>+AE54/'Irradiancia Horizontal'!I75</f>
        <v>76.528975999335159</v>
      </c>
      <c r="AG54" s="38">
        <f t="shared" si="555"/>
        <v>-0.30522514252593264</v>
      </c>
      <c r="AH54" s="87">
        <f t="shared" si="556"/>
        <v>0</v>
      </c>
      <c r="AI54" s="87">
        <f t="shared" si="557"/>
        <v>0.16974661162342602</v>
      </c>
      <c r="AJ54" s="87">
        <f t="shared" si="558"/>
        <v>1.4259999999999999</v>
      </c>
      <c r="AK54" s="87">
        <f t="shared" si="559"/>
        <v>-0.65300000000000002</v>
      </c>
      <c r="AL54" s="87">
        <f t="shared" si="560"/>
        <v>-0.77900000000000003</v>
      </c>
      <c r="AM54" s="87">
        <f t="shared" si="561"/>
        <v>0.42499999999999999</v>
      </c>
      <c r="AN54" s="87">
        <f t="shared" si="562"/>
        <v>-0.78500000000000003</v>
      </c>
      <c r="AO54" s="87">
        <f t="shared" si="563"/>
        <v>-9.7000000000000003E-2</v>
      </c>
      <c r="AP54" s="87">
        <f t="shared" si="394"/>
        <v>0.23030135463723567</v>
      </c>
      <c r="AQ54" s="87">
        <f t="shared" si="395"/>
        <v>0.16304415847239914</v>
      </c>
      <c r="AR54" s="88">
        <f t="shared" si="396"/>
        <v>3518.2941232040739</v>
      </c>
      <c r="AS54" s="87">
        <f t="shared" si="397"/>
        <v>1.1319999999999999</v>
      </c>
      <c r="AT54" s="87">
        <f t="shared" si="398"/>
        <v>-1.2370000000000001</v>
      </c>
      <c r="AU54" s="87">
        <f t="shared" si="399"/>
        <v>-0.41199999999999998</v>
      </c>
      <c r="AV54" s="87">
        <f t="shared" si="400"/>
        <v>0.28799999999999998</v>
      </c>
      <c r="AW54" s="87">
        <f t="shared" si="401"/>
        <v>-0.82299999999999995</v>
      </c>
      <c r="AX54" s="87">
        <f t="shared" si="402"/>
        <v>5.6000000000000001E-2</v>
      </c>
      <c r="AY54" s="87">
        <f t="shared" si="403"/>
        <v>0.3563461141463764</v>
      </c>
      <c r="AZ54" s="87">
        <f t="shared" si="404"/>
        <v>0.23417254109547286</v>
      </c>
      <c r="BA54" s="106">
        <f>IF(G54&lt;0,0,((0.5*(1-AY54)*(1+COS(RADIANS($N$46))))+(AY54*(AH54/AI54))+(AZ54*SIN(RADIANS($N$46))))*'Irradiancia Horizontal'!I46)</f>
        <v>21.547830583710645</v>
      </c>
      <c r="BB54" s="87">
        <f t="shared" si="405"/>
        <v>0</v>
      </c>
      <c r="BC54" s="87">
        <f>BB54*'Irradiancia Horizontal'!I75</f>
        <v>0</v>
      </c>
      <c r="BD54" s="87">
        <f t="shared" si="564"/>
        <v>21.547830583710645</v>
      </c>
      <c r="BE54" s="88">
        <f t="shared" si="406"/>
        <v>2324.4279878031116</v>
      </c>
      <c r="BF54" s="87">
        <f t="shared" si="565"/>
        <v>-1193.8661354009623</v>
      </c>
      <c r="BG54" s="106">
        <f t="shared" si="566"/>
        <v>32231.91526760635</v>
      </c>
      <c r="BH54" s="106">
        <f t="shared" si="567"/>
        <v>0</v>
      </c>
      <c r="BI54" s="106">
        <f t="shared" si="568"/>
        <v>3518.2941232040739</v>
      </c>
      <c r="BJ54" s="44"/>
      <c r="BL54" s="39">
        <v>0.25</v>
      </c>
      <c r="BM54" s="38">
        <v>90</v>
      </c>
      <c r="BN54" s="38">
        <f t="shared" si="407"/>
        <v>5.6821815467779757</v>
      </c>
      <c r="BO54" s="38">
        <f t="shared" si="408"/>
        <v>79.693624283554726</v>
      </c>
      <c r="BP54" s="38">
        <f t="shared" si="409"/>
        <v>84.317818453222031</v>
      </c>
      <c r="BQ54" s="38">
        <f>+'Irradiancia Horizontal'!J75/COS(RADIANS(BP54))</f>
        <v>399.44718687864497</v>
      </c>
      <c r="BR54" s="38">
        <f>((('Irradiancia Horizontal'!J46+BQ54)/'Irradiancia Horizontal'!J46)+1.041*((RADIANS('Cálculos iluminancia'!BP54))^3))/(1+1.041*((RADIANS('Cálculos iluminancia'!BP54))^3))</f>
        <v>5.0166569477457132</v>
      </c>
      <c r="BS54" s="87">
        <f t="shared" si="410"/>
        <v>9.2620568455457928</v>
      </c>
      <c r="BT54" s="87">
        <f t="shared" si="569"/>
        <v>9.0335348360446925</v>
      </c>
      <c r="BU54" s="106">
        <f>'Irradiancia Horizontal'!J46*BT54/$BS$46</f>
        <v>0.15360505708646038</v>
      </c>
      <c r="BV54" s="87">
        <f>((17.27*Temp!I16)/(237.7+Temp!I16))+LN(HR!I27/100)</f>
        <v>1.3952099585387066</v>
      </c>
      <c r="BW54" s="87">
        <f t="shared" si="570"/>
        <v>20.891073600247918</v>
      </c>
      <c r="BX54" s="87">
        <f t="shared" si="571"/>
        <v>4.0043255006496654</v>
      </c>
      <c r="BY54" s="87">
        <f t="shared" si="411"/>
        <v>7</v>
      </c>
      <c r="BZ54" s="87">
        <f t="shared" si="412"/>
        <v>78.63</v>
      </c>
      <c r="CA54" s="87">
        <f t="shared" si="413"/>
        <v>1.47</v>
      </c>
      <c r="CB54" s="87">
        <f t="shared" si="414"/>
        <v>4.93</v>
      </c>
      <c r="CC54" s="87">
        <f t="shared" si="415"/>
        <v>-11.37</v>
      </c>
      <c r="CD54" s="103">
        <f t="shared" si="416"/>
        <v>106.30470220897678</v>
      </c>
      <c r="CE54" s="165">
        <f>IF(CK54&gt;(CD54*'Irradiancia Horizontal'!J14),CK54,CD54*'Irradiancia Horizontal'!J14)</f>
        <v>6652.7380132404523</v>
      </c>
      <c r="CF54" s="87">
        <f t="shared" si="417"/>
        <v>141.88</v>
      </c>
      <c r="CG54" s="87">
        <f t="shared" si="418"/>
        <v>1.9</v>
      </c>
      <c r="CH54" s="87">
        <f t="shared" si="419"/>
        <v>-53.24</v>
      </c>
      <c r="CI54" s="87">
        <f t="shared" si="420"/>
        <v>-14.03</v>
      </c>
      <c r="CJ54" s="103">
        <f t="shared" si="421"/>
        <v>170.50029911533193</v>
      </c>
      <c r="CK54" s="87">
        <f>+CJ54*'Irradiancia Horizontal'!J46</f>
        <v>3927.0314927647801</v>
      </c>
      <c r="CL54" s="87">
        <f t="shared" si="572"/>
        <v>2725.7065204756723</v>
      </c>
      <c r="CM54" s="87">
        <f>+CL54/'Irradiancia Horizontal'!J75</f>
        <v>68.919066294352064</v>
      </c>
      <c r="CN54" s="38">
        <f t="shared" si="422"/>
        <v>-0.17803259917958728</v>
      </c>
      <c r="CO54" s="87">
        <f t="shared" si="573"/>
        <v>0</v>
      </c>
      <c r="CP54" s="87">
        <f t="shared" si="574"/>
        <v>9.9010291941067363E-2</v>
      </c>
      <c r="CQ54" s="87">
        <f t="shared" si="575"/>
        <v>1.4850000000000001</v>
      </c>
      <c r="CR54" s="87">
        <f t="shared" si="576"/>
        <v>-1.214</v>
      </c>
      <c r="CS54" s="87">
        <f t="shared" si="577"/>
        <v>-0.78400000000000003</v>
      </c>
      <c r="CT54" s="87">
        <f t="shared" si="578"/>
        <v>0.41099999999999998</v>
      </c>
      <c r="CU54" s="87">
        <f t="shared" si="579"/>
        <v>-0.629</v>
      </c>
      <c r="CV54" s="87">
        <f t="shared" si="580"/>
        <v>-8.2000000000000003E-2</v>
      </c>
      <c r="CW54" s="87">
        <f t="shared" si="423"/>
        <v>0.1447705974127127</v>
      </c>
      <c r="CX54" s="87">
        <f t="shared" si="424"/>
        <v>0.19370928798379672</v>
      </c>
      <c r="CY54" s="88">
        <f t="shared" si="425"/>
        <v>2439.9588731027548</v>
      </c>
      <c r="CZ54" s="87">
        <f t="shared" si="426"/>
        <v>1.06</v>
      </c>
      <c r="DA54" s="87">
        <f t="shared" si="427"/>
        <v>-1.6</v>
      </c>
      <c r="DB54" s="87">
        <f t="shared" si="428"/>
        <v>-0.35899999999999999</v>
      </c>
      <c r="DC54" s="87">
        <f t="shared" si="429"/>
        <v>0.26400000000000001</v>
      </c>
      <c r="DD54" s="87">
        <f t="shared" si="430"/>
        <v>-1.127</v>
      </c>
      <c r="DE54" s="87">
        <f t="shared" si="431"/>
        <v>0.13100000000000001</v>
      </c>
      <c r="DF54" s="87">
        <f t="shared" si="432"/>
        <v>0.28591905417305052</v>
      </c>
      <c r="DG54" s="87">
        <f t="shared" si="433"/>
        <v>0.28366978572764912</v>
      </c>
      <c r="DH54" s="106">
        <f>IF(BN54&lt;0,0,((0.5*(1-DF54)*(1+COS(RADIANS($BU$46))))+(DF54*(CO54/CP54))+(DG54*SIN(RADIANS($BU$46))))*'Irradiancia Horizontal'!J46)</f>
        <v>14.757096477110556</v>
      </c>
      <c r="DI54" s="87">
        <f t="shared" si="434"/>
        <v>0</v>
      </c>
      <c r="DJ54" s="87">
        <f>DI54*'Irradiancia Horizontal'!J75</f>
        <v>0</v>
      </c>
      <c r="DK54" s="87">
        <f t="shared" si="581"/>
        <v>14.757096477110556</v>
      </c>
      <c r="DL54" s="88">
        <f t="shared" si="435"/>
        <v>1568.7487464683779</v>
      </c>
      <c r="DM54" s="87">
        <f t="shared" si="582"/>
        <v>-871.21012663437682</v>
      </c>
      <c r="DN54" s="106">
        <f t="shared" si="583"/>
        <v>27529.52715358177</v>
      </c>
      <c r="DO54" s="106">
        <f t="shared" si="584"/>
        <v>0</v>
      </c>
      <c r="DP54" s="106">
        <f t="shared" si="585"/>
        <v>2439.9588731027548</v>
      </c>
      <c r="DQ54" s="44"/>
      <c r="DS54" s="39">
        <v>0.25</v>
      </c>
      <c r="DT54" s="38">
        <v>90</v>
      </c>
      <c r="DU54" s="38">
        <f t="shared" si="436"/>
        <v>-9.8097331492219067E-2</v>
      </c>
      <c r="DV54" s="38">
        <f t="shared" si="437"/>
        <v>90.176391435763364</v>
      </c>
      <c r="DW54" s="38">
        <f t="shared" si="438"/>
        <v>90.098097331492212</v>
      </c>
      <c r="DX54" s="38">
        <f>+'Irradiancia Horizontal'!K75/COS(RADIANS(DW54))</f>
        <v>0</v>
      </c>
      <c r="DY54" s="38" t="e">
        <f>((('Irradiancia Horizontal'!K46+DX54)/'Irradiancia Horizontal'!K46)+1.041*((RADIANS('Cálculos iluminancia'!DW54))^3))/(1+1.041*((RADIANS('Cálculos iluminancia'!DW54))^3))</f>
        <v>#DIV/0!</v>
      </c>
      <c r="DZ54" s="87">
        <f t="shared" si="439"/>
        <v>39.415325677035824</v>
      </c>
      <c r="EA54" s="87">
        <f t="shared" si="586"/>
        <v>38.44283440656946</v>
      </c>
      <c r="EB54" s="106">
        <f>'Irradiancia Horizontal'!K46*EA54/$DZ$46</f>
        <v>0</v>
      </c>
      <c r="EC54" s="87">
        <f>((17.27*Temp!J16)/(237.7+Temp!J16))+LN(HR!J27/100)</f>
        <v>1.2589676619167234</v>
      </c>
      <c r="ED54" s="87">
        <f t="shared" si="587"/>
        <v>18.69065072873558</v>
      </c>
      <c r="EE54" s="87">
        <f t="shared" si="588"/>
        <v>3.4326946020127003</v>
      </c>
      <c r="EF54" s="87" t="e">
        <f t="shared" si="440"/>
        <v>#DIV/0!</v>
      </c>
      <c r="EG54" s="87" t="e">
        <f t="shared" si="441"/>
        <v>#DIV/0!</v>
      </c>
      <c r="EH54" s="87" t="e">
        <f t="shared" si="442"/>
        <v>#DIV/0!</v>
      </c>
      <c r="EI54" s="87" t="e">
        <f t="shared" si="443"/>
        <v>#DIV/0!</v>
      </c>
      <c r="EJ54" s="87" t="e">
        <f t="shared" si="444"/>
        <v>#DIV/0!</v>
      </c>
      <c r="EK54" s="103">
        <f t="shared" si="445"/>
        <v>0</v>
      </c>
      <c r="EL54" s="165">
        <f>IF(ER54&gt;(EK54*'Irradiancia Horizontal'!K14),ER54,EK54*'Irradiancia Horizontal'!K14)</f>
        <v>0</v>
      </c>
      <c r="EM54" s="87" t="e">
        <f t="shared" si="446"/>
        <v>#DIV/0!</v>
      </c>
      <c r="EN54" s="87" t="e">
        <f t="shared" si="447"/>
        <v>#DIV/0!</v>
      </c>
      <c r="EO54" s="87" t="e">
        <f t="shared" si="448"/>
        <v>#DIV/0!</v>
      </c>
      <c r="EP54" s="87" t="e">
        <f t="shared" si="449"/>
        <v>#DIV/0!</v>
      </c>
      <c r="EQ54" s="103">
        <f t="shared" si="450"/>
        <v>0</v>
      </c>
      <c r="ER54" s="87">
        <f>+EQ54*'Irradiancia Horizontal'!K46</f>
        <v>0</v>
      </c>
      <c r="ES54" s="87">
        <f t="shared" si="589"/>
        <v>0</v>
      </c>
      <c r="ET54" s="87" t="e">
        <f>+ES54/'Irradiancia Horizontal'!K75</f>
        <v>#DIV/0!</v>
      </c>
      <c r="EU54" s="38">
        <f t="shared" si="451"/>
        <v>3.0786019510409841E-3</v>
      </c>
      <c r="EV54" s="87">
        <f t="shared" si="590"/>
        <v>3.0786019510409841E-3</v>
      </c>
      <c r="EW54" s="87">
        <f t="shared" si="591"/>
        <v>8.6999999999999994E-2</v>
      </c>
      <c r="EX54" s="87" t="e">
        <f t="shared" si="592"/>
        <v>#DIV/0!</v>
      </c>
      <c r="EY54" s="87" t="e">
        <f t="shared" si="593"/>
        <v>#DIV/0!</v>
      </c>
      <c r="EZ54" s="87" t="e">
        <f t="shared" si="594"/>
        <v>#DIV/0!</v>
      </c>
      <c r="FA54" s="87" t="e">
        <f t="shared" si="595"/>
        <v>#DIV/0!</v>
      </c>
      <c r="FB54" s="87" t="e">
        <f t="shared" si="596"/>
        <v>#DIV/0!</v>
      </c>
      <c r="FC54" s="87" t="e">
        <f t="shared" si="597"/>
        <v>#DIV/0!</v>
      </c>
      <c r="FD54" s="87" t="e">
        <f t="shared" si="452"/>
        <v>#DIV/0!</v>
      </c>
      <c r="FE54" s="87" t="e">
        <f t="shared" si="453"/>
        <v>#DIV/0!</v>
      </c>
      <c r="FF54" s="88">
        <f t="shared" si="454"/>
        <v>0</v>
      </c>
      <c r="FG54" s="87" t="e">
        <f t="shared" si="455"/>
        <v>#DIV/0!</v>
      </c>
      <c r="FH54" s="87" t="e">
        <f t="shared" si="456"/>
        <v>#DIV/0!</v>
      </c>
      <c r="FI54" s="87" t="e">
        <f t="shared" si="457"/>
        <v>#DIV/0!</v>
      </c>
      <c r="FJ54" s="87" t="e">
        <f t="shared" si="458"/>
        <v>#DIV/0!</v>
      </c>
      <c r="FK54" s="87" t="e">
        <f t="shared" si="459"/>
        <v>#DIV/0!</v>
      </c>
      <c r="FL54" s="87" t="e">
        <f t="shared" si="460"/>
        <v>#DIV/0!</v>
      </c>
      <c r="FM54" s="87" t="e">
        <f t="shared" si="461"/>
        <v>#DIV/0!</v>
      </c>
      <c r="FN54" s="87" t="e">
        <f t="shared" si="462"/>
        <v>#DIV/0!</v>
      </c>
      <c r="FO54" s="106">
        <f>IF(DU54&lt;0,0,((0.5*(1-FM54)*(1+COS(RADIANS($EB$46))))+(FM54*(EV54/EW54))+(FN54*SIN(RADIANS($EB$46))))*'Irradiancia Horizontal'!K46)</f>
        <v>0</v>
      </c>
      <c r="FP54" s="87">
        <f t="shared" si="463"/>
        <v>-1.798122151640259</v>
      </c>
      <c r="FQ54" s="87">
        <f>FP54*'Irradiancia Horizontal'!K75</f>
        <v>0</v>
      </c>
      <c r="FR54" s="87">
        <f t="shared" si="598"/>
        <v>0</v>
      </c>
      <c r="FS54" s="88">
        <f t="shared" si="464"/>
        <v>0</v>
      </c>
      <c r="FT54" s="87">
        <f t="shared" si="599"/>
        <v>0</v>
      </c>
      <c r="FU54" s="106">
        <f t="shared" si="600"/>
        <v>0</v>
      </c>
      <c r="FV54" s="106">
        <f t="shared" si="601"/>
        <v>0</v>
      </c>
      <c r="FW54" s="106">
        <f t="shared" si="602"/>
        <v>0</v>
      </c>
      <c r="FX54" s="83"/>
      <c r="FZ54" s="39">
        <v>0.25</v>
      </c>
      <c r="GA54" s="38">
        <v>90</v>
      </c>
      <c r="GB54" s="38">
        <f t="shared" si="465"/>
        <v>-5.6821815467779615</v>
      </c>
      <c r="GC54" s="38">
        <f t="shared" si="466"/>
        <v>100.30637571644526</v>
      </c>
      <c r="GD54" s="38">
        <f t="shared" si="467"/>
        <v>95.682181546777969</v>
      </c>
      <c r="GE54" s="38">
        <f>+'Irradiancia Horizontal'!L75/COS(RADIANS(GD54))</f>
        <v>0</v>
      </c>
      <c r="GF54" s="38" t="e">
        <f>((('Irradiancia Horizontal'!L46+GE54)/'Irradiancia Horizontal'!L46)+1.041*((RADIANS('Cálculos iluminancia'!GD54))^3))/(1+1.041*((RADIANS('Cálculos iluminancia'!GD54))^3))</f>
        <v>#DIV/0!</v>
      </c>
      <c r="GG54" s="88">
        <f t="shared" si="468"/>
        <v>0.45725082066340655</v>
      </c>
      <c r="GH54" s="88">
        <f t="shared" si="603"/>
        <v>0.44596910666331596</v>
      </c>
      <c r="GI54" s="106">
        <f>'Irradiancia Horizontal'!L46*GH54/$GG$46</f>
        <v>0</v>
      </c>
      <c r="GJ54" s="88">
        <f>((17.27*Temp!K16)/(237.7+Temp!K16))+LN(HR!K27/100)</f>
        <v>0.89902395771529853</v>
      </c>
      <c r="GK54" s="88">
        <f t="shared" si="604"/>
        <v>13.05346695254849</v>
      </c>
      <c r="GL54" s="88">
        <f t="shared" si="605"/>
        <v>2.3134564078554276</v>
      </c>
      <c r="GM54" s="88" t="e">
        <f t="shared" si="469"/>
        <v>#DIV/0!</v>
      </c>
      <c r="GN54" s="88" t="e">
        <f t="shared" si="470"/>
        <v>#DIV/0!</v>
      </c>
      <c r="GO54" s="88" t="e">
        <f t="shared" si="471"/>
        <v>#DIV/0!</v>
      </c>
      <c r="GP54" s="88" t="e">
        <f t="shared" si="472"/>
        <v>#DIV/0!</v>
      </c>
      <c r="GQ54" s="88" t="e">
        <f t="shared" si="473"/>
        <v>#DIV/0!</v>
      </c>
      <c r="GR54" s="103">
        <f t="shared" si="474"/>
        <v>0</v>
      </c>
      <c r="GS54" s="165">
        <f>IF(GY54&gt;(GR54*'Irradiancia Horizontal'!L14),GY54,GR54*'Irradiancia Horizontal'!L14)</f>
        <v>0</v>
      </c>
      <c r="GT54" s="88" t="e">
        <f t="shared" si="475"/>
        <v>#DIV/0!</v>
      </c>
      <c r="GU54" s="88" t="e">
        <f t="shared" si="476"/>
        <v>#DIV/0!</v>
      </c>
      <c r="GV54" s="88" t="e">
        <f t="shared" si="477"/>
        <v>#DIV/0!</v>
      </c>
      <c r="GW54" s="88" t="e">
        <f t="shared" si="478"/>
        <v>#DIV/0!</v>
      </c>
      <c r="GX54" s="103">
        <f t="shared" si="479"/>
        <v>0</v>
      </c>
      <c r="GY54" s="88">
        <f>+GX54*'Irradiancia Horizontal'!L46</f>
        <v>0</v>
      </c>
      <c r="GZ54" s="88">
        <f t="shared" si="606"/>
        <v>0</v>
      </c>
      <c r="HA54" s="88" t="e">
        <f>+GZ54/'Irradiancia Horizontal'!L75</f>
        <v>#DIV/0!</v>
      </c>
      <c r="HB54" s="38">
        <f t="shared" si="480"/>
        <v>0.17803259917958711</v>
      </c>
      <c r="HC54" s="88">
        <f t="shared" si="607"/>
        <v>0.17803259917958711</v>
      </c>
      <c r="HD54" s="88">
        <f t="shared" si="608"/>
        <v>8.6999999999999994E-2</v>
      </c>
      <c r="HE54" s="88" t="e">
        <f t="shared" si="609"/>
        <v>#DIV/0!</v>
      </c>
      <c r="HF54" s="88" t="e">
        <f t="shared" si="610"/>
        <v>#DIV/0!</v>
      </c>
      <c r="HG54" s="88" t="e">
        <f t="shared" si="611"/>
        <v>#DIV/0!</v>
      </c>
      <c r="HH54" s="88" t="e">
        <f t="shared" si="612"/>
        <v>#DIV/0!</v>
      </c>
      <c r="HI54" s="88" t="e">
        <f t="shared" si="613"/>
        <v>#DIV/0!</v>
      </c>
      <c r="HJ54" s="88" t="e">
        <f t="shared" si="614"/>
        <v>#DIV/0!</v>
      </c>
      <c r="HK54" s="88" t="e">
        <f t="shared" si="481"/>
        <v>#DIV/0!</v>
      </c>
      <c r="HL54" s="88" t="e">
        <f t="shared" si="482"/>
        <v>#DIV/0!</v>
      </c>
      <c r="HM54" s="88">
        <f t="shared" si="483"/>
        <v>0</v>
      </c>
      <c r="HN54" s="88" t="e">
        <f t="shared" si="484"/>
        <v>#DIV/0!</v>
      </c>
      <c r="HO54" s="88" t="e">
        <f t="shared" si="485"/>
        <v>#DIV/0!</v>
      </c>
      <c r="HP54" s="88" t="e">
        <f t="shared" si="486"/>
        <v>#DIV/0!</v>
      </c>
      <c r="HQ54" s="88" t="e">
        <f t="shared" si="487"/>
        <v>#DIV/0!</v>
      </c>
      <c r="HR54" s="88" t="e">
        <f t="shared" si="488"/>
        <v>#DIV/0!</v>
      </c>
      <c r="HS54" s="88" t="e">
        <f t="shared" si="489"/>
        <v>#DIV/0!</v>
      </c>
      <c r="HT54" s="88" t="e">
        <f t="shared" si="490"/>
        <v>#DIV/0!</v>
      </c>
      <c r="HU54" s="88" t="e">
        <f t="shared" si="491"/>
        <v>#DIV/0!</v>
      </c>
      <c r="HV54" s="106">
        <f>IF(GB54&lt;0,0,((0.5*(1-HT54)*(1+COS(RADIANS($GI$46))))+(HT54*(HC54/HD54))+(HU54*SIN(RADIANS($GI$46))))*'Irradiancia Horizontal'!L46)</f>
        <v>0</v>
      </c>
      <c r="HW54" s="88">
        <f t="shared" si="492"/>
        <v>-1.7981221516401082</v>
      </c>
      <c r="HX54" s="88">
        <f>HW54*'Irradiancia Horizontal'!L75</f>
        <v>0</v>
      </c>
      <c r="HY54" s="88">
        <f t="shared" si="615"/>
        <v>0</v>
      </c>
      <c r="HZ54" s="88">
        <f t="shared" si="493"/>
        <v>0</v>
      </c>
      <c r="IA54" s="88">
        <f t="shared" si="616"/>
        <v>0</v>
      </c>
      <c r="IB54" s="106">
        <f t="shared" si="617"/>
        <v>0</v>
      </c>
      <c r="IC54" s="106">
        <f t="shared" si="618"/>
        <v>0</v>
      </c>
      <c r="ID54" s="106">
        <f t="shared" si="619"/>
        <v>0</v>
      </c>
      <c r="IE54" s="83"/>
      <c r="IG54" s="39">
        <v>0.25</v>
      </c>
      <c r="IH54" s="38">
        <v>90</v>
      </c>
      <c r="II54" s="38">
        <f t="shared" si="494"/>
        <v>-9.7730868529410131</v>
      </c>
      <c r="IJ54" s="38">
        <f t="shared" si="495"/>
        <v>108.04234982941938</v>
      </c>
      <c r="IK54" s="38">
        <f t="shared" si="496"/>
        <v>99.77308685294102</v>
      </c>
      <c r="IL54" s="38">
        <f>+'Irradiancia Horizontal'!M75/COS(RADIANS(IK54))</f>
        <v>0</v>
      </c>
      <c r="IM54" s="38" t="e">
        <f>((('Irradiancia Horizontal'!M46+IL54)/'Irradiancia Horizontal'!M46)+1.041*((RADIANS('Cálculos iluminancia'!IK54))^3))/(1+1.041*((RADIANS('Cálculos iluminancia'!IK54))^3))</f>
        <v>#DIV/0!</v>
      </c>
      <c r="IN54" s="88" t="e">
        <f t="shared" si="497"/>
        <v>#NUM!</v>
      </c>
      <c r="IO54" s="88" t="e">
        <f t="shared" si="620"/>
        <v>#NUM!</v>
      </c>
      <c r="IP54" s="106" t="e">
        <f>'Irradiancia Horizontal'!M46*IO54/$IN$46</f>
        <v>#NUM!</v>
      </c>
      <c r="IQ54" s="88">
        <f>((17.27*Temp!L16)/(237.7+Temp!L16))+LN(HR!L27/100)</f>
        <v>0.59459456334228444</v>
      </c>
      <c r="IR54" s="88">
        <f t="shared" si="621"/>
        <v>8.475663649878193</v>
      </c>
      <c r="IS54" s="88">
        <f t="shared" si="622"/>
        <v>1.6791646800235633</v>
      </c>
      <c r="IT54" s="88" t="e">
        <f t="shared" si="498"/>
        <v>#DIV/0!</v>
      </c>
      <c r="IU54" s="88" t="e">
        <f t="shared" si="499"/>
        <v>#DIV/0!</v>
      </c>
      <c r="IV54" s="88" t="e">
        <f t="shared" si="500"/>
        <v>#DIV/0!</v>
      </c>
      <c r="IW54" s="88" t="e">
        <f t="shared" si="501"/>
        <v>#DIV/0!</v>
      </c>
      <c r="IX54" s="88" t="e">
        <f t="shared" si="502"/>
        <v>#DIV/0!</v>
      </c>
      <c r="IY54" s="103">
        <f t="shared" si="503"/>
        <v>0</v>
      </c>
      <c r="IZ54" s="165">
        <f>IF(JF54&gt;(IY54*'Irradiancia Horizontal'!M14),JF54,IY54*'Irradiancia Horizontal'!M14)</f>
        <v>0</v>
      </c>
      <c r="JA54" s="88" t="e">
        <f t="shared" si="504"/>
        <v>#DIV/0!</v>
      </c>
      <c r="JB54" s="88" t="e">
        <f t="shared" si="505"/>
        <v>#DIV/0!</v>
      </c>
      <c r="JC54" s="88" t="e">
        <f t="shared" si="506"/>
        <v>#DIV/0!</v>
      </c>
      <c r="JD54" s="88" t="e">
        <f t="shared" si="507"/>
        <v>#DIV/0!</v>
      </c>
      <c r="JE54" s="103">
        <f t="shared" si="508"/>
        <v>0</v>
      </c>
      <c r="JF54" s="88">
        <f>+JE54*'Irradiancia Horizontal'!M46</f>
        <v>0</v>
      </c>
      <c r="JG54" s="88">
        <f t="shared" si="623"/>
        <v>0</v>
      </c>
      <c r="JH54" s="88" t="e">
        <f>+JG54/'Irradiancia Horizontal'!M75</f>
        <v>#DIV/0!</v>
      </c>
      <c r="JI54" s="38">
        <f t="shared" si="509"/>
        <v>0.30522514252593269</v>
      </c>
      <c r="JJ54" s="88">
        <f t="shared" si="624"/>
        <v>0.30522514252593269</v>
      </c>
      <c r="JK54" s="88">
        <f t="shared" si="625"/>
        <v>8.6999999999999994E-2</v>
      </c>
      <c r="JL54" s="88" t="e">
        <f t="shared" si="626"/>
        <v>#DIV/0!</v>
      </c>
      <c r="JM54" s="88" t="e">
        <f t="shared" si="627"/>
        <v>#DIV/0!</v>
      </c>
      <c r="JN54" s="88" t="e">
        <f t="shared" si="628"/>
        <v>#DIV/0!</v>
      </c>
      <c r="JO54" s="88" t="e">
        <f t="shared" si="629"/>
        <v>#DIV/0!</v>
      </c>
      <c r="JP54" s="88" t="e">
        <f t="shared" si="630"/>
        <v>#DIV/0!</v>
      </c>
      <c r="JQ54" s="88" t="e">
        <f t="shared" si="631"/>
        <v>#DIV/0!</v>
      </c>
      <c r="JR54" s="88" t="e">
        <f t="shared" si="510"/>
        <v>#DIV/0!</v>
      </c>
      <c r="JS54" s="88" t="e">
        <f t="shared" si="511"/>
        <v>#DIV/0!</v>
      </c>
      <c r="JT54" s="88">
        <f t="shared" si="512"/>
        <v>0</v>
      </c>
      <c r="JU54" s="88" t="e">
        <f t="shared" si="513"/>
        <v>#DIV/0!</v>
      </c>
      <c r="JV54" s="88" t="e">
        <f t="shared" si="514"/>
        <v>#DIV/0!</v>
      </c>
      <c r="JW54" s="88" t="e">
        <f t="shared" si="515"/>
        <v>#DIV/0!</v>
      </c>
      <c r="JX54" s="88" t="e">
        <f t="shared" si="516"/>
        <v>#DIV/0!</v>
      </c>
      <c r="JY54" s="88" t="e">
        <f t="shared" si="517"/>
        <v>#DIV/0!</v>
      </c>
      <c r="JZ54" s="88" t="e">
        <f t="shared" si="518"/>
        <v>#DIV/0!</v>
      </c>
      <c r="KA54" s="88" t="e">
        <f t="shared" si="519"/>
        <v>#DIV/0!</v>
      </c>
      <c r="KB54" s="88" t="e">
        <f t="shared" si="520"/>
        <v>#DIV/0!</v>
      </c>
      <c r="KC54" s="106">
        <f>IF(II54&lt;0,0,((0.5*(1-KA54)*(1+COS(RADIANS($IP$46))))+(KA54*(JJ54/JK54))+(KB54*SIN(RADIANS($IP$46))))*'Irradiancia Horizontal'!M46)</f>
        <v>0</v>
      </c>
      <c r="KD54" s="88">
        <f t="shared" si="521"/>
        <v>-1.7981221516401098</v>
      </c>
      <c r="KE54" s="88">
        <f>KD54*'Irradiancia Horizontal'!M75</f>
        <v>0</v>
      </c>
      <c r="KF54" s="88">
        <f t="shared" si="632"/>
        <v>0</v>
      </c>
      <c r="KG54" s="88">
        <f t="shared" si="522"/>
        <v>0</v>
      </c>
      <c r="KH54" s="88">
        <f t="shared" si="633"/>
        <v>0</v>
      </c>
      <c r="KI54" s="106">
        <f t="shared" si="634"/>
        <v>0</v>
      </c>
      <c r="KJ54" s="106">
        <f t="shared" si="635"/>
        <v>0</v>
      </c>
      <c r="KK54" s="106">
        <f t="shared" si="636"/>
        <v>0</v>
      </c>
      <c r="KL54" s="40"/>
      <c r="KN54" s="39">
        <v>0.25</v>
      </c>
      <c r="KO54" s="38">
        <v>90</v>
      </c>
      <c r="KP54" s="38">
        <f t="shared" si="523"/>
        <v>-11.15205496731916</v>
      </c>
      <c r="KQ54" s="38">
        <f t="shared" si="524"/>
        <v>110.76123341972382</v>
      </c>
      <c r="KR54" s="38">
        <f t="shared" si="525"/>
        <v>101.15205496731916</v>
      </c>
      <c r="KS54" s="38">
        <f>+'Irradiancia Horizontal'!N75/COS(RADIANS(KR54))</f>
        <v>0</v>
      </c>
      <c r="KT54" s="38" t="e">
        <f>((('Irradiancia Horizontal'!N46+KS54)/'Irradiancia Horizontal'!N46)+1.041*((RADIANS('Cálculos iluminancia'!KR54))^3))/(1+1.041*((RADIANS('Cálculos iluminancia'!KR54))^3))</f>
        <v>#DIV/0!</v>
      </c>
      <c r="KU54" s="88" t="e">
        <f t="shared" si="526"/>
        <v>#NUM!</v>
      </c>
      <c r="KV54" s="88" t="e">
        <f t="shared" si="637"/>
        <v>#NUM!</v>
      </c>
      <c r="KW54" s="106" t="e">
        <f>'Irradiancia Horizontal'!N46*KV54/$KU$46</f>
        <v>#NUM!</v>
      </c>
      <c r="KX54" s="88">
        <f>((17.27*Temp!M16)/(237.7+Temp!M16))+LN(HR!M27/100)</f>
        <v>0.32787761014751482</v>
      </c>
      <c r="KY54" s="88">
        <f t="shared" si="638"/>
        <v>4.600162018587735</v>
      </c>
      <c r="KZ54" s="88">
        <f t="shared" si="639"/>
        <v>1.2801936317574349</v>
      </c>
      <c r="LA54" s="88" t="e">
        <f t="shared" si="527"/>
        <v>#DIV/0!</v>
      </c>
      <c r="LB54" s="88" t="e">
        <f t="shared" si="528"/>
        <v>#DIV/0!</v>
      </c>
      <c r="LC54" s="88" t="e">
        <f t="shared" si="529"/>
        <v>#DIV/0!</v>
      </c>
      <c r="LD54" s="88" t="e">
        <f t="shared" si="530"/>
        <v>#DIV/0!</v>
      </c>
      <c r="LE54" s="88" t="e">
        <f t="shared" si="531"/>
        <v>#DIV/0!</v>
      </c>
      <c r="LF54" s="103">
        <f t="shared" si="532"/>
        <v>0</v>
      </c>
      <c r="LG54" s="165">
        <f>IF(LM54&gt;(LF54*'Irradiancia Horizontal'!N14),LM54,LF54*'Irradiancia Horizontal'!N14)</f>
        <v>0</v>
      </c>
      <c r="LH54" s="88" t="e">
        <f t="shared" si="533"/>
        <v>#DIV/0!</v>
      </c>
      <c r="LI54" s="88" t="e">
        <f t="shared" si="534"/>
        <v>#DIV/0!</v>
      </c>
      <c r="LJ54" s="88" t="e">
        <f t="shared" si="535"/>
        <v>#DIV/0!</v>
      </c>
      <c r="LK54" s="88" t="e">
        <f t="shared" si="536"/>
        <v>#DIV/0!</v>
      </c>
      <c r="LL54" s="103">
        <f t="shared" si="537"/>
        <v>0</v>
      </c>
      <c r="LM54" s="88">
        <f>+LL54*'Irradiancia Horizontal'!N46</f>
        <v>0</v>
      </c>
      <c r="LN54" s="88">
        <f t="shared" si="640"/>
        <v>0</v>
      </c>
      <c r="LO54" s="88" t="e">
        <f>+LN54/'Irradiancia Horizontal'!N75</f>
        <v>#DIV/0!</v>
      </c>
      <c r="LP54" s="38">
        <f t="shared" si="538"/>
        <v>0.34778095732126574</v>
      </c>
      <c r="LQ54" s="88">
        <f t="shared" si="641"/>
        <v>0.34778095732126574</v>
      </c>
      <c r="LR54" s="88">
        <f t="shared" si="642"/>
        <v>8.6999999999999994E-2</v>
      </c>
      <c r="LS54" s="88" t="e">
        <f t="shared" si="643"/>
        <v>#DIV/0!</v>
      </c>
      <c r="LT54" s="88" t="e">
        <f t="shared" si="644"/>
        <v>#DIV/0!</v>
      </c>
      <c r="LU54" s="88" t="e">
        <f t="shared" si="645"/>
        <v>#DIV/0!</v>
      </c>
      <c r="LV54" s="88" t="e">
        <f t="shared" si="646"/>
        <v>#DIV/0!</v>
      </c>
      <c r="LW54" s="88" t="e">
        <f t="shared" si="647"/>
        <v>#DIV/0!</v>
      </c>
      <c r="LX54" s="88" t="e">
        <f t="shared" si="648"/>
        <v>#DIV/0!</v>
      </c>
      <c r="LY54" s="88" t="e">
        <f t="shared" si="539"/>
        <v>#DIV/0!</v>
      </c>
      <c r="LZ54" s="88" t="e">
        <f t="shared" si="540"/>
        <v>#DIV/0!</v>
      </c>
      <c r="MA54" s="88">
        <f t="shared" si="541"/>
        <v>0</v>
      </c>
      <c r="MB54" s="88" t="e">
        <f t="shared" si="542"/>
        <v>#DIV/0!</v>
      </c>
      <c r="MC54" s="88" t="e">
        <f t="shared" si="543"/>
        <v>#DIV/0!</v>
      </c>
      <c r="MD54" s="88" t="e">
        <f t="shared" si="544"/>
        <v>#DIV/0!</v>
      </c>
      <c r="ME54" s="88" t="e">
        <f t="shared" si="545"/>
        <v>#DIV/0!</v>
      </c>
      <c r="MF54" s="88" t="e">
        <f t="shared" si="546"/>
        <v>#DIV/0!</v>
      </c>
      <c r="MG54" s="88" t="e">
        <f t="shared" si="547"/>
        <v>#DIV/0!</v>
      </c>
      <c r="MH54" s="88" t="e">
        <f t="shared" si="548"/>
        <v>#DIV/0!</v>
      </c>
      <c r="MI54" s="88" t="e">
        <f t="shared" si="549"/>
        <v>#DIV/0!</v>
      </c>
      <c r="MJ54" s="106">
        <f>IF(KP54&lt;0,0,((0.5*(1-MH54)*(1+COS(RADIANS($KW$46))))+(MH54*(LQ54/LR54))+(MI54*SIN(RADIANS($KW$46))))*'Irradiancia Horizontal'!N46)</f>
        <v>0</v>
      </c>
      <c r="MK54" s="88">
        <f t="shared" si="550"/>
        <v>-1.7981221516401087</v>
      </c>
      <c r="ML54" s="88">
        <f>MK54*'Irradiancia Horizontal'!N75</f>
        <v>0</v>
      </c>
      <c r="MM54" s="88">
        <f t="shared" si="649"/>
        <v>0</v>
      </c>
      <c r="MN54" s="88">
        <f t="shared" si="551"/>
        <v>0</v>
      </c>
      <c r="MO54" s="88">
        <f t="shared" si="650"/>
        <v>0</v>
      </c>
      <c r="MP54" s="106">
        <f t="shared" si="651"/>
        <v>0</v>
      </c>
      <c r="MQ54" s="106">
        <f t="shared" si="652"/>
        <v>0</v>
      </c>
      <c r="MR54" s="106">
        <f t="shared" si="653"/>
        <v>0</v>
      </c>
    </row>
    <row r="55" spans="1:356" x14ac:dyDescent="0.25">
      <c r="A55" s="48"/>
      <c r="B55" s="37"/>
      <c r="E55" s="39">
        <v>0.29166666666666702</v>
      </c>
      <c r="F55" s="38">
        <v>75</v>
      </c>
      <c r="G55" s="38">
        <f t="shared" si="378"/>
        <v>22.438769178429386</v>
      </c>
      <c r="H55" s="38">
        <f t="shared" si="379"/>
        <v>78.305145385643101</v>
      </c>
      <c r="I55" s="38">
        <f t="shared" si="380"/>
        <v>67.561230821570618</v>
      </c>
      <c r="J55" s="38">
        <f>+'Irradiancia Horizontal'!I76/COS(RADIANS(I55))</f>
        <v>498.43733033125471</v>
      </c>
      <c r="K55" s="38">
        <f>((('Irradiancia Horizontal'!I47+J55)/'Irradiancia Horizontal'!I47)+1.041*((RADIANS('Cálculos iluminancia'!I55))^3))/(1+1.041*((RADIANS('Cálculos iluminancia'!I55))^3))</f>
        <v>3.1130675087092006</v>
      </c>
      <c r="L55" s="87">
        <f t="shared" si="381"/>
        <v>2.6055347088233445</v>
      </c>
      <c r="M55" s="87">
        <f>L55*$K$46</f>
        <v>2.541248553230214</v>
      </c>
      <c r="N55" s="106">
        <f>'Irradiancia Horizontal'!I47*M55/$L$46</f>
        <v>0.16497414881470129</v>
      </c>
      <c r="O55" s="87">
        <f>((17.27*Temp!H17)/(237.7+Temp!H17))+LN(HR!H28/100)</f>
        <v>1.2551085707874117</v>
      </c>
      <c r="P55" s="87">
        <f t="shared" si="553"/>
        <v>18.628868549927866</v>
      </c>
      <c r="Q55" s="87">
        <f t="shared" si="554"/>
        <v>3.4178811028417058</v>
      </c>
      <c r="R55" s="87">
        <f>IF(K55&lt;$E$81,1,IF(K55&lt;$E$82,2,IF(K55&lt;$E$83,3,IF(K55&lt;$E$84,4,IF(K55&lt;$E$85,5,IF(K55&lt;$E$86,6,IF(K55&lt;$E$87,7,8)))))))</f>
        <v>6</v>
      </c>
      <c r="S55" s="87">
        <f>IF(R55=1,$H$81,IF(R55=2,$H$82,IF(R55=3,$H$83,IF(R55=4,$H$84,IF(R55=5,$H$85,IF(R55=6,$H$86,IF(R55=7,$H$87,$H$88)))))))</f>
        <v>88.34</v>
      </c>
      <c r="T55" s="87">
        <f>IF(R55=1,$I$81,IF(R55=2,$I$82,IF(R55=3,$I$83,IF(R55=4,$I$84,IF(R55=5,$I$85,IF(R55=6,$I$86,IF(R55=7,$I$87,$I$88)))))))</f>
        <v>1.39</v>
      </c>
      <c r="U55" s="87">
        <f>IF(R55=1,$J$81,IF(R55=2,$J$82,IF(R55=3,$J$83,IF(R55=4,$J$84,IF(R55=5,$J$85,IF(R55=6,$J$86,IF(R55=7,$J$87,$J$88)))))))</f>
        <v>6.06</v>
      </c>
      <c r="V55" s="87">
        <f>IF(R55=1,$K$81,IF(R55=2,$K$82,IF(R55=3,$K$83,IF(R55=4,$K$84,IF(R55=5,$K$85,IF(R55=6,$K$86,IF(R55=7,$K$87,$K$88)))))))</f>
        <v>-7.6</v>
      </c>
      <c r="W55" s="103">
        <f t="shared" si="387"/>
        <v>109.0988771168858</v>
      </c>
      <c r="X55" s="165">
        <f>IF(AD55&gt;(W55*'Irradiancia Horizontal'!I15),AD55,W55*'Irradiancia Horizontal'!I15)</f>
        <v>30263.710942617119</v>
      </c>
      <c r="Y55" s="87">
        <f>IF(R55=1,$N$81,IF(R55=2,$N$82,IF(R55=3,$N$83,IF(R55=4,$N$84,IF(R55=5,$N$85,IF(R55=6,$N$86,IF(R55=7,$N$87,$N$88)))))))</f>
        <v>106.42</v>
      </c>
      <c r="Z55" s="87">
        <f>IF(R55=1,$O$81,IF(R55=2,$O$82,IF(R55=3,$O$83,IF(R55=4,$O$84,IF(R55=5,$O$85,IF(R55=6,$O$86,IF(R55=7,$O$87,$O$88)))))))</f>
        <v>3.83</v>
      </c>
      <c r="AA55" s="87">
        <f>IF(R55=1,$P$81,IF(R55=2,$P$82,IF(R55=3,$P$83,IF(R55=4,$P$84,IF(R55=5,$P$85,IF(R55=6,$P$86,IF(R55=7,$P$87,$P$88)))))))</f>
        <v>-36.15</v>
      </c>
      <c r="AB55" s="87">
        <f>IF(R55=1,$Q$81,IF(R55=2,$Q$82,IF(R55=3,$Q$83,IF(R55=4,$Q$84,IF(R55=5,$Q$85,IF(R55=6,$Q$86,IF(R55=7,$Q$87,$Q$88)))))))</f>
        <v>-28.83</v>
      </c>
      <c r="AC55" s="103">
        <f t="shared" si="392"/>
        <v>157.66287239618981</v>
      </c>
      <c r="AD55" s="87">
        <f>+AC55*'Irradiancia Horizontal'!I47</f>
        <v>13739.627544766188</v>
      </c>
      <c r="AE55" s="87">
        <f t="shared" si="393"/>
        <v>16524.083397850933</v>
      </c>
      <c r="AF55" s="87">
        <f>+AE55/'Irradiancia Horizontal'!I76</f>
        <v>86.853903406181516</v>
      </c>
      <c r="AG55" s="38">
        <f t="shared" si="555"/>
        <v>-0.18735257688959361</v>
      </c>
      <c r="AH55" s="87">
        <f t="shared" si="556"/>
        <v>0</v>
      </c>
      <c r="AI55" s="87">
        <f t="shared" si="557"/>
        <v>0.38169588296478008</v>
      </c>
      <c r="AJ55" s="87">
        <f t="shared" si="558"/>
        <v>1.4259999999999999</v>
      </c>
      <c r="AK55" s="87">
        <f t="shared" si="559"/>
        <v>-0.65300000000000002</v>
      </c>
      <c r="AL55" s="87">
        <f t="shared" si="560"/>
        <v>-0.77900000000000003</v>
      </c>
      <c r="AM55" s="87">
        <f t="shared" si="561"/>
        <v>0.42499999999999999</v>
      </c>
      <c r="AN55" s="87">
        <f t="shared" si="562"/>
        <v>-0.78500000000000003</v>
      </c>
      <c r="AO55" s="87">
        <f t="shared" si="563"/>
        <v>-9.7000000000000003E-2</v>
      </c>
      <c r="AP55" s="87">
        <f t="shared" si="394"/>
        <v>0.39970162561023714</v>
      </c>
      <c r="AQ55" s="87">
        <f t="shared" si="395"/>
        <v>0.18111619850044022</v>
      </c>
      <c r="AR55" s="88">
        <f t="shared" si="396"/>
        <v>6612.4071496419647</v>
      </c>
      <c r="AS55" s="87">
        <f>IF(R55=1,$AB$81,IF(R55=2,$AB$82,IF(R55=3,$AB$83,IF(R55=4,$AB$84,IF(R55=5,$AB$85,IF(R55=6,$AB$86,IF(R55=7,$AB$87,$AB$88)))))))</f>
        <v>1.1319999999999999</v>
      </c>
      <c r="AT55" s="87">
        <f>IF(R55=1,$AC$81,IF(R55=2,$AC$82,IF(R55=3,$AC$83,IF(R55=4,$AC$84,IF(R55=5,$AC$85,IF(R55=6,$AC$86,IF(R55=7,$AC$87,$AC$88)))))))</f>
        <v>-1.2370000000000001</v>
      </c>
      <c r="AU55" s="87">
        <f>IF(R55=1,$AD$81,IF(R55=2,$AD$82,IF(R55=3,$AD$83,IF(R55=4,$AD$84,IF(R55=5,$AD$85,IF(R55=6,$AD$86,IF(R55=7,$AD$87,$AD$88)))))))</f>
        <v>-0.41199999999999998</v>
      </c>
      <c r="AV55" s="87">
        <f>IF(R55=1,$AE$81,IF(R55=2,$AE$82,IF(R55=3,$AE$83,IF(R55=4,$AE$84,IF(R55=5,$AE$85,IF(R55=6,$AE$86,IF(R55=7,$AE$87,$AE$88)))))))</f>
        <v>0.28799999999999998</v>
      </c>
      <c r="AW55" s="87">
        <f>IF(R55=1,$AF$81,IF(R55=2,$AF$82,IF(R55=3,$AF$83,IF(R55=4,$AF$84,IF(R55=5,$AF$85,IF(R55=6,$AF$86,IF(R55=7,$AF$87,$AF$88)))))))</f>
        <v>-0.82299999999999995</v>
      </c>
      <c r="AX55" s="87">
        <f>IF(R55=1,$AG$81,IF(R55=2,$AG$82,IF(R55=3,$AG$83,IF(R55=4,$AG$84,IF(R55=5,$AG$85,IF(R55=6,$AG$86,IF(R55=7,$AG$87,$AG$88)))))))</f>
        <v>5.6000000000000001E-2</v>
      </c>
      <c r="AY55" s="87">
        <f t="shared" si="403"/>
        <v>0.44211061700726667</v>
      </c>
      <c r="AZ55" s="87">
        <f t="shared" si="404"/>
        <v>0.21825956729953255</v>
      </c>
      <c r="BA55" s="106">
        <f>IF(G55&lt;0,0,((0.5*(1-AY55)*(1+COS(RADIANS($N$46))))+(AY55*(AH55/AI55))+(AZ55*SIN(RADIANS($N$46))))*'Irradiancia Horizontal'!I47)</f>
        <v>43.329169548304428</v>
      </c>
      <c r="BB55" s="87">
        <f t="shared" si="405"/>
        <v>0</v>
      </c>
      <c r="BC55" s="87">
        <f>BB55*'Irradiancia Horizontal'!I76</f>
        <v>0</v>
      </c>
      <c r="BD55" s="87">
        <f t="shared" si="564"/>
        <v>43.329169548304428</v>
      </c>
      <c r="BE55" s="88">
        <f t="shared" si="406"/>
        <v>4727.1637441271751</v>
      </c>
      <c r="BF55" s="87">
        <f t="shared" si="565"/>
        <v>-1885.2434055147896</v>
      </c>
      <c r="BG55" s="106">
        <f t="shared" si="566"/>
        <v>43291.227742625786</v>
      </c>
      <c r="BH55" s="106">
        <f t="shared" si="567"/>
        <v>0</v>
      </c>
      <c r="BI55" s="106">
        <f t="shared" si="568"/>
        <v>6612.4071496419647</v>
      </c>
      <c r="BJ55" s="44"/>
      <c r="BL55" s="39">
        <v>0.29166666666666702</v>
      </c>
      <c r="BM55" s="38">
        <v>75</v>
      </c>
      <c r="BN55" s="38">
        <f t="shared" si="407"/>
        <v>18.690747924130896</v>
      </c>
      <c r="BO55" s="38">
        <f t="shared" si="408"/>
        <v>86.678899683987325</v>
      </c>
      <c r="BP55" s="38">
        <f t="shared" si="409"/>
        <v>71.309252075869097</v>
      </c>
      <c r="BQ55" s="38">
        <f>+'Irradiancia Horizontal'!J76/COS(RADIANS(BP55))</f>
        <v>486.3674260310562</v>
      </c>
      <c r="BR55" s="38">
        <f>((('Irradiancia Horizontal'!J47+BQ55)/'Irradiancia Horizontal'!J47)+1.041*((RADIANS('Cálculos iluminancia'!BP55))^3))/(1+1.041*((RADIANS('Cálculos iluminancia'!BP55))^3))</f>
        <v>3.1697826641727893</v>
      </c>
      <c r="BS55" s="87">
        <f t="shared" si="410"/>
        <v>3.0949429143168792</v>
      </c>
      <c r="BT55" s="87">
        <f t="shared" si="569"/>
        <v>3.0185816280642457</v>
      </c>
      <c r="BU55" s="106">
        <f>'Irradiancia Horizontal'!J47*BT55/$BS$46</f>
        <v>0.16612853874335817</v>
      </c>
      <c r="BV55" s="87">
        <f>((17.27*Temp!I17)/(237.7+Temp!I17))+LN(HR!I28/100)</f>
        <v>1.4099779963157981</v>
      </c>
      <c r="BW55" s="87">
        <f t="shared" si="570"/>
        <v>21.131860324431525</v>
      </c>
      <c r="BX55" s="87">
        <f t="shared" si="571"/>
        <v>4.0723907005194855</v>
      </c>
      <c r="BY55" s="87">
        <f>IF(BR55&lt;$E$81,1,IF(BR55&lt;$E$82,2,IF(BR55&lt;$E$83,3,IF(BR55&lt;$E$84,4,IF(BR55&lt;$E$85,5,IF(BR55&lt;$E$86,6,IF(BR55&lt;$E$87,7,8)))))))</f>
        <v>6</v>
      </c>
      <c r="BZ55" s="87">
        <f>IF(BY55=1,$H$81,IF(BY55=2,$H$82,IF(BY55=3,$H$83,IF(BY55=4,$H$84,IF(BY55=5,$H$85,IF(BY55=6,$H$86,IF(BY55=7,$H$87,$H$88)))))))</f>
        <v>88.34</v>
      </c>
      <c r="CA55" s="87">
        <f>IF(BY55=1,$I$81,IF(BY55=2,$I$82,IF(BY55=3,$I$83,IF(BY55=4,$I$84,IF(BY55=5,$I$85,IF(BY55=6,$I$86,IF(BY55=7,$I$87,$I$88)))))))</f>
        <v>1.39</v>
      </c>
      <c r="CB55" s="87">
        <f>IF(BY55=1,$J$81,IF(BY55=2,$J$82,IF(BY55=3,$J$83,IF(BY55=4,$J$84,IF(BY55=5,$J$85,IF(BY55=6,$J$86,IF(BY55=7,$J$87,$J$88)))))))</f>
        <v>6.06</v>
      </c>
      <c r="CC55" s="87">
        <f>IF(BY55=1,$K$81,IF(BY55=2,$K$82,IF(BY55=3,$K$83,IF(BY55=4,$K$84,IF(BY55=5,$K$85,IF(BY55=6,$K$86,IF(BY55=7,$K$87,$K$88)))))))</f>
        <v>-7.6</v>
      </c>
      <c r="CD55" s="103">
        <f t="shared" si="416"/>
        <v>109.58456116527412</v>
      </c>
      <c r="CE55" s="165">
        <f>IF(CK55&gt;(CD55*'Irradiancia Horizontal'!J15),CK55,CD55*'Irradiancia Horizontal'!J15)</f>
        <v>25249.243591869064</v>
      </c>
      <c r="CF55" s="87">
        <f>IF(BY55=1,$N$81,IF(BY55=2,$N$82,IF(BY55=3,$N$83,IF(BY55=4,$N$84,IF(BY55=5,$N$85,IF(BY55=6,$N$86,IF(BY55=7,$N$87,$N$88)))))))</f>
        <v>106.42</v>
      </c>
      <c r="CG55" s="87">
        <f>IF(BY55=1,$O$81,IF(BY55=2,$O$82,IF(BY55=3,$O$83,IF(BY55=4,$O$84,IF(BY55=5,$O$85,IF(BY55=6,$O$86,IF(BY55=7,$O$87,$O$88)))))))</f>
        <v>3.83</v>
      </c>
      <c r="CH55" s="87">
        <f>IF(BY55=1,$P$81,IF(BY55=2,$P$82,IF(BY55=3,$P$83,IF(BY55=4,$P$84,IF(BY55=5,$P$85,IF(BY55=6,$P$86,IF(BY55=7,$P$87,$P$88)))))))</f>
        <v>-36.15</v>
      </c>
      <c r="CI55" s="87">
        <f>IF(BY55=1,$Q$81,IF(BY55=2,$Q$82,IF(BY55=3,$Q$83,IF(BY55=4,$Q$84,IF(BY55=5,$Q$85,IF(BY55=6,$Q$86,IF(BY55=7,$Q$87,$Q$88)))))))</f>
        <v>-28.83</v>
      </c>
      <c r="CJ55" s="103">
        <f t="shared" si="421"/>
        <v>162.18228770422184</v>
      </c>
      <c r="CK55" s="87">
        <f>+CJ55*'Irradiancia Horizontal'!J47</f>
        <v>12090.275334051526</v>
      </c>
      <c r="CL55" s="87">
        <f t="shared" si="572"/>
        <v>13158.968257817538</v>
      </c>
      <c r="CM55" s="87">
        <f>+CL55/'Irradiancia Horizontal'!J76</f>
        <v>84.427414030191073</v>
      </c>
      <c r="CN55" s="38">
        <f t="shared" si="422"/>
        <v>-5.4876483496314132E-2</v>
      </c>
      <c r="CO55" s="87">
        <f t="shared" si="573"/>
        <v>0</v>
      </c>
      <c r="CP55" s="87">
        <f t="shared" si="574"/>
        <v>0.32046003166111275</v>
      </c>
      <c r="CQ55" s="87">
        <f t="shared" si="575"/>
        <v>1.4259999999999999</v>
      </c>
      <c r="CR55" s="87">
        <f t="shared" si="576"/>
        <v>-0.65300000000000002</v>
      </c>
      <c r="CS55" s="87">
        <f t="shared" si="577"/>
        <v>-0.77900000000000003</v>
      </c>
      <c r="CT55" s="87">
        <f t="shared" si="578"/>
        <v>0.42499999999999999</v>
      </c>
      <c r="CU55" s="87">
        <f t="shared" si="579"/>
        <v>-0.78500000000000003</v>
      </c>
      <c r="CV55" s="87">
        <f t="shared" si="580"/>
        <v>-9.7000000000000003E-2</v>
      </c>
      <c r="CW55" s="87">
        <f t="shared" si="423"/>
        <v>0.34798928146680219</v>
      </c>
      <c r="CX55" s="87">
        <f t="shared" si="424"/>
        <v>0.17386471720818769</v>
      </c>
      <c r="CY55" s="88">
        <f t="shared" si="425"/>
        <v>6043.5668558335628</v>
      </c>
      <c r="CZ55" s="87">
        <f>IF(BY55=1,$AB$81,IF(BY55=2,$AB$82,IF(BY55=3,$AB$83,IF(BY55=4,$AB$84,IF(BY55=5,$AB$85,IF(BY55=6,$AB$86,IF(BY55=7,$AB$87,$AB$88)))))))</f>
        <v>1.1319999999999999</v>
      </c>
      <c r="DA55" s="87">
        <f>IF(BY55=1,$AC$81,IF(BY55=2,$AC$82,IF(BY55=3,$AC$83,IF(BY55=4,$AC$84,IF(BY55=5,$AC$85,IF(BY55=6,$AC$86,IF(BY55=7,$AC$87,$AC$88)))))))</f>
        <v>-1.2370000000000001</v>
      </c>
      <c r="DB55" s="87">
        <f>IF(BY55=1,$AD$81,IF(BY55=2,$AD$82,IF(BY55=3,$AD$83,IF(BY55=4,$AD$84,IF(BY55=5,$AD$85,IF(BY55=6,$AD$86,IF(BY55=7,$AD$87,$AD$88)))))))</f>
        <v>-0.41199999999999998</v>
      </c>
      <c r="DC55" s="87">
        <f>IF(BY55=1,$AE$81,IF(BY55=2,$AE$82,IF(BY55=3,$AE$83,IF(BY55=4,$AE$84,IF(BY55=5,$AE$85,IF(BY55=6,$AE$86,IF(BY55=7,$AE$87,$AE$88)))))))</f>
        <v>0.28799999999999998</v>
      </c>
      <c r="DD55" s="87">
        <f>IF(BY55=1,$AF$81,IF(BY55=2,$AF$82,IF(BY55=3,$AF$83,IF(BY55=4,$AF$84,IF(BY55=5,$AF$85,IF(BY55=6,$AF$86,IF(BY55=7,$AF$87,$AF$88)))))))</f>
        <v>-0.82299999999999995</v>
      </c>
      <c r="DE55" s="87">
        <f>IF(BY55=1,$AG$81,IF(BY55=2,$AG$82,IF(BY55=3,$AG$83,IF(BY55=4,$AG$84,IF(BY55=5,$AG$85,IF(BY55=6,$AG$86,IF(BY55=7,$AG$87,$AG$88)))))))</f>
        <v>5.6000000000000001E-2</v>
      </c>
      <c r="DF55" s="87">
        <f t="shared" si="432"/>
        <v>0.41373152840075689</v>
      </c>
      <c r="DG55" s="87">
        <f t="shared" si="433"/>
        <v>0.22097276182229314</v>
      </c>
      <c r="DH55" s="106">
        <f>IF(BN55&lt;0,0,((0.5*(1-DF55)*(1+COS(RADIANS($BU$46))))+(DF55*(CO55/CP55))+(DG55*SIN(RADIANS($BU$46))))*'Irradiancia Horizontal'!J47)</f>
        <v>38.325363641110599</v>
      </c>
      <c r="DI55" s="87">
        <f t="shared" si="434"/>
        <v>0</v>
      </c>
      <c r="DJ55" s="87">
        <f>DI55*'Irradiancia Horizontal'!J76</f>
        <v>0</v>
      </c>
      <c r="DK55" s="87">
        <f t="shared" si="581"/>
        <v>38.325363641110599</v>
      </c>
      <c r="DL55" s="88">
        <f t="shared" si="435"/>
        <v>4199.8681561106578</v>
      </c>
      <c r="DM55" s="87">
        <f t="shared" si="582"/>
        <v>-1843.6986997229051</v>
      </c>
      <c r="DN55" s="106">
        <f t="shared" si="583"/>
        <v>41062.744048322311</v>
      </c>
      <c r="DO55" s="106">
        <f t="shared" si="584"/>
        <v>0</v>
      </c>
      <c r="DP55" s="106">
        <f t="shared" si="585"/>
        <v>6043.5668558335628</v>
      </c>
      <c r="DQ55" s="44"/>
      <c r="DS55" s="39">
        <v>0.29166666666666702</v>
      </c>
      <c r="DT55" s="38">
        <v>75</v>
      </c>
      <c r="DU55" s="38">
        <f t="shared" si="436"/>
        <v>12.972260588788428</v>
      </c>
      <c r="DV55" s="38">
        <f t="shared" si="437"/>
        <v>97.599446887905543</v>
      </c>
      <c r="DW55" s="38">
        <f t="shared" si="438"/>
        <v>77.02773941121157</v>
      </c>
      <c r="DX55" s="38">
        <f>+'Irradiancia Horizontal'!K76/COS(RADIANS(DW55))</f>
        <v>647.73775624266216</v>
      </c>
      <c r="DY55" s="38">
        <f>((('Irradiancia Horizontal'!K47+DX55)/'Irradiancia Horizontal'!K47)+1.041*((RADIANS('Cálculos iluminancia'!DW55))^3))/(1+1.041*((RADIANS('Cálculos iluminancia'!DW55))^3))</f>
        <v>5.8955233423013249</v>
      </c>
      <c r="DZ55" s="87">
        <f t="shared" si="439"/>
        <v>4.3754572619061545</v>
      </c>
      <c r="EA55" s="87">
        <f t="shared" si="586"/>
        <v>4.2675019445666988</v>
      </c>
      <c r="EB55" s="106">
        <f>'Irradiancia Horizontal'!K47*EA55/$DZ$46</f>
        <v>0.11628350920366136</v>
      </c>
      <c r="EC55" s="87">
        <f>((17.27*Temp!J17)/(237.7+Temp!J17))+LN(HR!J28/100)</f>
        <v>1.2651127855845794</v>
      </c>
      <c r="ED55" s="87">
        <f t="shared" si="587"/>
        <v>18.789092675554869</v>
      </c>
      <c r="EE55" s="87">
        <f t="shared" si="588"/>
        <v>3.4564307700595873</v>
      </c>
      <c r="EF55" s="87">
        <f>IF(DY55&lt;$E$81,1,IF(DY55&lt;$E$82,2,IF(DY55&lt;$E$83,3,IF(DY55&lt;$E$84,4,IF(DY55&lt;$E$85,5,IF(DY55&lt;$E$86,6,IF(DY55&lt;$E$87,7,8)))))))</f>
        <v>7</v>
      </c>
      <c r="EG55" s="87">
        <f>IF(EF55=1,$H$81,IF(EF55=2,$H$82,IF(EF55=3,$H$83,IF(EF55=4,$H$84,IF(EF55=5,$H$85,IF(EF55=6,$H$86,IF(EF55=7,$H$87,$H$88)))))))</f>
        <v>78.63</v>
      </c>
      <c r="EH55" s="87">
        <f>IF(EF55=1,$I$81,IF(EF55=2,$I$82,IF(EF55=3,$I$83,IF(EF55=4,$I$84,IF(EF55=5,$I$85,IF(EF55=6,$I$86,IF(EF55=7,$I$87,$I$88)))))))</f>
        <v>1.47</v>
      </c>
      <c r="EI55" s="87">
        <f>IF(EF55=1,$J$81,IF(EF55=2,$J$82,IF(EF55=3,$J$83,IF(EF55=4,$J$84,IF(EF55=5,$J$85,IF(EF55=6,$J$86,IF(EF55=7,$J$87,$J$88)))))))</f>
        <v>4.93</v>
      </c>
      <c r="EJ55" s="87">
        <f>IF(EF55=1,$K$81,IF(EF55=2,$K$82,IF(EF55=3,$K$83,IF(EF55=4,$K$84,IF(EF55=5,$K$85,IF(EF55=6,$K$86,IF(EF55=7,$K$87,$K$88)))))))</f>
        <v>-11.37</v>
      </c>
      <c r="EK55" s="103">
        <f t="shared" si="445"/>
        <v>109.28273830651119</v>
      </c>
      <c r="EL55" s="165">
        <f>IF(ER55&gt;(EK55*'Irradiancia Horizontal'!K15),ER55,EK55*'Irradiancia Horizontal'!K15)</f>
        <v>19986.926845412614</v>
      </c>
      <c r="EM55" s="87">
        <f>IF(EF55=1,$N$81,IF(EF55=2,$N$82,IF(EF55=3,$N$83,IF(EF55=4,$N$84,IF(EF55=5,$N$85,IF(EF55=6,$N$86,IF(EF55=7,$N$87,$N$88)))))))</f>
        <v>141.88</v>
      </c>
      <c r="EN55" s="87">
        <f>IF(EF55=1,$O$81,IF(EF55=2,$O$82,IF(EF55=3,$O$83,IF(EF55=4,$O$84,IF(EF55=5,$O$85,IF(EF55=6,$O$86,IF(EF55=7,$O$87,$O$88)))))))</f>
        <v>1.9</v>
      </c>
      <c r="EO55" s="87">
        <f>IF(EF55=1,$P$81,IF(EF55=2,$P$82,IF(EF55=3,$P$83,IF(EF55=4,$P$84,IF(EF55=5,$P$85,IF(EF55=6,$P$86,IF(EF55=7,$P$87,$P$88)))))))</f>
        <v>-53.24</v>
      </c>
      <c r="EP55" s="87">
        <f>IF(EF55=1,$Q$81,IF(EF55=2,$Q$82,IF(EF55=3,$Q$83,IF(EF55=4,$Q$84,IF(EF55=5,$Q$85,IF(EF55=6,$Q$86,IF(EF55=7,$Q$87,$Q$88)))))))</f>
        <v>-14.03</v>
      </c>
      <c r="EQ55" s="103">
        <f t="shared" si="450"/>
        <v>166.68462899774559</v>
      </c>
      <c r="ER55" s="87">
        <f>+EQ55*'Irradiancia Horizontal'!K47</f>
        <v>6248.703277226341</v>
      </c>
      <c r="ES55" s="87">
        <f t="shared" si="589"/>
        <v>13738.223568186273</v>
      </c>
      <c r="ET55" s="87">
        <f>+ES55/'Irradiancia Horizontal'!K76</f>
        <v>94.483306238287199</v>
      </c>
      <c r="EU55" s="38">
        <f t="shared" si="451"/>
        <v>0.12887173168939131</v>
      </c>
      <c r="EV55" s="87">
        <f t="shared" si="590"/>
        <v>0.12887173168939131</v>
      </c>
      <c r="EW55" s="87">
        <f t="shared" si="591"/>
        <v>0.22447929252118032</v>
      </c>
      <c r="EX55" s="87">
        <f t="shared" si="592"/>
        <v>1.4850000000000001</v>
      </c>
      <c r="EY55" s="87">
        <f t="shared" si="593"/>
        <v>-1.214</v>
      </c>
      <c r="EZ55" s="87">
        <f t="shared" si="594"/>
        <v>-0.78400000000000003</v>
      </c>
      <c r="FA55" s="87">
        <f t="shared" si="595"/>
        <v>0.41099999999999998</v>
      </c>
      <c r="FB55" s="87">
        <f t="shared" si="596"/>
        <v>-0.629</v>
      </c>
      <c r="FC55" s="87">
        <f t="shared" si="597"/>
        <v>-8.2000000000000003E-2</v>
      </c>
      <c r="FD55" s="87">
        <f t="shared" si="452"/>
        <v>0.28983188804118432</v>
      </c>
      <c r="FE55" s="87">
        <f t="shared" si="453"/>
        <v>0.22761788392720206</v>
      </c>
      <c r="FF55" s="88">
        <f t="shared" si="454"/>
        <v>4680.8540344726489</v>
      </c>
      <c r="FG55" s="87">
        <f>IF(EF55=1,$AB$81,IF(EF55=2,$AB$82,IF(EF55=3,$AB$83,IF(EF55=4,$AB$84,IF(EF55=5,$AB$85,IF(EF55=6,$AB$86,IF(EF55=7,$AB$87,$AB$88)))))))</f>
        <v>1.06</v>
      </c>
      <c r="FH55" s="87">
        <f>IF(EF55=1,$AC$81,IF(EF55=2,$AC$82,IF(EF55=3,$AC$83,IF(EF55=4,$AC$84,IF(EF55=5,$AC$85,IF(EF55=6,$AC$86,IF(EF55=7,$AC$87,$AC$88)))))))</f>
        <v>-1.6</v>
      </c>
      <c r="FI55" s="87">
        <f>IF(EF55=1,$AD$81,IF(EF55=2,$AD$82,IF(EF55=3,$AD$83,IF(EF55=4,$AD$84,IF(EF55=5,$AD$85,IF(EF55=6,$AD$86,IF(EF55=7,$AD$87,$AD$88)))))))</f>
        <v>-0.35899999999999999</v>
      </c>
      <c r="FJ55" s="87">
        <f>IF(EF55=1,$AE$81,IF(EF55=2,$AE$82,IF(EF55=3,$AE$83,IF(EF55=4,$AE$84,IF(EF55=5,$AE$85,IF(EF55=6,$AE$86,IF(EF55=7,$AE$87,$AE$88)))))))</f>
        <v>0.26400000000000001</v>
      </c>
      <c r="FK55" s="87">
        <f>IF(EF55=1,$AF$81,IF(EF55=2,$AF$82,IF(EF55=3,$AF$83,IF(EF55=4,$AF$84,IF(EF55=5,$AF$85,IF(EF55=6,$AF$86,IF(EF55=7,$AF$87,$AF$88)))))))</f>
        <v>-1.127</v>
      </c>
      <c r="FL55" s="87">
        <f>IF(EF55=1,$AG$81,IF(EF55=2,$AG$82,IF(EF55=3,$AG$83,IF(EF55=4,$AG$84,IF(EF55=5,$AG$85,IF(EF55=6,$AG$86,IF(EF55=7,$AG$87,$AG$88)))))))</f>
        <v>0.13100000000000001</v>
      </c>
      <c r="FM55" s="87">
        <f t="shared" si="461"/>
        <v>0.39131121242845318</v>
      </c>
      <c r="FN55" s="87">
        <f t="shared" si="462"/>
        <v>0.30906326964776676</v>
      </c>
      <c r="FO55" s="106">
        <f>IF(DU55&lt;0,0,((0.5*(1-FM55)*(1+COS(RADIANS($EB$46))))+(FM55*(EV55/EW55))+(FN55*SIN(RADIANS($EB$46))))*'Irradiancia Horizontal'!K47)</f>
        <v>31.417202690098275</v>
      </c>
      <c r="FP55" s="87">
        <f t="shared" si="463"/>
        <v>0.5740918471454638</v>
      </c>
      <c r="FQ55" s="87">
        <f>FP55*'Irradiancia Horizontal'!K76</f>
        <v>83.475086327592706</v>
      </c>
      <c r="FR55" s="87">
        <f t="shared" si="598"/>
        <v>114.89228901769098</v>
      </c>
      <c r="FS55" s="88">
        <f t="shared" si="464"/>
        <v>12555.743954156374</v>
      </c>
      <c r="FT55" s="87">
        <f t="shared" si="599"/>
        <v>7874.8899196837256</v>
      </c>
      <c r="FU55" s="106">
        <f t="shared" si="600"/>
        <v>61200.40478517647</v>
      </c>
      <c r="FV55" s="106">
        <f t="shared" si="601"/>
        <v>7887.0021447574018</v>
      </c>
      <c r="FW55" s="106">
        <f t="shared" si="602"/>
        <v>12567.85617923005</v>
      </c>
      <c r="FX55" s="83"/>
      <c r="FZ55" s="39">
        <v>0.29166666666666702</v>
      </c>
      <c r="GA55" s="38">
        <v>75</v>
      </c>
      <c r="GB55" s="38">
        <f t="shared" si="465"/>
        <v>7.0329110421435939</v>
      </c>
      <c r="GC55" s="38">
        <f t="shared" si="466"/>
        <v>107.66626194582828</v>
      </c>
      <c r="GD55" s="38">
        <f t="shared" si="467"/>
        <v>82.967088957856404</v>
      </c>
      <c r="GE55" s="38">
        <f>+'Irradiancia Horizontal'!L76/COS(RADIANS(GD55))</f>
        <v>713.46515098474936</v>
      </c>
      <c r="GF55" s="38">
        <f>((('Irradiancia Horizontal'!L47+GE55)/'Irradiancia Horizontal'!L47)+1.041*((RADIANS('Cálculos iluminancia'!GD55))^3))/(1+1.041*((RADIANS('Cálculos iluminancia'!GD55))^3))</f>
        <v>11.736506901845209</v>
      </c>
      <c r="GG55" s="88">
        <f t="shared" si="468"/>
        <v>7.6960470159579755</v>
      </c>
      <c r="GH55" s="88">
        <f t="shared" si="603"/>
        <v>7.5061630454069368</v>
      </c>
      <c r="GI55" s="106">
        <f>'Irradiancia Horizontal'!L47*GH55/$GG$46</f>
        <v>8.5624965997834146E-2</v>
      </c>
      <c r="GJ55" s="88">
        <f>((17.27*Temp!K17)/(237.7+Temp!K17))+LN(HR!K28/100)</f>
        <v>0.87588897281469125</v>
      </c>
      <c r="GK55" s="88">
        <f t="shared" si="604"/>
        <v>12.699609542280719</v>
      </c>
      <c r="GL55" s="88">
        <f t="shared" si="605"/>
        <v>2.256855940568133</v>
      </c>
      <c r="GM55" s="88">
        <f>IF(GF55&lt;$E$81,1,IF(GF55&lt;$E$82,2,IF(GF55&lt;$E$83,3,IF(GF55&lt;$E$84,4,IF(GF55&lt;$E$85,5,IF(GF55&lt;$E$86,6,IF(GF55&lt;$E$87,7,8)))))))</f>
        <v>8</v>
      </c>
      <c r="GN55" s="88">
        <f>IF(GM55=1,$H$81,IF(GM55=2,$H$82,IF(GM55=3,$H$83,IF(GM55=4,$H$84,IF(GM55=5,$H$85,IF(GM55=6,$H$86,IF(GM55=7,$H$87,$H$88)))))))</f>
        <v>99.65</v>
      </c>
      <c r="GO55" s="88">
        <f>IF(GM55=1,$I$81,IF(GM55=2,$I$82,IF(GM55=3,$I$83,IF(GM55=4,$I$84,IF(GM55=5,$I$85,IF(GM55=6,$I$86,IF(GM55=7,$I$87,$I$88)))))))</f>
        <v>1.86</v>
      </c>
      <c r="GP55" s="88">
        <f>IF(GM55=1,$J$81,IF(GM55=2,$J$82,IF(GM55=3,$J$83,IF(GM55=4,$J$84,IF(GM55=5,$J$85,IF(GM55=6,$J$86,IF(GM55=7,$J$87,$J$88)))))))</f>
        <v>-4.46</v>
      </c>
      <c r="GQ55" s="88">
        <f>IF(GM55=1,$K$81,IF(GM55=2,$K$82,IF(GM55=3,$K$83,IF(GM55=4,$K$84,IF(GM55=5,$K$85,IF(GM55=6,$K$86,IF(GM55=7,$K$87,$K$88)))))))</f>
        <v>-3.15</v>
      </c>
      <c r="GR55" s="103">
        <f t="shared" si="474"/>
        <v>111.04367400780453</v>
      </c>
      <c r="GS55" s="165">
        <f>IF(GY55&gt;(GR55*'Irradiancia Horizontal'!L15),GY55,GR55*'Irradiancia Horizontal'!L15)</f>
        <v>11473.833528236542</v>
      </c>
      <c r="GT55" s="88">
        <f>IF(GM55=1,$N$81,IF(GM55=2,$N$82,IF(GM55=3,$N$83,IF(GM55=4,$N$84,IF(GM55=5,$N$85,IF(GM55=6,$N$86,IF(GM55=7,$N$87,$N$88)))))))</f>
        <v>152.22999999999999</v>
      </c>
      <c r="GU55" s="88">
        <f>IF(GM55=1,$O$81,IF(GM55=2,$O$82,IF(GM55=3,$O$83,IF(GM55=4,$O$84,IF(GM55=5,$O$85,IF(GM55=6,$O$86,IF(GM55=7,$O$87,$O$88)))))))</f>
        <v>0.35</v>
      </c>
      <c r="GV55" s="88">
        <f>IF(GM55=1,$P$81,IF(GM55=2,$P$82,IF(GM55=3,$P$83,IF(GM55=4,$P$84,IF(GM55=5,$P$85,IF(GM55=6,$P$86,IF(GM55=7,$P$87,$P$88)))))))</f>
        <v>-45.27</v>
      </c>
      <c r="GW55" s="88">
        <f>IF(GM55=1,$Q$81,IF(GM55=2,$Q$82,IF(GM55=3,$Q$83,IF(GM55=4,$Q$84,IF(GM55=5,$Q$85,IF(GM55=6,$Q$86,IF(GM55=7,$Q$87,$Q$88)))))))</f>
        <v>-7.98</v>
      </c>
      <c r="GX55" s="103">
        <f t="shared" si="479"/>
        <v>167.09013724669768</v>
      </c>
      <c r="GY55" s="88">
        <f>+GX55*'Irradiancia Horizontal'!L47</f>
        <v>2668.5857963632593</v>
      </c>
      <c r="GZ55" s="88">
        <f t="shared" si="606"/>
        <v>8805.2477318732836</v>
      </c>
      <c r="HA55" s="88">
        <f>+GZ55/'Irradiancia Horizontal'!L76</f>
        <v>100.79696414478552</v>
      </c>
      <c r="HB55" s="38">
        <f t="shared" si="480"/>
        <v>0.30118871486286025</v>
      </c>
      <c r="HC55" s="88">
        <f t="shared" si="607"/>
        <v>0.30118871486286025</v>
      </c>
      <c r="HD55" s="88">
        <f t="shared" si="608"/>
        <v>0.12243944777897818</v>
      </c>
      <c r="HE55" s="88">
        <f t="shared" si="609"/>
        <v>1.17</v>
      </c>
      <c r="HF55" s="88">
        <f t="shared" si="610"/>
        <v>-0.3</v>
      </c>
      <c r="HG55" s="88">
        <f t="shared" si="611"/>
        <v>-0.61499999999999999</v>
      </c>
      <c r="HH55" s="88">
        <f t="shared" si="612"/>
        <v>0.51800000000000002</v>
      </c>
      <c r="HI55" s="88">
        <f t="shared" si="613"/>
        <v>-1.8919999999999999</v>
      </c>
      <c r="HJ55" s="88">
        <f t="shared" si="614"/>
        <v>-5.5E-2</v>
      </c>
      <c r="HK55" s="88">
        <f t="shared" si="481"/>
        <v>0.25376245323823021</v>
      </c>
      <c r="HL55" s="88">
        <f t="shared" si="482"/>
        <v>0.27635487631106848</v>
      </c>
      <c r="HM55" s="88">
        <f t="shared" si="483"/>
        <v>3398.9877012076536</v>
      </c>
      <c r="HN55" s="88">
        <f>IF(GM55=1,$AB$81,IF(GM55=2,$AB$82,IF(GM55=3,$AB$83,IF(GM55=4,$AB$84,IF(GM55=5,$AB$85,IF(GM55=6,$AB$86,IF(GM55=7,$AB$87,$AB$88)))))))</f>
        <v>0.67800000000000005</v>
      </c>
      <c r="HO55" s="88">
        <f>IF(GM55=1,$AC$81,IF(GM55=2,$AC$82,IF(GM55=3,$AC$83,IF(GM55=4,$AC$84,IF(GM55=5,$AC$85,IF(GM55=6,$AC$86,IF(GM55=7,$AC$87,$AC$88)))))))</f>
        <v>-0.32700000000000001</v>
      </c>
      <c r="HP55" s="88">
        <f>IF(GM55=1,$AD$81,IF(GM55=2,$AD$82,IF(GM55=3,$AD$83,IF(GM55=4,$AD$84,IF(GM55=5,$AD$85,IF(GM55=6,$AD$86,IF(GM55=7,$AD$87,$AD$88)))))))</f>
        <v>-0.25</v>
      </c>
      <c r="HQ55" s="88">
        <f>IF(GM55=1,$AE$81,IF(GM55=2,$AE$82,IF(GM55=3,$AE$83,IF(GM55=4,$AE$84,IF(GM55=5,$AE$85,IF(GM55=6,$AE$86,IF(GM55=7,$AE$87,$AE$88)))))))</f>
        <v>0.156</v>
      </c>
      <c r="HR55" s="88">
        <f>IF(GM55=1,$AF$81,IF(GM55=2,$AF$82,IF(GM55=3,$AF$83,IF(GM55=4,$AF$84,IF(GM55=5,$AF$85,IF(GM55=6,$AF$86,IF(GM55=7,$AF$87,$AF$88)))))))</f>
        <v>-1.377</v>
      </c>
      <c r="HS55" s="88">
        <f>IF(GM55=1,$AG$81,IF(GM55=2,$AG$82,IF(GM55=3,$AG$83,IF(GM55=4,$AG$84,IF(GM55=5,$AG$85,IF(GM55=6,$AG$86,IF(GM55=7,$AG$87,$AG$88)))))))</f>
        <v>0.251</v>
      </c>
      <c r="HT55" s="88">
        <f t="shared" si="490"/>
        <v>0.28798841784130197</v>
      </c>
      <c r="HU55" s="88">
        <f t="shared" si="491"/>
        <v>0.40155468897149832</v>
      </c>
      <c r="HV55" s="106">
        <f>IF(GB55&lt;0,0,((0.5*(1-HT55)*(1+COS(RADIANS($GI$46))))+(HT55*(HC55/HD55))+(HU55*SIN(RADIANS($GI$46))))*'Irradiancia Horizontal'!L47)</f>
        <v>23.413119776740693</v>
      </c>
      <c r="HW55" s="88">
        <f t="shared" si="492"/>
        <v>2.4598993243301104</v>
      </c>
      <c r="HX55" s="88">
        <f>HW55*'Irradiancia Horizontal'!L76</f>
        <v>214.88765192453323</v>
      </c>
      <c r="HY55" s="88">
        <f t="shared" si="615"/>
        <v>238.30077170127393</v>
      </c>
      <c r="HZ55" s="88">
        <f t="shared" si="493"/>
        <v>26461.793208604511</v>
      </c>
      <c r="IA55" s="88">
        <f t="shared" si="616"/>
        <v>23062.805507396857</v>
      </c>
      <c r="IB55" s="106">
        <f t="shared" si="617"/>
        <v>71915.121242363777</v>
      </c>
      <c r="IC55" s="106">
        <f t="shared" si="618"/>
        <v>21660.022946194327</v>
      </c>
      <c r="ID55" s="106">
        <f t="shared" si="619"/>
        <v>25059.010647401981</v>
      </c>
      <c r="IE55" s="83"/>
      <c r="IG55" s="39">
        <v>0.29166666666666702</v>
      </c>
      <c r="IH55" s="38">
        <v>75</v>
      </c>
      <c r="II55" s="38">
        <f t="shared" si="494"/>
        <v>2.4187526411256099</v>
      </c>
      <c r="IJ55" s="38">
        <f t="shared" si="495"/>
        <v>115.05417364306142</v>
      </c>
      <c r="IK55" s="38">
        <f t="shared" si="496"/>
        <v>87.581247358874393</v>
      </c>
      <c r="IL55" s="38">
        <f>+'Irradiancia Horizontal'!M76/COS(RADIANS(IK55))</f>
        <v>629.02428993554361</v>
      </c>
      <c r="IM55" s="38">
        <f>((('Irradiancia Horizontal'!M47+IL55)/'Irradiancia Horizontal'!M47)+1.041*((RADIANS('Cálculos iluminancia'!IK55))^3))/(1+1.041*((RADIANS('Cálculos iluminancia'!IK55))^3))</f>
        <v>21.234702701523851</v>
      </c>
      <c r="IN55" s="88">
        <f t="shared" si="497"/>
        <v>17.407255311291184</v>
      </c>
      <c r="IO55" s="88">
        <f t="shared" si="620"/>
        <v>16.977767452387791</v>
      </c>
      <c r="IP55" s="106">
        <f>'Irradiancia Horizontal'!M47*IO55/$IN$46</f>
        <v>7.8656306030218337E-2</v>
      </c>
      <c r="IQ55" s="88">
        <f>((17.27*Temp!L17)/(237.7+Temp!L17))+LN(HR!L28/100)</f>
        <v>0.56563346866015052</v>
      </c>
      <c r="IR55" s="88">
        <f t="shared" si="621"/>
        <v>8.0488580784112802</v>
      </c>
      <c r="IS55" s="88">
        <f t="shared" si="622"/>
        <v>1.6297393034419692</v>
      </c>
      <c r="IT55" s="88">
        <f>IF(IM55&lt;$E$81,1,IF(IM55&lt;$E$82,2,IF(IM55&lt;$E$83,3,IF(IM55&lt;$E$84,4,IF(IM55&lt;$E$85,5,IF(IM55&lt;$E$86,6,IF(IM55&lt;$E$87,7,8)))))))</f>
        <v>8</v>
      </c>
      <c r="IU55" s="88">
        <f>IF(IT55=1,$H$81,IF(IT55=2,$H$82,IF(IT55=3,$H$83,IF(IT55=4,$H$84,IF(IT55=5,$H$85,IF(IT55=6,$H$86,IF(IT55=7,$H$87,$H$88)))))))</f>
        <v>99.65</v>
      </c>
      <c r="IV55" s="88">
        <f>IF(IT55=1,$I$81,IF(IT55=2,$I$82,IF(IT55=3,$I$83,IF(IT55=4,$I$84,IF(IT55=5,$I$85,IF(IT55=6,$I$86,IF(IT55=7,$I$87,$I$88)))))))</f>
        <v>1.86</v>
      </c>
      <c r="IW55" s="88">
        <f>IF(IT55=1,$J$81,IF(IT55=2,$J$82,IF(IT55=3,$J$83,IF(IT55=4,$J$84,IF(IT55=5,$J$85,IF(IT55=6,$J$86,IF(IT55=7,$J$87,$J$88)))))))</f>
        <v>-4.46</v>
      </c>
      <c r="IX55" s="88">
        <f>IF(IT55=1,$K$81,IF(IT55=2,$K$82,IF(IT55=3,$K$83,IF(IT55=4,$K$84,IF(IT55=5,$K$85,IF(IT55=6,$K$86,IF(IT55=7,$K$87,$K$88)))))))</f>
        <v>-3.15</v>
      </c>
      <c r="IY55" s="103">
        <f t="shared" si="503"/>
        <v>110.50249378611753</v>
      </c>
      <c r="IZ55" s="165">
        <f>IF(JF55&gt;(IY55*'Irradiancia Horizontal'!M15),JF55,IY55*'Irradiancia Horizontal'!M15)</f>
        <v>3661.5346573217171</v>
      </c>
      <c r="JA55" s="88">
        <f>IF(IT55=1,$N$81,IF(IT55=2,$N$82,IF(IT55=3,$N$83,IF(IT55=4,$N$84,IF(IT55=5,$N$85,IF(IT55=6,$N$86,IF(IT55=7,$N$87,$N$88)))))))</f>
        <v>152.22999999999999</v>
      </c>
      <c r="JB55" s="88">
        <f>IF(IT55=1,$O$81,IF(IT55=2,$O$82,IF(IT55=3,$O$83,IF(IT55=4,$O$84,IF(IT55=5,$O$85,IF(IT55=6,$O$86,IF(IT55=7,$O$87,$O$88)))))))</f>
        <v>0.35</v>
      </c>
      <c r="JC55" s="88">
        <f>IF(IT55=1,$P$81,IF(IT55=2,$P$82,IF(IT55=3,$P$83,IF(IT55=4,$P$84,IF(IT55=5,$P$85,IF(IT55=6,$P$86,IF(IT55=7,$P$87,$P$88)))))))</f>
        <v>-45.27</v>
      </c>
      <c r="JD55" s="88">
        <f>IF(IT55=1,$Q$81,IF(IT55=2,$Q$82,IF(IT55=3,$Q$83,IF(IT55=4,$Q$84,IF(IT55=5,$Q$85,IF(IT55=6,$Q$86,IF(IT55=7,$Q$87,$Q$88)))))))</f>
        <v>-7.98</v>
      </c>
      <c r="JE55" s="103">
        <f t="shared" si="508"/>
        <v>171.18038079571951</v>
      </c>
      <c r="JF55" s="88">
        <f>+JE55*'Irradiancia Horizontal'!M47</f>
        <v>1127.8757546344445</v>
      </c>
      <c r="JG55" s="88">
        <f t="shared" si="623"/>
        <v>2533.6589026872725</v>
      </c>
      <c r="JH55" s="88">
        <f>+JG55/'Irradiancia Horizontal'!M76</f>
        <v>95.442302661761289</v>
      </c>
      <c r="JI55" s="38">
        <f t="shared" si="509"/>
        <v>0.42309770816227177</v>
      </c>
      <c r="JJ55" s="88">
        <f t="shared" si="624"/>
        <v>0.42309770816227177</v>
      </c>
      <c r="JK55" s="88">
        <f t="shared" si="625"/>
        <v>8.6999999999999994E-2</v>
      </c>
      <c r="JL55" s="88">
        <f t="shared" si="626"/>
        <v>1.17</v>
      </c>
      <c r="JM55" s="88">
        <f t="shared" si="627"/>
        <v>-0.3</v>
      </c>
      <c r="JN55" s="88">
        <f t="shared" si="628"/>
        <v>-0.61499999999999999</v>
      </c>
      <c r="JO55" s="88">
        <f t="shared" si="629"/>
        <v>0.51800000000000002</v>
      </c>
      <c r="JP55" s="88">
        <f t="shared" si="630"/>
        <v>-1.8919999999999999</v>
      </c>
      <c r="JQ55" s="88">
        <f t="shared" si="631"/>
        <v>-5.5E-2</v>
      </c>
      <c r="JR55" s="88">
        <f t="shared" si="510"/>
        <v>0.20632571360012775</v>
      </c>
      <c r="JS55" s="88">
        <f t="shared" si="511"/>
        <v>0.28511030687294991</v>
      </c>
      <c r="JT55" s="88">
        <f t="shared" si="512"/>
        <v>1900.8642974373067</v>
      </c>
      <c r="JU55" s="88">
        <f>IF(IT55=1,$AB$81,IF(IT55=2,$AB$82,IF(IT55=3,$AB$83,IF(IT55=4,$AB$84,IF(IT55=5,$AB$85,IF(IT55=6,$AB$86,IF(IT55=7,$AB$87,$AB$88)))))))</f>
        <v>0.67800000000000005</v>
      </c>
      <c r="JV55" s="88">
        <f>IF(IT55=1,$AC$81,IF(IT55=2,$AC$82,IF(IT55=3,$AC$83,IF(IT55=4,$AC$84,IF(IT55=5,$AC$85,IF(IT55=6,$AC$86,IF(IT55=7,$AC$87,$AC$88)))))))</f>
        <v>-0.32700000000000001</v>
      </c>
      <c r="JW55" s="88">
        <f>IF(IT55=1,$AD$81,IF(IT55=2,$AD$82,IF(IT55=3,$AD$83,IF(IT55=4,$AD$84,IF(IT55=5,$AD$85,IF(IT55=6,$AD$86,IF(IT55=7,$AD$87,$AD$88)))))))</f>
        <v>-0.25</v>
      </c>
      <c r="JX55" s="88">
        <f>IF(IT55=1,$AE$81,IF(IT55=2,$AE$82,IF(IT55=3,$AE$83,IF(IT55=4,$AE$84,IF(IT55=5,$AE$85,IF(IT55=6,$AE$86,IF(IT55=7,$AE$87,$AE$88)))))))</f>
        <v>0.156</v>
      </c>
      <c r="JY55" s="88">
        <f>IF(IT55=1,$AF$81,IF(IT55=2,$AF$82,IF(IT55=3,$AF$83,IF(IT55=4,$AF$84,IF(IT55=5,$AF$85,IF(IT55=6,$AF$86,IF(IT55=7,$AF$87,$AF$88)))))))</f>
        <v>-1.377</v>
      </c>
      <c r="JZ55" s="88">
        <f>IF(IT55=1,$AG$81,IF(IT55=2,$AG$82,IF(IT55=3,$AG$83,IF(IT55=4,$AG$84,IF(IT55=5,$AG$85,IF(IT55=6,$AG$86,IF(IT55=7,$AG$87,$AG$88)))))))</f>
        <v>0.251</v>
      </c>
      <c r="KA55" s="88">
        <f t="shared" si="519"/>
        <v>0.2701341055741322</v>
      </c>
      <c r="KB55" s="88">
        <f t="shared" si="520"/>
        <v>0.4313641300797918</v>
      </c>
      <c r="KC55" s="106">
        <f>IF(II55&lt;0,0,((0.5*(1-KA55)*(1+COS(RADIANS($IP$46))))+(KA55*(JJ55/JK55))+(KB55*SIN(RADIANS($IP$46))))*'Irradiancia Horizontal'!M47)</f>
        <v>13.902471553475213</v>
      </c>
      <c r="KD55" s="88">
        <f t="shared" si="521"/>
        <v>10.025380177224601</v>
      </c>
      <c r="KE55" s="88">
        <f>KD55*'Irradiancia Horizontal'!M76</f>
        <v>266.13873545012882</v>
      </c>
      <c r="KF55" s="88">
        <f t="shared" si="632"/>
        <v>280.04120700360403</v>
      </c>
      <c r="KG55" s="88">
        <f t="shared" si="522"/>
        <v>30945.251736772607</v>
      </c>
      <c r="KH55" s="88">
        <f t="shared" si="633"/>
        <v>29044.3874393353</v>
      </c>
      <c r="KI55" s="106">
        <f t="shared" si="634"/>
        <v>60035.526661627635</v>
      </c>
      <c r="KJ55" s="106">
        <f t="shared" si="635"/>
        <v>25400.893738849616</v>
      </c>
      <c r="KK55" s="106">
        <f t="shared" si="636"/>
        <v>27301.758036286923</v>
      </c>
      <c r="KL55" s="40"/>
      <c r="KN55" s="39">
        <v>0.29166666666666702</v>
      </c>
      <c r="KO55" s="38">
        <v>75</v>
      </c>
      <c r="KP55" s="38">
        <f t="shared" si="523"/>
        <v>0.80777986614324049</v>
      </c>
      <c r="KQ55" s="38">
        <f t="shared" si="524"/>
        <v>117.59582673339338</v>
      </c>
      <c r="KR55" s="38">
        <f t="shared" si="525"/>
        <v>89.192220133856765</v>
      </c>
      <c r="KS55" s="38">
        <f>+'Irradiancia Horizontal'!N76/COS(RADIANS(KR55))</f>
        <v>476.85910417634182</v>
      </c>
      <c r="KT55" s="38">
        <f>((('Irradiancia Horizontal'!N47+KS55)/'Irradiancia Horizontal'!N47)+1.041*((RADIANS('Cálculos iluminancia'!KR55))^3))/(1+1.041*((RADIANS('Cálculos iluminancia'!KR55))^3))</f>
        <v>34.085573302560519</v>
      </c>
      <c r="KU55" s="88">
        <f t="shared" si="526"/>
        <v>28.089788123519959</v>
      </c>
      <c r="KV55" s="88">
        <f t="shared" si="637"/>
        <v>27.396730961866506</v>
      </c>
      <c r="KW55" s="106">
        <f>'Irradiancia Horizontal'!N47*KV55/$KU$46</f>
        <v>5.5875159298540526E-2</v>
      </c>
      <c r="KX55" s="88">
        <f>((17.27*Temp!M17)/(237.7+Temp!M17))+LN(HR!M28/100)</f>
        <v>0.30100162916304346</v>
      </c>
      <c r="KY55" s="88">
        <f t="shared" si="638"/>
        <v>4.2164001485802771</v>
      </c>
      <c r="KZ55" s="88">
        <f t="shared" si="639"/>
        <v>1.2462611765531015</v>
      </c>
      <c r="LA55" s="88">
        <f>IF(KT55&lt;$E$81,1,IF(KT55&lt;$E$82,2,IF(KT55&lt;$E$83,3,IF(KT55&lt;$E$84,4,IF(KT55&lt;$E$85,5,IF(KT55&lt;$E$86,6,IF(KT55&lt;$E$87,7,8)))))))</f>
        <v>8</v>
      </c>
      <c r="LB55" s="88">
        <f>IF(LA55=1,$H$81,IF(LA55=2,$H$82,IF(LA55=3,$H$83,IF(LA55=4,$H$84,IF(LA55=5,$H$85,IF(LA55=6,$H$86,IF(LA55=7,$H$87,$H$88)))))))</f>
        <v>99.65</v>
      </c>
      <c r="LC55" s="88">
        <f>IF(LA55=1,$I$81,IF(LA55=2,$I$82,IF(LA55=3,$I$83,IF(LA55=4,$I$84,IF(LA55=5,$I$85,IF(LA55=6,$I$86,IF(LA55=7,$I$87,$I$88)))))))</f>
        <v>1.86</v>
      </c>
      <c r="LD55" s="88">
        <f>IF(LA55=1,$J$81,IF(LA55=2,$J$82,IF(LA55=3,$J$83,IF(LA55=4,$J$84,IF(LA55=5,$J$85,IF(LA55=6,$J$86,IF(LA55=7,$J$87,$J$88)))))))</f>
        <v>-4.46</v>
      </c>
      <c r="LE55" s="88">
        <f>IF(LA55=1,$K$81,IF(LA55=2,$K$82,IF(LA55=3,$K$83,IF(LA55=4,$K$84,IF(LA55=5,$K$85,IF(LA55=6,$K$86,IF(LA55=7,$K$87,$K$88)))))))</f>
        <v>-3.15</v>
      </c>
      <c r="LF55" s="103">
        <f t="shared" si="532"/>
        <v>110.99177035727293</v>
      </c>
      <c r="LG55" s="165">
        <f>IF(LM55&gt;(LF55*'Irradiancia Horizontal'!N15),LM55,LF55*'Irradiancia Horizontal'!N15)</f>
        <v>1070.8497747720978</v>
      </c>
      <c r="LH55" s="88">
        <f>IF(LA55=1,$N$81,IF(LA55=2,$N$82,IF(LA55=3,$N$83,IF(LA55=4,$N$84,IF(LA55=5,$N$85,IF(LA55=6,$N$86,IF(LA55=7,$N$87,$N$88)))))))</f>
        <v>152.22999999999999</v>
      </c>
      <c r="LI55" s="88">
        <f>IF(LA55=1,$O$81,IF(LA55=2,$O$82,IF(LA55=3,$O$83,IF(LA55=4,$O$84,IF(LA55=5,$O$85,IF(LA55=6,$O$86,IF(LA55=7,$O$87,$O$88)))))))</f>
        <v>0.35</v>
      </c>
      <c r="LJ55" s="88">
        <f>IF(LA55=1,$P$81,IF(LA55=2,$P$82,IF(LA55=3,$P$83,IF(LA55=4,$P$84,IF(LA55=5,$P$85,IF(LA55=6,$P$86,IF(LA55=7,$P$87,$P$88)))))))</f>
        <v>-45.27</v>
      </c>
      <c r="LK55" s="88">
        <f>IF(LA55=1,$Q$81,IF(LA55=2,$Q$82,IF(LA55=3,$Q$83,IF(LA55=4,$Q$84,IF(LA55=5,$Q$85,IF(LA55=6,$Q$86,IF(LA55=7,$Q$87,$Q$88)))))))</f>
        <v>-7.98</v>
      </c>
      <c r="LL55" s="103">
        <f t="shared" si="537"/>
        <v>175.04736745160434</v>
      </c>
      <c r="LM55" s="88">
        <f>+LL55*'Irradiancia Horizontal'!N47</f>
        <v>512.06154340921989</v>
      </c>
      <c r="LN55" s="88">
        <f t="shared" si="640"/>
        <v>558.78823136287792</v>
      </c>
      <c r="LO55" s="88">
        <f>+LN55/'Irradiancia Horizontal'!N76</f>
        <v>83.119164228101326</v>
      </c>
      <c r="LP55" s="38">
        <f t="shared" si="538"/>
        <v>0.46318544883282758</v>
      </c>
      <c r="LQ55" s="88">
        <f t="shared" si="641"/>
        <v>0.46318544883282758</v>
      </c>
      <c r="LR55" s="88">
        <f t="shared" si="642"/>
        <v>8.6999999999999994E-2</v>
      </c>
      <c r="LS55" s="88">
        <f t="shared" si="643"/>
        <v>1.17</v>
      </c>
      <c r="LT55" s="88">
        <f t="shared" si="644"/>
        <v>-0.3</v>
      </c>
      <c r="LU55" s="88">
        <f t="shared" si="645"/>
        <v>-0.61499999999999999</v>
      </c>
      <c r="LV55" s="88">
        <f t="shared" si="646"/>
        <v>0.51800000000000002</v>
      </c>
      <c r="LW55" s="88">
        <f t="shared" si="647"/>
        <v>-1.8919999999999999</v>
      </c>
      <c r="LX55" s="88">
        <f t="shared" si="648"/>
        <v>-5.5E-2</v>
      </c>
      <c r="LY55" s="88">
        <f t="shared" si="539"/>
        <v>0.19586823848332025</v>
      </c>
      <c r="LZ55" s="88">
        <f t="shared" si="540"/>
        <v>0.3266658136396956</v>
      </c>
      <c r="MA55" s="88">
        <f t="shared" si="541"/>
        <v>907.1315935753239</v>
      </c>
      <c r="MB55" s="88">
        <f>IF(LA55=1,$AB$81,IF(LA55=2,$AB$82,IF(LA55=3,$AB$83,IF(LA55=4,$AB$84,IF(LA55=5,$AB$85,IF(LA55=6,$AB$86,IF(LA55=7,$AB$87,$AB$88)))))))</f>
        <v>0.67800000000000005</v>
      </c>
      <c r="MC55" s="88">
        <f>IF(LA55=1,$AC$81,IF(LA55=2,$AC$82,IF(LA55=3,$AC$83,IF(LA55=4,$AC$84,IF(LA55=5,$AC$85,IF(LA55=6,$AC$86,IF(LA55=7,$AC$87,$AC$88)))))))</f>
        <v>-0.32700000000000001</v>
      </c>
      <c r="MD55" s="88">
        <f>IF(LA55=1,$AD$81,IF(LA55=2,$AD$82,IF(LA55=3,$AD$83,IF(LA55=4,$AD$84,IF(LA55=5,$AD$85,IF(LA55=6,$AD$86,IF(LA55=7,$AD$87,$AD$88)))))))</f>
        <v>-0.25</v>
      </c>
      <c r="ME55" s="88">
        <f>IF(LA55=1,$AE$81,IF(LA55=2,$AE$82,IF(LA55=3,$AE$83,IF(LA55=4,$AE$84,IF(LA55=5,$AE$85,IF(LA55=6,$AE$86,IF(LA55=7,$AE$87,$AE$88)))))))</f>
        <v>0.156</v>
      </c>
      <c r="MF55" s="88">
        <f>IF(LA55=1,$AF$81,IF(LA55=2,$AF$82,IF(LA55=3,$AF$83,IF(LA55=4,$AF$84,IF(LA55=5,$AF$85,IF(LA55=6,$AF$86,IF(LA55=7,$AF$87,$AF$88)))))))</f>
        <v>-1.377</v>
      </c>
      <c r="MG55" s="88">
        <f>IF(LA55=1,$AG$81,IF(LA55=2,$AG$82,IF(LA55=3,$AG$83,IF(LA55=4,$AG$84,IF(LA55=5,$AG$85,IF(LA55=6,$AG$86,IF(LA55=7,$AG$87,$AG$88)))))))</f>
        <v>0.251</v>
      </c>
      <c r="MH55" s="88">
        <f t="shared" si="548"/>
        <v>0.27055434578453275</v>
      </c>
      <c r="MI55" s="88">
        <f t="shared" si="549"/>
        <v>0.46979108067925363</v>
      </c>
      <c r="MJ55" s="106">
        <f>IF(KP55&lt;0,0,((0.5*(1-MH55)*(1+COS(RADIANS($KW$46))))+(MH55*(LQ55/LR55))+(MI55*SIN(RADIANS($KW$46))))*'Irradiancia Horizontal'!N47)</f>
        <v>6.6548153658426878</v>
      </c>
      <c r="MK55" s="88">
        <f t="shared" si="550"/>
        <v>32.85480567296058</v>
      </c>
      <c r="ML55" s="88">
        <f>MK55*'Irradiancia Horizontal'!N76</f>
        <v>220.87419819793897</v>
      </c>
      <c r="MM55" s="88">
        <f t="shared" si="649"/>
        <v>227.52901356378166</v>
      </c>
      <c r="MN55" s="88">
        <f t="shared" si="551"/>
        <v>25253.848023088092</v>
      </c>
      <c r="MO55" s="88">
        <f t="shared" si="650"/>
        <v>24346.71642951277</v>
      </c>
      <c r="MP55" s="106">
        <f t="shared" si="651"/>
        <v>39636.130193698635</v>
      </c>
      <c r="MQ55" s="106">
        <f t="shared" si="652"/>
        <v>18358.878753764693</v>
      </c>
      <c r="MR55" s="106">
        <f t="shared" si="653"/>
        <v>19266.010347340016</v>
      </c>
    </row>
    <row r="56" spans="1:356" x14ac:dyDescent="0.25">
      <c r="A56" s="48"/>
      <c r="B56" s="37"/>
      <c r="E56" s="39">
        <v>0.33333333333333298</v>
      </c>
      <c r="F56" s="38">
        <v>60</v>
      </c>
      <c r="G56" s="38">
        <f t="shared" si="378"/>
        <v>35.394376206101434</v>
      </c>
      <c r="H56" s="38">
        <f t="shared" si="379"/>
        <v>84.543717342161969</v>
      </c>
      <c r="I56" s="38">
        <f t="shared" si="380"/>
        <v>54.605623793898566</v>
      </c>
      <c r="J56" s="38">
        <f>+'Irradiancia Horizontal'!I77/COS(RADIANS(I56))</f>
        <v>570.43650601066179</v>
      </c>
      <c r="K56" s="38">
        <f>((('Irradiancia Horizontal'!I48+J56)/'Irradiancia Horizontal'!I48)+1.041*((RADIANS('Cálculos iluminancia'!I56))^3))/(1+1.041*((RADIANS('Cálculos iluminancia'!I56))^3))</f>
        <v>3.2689998434075531</v>
      </c>
      <c r="L56" s="87">
        <f t="shared" si="381"/>
        <v>1.723126934181425</v>
      </c>
      <c r="M56" s="87">
        <f t="shared" ref="M56:M72" si="654">L56*$K$46</f>
        <v>1.6806123571073297</v>
      </c>
      <c r="N56" s="106">
        <f>'Irradiancia Horizontal'!I48*M56/$L$46</f>
        <v>0.16555726872944795</v>
      </c>
      <c r="O56" s="87">
        <f>((17.27*Temp!H18)/(237.7+Temp!H18))+LN(HR!H29/100)</f>
        <v>1.305582731185706</v>
      </c>
      <c r="P56" s="87">
        <f t="shared" si="553"/>
        <v>19.439294900482864</v>
      </c>
      <c r="Q56" s="87">
        <f t="shared" si="554"/>
        <v>3.6173823011632695</v>
      </c>
      <c r="R56" s="87">
        <f t="shared" ref="R56:R72" si="655">IF(K56&lt;$E$81,1,IF(K56&lt;$E$82,2,IF(K56&lt;$E$83,3,IF(K56&lt;$E$84,4,IF(K56&lt;$E$85,5,IF(K56&lt;$E$86,6,IF(K56&lt;$E$87,7,8)))))))</f>
        <v>6</v>
      </c>
      <c r="S56" s="87">
        <f t="shared" ref="S56:S72" si="656">IF(R56=1,$H$81,IF(R56=2,$H$82,IF(R56=3,$H$83,IF(R56=4,$H$84,IF(R56=5,$H$85,IF(R56=6,$H$86,IF(R56=7,$H$87,$H$88)))))))</f>
        <v>88.34</v>
      </c>
      <c r="T56" s="87">
        <f t="shared" ref="T56:T72" si="657">IF(R56=1,$I$81,IF(R56=2,$I$82,IF(R56=3,$I$83,IF(R56=4,$I$84,IF(R56=5,$I$85,IF(R56=6,$I$86,IF(R56=7,$I$87,$I$88)))))))</f>
        <v>1.39</v>
      </c>
      <c r="U56" s="87">
        <f t="shared" ref="U56:U72" si="658">IF(R56=1,$J$81,IF(R56=2,$J$82,IF(R56=3,$J$83,IF(R56=4,$J$84,IF(R56=5,$J$85,IF(R56=6,$J$86,IF(R56=7,$J$87,$J$88)))))))</f>
        <v>6.06</v>
      </c>
      <c r="V56" s="87">
        <f t="shared" ref="V56:V72" si="659">IF(R56=1,$K$81,IF(R56=2,$K$82,IF(R56=3,$K$83,IF(R56=4,$K$84,IF(R56=5,$K$85,IF(R56=6,$K$86,IF(R56=7,$K$87,$K$88)))))))</f>
        <v>-7.6</v>
      </c>
      <c r="W56" s="103">
        <f t="shared" si="387"/>
        <v>110.54625007013877</v>
      </c>
      <c r="X56" s="165">
        <f>IF(AD56&gt;(W56*'Irradiancia Horizontal'!I16),AD56,W56*'Irradiancia Horizontal'!I16)</f>
        <v>51142.65868980682</v>
      </c>
      <c r="Y56" s="87">
        <f t="shared" ref="Y56:Y72" si="660">IF(R56=1,$N$81,IF(R56=2,$N$82,IF(R56=3,$N$83,IF(R56=4,$N$84,IF(R56=5,$N$85,IF(R56=6,$N$86,IF(R56=7,$N$87,$N$88)))))))</f>
        <v>106.42</v>
      </c>
      <c r="Z56" s="87">
        <f t="shared" ref="Z56:Z72" si="661">IF(R56=1,$O$81,IF(R56=2,$O$82,IF(R56=3,$O$83,IF(R56=4,$O$84,IF(R56=5,$O$85,IF(R56=6,$O$86,IF(R56=7,$O$87,$O$88)))))))</f>
        <v>3.83</v>
      </c>
      <c r="AA56" s="87">
        <f t="shared" ref="AA56:AA72" si="662">IF(R56=1,$P$81,IF(R56=2,$P$82,IF(R56=3,$P$83,IF(R56=4,$P$84,IF(R56=5,$P$85,IF(R56=6,$P$86,IF(R56=7,$P$87,$P$88)))))))</f>
        <v>-36.15</v>
      </c>
      <c r="AB56" s="87">
        <f t="shared" ref="AB56:AB72" si="663">IF(R56=1,$Q$81,IF(R56=2,$Q$82,IF(R56=3,$Q$83,IF(R56=4,$Q$84,IF(R56=5,$Q$85,IF(R56=6,$Q$86,IF(R56=7,$Q$87,$Q$88)))))))</f>
        <v>-28.83</v>
      </c>
      <c r="AC56" s="103">
        <f t="shared" si="392"/>
        <v>151.18542291109054</v>
      </c>
      <c r="AD56" s="87">
        <f>+AC56*'Irradiancia Horizontal'!I48</f>
        <v>19992.513282845255</v>
      </c>
      <c r="AE56" s="87">
        <f t="shared" si="393"/>
        <v>31150.145406961565</v>
      </c>
      <c r="AF56" s="87">
        <f>+AE56/'Irradiancia Horizontal'!I77</f>
        <v>94.280818211920305</v>
      </c>
      <c r="AG56" s="38">
        <f t="shared" si="555"/>
        <v>-7.7512831807746069E-2</v>
      </c>
      <c r="AH56" s="87">
        <f t="shared" si="556"/>
        <v>0</v>
      </c>
      <c r="AI56" s="87">
        <f t="shared" si="557"/>
        <v>0.57920116172695291</v>
      </c>
      <c r="AJ56" s="87">
        <f t="shared" si="558"/>
        <v>1.4259999999999999</v>
      </c>
      <c r="AK56" s="87">
        <f t="shared" si="559"/>
        <v>-0.65300000000000002</v>
      </c>
      <c r="AL56" s="87">
        <f t="shared" si="560"/>
        <v>-0.77900000000000003</v>
      </c>
      <c r="AM56" s="87">
        <f t="shared" si="561"/>
        <v>0.42499999999999999</v>
      </c>
      <c r="AN56" s="87">
        <f t="shared" si="562"/>
        <v>-0.78500000000000003</v>
      </c>
      <c r="AO56" s="87">
        <f t="shared" si="563"/>
        <v>-9.7000000000000003E-2</v>
      </c>
      <c r="AP56" s="87">
        <f t="shared" si="394"/>
        <v>0.57546676970404698</v>
      </c>
      <c r="AQ56" s="87">
        <f t="shared" si="395"/>
        <v>0.20259189529242128</v>
      </c>
      <c r="AR56" s="88">
        <f t="shared" si="396"/>
        <v>8294.0642804810504</v>
      </c>
      <c r="AS56" s="87">
        <f t="shared" ref="AS56:AS72" si="664">IF(R56=1,$AB$81,IF(R56=2,$AB$82,IF(R56=3,$AB$83,IF(R56=4,$AB$84,IF(R56=5,$AB$85,IF(R56=6,$AB$86,IF(R56=7,$AB$87,$AB$88)))))))</f>
        <v>1.1319999999999999</v>
      </c>
      <c r="AT56" s="87">
        <f t="shared" ref="AT56:AT72" si="665">IF(R56=1,$AC$81,IF(R56=2,$AC$82,IF(R56=3,$AC$83,IF(R56=4,$AC$84,IF(R56=5,$AC$85,IF(R56=6,$AC$86,IF(R56=7,$AC$87,$AC$88)))))))</f>
        <v>-1.2370000000000001</v>
      </c>
      <c r="AU56" s="87">
        <f t="shared" ref="AU56:AU72" si="666">IF(R56=1,$AD$81,IF(R56=2,$AD$82,IF(R56=3,$AD$83,IF(R56=4,$AD$84,IF(R56=5,$AD$85,IF(R56=6,$AD$86,IF(R56=7,$AD$87,$AD$88)))))))</f>
        <v>-0.41199999999999998</v>
      </c>
      <c r="AV56" s="87">
        <f t="shared" ref="AV56:AV72" si="667">IF(R56=1,$AE$81,IF(R56=2,$AE$82,IF(R56=3,$AE$83,IF(R56=4,$AE$84,IF(R56=5,$AE$85,IF(R56=6,$AE$86,IF(R56=7,$AE$87,$AE$88)))))))</f>
        <v>0.28799999999999998</v>
      </c>
      <c r="AW56" s="87">
        <f t="shared" ref="AW56:AW72" si="668">IF(R56=1,$AF$81,IF(R56=2,$AF$82,IF(R56=3,$AF$83,IF(R56=4,$AF$84,IF(R56=5,$AF$85,IF(R56=6,$AF$86,IF(R56=7,$AF$87,$AF$88)))))))</f>
        <v>-0.82299999999999995</v>
      </c>
      <c r="AX56" s="87">
        <f t="shared" ref="AX56:AX72" si="669">IF(R56=1,$AG$81,IF(R56=2,$AG$82,IF(R56=3,$AG$83,IF(R56=4,$AG$84,IF(R56=5,$AG$85,IF(R56=6,$AG$86,IF(R56=7,$AG$87,$AG$88)))))))</f>
        <v>5.6000000000000001E-2</v>
      </c>
      <c r="AY56" s="87">
        <f t="shared" si="403"/>
        <v>0.53454991335441115</v>
      </c>
      <c r="AZ56" s="87">
        <f t="shared" si="404"/>
        <v>0.20511705165296201</v>
      </c>
      <c r="BA56" s="106">
        <f>IF(G56&lt;0,0,((0.5*(1-AY56)*(1+COS(RADIANS($N$46))))+(AY56*(AH56/AI56))+(AZ56*SIN(RADIANS($N$46))))*'Irradiancia Horizontal'!I48)</f>
        <v>57.899523188418897</v>
      </c>
      <c r="BB56" s="87">
        <f t="shared" si="405"/>
        <v>0</v>
      </c>
      <c r="BC56" s="87">
        <f>BB56*'Irradiancia Horizontal'!I77</f>
        <v>0</v>
      </c>
      <c r="BD56" s="87">
        <f t="shared" si="564"/>
        <v>57.899523188418897</v>
      </c>
      <c r="BE56" s="88">
        <f t="shared" si="406"/>
        <v>6400.5751693287539</v>
      </c>
      <c r="BF56" s="87">
        <f t="shared" si="565"/>
        <v>-1893.4891111522966</v>
      </c>
      <c r="BG56" s="106">
        <f t="shared" si="566"/>
        <v>53781.220524634184</v>
      </c>
      <c r="BH56" s="106">
        <f t="shared" si="567"/>
        <v>0</v>
      </c>
      <c r="BI56" s="106">
        <f t="shared" si="568"/>
        <v>8294.0642804810504</v>
      </c>
      <c r="BJ56" s="44"/>
      <c r="BL56" s="39">
        <v>0.33333333333333298</v>
      </c>
      <c r="BM56" s="38">
        <v>60</v>
      </c>
      <c r="BN56" s="38">
        <f t="shared" si="407"/>
        <v>31.790733696612165</v>
      </c>
      <c r="BO56" s="38">
        <f t="shared" si="408"/>
        <v>94.040226277650163</v>
      </c>
      <c r="BP56" s="38">
        <f t="shared" si="409"/>
        <v>58.209266303387835</v>
      </c>
      <c r="BQ56" s="38">
        <f>+'Irradiancia Horizontal'!J77/COS(RADIANS(BP56))</f>
        <v>567.36419452771747</v>
      </c>
      <c r="BR56" s="38">
        <f>((('Irradiancia Horizontal'!J48+BQ56)/'Irradiancia Horizontal'!J48)+1.041*((RADIANS('Cálculos iluminancia'!BP56))^3))/(1+1.041*((RADIANS('Cálculos iluminancia'!BP56))^3))</f>
        <v>3.2134298586724257</v>
      </c>
      <c r="BS56" s="87">
        <f t="shared" si="410"/>
        <v>1.8934367534623893</v>
      </c>
      <c r="BT56" s="87">
        <f t="shared" si="569"/>
        <v>1.8467201354389802</v>
      </c>
      <c r="BU56" s="106">
        <f>'Irradiancia Horizontal'!J48*BT56/$BS$46</f>
        <v>0.16708190464506065</v>
      </c>
      <c r="BV56" s="87">
        <f>((17.27*Temp!I18)/(237.7+Temp!I18))+LN(HR!I29/100)</f>
        <v>1.4476757818184454</v>
      </c>
      <c r="BW56" s="87">
        <f t="shared" si="570"/>
        <v>21.748545194316147</v>
      </c>
      <c r="BX56" s="87">
        <f t="shared" si="571"/>
        <v>4.2520370058376011</v>
      </c>
      <c r="BY56" s="87">
        <f t="shared" ref="BY56:BY72" si="670">IF(BR56&lt;$E$81,1,IF(BR56&lt;$E$82,2,IF(BR56&lt;$E$83,3,IF(BR56&lt;$E$84,4,IF(BR56&lt;$E$85,5,IF(BR56&lt;$E$86,6,IF(BR56&lt;$E$87,7,8)))))))</f>
        <v>6</v>
      </c>
      <c r="BZ56" s="87">
        <f t="shared" ref="BZ56:BZ72" si="671">IF(BY56=1,$H$81,IF(BY56=2,$H$82,IF(BY56=3,$H$83,IF(BY56=4,$H$84,IF(BY56=5,$H$85,IF(BY56=6,$H$86,IF(BY56=7,$H$87,$H$88)))))))</f>
        <v>88.34</v>
      </c>
      <c r="CA56" s="87">
        <f t="shared" ref="CA56:CA72" si="672">IF(BY56=1,$I$81,IF(BY56=2,$I$82,IF(BY56=3,$I$83,IF(BY56=4,$I$84,IF(BY56=5,$I$85,IF(BY56=6,$I$86,IF(BY56=7,$I$87,$I$88)))))))</f>
        <v>1.39</v>
      </c>
      <c r="CB56" s="87">
        <f t="shared" ref="CB56:CB72" si="673">IF(BY56=1,$J$81,IF(BY56=2,$J$82,IF(BY56=3,$J$83,IF(BY56=4,$J$84,IF(BY56=5,$J$85,IF(BY56=6,$J$86,IF(BY56=7,$J$87,$J$88)))))))</f>
        <v>6.06</v>
      </c>
      <c r="CC56" s="87">
        <f t="shared" ref="CC56:CC72" si="674">IF(BY56=1,$K$81,IF(BY56=2,$K$82,IF(BY56=3,$K$83,IF(BY56=4,$K$84,IF(BY56=5,$K$85,IF(BY56=6,$K$86,IF(BY56=7,$K$87,$K$88)))))))</f>
        <v>-7.6</v>
      </c>
      <c r="CD56" s="103">
        <f t="shared" si="416"/>
        <v>111.04131122648535</v>
      </c>
      <c r="CE56" s="165">
        <f>IF(CK56&gt;(CD56*'Irradiancia Horizontal'!J16),CK56,CD56*'Irradiancia Horizontal'!J16)</f>
        <v>46798.325782620814</v>
      </c>
      <c r="CF56" s="87">
        <f t="shared" ref="CF56:CF72" si="675">IF(BY56=1,$N$81,IF(BY56=2,$N$82,IF(BY56=3,$N$83,IF(BY56=4,$N$84,IF(BY56=5,$N$85,IF(BY56=6,$N$86,IF(BY56=7,$N$87,$N$88)))))))</f>
        <v>106.42</v>
      </c>
      <c r="CG56" s="87">
        <f t="shared" ref="CG56:CG72" si="676">IF(BY56=1,$O$81,IF(BY56=2,$O$82,IF(BY56=3,$O$83,IF(BY56=4,$O$84,IF(BY56=5,$O$85,IF(BY56=6,$O$86,IF(BY56=7,$O$87,$O$88)))))))</f>
        <v>3.83</v>
      </c>
      <c r="CH56" s="87">
        <f t="shared" ref="CH56:CH72" si="677">IF(BY56=1,$P$81,IF(BY56=2,$P$82,IF(BY56=3,$P$83,IF(BY56=4,$P$84,IF(BY56=5,$P$85,IF(BY56=6,$P$86,IF(BY56=7,$P$87,$P$88)))))))</f>
        <v>-36.15</v>
      </c>
      <c r="CI56" s="87">
        <f t="shared" ref="CI56:CI72" si="678">IF(BY56=1,$Q$81,IF(BY56=2,$Q$82,IF(BY56=3,$Q$83,IF(BY56=4,$Q$84,IF(BY56=5,$Q$85,IF(BY56=6,$Q$86,IF(BY56=7,$Q$87,$Q$88)))))))</f>
        <v>-28.83</v>
      </c>
      <c r="CJ56" s="103">
        <f t="shared" si="421"/>
        <v>155.24550578973563</v>
      </c>
      <c r="CK56" s="87">
        <f>+CJ56*'Irradiancia Horizontal'!J48</f>
        <v>19025.619985255064</v>
      </c>
      <c r="CL56" s="87">
        <f t="shared" si="572"/>
        <v>27772.70579736575</v>
      </c>
      <c r="CM56" s="87">
        <f>+CL56/'Irradiancia Horizontal'!J77</f>
        <v>92.917044081171994</v>
      </c>
      <c r="CN56" s="38">
        <f t="shared" si="422"/>
        <v>5.9886746428248233E-2</v>
      </c>
      <c r="CO56" s="87">
        <f t="shared" si="573"/>
        <v>5.9886746428248233E-2</v>
      </c>
      <c r="CP56" s="87">
        <f t="shared" si="574"/>
        <v>0.52681833758223529</v>
      </c>
      <c r="CQ56" s="87">
        <f t="shared" si="575"/>
        <v>1.4259999999999999</v>
      </c>
      <c r="CR56" s="87">
        <f t="shared" si="576"/>
        <v>-0.65300000000000002</v>
      </c>
      <c r="CS56" s="87">
        <f t="shared" si="577"/>
        <v>-0.77900000000000003</v>
      </c>
      <c r="CT56" s="87">
        <f t="shared" si="578"/>
        <v>0.42499999999999999</v>
      </c>
      <c r="CU56" s="87">
        <f t="shared" si="579"/>
        <v>-0.78500000000000003</v>
      </c>
      <c r="CV56" s="87">
        <f t="shared" si="580"/>
        <v>-9.7000000000000003E-2</v>
      </c>
      <c r="CW56" s="87">
        <f t="shared" si="423"/>
        <v>0.52547564493078069</v>
      </c>
      <c r="CX56" s="87">
        <f t="shared" si="424"/>
        <v>0.19529419969368964</v>
      </c>
      <c r="CY56" s="88">
        <f t="shared" si="425"/>
        <v>9366.1318109113381</v>
      </c>
      <c r="CZ56" s="87">
        <f t="shared" ref="CZ56:CZ72" si="679">IF(BY56=1,$AB$81,IF(BY56=2,$AB$82,IF(BY56=3,$AB$83,IF(BY56=4,$AB$84,IF(BY56=5,$AB$85,IF(BY56=6,$AB$86,IF(BY56=7,$AB$87,$AB$88)))))))</f>
        <v>1.1319999999999999</v>
      </c>
      <c r="DA56" s="87">
        <f t="shared" ref="DA56:DA72" si="680">IF(BY56=1,$AC$81,IF(BY56=2,$AC$82,IF(BY56=3,$AC$83,IF(BY56=4,$AC$84,IF(BY56=5,$AC$85,IF(BY56=6,$AC$86,IF(BY56=7,$AC$87,$AC$88)))))))</f>
        <v>-1.2370000000000001</v>
      </c>
      <c r="DB56" s="87">
        <f t="shared" ref="DB56:DB72" si="681">IF(BY56=1,$AD$81,IF(BY56=2,$AD$82,IF(BY56=3,$AD$83,IF(BY56=4,$AD$84,IF(BY56=5,$AD$85,IF(BY56=6,$AD$86,IF(BY56=7,$AD$87,$AD$88)))))))</f>
        <v>-0.41199999999999998</v>
      </c>
      <c r="DC56" s="87">
        <f t="shared" ref="DC56:DC72" si="682">IF(BY56=1,$AE$81,IF(BY56=2,$AE$82,IF(BY56=3,$AE$83,IF(BY56=4,$AE$84,IF(BY56=5,$AE$85,IF(BY56=6,$AE$86,IF(BY56=7,$AE$87,$AE$88)))))))</f>
        <v>0.28799999999999998</v>
      </c>
      <c r="DD56" s="87">
        <f t="shared" ref="DD56:DD72" si="683">IF(BY56=1,$AF$81,IF(BY56=2,$AF$82,IF(BY56=3,$AF$83,IF(BY56=4,$AF$84,IF(BY56=5,$AF$85,IF(BY56=6,$AF$86,IF(BY56=7,$AF$87,$AF$88)))))))</f>
        <v>-0.82299999999999995</v>
      </c>
      <c r="DE56" s="87">
        <f t="shared" ref="DE56:DE72" si="684">IF(BY56=1,$AG$81,IF(BY56=2,$AG$82,IF(BY56=3,$AG$83,IF(BY56=4,$AG$84,IF(BY56=5,$AG$85,IF(BY56=6,$AG$86,IF(BY56=7,$AG$87,$AG$88)))))))</f>
        <v>5.6000000000000001E-2</v>
      </c>
      <c r="DF56" s="87">
        <f t="shared" si="432"/>
        <v>0.50675102286236573</v>
      </c>
      <c r="DG56" s="87">
        <f t="shared" si="433"/>
        <v>0.20738442019831621</v>
      </c>
      <c r="DH56" s="106">
        <f>IF(BN56&lt;0,0,((0.5*(1-DF56)*(1+COS(RADIANS($BU$46))))+(DF56*(CO56/CP56))+(DG56*SIN(RADIANS($BU$46))))*'Irradiancia Horizontal'!J48)</f>
        <v>62.699287688046873</v>
      </c>
      <c r="DI56" s="87">
        <f t="shared" si="434"/>
        <v>0.11367627539901272</v>
      </c>
      <c r="DJ56" s="87">
        <f>DI56*'Irradiancia Horizontal'!J77</f>
        <v>33.977595650148714</v>
      </c>
      <c r="DK56" s="87">
        <f t="shared" si="581"/>
        <v>96.67688333819558</v>
      </c>
      <c r="DL56" s="88">
        <f t="shared" si="435"/>
        <v>10735.127891163191</v>
      </c>
      <c r="DM56" s="87">
        <f t="shared" si="582"/>
        <v>1368.9960802518526</v>
      </c>
      <c r="DN56" s="106">
        <f t="shared" si="583"/>
        <v>52717.803873010562</v>
      </c>
      <c r="DO56" s="106">
        <f t="shared" si="584"/>
        <v>3157.0977527971063</v>
      </c>
      <c r="DP56" s="106">
        <f t="shared" si="585"/>
        <v>12523.229563708444</v>
      </c>
      <c r="DQ56" s="44"/>
      <c r="DS56" s="39">
        <v>0.33333333333333298</v>
      </c>
      <c r="DT56" s="38">
        <v>60</v>
      </c>
      <c r="DU56" s="38">
        <f t="shared" si="436"/>
        <v>25.801593239999558</v>
      </c>
      <c r="DV56" s="38">
        <f t="shared" si="437"/>
        <v>105.86327501254968</v>
      </c>
      <c r="DW56" s="38">
        <f t="shared" si="438"/>
        <v>64.198406760000438</v>
      </c>
      <c r="DX56" s="38">
        <f>+'Irradiancia Horizontal'!K77/COS(RADIANS(DW56))</f>
        <v>755.98427962208723</v>
      </c>
      <c r="DY56" s="38">
        <f>((('Irradiancia Horizontal'!K48+DX56)/'Irradiancia Horizontal'!K48)+1.041*((RADIANS('Cálculos iluminancia'!DW56))^3))/(1+1.041*((RADIANS('Cálculos iluminancia'!DW56))^3))</f>
        <v>5.2202779756417419</v>
      </c>
      <c r="DZ56" s="87">
        <f t="shared" si="439"/>
        <v>2.2882872561823979</v>
      </c>
      <c r="EA56" s="87">
        <f t="shared" si="586"/>
        <v>2.2318285223591392</v>
      </c>
      <c r="EB56" s="106">
        <f>'Irradiancia Horizontal'!K48*EA56/$DZ$46</f>
        <v>0.11791629941402954</v>
      </c>
      <c r="EC56" s="87">
        <f>((17.27*Temp!J18)/(237.7+Temp!J18))+LN(HR!J29/100)</f>
        <v>1.2951990632150656</v>
      </c>
      <c r="ED56" s="87">
        <f t="shared" si="587"/>
        <v>19.272153596436759</v>
      </c>
      <c r="EE56" s="87">
        <f t="shared" si="588"/>
        <v>3.5753059458770182</v>
      </c>
      <c r="EF56" s="87">
        <f t="shared" ref="EF56:EF72" si="685">IF(DY56&lt;$E$81,1,IF(DY56&lt;$E$82,2,IF(DY56&lt;$E$83,3,IF(DY56&lt;$E$84,4,IF(DY56&lt;$E$85,5,IF(DY56&lt;$E$86,6,IF(DY56&lt;$E$87,7,8)))))))</f>
        <v>7</v>
      </c>
      <c r="EG56" s="87">
        <f t="shared" ref="EG56:EG72" si="686">IF(EF56=1,$H$81,IF(EF56=2,$H$82,IF(EF56=3,$H$83,IF(EF56=4,$H$84,IF(EF56=5,$H$85,IF(EF56=6,$H$86,IF(EF56=7,$H$87,$H$88)))))))</f>
        <v>78.63</v>
      </c>
      <c r="EH56" s="87">
        <f t="shared" ref="EH56:EH72" si="687">IF(EF56=1,$I$81,IF(EF56=2,$I$82,IF(EF56=3,$I$83,IF(EF56=4,$I$84,IF(EF56=5,$I$85,IF(EF56=6,$I$86,IF(EF56=7,$I$87,$I$88)))))))</f>
        <v>1.47</v>
      </c>
      <c r="EI56" s="87">
        <f t="shared" ref="EI56:EI72" si="688">IF(EF56=1,$J$81,IF(EF56=2,$J$82,IF(EF56=3,$J$83,IF(EF56=4,$J$84,IF(EF56=5,$J$85,IF(EF56=6,$J$86,IF(EF56=7,$J$87,$J$88)))))))</f>
        <v>4.93</v>
      </c>
      <c r="EJ56" s="87">
        <f t="shared" ref="EJ56:EJ72" si="689">IF(EF56=1,$K$81,IF(EF56=2,$K$82,IF(EF56=3,$K$83,IF(EF56=4,$K$84,IF(EF56=5,$K$85,IF(EF56=6,$K$86,IF(EF56=7,$K$87,$K$88)))))))</f>
        <v>-11.37</v>
      </c>
      <c r="EK56" s="103">
        <f t="shared" si="445"/>
        <v>110.33807373570455</v>
      </c>
      <c r="EL56" s="165">
        <f>IF(ER56&gt;(EK56*'Irradiancia Horizontal'!K16),ER56,EK56*'Irradiancia Horizontal'!K16)</f>
        <v>44326.648022234222</v>
      </c>
      <c r="EM56" s="87">
        <f t="shared" ref="EM56:EM72" si="690">IF(EF56=1,$N$81,IF(EF56=2,$N$82,IF(EF56=3,$N$83,IF(EF56=4,$N$84,IF(EF56=5,$N$85,IF(EF56=6,$N$86,IF(EF56=7,$N$87,$N$88)))))))</f>
        <v>141.88</v>
      </c>
      <c r="EN56" s="87">
        <f t="shared" ref="EN56:EN72" si="691">IF(EF56=1,$O$81,IF(EF56=2,$O$82,IF(EF56=3,$O$83,IF(EF56=4,$O$84,IF(EF56=5,$O$85,IF(EF56=6,$O$86,IF(EF56=7,$O$87,$O$88)))))))</f>
        <v>1.9</v>
      </c>
      <c r="EO56" s="87">
        <f t="shared" ref="EO56:EO72" si="692">IF(EF56=1,$P$81,IF(EF56=2,$P$82,IF(EF56=3,$P$83,IF(EF56=4,$P$84,IF(EF56=5,$P$85,IF(EF56=6,$P$86,IF(EF56=7,$P$87,$P$88)))))))</f>
        <v>-53.24</v>
      </c>
      <c r="EP56" s="87">
        <f t="shared" ref="EP56:EP72" si="693">IF(EF56=1,$Q$81,IF(EF56=2,$Q$82,IF(EF56=3,$Q$83,IF(EF56=4,$Q$84,IF(EF56=5,$Q$85,IF(EF56=6,$Q$86,IF(EF56=7,$Q$87,$Q$88)))))))</f>
        <v>-14.03</v>
      </c>
      <c r="EQ56" s="103">
        <f t="shared" si="450"/>
        <v>155.49310136170854</v>
      </c>
      <c r="ER56" s="87">
        <f>+EQ56*'Irradiancia Horizontal'!K48</f>
        <v>11302.488959462167</v>
      </c>
      <c r="ES56" s="87">
        <f t="shared" si="589"/>
        <v>33024.159062772058</v>
      </c>
      <c r="ET56" s="87">
        <f>+ES56/'Irradiancia Horizontal'!K77</f>
        <v>100.36310800164438</v>
      </c>
      <c r="EU56" s="38">
        <f t="shared" si="451"/>
        <v>0.24609226751904914</v>
      </c>
      <c r="EV56" s="87">
        <f t="shared" si="590"/>
        <v>0.24609226751904914</v>
      </c>
      <c r="EW56" s="87">
        <f t="shared" si="591"/>
        <v>0.43525613462361123</v>
      </c>
      <c r="EX56" s="87">
        <f t="shared" si="592"/>
        <v>1.4850000000000001</v>
      </c>
      <c r="EY56" s="87">
        <f t="shared" si="593"/>
        <v>-1.214</v>
      </c>
      <c r="EZ56" s="87">
        <f t="shared" si="594"/>
        <v>-0.78400000000000003</v>
      </c>
      <c r="FA56" s="87">
        <f t="shared" si="595"/>
        <v>0.41099999999999998</v>
      </c>
      <c r="FB56" s="87">
        <f t="shared" si="596"/>
        <v>-0.629</v>
      </c>
      <c r="FC56" s="87">
        <f t="shared" si="597"/>
        <v>-8.2000000000000003E-2</v>
      </c>
      <c r="FD56" s="87">
        <f t="shared" si="452"/>
        <v>0.46339833167403943</v>
      </c>
      <c r="FE56" s="87">
        <f t="shared" si="453"/>
        <v>0.2449518147238548</v>
      </c>
      <c r="FF56" s="88">
        <f t="shared" si="454"/>
        <v>8762.3270637841906</v>
      </c>
      <c r="FG56" s="87">
        <f t="shared" ref="FG56:FG72" si="694">IF(EF56=1,$AB$81,IF(EF56=2,$AB$82,IF(EF56=3,$AB$83,IF(EF56=4,$AB$84,IF(EF56=5,$AB$85,IF(EF56=6,$AB$86,IF(EF56=7,$AB$87,$AB$88)))))))</f>
        <v>1.06</v>
      </c>
      <c r="FH56" s="87">
        <f t="shared" ref="FH56:FH72" si="695">IF(EF56=1,$AC$81,IF(EF56=2,$AC$82,IF(EF56=3,$AC$83,IF(EF56=4,$AC$84,IF(EF56=5,$AC$85,IF(EF56=6,$AC$86,IF(EF56=7,$AC$87,$AC$88)))))))</f>
        <v>-1.6</v>
      </c>
      <c r="FI56" s="87">
        <f t="shared" ref="FI56:FI72" si="696">IF(EF56=1,$AD$81,IF(EF56=2,$AD$82,IF(EF56=3,$AD$83,IF(EF56=4,$AD$84,IF(EF56=5,$AD$85,IF(EF56=6,$AD$86,IF(EF56=7,$AD$87,$AD$88)))))))</f>
        <v>-0.35899999999999999</v>
      </c>
      <c r="FJ56" s="87">
        <f t="shared" ref="FJ56:FJ72" si="697">IF(EF56=1,$AE$81,IF(EF56=2,$AE$82,IF(EF56=3,$AE$83,IF(EF56=4,$AE$84,IF(EF56=5,$AE$85,IF(EF56=6,$AE$86,IF(EF56=7,$AE$87,$AE$88)))))))</f>
        <v>0.26400000000000001</v>
      </c>
      <c r="FK56" s="87">
        <f t="shared" ref="FK56:FK72" si="698">IF(EF56=1,$AF$81,IF(EF56=2,$AF$82,IF(EF56=3,$AF$83,IF(EF56=4,$AF$84,IF(EF56=5,$AF$85,IF(EF56=6,$AF$86,IF(EF56=7,$AF$87,$AF$88)))))))</f>
        <v>-1.127</v>
      </c>
      <c r="FL56" s="87">
        <f t="shared" ref="FL56:FL72" si="699">IF(EF56=1,$AG$81,IF(EF56=2,$AG$82,IF(EF56=3,$AG$83,IF(EF56=4,$AG$84,IF(EF56=5,$AG$85,IF(EF56=6,$AG$86,IF(EF56=7,$AG$87,$AG$88)))))))</f>
        <v>0.13100000000000001</v>
      </c>
      <c r="FM56" s="87">
        <f t="shared" si="461"/>
        <v>0.46908390841127606</v>
      </c>
      <c r="FN56" s="87">
        <f t="shared" si="462"/>
        <v>0.27789036855744237</v>
      </c>
      <c r="FO56" s="106">
        <f>IF(DU56&lt;0,0,((0.5*(1-FM56)*(1+COS(RADIANS($EB$46))))+(FM56*(EV56/EW56))+(FN56*SIN(RADIANS($EB$46))))*'Irradiancia Horizontal'!K48)</f>
        <v>58.773135761103916</v>
      </c>
      <c r="FP56" s="87">
        <f t="shared" si="463"/>
        <v>0.56539643658752337</v>
      </c>
      <c r="FQ56" s="87">
        <f>FP56*'Irradiancia Horizontal'!K77</f>
        <v>186.04188558095433</v>
      </c>
      <c r="FR56" s="87">
        <f t="shared" si="598"/>
        <v>244.81502134205823</v>
      </c>
      <c r="FS56" s="88">
        <f t="shared" si="464"/>
        <v>27012.417876448104</v>
      </c>
      <c r="FT56" s="87">
        <f t="shared" si="599"/>
        <v>18250.090812663911</v>
      </c>
      <c r="FU56" s="106">
        <f t="shared" si="600"/>
        <v>75872.93190325686</v>
      </c>
      <c r="FV56" s="106">
        <f t="shared" si="601"/>
        <v>18671.741855390886</v>
      </c>
      <c r="FW56" s="106">
        <f t="shared" si="602"/>
        <v>27434.068919175079</v>
      </c>
      <c r="FX56" s="83"/>
      <c r="FZ56" s="39">
        <v>0.33333333333333298</v>
      </c>
      <c r="GA56" s="38">
        <v>60</v>
      </c>
      <c r="GB56" s="38">
        <f t="shared" si="465"/>
        <v>19.195820278510393</v>
      </c>
      <c r="GC56" s="38">
        <f t="shared" si="466"/>
        <v>116.13197518856757</v>
      </c>
      <c r="GD56" s="38">
        <f t="shared" si="467"/>
        <v>70.804179721489604</v>
      </c>
      <c r="GE56" s="38">
        <f>+'Irradiancia Horizontal'!L77/COS(RADIANS(GD56))</f>
        <v>845.04550663809357</v>
      </c>
      <c r="GF56" s="38">
        <f>((('Irradiancia Horizontal'!L48+GE56)/'Irradiancia Horizontal'!L48)+1.041*((RADIANS('Cálculos iluminancia'!GD56))^3))/(1+1.041*((RADIANS('Cálculos iluminancia'!GD56))^3))</f>
        <v>7.6463903912028837</v>
      </c>
      <c r="GG56" s="88">
        <f t="shared" si="468"/>
        <v>3.0178709351609534</v>
      </c>
      <c r="GH56" s="88">
        <f t="shared" si="603"/>
        <v>2.9434112398666405</v>
      </c>
      <c r="GI56" s="106">
        <f>'Irradiancia Horizontal'!L48*GH56/$GG$46</f>
        <v>9.0165592715459333E-2</v>
      </c>
      <c r="GJ56" s="88">
        <f>((17.27*Temp!K18)/(237.7+Temp!K18))+LN(HR!K29/100)</f>
        <v>0.90153037473389863</v>
      </c>
      <c r="GK56" s="88">
        <f t="shared" si="604"/>
        <v>13.091863502221818</v>
      </c>
      <c r="GL56" s="88">
        <f t="shared" si="605"/>
        <v>2.3196827836760137</v>
      </c>
      <c r="GM56" s="88">
        <f t="shared" ref="GM56:GM72" si="700">IF(GF56&lt;$E$81,1,IF(GF56&lt;$E$82,2,IF(GF56&lt;$E$83,3,IF(GF56&lt;$E$84,4,IF(GF56&lt;$E$85,5,IF(GF56&lt;$E$86,6,IF(GF56&lt;$E$87,7,8)))))))</f>
        <v>8</v>
      </c>
      <c r="GN56" s="88">
        <f t="shared" ref="GN56:GN72" si="701">IF(GM56=1,$H$81,IF(GM56=2,$H$82,IF(GM56=3,$H$83,IF(GM56=4,$H$84,IF(GM56=5,$H$85,IF(GM56=6,$H$86,IF(GM56=7,$H$87,$H$88)))))))</f>
        <v>99.65</v>
      </c>
      <c r="GO56" s="88">
        <f t="shared" ref="GO56:GO72" si="702">IF(GM56=1,$I$81,IF(GM56=2,$I$82,IF(GM56=3,$I$83,IF(GM56=4,$I$84,IF(GM56=5,$I$85,IF(GM56=6,$I$86,IF(GM56=7,$I$87,$I$88)))))))</f>
        <v>1.86</v>
      </c>
      <c r="GP56" s="88">
        <f t="shared" ref="GP56:GP72" si="703">IF(GM56=1,$J$81,IF(GM56=2,$J$82,IF(GM56=3,$J$83,IF(GM56=4,$J$84,IF(GM56=5,$J$85,IF(GM56=6,$J$86,IF(GM56=7,$J$87,$J$88)))))))</f>
        <v>-4.46</v>
      </c>
      <c r="GQ56" s="88">
        <f t="shared" ref="GQ56:GQ72" si="704">IF(GM56=1,$K$81,IF(GM56=2,$K$82,IF(GM56=3,$K$83,IF(GM56=4,$K$84,IF(GM56=5,$K$85,IF(GM56=6,$K$86,IF(GM56=7,$K$87,$K$88)))))))</f>
        <v>-3.15</v>
      </c>
      <c r="GR56" s="103">
        <f t="shared" si="474"/>
        <v>110.07741024366705</v>
      </c>
      <c r="GS56" s="165">
        <f>IF(GY56&gt;(GR56*'Irradiancia Horizontal'!L16),GY56,GR56*'Irradiancia Horizontal'!L16)</f>
        <v>35305.927587591359</v>
      </c>
      <c r="GT56" s="88">
        <f t="shared" ref="GT56:GT72" si="705">IF(GM56=1,$N$81,IF(GM56=2,$N$82,IF(GM56=3,$N$83,IF(GM56=4,$N$84,IF(GM56=5,$N$85,IF(GM56=6,$N$86,IF(GM56=7,$N$87,$N$88)))))))</f>
        <v>152.22999999999999</v>
      </c>
      <c r="GU56" s="88">
        <f t="shared" ref="GU56:GU72" si="706">IF(GM56=1,$O$81,IF(GM56=2,$O$82,IF(GM56=3,$O$83,IF(GM56=4,$O$84,IF(GM56=5,$O$85,IF(GM56=6,$O$86,IF(GM56=7,$O$87,$O$88)))))))</f>
        <v>0.35</v>
      </c>
      <c r="GV56" s="88">
        <f t="shared" ref="GV56:GV72" si="707">IF(GM56=1,$P$81,IF(GM56=2,$P$82,IF(GM56=3,$P$83,IF(GM56=4,$P$84,IF(GM56=5,$P$85,IF(GM56=6,$P$86,IF(GM56=7,$P$87,$P$88)))))))</f>
        <v>-45.27</v>
      </c>
      <c r="GW56" s="88">
        <f t="shared" ref="GW56:GW72" si="708">IF(GM56=1,$Q$81,IF(GM56=2,$Q$82,IF(GM56=3,$Q$83,IF(GM56=4,$Q$84,IF(GM56=5,$Q$85,IF(GM56=6,$Q$86,IF(GM56=7,$Q$87,$Q$88)))))))</f>
        <v>-7.98</v>
      </c>
      <c r="GX56" s="103">
        <f t="shared" si="479"/>
        <v>157.357951558031</v>
      </c>
      <c r="GY56" s="88">
        <f>+GX56*'Irradiancia Horizontal'!L48</f>
        <v>6748.7995246442124</v>
      </c>
      <c r="GZ56" s="88">
        <f t="shared" si="606"/>
        <v>28557.128062947148</v>
      </c>
      <c r="HA56" s="88">
        <f>+GZ56/'Irradiancia Horizontal'!L77</f>
        <v>102.77928460560919</v>
      </c>
      <c r="HB56" s="38">
        <f t="shared" si="480"/>
        <v>0.41595194478742264</v>
      </c>
      <c r="HC56" s="88">
        <f t="shared" si="607"/>
        <v>0.41595194478742264</v>
      </c>
      <c r="HD56" s="88">
        <f t="shared" si="608"/>
        <v>0.32879775370010111</v>
      </c>
      <c r="HE56" s="88">
        <f t="shared" si="609"/>
        <v>1.17</v>
      </c>
      <c r="HF56" s="88">
        <f t="shared" si="610"/>
        <v>-0.3</v>
      </c>
      <c r="HG56" s="88">
        <f t="shared" si="611"/>
        <v>-0.61499999999999999</v>
      </c>
      <c r="HH56" s="88">
        <f t="shared" si="612"/>
        <v>0.51800000000000002</v>
      </c>
      <c r="HI56" s="88">
        <f t="shared" si="613"/>
        <v>-1.8919999999999999</v>
      </c>
      <c r="HJ56" s="88">
        <f t="shared" si="614"/>
        <v>-5.5E-2</v>
      </c>
      <c r="HK56" s="88">
        <f t="shared" si="481"/>
        <v>0.38295419509237805</v>
      </c>
      <c r="HL56" s="88">
        <f t="shared" si="482"/>
        <v>0.27943956526509223</v>
      </c>
      <c r="HM56" s="88">
        <f t="shared" si="483"/>
        <v>7237.5885110722575</v>
      </c>
      <c r="HN56" s="88">
        <f t="shared" ref="HN56:HN72" si="709">IF(GM56=1,$AB$81,IF(GM56=2,$AB$82,IF(GM56=3,$AB$83,IF(GM56=4,$AB$84,IF(GM56=5,$AB$85,IF(GM56=6,$AB$86,IF(GM56=7,$AB$87,$AB$88)))))))</f>
        <v>0.67800000000000005</v>
      </c>
      <c r="HO56" s="88">
        <f t="shared" ref="HO56:HO72" si="710">IF(GM56=1,$AC$81,IF(GM56=2,$AC$82,IF(GM56=3,$AC$83,IF(GM56=4,$AC$84,IF(GM56=5,$AC$85,IF(GM56=6,$AC$86,IF(GM56=7,$AC$87,$AC$88)))))))</f>
        <v>-0.32700000000000001</v>
      </c>
      <c r="HP56" s="88">
        <f t="shared" ref="HP56:HP72" si="711">IF(GM56=1,$AD$81,IF(GM56=2,$AD$82,IF(GM56=3,$AD$83,IF(GM56=4,$AD$84,IF(GM56=5,$AD$85,IF(GM56=6,$AD$86,IF(GM56=7,$AD$87,$AD$88)))))))</f>
        <v>-0.25</v>
      </c>
      <c r="HQ56" s="88">
        <f t="shared" ref="HQ56:HQ72" si="712">IF(GM56=1,$AE$81,IF(GM56=2,$AE$82,IF(GM56=3,$AE$83,IF(GM56=4,$AE$84,IF(GM56=5,$AE$85,IF(GM56=6,$AE$86,IF(GM56=7,$AE$87,$AE$88)))))))</f>
        <v>0.156</v>
      </c>
      <c r="HR56" s="88">
        <f t="shared" ref="HR56:HR72" si="713">IF(GM56=1,$AF$81,IF(GM56=2,$AF$82,IF(GM56=3,$AF$83,IF(GM56=4,$AF$84,IF(GM56=5,$AF$85,IF(GM56=6,$AF$86,IF(GM56=7,$AF$87,$AF$88)))))))</f>
        <v>-1.377</v>
      </c>
      <c r="HS56" s="88">
        <f t="shared" ref="HS56:HS72" si="714">IF(GM56=1,$AG$81,IF(GM56=2,$AG$82,IF(GM56=3,$AG$83,IF(GM56=4,$AG$84,IF(GM56=5,$AG$85,IF(GM56=6,$AG$86,IF(GM56=7,$AG$87,$AG$88)))))))</f>
        <v>0.251</v>
      </c>
      <c r="HT56" s="88">
        <f t="shared" si="490"/>
        <v>0.339574336103596</v>
      </c>
      <c r="HU56" s="88">
        <f t="shared" si="491"/>
        <v>0.34201925996957505</v>
      </c>
      <c r="HV56" s="106">
        <f>IF(GB56&lt;0,0,((0.5*(1-HT56)*(1+COS(RADIANS($GI$46))))+(HT56*(HC56/HD56))+(HU56*SIN(RADIANS($GI$46))))*'Irradiancia Horizontal'!L48)</f>
        <v>47.25495632060759</v>
      </c>
      <c r="HW56" s="88">
        <f t="shared" si="492"/>
        <v>1.2650693020452186</v>
      </c>
      <c r="HX56" s="88">
        <f>HW56*'Irradiancia Horizontal'!L77</f>
        <v>351.49832191998786</v>
      </c>
      <c r="HY56" s="88">
        <f t="shared" si="615"/>
        <v>398.75327824059548</v>
      </c>
      <c r="HZ56" s="88">
        <f t="shared" si="493"/>
        <v>43893.728194897143</v>
      </c>
      <c r="IA56" s="88">
        <f t="shared" si="616"/>
        <v>36656.139683824884</v>
      </c>
      <c r="IB56" s="106">
        <f t="shared" si="617"/>
        <v>86853.172631447829</v>
      </c>
      <c r="IC56" s="106">
        <f t="shared" si="618"/>
        <v>36126.746067008477</v>
      </c>
      <c r="ID56" s="106">
        <f t="shared" si="619"/>
        <v>43364.334578080736</v>
      </c>
      <c r="IE56" s="83"/>
      <c r="IG56" s="39">
        <v>0.33333333333333298</v>
      </c>
      <c r="IH56" s="38">
        <v>60</v>
      </c>
      <c r="II56" s="38">
        <f t="shared" si="494"/>
        <v>13.869303302725958</v>
      </c>
      <c r="IJ56" s="38">
        <f t="shared" si="495"/>
        <v>123.29444810834164</v>
      </c>
      <c r="IK56" s="38">
        <f t="shared" si="496"/>
        <v>76.130696697274047</v>
      </c>
      <c r="IL56" s="38">
        <f>+'Irradiancia Horizontal'!M77/COS(RADIANS(IK56))</f>
        <v>768.44681205328141</v>
      </c>
      <c r="IM56" s="38">
        <f>((('Irradiancia Horizontal'!M48+IL56)/'Irradiancia Horizontal'!M48)+1.041*((RADIANS('Cálculos iluminancia'!IK56))^3))/(1+1.041*((RADIANS('Cálculos iluminancia'!IK56))^3))</f>
        <v>6.9654239412922054</v>
      </c>
      <c r="IN56" s="88">
        <f t="shared" si="497"/>
        <v>4.107094266266639</v>
      </c>
      <c r="IO56" s="88">
        <f t="shared" si="620"/>
        <v>4.0057602482845462</v>
      </c>
      <c r="IP56" s="106">
        <f>'Irradiancia Horizontal'!M48*IO56/$IN$46</f>
        <v>0.10540968442667814</v>
      </c>
      <c r="IQ56" s="88">
        <f>((17.27*Temp!L18)/(237.7+Temp!L18))+LN(HR!L29/100)</f>
        <v>0.57938277278033379</v>
      </c>
      <c r="IR56" s="88">
        <f t="shared" si="621"/>
        <v>8.2512997101921268</v>
      </c>
      <c r="IS56" s="88">
        <f t="shared" si="622"/>
        <v>1.6529986129262328</v>
      </c>
      <c r="IT56" s="88">
        <f t="shared" ref="IT56:IT72" si="715">IF(IM56&lt;$E$81,1,IF(IM56&lt;$E$82,2,IF(IM56&lt;$E$83,3,IF(IM56&lt;$E$84,4,IF(IM56&lt;$E$85,5,IF(IM56&lt;$E$86,6,IF(IM56&lt;$E$87,7,8)))))))</f>
        <v>8</v>
      </c>
      <c r="IU56" s="88">
        <f t="shared" ref="IU56:IU72" si="716">IF(IT56=1,$H$81,IF(IT56=2,$H$82,IF(IT56=3,$H$83,IF(IT56=4,$H$84,IF(IT56=5,$H$85,IF(IT56=6,$H$86,IF(IT56=7,$H$87,$H$88)))))))</f>
        <v>99.65</v>
      </c>
      <c r="IV56" s="88">
        <f t="shared" ref="IV56:IV72" si="717">IF(IT56=1,$I$81,IF(IT56=2,$I$82,IF(IT56=3,$I$83,IF(IT56=4,$I$84,IF(IT56=5,$I$85,IF(IT56=6,$I$86,IF(IT56=7,$I$87,$I$88)))))))</f>
        <v>1.86</v>
      </c>
      <c r="IW56" s="88">
        <f t="shared" ref="IW56:IW72" si="718">IF(IT56=1,$J$81,IF(IT56=2,$J$82,IF(IT56=3,$J$83,IF(IT56=4,$J$84,IF(IT56=5,$J$85,IF(IT56=6,$J$86,IF(IT56=7,$J$87,$J$88)))))))</f>
        <v>-4.46</v>
      </c>
      <c r="IX56" s="88">
        <f t="shared" ref="IX56:IX72" si="719">IF(IT56=1,$K$81,IF(IT56=2,$K$82,IF(IT56=3,$K$83,IF(IT56=4,$K$84,IF(IT56=5,$K$85,IF(IT56=6,$K$86,IF(IT56=7,$K$87,$K$88)))))))</f>
        <v>-3.15</v>
      </c>
      <c r="IY56" s="103">
        <f t="shared" si="503"/>
        <v>108.74266742256432</v>
      </c>
      <c r="IZ56" s="165">
        <f>IF(JF56&gt;(IY56*'Irradiancia Horizontal'!M16),JF56,IY56*'Irradiancia Horizontal'!M16)</f>
        <v>24100.286372514704</v>
      </c>
      <c r="JA56" s="88">
        <f t="shared" ref="JA56:JA72" si="720">IF(IT56=1,$N$81,IF(IT56=2,$N$82,IF(IT56=3,$N$83,IF(IT56=4,$N$84,IF(IT56=5,$N$85,IF(IT56=6,$N$86,IF(IT56=7,$N$87,$N$88)))))))</f>
        <v>152.22999999999999</v>
      </c>
      <c r="JB56" s="88">
        <f t="shared" ref="JB56:JB72" si="721">IF(IT56=1,$O$81,IF(IT56=2,$O$82,IF(IT56=3,$O$83,IF(IT56=4,$O$84,IF(IT56=5,$O$85,IF(IT56=6,$O$86,IF(IT56=7,$O$87,$O$88)))))))</f>
        <v>0.35</v>
      </c>
      <c r="JC56" s="88">
        <f t="shared" ref="JC56:JC72" si="722">IF(IT56=1,$P$81,IF(IT56=2,$P$82,IF(IT56=3,$P$83,IF(IT56=4,$P$84,IF(IT56=5,$P$85,IF(IT56=6,$P$86,IF(IT56=7,$P$87,$P$88)))))))</f>
        <v>-45.27</v>
      </c>
      <c r="JD56" s="88">
        <f t="shared" ref="JD56:JD72" si="723">IF(IT56=1,$Q$81,IF(IT56=2,$Q$82,IF(IT56=3,$Q$83,IF(IT56=4,$Q$84,IF(IT56=5,$Q$85,IF(IT56=6,$Q$86,IF(IT56=7,$Q$87,$Q$88)))))))</f>
        <v>-7.98</v>
      </c>
      <c r="JE56" s="103">
        <f t="shared" si="508"/>
        <v>159.91117924015836</v>
      </c>
      <c r="JF56" s="88">
        <f>+JE56*'Irradiancia Horizontal'!M48</f>
        <v>5984.5113297400439</v>
      </c>
      <c r="JG56" s="88">
        <f t="shared" si="623"/>
        <v>18115.775042774658</v>
      </c>
      <c r="JH56" s="88">
        <f>+JG56/'Irradiancia Horizontal'!M77</f>
        <v>98.346903140365583</v>
      </c>
      <c r="JI56" s="38">
        <f t="shared" si="509"/>
        <v>0.53293745324411934</v>
      </c>
      <c r="JJ56" s="88">
        <f t="shared" si="624"/>
        <v>0.53293745324411934</v>
      </c>
      <c r="JK56" s="88">
        <f t="shared" si="625"/>
        <v>0.23970793848010091</v>
      </c>
      <c r="JL56" s="88">
        <f t="shared" si="626"/>
        <v>1.17</v>
      </c>
      <c r="JM56" s="88">
        <f t="shared" si="627"/>
        <v>-0.3</v>
      </c>
      <c r="JN56" s="88">
        <f t="shared" si="628"/>
        <v>-0.61499999999999999</v>
      </c>
      <c r="JO56" s="88">
        <f t="shared" si="629"/>
        <v>0.51800000000000002</v>
      </c>
      <c r="JP56" s="88">
        <f t="shared" si="630"/>
        <v>-1.8919999999999999</v>
      </c>
      <c r="JQ56" s="88">
        <f t="shared" si="631"/>
        <v>-5.5E-2</v>
      </c>
      <c r="JR56" s="88">
        <f t="shared" si="510"/>
        <v>0.32120733336116447</v>
      </c>
      <c r="JS56" s="88">
        <f t="shared" si="511"/>
        <v>0.24548465450847171</v>
      </c>
      <c r="JT56" s="88">
        <f t="shared" si="512"/>
        <v>7773.9656496466105</v>
      </c>
      <c r="JU56" s="88">
        <f t="shared" ref="JU56:JU72" si="724">IF(IT56=1,$AB$81,IF(IT56=2,$AB$82,IF(IT56=3,$AB$83,IF(IT56=4,$AB$84,IF(IT56=5,$AB$85,IF(IT56=6,$AB$86,IF(IT56=7,$AB$87,$AB$88)))))))</f>
        <v>0.67800000000000005</v>
      </c>
      <c r="JV56" s="88">
        <f t="shared" ref="JV56:JV72" si="725">IF(IT56=1,$AC$81,IF(IT56=2,$AC$82,IF(IT56=3,$AC$83,IF(IT56=4,$AC$84,IF(IT56=5,$AC$85,IF(IT56=6,$AC$86,IF(IT56=7,$AC$87,$AC$88)))))))</f>
        <v>-0.32700000000000001</v>
      </c>
      <c r="JW56" s="88">
        <f t="shared" ref="JW56:JW72" si="726">IF(IT56=1,$AD$81,IF(IT56=2,$AD$82,IF(IT56=3,$AD$83,IF(IT56=4,$AD$84,IF(IT56=5,$AD$85,IF(IT56=6,$AD$86,IF(IT56=7,$AD$87,$AD$88)))))))</f>
        <v>-0.25</v>
      </c>
      <c r="JX56" s="88">
        <f t="shared" ref="JX56:JX72" si="727">IF(IT56=1,$AE$81,IF(IT56=2,$AE$82,IF(IT56=3,$AE$83,IF(IT56=4,$AE$84,IF(IT56=5,$AE$85,IF(IT56=6,$AE$86,IF(IT56=7,$AE$87,$AE$88)))))))</f>
        <v>0.156</v>
      </c>
      <c r="JY56" s="88">
        <f t="shared" ref="JY56:JY72" si="728">IF(IT56=1,$AF$81,IF(IT56=2,$AF$82,IF(IT56=3,$AF$83,IF(IT56=4,$AF$84,IF(IT56=5,$AF$85,IF(IT56=6,$AF$86,IF(IT56=7,$AF$87,$AF$88)))))))</f>
        <v>-1.377</v>
      </c>
      <c r="JZ56" s="88">
        <f t="shared" ref="JZ56:JZ72" si="729">IF(IT56=1,$AG$81,IF(IT56=2,$AG$82,IF(IT56=3,$AG$83,IF(IT56=4,$AG$84,IF(IT56=5,$AG$85,IF(IT56=6,$AG$86,IF(IT56=7,$AG$87,$AG$88)))))))</f>
        <v>0.251</v>
      </c>
      <c r="KA56" s="88">
        <f t="shared" si="519"/>
        <v>0.31134820339132507</v>
      </c>
      <c r="KB56" s="88">
        <f t="shared" si="520"/>
        <v>0.34436242566482</v>
      </c>
      <c r="KC56" s="106">
        <f>IF(II56&lt;0,0,((0.5*(1-KA56)*(1+COS(RADIANS($IP$46))))+(KA56*(JJ56/JK56))+(KB56*SIN(RADIANS($IP$46))))*'Irradiancia Horizontal'!M48)</f>
        <v>51.6788371914162</v>
      </c>
      <c r="KD56" s="88">
        <f t="shared" si="521"/>
        <v>2.2232782803242896</v>
      </c>
      <c r="KE56" s="88">
        <f>KD56*'Irradiancia Horizontal'!M77</f>
        <v>409.53408696923822</v>
      </c>
      <c r="KF56" s="88">
        <f t="shared" si="632"/>
        <v>461.21292416065444</v>
      </c>
      <c r="KG56" s="88">
        <f t="shared" si="522"/>
        <v>50153.523622990426</v>
      </c>
      <c r="KH56" s="88">
        <f t="shared" si="633"/>
        <v>42379.557973343814</v>
      </c>
      <c r="KI56" s="106">
        <f t="shared" si="634"/>
        <v>75574.364193526781</v>
      </c>
      <c r="KJ56" s="106">
        <f t="shared" si="635"/>
        <v>40276.409183841723</v>
      </c>
      <c r="KK56" s="106">
        <f t="shared" si="636"/>
        <v>48050.374833488335</v>
      </c>
      <c r="KL56" s="40"/>
      <c r="KN56" s="39">
        <v>0.33333333333333298</v>
      </c>
      <c r="KO56" s="38">
        <v>60</v>
      </c>
      <c r="KP56" s="38">
        <f t="shared" si="523"/>
        <v>11.973998043852726</v>
      </c>
      <c r="KQ56" s="38">
        <f t="shared" si="524"/>
        <v>125.69140900534735</v>
      </c>
      <c r="KR56" s="38">
        <f t="shared" si="525"/>
        <v>78.026001956147269</v>
      </c>
      <c r="KS56" s="38">
        <f>+'Irradiancia Horizontal'!N77/COS(RADIANS(KR56))</f>
        <v>604.44852389410084</v>
      </c>
      <c r="KT56" s="38">
        <f>((('Irradiancia Horizontal'!N48+KS56)/'Irradiancia Horizontal'!N48)+1.041*((RADIANS('Cálculos iluminancia'!KR56))^3))/(1+1.041*((RADIANS('Cálculos iluminancia'!KR56))^3))</f>
        <v>4.8690441030414693</v>
      </c>
      <c r="KU56" s="88">
        <f t="shared" si="526"/>
        <v>4.7189721647148204</v>
      </c>
      <c r="KV56" s="88">
        <f t="shared" si="637"/>
        <v>4.6025413308467478</v>
      </c>
      <c r="KW56" s="106">
        <f>'Irradiancia Horizontal'!N48*KV56/$KU$46</f>
        <v>0.13813774238947996</v>
      </c>
      <c r="KX56" s="88">
        <f>((17.27*Temp!M18)/(237.7+Temp!M18))+LN(HR!M29/100)</f>
        <v>0.30869210154152776</v>
      </c>
      <c r="KY56" s="88">
        <f t="shared" si="638"/>
        <v>4.3260881162996832</v>
      </c>
      <c r="KZ56" s="88">
        <f t="shared" si="639"/>
        <v>1.2558669967619229</v>
      </c>
      <c r="LA56" s="88">
        <f t="shared" ref="LA56:LA72" si="730">IF(KT56&lt;$E$81,1,IF(KT56&lt;$E$82,2,IF(KT56&lt;$E$83,3,IF(KT56&lt;$E$84,4,IF(KT56&lt;$E$85,5,IF(KT56&lt;$E$86,6,IF(KT56&lt;$E$87,7,8)))))))</f>
        <v>7</v>
      </c>
      <c r="LB56" s="88">
        <f t="shared" ref="LB56:LB72" si="731">IF(LA56=1,$H$81,IF(LA56=2,$H$82,IF(LA56=3,$H$83,IF(LA56=4,$H$84,IF(LA56=5,$H$85,IF(LA56=6,$H$86,IF(LA56=7,$H$87,$H$88)))))))</f>
        <v>78.63</v>
      </c>
      <c r="LC56" s="88">
        <f t="shared" ref="LC56:LC72" si="732">IF(LA56=1,$I$81,IF(LA56=2,$I$82,IF(LA56=3,$I$83,IF(LA56=4,$I$84,IF(LA56=5,$I$85,IF(LA56=6,$I$86,IF(LA56=7,$I$87,$I$88)))))))</f>
        <v>1.47</v>
      </c>
      <c r="LD56" s="88">
        <f t="shared" ref="LD56:LD72" si="733">IF(LA56=1,$J$81,IF(LA56=2,$J$82,IF(LA56=3,$J$83,IF(LA56=4,$J$84,IF(LA56=5,$J$85,IF(LA56=6,$J$86,IF(LA56=7,$J$87,$J$88)))))))</f>
        <v>4.93</v>
      </c>
      <c r="LE56" s="88">
        <f t="shared" ref="LE56:LE72" si="734">IF(LA56=1,$K$81,IF(LA56=2,$K$82,IF(LA56=3,$K$83,IF(LA56=4,$K$84,IF(LA56=5,$K$85,IF(LA56=6,$K$86,IF(LA56=7,$K$87,$K$88)))))))</f>
        <v>-11.37</v>
      </c>
      <c r="LF56" s="103">
        <f t="shared" si="532"/>
        <v>104.00590058188743</v>
      </c>
      <c r="LG56" s="165">
        <f>IF(LM56&gt;(LF56*'Irradiancia Horizontal'!N16),LM56,LF56*'Irradiancia Horizontal'!N16)</f>
        <v>17520.043638952204</v>
      </c>
      <c r="LH56" s="88">
        <f t="shared" ref="LH56:LH72" si="735">IF(LA56=1,$N$81,IF(LA56=2,$N$82,IF(LA56=3,$N$83,IF(LA56=4,$N$84,IF(LA56=5,$N$85,IF(LA56=6,$N$86,IF(LA56=7,$N$87,$N$88)))))))</f>
        <v>141.88</v>
      </c>
      <c r="LI56" s="88">
        <f t="shared" ref="LI56:LI72" si="736">IF(LA56=1,$O$81,IF(LA56=2,$O$82,IF(LA56=3,$O$83,IF(LA56=4,$O$84,IF(LA56=5,$O$85,IF(LA56=6,$O$86,IF(LA56=7,$O$87,$O$88)))))))</f>
        <v>1.9</v>
      </c>
      <c r="LJ56" s="88">
        <f t="shared" ref="LJ56:LJ72" si="737">IF(LA56=1,$P$81,IF(LA56=2,$P$82,IF(LA56=3,$P$83,IF(LA56=4,$P$84,IF(LA56=5,$P$85,IF(LA56=6,$P$86,IF(LA56=7,$P$87,$P$88)))))))</f>
        <v>-53.24</v>
      </c>
      <c r="LK56" s="88">
        <f t="shared" ref="LK56:LK72" si="738">IF(LA56=1,$Q$81,IF(LA56=2,$Q$82,IF(LA56=3,$Q$83,IF(LA56=4,$Q$84,IF(LA56=5,$Q$85,IF(LA56=6,$Q$86,IF(LA56=7,$Q$87,$Q$88)))))))</f>
        <v>-14.03</v>
      </c>
      <c r="LL56" s="103">
        <f t="shared" si="537"/>
        <v>160.99300392927626</v>
      </c>
      <c r="LM56" s="88">
        <f>+LL56*'Irradiancia Horizontal'!N48</f>
        <v>6930.5580966304833</v>
      </c>
      <c r="LN56" s="88">
        <f t="shared" si="640"/>
        <v>10589.48554232172</v>
      </c>
      <c r="LO56" s="88">
        <f>+LN56/'Irradiancia Horizontal'!N77</f>
        <v>84.44324388708894</v>
      </c>
      <c r="LP56" s="38">
        <f t="shared" si="538"/>
        <v>0.57072531496281609</v>
      </c>
      <c r="LQ56" s="88">
        <f t="shared" si="641"/>
        <v>0.57072531496281609</v>
      </c>
      <c r="LR56" s="88">
        <f t="shared" si="642"/>
        <v>0.20746776672661621</v>
      </c>
      <c r="LS56" s="88">
        <f t="shared" si="643"/>
        <v>1.4850000000000001</v>
      </c>
      <c r="LT56" s="88">
        <f t="shared" si="644"/>
        <v>-1.214</v>
      </c>
      <c r="LU56" s="88">
        <f t="shared" si="645"/>
        <v>-0.78400000000000003</v>
      </c>
      <c r="LV56" s="88">
        <f t="shared" si="646"/>
        <v>0.41099999999999998</v>
      </c>
      <c r="LW56" s="88">
        <f t="shared" si="647"/>
        <v>-0.629</v>
      </c>
      <c r="LX56" s="88">
        <f t="shared" si="648"/>
        <v>-8.2000000000000003E-2</v>
      </c>
      <c r="LY56" s="88">
        <f t="shared" si="539"/>
        <v>0.2496412418781635</v>
      </c>
      <c r="LZ56" s="88">
        <f t="shared" si="540"/>
        <v>0.21244288786022797</v>
      </c>
      <c r="MA56" s="88">
        <f t="shared" si="541"/>
        <v>8832.0471479829412</v>
      </c>
      <c r="MB56" s="88">
        <f t="shared" ref="MB56:MB72" si="739">IF(LA56=1,$AB$81,IF(LA56=2,$AB$82,IF(LA56=3,$AB$83,IF(LA56=4,$AB$84,IF(LA56=5,$AB$85,IF(LA56=6,$AB$86,IF(LA56=7,$AB$87,$AB$88)))))))</f>
        <v>1.06</v>
      </c>
      <c r="MC56" s="88">
        <f t="shared" ref="MC56:MC72" si="740">IF(LA56=1,$AC$81,IF(LA56=2,$AC$82,IF(LA56=3,$AC$83,IF(LA56=4,$AC$84,IF(LA56=5,$AC$85,IF(LA56=6,$AC$86,IF(LA56=7,$AC$87,$AC$88)))))))</f>
        <v>-1.6</v>
      </c>
      <c r="MD56" s="88">
        <f t="shared" ref="MD56:MD72" si="741">IF(LA56=1,$AD$81,IF(LA56=2,$AD$82,IF(LA56=3,$AD$83,IF(LA56=4,$AD$84,IF(LA56=5,$AD$85,IF(LA56=6,$AD$86,IF(LA56=7,$AD$87,$AD$88)))))))</f>
        <v>-0.35899999999999999</v>
      </c>
      <c r="ME56" s="88">
        <f t="shared" ref="ME56:ME72" si="742">IF(LA56=1,$AE$81,IF(LA56=2,$AE$82,IF(LA56=3,$AE$83,IF(LA56=4,$AE$84,IF(LA56=5,$AE$85,IF(LA56=6,$AE$86,IF(LA56=7,$AE$87,$AE$88)))))))</f>
        <v>0.26400000000000001</v>
      </c>
      <c r="MF56" s="88">
        <f t="shared" ref="MF56:MF72" si="743">IF(LA56=1,$AF$81,IF(LA56=2,$AF$82,IF(LA56=3,$AF$83,IF(LA56=4,$AF$84,IF(LA56=5,$AF$85,IF(LA56=6,$AF$86,IF(LA56=7,$AF$87,$AF$88)))))))</f>
        <v>-1.127</v>
      </c>
      <c r="MG56" s="88">
        <f t="shared" ref="MG56:MG72" si="744">IF(LA56=1,$AG$81,IF(LA56=2,$AG$82,IF(LA56=3,$AG$83,IF(LA56=4,$AG$84,IF(LA56=5,$AG$85,IF(LA56=6,$AG$86,IF(LA56=7,$AG$87,$AG$88)))))))</f>
        <v>0.13100000000000001</v>
      </c>
      <c r="MH56" s="88">
        <f t="shared" si="548"/>
        <v>0.35008959374430426</v>
      </c>
      <c r="MI56" s="88">
        <f t="shared" si="549"/>
        <v>0.28671595768265823</v>
      </c>
      <c r="MJ56" s="106">
        <f>IF(KP56&lt;0,0,((0.5*(1-MH56)*(1+COS(RADIANS($KW$46))))+(MH56*(LQ56/LR56))+(MI56*SIN(RADIANS($KW$46))))*'Irradiancia Horizontal'!N48)</f>
        <v>67.790536335532153</v>
      </c>
      <c r="MK56" s="88">
        <f t="shared" si="550"/>
        <v>2.7509107750452171</v>
      </c>
      <c r="ML56" s="88">
        <f>MK56*'Irradiancia Horizontal'!N77</f>
        <v>344.97407417826997</v>
      </c>
      <c r="MM56" s="88">
        <f t="shared" si="649"/>
        <v>412.76461051380215</v>
      </c>
      <c r="MN56" s="88">
        <f t="shared" si="551"/>
        <v>42929.955044819995</v>
      </c>
      <c r="MO56" s="88">
        <f t="shared" si="650"/>
        <v>34097.907896837052</v>
      </c>
      <c r="MP56" s="106">
        <f t="shared" si="651"/>
        <v>51041.594120380461</v>
      </c>
      <c r="MQ56" s="106">
        <f t="shared" si="652"/>
        <v>29130.72988055836</v>
      </c>
      <c r="MR56" s="106">
        <f t="shared" si="653"/>
        <v>37962.777028541299</v>
      </c>
    </row>
    <row r="57" spans="1:356" x14ac:dyDescent="0.25">
      <c r="A57" s="48"/>
      <c r="B57" s="37"/>
      <c r="E57" s="39">
        <v>0.375</v>
      </c>
      <c r="F57" s="38">
        <v>45</v>
      </c>
      <c r="G57" s="38">
        <f t="shared" si="378"/>
        <v>48.486777985752788</v>
      </c>
      <c r="H57" s="38">
        <f t="shared" si="379"/>
        <v>91.453199982521028</v>
      </c>
      <c r="I57" s="38">
        <f t="shared" si="380"/>
        <v>41.513222014247212</v>
      </c>
      <c r="J57" s="38">
        <f>+'Irradiancia Horizontal'!I78/COS(RADIANS(I57))</f>
        <v>632.263599818236</v>
      </c>
      <c r="K57" s="38">
        <f>((('Irradiancia Horizontal'!I49+J57)/'Irradiancia Horizontal'!I49)+1.041*((RADIANS('Cálculos iluminancia'!I57))^3))/(1+1.041*((RADIANS('Cálculos iluminancia'!I57))^3))</f>
        <v>3.6493070757307251</v>
      </c>
      <c r="L57" s="87">
        <f t="shared" si="381"/>
        <v>1.3341695881220104</v>
      </c>
      <c r="M57" s="87">
        <f t="shared" si="654"/>
        <v>1.3012517254509861</v>
      </c>
      <c r="N57" s="106">
        <f>'Irradiancia Horizontal'!I49*M57/$L$46</f>
        <v>0.16572195513339921</v>
      </c>
      <c r="O57" s="87">
        <f>((17.27*Temp!H19)/(237.7+Temp!H19))+LN(HR!H30/100)</f>
        <v>1.3543355619029189</v>
      </c>
      <c r="P57" s="87">
        <f t="shared" si="553"/>
        <v>20.226963462093078</v>
      </c>
      <c r="Q57" s="87">
        <f t="shared" si="554"/>
        <v>3.8224341905924808</v>
      </c>
      <c r="R57" s="87">
        <f t="shared" si="655"/>
        <v>6</v>
      </c>
      <c r="S57" s="87">
        <f t="shared" si="656"/>
        <v>88.34</v>
      </c>
      <c r="T57" s="87">
        <f t="shared" si="657"/>
        <v>1.39</v>
      </c>
      <c r="U57" s="87">
        <f t="shared" si="658"/>
        <v>6.06</v>
      </c>
      <c r="V57" s="87">
        <f t="shared" si="659"/>
        <v>-7.6</v>
      </c>
      <c r="W57" s="103">
        <f t="shared" si="387"/>
        <v>111.85150179626038</v>
      </c>
      <c r="X57" s="165">
        <f>IF(AD57&gt;(W57*'Irradiancia Horizontal'!I17),AD57,W57*'Irradiancia Horizontal'!I17)</f>
        <v>72077.235122191298</v>
      </c>
      <c r="Y57" s="87">
        <f t="shared" si="660"/>
        <v>106.42</v>
      </c>
      <c r="Z57" s="87">
        <f t="shared" si="661"/>
        <v>3.83</v>
      </c>
      <c r="AA57" s="87">
        <f t="shared" si="662"/>
        <v>-36.15</v>
      </c>
      <c r="AB57" s="87">
        <f t="shared" si="663"/>
        <v>-28.83</v>
      </c>
      <c r="AC57" s="103">
        <f t="shared" si="392"/>
        <v>145.81100870754958</v>
      </c>
      <c r="AD57" s="87">
        <f>+AC57*'Irradiancia Horizontal'!I49</f>
        <v>24927.907121449491</v>
      </c>
      <c r="AE57" s="87">
        <f t="shared" si="393"/>
        <v>47149.328000741807</v>
      </c>
      <c r="AF57" s="87">
        <f>+AE57/'Irradiancia Horizontal'!I78</f>
        <v>99.588656599185697</v>
      </c>
      <c r="AG57" s="38">
        <f t="shared" si="555"/>
        <v>1.6808695611043145E-2</v>
      </c>
      <c r="AH57" s="87">
        <f t="shared" si="556"/>
        <v>1.6808695611043145E-2</v>
      </c>
      <c r="AI57" s="87">
        <f t="shared" si="557"/>
        <v>0.74880278955520752</v>
      </c>
      <c r="AJ57" s="87">
        <f t="shared" si="558"/>
        <v>1.4259999999999999</v>
      </c>
      <c r="AK57" s="87">
        <f t="shared" si="559"/>
        <v>-0.65300000000000002</v>
      </c>
      <c r="AL57" s="87">
        <f t="shared" si="560"/>
        <v>-0.77900000000000003</v>
      </c>
      <c r="AM57" s="87">
        <f t="shared" si="561"/>
        <v>0.42499999999999999</v>
      </c>
      <c r="AN57" s="87">
        <f t="shared" si="562"/>
        <v>-0.78500000000000003</v>
      </c>
      <c r="AO57" s="87">
        <f t="shared" si="563"/>
        <v>-9.7000000000000003E-2</v>
      </c>
      <c r="AP57" s="87">
        <f t="shared" si="394"/>
        <v>0.7533650280423454</v>
      </c>
      <c r="AQ57" s="87">
        <f t="shared" si="395"/>
        <v>0.22462765171606097</v>
      </c>
      <c r="AR57" s="88">
        <f t="shared" si="396"/>
        <v>9095.1025586066135</v>
      </c>
      <c r="AS57" s="87">
        <f t="shared" si="664"/>
        <v>1.1319999999999999</v>
      </c>
      <c r="AT57" s="87">
        <f t="shared" si="665"/>
        <v>-1.2370000000000001</v>
      </c>
      <c r="AU57" s="87">
        <f t="shared" si="666"/>
        <v>-0.41199999999999998</v>
      </c>
      <c r="AV57" s="87">
        <f t="shared" si="667"/>
        <v>0.28799999999999998</v>
      </c>
      <c r="AW57" s="87">
        <f t="shared" si="668"/>
        <v>-0.82299999999999995</v>
      </c>
      <c r="AX57" s="87">
        <f t="shared" si="669"/>
        <v>5.6000000000000001E-2</v>
      </c>
      <c r="AY57" s="87">
        <f t="shared" si="403"/>
        <v>0.62849046970886246</v>
      </c>
      <c r="AZ57" s="87">
        <f t="shared" si="404"/>
        <v>0.19218520573177278</v>
      </c>
      <c r="BA57" s="106">
        <f>IF(G57&lt;0,0,((0.5*(1-AY57)*(1+COS(RADIANS($N$46))))+(AY57*(AH57/AI57))+(AZ57*SIN(RADIANS($N$46))))*'Irradiancia Horizontal'!I49)</f>
        <v>67.02467346947715</v>
      </c>
      <c r="BB57" s="87">
        <f t="shared" si="405"/>
        <v>2.2447426539406446E-2</v>
      </c>
      <c r="BC57" s="87">
        <f>BB57*'Irradiancia Horizontal'!I78</f>
        <v>10.627526395287122</v>
      </c>
      <c r="BD57" s="87">
        <f t="shared" si="564"/>
        <v>77.65219986476427</v>
      </c>
      <c r="BE57" s="88">
        <f t="shared" si="406"/>
        <v>8685.5151726572512</v>
      </c>
      <c r="BF57" s="87">
        <f t="shared" si="565"/>
        <v>-409.58738594936221</v>
      </c>
      <c r="BG57" s="106">
        <f t="shared" si="566"/>
        <v>62966.282522463276</v>
      </c>
      <c r="BH57" s="106">
        <f t="shared" si="567"/>
        <v>1058.3810766790311</v>
      </c>
      <c r="BI57" s="106">
        <f t="shared" si="568"/>
        <v>10153.483635285644</v>
      </c>
      <c r="BJ57" s="44"/>
      <c r="BL57" s="39">
        <v>0.375</v>
      </c>
      <c r="BM57" s="38">
        <v>45</v>
      </c>
      <c r="BN57" s="38">
        <f t="shared" si="407"/>
        <v>44.750605705383357</v>
      </c>
      <c r="BO57" s="38">
        <f t="shared" si="408"/>
        <v>102.89080145989399</v>
      </c>
      <c r="BP57" s="38">
        <f t="shared" si="409"/>
        <v>45.249394294616643</v>
      </c>
      <c r="BQ57" s="38">
        <f>+'Irradiancia Horizontal'!J78/COS(RADIANS(BP57))</f>
        <v>636.91769644906958</v>
      </c>
      <c r="BR57" s="38">
        <f>((('Irradiancia Horizontal'!J49+BQ57)/'Irradiancia Horizontal'!J49)+1.041*((RADIANS('Cálculos iluminancia'!BP57))^3))/(1+1.041*((RADIANS('Cálculos iluminancia'!BP57))^3))</f>
        <v>3.5707842915932915</v>
      </c>
      <c r="BS57" s="87">
        <f t="shared" si="410"/>
        <v>1.4187640629078591</v>
      </c>
      <c r="BT57" s="87">
        <f t="shared" si="569"/>
        <v>1.3837590073278376</v>
      </c>
      <c r="BU57" s="106">
        <f>'Irradiancia Horizontal'!J49*BT57/$BS$46</f>
        <v>0.16730706631307349</v>
      </c>
      <c r="BV57" s="87">
        <f>((17.27*Temp!I19)/(237.7+Temp!I19))+LN(HR!I30/100)</f>
        <v>1.4910268811826652</v>
      </c>
      <c r="BW57" s="87">
        <f t="shared" si="570"/>
        <v>22.461353282518541</v>
      </c>
      <c r="BX57" s="87">
        <f t="shared" si="571"/>
        <v>4.4695812751573047</v>
      </c>
      <c r="BY57" s="87">
        <f t="shared" si="670"/>
        <v>6</v>
      </c>
      <c r="BZ57" s="87">
        <f t="shared" si="671"/>
        <v>88.34</v>
      </c>
      <c r="CA57" s="87">
        <f t="shared" si="672"/>
        <v>1.39</v>
      </c>
      <c r="CB57" s="87">
        <f t="shared" si="673"/>
        <v>6.06</v>
      </c>
      <c r="CC57" s="87">
        <f t="shared" si="674"/>
        <v>-7.6</v>
      </c>
      <c r="CD57" s="103">
        <f t="shared" si="416"/>
        <v>112.40731840171161</v>
      </c>
      <c r="CE57" s="165">
        <f>IF(CK57&gt;(CD57*'Irradiancia Horizontal'!J17),CK57,CD57*'Irradiancia Horizontal'!J17)</f>
        <v>68813.325277726501</v>
      </c>
      <c r="CF57" s="87">
        <f t="shared" si="675"/>
        <v>106.42</v>
      </c>
      <c r="CG57" s="87">
        <f t="shared" si="676"/>
        <v>3.83</v>
      </c>
      <c r="CH57" s="87">
        <f t="shared" si="677"/>
        <v>-36.15</v>
      </c>
      <c r="CI57" s="87">
        <f t="shared" si="678"/>
        <v>-28.83</v>
      </c>
      <c r="CJ57" s="103">
        <f t="shared" si="421"/>
        <v>149.63395403735362</v>
      </c>
      <c r="CK57" s="87">
        <f>+CJ57*'Irradiancia Horizontal'!J49</f>
        <v>24506.168982332983</v>
      </c>
      <c r="CL57" s="87">
        <f t="shared" si="572"/>
        <v>44307.156295393521</v>
      </c>
      <c r="CM57" s="87">
        <f>+CL57/'Irradiancia Horizontal'!J78</f>
        <v>98.810748160680888</v>
      </c>
      <c r="CN57" s="38">
        <f t="shared" si="422"/>
        <v>0.15843616612994529</v>
      </c>
      <c r="CO57" s="87">
        <f t="shared" si="573"/>
        <v>0.15843616612994529</v>
      </c>
      <c r="CP57" s="87">
        <f t="shared" si="574"/>
        <v>0.70402223217913495</v>
      </c>
      <c r="CQ57" s="87">
        <f t="shared" si="575"/>
        <v>1.4259999999999999</v>
      </c>
      <c r="CR57" s="87">
        <f t="shared" si="576"/>
        <v>-0.65300000000000002</v>
      </c>
      <c r="CS57" s="87">
        <f t="shared" si="577"/>
        <v>-0.77900000000000003</v>
      </c>
      <c r="CT57" s="87">
        <f t="shared" si="578"/>
        <v>0.42499999999999999</v>
      </c>
      <c r="CU57" s="87">
        <f t="shared" si="579"/>
        <v>-0.78500000000000003</v>
      </c>
      <c r="CV57" s="87">
        <f t="shared" si="580"/>
        <v>-9.7000000000000003E-2</v>
      </c>
      <c r="CW57" s="87">
        <f t="shared" si="423"/>
        <v>0.70153252293266299</v>
      </c>
      <c r="CX57" s="87">
        <f t="shared" si="424"/>
        <v>0.21705811419174015</v>
      </c>
      <c r="CY57" s="88">
        <f t="shared" si="425"/>
        <v>12845.342821063339</v>
      </c>
      <c r="CZ57" s="87">
        <f t="shared" si="679"/>
        <v>1.1319999999999999</v>
      </c>
      <c r="DA57" s="87">
        <f t="shared" si="680"/>
        <v>-1.2370000000000001</v>
      </c>
      <c r="DB57" s="87">
        <f t="shared" si="681"/>
        <v>-0.41199999999999998</v>
      </c>
      <c r="DC57" s="87">
        <f t="shared" si="682"/>
        <v>0.28799999999999998</v>
      </c>
      <c r="DD57" s="87">
        <f t="shared" si="683"/>
        <v>-0.82299999999999995</v>
      </c>
      <c r="DE57" s="87">
        <f t="shared" si="684"/>
        <v>5.6000000000000001E-2</v>
      </c>
      <c r="DF57" s="87">
        <f t="shared" si="432"/>
        <v>0.59966378200135861</v>
      </c>
      <c r="DG57" s="87">
        <f t="shared" si="433"/>
        <v>0.19453233566289554</v>
      </c>
      <c r="DH57" s="106">
        <f>IF(BN57&lt;0,0,((0.5*(1-DF57)*(1+COS(RADIANS($BU$46))))+(DF57*(CO57/CP57))+(DG57*SIN(RADIANS($BU$46))))*'Irradiancia Horizontal'!J49)</f>
        <v>86.743181544949692</v>
      </c>
      <c r="DI57" s="87">
        <f t="shared" si="434"/>
        <v>0.22504426549079773</v>
      </c>
      <c r="DJ57" s="87">
        <f>DI57*'Irradiancia Horizontal'!J78</f>
        <v>100.91079796570685</v>
      </c>
      <c r="DK57" s="87">
        <f t="shared" si="581"/>
        <v>187.65397951065654</v>
      </c>
      <c r="DL57" s="88">
        <f t="shared" si="435"/>
        <v>21093.680624202636</v>
      </c>
      <c r="DM57" s="87">
        <f t="shared" si="582"/>
        <v>8248.3378031392967</v>
      </c>
      <c r="DN57" s="106">
        <f t="shared" si="583"/>
        <v>62934.314102910015</v>
      </c>
      <c r="DO57" s="106">
        <f t="shared" si="584"/>
        <v>9971.07144448281</v>
      </c>
      <c r="DP57" s="106">
        <f t="shared" si="585"/>
        <v>22816.414265546147</v>
      </c>
      <c r="DQ57" s="44"/>
      <c r="DS57" s="39">
        <v>0.375</v>
      </c>
      <c r="DT57" s="38">
        <v>45</v>
      </c>
      <c r="DU57" s="38">
        <f t="shared" si="436"/>
        <v>38.043117489966257</v>
      </c>
      <c r="DV57" s="38">
        <f t="shared" si="437"/>
        <v>116.12260115072581</v>
      </c>
      <c r="DW57" s="38">
        <f t="shared" si="438"/>
        <v>51.956882510033743</v>
      </c>
      <c r="DX57" s="38">
        <f>+'Irradiancia Horizontal'!K78/COS(RADIANS(DW57))</f>
        <v>848.93767654879252</v>
      </c>
      <c r="DY57" s="38">
        <f>((('Irradiancia Horizontal'!K49+DX57)/'Irradiancia Horizontal'!K49)+1.041*((RADIANS('Cálculos iluminancia'!DW57))^3))/(1+1.041*((RADIANS('Cálculos iluminancia'!DW57))^3))</f>
        <v>5.6439667771327082</v>
      </c>
      <c r="DZ57" s="87">
        <f t="shared" si="439"/>
        <v>1.6200006565420473</v>
      </c>
      <c r="EA57" s="87">
        <f t="shared" si="586"/>
        <v>1.5800305061100592</v>
      </c>
      <c r="EB57" s="106">
        <f>'Irradiancia Horizontal'!K49*EA57/$DZ$46</f>
        <v>0.11819349096799522</v>
      </c>
      <c r="EC57" s="87">
        <f>((17.27*Temp!J19)/(237.7+Temp!J19))+LN(HR!J30/100)</f>
        <v>1.3413278227287675</v>
      </c>
      <c r="ED57" s="87">
        <f t="shared" si="587"/>
        <v>20.016334061892152</v>
      </c>
      <c r="EE57" s="87">
        <f t="shared" si="588"/>
        <v>3.7664894389327563</v>
      </c>
      <c r="EF57" s="87">
        <f t="shared" si="685"/>
        <v>7</v>
      </c>
      <c r="EG57" s="87">
        <f t="shared" si="686"/>
        <v>78.63</v>
      </c>
      <c r="EH57" s="87">
        <f t="shared" si="687"/>
        <v>1.47</v>
      </c>
      <c r="EI57" s="87">
        <f t="shared" si="688"/>
        <v>4.93</v>
      </c>
      <c r="EJ57" s="87">
        <f t="shared" si="689"/>
        <v>-11.37</v>
      </c>
      <c r="EK57" s="103">
        <f t="shared" si="445"/>
        <v>111.48473784301908</v>
      </c>
      <c r="EL57" s="165">
        <f>IF(ER57&gt;(EK57*'Irradiancia Horizontal'!K17),ER57,EK57*'Irradiancia Horizontal'!K17)</f>
        <v>69797.957950283788</v>
      </c>
      <c r="EM57" s="87">
        <f t="shared" si="690"/>
        <v>141.88</v>
      </c>
      <c r="EN57" s="87">
        <f t="shared" si="691"/>
        <v>1.9</v>
      </c>
      <c r="EO57" s="87">
        <f t="shared" si="692"/>
        <v>-53.24</v>
      </c>
      <c r="EP57" s="87">
        <f t="shared" si="693"/>
        <v>-14.03</v>
      </c>
      <c r="EQ57" s="103">
        <f t="shared" si="450"/>
        <v>146.18706472538261</v>
      </c>
      <c r="ER57" s="87">
        <f>+EQ57*'Irradiancia Horizontal'!K49</f>
        <v>15044.819515089854</v>
      </c>
      <c r="ES57" s="87">
        <f t="shared" si="589"/>
        <v>54753.138435193934</v>
      </c>
      <c r="ET57" s="87">
        <f>+ES57/'Irradiancia Horizontal'!K78</f>
        <v>104.65819448752231</v>
      </c>
      <c r="EU57" s="38">
        <f t="shared" si="451"/>
        <v>0.34675182363931767</v>
      </c>
      <c r="EV57" s="87">
        <f t="shared" si="590"/>
        <v>0.34675182363931767</v>
      </c>
      <c r="EW57" s="87">
        <f t="shared" si="591"/>
        <v>0.61625431225772664</v>
      </c>
      <c r="EX57" s="87">
        <f t="shared" si="592"/>
        <v>1.4850000000000001</v>
      </c>
      <c r="EY57" s="87">
        <f t="shared" si="593"/>
        <v>-1.214</v>
      </c>
      <c r="EZ57" s="87">
        <f t="shared" si="594"/>
        <v>-0.78400000000000003</v>
      </c>
      <c r="FA57" s="87">
        <f t="shared" si="595"/>
        <v>0.41099999999999998</v>
      </c>
      <c r="FB57" s="87">
        <f t="shared" si="596"/>
        <v>-0.629</v>
      </c>
      <c r="FC57" s="87">
        <f t="shared" si="597"/>
        <v>-8.2000000000000003E-2</v>
      </c>
      <c r="FD57" s="87">
        <f t="shared" si="452"/>
        <v>0.63056726556924925</v>
      </c>
      <c r="FE57" s="87">
        <f t="shared" si="453"/>
        <v>0.26229716333363151</v>
      </c>
      <c r="FF57" s="88">
        <f t="shared" si="454"/>
        <v>12063.220886404935</v>
      </c>
      <c r="FG57" s="87">
        <f t="shared" si="694"/>
        <v>1.06</v>
      </c>
      <c r="FH57" s="87">
        <f t="shared" si="695"/>
        <v>-1.6</v>
      </c>
      <c r="FI57" s="87">
        <f t="shared" si="696"/>
        <v>-0.35899999999999999</v>
      </c>
      <c r="FJ57" s="87">
        <f t="shared" si="697"/>
        <v>0.26400000000000001</v>
      </c>
      <c r="FK57" s="87">
        <f t="shared" si="698"/>
        <v>-1.127</v>
      </c>
      <c r="FL57" s="87">
        <f t="shared" si="699"/>
        <v>0.13100000000000001</v>
      </c>
      <c r="FM57" s="87">
        <f t="shared" si="461"/>
        <v>0.5453425123261797</v>
      </c>
      <c r="FN57" s="87">
        <f t="shared" si="462"/>
        <v>0.24958918130129415</v>
      </c>
      <c r="FO57" s="106">
        <f>IF(DU57&lt;0,0,((0.5*(1-FM57)*(1+COS(RADIANS($EB$46))))+(FM57*(EV57/EW57))+(FN57*SIN(RADIANS($EB$46))))*'Irradiancia Horizontal'!K49)</f>
        <v>80.661502833998085</v>
      </c>
      <c r="FP57" s="87">
        <f t="shared" si="463"/>
        <v>0.56267650666645708</v>
      </c>
      <c r="FQ57" s="87">
        <f>FP57*'Irradiancia Horizontal'!K78</f>
        <v>294.37068749941903</v>
      </c>
      <c r="FR57" s="87">
        <f t="shared" si="598"/>
        <v>375.03219033341713</v>
      </c>
      <c r="FS57" s="88">
        <f t="shared" si="464"/>
        <v>41810.365422014242</v>
      </c>
      <c r="FT57" s="87">
        <f t="shared" si="599"/>
        <v>29747.144535609306</v>
      </c>
      <c r="FU57" s="106">
        <f t="shared" si="600"/>
        <v>88848.284460028837</v>
      </c>
      <c r="FV57" s="106">
        <f t="shared" si="601"/>
        <v>30808.304663739847</v>
      </c>
      <c r="FW57" s="106">
        <f t="shared" si="602"/>
        <v>42871.525550144783</v>
      </c>
      <c r="FX57" s="83"/>
      <c r="FZ57" s="39">
        <v>0.375</v>
      </c>
      <c r="GA57" s="38">
        <v>45</v>
      </c>
      <c r="GB57" s="38">
        <f t="shared" si="465"/>
        <v>30.397866606469542</v>
      </c>
      <c r="GC57" s="38">
        <f t="shared" si="466"/>
        <v>126.61969747300897</v>
      </c>
      <c r="GD57" s="38">
        <f t="shared" si="467"/>
        <v>59.602133393530458</v>
      </c>
      <c r="GE57" s="38">
        <f>+'Irradiancia Horizontal'!L78/COS(RADIANS(GD57))</f>
        <v>958.03611959229431</v>
      </c>
      <c r="GF57" s="38">
        <f>((('Irradiancia Horizontal'!L49+GE57)/'Irradiancia Horizontal'!L49)+1.041*((RADIANS('Cálculos iluminancia'!GD57))^3))/(1+1.041*((RADIANS('Cálculos iluminancia'!GD57))^3))</f>
        <v>7.6833340664803185</v>
      </c>
      <c r="GG57" s="88">
        <f t="shared" si="468"/>
        <v>1.9708042366694691</v>
      </c>
      <c r="GH57" s="88">
        <f t="shared" si="603"/>
        <v>1.9221787367392267</v>
      </c>
      <c r="GI57" s="106">
        <f>'Irradiancia Horizontal'!L49*GH57/$GG$46</f>
        <v>9.0616389953407608E-2</v>
      </c>
      <c r="GJ57" s="88">
        <f>((17.27*Temp!K19)/(237.7+Temp!K19))+LN(HR!K30/100)</f>
        <v>0.95931641975952675</v>
      </c>
      <c r="GK57" s="88">
        <f t="shared" si="604"/>
        <v>13.980377453528996</v>
      </c>
      <c r="GL57" s="88">
        <f t="shared" si="605"/>
        <v>2.4685388619760724</v>
      </c>
      <c r="GM57" s="88">
        <f t="shared" si="700"/>
        <v>8</v>
      </c>
      <c r="GN57" s="88">
        <f t="shared" si="701"/>
        <v>99.65</v>
      </c>
      <c r="GO57" s="88">
        <f t="shared" si="702"/>
        <v>1.86</v>
      </c>
      <c r="GP57" s="88">
        <f t="shared" si="703"/>
        <v>-4.46</v>
      </c>
      <c r="GQ57" s="88">
        <f t="shared" si="704"/>
        <v>-3.15</v>
      </c>
      <c r="GR57" s="103">
        <f t="shared" si="474"/>
        <v>109.54824349172499</v>
      </c>
      <c r="GS57" s="165">
        <f>IF(GY57&gt;(GR57*'Irradiancia Horizontal'!L17),GY57,GR57*'Irradiancia Horizontal'!L17)</f>
        <v>60335.93398458539</v>
      </c>
      <c r="GT57" s="88">
        <f t="shared" si="705"/>
        <v>152.22999999999999</v>
      </c>
      <c r="GU57" s="88">
        <f t="shared" si="706"/>
        <v>0.35</v>
      </c>
      <c r="GV57" s="88">
        <f t="shared" si="707"/>
        <v>-45.27</v>
      </c>
      <c r="GW57" s="88">
        <f t="shared" si="708"/>
        <v>-7.98</v>
      </c>
      <c r="GX57" s="103">
        <f t="shared" si="479"/>
        <v>149.34823300158348</v>
      </c>
      <c r="GY57" s="88">
        <f>+GX57*'Irradiancia Horizontal'!L49</f>
        <v>9857.3689594709977</v>
      </c>
      <c r="GZ57" s="88">
        <f t="shared" si="606"/>
        <v>50478.565025114396</v>
      </c>
      <c r="HA57" s="88">
        <f>+GZ57/'Irradiancia Horizontal'!L78</f>
        <v>104.12935684089034</v>
      </c>
      <c r="HB57" s="38">
        <f t="shared" si="480"/>
        <v>0.51450136448911976</v>
      </c>
      <c r="HC57" s="88">
        <f t="shared" si="607"/>
        <v>0.51450136448911976</v>
      </c>
      <c r="HD57" s="88">
        <f t="shared" si="608"/>
        <v>0.50600164829700067</v>
      </c>
      <c r="HE57" s="88">
        <f t="shared" si="609"/>
        <v>1.17</v>
      </c>
      <c r="HF57" s="88">
        <f t="shared" si="610"/>
        <v>-0.3</v>
      </c>
      <c r="HG57" s="88">
        <f t="shared" si="611"/>
        <v>-0.61499999999999999</v>
      </c>
      <c r="HH57" s="88">
        <f t="shared" si="612"/>
        <v>0.51800000000000002</v>
      </c>
      <c r="HI57" s="88">
        <f t="shared" si="613"/>
        <v>-1.8919999999999999</v>
      </c>
      <c r="HJ57" s="88">
        <f t="shared" si="614"/>
        <v>-5.5E-2</v>
      </c>
      <c r="HK57" s="88">
        <f t="shared" si="481"/>
        <v>0.50305919962204748</v>
      </c>
      <c r="HL57" s="88">
        <f t="shared" si="482"/>
        <v>0.28933984941700458</v>
      </c>
      <c r="HM57" s="88">
        <f t="shared" si="483"/>
        <v>10343.531821273897</v>
      </c>
      <c r="HN57" s="88">
        <f t="shared" si="709"/>
        <v>0.67800000000000005</v>
      </c>
      <c r="HO57" s="88">
        <f t="shared" si="710"/>
        <v>-0.32700000000000001</v>
      </c>
      <c r="HP57" s="88">
        <f t="shared" si="711"/>
        <v>-0.25</v>
      </c>
      <c r="HQ57" s="88">
        <f t="shared" si="712"/>
        <v>0.156</v>
      </c>
      <c r="HR57" s="88">
        <f t="shared" si="713"/>
        <v>-1.377</v>
      </c>
      <c r="HS57" s="88">
        <f t="shared" si="714"/>
        <v>0.251</v>
      </c>
      <c r="HT57" s="88">
        <f t="shared" si="490"/>
        <v>0.38830507325274388</v>
      </c>
      <c r="HU57" s="88">
        <f t="shared" si="491"/>
        <v>0.29232485173557954</v>
      </c>
      <c r="HV57" s="106">
        <f>IF(GB57&lt;0,0,((0.5*(1-HT57)*(1+COS(RADIANS($GI$46))))+(HT57*(HC57/HD57))+(HU57*SIN(RADIANS($GI$46))))*'Irradiancia Horizontal'!L49)</f>
        <v>65.540567689855834</v>
      </c>
      <c r="HW57" s="88">
        <f t="shared" si="492"/>
        <v>1.016797803368281</v>
      </c>
      <c r="HX57" s="88">
        <f>HW57*'Irradiancia Horizontal'!L78</f>
        <v>492.91089076009695</v>
      </c>
      <c r="HY57" s="88">
        <f t="shared" si="615"/>
        <v>558.45145844995272</v>
      </c>
      <c r="HZ57" s="88">
        <f t="shared" si="493"/>
        <v>61177.376348584359</v>
      </c>
      <c r="IA57" s="88">
        <f t="shared" si="616"/>
        <v>50833.844527310459</v>
      </c>
      <c r="IB57" s="106">
        <f t="shared" si="617"/>
        <v>99759.684963487904</v>
      </c>
      <c r="IC57" s="106">
        <f t="shared" si="618"/>
        <v>51326.494034719253</v>
      </c>
      <c r="ID57" s="106">
        <f t="shared" si="619"/>
        <v>61670.025855993154</v>
      </c>
      <c r="IE57" s="83"/>
      <c r="IG57" s="39">
        <v>0.375</v>
      </c>
      <c r="IH57" s="38">
        <v>45</v>
      </c>
      <c r="II57" s="38">
        <f t="shared" si="494"/>
        <v>24.161470214332304</v>
      </c>
      <c r="IJ57" s="38">
        <f t="shared" si="495"/>
        <v>133.43141457095311</v>
      </c>
      <c r="IK57" s="38">
        <f t="shared" si="496"/>
        <v>65.838529785667703</v>
      </c>
      <c r="IL57" s="38">
        <f>+'Irradiancia Horizontal'!M78/COS(RADIANS(IK57))</f>
        <v>888.17164601867285</v>
      </c>
      <c r="IM57" s="38">
        <f>((('Irradiancia Horizontal'!M49+IL57)/'Irradiancia Horizontal'!M49)+1.041*((RADIANS('Cálculos iluminancia'!IK57))^3))/(1+1.041*((RADIANS('Cálculos iluminancia'!IK57))^3))</f>
        <v>6.3881519891518499</v>
      </c>
      <c r="IN57" s="88">
        <f t="shared" si="497"/>
        <v>2.4317903985642415</v>
      </c>
      <c r="IO57" s="88">
        <f t="shared" si="620"/>
        <v>2.3717910228496959</v>
      </c>
      <c r="IP57" s="106">
        <f>'Irradiancia Horizontal'!M49*IO57/$IN$46</f>
        <v>0.10657159353721296</v>
      </c>
      <c r="IQ57" s="88">
        <f>((17.27*Temp!L19)/(237.7+Temp!L19))+LN(HR!L30/100)</f>
        <v>0.62947397135843364</v>
      </c>
      <c r="IR57" s="88">
        <f t="shared" si="621"/>
        <v>8.9916606442827831</v>
      </c>
      <c r="IS57" s="88">
        <f t="shared" si="622"/>
        <v>1.7409244149310272</v>
      </c>
      <c r="IT57" s="88">
        <f t="shared" si="715"/>
        <v>8</v>
      </c>
      <c r="IU57" s="88">
        <f t="shared" si="716"/>
        <v>99.65</v>
      </c>
      <c r="IV57" s="88">
        <f t="shared" si="717"/>
        <v>1.86</v>
      </c>
      <c r="IW57" s="88">
        <f t="shared" si="718"/>
        <v>-4.46</v>
      </c>
      <c r="IX57" s="88">
        <f t="shared" si="719"/>
        <v>-3.15</v>
      </c>
      <c r="IY57" s="103">
        <f t="shared" si="503"/>
        <v>108.11525432771694</v>
      </c>
      <c r="IZ57" s="165">
        <f>IF(JF57&gt;(IY57*'Irradiancia Horizontal'!M17),JF57,IY57*'Irradiancia Horizontal'!M17)</f>
        <v>46212.770412743965</v>
      </c>
      <c r="JA57" s="88">
        <f t="shared" si="720"/>
        <v>152.22999999999999</v>
      </c>
      <c r="JB57" s="88">
        <f t="shared" si="721"/>
        <v>0.35</v>
      </c>
      <c r="JC57" s="88">
        <f t="shared" si="722"/>
        <v>-45.27</v>
      </c>
      <c r="JD57" s="88">
        <f t="shared" si="723"/>
        <v>-7.98</v>
      </c>
      <c r="JE57" s="103">
        <f t="shared" si="508"/>
        <v>152.17660695203719</v>
      </c>
      <c r="JF57" s="88">
        <f>+JE57*'Irradiancia Horizontal'!M49</f>
        <v>9724.4991382498083</v>
      </c>
      <c r="JG57" s="88">
        <f t="shared" si="623"/>
        <v>36488.271274494153</v>
      </c>
      <c r="JH57" s="88">
        <f>+JG57/'Irradiancia Horizontal'!M78</f>
        <v>100.3701303982477</v>
      </c>
      <c r="JI57" s="38">
        <f t="shared" si="509"/>
        <v>0.62725898066290853</v>
      </c>
      <c r="JJ57" s="88">
        <f t="shared" si="624"/>
        <v>0.62725898066290853</v>
      </c>
      <c r="JK57" s="88">
        <f t="shared" si="625"/>
        <v>0.40930956630835552</v>
      </c>
      <c r="JL57" s="88">
        <f t="shared" si="626"/>
        <v>1.17</v>
      </c>
      <c r="JM57" s="88">
        <f t="shared" si="627"/>
        <v>-0.3</v>
      </c>
      <c r="JN57" s="88">
        <f t="shared" si="628"/>
        <v>-0.61499999999999999</v>
      </c>
      <c r="JO57" s="88">
        <f t="shared" si="629"/>
        <v>0.51800000000000002</v>
      </c>
      <c r="JP57" s="88">
        <f t="shared" si="630"/>
        <v>-1.8919999999999999</v>
      </c>
      <c r="JQ57" s="88">
        <f t="shared" si="631"/>
        <v>-5.5E-2</v>
      </c>
      <c r="JR57" s="88">
        <f t="shared" si="510"/>
        <v>0.43133256348799731</v>
      </c>
      <c r="JS57" s="88">
        <f t="shared" si="511"/>
        <v>0.25316609345881891</v>
      </c>
      <c r="JT57" s="88">
        <f t="shared" si="512"/>
        <v>11654.895934393275</v>
      </c>
      <c r="JU57" s="88">
        <f t="shared" si="724"/>
        <v>0.67800000000000005</v>
      </c>
      <c r="JV57" s="88">
        <f t="shared" si="725"/>
        <v>-0.32700000000000001</v>
      </c>
      <c r="JW57" s="88">
        <f t="shared" si="726"/>
        <v>-0.25</v>
      </c>
      <c r="JX57" s="88">
        <f t="shared" si="727"/>
        <v>0.156</v>
      </c>
      <c r="JY57" s="88">
        <f t="shared" si="728"/>
        <v>-1.377</v>
      </c>
      <c r="JZ57" s="88">
        <f t="shared" si="729"/>
        <v>0.251</v>
      </c>
      <c r="KA57" s="88">
        <f t="shared" si="519"/>
        <v>0.3558763090552669</v>
      </c>
      <c r="KB57" s="88">
        <f t="shared" si="520"/>
        <v>0.29767479467675451</v>
      </c>
      <c r="KC57" s="106">
        <f>IF(II57&lt;0,0,((0.5*(1-KA57)*(1+COS(RADIANS($IP$46))))+(KA57*(JJ57/JK57))+(KB57*SIN(RADIANS($IP$46))))*'Irradiancia Horizontal'!M49)</f>
        <v>74.453710450619141</v>
      </c>
      <c r="KD57" s="88">
        <f t="shared" si="521"/>
        <v>1.5324806266325075</v>
      </c>
      <c r="KE57" s="88">
        <f>KD57*'Irradiancia Horizontal'!M78</f>
        <v>557.1136413353704</v>
      </c>
      <c r="KF57" s="88">
        <f t="shared" si="632"/>
        <v>631.56735178598956</v>
      </c>
      <c r="KG57" s="88">
        <f t="shared" si="522"/>
        <v>68282.064863424937</v>
      </c>
      <c r="KH57" s="88">
        <f t="shared" si="633"/>
        <v>56627.168929031664</v>
      </c>
      <c r="KI57" s="106">
        <f t="shared" si="634"/>
        <v>89145.903926920495</v>
      </c>
      <c r="KJ57" s="106">
        <f t="shared" si="635"/>
        <v>55917.568827473726</v>
      </c>
      <c r="KK57" s="106">
        <f t="shared" si="636"/>
        <v>67572.464761866999</v>
      </c>
      <c r="KL57" s="40"/>
      <c r="KN57" s="39">
        <v>0.375</v>
      </c>
      <c r="KO57" s="38">
        <v>45</v>
      </c>
      <c r="KP57" s="38">
        <f t="shared" si="523"/>
        <v>21.932757611792816</v>
      </c>
      <c r="KQ57" s="38">
        <f t="shared" si="524"/>
        <v>135.62743572218571</v>
      </c>
      <c r="KR57" s="38">
        <f t="shared" si="525"/>
        <v>68.067242388207177</v>
      </c>
      <c r="KS57" s="38">
        <f>+'Irradiancia Horizontal'!N78/COS(RADIANS(KR57))</f>
        <v>714.01204246644431</v>
      </c>
      <c r="KT57" s="38">
        <f>((('Irradiancia Horizontal'!N49+KS57)/'Irradiancia Horizontal'!N49)+1.041*((RADIANS('Cálculos iluminancia'!KR57))^3))/(1+1.041*((RADIANS('Cálculos iluminancia'!KR57))^3))</f>
        <v>4.3556456598886424</v>
      </c>
      <c r="KU57" s="88">
        <f t="shared" si="526"/>
        <v>2.6618172365242754</v>
      </c>
      <c r="KV57" s="88">
        <f t="shared" si="637"/>
        <v>2.5961424264946089</v>
      </c>
      <c r="KW57" s="106">
        <f>'Irradiancia Horizontal'!N49*KV57/$KU$46</f>
        <v>0.14028275867120113</v>
      </c>
      <c r="KX57" s="88">
        <f>((17.27*Temp!M19)/(237.7+Temp!M19))+LN(HR!M30/100)</f>
        <v>0.34706738692002198</v>
      </c>
      <c r="KY57" s="88">
        <f t="shared" si="638"/>
        <v>4.8749185355217568</v>
      </c>
      <c r="KZ57" s="88">
        <f t="shared" si="639"/>
        <v>1.3050538411196317</v>
      </c>
      <c r="LA57" s="88">
        <f t="shared" si="730"/>
        <v>6</v>
      </c>
      <c r="LB57" s="88">
        <f t="shared" si="731"/>
        <v>88.34</v>
      </c>
      <c r="LC57" s="88">
        <f t="shared" si="732"/>
        <v>1.39</v>
      </c>
      <c r="LD57" s="88">
        <f t="shared" si="733"/>
        <v>6.06</v>
      </c>
      <c r="LE57" s="88">
        <f t="shared" si="734"/>
        <v>-7.6</v>
      </c>
      <c r="LF57" s="103">
        <f t="shared" si="532"/>
        <v>107.3446685131287</v>
      </c>
      <c r="LG57" s="165">
        <f>IF(LM57&gt;(LF57*'Irradiancia Horizontal'!N17),LM57,LF57*'Irradiancia Horizontal'!N17)</f>
        <v>36948.052958684631</v>
      </c>
      <c r="LH57" s="88">
        <f t="shared" si="735"/>
        <v>106.42</v>
      </c>
      <c r="LI57" s="88">
        <f t="shared" si="736"/>
        <v>3.83</v>
      </c>
      <c r="LJ57" s="88">
        <f t="shared" si="737"/>
        <v>-36.15</v>
      </c>
      <c r="LK57" s="88">
        <f t="shared" si="738"/>
        <v>-28.83</v>
      </c>
      <c r="LL57" s="103">
        <f t="shared" si="537"/>
        <v>154.54053786351585</v>
      </c>
      <c r="LM57" s="88">
        <f>+LL57*'Irradiancia Horizontal'!N49</f>
        <v>11977.460585438146</v>
      </c>
      <c r="LN57" s="88">
        <f t="shared" si="640"/>
        <v>24970.592373246487</v>
      </c>
      <c r="LO57" s="88">
        <f>+LN57/'Irradiancia Horizontal'!N78</f>
        <v>93.629251202561193</v>
      </c>
      <c r="LP57" s="38">
        <f t="shared" si="538"/>
        <v>0.66307189155250401</v>
      </c>
      <c r="LQ57" s="88">
        <f t="shared" si="641"/>
        <v>0.66307189155250401</v>
      </c>
      <c r="LR57" s="88">
        <f t="shared" si="642"/>
        <v>0.37351819172066375</v>
      </c>
      <c r="LS57" s="88">
        <f t="shared" si="643"/>
        <v>1.4259999999999999</v>
      </c>
      <c r="LT57" s="88">
        <f t="shared" si="644"/>
        <v>-0.65300000000000002</v>
      </c>
      <c r="LU57" s="88">
        <f t="shared" si="645"/>
        <v>-0.77900000000000003</v>
      </c>
      <c r="LV57" s="88">
        <f t="shared" si="646"/>
        <v>0.42499999999999999</v>
      </c>
      <c r="LW57" s="88">
        <f t="shared" si="647"/>
        <v>-0.78500000000000003</v>
      </c>
      <c r="LX57" s="88">
        <f t="shared" si="648"/>
        <v>-9.7000000000000003E-2</v>
      </c>
      <c r="LY57" s="88">
        <f t="shared" si="539"/>
        <v>0.40894531198686712</v>
      </c>
      <c r="LZ57" s="88">
        <f t="shared" si="540"/>
        <v>0.19964227767766252</v>
      </c>
      <c r="MA57" s="88">
        <f t="shared" si="541"/>
        <v>14626.059974892551</v>
      </c>
      <c r="MB57" s="88">
        <f t="shared" si="739"/>
        <v>1.1319999999999999</v>
      </c>
      <c r="MC57" s="88">
        <f t="shared" si="740"/>
        <v>-1.2370000000000001</v>
      </c>
      <c r="MD57" s="88">
        <f t="shared" si="741"/>
        <v>-0.41199999999999998</v>
      </c>
      <c r="ME57" s="88">
        <f t="shared" si="742"/>
        <v>0.28799999999999998</v>
      </c>
      <c r="MF57" s="88">
        <f t="shared" si="743"/>
        <v>-0.82299999999999995</v>
      </c>
      <c r="MG57" s="88">
        <f t="shared" si="744"/>
        <v>5.6000000000000001E-2</v>
      </c>
      <c r="MH57" s="88">
        <f t="shared" si="548"/>
        <v>0.46901526064369142</v>
      </c>
      <c r="MI57" s="88">
        <f t="shared" si="549"/>
        <v>0.23907514918952821</v>
      </c>
      <c r="MJ57" s="106">
        <f>IF(KP57&lt;0,0,((0.5*(1-MH57)*(1+COS(RADIANS($KW$46))))+(MH57*(LQ57/LR57))+(MI57*SIN(RADIANS($KW$46))))*'Irradiancia Horizontal'!N49)</f>
        <v>103.6353199952527</v>
      </c>
      <c r="MK57" s="88">
        <f t="shared" si="550"/>
        <v>1.7752064189911894</v>
      </c>
      <c r="ML57" s="88">
        <f>MK57*'Irradiancia Horizontal'!N78</f>
        <v>473.44131558949204</v>
      </c>
      <c r="MM57" s="88">
        <f t="shared" si="649"/>
        <v>577.07663558474474</v>
      </c>
      <c r="MN57" s="88">
        <f t="shared" si="551"/>
        <v>61946.100153515988</v>
      </c>
      <c r="MO57" s="88">
        <f t="shared" si="650"/>
        <v>47320.040178623436</v>
      </c>
      <c r="MP57" s="106">
        <f t="shared" si="651"/>
        <v>66852.412885744503</v>
      </c>
      <c r="MQ57" s="106">
        <f t="shared" si="652"/>
        <v>44327.955866999604</v>
      </c>
      <c r="MR57" s="106">
        <f t="shared" si="653"/>
        <v>58954.015841892156</v>
      </c>
    </row>
    <row r="58" spans="1:356" x14ac:dyDescent="0.25">
      <c r="A58" s="48"/>
      <c r="B58" s="37"/>
      <c r="E58" s="39">
        <v>0.41666666666666602</v>
      </c>
      <c r="F58" s="38">
        <v>30</v>
      </c>
      <c r="G58" s="38">
        <f t="shared" si="378"/>
        <v>61.515083298976819</v>
      </c>
      <c r="H58" s="38">
        <f t="shared" si="379"/>
        <v>100.77760344118244</v>
      </c>
      <c r="I58" s="38">
        <f t="shared" si="380"/>
        <v>28.484916701023181</v>
      </c>
      <c r="J58" s="38">
        <f>+'Irradiancia Horizontal'!I79/COS(RADIANS(I58))</f>
        <v>679.70519748509457</v>
      </c>
      <c r="K58" s="38">
        <f>((('Irradiancia Horizontal'!I50+J58)/'Irradiancia Horizontal'!I50)+1.041*((RADIANS('Cálculos iluminancia'!I58))^3))/(1+1.041*((RADIANS('Cálculos iluminancia'!I58))^3))</f>
        <v>4.0029970255756409</v>
      </c>
      <c r="L58" s="87">
        <f t="shared" si="381"/>
        <v>1.1370679809360884</v>
      </c>
      <c r="M58" s="87">
        <f t="shared" si="654"/>
        <v>1.1090131909174075</v>
      </c>
      <c r="N58" s="106">
        <f>'Irradiancia Horizontal'!I50*M58/$L$46</f>
        <v>0.1657862657911201</v>
      </c>
      <c r="O58" s="87">
        <f>((17.27*Temp!H20)/(237.7+Temp!H20))+LN(HR!H31/100)</f>
        <v>1.3805589344532021</v>
      </c>
      <c r="P58" s="87">
        <f t="shared" si="553"/>
        <v>20.652637016356451</v>
      </c>
      <c r="Q58" s="87">
        <f t="shared" si="554"/>
        <v>3.9380457240999833</v>
      </c>
      <c r="R58" s="87">
        <f t="shared" si="655"/>
        <v>6</v>
      </c>
      <c r="S58" s="87">
        <f t="shared" si="656"/>
        <v>88.34</v>
      </c>
      <c r="T58" s="87">
        <f t="shared" si="657"/>
        <v>1.39</v>
      </c>
      <c r="U58" s="87">
        <f t="shared" si="658"/>
        <v>6.06</v>
      </c>
      <c r="V58" s="87">
        <f t="shared" si="659"/>
        <v>-7.6</v>
      </c>
      <c r="W58" s="103">
        <f t="shared" si="387"/>
        <v>112.79790094841962</v>
      </c>
      <c r="X58" s="165">
        <f>IF(AD58&gt;(W58*'Irradiancia Horizontal'!I18),AD58,W58*'Irradiancia Horizontal'!I18)</f>
        <v>90023.41427244067</v>
      </c>
      <c r="Y58" s="87">
        <f t="shared" si="660"/>
        <v>106.42</v>
      </c>
      <c r="Z58" s="87">
        <f t="shared" si="661"/>
        <v>3.83</v>
      </c>
      <c r="AA58" s="87">
        <f t="shared" si="662"/>
        <v>-36.15</v>
      </c>
      <c r="AB58" s="87">
        <f t="shared" si="663"/>
        <v>-28.83</v>
      </c>
      <c r="AC58" s="103">
        <f t="shared" si="392"/>
        <v>141.53805756717813</v>
      </c>
      <c r="AD58" s="87">
        <f>+AC58*'Irradiancia Horizontal'!I50</f>
        <v>28402.844911066888</v>
      </c>
      <c r="AE58" s="87">
        <f t="shared" si="393"/>
        <v>61620.569361373782</v>
      </c>
      <c r="AF58" s="87">
        <f>+AE58/'Irradiancia Horizontal'!I79</f>
        <v>103.14413890856333</v>
      </c>
      <c r="AG58" s="38">
        <f t="shared" si="555"/>
        <v>8.9184149146877556E-2</v>
      </c>
      <c r="AH58" s="87">
        <f t="shared" si="556"/>
        <v>8.9184149146877556E-2</v>
      </c>
      <c r="AI58" s="87">
        <f t="shared" si="557"/>
        <v>0.87894269579299078</v>
      </c>
      <c r="AJ58" s="87">
        <f t="shared" si="558"/>
        <v>1.4259999999999999</v>
      </c>
      <c r="AK58" s="87">
        <f t="shared" si="559"/>
        <v>-0.65300000000000002</v>
      </c>
      <c r="AL58" s="87">
        <f t="shared" si="560"/>
        <v>-0.77900000000000003</v>
      </c>
      <c r="AM58" s="87">
        <f t="shared" si="561"/>
        <v>0.42499999999999999</v>
      </c>
      <c r="AN58" s="87">
        <f t="shared" si="562"/>
        <v>-0.78500000000000003</v>
      </c>
      <c r="AO58" s="87">
        <f t="shared" si="563"/>
        <v>-9.7000000000000003E-2</v>
      </c>
      <c r="AP58" s="87">
        <f t="shared" si="394"/>
        <v>0.93045736882243046</v>
      </c>
      <c r="AQ58" s="87">
        <f t="shared" si="395"/>
        <v>0.24663368974582062</v>
      </c>
      <c r="AR58" s="88">
        <f t="shared" si="396"/>
        <v>10674.24985130184</v>
      </c>
      <c r="AS58" s="87">
        <f t="shared" si="664"/>
        <v>1.1319999999999999</v>
      </c>
      <c r="AT58" s="87">
        <f t="shared" si="665"/>
        <v>-1.2370000000000001</v>
      </c>
      <c r="AU58" s="87">
        <f t="shared" si="666"/>
        <v>-0.41199999999999998</v>
      </c>
      <c r="AV58" s="87">
        <f t="shared" si="667"/>
        <v>0.28799999999999998</v>
      </c>
      <c r="AW58" s="87">
        <f t="shared" si="668"/>
        <v>-0.82299999999999995</v>
      </c>
      <c r="AX58" s="87">
        <f t="shared" si="669"/>
        <v>5.6000000000000001E-2</v>
      </c>
      <c r="AY58" s="87">
        <f t="shared" si="403"/>
        <v>0.72209428877764381</v>
      </c>
      <c r="AZ58" s="87">
        <f t="shared" si="404"/>
        <v>0.17939861593490197</v>
      </c>
      <c r="BA58" s="106">
        <f>IF(G58&lt;0,0,((0.5*(1-AY58)*(1+COS(RADIANS($N$46))))+(AY58*(AH58/AI58))+(AZ58*SIN(RADIANS($N$46))))*'Irradiancia Horizontal'!I50)</f>
        <v>78.587620458675133</v>
      </c>
      <c r="BB58" s="87">
        <f t="shared" si="405"/>
        <v>0.10146753545339464</v>
      </c>
      <c r="BC58" s="87">
        <f>BB58*'Irradiancia Horizontal'!I79</f>
        <v>60.618929708418534</v>
      </c>
      <c r="BD58" s="87">
        <f t="shared" si="564"/>
        <v>139.20655016709367</v>
      </c>
      <c r="BE58" s="88">
        <f t="shared" si="406"/>
        <v>15702.206657119039</v>
      </c>
      <c r="BF58" s="87">
        <f t="shared" si="565"/>
        <v>5027.956805817199</v>
      </c>
      <c r="BG58" s="106">
        <f t="shared" si="566"/>
        <v>70107.607306275066</v>
      </c>
      <c r="BH58" s="106">
        <f t="shared" si="567"/>
        <v>6252.4873063335581</v>
      </c>
      <c r="BI58" s="106">
        <f t="shared" si="568"/>
        <v>16926.737157635398</v>
      </c>
      <c r="BJ58" s="44"/>
      <c r="BL58" s="39">
        <v>0.41666666666666602</v>
      </c>
      <c r="BM58" s="38">
        <v>30</v>
      </c>
      <c r="BN58" s="38">
        <f t="shared" si="407"/>
        <v>57.139651075019302</v>
      </c>
      <c r="BO58" s="38">
        <f t="shared" si="408"/>
        <v>115.55422361507756</v>
      </c>
      <c r="BP58" s="38">
        <f t="shared" si="409"/>
        <v>32.860348924980698</v>
      </c>
      <c r="BQ58" s="38">
        <f>+'Irradiancia Horizontal'!J79/COS(RADIANS(BP58))</f>
        <v>690.28797558176962</v>
      </c>
      <c r="BR58" s="38">
        <f>((('Irradiancia Horizontal'!J50+BQ58)/'Irradiancia Horizontal'!J50)+1.041*((RADIANS('Cálculos iluminancia'!BP58))^3))/(1+1.041*((RADIANS('Cálculos iluminancia'!BP58))^3))</f>
        <v>3.9527381237715855</v>
      </c>
      <c r="BS58" s="87">
        <f t="shared" si="410"/>
        <v>1.1896731091817776</v>
      </c>
      <c r="BT58" s="87">
        <f t="shared" si="569"/>
        <v>1.1603203969178291</v>
      </c>
      <c r="BU58" s="106">
        <f>'Irradiancia Horizontal'!J50*BT58/$BS$46</f>
        <v>0.16738724750821726</v>
      </c>
      <c r="BV58" s="87">
        <f>((17.27*Temp!I20)/(237.7+Temp!I20))+LN(HR!I31/100)</f>
        <v>1.5194071610172992</v>
      </c>
      <c r="BW58" s="87">
        <f t="shared" si="570"/>
        <v>22.930126241339551</v>
      </c>
      <c r="BX58" s="87">
        <f t="shared" si="571"/>
        <v>4.618679477673223</v>
      </c>
      <c r="BY58" s="87">
        <f t="shared" si="670"/>
        <v>6</v>
      </c>
      <c r="BZ58" s="87">
        <f t="shared" si="671"/>
        <v>88.34</v>
      </c>
      <c r="CA58" s="87">
        <f t="shared" si="672"/>
        <v>1.39</v>
      </c>
      <c r="CB58" s="87">
        <f t="shared" si="673"/>
        <v>6.06</v>
      </c>
      <c r="CC58" s="87">
        <f t="shared" si="674"/>
        <v>-7.6</v>
      </c>
      <c r="CD58" s="103">
        <f t="shared" si="416"/>
        <v>113.43492189227976</v>
      </c>
      <c r="CE58" s="165">
        <f>IF(CK58&gt;(CD58*'Irradiancia Horizontal'!J18),CK58,CD58*'Irradiancia Horizontal'!J18)</f>
        <v>87939.735157239251</v>
      </c>
      <c r="CF58" s="87">
        <f t="shared" si="675"/>
        <v>106.42</v>
      </c>
      <c r="CG58" s="87">
        <f t="shared" si="676"/>
        <v>3.83</v>
      </c>
      <c r="CH58" s="87">
        <f t="shared" si="677"/>
        <v>-36.15</v>
      </c>
      <c r="CI58" s="87">
        <f t="shared" si="678"/>
        <v>-28.83</v>
      </c>
      <c r="CJ58" s="103">
        <f t="shared" si="421"/>
        <v>145.27575090388922</v>
      </c>
      <c r="CK58" s="87">
        <f>+CJ58*'Irradiancia Horizontal'!J50</f>
        <v>28387.622328017838</v>
      </c>
      <c r="CL58" s="87">
        <f t="shared" si="572"/>
        <v>59552.112829221413</v>
      </c>
      <c r="CM58" s="87">
        <f>+CL58/'Irradiancia Horizontal'!J79</f>
        <v>102.70459491594451</v>
      </c>
      <c r="CN58" s="38">
        <f t="shared" si="422"/>
        <v>0.23405579551672301</v>
      </c>
      <c r="CO58" s="87">
        <f t="shared" si="573"/>
        <v>0.23405579551672301</v>
      </c>
      <c r="CP58" s="87">
        <f t="shared" si="574"/>
        <v>0.83999556287831545</v>
      </c>
      <c r="CQ58" s="87">
        <f t="shared" si="575"/>
        <v>1.4259999999999999</v>
      </c>
      <c r="CR58" s="87">
        <f t="shared" si="576"/>
        <v>-0.65300000000000002</v>
      </c>
      <c r="CS58" s="87">
        <f t="shared" si="577"/>
        <v>-0.77900000000000003</v>
      </c>
      <c r="CT58" s="87">
        <f t="shared" si="578"/>
        <v>0.42499999999999999</v>
      </c>
      <c r="CU58" s="87">
        <f t="shared" si="579"/>
        <v>-0.78500000000000003</v>
      </c>
      <c r="CV58" s="87">
        <f t="shared" si="580"/>
        <v>-9.7000000000000003E-2</v>
      </c>
      <c r="CW58" s="87">
        <f t="shared" si="423"/>
        <v>0.86992304862505709</v>
      </c>
      <c r="CX58" s="87">
        <f t="shared" si="424"/>
        <v>0.23796944634282546</v>
      </c>
      <c r="CY58" s="88">
        <f t="shared" si="425"/>
        <v>15482.685635315094</v>
      </c>
      <c r="CZ58" s="87">
        <f t="shared" si="679"/>
        <v>1.1319999999999999</v>
      </c>
      <c r="DA58" s="87">
        <f t="shared" si="680"/>
        <v>-1.2370000000000001</v>
      </c>
      <c r="DB58" s="87">
        <f t="shared" si="681"/>
        <v>-0.41199999999999998</v>
      </c>
      <c r="DC58" s="87">
        <f t="shared" si="682"/>
        <v>0.28799999999999998</v>
      </c>
      <c r="DD58" s="87">
        <f t="shared" si="683"/>
        <v>-0.82299999999999995</v>
      </c>
      <c r="DE58" s="87">
        <f t="shared" si="684"/>
        <v>5.6000000000000001E-2</v>
      </c>
      <c r="DF58" s="87">
        <f t="shared" si="432"/>
        <v>0.68865120660915702</v>
      </c>
      <c r="DG58" s="87">
        <f t="shared" si="433"/>
        <v>0.18235748709806235</v>
      </c>
      <c r="DH58" s="106">
        <f>IF(BN58&lt;0,0,((0.5*(1-DF58)*(1+COS(RADIANS($BU$46))))+(DF58*(CO58/CP58))+(DG58*SIN(RADIANS($BU$46))))*'Irradiancia Horizontal'!J50)</f>
        <v>103.54852043823993</v>
      </c>
      <c r="DI58" s="87">
        <f t="shared" si="434"/>
        <v>0.2786393236587002</v>
      </c>
      <c r="DJ58" s="87">
        <f>DI58*'Irradiancia Horizontal'!J79</f>
        <v>161.56590126041934</v>
      </c>
      <c r="DK58" s="87">
        <f t="shared" si="581"/>
        <v>265.11442169865927</v>
      </c>
      <c r="DL58" s="88">
        <f t="shared" si="435"/>
        <v>30073.233717904332</v>
      </c>
      <c r="DM58" s="87">
        <f t="shared" si="582"/>
        <v>14590.548082589237</v>
      </c>
      <c r="DN58" s="106">
        <f t="shared" si="583"/>
        <v>70895.746907473047</v>
      </c>
      <c r="DO58" s="106">
        <f t="shared" si="584"/>
        <v>16593.56044118086</v>
      </c>
      <c r="DP58" s="106">
        <f t="shared" si="585"/>
        <v>32076.246076495954</v>
      </c>
      <c r="DQ58" s="44"/>
      <c r="DS58" s="39">
        <v>0.41666666666666602</v>
      </c>
      <c r="DT58" s="38">
        <v>30</v>
      </c>
      <c r="DU58" s="38">
        <f t="shared" si="436"/>
        <v>49.037525394311317</v>
      </c>
      <c r="DV58" s="38">
        <f t="shared" si="437"/>
        <v>130.29749452432006</v>
      </c>
      <c r="DW58" s="38">
        <f t="shared" si="438"/>
        <v>40.962474605688683</v>
      </c>
      <c r="DX58" s="38">
        <f>+'Irradiancia Horizontal'!K79/COS(RADIANS(DW58))</f>
        <v>920.26332663497396</v>
      </c>
      <c r="DY58" s="38">
        <f>((('Irradiancia Horizontal'!K50+DX58)/'Irradiancia Horizontal'!K50)+1.041*((RADIANS('Cálculos iluminancia'!DW58))^3))/(1+1.041*((RADIANS('Cálculos iluminancia'!DW58))^3))</f>
        <v>6.2864228720235733</v>
      </c>
      <c r="DZ58" s="87">
        <f t="shared" si="439"/>
        <v>1.3230061951481971</v>
      </c>
      <c r="EA58" s="87">
        <f t="shared" si="586"/>
        <v>1.2903637660053586</v>
      </c>
      <c r="EB58" s="106">
        <f>'Irradiancia Horizontal'!K50*EA58/$DZ$46</f>
        <v>0.11827888815834661</v>
      </c>
      <c r="EC58" s="87">
        <f>((17.27*Temp!J20)/(237.7+Temp!J20))+LN(HR!J31/100)</f>
        <v>1.3800616509387706</v>
      </c>
      <c r="ED58" s="87">
        <f t="shared" si="587"/>
        <v>20.644551742236704</v>
      </c>
      <c r="EE58" s="87">
        <f t="shared" si="588"/>
        <v>3.9358175421583432</v>
      </c>
      <c r="EF58" s="87">
        <f t="shared" si="685"/>
        <v>8</v>
      </c>
      <c r="EG58" s="87">
        <f t="shared" si="686"/>
        <v>99.65</v>
      </c>
      <c r="EH58" s="87">
        <f t="shared" si="687"/>
        <v>1.86</v>
      </c>
      <c r="EI58" s="87">
        <f t="shared" si="688"/>
        <v>-4.46</v>
      </c>
      <c r="EJ58" s="87">
        <f t="shared" si="689"/>
        <v>-3.15</v>
      </c>
      <c r="EK58" s="103">
        <f t="shared" si="445"/>
        <v>110.32703669806203</v>
      </c>
      <c r="EL58" s="165">
        <f>IF(ER58&gt;(EK58*'Irradiancia Horizontal'!K18),ER58,EK58*'Irradiancia Horizontal'!K18)</f>
        <v>90582.414986820339</v>
      </c>
      <c r="EM58" s="87">
        <f t="shared" si="690"/>
        <v>152.22999999999999</v>
      </c>
      <c r="EN58" s="87">
        <f t="shared" si="691"/>
        <v>0.35</v>
      </c>
      <c r="EO58" s="87">
        <f t="shared" si="692"/>
        <v>-45.27</v>
      </c>
      <c r="EP58" s="87">
        <f t="shared" si="693"/>
        <v>-7.98</v>
      </c>
      <c r="EQ58" s="103">
        <f t="shared" si="450"/>
        <v>136.45737481349201</v>
      </c>
      <c r="ER58" s="87">
        <f>+EQ58*'Irradiancia Horizontal'!K50</f>
        <v>17208.461084274943</v>
      </c>
      <c r="ES58" s="87">
        <f t="shared" si="589"/>
        <v>73373.9539025454</v>
      </c>
      <c r="ET58" s="87">
        <f>+ES58/'Irradiancia Horizontal'!K79</f>
        <v>105.58515211812795</v>
      </c>
      <c r="EU58" s="38">
        <f t="shared" si="451"/>
        <v>0.42399061764838253</v>
      </c>
      <c r="EV58" s="87">
        <f t="shared" si="590"/>
        <v>0.42399061764838253</v>
      </c>
      <c r="EW58" s="87">
        <f t="shared" si="591"/>
        <v>0.75513909873139351</v>
      </c>
      <c r="EX58" s="87">
        <f t="shared" si="592"/>
        <v>1.17</v>
      </c>
      <c r="EY58" s="87">
        <f t="shared" si="593"/>
        <v>-0.3</v>
      </c>
      <c r="EZ58" s="87">
        <f t="shared" si="594"/>
        <v>-0.61499999999999999</v>
      </c>
      <c r="FA58" s="87">
        <f t="shared" si="595"/>
        <v>0.51800000000000002</v>
      </c>
      <c r="FB58" s="87">
        <f t="shared" si="596"/>
        <v>-1.8919999999999999</v>
      </c>
      <c r="FC58" s="87">
        <f t="shared" si="597"/>
        <v>-5.5E-2</v>
      </c>
      <c r="FD58" s="87">
        <f t="shared" si="452"/>
        <v>0.69483435179768827</v>
      </c>
      <c r="FE58" s="87">
        <f t="shared" si="453"/>
        <v>0.25489519076454736</v>
      </c>
      <c r="FF58" s="88">
        <f t="shared" si="454"/>
        <v>13725.625384937124</v>
      </c>
      <c r="FG58" s="87">
        <f t="shared" si="694"/>
        <v>0.67800000000000005</v>
      </c>
      <c r="FH58" s="87">
        <f t="shared" si="695"/>
        <v>-0.32700000000000001</v>
      </c>
      <c r="FI58" s="87">
        <f t="shared" si="696"/>
        <v>-0.25</v>
      </c>
      <c r="FJ58" s="87">
        <f t="shared" si="697"/>
        <v>0.156</v>
      </c>
      <c r="FK58" s="87">
        <f t="shared" si="698"/>
        <v>-1.377</v>
      </c>
      <c r="FL58" s="87">
        <f t="shared" si="699"/>
        <v>0.251</v>
      </c>
      <c r="FM58" s="87">
        <f t="shared" si="461"/>
        <v>0.46059029066376234</v>
      </c>
      <c r="FN58" s="87">
        <f t="shared" si="462"/>
        <v>0.17257741396604892</v>
      </c>
      <c r="FO58" s="106">
        <f>IF(DU58&lt;0,0,((0.5*(1-FM58)*(1+COS(RADIANS($EB$46))))+(FM58*(EV58/EW58))+(FN58*SIN(RADIANS($EB$46))))*'Irradiancia Horizontal'!K50)</f>
        <v>88.388513794694973</v>
      </c>
      <c r="FP58" s="87">
        <f t="shared" si="463"/>
        <v>0.56147353296984825</v>
      </c>
      <c r="FQ58" s="87">
        <f>FP58*'Irradiancia Horizontal'!K79</f>
        <v>390.18301625911784</v>
      </c>
      <c r="FR58" s="87">
        <f t="shared" si="598"/>
        <v>478.57153005381281</v>
      </c>
      <c r="FS58" s="88">
        <f t="shared" si="464"/>
        <v>52799.378758894702</v>
      </c>
      <c r="FT58" s="87">
        <f t="shared" si="599"/>
        <v>39073.753373957574</v>
      </c>
      <c r="FU58" s="106">
        <f t="shared" si="600"/>
        <v>97166.143331488202</v>
      </c>
      <c r="FV58" s="106">
        <f t="shared" si="601"/>
        <v>41197.53312562895</v>
      </c>
      <c r="FW58" s="106">
        <f t="shared" si="602"/>
        <v>54923.158510566078</v>
      </c>
      <c r="FX58" s="83"/>
      <c r="FZ58" s="39">
        <v>0.41666666666666602</v>
      </c>
      <c r="GA58" s="38">
        <v>30</v>
      </c>
      <c r="GB58" s="38">
        <f t="shared" si="465"/>
        <v>39.939246849075232</v>
      </c>
      <c r="GC58" s="38">
        <f t="shared" si="466"/>
        <v>140.32371555745891</v>
      </c>
      <c r="GD58" s="38">
        <f t="shared" si="467"/>
        <v>50.060753150924768</v>
      </c>
      <c r="GE58" s="38">
        <f>+'Irradiancia Horizontal'!L79/COS(RADIANS(GD58))</f>
        <v>1044.7368663003367</v>
      </c>
      <c r="GF58" s="38">
        <f>((('Irradiancia Horizontal'!L50+GE58)/'Irradiancia Horizontal'!L50)+1.041*((RADIANS('Cálculos iluminancia'!GD58))^3))/(1+1.041*((RADIANS('Cálculos iluminancia'!GD58))^3))</f>
        <v>8.3633953901342739</v>
      </c>
      <c r="GG58" s="88">
        <f t="shared" si="468"/>
        <v>1.5553650649049895</v>
      </c>
      <c r="GH58" s="88">
        <f t="shared" si="603"/>
        <v>1.5169896634075533</v>
      </c>
      <c r="GI58" s="106">
        <f>'Irradiancia Horizontal'!L50*GH58/$GG$46</f>
        <v>9.0732270618005664E-2</v>
      </c>
      <c r="GJ58" s="88">
        <f>((17.27*Temp!K20)/(237.7+Temp!K20))+LN(HR!K31/100)</f>
        <v>1.0217522904593417</v>
      </c>
      <c r="GK58" s="88">
        <f t="shared" si="604"/>
        <v>14.947489956075486</v>
      </c>
      <c r="GL58" s="88">
        <f t="shared" si="605"/>
        <v>2.6414401952760214</v>
      </c>
      <c r="GM58" s="88">
        <f t="shared" si="700"/>
        <v>8</v>
      </c>
      <c r="GN58" s="88">
        <f t="shared" si="701"/>
        <v>99.65</v>
      </c>
      <c r="GO58" s="88">
        <f t="shared" si="702"/>
        <v>1.86</v>
      </c>
      <c r="GP58" s="88">
        <f t="shared" si="703"/>
        <v>-4.46</v>
      </c>
      <c r="GQ58" s="88">
        <f t="shared" si="704"/>
        <v>-3.15</v>
      </c>
      <c r="GR58" s="103">
        <f t="shared" si="474"/>
        <v>109.25937325543539</v>
      </c>
      <c r="GS58" s="165">
        <f>IF(GY58&gt;(GR58*'Irradiancia Horizontal'!L18),GY58,GR58*'Irradiancia Horizontal'!L18)</f>
        <v>82428.963865583879</v>
      </c>
      <c r="GT58" s="88">
        <f t="shared" si="705"/>
        <v>152.22999999999999</v>
      </c>
      <c r="GU58" s="88">
        <f t="shared" si="706"/>
        <v>0.35</v>
      </c>
      <c r="GV58" s="88">
        <f t="shared" si="707"/>
        <v>-45.27</v>
      </c>
      <c r="GW58" s="88">
        <f t="shared" si="708"/>
        <v>-7.98</v>
      </c>
      <c r="GX58" s="103">
        <f t="shared" si="479"/>
        <v>143.24303744550335</v>
      </c>
      <c r="GY58" s="88">
        <f>+GX58*'Irradiancia Horizontal'!L50</f>
        <v>11995.01003241326</v>
      </c>
      <c r="GZ58" s="88">
        <f t="shared" si="606"/>
        <v>70433.953833170614</v>
      </c>
      <c r="HA58" s="88">
        <f>+GZ58/'Irradiancia Horizontal'!L79</f>
        <v>105.01638064304247</v>
      </c>
      <c r="HB58" s="38">
        <f t="shared" si="480"/>
        <v>0.59012099387589745</v>
      </c>
      <c r="HC58" s="88">
        <f t="shared" si="607"/>
        <v>0.59012099387589745</v>
      </c>
      <c r="HD58" s="88">
        <f t="shared" si="608"/>
        <v>0.64197497899618094</v>
      </c>
      <c r="HE58" s="88">
        <f t="shared" si="609"/>
        <v>1.17</v>
      </c>
      <c r="HF58" s="88">
        <f t="shared" si="610"/>
        <v>-0.3</v>
      </c>
      <c r="HG58" s="88">
        <f t="shared" si="611"/>
        <v>-0.61499999999999999</v>
      </c>
      <c r="HH58" s="88">
        <f t="shared" si="612"/>
        <v>0.51800000000000002</v>
      </c>
      <c r="HI58" s="88">
        <f t="shared" si="613"/>
        <v>-1.8919999999999999</v>
      </c>
      <c r="HJ58" s="88">
        <f t="shared" si="614"/>
        <v>-5.5E-2</v>
      </c>
      <c r="HK58" s="88">
        <f t="shared" si="481"/>
        <v>0.60543946317986397</v>
      </c>
      <c r="HL58" s="88">
        <f t="shared" si="482"/>
        <v>0.29827967072258632</v>
      </c>
      <c r="HM58" s="88">
        <f t="shared" si="483"/>
        <v>12619.907900107975</v>
      </c>
      <c r="HN58" s="88">
        <f t="shared" si="709"/>
        <v>0.67800000000000005</v>
      </c>
      <c r="HO58" s="88">
        <f t="shared" si="710"/>
        <v>-0.32700000000000001</v>
      </c>
      <c r="HP58" s="88">
        <f t="shared" si="711"/>
        <v>-0.25</v>
      </c>
      <c r="HQ58" s="88">
        <f t="shared" si="712"/>
        <v>0.156</v>
      </c>
      <c r="HR58" s="88">
        <f t="shared" si="713"/>
        <v>-1.377</v>
      </c>
      <c r="HS58" s="88">
        <f t="shared" si="714"/>
        <v>0.251</v>
      </c>
      <c r="HT58" s="88">
        <f t="shared" si="490"/>
        <v>0.42989930537997145</v>
      </c>
      <c r="HU58" s="88">
        <f t="shared" si="491"/>
        <v>0.25036663045545871</v>
      </c>
      <c r="HV58" s="106">
        <f>IF(GB58&lt;0,0,((0.5*(1-HT58)*(1+COS(RADIANS($GI$46))))+(HT58*(HC58/HD58))+(HU58*SIN(RADIANS($GI$46))))*'Irradiancia Horizontal'!L50)</f>
        <v>77.926738925271124</v>
      </c>
      <c r="HW58" s="88">
        <f t="shared" si="492"/>
        <v>0.91922740477928822</v>
      </c>
      <c r="HX58" s="88">
        <f>HW58*'Irradiancia Horizontal'!L79</f>
        <v>616.52115787994535</v>
      </c>
      <c r="HY58" s="88">
        <f t="shared" si="615"/>
        <v>694.44789680521649</v>
      </c>
      <c r="HZ58" s="88">
        <f t="shared" si="493"/>
        <v>75874.941963493227</v>
      </c>
      <c r="IA58" s="88">
        <f t="shared" si="616"/>
        <v>63255.034063385254</v>
      </c>
      <c r="IB58" s="106">
        <f t="shared" si="617"/>
        <v>109714.48442321553</v>
      </c>
      <c r="IC58" s="106">
        <f t="shared" si="618"/>
        <v>64744.820590409618</v>
      </c>
      <c r="ID58" s="106">
        <f t="shared" si="619"/>
        <v>77364.728490517591</v>
      </c>
      <c r="IE58" s="83"/>
      <c r="IG58" s="39">
        <v>0.41666666666666602</v>
      </c>
      <c r="IH58" s="38">
        <v>30</v>
      </c>
      <c r="II58" s="38">
        <f t="shared" si="494"/>
        <v>32.646169918095019</v>
      </c>
      <c r="IJ58" s="38">
        <f t="shared" si="495"/>
        <v>146.19150902310417</v>
      </c>
      <c r="IK58" s="38">
        <f t="shared" si="496"/>
        <v>57.353830081904981</v>
      </c>
      <c r="IL58" s="38">
        <f>+'Irradiancia Horizontal'!M79/COS(RADIANS(IK58))</f>
        <v>980.03974225161767</v>
      </c>
      <c r="IM58" s="38">
        <f>((('Irradiancia Horizontal'!M50+IL58)/'Irradiancia Horizontal'!M50)+1.041*((RADIANS('Cálculos iluminancia'!IK58))^3))/(1+1.041*((RADIANS('Cálculos iluminancia'!IK58))^3))</f>
        <v>6.6925783541406307</v>
      </c>
      <c r="IN58" s="88">
        <f t="shared" si="497"/>
        <v>1.8493728127035414</v>
      </c>
      <c r="IO58" s="88">
        <f t="shared" si="620"/>
        <v>1.8037433808696224</v>
      </c>
      <c r="IP58" s="106">
        <f>'Irradiancia Horizontal'!M50*IO58/$IN$46</f>
        <v>0.10681657953721382</v>
      </c>
      <c r="IQ58" s="88">
        <f>((17.27*Temp!L20)/(237.7+Temp!L20))+LN(HR!L31/100)</f>
        <v>0.6977722045466731</v>
      </c>
      <c r="IR58" s="88">
        <f t="shared" si="621"/>
        <v>10.008337748425642</v>
      </c>
      <c r="IS58" s="88">
        <f t="shared" si="622"/>
        <v>1.8693366632276502</v>
      </c>
      <c r="IT58" s="88">
        <f t="shared" si="715"/>
        <v>8</v>
      </c>
      <c r="IU58" s="88">
        <f t="shared" si="716"/>
        <v>99.65</v>
      </c>
      <c r="IV58" s="88">
        <f t="shared" si="717"/>
        <v>1.86</v>
      </c>
      <c r="IW58" s="88">
        <f t="shared" si="718"/>
        <v>-4.46</v>
      </c>
      <c r="IX58" s="88">
        <f t="shared" si="719"/>
        <v>-3.15</v>
      </c>
      <c r="IY58" s="103">
        <f t="shared" si="503"/>
        <v>107.76644424103213</v>
      </c>
      <c r="IZ58" s="165">
        <f>IF(JF58&gt;(IY58*'Irradiancia Horizontal'!M18),JF58,IY58*'Irradiancia Horizontal'!M18)</f>
        <v>66050.323216543416</v>
      </c>
      <c r="JA58" s="88">
        <f t="shared" si="720"/>
        <v>152.22999999999999</v>
      </c>
      <c r="JB58" s="88">
        <f t="shared" si="721"/>
        <v>0.35</v>
      </c>
      <c r="JC58" s="88">
        <f t="shared" si="722"/>
        <v>-45.27</v>
      </c>
      <c r="JD58" s="88">
        <f t="shared" si="723"/>
        <v>-7.98</v>
      </c>
      <c r="JE58" s="103">
        <f t="shared" si="508"/>
        <v>146.3117943705933</v>
      </c>
      <c r="JF58" s="88">
        <f>+JE58*'Irradiancia Horizontal'!M50</f>
        <v>12322.464055293594</v>
      </c>
      <c r="JG58" s="88">
        <f t="shared" si="623"/>
        <v>53727.85916124982</v>
      </c>
      <c r="JH58" s="88">
        <f>+JG58/'Irradiancia Horizontal'!M79</f>
        <v>101.62605703398543</v>
      </c>
      <c r="JI58" s="38">
        <f t="shared" si="509"/>
        <v>0.69963443419874294</v>
      </c>
      <c r="JJ58" s="88">
        <f t="shared" si="624"/>
        <v>0.69963443419874294</v>
      </c>
      <c r="JK58" s="88">
        <f t="shared" si="625"/>
        <v>0.53944947254613906</v>
      </c>
      <c r="JL58" s="88">
        <f t="shared" si="626"/>
        <v>1.17</v>
      </c>
      <c r="JM58" s="88">
        <f t="shared" si="627"/>
        <v>-0.3</v>
      </c>
      <c r="JN58" s="88">
        <f t="shared" si="628"/>
        <v>-0.61499999999999999</v>
      </c>
      <c r="JO58" s="88">
        <f t="shared" si="629"/>
        <v>0.51800000000000002</v>
      </c>
      <c r="JP58" s="88">
        <f t="shared" si="630"/>
        <v>-1.8919999999999999</v>
      </c>
      <c r="JQ58" s="88">
        <f t="shared" si="631"/>
        <v>-5.5E-2</v>
      </c>
      <c r="JR58" s="88">
        <f t="shared" si="510"/>
        <v>0.52233192440029008</v>
      </c>
      <c r="JS58" s="88">
        <f t="shared" si="511"/>
        <v>0.26084730696986785</v>
      </c>
      <c r="JT58" s="88">
        <f t="shared" si="512"/>
        <v>14504.961214357169</v>
      </c>
      <c r="JU58" s="88">
        <f t="shared" si="724"/>
        <v>0.67800000000000005</v>
      </c>
      <c r="JV58" s="88">
        <f t="shared" si="725"/>
        <v>-0.32700000000000001</v>
      </c>
      <c r="JW58" s="88">
        <f t="shared" si="726"/>
        <v>-0.25</v>
      </c>
      <c r="JX58" s="88">
        <f t="shared" si="727"/>
        <v>0.156</v>
      </c>
      <c r="JY58" s="88">
        <f t="shared" si="728"/>
        <v>-1.377</v>
      </c>
      <c r="JZ58" s="88">
        <f t="shared" si="729"/>
        <v>0.251</v>
      </c>
      <c r="KA58" s="88">
        <f t="shared" si="519"/>
        <v>0.39281768510167836</v>
      </c>
      <c r="KB58" s="88">
        <f t="shared" si="520"/>
        <v>0.26016787654046791</v>
      </c>
      <c r="KC58" s="106">
        <f>IF(II58&lt;0,0,((0.5*(1-KA58)*(1+COS(RADIANS($IP$46))))+(KA58*(JJ58/JK58))+(KB58*SIN(RADIANS($IP$46))))*'Irradiancia Horizontal'!M50)</f>
        <v>90.387261369517134</v>
      </c>
      <c r="KD58" s="88">
        <f t="shared" si="521"/>
        <v>1.2969415483836686</v>
      </c>
      <c r="KE58" s="88">
        <f>KD58*'Irradiancia Horizontal'!M79</f>
        <v>685.66955056249242</v>
      </c>
      <c r="KF58" s="88">
        <f t="shared" si="632"/>
        <v>776.05681193200951</v>
      </c>
      <c r="KG58" s="88">
        <f t="shared" si="522"/>
        <v>83632.883150944064</v>
      </c>
      <c r="KH58" s="88">
        <f t="shared" si="633"/>
        <v>69127.921936586892</v>
      </c>
      <c r="KI58" s="106">
        <f t="shared" si="634"/>
        <v>99597.574741635297</v>
      </c>
      <c r="KJ58" s="106">
        <f t="shared" si="635"/>
        <v>69681.892851931028</v>
      </c>
      <c r="KK58" s="106">
        <f t="shared" si="636"/>
        <v>84186.854066288201</v>
      </c>
      <c r="KL58" s="40"/>
      <c r="KN58" s="39">
        <v>0.41666666666666602</v>
      </c>
      <c r="KO58" s="38">
        <v>30</v>
      </c>
      <c r="KP58" s="38">
        <f t="shared" si="523"/>
        <v>30.061756873161897</v>
      </c>
      <c r="KQ58" s="38">
        <f t="shared" si="524"/>
        <v>147.99477629228704</v>
      </c>
      <c r="KR58" s="38">
        <f t="shared" si="525"/>
        <v>59.938243126838103</v>
      </c>
      <c r="KS58" s="38">
        <f>+'Irradiancia Horizontal'!N79/COS(RADIANS(KR58))</f>
        <v>798.08308716493718</v>
      </c>
      <c r="KT58" s="38">
        <f>((('Irradiancia Horizontal'!N50+KS58)/'Irradiancia Horizontal'!N50)+1.041*((RADIANS('Cálculos iluminancia'!KR58))^3))/(1+1.041*((RADIANS('Cálculos iluminancia'!KR58))^3))</f>
        <v>4.5031719998279209</v>
      </c>
      <c r="KU58" s="88">
        <f t="shared" si="526"/>
        <v>1.9906042074393122</v>
      </c>
      <c r="KV58" s="88">
        <f t="shared" si="637"/>
        <v>1.9414901843674133</v>
      </c>
      <c r="KW58" s="106">
        <f>'Irradiancia Horizontal'!N50*KV58/$KU$46</f>
        <v>0.14069511183434671</v>
      </c>
      <c r="KX58" s="88">
        <f>((17.27*Temp!M20)/(237.7+Temp!M20))+LN(HR!M31/100)</f>
        <v>0.40634334818290352</v>
      </c>
      <c r="KY58" s="88">
        <f t="shared" si="638"/>
        <v>5.7275723680408674</v>
      </c>
      <c r="KZ58" s="88">
        <f t="shared" si="639"/>
        <v>1.3853184842936557</v>
      </c>
      <c r="LA58" s="88">
        <f t="shared" si="730"/>
        <v>7</v>
      </c>
      <c r="LB58" s="88">
        <f t="shared" si="731"/>
        <v>78.63</v>
      </c>
      <c r="LC58" s="88">
        <f t="shared" si="732"/>
        <v>1.47</v>
      </c>
      <c r="LD58" s="88">
        <f t="shared" si="733"/>
        <v>4.93</v>
      </c>
      <c r="LE58" s="88">
        <f t="shared" si="734"/>
        <v>-11.37</v>
      </c>
      <c r="LF58" s="103">
        <f t="shared" si="532"/>
        <v>105.43440852199207</v>
      </c>
      <c r="LG58" s="165">
        <f>IF(LM58&gt;(LF58*'Irradiancia Horizontal'!N18),LM58,LF58*'Irradiancia Horizontal'!N18)</f>
        <v>53110.275950806121</v>
      </c>
      <c r="LH58" s="88">
        <f t="shared" si="735"/>
        <v>141.88</v>
      </c>
      <c r="LI58" s="88">
        <f t="shared" si="736"/>
        <v>1.9</v>
      </c>
      <c r="LJ58" s="88">
        <f t="shared" si="737"/>
        <v>-53.24</v>
      </c>
      <c r="LK58" s="88">
        <f t="shared" si="738"/>
        <v>-14.03</v>
      </c>
      <c r="LL58" s="103">
        <f t="shared" si="537"/>
        <v>145.35749906187635</v>
      </c>
      <c r="LM58" s="88">
        <f>+LL58*'Irradiancia Horizontal'!N50</f>
        <v>15108.72441561596</v>
      </c>
      <c r="LN58" s="88">
        <f t="shared" si="640"/>
        <v>38001.551535190163</v>
      </c>
      <c r="LO58" s="88">
        <f>+LN58/'Irradiancia Horizontal'!N79</f>
        <v>95.054665087572488</v>
      </c>
      <c r="LP58" s="38">
        <f t="shared" si="538"/>
        <v>0.73393191201723762</v>
      </c>
      <c r="LQ58" s="88">
        <f t="shared" si="641"/>
        <v>0.73393191201723762</v>
      </c>
      <c r="LR58" s="88">
        <f t="shared" si="642"/>
        <v>0.50093316418397271</v>
      </c>
      <c r="LS58" s="88">
        <f t="shared" si="643"/>
        <v>1.4850000000000001</v>
      </c>
      <c r="LT58" s="88">
        <f t="shared" si="644"/>
        <v>-1.214</v>
      </c>
      <c r="LU58" s="88">
        <f t="shared" si="645"/>
        <v>-0.78400000000000003</v>
      </c>
      <c r="LV58" s="88">
        <f t="shared" si="646"/>
        <v>0.41099999999999998</v>
      </c>
      <c r="LW58" s="88">
        <f t="shared" si="647"/>
        <v>-0.629</v>
      </c>
      <c r="LX58" s="88">
        <f t="shared" si="648"/>
        <v>-8.2000000000000003E-2</v>
      </c>
      <c r="LY58" s="88">
        <f t="shared" si="539"/>
        <v>0.49403829694054135</v>
      </c>
      <c r="LZ58" s="88">
        <f t="shared" si="540"/>
        <v>0.23672096004141266</v>
      </c>
      <c r="MA58" s="88">
        <f t="shared" si="541"/>
        <v>18334.918303339455</v>
      </c>
      <c r="MB58" s="88">
        <f t="shared" si="739"/>
        <v>1.06</v>
      </c>
      <c r="MC58" s="88">
        <f t="shared" si="740"/>
        <v>-1.6</v>
      </c>
      <c r="MD58" s="88">
        <f t="shared" si="741"/>
        <v>-0.35899999999999999</v>
      </c>
      <c r="ME58" s="88">
        <f t="shared" si="742"/>
        <v>0.26400000000000001</v>
      </c>
      <c r="MF58" s="88">
        <f t="shared" si="743"/>
        <v>-1.127</v>
      </c>
      <c r="MG58" s="88">
        <f t="shared" si="744"/>
        <v>0.13100000000000001</v>
      </c>
      <c r="MH58" s="88">
        <f t="shared" si="548"/>
        <v>0.45933085220276254</v>
      </c>
      <c r="MI58" s="88">
        <f t="shared" si="549"/>
        <v>0.24247828840825966</v>
      </c>
      <c r="MJ58" s="106">
        <f>IF(KP58&lt;0,0,((0.5*(1-MH58)*(1+COS(RADIANS($KW$46))))+(MH58*(LQ58/LR58))+(MI58*SIN(RADIANS($KW$46))))*'Irradiancia Horizontal'!N50)</f>
        <v>123.25339050331714</v>
      </c>
      <c r="MK58" s="88">
        <f t="shared" si="550"/>
        <v>1.4651294114511728</v>
      </c>
      <c r="ML58" s="88">
        <f>MK58*'Irradiancia Horizontal'!N79</f>
        <v>585.73864611158206</v>
      </c>
      <c r="MM58" s="88">
        <f t="shared" si="649"/>
        <v>708.99203661489923</v>
      </c>
      <c r="MN58" s="88">
        <f t="shared" si="551"/>
        <v>74752.156027294448</v>
      </c>
      <c r="MO58" s="88">
        <f t="shared" si="650"/>
        <v>56417.237723954997</v>
      </c>
      <c r="MP58" s="106">
        <f t="shared" si="651"/>
        <v>75861.520562519028</v>
      </c>
      <c r="MQ58" s="106">
        <f t="shared" si="652"/>
        <v>55677.190834984576</v>
      </c>
      <c r="MR58" s="106">
        <f t="shared" si="653"/>
        <v>74012.109138324027</v>
      </c>
    </row>
    <row r="59" spans="1:356" x14ac:dyDescent="0.25">
      <c r="A59" s="48"/>
      <c r="B59" s="37"/>
      <c r="E59" s="39">
        <v>0.45833333333333298</v>
      </c>
      <c r="F59" s="38">
        <v>15</v>
      </c>
      <c r="G59" s="38">
        <f t="shared" si="378"/>
        <v>73.894403228018106</v>
      </c>
      <c r="H59" s="38">
        <f t="shared" si="379"/>
        <v>119.04510230733558</v>
      </c>
      <c r="I59" s="38">
        <f t="shared" si="380"/>
        <v>16.105596771981894</v>
      </c>
      <c r="J59" s="38">
        <f>+'Irradiancia Horizontal'!I80/COS(RADIANS(I59))</f>
        <v>709.52823253118777</v>
      </c>
      <c r="K59" s="38">
        <f>((('Irradiancia Horizontal'!I51+J59)/'Irradiancia Horizontal'!I51)+1.041*((RADIANS('Cálculos iluminancia'!I59))^3))/(1+1.041*((RADIANS('Cálculos iluminancia'!I59))^3))</f>
        <v>4.161572581211777</v>
      </c>
      <c r="L59" s="87">
        <f t="shared" si="381"/>
        <v>1.040430033457822</v>
      </c>
      <c r="M59" s="87">
        <f t="shared" si="654"/>
        <v>1.0147595840148973</v>
      </c>
      <c r="N59" s="106">
        <f>'Irradiancia Horizontal'!I51*M59/$L$46</f>
        <v>0.16581574357630877</v>
      </c>
      <c r="O59" s="87">
        <f>((17.27*Temp!H21)/(237.7+Temp!H21))+LN(HR!H32/100)</f>
        <v>1.3820056133620511</v>
      </c>
      <c r="P59" s="87">
        <f t="shared" si="553"/>
        <v>20.676161276368241</v>
      </c>
      <c r="Q59" s="87">
        <f t="shared" si="554"/>
        <v>3.9445358390723935</v>
      </c>
      <c r="R59" s="87">
        <f t="shared" si="655"/>
        <v>6</v>
      </c>
      <c r="S59" s="87">
        <f t="shared" si="656"/>
        <v>88.34</v>
      </c>
      <c r="T59" s="87">
        <f t="shared" si="657"/>
        <v>1.39</v>
      </c>
      <c r="U59" s="87">
        <f t="shared" si="658"/>
        <v>6.06</v>
      </c>
      <c r="V59" s="87">
        <f t="shared" si="659"/>
        <v>-7.6</v>
      </c>
      <c r="W59" s="103">
        <f t="shared" si="387"/>
        <v>113.30133575562928</v>
      </c>
      <c r="X59" s="165">
        <f>IF(AD59&gt;(W59*'Irradiancia Horizontal'!I19),AD59,W59*'Irradiancia Horizontal'!I19)</f>
        <v>102088.0825232936</v>
      </c>
      <c r="Y59" s="87">
        <f t="shared" si="660"/>
        <v>106.42</v>
      </c>
      <c r="Z59" s="87">
        <f t="shared" si="661"/>
        <v>3.83</v>
      </c>
      <c r="AA59" s="87">
        <f t="shared" si="662"/>
        <v>-36.15</v>
      </c>
      <c r="AB59" s="87">
        <f t="shared" si="663"/>
        <v>-28.83</v>
      </c>
      <c r="AC59" s="103">
        <f t="shared" si="392"/>
        <v>138.60038046904327</v>
      </c>
      <c r="AD59" s="87">
        <f>+AC59*'Irradiancia Horizontal'!I51</f>
        <v>30402.114970643983</v>
      </c>
      <c r="AE59" s="87">
        <f t="shared" si="393"/>
        <v>71685.967552649614</v>
      </c>
      <c r="AF59" s="87">
        <f>+AE59/'Irradiancia Horizontal'!I80</f>
        <v>105.16062186529392</v>
      </c>
      <c r="AG59" s="38">
        <f t="shared" si="555"/>
        <v>0.13468126124738222</v>
      </c>
      <c r="AH59" s="87">
        <f t="shared" si="556"/>
        <v>0.13468126124738222</v>
      </c>
      <c r="AI59" s="87">
        <f t="shared" si="557"/>
        <v>0.96075206089656151</v>
      </c>
      <c r="AJ59" s="87">
        <f t="shared" si="558"/>
        <v>1.4259999999999999</v>
      </c>
      <c r="AK59" s="87">
        <f t="shared" si="559"/>
        <v>-0.65300000000000002</v>
      </c>
      <c r="AL59" s="87">
        <f t="shared" si="560"/>
        <v>-0.77900000000000003</v>
      </c>
      <c r="AM59" s="87">
        <f t="shared" si="561"/>
        <v>0.42499999999999999</v>
      </c>
      <c r="AN59" s="87">
        <f t="shared" si="562"/>
        <v>-0.78500000000000003</v>
      </c>
      <c r="AO59" s="87">
        <f t="shared" si="563"/>
        <v>-9.7000000000000003E-2</v>
      </c>
      <c r="AP59" s="87">
        <f t="shared" si="394"/>
        <v>1.0987487756340095</v>
      </c>
      <c r="AQ59" s="87">
        <f t="shared" si="395"/>
        <v>0.26756835920064115</v>
      </c>
      <c r="AR59" s="88">
        <f t="shared" si="396"/>
        <v>11316.276704921636</v>
      </c>
      <c r="AS59" s="87">
        <f t="shared" si="664"/>
        <v>1.1319999999999999</v>
      </c>
      <c r="AT59" s="87">
        <f t="shared" si="665"/>
        <v>-1.2370000000000001</v>
      </c>
      <c r="AU59" s="87">
        <f t="shared" si="666"/>
        <v>-0.41199999999999998</v>
      </c>
      <c r="AV59" s="87">
        <f t="shared" si="667"/>
        <v>0.28799999999999998</v>
      </c>
      <c r="AW59" s="87">
        <f t="shared" si="668"/>
        <v>-0.82299999999999995</v>
      </c>
      <c r="AX59" s="87">
        <f t="shared" si="669"/>
        <v>5.6000000000000001E-2</v>
      </c>
      <c r="AY59" s="87">
        <f t="shared" si="403"/>
        <v>0.81107450022820826</v>
      </c>
      <c r="AZ59" s="87">
        <f t="shared" si="404"/>
        <v>0.16727500177019852</v>
      </c>
      <c r="BA59" s="106">
        <f>IF(G59&lt;0,0,((0.5*(1-AY59)*(1+COS(RADIANS($N$46))))+(AY59*(AH59/AI59))+(AZ59*SIN(RADIANS($N$46))))*'Irradiancia Horizontal'!I51)</f>
        <v>82.352377911014088</v>
      </c>
      <c r="BB59" s="87">
        <f t="shared" si="405"/>
        <v>0.14018316143053536</v>
      </c>
      <c r="BC59" s="87">
        <f>BB59*'Irradiancia Horizontal'!I80</f>
        <v>95.56015724792627</v>
      </c>
      <c r="BD59" s="87">
        <f t="shared" si="564"/>
        <v>177.91253515894036</v>
      </c>
      <c r="BE59" s="88">
        <f t="shared" si="406"/>
        <v>20157.7278811783</v>
      </c>
      <c r="BF59" s="87">
        <f t="shared" si="565"/>
        <v>8841.4511762566635</v>
      </c>
      <c r="BG59" s="106">
        <f t="shared" si="566"/>
        <v>74614.430163962577</v>
      </c>
      <c r="BH59" s="106">
        <f t="shared" si="567"/>
        <v>10049.1655617372</v>
      </c>
      <c r="BI59" s="106">
        <f t="shared" si="568"/>
        <v>21365.442266658836</v>
      </c>
      <c r="BJ59" s="44"/>
      <c r="BL59" s="39">
        <v>0.45833333333333298</v>
      </c>
      <c r="BM59" s="38">
        <v>15</v>
      </c>
      <c r="BN59" s="38">
        <f t="shared" si="407"/>
        <v>67.739632253222226</v>
      </c>
      <c r="BO59" s="38">
        <f t="shared" si="408"/>
        <v>138.01742275319981</v>
      </c>
      <c r="BP59" s="38">
        <f t="shared" si="409"/>
        <v>22.260367746777774</v>
      </c>
      <c r="BQ59" s="38">
        <f>+'Irradiancia Horizontal'!J80/COS(RADIANS(BP59))</f>
        <v>723.83793560148069</v>
      </c>
      <c r="BR59" s="38">
        <f>((('Irradiancia Horizontal'!J51+BQ59)/'Irradiancia Horizontal'!J51)+1.041*((RADIANS('Cálculos iluminancia'!BP59))^3))/(1+1.041*((RADIANS('Cálculos iluminancia'!BP59))^3))</f>
        <v>4.1687184878783601</v>
      </c>
      <c r="BS59" s="87">
        <f t="shared" si="410"/>
        <v>1.0800122645516568</v>
      </c>
      <c r="BT59" s="87">
        <f t="shared" si="569"/>
        <v>1.0533652057938745</v>
      </c>
      <c r="BU59" s="106">
        <f>'Irradiancia Horizontal'!J51*BT59/$BS$46</f>
        <v>0.1674209063840478</v>
      </c>
      <c r="BV59" s="87">
        <f>((17.27*Temp!I21)/(237.7+Temp!I21))+LN(HR!I32/100)</f>
        <v>1.5260516220014504</v>
      </c>
      <c r="BW59" s="87">
        <f t="shared" si="570"/>
        <v>23.040120676250488</v>
      </c>
      <c r="BX59" s="87">
        <f t="shared" si="571"/>
        <v>4.6543787693692815</v>
      </c>
      <c r="BY59" s="87">
        <f t="shared" si="670"/>
        <v>6</v>
      </c>
      <c r="BZ59" s="87">
        <f t="shared" si="671"/>
        <v>88.34</v>
      </c>
      <c r="CA59" s="87">
        <f t="shared" si="672"/>
        <v>1.39</v>
      </c>
      <c r="CB59" s="87">
        <f t="shared" si="673"/>
        <v>6.06</v>
      </c>
      <c r="CC59" s="87">
        <f t="shared" si="674"/>
        <v>-7.6</v>
      </c>
      <c r="CD59" s="103">
        <f t="shared" si="416"/>
        <v>114.00100286260887</v>
      </c>
      <c r="CE59" s="165">
        <f>IF(CK59&gt;(CD59*'Irradiancia Horizontal'!J19),CK59,CD59*'Irradiancia Horizontal'!J19)</f>
        <v>100911.50850694782</v>
      </c>
      <c r="CF59" s="87">
        <f t="shared" si="675"/>
        <v>106.42</v>
      </c>
      <c r="CG59" s="87">
        <f t="shared" si="676"/>
        <v>3.83</v>
      </c>
      <c r="CH59" s="87">
        <f t="shared" si="677"/>
        <v>-36.15</v>
      </c>
      <c r="CI59" s="87">
        <f t="shared" si="678"/>
        <v>-28.83</v>
      </c>
      <c r="CJ59" s="103">
        <f t="shared" si="421"/>
        <v>142.31671033974328</v>
      </c>
      <c r="CK59" s="87">
        <f>+CJ59*'Irradiancia Horizontal'!J51</f>
        <v>30639.245385205337</v>
      </c>
      <c r="CL59" s="87">
        <f t="shared" si="572"/>
        <v>70272.263121742493</v>
      </c>
      <c r="CM59" s="87">
        <f>+CL59/'Irradiancia Horizontal'!J80</f>
        <v>104.90092780108489</v>
      </c>
      <c r="CN59" s="38">
        <f t="shared" si="422"/>
        <v>0.28159228181321849</v>
      </c>
      <c r="CO59" s="87">
        <f t="shared" si="573"/>
        <v>0.28159228181321849</v>
      </c>
      <c r="CP59" s="87">
        <f t="shared" si="574"/>
        <v>0.92547197189918029</v>
      </c>
      <c r="CQ59" s="87">
        <f t="shared" si="575"/>
        <v>1.4259999999999999</v>
      </c>
      <c r="CR59" s="87">
        <f t="shared" si="576"/>
        <v>-0.65300000000000002</v>
      </c>
      <c r="CS59" s="87">
        <f t="shared" si="577"/>
        <v>-0.77900000000000003</v>
      </c>
      <c r="CT59" s="87">
        <f t="shared" si="578"/>
        <v>0.42499999999999999</v>
      </c>
      <c r="CU59" s="87">
        <f t="shared" si="579"/>
        <v>-0.78500000000000003</v>
      </c>
      <c r="CV59" s="87">
        <f t="shared" si="580"/>
        <v>-9.7000000000000003E-2</v>
      </c>
      <c r="CW59" s="87">
        <f t="shared" si="423"/>
        <v>1.0140196311300045</v>
      </c>
      <c r="CX59" s="87">
        <f t="shared" si="424"/>
        <v>0.25588846762957818</v>
      </c>
      <c r="CY59" s="88">
        <f t="shared" si="425"/>
        <v>17078.720651909029</v>
      </c>
      <c r="CZ59" s="87">
        <f t="shared" si="679"/>
        <v>1.1319999999999999</v>
      </c>
      <c r="DA59" s="87">
        <f t="shared" si="680"/>
        <v>-1.2370000000000001</v>
      </c>
      <c r="DB59" s="87">
        <f t="shared" si="681"/>
        <v>-0.41199999999999998</v>
      </c>
      <c r="DC59" s="87">
        <f t="shared" si="682"/>
        <v>0.28799999999999998</v>
      </c>
      <c r="DD59" s="87">
        <f t="shared" si="683"/>
        <v>-0.82299999999999995</v>
      </c>
      <c r="DE59" s="87">
        <f t="shared" si="684"/>
        <v>5.6000000000000001E-2</v>
      </c>
      <c r="DF59" s="87">
        <f t="shared" si="432"/>
        <v>0.76483145432989108</v>
      </c>
      <c r="DG59" s="87">
        <f t="shared" si="433"/>
        <v>0.17196952979954597</v>
      </c>
      <c r="DH59" s="106">
        <f>IF(BN59&lt;0,0,((0.5*(1-DF59)*(1+COS(RADIANS($BU$46))))+(DF59*(CO59/CP59))+(DG59*SIN(RADIANS($BU$46))))*'Irradiancia Horizontal'!J51)</f>
        <v>112.43867926305076</v>
      </c>
      <c r="DI59" s="87">
        <f t="shared" si="434"/>
        <v>0.30426883834780766</v>
      </c>
      <c r="DJ59" s="87">
        <f>DI59*'Irradiancia Horizontal'!J80</f>
        <v>203.82717594899046</v>
      </c>
      <c r="DK59" s="87">
        <f t="shared" si="581"/>
        <v>316.26585521204123</v>
      </c>
      <c r="DL59" s="88">
        <f t="shared" si="435"/>
        <v>36054.624665373354</v>
      </c>
      <c r="DM59" s="87">
        <f t="shared" si="582"/>
        <v>18975.904013464326</v>
      </c>
      <c r="DN59" s="106">
        <f t="shared" si="583"/>
        <v>75931.271022217261</v>
      </c>
      <c r="DO59" s="106">
        <f t="shared" si="584"/>
        <v>21381.659868124076</v>
      </c>
      <c r="DP59" s="106">
        <f t="shared" si="585"/>
        <v>38460.380520033104</v>
      </c>
      <c r="DQ59" s="44"/>
      <c r="DS59" s="39">
        <v>0.45833333333333298</v>
      </c>
      <c r="DT59" s="38">
        <v>15</v>
      </c>
      <c r="DU59" s="38">
        <f t="shared" si="436"/>
        <v>57.399290508538691</v>
      </c>
      <c r="DV59" s="38">
        <f t="shared" si="437"/>
        <v>151.29005331477052</v>
      </c>
      <c r="DW59" s="38">
        <f t="shared" si="438"/>
        <v>32.600709491461309</v>
      </c>
      <c r="DX59" s="38">
        <f>+'Irradiancia Horizontal'!K80/COS(RADIANS(DW59))</f>
        <v>965.1005046984684</v>
      </c>
      <c r="DY59" s="38">
        <f>((('Irradiancia Horizontal'!K51+DX59)/'Irradiancia Horizontal'!K51)+1.041*((RADIANS('Cálculos iluminancia'!DW59))^3))/(1+1.041*((RADIANS('Cálculos iluminancia'!DW59))^3))</f>
        <v>6.7560264663142169</v>
      </c>
      <c r="DZ59" s="87">
        <f t="shared" si="439"/>
        <v>1.1862207939628644</v>
      </c>
      <c r="EA59" s="87">
        <f t="shared" si="586"/>
        <v>1.1569532604042956</v>
      </c>
      <c r="EB59" s="106">
        <f>'Irradiancia Horizontal'!K51*EA59/$DZ$46</f>
        <v>0.11831120075717326</v>
      </c>
      <c r="EC59" s="87">
        <f>((17.27*Temp!J21)/(237.7+Temp!J21))+LN(HR!J32/100)</f>
        <v>1.396672275712675</v>
      </c>
      <c r="ED59" s="87">
        <f t="shared" si="587"/>
        <v>20.914896088797814</v>
      </c>
      <c r="EE59" s="87">
        <f t="shared" si="588"/>
        <v>4.0110085812546119</v>
      </c>
      <c r="EF59" s="87">
        <f t="shared" si="685"/>
        <v>8</v>
      </c>
      <c r="EG59" s="87">
        <f t="shared" si="686"/>
        <v>99.65</v>
      </c>
      <c r="EH59" s="87">
        <f t="shared" si="687"/>
        <v>1.86</v>
      </c>
      <c r="EI59" s="87">
        <f t="shared" si="688"/>
        <v>-4.46</v>
      </c>
      <c r="EJ59" s="87">
        <f t="shared" si="689"/>
        <v>-3.15</v>
      </c>
      <c r="EK59" s="103">
        <f t="shared" si="445"/>
        <v>110.07664404530614</v>
      </c>
      <c r="EL59" s="165">
        <f>IF(ER59&gt;(EK59*'Irradiancia Horizontal'!K19),ER59,EK59*'Irradiancia Horizontal'!K19)</f>
        <v>104983.81019573523</v>
      </c>
      <c r="EM59" s="87">
        <f t="shared" si="690"/>
        <v>152.22999999999999</v>
      </c>
      <c r="EN59" s="87">
        <f t="shared" si="691"/>
        <v>0.35</v>
      </c>
      <c r="EO59" s="87">
        <f t="shared" si="692"/>
        <v>-45.27</v>
      </c>
      <c r="EP59" s="87">
        <f t="shared" si="693"/>
        <v>-7.98</v>
      </c>
      <c r="EQ59" s="103">
        <f t="shared" si="450"/>
        <v>132.52914093174732</v>
      </c>
      <c r="ER59" s="87">
        <f>+EQ59*'Irradiancia Horizontal'!K51</f>
        <v>18645.38599881528</v>
      </c>
      <c r="ES59" s="87">
        <f t="shared" si="589"/>
        <v>86338.42419691995</v>
      </c>
      <c r="ET59" s="87">
        <f>+ES59/'Irradiancia Horizontal'!K80</f>
        <v>106.19147279033488</v>
      </c>
      <c r="EU59" s="38">
        <f t="shared" si="451"/>
        <v>0.47254495337766805</v>
      </c>
      <c r="EV59" s="87">
        <f t="shared" si="590"/>
        <v>0.47254495337766805</v>
      </c>
      <c r="EW59" s="87">
        <f t="shared" si="591"/>
        <v>0.84244572536439244</v>
      </c>
      <c r="EX59" s="87">
        <f t="shared" si="592"/>
        <v>1.17</v>
      </c>
      <c r="EY59" s="87">
        <f t="shared" si="593"/>
        <v>-0.3</v>
      </c>
      <c r="EZ59" s="87">
        <f t="shared" si="594"/>
        <v>-0.61499999999999999</v>
      </c>
      <c r="FA59" s="87">
        <f t="shared" si="595"/>
        <v>0.51800000000000002</v>
      </c>
      <c r="FB59" s="87">
        <f t="shared" si="596"/>
        <v>-1.8919999999999999</v>
      </c>
      <c r="FC59" s="87">
        <f t="shared" si="597"/>
        <v>-5.5E-2</v>
      </c>
      <c r="FD59" s="87">
        <f t="shared" si="452"/>
        <v>0.78457796251886591</v>
      </c>
      <c r="FE59" s="87">
        <f t="shared" si="453"/>
        <v>0.26286077361625909</v>
      </c>
      <c r="FF59" s="88">
        <f t="shared" si="454"/>
        <v>15115.022742251158</v>
      </c>
      <c r="FG59" s="87">
        <f t="shared" si="694"/>
        <v>0.67800000000000005</v>
      </c>
      <c r="FH59" s="87">
        <f t="shared" si="695"/>
        <v>-0.32700000000000001</v>
      </c>
      <c r="FI59" s="87">
        <f t="shared" si="696"/>
        <v>-0.25</v>
      </c>
      <c r="FJ59" s="87">
        <f t="shared" si="697"/>
        <v>0.156</v>
      </c>
      <c r="FK59" s="87">
        <f t="shared" si="698"/>
        <v>-1.377</v>
      </c>
      <c r="FL59" s="87">
        <f t="shared" si="699"/>
        <v>0.251</v>
      </c>
      <c r="FM59" s="87">
        <f t="shared" si="461"/>
        <v>0.49706480757436289</v>
      </c>
      <c r="FN59" s="87">
        <f t="shared" si="462"/>
        <v>0.13590189605452613</v>
      </c>
      <c r="FO59" s="106">
        <f>IF(DU59&lt;0,0,((0.5*(1-FM59)*(1+COS(RADIANS($EB$46))))+(FM59*(EV59/EW59))+(FN59*SIN(RADIANS($EB$46))))*'Irradiancia Horizontal'!K51)</f>
        <v>93.724624869198678</v>
      </c>
      <c r="FP59" s="87">
        <f t="shared" si="463"/>
        <v>0.56092035267111473</v>
      </c>
      <c r="FQ59" s="87">
        <f>FP59*'Irradiancia Horizontal'!K80</f>
        <v>456.05337299750164</v>
      </c>
      <c r="FR59" s="87">
        <f t="shared" si="598"/>
        <v>549.77799786670028</v>
      </c>
      <c r="FS59" s="88">
        <f t="shared" si="464"/>
        <v>60517.716975113843</v>
      </c>
      <c r="FT59" s="87">
        <f t="shared" si="599"/>
        <v>45402.694232862683</v>
      </c>
      <c r="FU59" s="106">
        <f t="shared" si="600"/>
        <v>102485.44398462588</v>
      </c>
      <c r="FV59" s="106">
        <f t="shared" si="601"/>
        <v>48428.979349604648</v>
      </c>
      <c r="FW59" s="106">
        <f t="shared" si="602"/>
        <v>63544.002091855808</v>
      </c>
      <c r="FX59" s="83"/>
      <c r="FZ59" s="39">
        <v>0.45833333333333298</v>
      </c>
      <c r="GA59" s="38">
        <v>15</v>
      </c>
      <c r="GB59" s="38">
        <f t="shared" si="465"/>
        <v>46.673158273074627</v>
      </c>
      <c r="GC59" s="38">
        <f t="shared" si="466"/>
        <v>158.32815603485838</v>
      </c>
      <c r="GD59" s="38">
        <f t="shared" si="467"/>
        <v>43.326841726925373</v>
      </c>
      <c r="GE59" s="38">
        <f>+'Irradiancia Horizontal'!L80/COS(RADIANS(GD59))</f>
        <v>1099.2392341538275</v>
      </c>
      <c r="GF59" s="38">
        <f>((('Irradiancia Horizontal'!L51+GE59)/'Irradiancia Horizontal'!L51)+1.041*((RADIANS('Cálculos iluminancia'!GD59))^3))/(1+1.041*((RADIANS('Cálculos iluminancia'!GD59))^3))</f>
        <v>8.9885389447188704</v>
      </c>
      <c r="GG59" s="88">
        <f t="shared" si="468"/>
        <v>1.373211671592014</v>
      </c>
      <c r="GH59" s="88">
        <f t="shared" si="603"/>
        <v>1.3393305266265212</v>
      </c>
      <c r="GI59" s="106">
        <f>'Irradiancia Horizontal'!L51*GH59/$GG$46</f>
        <v>9.0772187298377549E-2</v>
      </c>
      <c r="GJ59" s="88">
        <f>((17.27*Temp!K21)/(237.7+Temp!K21))+LN(HR!K32/100)</f>
        <v>1.0597504890130458</v>
      </c>
      <c r="GK59" s="88">
        <f t="shared" si="604"/>
        <v>15.539717082557353</v>
      </c>
      <c r="GL59" s="88">
        <f t="shared" si="605"/>
        <v>2.7532449442559899</v>
      </c>
      <c r="GM59" s="88">
        <f t="shared" si="700"/>
        <v>8</v>
      </c>
      <c r="GN59" s="88">
        <f t="shared" si="701"/>
        <v>99.65</v>
      </c>
      <c r="GO59" s="88">
        <f t="shared" si="702"/>
        <v>1.86</v>
      </c>
      <c r="GP59" s="88">
        <f t="shared" si="703"/>
        <v>-4.46</v>
      </c>
      <c r="GQ59" s="88">
        <f t="shared" si="704"/>
        <v>-3.15</v>
      </c>
      <c r="GR59" s="103">
        <f t="shared" si="474"/>
        <v>109.08471980064702</v>
      </c>
      <c r="GS59" s="165">
        <f>IF(GY59&gt;(GR59*'Irradiancia Horizontal'!L19),GY59,GR59*'Irradiancia Horizontal'!L19)</f>
        <v>97579.71507127861</v>
      </c>
      <c r="GT59" s="88">
        <f t="shared" si="705"/>
        <v>152.22999999999999</v>
      </c>
      <c r="GU59" s="88">
        <f t="shared" si="706"/>
        <v>0.35</v>
      </c>
      <c r="GV59" s="88">
        <f t="shared" si="707"/>
        <v>-45.27</v>
      </c>
      <c r="GW59" s="88">
        <f t="shared" si="708"/>
        <v>-7.98</v>
      </c>
      <c r="GX59" s="103">
        <f t="shared" si="479"/>
        <v>139.40914212867136</v>
      </c>
      <c r="GY59" s="88">
        <f>+GX59*'Irradiancia Horizontal'!L51</f>
        <v>13228.30573350496</v>
      </c>
      <c r="GZ59" s="88">
        <f t="shared" si="606"/>
        <v>84351.409337773657</v>
      </c>
      <c r="HA59" s="88">
        <f>+GZ59/'Irradiancia Horizontal'!L80</f>
        <v>105.48632088052902</v>
      </c>
      <c r="HB59" s="38">
        <f t="shared" si="480"/>
        <v>0.63765748017239288</v>
      </c>
      <c r="HC59" s="88">
        <f t="shared" si="607"/>
        <v>0.63765748017239288</v>
      </c>
      <c r="HD59" s="88">
        <f t="shared" si="608"/>
        <v>0.72745138801704601</v>
      </c>
      <c r="HE59" s="88">
        <f t="shared" si="609"/>
        <v>1.17</v>
      </c>
      <c r="HF59" s="88">
        <f t="shared" si="610"/>
        <v>-0.3</v>
      </c>
      <c r="HG59" s="88">
        <f t="shared" si="611"/>
        <v>-0.61499999999999999</v>
      </c>
      <c r="HH59" s="88">
        <f t="shared" si="612"/>
        <v>0.51800000000000002</v>
      </c>
      <c r="HI59" s="88">
        <f t="shared" si="613"/>
        <v>-1.8919999999999999</v>
      </c>
      <c r="HJ59" s="88">
        <f t="shared" si="614"/>
        <v>-5.5E-2</v>
      </c>
      <c r="HK59" s="88">
        <f t="shared" si="481"/>
        <v>0.67770777759591883</v>
      </c>
      <c r="HL59" s="88">
        <f t="shared" si="482"/>
        <v>0.30466823928707748</v>
      </c>
      <c r="HM59" s="88">
        <f t="shared" si="483"/>
        <v>14020.263066660484</v>
      </c>
      <c r="HN59" s="88">
        <f t="shared" si="709"/>
        <v>0.67800000000000005</v>
      </c>
      <c r="HO59" s="88">
        <f t="shared" si="710"/>
        <v>-0.32700000000000001</v>
      </c>
      <c r="HP59" s="88">
        <f t="shared" si="711"/>
        <v>-0.25</v>
      </c>
      <c r="HQ59" s="88">
        <f t="shared" si="712"/>
        <v>0.156</v>
      </c>
      <c r="HR59" s="88">
        <f t="shared" si="713"/>
        <v>-1.377</v>
      </c>
      <c r="HS59" s="88">
        <f t="shared" si="714"/>
        <v>0.251</v>
      </c>
      <c r="HT59" s="88">
        <f t="shared" si="490"/>
        <v>0.45926848409710219</v>
      </c>
      <c r="HU59" s="88">
        <f t="shared" si="491"/>
        <v>0.22081190478908785</v>
      </c>
      <c r="HV59" s="106">
        <f>IF(GB59&lt;0,0,((0.5*(1-HT59)*(1+COS(RADIANS($GI$46))))+(HT59*(HC59/HD59))+(HU59*SIN(RADIANS($GI$46))))*'Irradiancia Horizontal'!L51)</f>
        <v>84.807022391340666</v>
      </c>
      <c r="HW59" s="88">
        <f t="shared" si="492"/>
        <v>0.87656369989282501</v>
      </c>
      <c r="HX59" s="88">
        <f>HW59*'Irradiancia Horizontal'!L80</f>
        <v>700.93812015716071</v>
      </c>
      <c r="HY59" s="88">
        <f t="shared" si="615"/>
        <v>785.74514254850135</v>
      </c>
      <c r="HZ59" s="88">
        <f t="shared" si="493"/>
        <v>85712.78870962272</v>
      </c>
      <c r="IA59" s="88">
        <f t="shared" si="616"/>
        <v>71692.525642962239</v>
      </c>
      <c r="IB59" s="106">
        <f t="shared" si="617"/>
        <v>115954.70257841764</v>
      </c>
      <c r="IC59" s="106">
        <f t="shared" si="618"/>
        <v>73939.383460293058</v>
      </c>
      <c r="ID59" s="106">
        <f t="shared" si="619"/>
        <v>87959.64652695354</v>
      </c>
      <c r="IE59" s="83"/>
      <c r="IG59" s="39">
        <v>0.45833333333333298</v>
      </c>
      <c r="IH59" s="38">
        <v>15</v>
      </c>
      <c r="II59" s="38">
        <f t="shared" si="494"/>
        <v>38.40811985351386</v>
      </c>
      <c r="IJ59" s="38">
        <f t="shared" si="495"/>
        <v>161.97127433681268</v>
      </c>
      <c r="IK59" s="38">
        <f t="shared" si="496"/>
        <v>51.59188014648614</v>
      </c>
      <c r="IL59" s="38">
        <f>+'Irradiancia Horizontal'!M80/COS(RADIANS(IK59))</f>
        <v>1037.7904418130483</v>
      </c>
      <c r="IM59" s="38">
        <f>((('Irradiancia Horizontal'!M51+IL59)/'Irradiancia Horizontal'!M51)+1.041*((RADIANS('Cálculos iluminancia'!IK59))^3))/(1+1.041*((RADIANS('Cálculos iluminancia'!IK59))^3))</f>
        <v>7.0792670682525225</v>
      </c>
      <c r="IN59" s="88">
        <f t="shared" si="497"/>
        <v>1.6070079907266694</v>
      </c>
      <c r="IO59" s="88">
        <f t="shared" si="620"/>
        <v>1.5673584073296736</v>
      </c>
      <c r="IP59" s="106">
        <f>'Irradiancia Horizontal'!M51*IO59/$IN$46</f>
        <v>0.1068941753883285</v>
      </c>
      <c r="IQ59" s="88">
        <f>((17.27*Temp!L21)/(237.7+Temp!L21))+LN(HR!L32/100)</f>
        <v>0.74985682217568495</v>
      </c>
      <c r="IR59" s="88">
        <f t="shared" si="621"/>
        <v>10.789311249458216</v>
      </c>
      <c r="IS59" s="88">
        <f t="shared" si="622"/>
        <v>1.9743747924692345</v>
      </c>
      <c r="IT59" s="88">
        <f t="shared" si="715"/>
        <v>8</v>
      </c>
      <c r="IU59" s="88">
        <f t="shared" si="716"/>
        <v>99.65</v>
      </c>
      <c r="IV59" s="88">
        <f t="shared" si="717"/>
        <v>1.86</v>
      </c>
      <c r="IW59" s="88">
        <f t="shared" si="718"/>
        <v>-4.46</v>
      </c>
      <c r="IX59" s="88">
        <f t="shared" si="719"/>
        <v>-3.15</v>
      </c>
      <c r="IY59" s="103">
        <f t="shared" si="503"/>
        <v>107.59465793736423</v>
      </c>
      <c r="IZ59" s="165">
        <f>IF(JF59&gt;(IY59*'Irradiancia Horizontal'!M19),JF59,IY59*'Irradiancia Horizontal'!M19)</f>
        <v>79806.121375409581</v>
      </c>
      <c r="JA59" s="88">
        <f t="shared" si="720"/>
        <v>152.22999999999999</v>
      </c>
      <c r="JB59" s="88">
        <f t="shared" si="721"/>
        <v>0.35</v>
      </c>
      <c r="JC59" s="88">
        <f t="shared" si="722"/>
        <v>-45.27</v>
      </c>
      <c r="JD59" s="88">
        <f t="shared" si="723"/>
        <v>-7.98</v>
      </c>
      <c r="JE59" s="103">
        <f t="shared" si="508"/>
        <v>142.63925286982774</v>
      </c>
      <c r="JF59" s="88">
        <f>+JE59*'Irradiancia Horizontal'!M51</f>
        <v>13834.997526424953</v>
      </c>
      <c r="JG59" s="88">
        <f t="shared" si="623"/>
        <v>65971.123848984629</v>
      </c>
      <c r="JH59" s="88">
        <f>+JG59/'Irradiancia Horizontal'!M80</f>
        <v>102.32261633487353</v>
      </c>
      <c r="JI59" s="38">
        <f t="shared" si="509"/>
        <v>0.7451315462992476</v>
      </c>
      <c r="JJ59" s="88">
        <f t="shared" si="624"/>
        <v>0.7451315462992476</v>
      </c>
      <c r="JK59" s="88">
        <f t="shared" si="625"/>
        <v>0.62125883764970968</v>
      </c>
      <c r="JL59" s="88">
        <f t="shared" si="626"/>
        <v>1.17</v>
      </c>
      <c r="JM59" s="88">
        <f t="shared" si="627"/>
        <v>-0.3</v>
      </c>
      <c r="JN59" s="88">
        <f t="shared" si="628"/>
        <v>-0.61499999999999999</v>
      </c>
      <c r="JO59" s="88">
        <f t="shared" si="629"/>
        <v>0.51800000000000002</v>
      </c>
      <c r="JP59" s="88">
        <f t="shared" si="630"/>
        <v>-1.8919999999999999</v>
      </c>
      <c r="JQ59" s="88">
        <f t="shared" si="631"/>
        <v>-5.5E-2</v>
      </c>
      <c r="JR59" s="88">
        <f t="shared" si="510"/>
        <v>0.58415611923545763</v>
      </c>
      <c r="JS59" s="88">
        <f t="shared" si="511"/>
        <v>0.26623157049350621</v>
      </c>
      <c r="JT59" s="88">
        <f t="shared" si="512"/>
        <v>16253.139726992418</v>
      </c>
      <c r="JU59" s="88">
        <f t="shared" si="724"/>
        <v>0.67800000000000005</v>
      </c>
      <c r="JV59" s="88">
        <f t="shared" si="725"/>
        <v>-0.32700000000000001</v>
      </c>
      <c r="JW59" s="88">
        <f t="shared" si="726"/>
        <v>-0.25</v>
      </c>
      <c r="JX59" s="88">
        <f t="shared" si="727"/>
        <v>0.156</v>
      </c>
      <c r="JY59" s="88">
        <f t="shared" si="728"/>
        <v>-1.377</v>
      </c>
      <c r="JZ59" s="88">
        <f t="shared" si="729"/>
        <v>0.251</v>
      </c>
      <c r="KA59" s="88">
        <f t="shared" si="519"/>
        <v>0.41793356068539722</v>
      </c>
      <c r="KB59" s="88">
        <f t="shared" si="520"/>
        <v>0.2348192126287415</v>
      </c>
      <c r="KC59" s="106">
        <f>IF(II59&lt;0,0,((0.5*(1-KA59)*(1+COS(RADIANS($IP$46))))+(KA59*(JJ59/JK59))+(KB59*SIN(RADIANS($IP$46))))*'Irradiancia Horizontal'!M51)</f>
        <v>99.623144500411257</v>
      </c>
      <c r="KD59" s="88">
        <f t="shared" si="521"/>
        <v>1.1993898535402119</v>
      </c>
      <c r="KE59" s="88">
        <f>KD59*'Irradiancia Horizontal'!M80</f>
        <v>773.29039664273603</v>
      </c>
      <c r="KF59" s="88">
        <f t="shared" si="632"/>
        <v>872.91354114314731</v>
      </c>
      <c r="KG59" s="88">
        <f t="shared" si="522"/>
        <v>93920.833868190253</v>
      </c>
      <c r="KH59" s="88">
        <f t="shared" si="633"/>
        <v>77667.694141197833</v>
      </c>
      <c r="KI59" s="106">
        <f t="shared" si="634"/>
        <v>106189.43321363544</v>
      </c>
      <c r="KJ59" s="106">
        <f t="shared" si="635"/>
        <v>79125.096571116854</v>
      </c>
      <c r="KK59" s="106">
        <f t="shared" si="636"/>
        <v>95378.236298109274</v>
      </c>
      <c r="KL59" s="40"/>
      <c r="KN59" s="39">
        <v>0.45833333333333298</v>
      </c>
      <c r="KO59" s="38">
        <v>15</v>
      </c>
      <c r="KP59" s="38">
        <f t="shared" si="523"/>
        <v>35.522989333110019</v>
      </c>
      <c r="KQ59" s="38">
        <f t="shared" si="524"/>
        <v>163.03777709301244</v>
      </c>
      <c r="KR59" s="38">
        <f t="shared" si="525"/>
        <v>54.477010666889981</v>
      </c>
      <c r="KS59" s="38">
        <f>+'Irradiancia Horizontal'!N80/COS(RADIANS(KR59))</f>
        <v>850.93235522734813</v>
      </c>
      <c r="KT59" s="38">
        <f>((('Irradiancia Horizontal'!N51+KS59)/'Irradiancia Horizontal'!N51)+1.041*((RADIANS('Cálculos iluminancia'!KR59))^3))/(1+1.041*((RADIANS('Cálculos iluminancia'!KR59))^3))</f>
        <v>4.7249841916543058</v>
      </c>
      <c r="KU59" s="88">
        <f t="shared" si="526"/>
        <v>1.7177321393874878</v>
      </c>
      <c r="KV59" s="88">
        <f t="shared" si="637"/>
        <v>1.6753506676665246</v>
      </c>
      <c r="KW59" s="106">
        <f>'Irradiancia Horizontal'!N51*KV59/$KU$46</f>
        <v>0.14082117990524462</v>
      </c>
      <c r="KX59" s="88">
        <f>((17.27*Temp!M21)/(237.7+Temp!M21))+LN(HR!M32/100)</f>
        <v>0.45604945006092246</v>
      </c>
      <c r="KY59" s="88">
        <f t="shared" si="638"/>
        <v>6.4472031101503422</v>
      </c>
      <c r="KZ59" s="88">
        <f t="shared" si="639"/>
        <v>1.4568902781863931</v>
      </c>
      <c r="LA59" s="88">
        <f t="shared" si="730"/>
        <v>7</v>
      </c>
      <c r="LB59" s="88">
        <f t="shared" si="731"/>
        <v>78.63</v>
      </c>
      <c r="LC59" s="88">
        <f t="shared" si="732"/>
        <v>1.47</v>
      </c>
      <c r="LD59" s="88">
        <f t="shared" si="733"/>
        <v>4.93</v>
      </c>
      <c r="LE59" s="88">
        <f t="shared" si="734"/>
        <v>-11.37</v>
      </c>
      <c r="LF59" s="103">
        <f t="shared" si="532"/>
        <v>105.92431092895762</v>
      </c>
      <c r="LG59" s="165">
        <f>IF(LM59&gt;(LF59*'Irradiancia Horizontal'!N19),LM59,LF59*'Irradiancia Horizontal'!N19)</f>
        <v>65141.163282541129</v>
      </c>
      <c r="LH59" s="88">
        <f t="shared" si="735"/>
        <v>141.88</v>
      </c>
      <c r="LI59" s="88">
        <f t="shared" si="736"/>
        <v>1.9</v>
      </c>
      <c r="LJ59" s="88">
        <f t="shared" si="737"/>
        <v>-53.24</v>
      </c>
      <c r="LK59" s="88">
        <f t="shared" si="738"/>
        <v>-14.03</v>
      </c>
      <c r="LL59" s="103">
        <f t="shared" si="537"/>
        <v>141.21658735302265</v>
      </c>
      <c r="LM59" s="88">
        <f>+LL59*'Irradiancia Horizontal'!N51</f>
        <v>17025.289899619442</v>
      </c>
      <c r="LN59" s="88">
        <f t="shared" si="640"/>
        <v>48115.873382921687</v>
      </c>
      <c r="LO59" s="88">
        <f>+LN59/'Irradiancia Horizontal'!N80</f>
        <v>97.31843248622468</v>
      </c>
      <c r="LP59" s="38">
        <f t="shared" si="538"/>
        <v>0.77847638306406575</v>
      </c>
      <c r="LQ59" s="88">
        <f t="shared" si="641"/>
        <v>0.77847638306406575</v>
      </c>
      <c r="LR59" s="88">
        <f t="shared" si="642"/>
        <v>0.58102956430636599</v>
      </c>
      <c r="LS59" s="88">
        <f t="shared" si="643"/>
        <v>1.4850000000000001</v>
      </c>
      <c r="LT59" s="88">
        <f t="shared" si="644"/>
        <v>-1.214</v>
      </c>
      <c r="LU59" s="88">
        <f t="shared" si="645"/>
        <v>-0.78400000000000003</v>
      </c>
      <c r="LV59" s="88">
        <f t="shared" si="646"/>
        <v>0.41099999999999998</v>
      </c>
      <c r="LW59" s="88">
        <f t="shared" si="647"/>
        <v>-0.629</v>
      </c>
      <c r="LX59" s="88">
        <f t="shared" si="648"/>
        <v>-8.2000000000000003E-2</v>
      </c>
      <c r="LY59" s="88">
        <f t="shared" si="539"/>
        <v>0.56861337661449229</v>
      </c>
      <c r="LZ59" s="88">
        <f t="shared" si="540"/>
        <v>0.24445761521153436</v>
      </c>
      <c r="MA59" s="88">
        <f t="shared" si="541"/>
        <v>20804.765066722484</v>
      </c>
      <c r="MB59" s="88">
        <f t="shared" si="739"/>
        <v>1.06</v>
      </c>
      <c r="MC59" s="88">
        <f t="shared" si="740"/>
        <v>-1.6</v>
      </c>
      <c r="MD59" s="88">
        <f t="shared" si="741"/>
        <v>-0.35899999999999999</v>
      </c>
      <c r="ME59" s="88">
        <f t="shared" si="742"/>
        <v>0.26400000000000001</v>
      </c>
      <c r="MF59" s="88">
        <f t="shared" si="743"/>
        <v>-1.127</v>
      </c>
      <c r="MG59" s="88">
        <f t="shared" si="744"/>
        <v>0.13100000000000001</v>
      </c>
      <c r="MH59" s="88">
        <f t="shared" si="548"/>
        <v>0.49334776235312128</v>
      </c>
      <c r="MI59" s="88">
        <f t="shared" si="549"/>
        <v>0.22984974981113993</v>
      </c>
      <c r="MJ59" s="106">
        <f>IF(KP59&lt;0,0,((0.5*(1-MH59)*(1+COS(RADIANS($KW$46))))+(MH59*(LQ59/LR59))+(MI59*SIN(RADIANS($KW$46))))*'Irradiancia Horizontal'!N51)</f>
        <v>137.94341078395513</v>
      </c>
      <c r="MK59" s="88">
        <f t="shared" si="550"/>
        <v>1.3398223272741931</v>
      </c>
      <c r="ML59" s="88">
        <f>MK59*'Irradiancia Horizontal'!N80</f>
        <v>662.43074212957276</v>
      </c>
      <c r="MM59" s="88">
        <f t="shared" si="649"/>
        <v>800.37415291352795</v>
      </c>
      <c r="MN59" s="88">
        <f t="shared" si="551"/>
        <v>84779.080632713609</v>
      </c>
      <c r="MO59" s="88">
        <f t="shared" si="650"/>
        <v>63974.315565991128</v>
      </c>
      <c r="MP59" s="106">
        <f t="shared" si="651"/>
        <v>82811.402962536842</v>
      </c>
      <c r="MQ59" s="106">
        <f t="shared" si="652"/>
        <v>64466.721454736537</v>
      </c>
      <c r="MR59" s="106">
        <f t="shared" si="653"/>
        <v>85271.486521459025</v>
      </c>
    </row>
    <row r="60" spans="1:356" x14ac:dyDescent="0.25">
      <c r="A60" s="48"/>
      <c r="B60" s="37"/>
      <c r="E60" s="39">
        <v>0.5</v>
      </c>
      <c r="F60" s="38">
        <v>0</v>
      </c>
      <c r="G60" s="38">
        <f t="shared" si="378"/>
        <v>81.361513173733542</v>
      </c>
      <c r="H60" s="38">
        <f>IF(H46&lt;20,0,180)</f>
        <v>180</v>
      </c>
      <c r="I60" s="38">
        <f t="shared" si="380"/>
        <v>8.6384868262664583</v>
      </c>
      <c r="J60" s="38">
        <f>+'Irradiancia Horizontal'!I81/COS(RADIANS(I60))</f>
        <v>719.70031440302103</v>
      </c>
      <c r="K60" s="38">
        <f>((('Irradiancia Horizontal'!I52+J60)/'Irradiancia Horizontal'!I52)+1.041*((RADIANS('Cálculos iluminancia'!I60))^3))/(1+1.041*((RADIANS('Cálculos iluminancia'!I60))^3))</f>
        <v>4.1771071430457303</v>
      </c>
      <c r="L60" s="87">
        <f t="shared" si="381"/>
        <v>1.0111307051428016</v>
      </c>
      <c r="M60" s="87">
        <f t="shared" si="654"/>
        <v>0.98618315575277393</v>
      </c>
      <c r="N60" s="106">
        <f>'Irradiancia Horizontal'!I52*M60/$L$46</f>
        <v>0.16582650077949959</v>
      </c>
      <c r="O60" s="87">
        <f>((17.27*Temp!H22)/(237.7+Temp!H22))+LN(HR!H33/100)</f>
        <v>1.3714113657992797</v>
      </c>
      <c r="P60" s="87">
        <f t="shared" si="553"/>
        <v>20.503988696785171</v>
      </c>
      <c r="Q60" s="87">
        <f t="shared" si="554"/>
        <v>3.8972813050369828</v>
      </c>
      <c r="R60" s="87">
        <f t="shared" si="655"/>
        <v>6</v>
      </c>
      <c r="S60" s="87">
        <f t="shared" si="656"/>
        <v>88.34</v>
      </c>
      <c r="T60" s="87">
        <f t="shared" si="657"/>
        <v>1.39</v>
      </c>
      <c r="U60" s="87">
        <f t="shared" si="658"/>
        <v>6.06</v>
      </c>
      <c r="V60" s="87">
        <f t="shared" si="659"/>
        <v>-7.6</v>
      </c>
      <c r="W60" s="103">
        <f t="shared" si="387"/>
        <v>113.40425504824248</v>
      </c>
      <c r="X60" s="165">
        <f>IF(AD60&gt;(W60*'Irradiancia Horizontal'!I20),AD60,W60*'Irradiancia Horizontal'!I20)</f>
        <v>106288.98082116773</v>
      </c>
      <c r="Y60" s="87">
        <f t="shared" si="660"/>
        <v>106.42</v>
      </c>
      <c r="Z60" s="87">
        <f t="shared" si="661"/>
        <v>3.83</v>
      </c>
      <c r="AA60" s="87">
        <f t="shared" si="662"/>
        <v>-36.15</v>
      </c>
      <c r="AB60" s="87">
        <f t="shared" si="663"/>
        <v>-28.83</v>
      </c>
      <c r="AC60" s="103">
        <f t="shared" si="392"/>
        <v>137.4088083530421</v>
      </c>
      <c r="AD60" s="87">
        <f>+AC60*'Irradiancia Horizontal'!I52</f>
        <v>31016.136759582008</v>
      </c>
      <c r="AE60" s="87">
        <f t="shared" si="393"/>
        <v>75272.844061585725</v>
      </c>
      <c r="AF60" s="87">
        <f>+AE60/'Irradiancia Horizontal'!I81</f>
        <v>105.78925367252339</v>
      </c>
      <c r="AG60" s="38">
        <f t="shared" si="555"/>
        <v>0.1501994789104405</v>
      </c>
      <c r="AH60" s="87">
        <f t="shared" si="556"/>
        <v>0.1501994789104405</v>
      </c>
      <c r="AI60" s="87">
        <f t="shared" si="557"/>
        <v>0.9886557118304794</v>
      </c>
      <c r="AJ60" s="87">
        <f t="shared" si="558"/>
        <v>1.4259999999999999</v>
      </c>
      <c r="AK60" s="87">
        <f t="shared" si="559"/>
        <v>-0.65300000000000002</v>
      </c>
      <c r="AL60" s="87">
        <f t="shared" si="560"/>
        <v>-0.77900000000000003</v>
      </c>
      <c r="AM60" s="87">
        <f t="shared" si="561"/>
        <v>0.42499999999999999</v>
      </c>
      <c r="AN60" s="87">
        <f t="shared" si="562"/>
        <v>-0.78500000000000003</v>
      </c>
      <c r="AO60" s="87">
        <f t="shared" si="563"/>
        <v>-9.7000000000000003E-2</v>
      </c>
      <c r="AP60" s="87">
        <f t="shared" si="394"/>
        <v>1.2002654357718612</v>
      </c>
      <c r="AQ60" s="87">
        <f t="shared" si="395"/>
        <v>0.28020150324976784</v>
      </c>
      <c r="AR60" s="88">
        <f t="shared" si="396"/>
        <v>11240.763912734177</v>
      </c>
      <c r="AS60" s="87">
        <f t="shared" si="664"/>
        <v>1.1319999999999999</v>
      </c>
      <c r="AT60" s="87">
        <f t="shared" si="665"/>
        <v>-1.2370000000000001</v>
      </c>
      <c r="AU60" s="87">
        <f t="shared" si="666"/>
        <v>-0.41199999999999998</v>
      </c>
      <c r="AV60" s="87">
        <f t="shared" si="667"/>
        <v>0.28799999999999998</v>
      </c>
      <c r="AW60" s="87">
        <f t="shared" si="668"/>
        <v>-0.82299999999999995</v>
      </c>
      <c r="AX60" s="87">
        <f t="shared" si="669"/>
        <v>5.6000000000000001E-2</v>
      </c>
      <c r="AY60" s="87">
        <f t="shared" si="403"/>
        <v>0.86475536308225476</v>
      </c>
      <c r="AZ60" s="87">
        <f t="shared" si="404"/>
        <v>0.15996791195894811</v>
      </c>
      <c r="BA60" s="106">
        <f>IF(G60&lt;0,0,((0.5*(1-AY60)*(1+COS(RADIANS($N$46))))+(AY60*(AH60/AI60))+(AZ60*SIN(RADIANS($N$46))))*'Irradiancia Horizontal'!I52)</f>
        <v>81.02647296043753</v>
      </c>
      <c r="BB60" s="87">
        <f t="shared" si="405"/>
        <v>0.15192293648144578</v>
      </c>
      <c r="BC60" s="87">
        <f>BB60*'Irradiancia Horizontal'!I81</f>
        <v>108.09861219501394</v>
      </c>
      <c r="BD60" s="87">
        <f t="shared" si="564"/>
        <v>189.12508515545147</v>
      </c>
      <c r="BE60" s="88">
        <f t="shared" si="406"/>
        <v>21447.589392989397</v>
      </c>
      <c r="BF60" s="87">
        <f t="shared" si="565"/>
        <v>10206.82548025522</v>
      </c>
      <c r="BG60" s="106">
        <f t="shared" si="566"/>
        <v>76136.559128576031</v>
      </c>
      <c r="BH60" s="106">
        <f t="shared" si="567"/>
        <v>11435.671507146062</v>
      </c>
      <c r="BI60" s="106">
        <f t="shared" si="568"/>
        <v>22676.435419880239</v>
      </c>
      <c r="BJ60" s="44"/>
      <c r="BL60" s="39">
        <v>0.5</v>
      </c>
      <c r="BM60" s="38">
        <v>0</v>
      </c>
      <c r="BN60" s="38">
        <f t="shared" si="407"/>
        <v>72.674120525303422</v>
      </c>
      <c r="BO60" s="38">
        <f>+IF(BO46&gt;=0,180,0)</f>
        <v>180</v>
      </c>
      <c r="BP60" s="38">
        <f t="shared" si="409"/>
        <v>17.325879474696578</v>
      </c>
      <c r="BQ60" s="38">
        <f>+'Irradiancia Horizontal'!J81/COS(RADIANS(BP60))</f>
        <v>735.28120217678941</v>
      </c>
      <c r="BR60" s="38">
        <f>((('Irradiancia Horizontal'!J52+BQ60)/'Irradiancia Horizontal'!J52)+1.041*((RADIANS('Cálculos iluminancia'!BP60))^3))/(1+1.041*((RADIANS('Cálculos iluminancia'!BP60))^3))</f>
        <v>4.2183734733382829</v>
      </c>
      <c r="BS60" s="87">
        <f t="shared" si="410"/>
        <v>1.0470927126761735</v>
      </c>
      <c r="BT60" s="87">
        <f t="shared" si="569"/>
        <v>1.0212578754661439</v>
      </c>
      <c r="BU60" s="106">
        <f>'Irradiancia Horizontal'!J52*BT60/$BS$46</f>
        <v>0.16743116566917665</v>
      </c>
      <c r="BV60" s="87">
        <f>((17.27*Temp!I22)/(237.7+Temp!I22))+LN(HR!I33/100)</f>
        <v>1.5188445890900282</v>
      </c>
      <c r="BW60" s="87">
        <f t="shared" si="570"/>
        <v>22.920817515179504</v>
      </c>
      <c r="BX60" s="87">
        <f t="shared" si="571"/>
        <v>4.6156708764247485</v>
      </c>
      <c r="BY60" s="87">
        <f t="shared" si="670"/>
        <v>6</v>
      </c>
      <c r="BZ60" s="87">
        <f t="shared" si="671"/>
        <v>88.34</v>
      </c>
      <c r="CA60" s="87">
        <f t="shared" si="672"/>
        <v>1.39</v>
      </c>
      <c r="CB60" s="87">
        <f t="shared" si="673"/>
        <v>6.06</v>
      </c>
      <c r="CC60" s="87">
        <f t="shared" si="674"/>
        <v>-7.6</v>
      </c>
      <c r="CD60" s="103">
        <f t="shared" si="416"/>
        <v>114.12340892247573</v>
      </c>
      <c r="CE60" s="165">
        <f>IF(CK60&gt;(CD60*'Irradiancia Horizontal'!J20),CK60,CD60*'Irradiancia Horizontal'!J20)</f>
        <v>105448.89789859232</v>
      </c>
      <c r="CF60" s="87">
        <f t="shared" si="675"/>
        <v>106.42</v>
      </c>
      <c r="CG60" s="87">
        <f t="shared" si="676"/>
        <v>3.83</v>
      </c>
      <c r="CH60" s="87">
        <f t="shared" si="677"/>
        <v>-36.15</v>
      </c>
      <c r="CI60" s="87">
        <f t="shared" si="678"/>
        <v>-28.83</v>
      </c>
      <c r="CJ60" s="103">
        <f t="shared" si="421"/>
        <v>141.11276053827405</v>
      </c>
      <c r="CK60" s="87">
        <f>+CJ60*'Irradiancia Horizontal'!J52</f>
        <v>31337.086658316231</v>
      </c>
      <c r="CL60" s="87">
        <f t="shared" si="572"/>
        <v>74111.811240276089</v>
      </c>
      <c r="CM60" s="87">
        <f>+CL60/'Irradiancia Horizontal'!J81</f>
        <v>105.58458838536538</v>
      </c>
      <c r="CN60" s="38">
        <f t="shared" si="422"/>
        <v>0.29780609203608366</v>
      </c>
      <c r="CO60" s="87">
        <f t="shared" si="573"/>
        <v>0.29780609203608366</v>
      </c>
      <c r="CP60" s="87">
        <f t="shared" si="574"/>
        <v>0.95462638322340299</v>
      </c>
      <c r="CQ60" s="87">
        <f t="shared" si="575"/>
        <v>1.4259999999999999</v>
      </c>
      <c r="CR60" s="87">
        <f t="shared" si="576"/>
        <v>-0.65300000000000002</v>
      </c>
      <c r="CS60" s="87">
        <f t="shared" si="577"/>
        <v>-0.77900000000000003</v>
      </c>
      <c r="CT60" s="87">
        <f t="shared" si="578"/>
        <v>0.42499999999999999</v>
      </c>
      <c r="CU60" s="87">
        <f t="shared" si="579"/>
        <v>-0.78500000000000003</v>
      </c>
      <c r="CV60" s="87">
        <f t="shared" si="580"/>
        <v>-9.7000000000000003E-2</v>
      </c>
      <c r="CW60" s="87">
        <f t="shared" si="423"/>
        <v>1.0811028012036794</v>
      </c>
      <c r="CX60" s="87">
        <f t="shared" si="424"/>
        <v>0.26423435161389169</v>
      </c>
      <c r="CY60" s="88">
        <f t="shared" si="425"/>
        <v>17578.373878493243</v>
      </c>
      <c r="CZ60" s="87">
        <f t="shared" si="679"/>
        <v>1.1319999999999999</v>
      </c>
      <c r="DA60" s="87">
        <f t="shared" si="680"/>
        <v>-1.2370000000000001</v>
      </c>
      <c r="DB60" s="87">
        <f t="shared" si="681"/>
        <v>-0.41199999999999998</v>
      </c>
      <c r="DC60" s="87">
        <f t="shared" si="682"/>
        <v>0.28799999999999998</v>
      </c>
      <c r="DD60" s="87">
        <f t="shared" si="683"/>
        <v>-0.82299999999999995</v>
      </c>
      <c r="DE60" s="87">
        <f t="shared" si="684"/>
        <v>5.6000000000000001E-2</v>
      </c>
      <c r="DF60" s="87">
        <f t="shared" si="432"/>
        <v>0.80030146730071805</v>
      </c>
      <c r="DG60" s="87">
        <f t="shared" si="433"/>
        <v>0.1671381946419486</v>
      </c>
      <c r="DH60" s="106">
        <f>IF(BN60&lt;0,0,((0.5*(1-DF60)*(1+COS(RADIANS($BU$46))))+(DF60*(CO60/CP60))+(DG60*SIN(RADIANS($BU$46))))*'Irradiancia Horizontal'!J52)</f>
        <v>114.73315748028219</v>
      </c>
      <c r="DI60" s="87">
        <f t="shared" si="434"/>
        <v>0.31196088571374697</v>
      </c>
      <c r="DJ60" s="87">
        <f>DI60*'Irradiancia Horizontal'!J81</f>
        <v>218.97122136786319</v>
      </c>
      <c r="DK60" s="87">
        <f t="shared" si="581"/>
        <v>333.70437884814538</v>
      </c>
      <c r="DL60" s="88">
        <f t="shared" si="435"/>
        <v>38083.48128650766</v>
      </c>
      <c r="DM60" s="87">
        <f t="shared" si="582"/>
        <v>20505.107408014417</v>
      </c>
      <c r="DN60" s="106">
        <f t="shared" si="583"/>
        <v>77634.363079332936</v>
      </c>
      <c r="DO60" s="106">
        <f t="shared" si="584"/>
        <v>23119.986276366559</v>
      </c>
      <c r="DP60" s="106">
        <f t="shared" si="585"/>
        <v>40698.360154859802</v>
      </c>
      <c r="DQ60" s="44"/>
      <c r="DS60" s="39">
        <v>0.5</v>
      </c>
      <c r="DT60" s="38">
        <v>0</v>
      </c>
      <c r="DU60" s="38">
        <f t="shared" si="436"/>
        <v>60.71816592296026</v>
      </c>
      <c r="DV60" s="38">
        <f>+IF(DV46&gt;=0,180,0)</f>
        <v>180</v>
      </c>
      <c r="DW60" s="38">
        <f t="shared" si="438"/>
        <v>29.28183407703974</v>
      </c>
      <c r="DX60" s="38">
        <f>+'Irradiancia Horizontal'!K81/COS(RADIANS(DW60))</f>
        <v>980.39363115118852</v>
      </c>
      <c r="DY60" s="38">
        <f>((('Irradiancia Horizontal'!K52+DX60)/'Irradiancia Horizontal'!K52)+1.041*((RADIANS('Cálculos iluminancia'!DW60))^3))/(1+1.041*((RADIANS('Cálculos iluminancia'!DW60))^3))</f>
        <v>6.9094518705179109</v>
      </c>
      <c r="DZ60" s="87">
        <f t="shared" si="439"/>
        <v>1.1458079258650418</v>
      </c>
      <c r="EA60" s="87">
        <f t="shared" si="586"/>
        <v>1.1175374958636444</v>
      </c>
      <c r="EB60" s="106">
        <f>'Irradiancia Horizontal'!K52*EA60/$DZ$46</f>
        <v>0.11832007792042266</v>
      </c>
      <c r="EC60" s="87">
        <f>((17.27*Temp!J22)/(237.7+Temp!J22))+LN(HR!J33/100)</f>
        <v>1.3934606564655854</v>
      </c>
      <c r="ED60" s="87">
        <f t="shared" si="587"/>
        <v>20.862581629085209</v>
      </c>
      <c r="EE60" s="87">
        <f t="shared" si="588"/>
        <v>3.996347080657956</v>
      </c>
      <c r="EF60" s="87">
        <f t="shared" si="685"/>
        <v>8</v>
      </c>
      <c r="EG60" s="87">
        <f t="shared" si="686"/>
        <v>99.65</v>
      </c>
      <c r="EH60" s="87">
        <f t="shared" si="687"/>
        <v>1.86</v>
      </c>
      <c r="EI60" s="87">
        <f t="shared" si="688"/>
        <v>-4.46</v>
      </c>
      <c r="EJ60" s="87">
        <f t="shared" si="689"/>
        <v>-3.15</v>
      </c>
      <c r="EK60" s="103">
        <f t="shared" si="445"/>
        <v>109.91632446774288</v>
      </c>
      <c r="EL60" s="165">
        <f>IF(ER60&gt;(EK60*'Irradiancia Horizontal'!K20),ER60,EK60*'Irradiancia Horizontal'!K20)</f>
        <v>110002.63563844463</v>
      </c>
      <c r="EM60" s="87">
        <f t="shared" si="690"/>
        <v>152.22999999999999</v>
      </c>
      <c r="EN60" s="87">
        <f t="shared" si="691"/>
        <v>0.35</v>
      </c>
      <c r="EO60" s="87">
        <f t="shared" si="692"/>
        <v>-45.27</v>
      </c>
      <c r="EP60" s="87">
        <f t="shared" si="693"/>
        <v>-7.98</v>
      </c>
      <c r="EQ60" s="103">
        <f t="shared" si="450"/>
        <v>131.17533053064844</v>
      </c>
      <c r="ER60" s="87">
        <f>+EQ60*'Irradiancia Horizontal'!K52</f>
        <v>19107.261993284254</v>
      </c>
      <c r="ES60" s="87">
        <f t="shared" si="589"/>
        <v>90895.373645160376</v>
      </c>
      <c r="ET60" s="87">
        <f>+ES60/'Irradiancia Horizontal'!K81</f>
        <v>106.2950575324021</v>
      </c>
      <c r="EU60" s="38">
        <f t="shared" si="451"/>
        <v>0.48910593308705719</v>
      </c>
      <c r="EV60" s="87">
        <f t="shared" si="590"/>
        <v>0.48910593308705719</v>
      </c>
      <c r="EW60" s="87">
        <f t="shared" si="591"/>
        <v>0.87222438983270745</v>
      </c>
      <c r="EX60" s="87">
        <f t="shared" si="592"/>
        <v>1.17</v>
      </c>
      <c r="EY60" s="87">
        <f t="shared" si="593"/>
        <v>-0.3</v>
      </c>
      <c r="EZ60" s="87">
        <f t="shared" si="594"/>
        <v>-0.61499999999999999</v>
      </c>
      <c r="FA60" s="87">
        <f t="shared" si="595"/>
        <v>0.51800000000000002</v>
      </c>
      <c r="FB60" s="87">
        <f t="shared" si="596"/>
        <v>-1.8919999999999999</v>
      </c>
      <c r="FC60" s="87">
        <f t="shared" si="597"/>
        <v>-5.5E-2</v>
      </c>
      <c r="FD60" s="87">
        <f t="shared" si="452"/>
        <v>0.82019936098865687</v>
      </c>
      <c r="FE60" s="87">
        <f t="shared" si="453"/>
        <v>0.26602986971287435</v>
      </c>
      <c r="FF60" s="88">
        <f t="shared" si="454"/>
        <v>15588.902801807491</v>
      </c>
      <c r="FG60" s="87">
        <f t="shared" si="694"/>
        <v>0.67800000000000005</v>
      </c>
      <c r="FH60" s="87">
        <f t="shared" si="695"/>
        <v>-0.32700000000000001</v>
      </c>
      <c r="FI60" s="87">
        <f t="shared" si="696"/>
        <v>-0.25</v>
      </c>
      <c r="FJ60" s="87">
        <f t="shared" si="697"/>
        <v>0.156</v>
      </c>
      <c r="FK60" s="87">
        <f t="shared" si="698"/>
        <v>-1.377</v>
      </c>
      <c r="FL60" s="87">
        <f t="shared" si="699"/>
        <v>0.251</v>
      </c>
      <c r="FM60" s="87">
        <f t="shared" si="461"/>
        <v>0.51154323060326723</v>
      </c>
      <c r="FN60" s="87">
        <f t="shared" si="462"/>
        <v>0.12135042103599961</v>
      </c>
      <c r="FO60" s="106">
        <f>IF(DU60&lt;0,0,((0.5*(1-FM60)*(1+COS(RADIANS($EB$46))))+(FM60*(EV60/EW60))+(FN60*SIN(RADIANS($EB$46))))*'Irradiancia Horizontal'!K52)</f>
        <v>95.03430056655462</v>
      </c>
      <c r="FP60" s="87">
        <f t="shared" si="463"/>
        <v>0.56075700105206605</v>
      </c>
      <c r="FQ60" s="87">
        <f>FP60*'Irradiancia Horizontal'!K81</f>
        <v>479.51634175681028</v>
      </c>
      <c r="FR60" s="87">
        <f t="shared" si="598"/>
        <v>574.55064232336485</v>
      </c>
      <c r="FS60" s="88">
        <f t="shared" si="464"/>
        <v>63152.494824765061</v>
      </c>
      <c r="FT60" s="87">
        <f t="shared" si="599"/>
        <v>47563.592022957571</v>
      </c>
      <c r="FU60" s="106">
        <f t="shared" si="600"/>
        <v>104210.9974276162</v>
      </c>
      <c r="FV60" s="106">
        <f t="shared" si="601"/>
        <v>50970.217134767139</v>
      </c>
      <c r="FW60" s="106">
        <f t="shared" si="602"/>
        <v>66559.119936574629</v>
      </c>
      <c r="FX60" s="83"/>
      <c r="FZ60" s="39">
        <v>0.5</v>
      </c>
      <c r="GA60" s="38">
        <v>0</v>
      </c>
      <c r="GB60" s="38">
        <f t="shared" si="465"/>
        <v>49.165879474696581</v>
      </c>
      <c r="GC60" s="38">
        <f>+IF(GC46&gt;=-11,180,0)</f>
        <v>180</v>
      </c>
      <c r="GD60" s="38">
        <f t="shared" si="467"/>
        <v>40.834120525303419</v>
      </c>
      <c r="GE60" s="38">
        <f>+'Irradiancia Horizontal'!L81/COS(RADIANS(GD60))</f>
        <v>1117.8289768529733</v>
      </c>
      <c r="GF60" s="38">
        <f>((('Irradiancia Horizontal'!L52+GE60)/'Irradiancia Horizontal'!L52)+1.041*((RADIANS('Cálculos iluminancia'!GD60))^3))/(1+1.041*((RADIANS('Cálculos iluminancia'!GD60))^3))</f>
        <v>9.2264881111511574</v>
      </c>
      <c r="GG60" s="88">
        <f t="shared" si="468"/>
        <v>1.3204486723237872</v>
      </c>
      <c r="GH60" s="88">
        <f t="shared" si="603"/>
        <v>1.2878693447430449</v>
      </c>
      <c r="GI60" s="106">
        <f>'Irradiancia Horizontal'!L52*GH60/$GG$46</f>
        <v>9.0782581395288692E-2</v>
      </c>
      <c r="GJ60" s="88">
        <f>((17.27*Temp!K22)/(237.7+Temp!K22))+LN(HR!K33/100)</f>
        <v>1.0651641420008837</v>
      </c>
      <c r="GK60" s="88">
        <f t="shared" si="604"/>
        <v>15.62431849185497</v>
      </c>
      <c r="GL60" s="88">
        <f t="shared" si="605"/>
        <v>2.7695983077473327</v>
      </c>
      <c r="GM60" s="88">
        <f t="shared" si="700"/>
        <v>8</v>
      </c>
      <c r="GN60" s="88">
        <f t="shared" si="701"/>
        <v>99.65</v>
      </c>
      <c r="GO60" s="88">
        <f t="shared" si="702"/>
        <v>1.86</v>
      </c>
      <c r="GP60" s="88">
        <f t="shared" si="703"/>
        <v>-4.46</v>
      </c>
      <c r="GQ60" s="88">
        <f t="shared" si="704"/>
        <v>-3.15</v>
      </c>
      <c r="GR60" s="103">
        <f t="shared" si="474"/>
        <v>108.98474770423627</v>
      </c>
      <c r="GS60" s="165">
        <f>IF(GY60&gt;(GR60*'Irradiancia Horizontal'!L20),GY60,GR60*'Irradiancia Horizontal'!L20)</f>
        <v>102930.33310438655</v>
      </c>
      <c r="GT60" s="88">
        <f t="shared" si="705"/>
        <v>152.22999999999999</v>
      </c>
      <c r="GU60" s="88">
        <f t="shared" si="706"/>
        <v>0.35</v>
      </c>
      <c r="GV60" s="88">
        <f t="shared" si="707"/>
        <v>-45.27</v>
      </c>
      <c r="GW60" s="88">
        <f t="shared" si="708"/>
        <v>-7.98</v>
      </c>
      <c r="GX60" s="103">
        <f t="shared" si="479"/>
        <v>138.0941318876493</v>
      </c>
      <c r="GY60" s="88">
        <f>+GX60*'Irradiancia Horizontal'!L52</f>
        <v>13628.68275537668</v>
      </c>
      <c r="GZ60" s="88">
        <f t="shared" si="606"/>
        <v>89301.650349009869</v>
      </c>
      <c r="HA60" s="88">
        <f>+GZ60/'Irradiancia Horizontal'!L81</f>
        <v>105.5879737501707</v>
      </c>
      <c r="HB60" s="38">
        <f t="shared" si="480"/>
        <v>0.65387129039525815</v>
      </c>
      <c r="HC60" s="88">
        <f t="shared" si="607"/>
        <v>0.65387129039525815</v>
      </c>
      <c r="HD60" s="88">
        <f t="shared" si="608"/>
        <v>0.7566057993412687</v>
      </c>
      <c r="HE60" s="88">
        <f t="shared" si="609"/>
        <v>1.17</v>
      </c>
      <c r="HF60" s="88">
        <f t="shared" si="610"/>
        <v>-0.3</v>
      </c>
      <c r="HG60" s="88">
        <f t="shared" si="611"/>
        <v>-0.61499999999999999</v>
      </c>
      <c r="HH60" s="88">
        <f t="shared" si="612"/>
        <v>0.51800000000000002</v>
      </c>
      <c r="HI60" s="88">
        <f t="shared" si="613"/>
        <v>-1.8919999999999999</v>
      </c>
      <c r="HJ60" s="88">
        <f t="shared" si="614"/>
        <v>-5.5E-2</v>
      </c>
      <c r="HK60" s="88">
        <f t="shared" si="481"/>
        <v>0.70446096763292765</v>
      </c>
      <c r="HL60" s="88">
        <f t="shared" si="482"/>
        <v>0.30704141423236303</v>
      </c>
      <c r="HM60" s="88">
        <f t="shared" si="483"/>
        <v>14495.709456286499</v>
      </c>
      <c r="HN60" s="88">
        <f t="shared" si="709"/>
        <v>0.67800000000000005</v>
      </c>
      <c r="HO60" s="88">
        <f t="shared" si="710"/>
        <v>-0.32700000000000001</v>
      </c>
      <c r="HP60" s="88">
        <f t="shared" si="711"/>
        <v>-0.25</v>
      </c>
      <c r="HQ60" s="88">
        <f t="shared" si="712"/>
        <v>0.156</v>
      </c>
      <c r="HR60" s="88">
        <f t="shared" si="713"/>
        <v>-1.377</v>
      </c>
      <c r="HS60" s="88">
        <f t="shared" si="714"/>
        <v>0.251</v>
      </c>
      <c r="HT60" s="88">
        <f t="shared" si="490"/>
        <v>0.47014163330305536</v>
      </c>
      <c r="HU60" s="88">
        <f t="shared" si="491"/>
        <v>0.20987753784969551</v>
      </c>
      <c r="HV60" s="106">
        <f>IF(GB60&lt;0,0,((0.5*(1-HT60)*(1+COS(RADIANS($GI$46))))+(HT60*(HC60/HD60))+(HU60*SIN(RADIANS($GI$46))))*'Irradiancia Horizontal'!L52)</f>
        <v>86.95794018722664</v>
      </c>
      <c r="HW60" s="88">
        <f t="shared" si="492"/>
        <v>0.86421659860992961</v>
      </c>
      <c r="HX60" s="88">
        <f>HW60*'Irradiancia Horizontal'!L81</f>
        <v>730.91627553606475</v>
      </c>
      <c r="HY60" s="88">
        <f t="shared" si="615"/>
        <v>817.8742157232914</v>
      </c>
      <c r="HZ60" s="88">
        <f t="shared" si="493"/>
        <v>89135.815054403021</v>
      </c>
      <c r="IA60" s="88">
        <f t="shared" si="616"/>
        <v>74640.105598116526</v>
      </c>
      <c r="IB60" s="106">
        <f t="shared" si="617"/>
        <v>118029.29666513191</v>
      </c>
      <c r="IC60" s="106">
        <f t="shared" si="618"/>
        <v>77175.968514874548</v>
      </c>
      <c r="ID60" s="106">
        <f t="shared" si="619"/>
        <v>91671.677971161043</v>
      </c>
      <c r="IE60" s="83"/>
      <c r="IG60" s="39">
        <v>0.5</v>
      </c>
      <c r="IH60" s="38">
        <v>0</v>
      </c>
      <c r="II60" s="38">
        <f t="shared" si="494"/>
        <v>40.478486826266419</v>
      </c>
      <c r="IJ60" s="38">
        <f>+IF(IJ46&gt;=-19,180,0)</f>
        <v>180</v>
      </c>
      <c r="IK60" s="38">
        <f t="shared" si="496"/>
        <v>49.521513173733581</v>
      </c>
      <c r="IL60" s="38">
        <f>+'Irradiancia Horizontal'!M81/COS(RADIANS(IK60))</f>
        <v>1057.4881299653962</v>
      </c>
      <c r="IM60" s="38">
        <f>((('Irradiancia Horizontal'!M52+IL60)/'Irradiancia Horizontal'!M52)+1.041*((RADIANS('Cálculos iluminancia'!IK60))^3))/(1+1.041*((RADIANS('Cálculos iluminancia'!IK60))^3))</f>
        <v>7.2399349846757088</v>
      </c>
      <c r="IN60" s="88">
        <f t="shared" si="497"/>
        <v>1.5382124881307646</v>
      </c>
      <c r="IO60" s="88">
        <f t="shared" si="620"/>
        <v>1.5002602908284584</v>
      </c>
      <c r="IP60" s="106">
        <f>'Irradiancia Horizontal'!M52*IO60/$IN$46</f>
        <v>0.10691365447485959</v>
      </c>
      <c r="IQ60" s="88">
        <f>((17.27*Temp!L22)/(237.7+Temp!L22))+LN(HR!L33/100)</f>
        <v>0.76714451099555325</v>
      </c>
      <c r="IR60" s="88">
        <f t="shared" si="621"/>
        <v>11.04961807277169</v>
      </c>
      <c r="IS60" s="88">
        <f t="shared" si="622"/>
        <v>2.010680586673733</v>
      </c>
      <c r="IT60" s="88">
        <f t="shared" si="715"/>
        <v>8</v>
      </c>
      <c r="IU60" s="88">
        <f t="shared" si="716"/>
        <v>99.65</v>
      </c>
      <c r="IV60" s="88">
        <f t="shared" si="717"/>
        <v>1.86</v>
      </c>
      <c r="IW60" s="88">
        <f t="shared" si="718"/>
        <v>-4.46</v>
      </c>
      <c r="IX60" s="88">
        <f t="shared" si="719"/>
        <v>-3.15</v>
      </c>
      <c r="IY60" s="103">
        <f t="shared" si="503"/>
        <v>107.53716246625837</v>
      </c>
      <c r="IZ60" s="165">
        <f>IF(JF60&gt;(IY60*'Irradiancia Horizontal'!M20),JF60,IY60*'Irradiancia Horizontal'!M20)</f>
        <v>84721.105148052258</v>
      </c>
      <c r="JA60" s="88">
        <f t="shared" si="720"/>
        <v>152.22999999999999</v>
      </c>
      <c r="JB60" s="88">
        <f t="shared" si="721"/>
        <v>0.35</v>
      </c>
      <c r="JC60" s="88">
        <f t="shared" si="722"/>
        <v>-45.27</v>
      </c>
      <c r="JD60" s="88">
        <f t="shared" si="723"/>
        <v>-7.98</v>
      </c>
      <c r="JE60" s="103">
        <f t="shared" si="508"/>
        <v>141.38730757494636</v>
      </c>
      <c r="JF60" s="88">
        <f>+JE60*'Irradiancia Horizontal'!M52</f>
        <v>14329.508402038604</v>
      </c>
      <c r="JG60" s="88">
        <f t="shared" si="623"/>
        <v>70391.59674601366</v>
      </c>
      <c r="JH60" s="88">
        <f>+JG60/'Irradiancia Horizontal'!M81</f>
        <v>102.53966613255221</v>
      </c>
      <c r="JI60" s="38">
        <f t="shared" si="509"/>
        <v>0.76064976396230588</v>
      </c>
      <c r="JJ60" s="88">
        <f t="shared" si="624"/>
        <v>0.76064976396230588</v>
      </c>
      <c r="JK60" s="88">
        <f t="shared" si="625"/>
        <v>0.64916248858362757</v>
      </c>
      <c r="JL60" s="88">
        <f t="shared" si="626"/>
        <v>1.17</v>
      </c>
      <c r="JM60" s="88">
        <f t="shared" si="627"/>
        <v>-0.3</v>
      </c>
      <c r="JN60" s="88">
        <f t="shared" si="628"/>
        <v>-0.61499999999999999</v>
      </c>
      <c r="JO60" s="88">
        <f t="shared" si="629"/>
        <v>0.51800000000000002</v>
      </c>
      <c r="JP60" s="88">
        <f t="shared" si="630"/>
        <v>-1.8919999999999999</v>
      </c>
      <c r="JQ60" s="88">
        <f t="shared" si="631"/>
        <v>-5.5E-2</v>
      </c>
      <c r="JR60" s="88">
        <f t="shared" si="510"/>
        <v>0.60637312855493242</v>
      </c>
      <c r="JS60" s="88">
        <f t="shared" si="511"/>
        <v>0.26818212568373878</v>
      </c>
      <c r="JT60" s="88">
        <f t="shared" si="512"/>
        <v>16844.441924381452</v>
      </c>
      <c r="JU60" s="88">
        <f t="shared" si="724"/>
        <v>0.67800000000000005</v>
      </c>
      <c r="JV60" s="88">
        <f t="shared" si="725"/>
        <v>-0.32700000000000001</v>
      </c>
      <c r="JW60" s="88">
        <f t="shared" si="726"/>
        <v>-0.25</v>
      </c>
      <c r="JX60" s="88">
        <f t="shared" si="727"/>
        <v>0.156</v>
      </c>
      <c r="JY60" s="88">
        <f t="shared" si="728"/>
        <v>-1.377</v>
      </c>
      <c r="JZ60" s="88">
        <f t="shared" si="729"/>
        <v>0.251</v>
      </c>
      <c r="KA60" s="88">
        <f t="shared" si="519"/>
        <v>0.4269608711238716</v>
      </c>
      <c r="KB60" s="88">
        <f t="shared" si="520"/>
        <v>0.22572257510641916</v>
      </c>
      <c r="KC60" s="106">
        <f>IF(II60&lt;0,0,((0.5*(1-KA60)*(1+COS(RADIANS($IP$46))))+(KA60*(JJ60/JK60))+(KB60*SIN(RADIANS($IP$46))))*'Irradiancia Horizontal'!M52)</f>
        <v>102.61916697580276</v>
      </c>
      <c r="KD60" s="88">
        <f t="shared" si="521"/>
        <v>1.1717401688164797</v>
      </c>
      <c r="KE60" s="88">
        <f>KD60*'Irradiancia Horizontal'!M81</f>
        <v>804.37809645111884</v>
      </c>
      <c r="KF60" s="88">
        <f t="shared" si="632"/>
        <v>906.99726342692156</v>
      </c>
      <c r="KG60" s="88">
        <f t="shared" si="522"/>
        <v>97535.912073592597</v>
      </c>
      <c r="KH60" s="88">
        <f t="shared" si="633"/>
        <v>80691.470149211149</v>
      </c>
      <c r="KI60" s="106">
        <f t="shared" si="634"/>
        <v>108434.47978578872</v>
      </c>
      <c r="KJ60" s="106">
        <f t="shared" si="635"/>
        <v>82480.661454435613</v>
      </c>
      <c r="KK60" s="106">
        <f t="shared" si="636"/>
        <v>99325.103378817061</v>
      </c>
      <c r="KL60" s="40"/>
      <c r="KN60" s="39">
        <v>0.5</v>
      </c>
      <c r="KO60" s="38">
        <v>0</v>
      </c>
      <c r="KP60" s="38">
        <f t="shared" si="523"/>
        <v>37.47021715318634</v>
      </c>
      <c r="KQ60" s="38">
        <f>+IF(KQ46&gt;=-23,180,0)</f>
        <v>180</v>
      </c>
      <c r="KR60" s="38">
        <f t="shared" si="525"/>
        <v>52.52978284681366</v>
      </c>
      <c r="KS60" s="38">
        <f>+'Irradiancia Horizontal'!N81/COS(RADIANS(KR60))</f>
        <v>868.95825637276869</v>
      </c>
      <c r="KT60" s="38">
        <f>((('Irradiancia Horizontal'!N52+KS60)/'Irradiancia Horizontal'!N52)+1.041*((RADIANS('Cálculos iluminancia'!KR60))^3))/(1+1.041*((RADIANS('Cálculos iluminancia'!KR60))^3))</f>
        <v>4.8196628144137419</v>
      </c>
      <c r="KU60" s="88">
        <f t="shared" si="526"/>
        <v>1.6409567175274127</v>
      </c>
      <c r="KV60" s="88">
        <f t="shared" si="637"/>
        <v>1.6004695198296321</v>
      </c>
      <c r="KW60" s="106">
        <f>'Irradiancia Horizontal'!N52*KV60/$KU$46</f>
        <v>0.14085238289206256</v>
      </c>
      <c r="KX60" s="88">
        <f>((17.27*Temp!M22)/(237.7+Temp!M22))+LN(HR!M33/100)</f>
        <v>0.47623347499584612</v>
      </c>
      <c r="KY60" s="88">
        <f t="shared" si="638"/>
        <v>6.7406377740198238</v>
      </c>
      <c r="KZ60" s="88">
        <f t="shared" si="639"/>
        <v>1.4871248786012841</v>
      </c>
      <c r="LA60" s="88">
        <f t="shared" si="730"/>
        <v>7</v>
      </c>
      <c r="LB60" s="88">
        <f t="shared" si="731"/>
        <v>78.63</v>
      </c>
      <c r="LC60" s="88">
        <f t="shared" si="732"/>
        <v>1.47</v>
      </c>
      <c r="LD60" s="88">
        <f t="shared" si="733"/>
        <v>4.93</v>
      </c>
      <c r="LE60" s="88">
        <f t="shared" si="734"/>
        <v>-11.37</v>
      </c>
      <c r="LF60" s="103">
        <f t="shared" si="532"/>
        <v>106.10092131484774</v>
      </c>
      <c r="LG60" s="165">
        <f>IF(LM60&gt;(LF60*'Irradiancia Horizontal'!N20),LM60,LF60*'Irradiancia Horizontal'!N20)</f>
        <v>69481.256431435337</v>
      </c>
      <c r="LH60" s="88">
        <f t="shared" si="735"/>
        <v>141.88</v>
      </c>
      <c r="LI60" s="88">
        <f t="shared" si="736"/>
        <v>1.9</v>
      </c>
      <c r="LJ60" s="88">
        <f t="shared" si="737"/>
        <v>-53.24</v>
      </c>
      <c r="LK60" s="88">
        <f t="shared" si="738"/>
        <v>-14.03</v>
      </c>
      <c r="LL60" s="103">
        <f t="shared" si="537"/>
        <v>139.81644033865041</v>
      </c>
      <c r="LM60" s="88">
        <f>+LL60*'Irradiancia Horizontal'!N52</f>
        <v>17649.06000868847</v>
      </c>
      <c r="LN60" s="88">
        <f t="shared" si="640"/>
        <v>51832.196422746871</v>
      </c>
      <c r="LO60" s="88">
        <f>+LN60/'Irradiancia Horizontal'!N81</f>
        <v>98.050075521286431</v>
      </c>
      <c r="LP60" s="38">
        <f t="shared" si="538"/>
        <v>0.79366967260436638</v>
      </c>
      <c r="LQ60" s="88">
        <f t="shared" si="641"/>
        <v>0.79366967260436638</v>
      </c>
      <c r="LR60" s="88">
        <f t="shared" si="642"/>
        <v>0.60834895478506246</v>
      </c>
      <c r="LS60" s="88">
        <f t="shared" si="643"/>
        <v>1.4850000000000001</v>
      </c>
      <c r="LT60" s="88">
        <f t="shared" si="644"/>
        <v>-1.214</v>
      </c>
      <c r="LU60" s="88">
        <f t="shared" si="645"/>
        <v>-0.78400000000000003</v>
      </c>
      <c r="LV60" s="88">
        <f t="shared" si="646"/>
        <v>0.41099999999999998</v>
      </c>
      <c r="LW60" s="88">
        <f t="shared" si="647"/>
        <v>-0.629</v>
      </c>
      <c r="LX60" s="88">
        <f t="shared" si="648"/>
        <v>-8.2000000000000003E-2</v>
      </c>
      <c r="LY60" s="88">
        <f t="shared" si="539"/>
        <v>0.59522015699795805</v>
      </c>
      <c r="LZ60" s="88">
        <f t="shared" si="540"/>
        <v>0.2472248025460605</v>
      </c>
      <c r="MA60" s="88">
        <f t="shared" si="541"/>
        <v>21640.504118510442</v>
      </c>
      <c r="MB60" s="88">
        <f t="shared" si="739"/>
        <v>1.06</v>
      </c>
      <c r="MC60" s="88">
        <f t="shared" si="740"/>
        <v>-1.6</v>
      </c>
      <c r="MD60" s="88">
        <f t="shared" si="741"/>
        <v>-0.35899999999999999</v>
      </c>
      <c r="ME60" s="88">
        <f t="shared" si="742"/>
        <v>0.26400000000000001</v>
      </c>
      <c r="MF60" s="88">
        <f t="shared" si="743"/>
        <v>-1.127</v>
      </c>
      <c r="MG60" s="88">
        <f t="shared" si="744"/>
        <v>0.13100000000000001</v>
      </c>
      <c r="MH60" s="88">
        <f t="shared" si="548"/>
        <v>0.50549864526630062</v>
      </c>
      <c r="MI60" s="88">
        <f t="shared" si="549"/>
        <v>0.22536247873117007</v>
      </c>
      <c r="MJ60" s="106">
        <f>IF(KP60&lt;0,0,((0.5*(1-MH60)*(1+COS(RADIANS($KW$46))))+(MH60*(LQ60/LR60))+(MI60*SIN(RADIANS($KW$46))))*'Irradiancia Horizontal'!N52)</f>
        <v>142.90540045107386</v>
      </c>
      <c r="MK60" s="88">
        <f t="shared" si="550"/>
        <v>1.3046289738177985</v>
      </c>
      <c r="ML60" s="88">
        <f>MK60*'Irradiancia Horizontal'!N81</f>
        <v>689.66581484223639</v>
      </c>
      <c r="MM60" s="88">
        <f t="shared" si="649"/>
        <v>832.57121529331027</v>
      </c>
      <c r="MN60" s="88">
        <f t="shared" si="551"/>
        <v>88336.573002842662</v>
      </c>
      <c r="MO60" s="88">
        <f t="shared" si="650"/>
        <v>66696.068884332228</v>
      </c>
      <c r="MP60" s="106">
        <f t="shared" si="651"/>
        <v>85201.422662195342</v>
      </c>
      <c r="MQ60" s="106">
        <f t="shared" si="652"/>
        <v>67621.785229730813</v>
      </c>
      <c r="MR60" s="106">
        <f t="shared" si="653"/>
        <v>89262.289348241262</v>
      </c>
    </row>
    <row r="61" spans="1:356" x14ac:dyDescent="0.25">
      <c r="A61" s="48"/>
      <c r="B61" s="37"/>
      <c r="E61" s="39">
        <v>0.54166666666666596</v>
      </c>
      <c r="F61" s="38">
        <v>-15</v>
      </c>
      <c r="G61" s="38">
        <f t="shared" si="378"/>
        <v>73.894403228018106</v>
      </c>
      <c r="H61" s="38">
        <f t="shared" ref="H61:H71" si="745">-(180-DEGREES(ACOS((((SIN(RADIANS(G61)))*SIN(RADIANS($H$46)))-SIN(RADIANS($G$46)))/((COS(RADIANS(G61)))*COS(RADIANS($H$46))))))</f>
        <v>-119.04510230733558</v>
      </c>
      <c r="I61" s="38">
        <f t="shared" si="380"/>
        <v>16.105596771981894</v>
      </c>
      <c r="J61" s="38">
        <f>+'Irradiancia Horizontal'!I82/COS(RADIANS(I61))</f>
        <v>709.52823253118777</v>
      </c>
      <c r="K61" s="38">
        <f>((('Irradiancia Horizontal'!I53+J61)/'Irradiancia Horizontal'!I53)+1.041*((RADIANS('Cálculos iluminancia'!I61))^3))/(1+1.041*((RADIANS('Cálculos iluminancia'!I61))^3))</f>
        <v>4.161572581211777</v>
      </c>
      <c r="L61" s="87">
        <f t="shared" si="381"/>
        <v>1.040430033457822</v>
      </c>
      <c r="M61" s="87">
        <f t="shared" si="654"/>
        <v>1.0147595840148973</v>
      </c>
      <c r="N61" s="106">
        <f>'Irradiancia Horizontal'!I53*M61/$L$46</f>
        <v>0.16581574357630877</v>
      </c>
      <c r="O61" s="87">
        <f>((17.27*Temp!H23)/(237.7+Temp!H23))+LN(HR!H34/100)</f>
        <v>1.3636924721711046</v>
      </c>
      <c r="P61" s="87">
        <f t="shared" si="553"/>
        <v>20.378689401544332</v>
      </c>
      <c r="Q61" s="87">
        <f t="shared" si="554"/>
        <v>3.8632479137545306</v>
      </c>
      <c r="R61" s="87">
        <f t="shared" si="655"/>
        <v>6</v>
      </c>
      <c r="S61" s="87">
        <f t="shared" si="656"/>
        <v>88.34</v>
      </c>
      <c r="T61" s="87">
        <f t="shared" si="657"/>
        <v>1.39</v>
      </c>
      <c r="U61" s="87">
        <f t="shared" si="658"/>
        <v>6.06</v>
      </c>
      <c r="V61" s="87">
        <f t="shared" si="659"/>
        <v>-7.6</v>
      </c>
      <c r="W61" s="103">
        <f t="shared" si="387"/>
        <v>113.18834553943745</v>
      </c>
      <c r="X61" s="165">
        <f>IF(AD61&gt;(W61*'Irradiancia Horizontal'!I21),AD61,W61*'Irradiancia Horizontal'!I21)</f>
        <v>101986.27476932506</v>
      </c>
      <c r="Y61" s="87">
        <f t="shared" si="660"/>
        <v>106.42</v>
      </c>
      <c r="Z61" s="87">
        <f t="shared" si="661"/>
        <v>3.83</v>
      </c>
      <c r="AA61" s="87">
        <f t="shared" si="662"/>
        <v>-36.15</v>
      </c>
      <c r="AB61" s="87">
        <f t="shared" si="663"/>
        <v>-28.83</v>
      </c>
      <c r="AC61" s="103">
        <f t="shared" si="392"/>
        <v>138.28904771507587</v>
      </c>
      <c r="AD61" s="87">
        <f>+AC61*'Irradiancia Horizontal'!I53</f>
        <v>30333.823858107258</v>
      </c>
      <c r="AE61" s="87">
        <f t="shared" si="393"/>
        <v>71652.450911217806</v>
      </c>
      <c r="AF61" s="87">
        <f>+AE61/'Irradiancia Horizontal'!I82</f>
        <v>105.11145421120295</v>
      </c>
      <c r="AG61" s="38">
        <f t="shared" si="555"/>
        <v>0.13468126124738222</v>
      </c>
      <c r="AH61" s="87">
        <f t="shared" si="556"/>
        <v>0.13468126124738222</v>
      </c>
      <c r="AI61" s="87">
        <f t="shared" si="557"/>
        <v>0.96075206089656151</v>
      </c>
      <c r="AJ61" s="87">
        <f t="shared" si="558"/>
        <v>1.4259999999999999</v>
      </c>
      <c r="AK61" s="87">
        <f t="shared" si="559"/>
        <v>-0.65300000000000002</v>
      </c>
      <c r="AL61" s="87">
        <f t="shared" si="560"/>
        <v>-0.77900000000000003</v>
      </c>
      <c r="AM61" s="87">
        <f t="shared" si="561"/>
        <v>0.42499999999999999</v>
      </c>
      <c r="AN61" s="87">
        <f t="shared" si="562"/>
        <v>-0.78500000000000003</v>
      </c>
      <c r="AO61" s="87">
        <f t="shared" si="563"/>
        <v>-9.7000000000000003E-2</v>
      </c>
      <c r="AP61" s="87">
        <f t="shared" si="394"/>
        <v>1.0987487756340095</v>
      </c>
      <c r="AQ61" s="87">
        <f t="shared" si="395"/>
        <v>0.26756835920064115</v>
      </c>
      <c r="AR61" s="88">
        <f t="shared" si="396"/>
        <v>11290.857383709979</v>
      </c>
      <c r="AS61" s="87">
        <f t="shared" si="664"/>
        <v>1.1319999999999999</v>
      </c>
      <c r="AT61" s="87">
        <f t="shared" si="665"/>
        <v>-1.2370000000000001</v>
      </c>
      <c r="AU61" s="87">
        <f t="shared" si="666"/>
        <v>-0.41199999999999998</v>
      </c>
      <c r="AV61" s="87">
        <f t="shared" si="667"/>
        <v>0.28799999999999998</v>
      </c>
      <c r="AW61" s="87">
        <f t="shared" si="668"/>
        <v>-0.82299999999999995</v>
      </c>
      <c r="AX61" s="87">
        <f t="shared" si="669"/>
        <v>5.6000000000000001E-2</v>
      </c>
      <c r="AY61" s="87">
        <f t="shared" si="403"/>
        <v>0.81107450022820826</v>
      </c>
      <c r="AZ61" s="87">
        <f t="shared" si="404"/>
        <v>0.16727500177019852</v>
      </c>
      <c r="BA61" s="106">
        <f>IF(G61&lt;0,0,((0.5*(1-AY61)*(1+COS(RADIANS($N$46))))+(AY61*(AH61/AI61))+(AZ61*SIN(RADIANS($N$46))))*'Irradiancia Horizontal'!I53)</f>
        <v>82.352377911014088</v>
      </c>
      <c r="BB61" s="87">
        <f t="shared" si="405"/>
        <v>0.14018316143053536</v>
      </c>
      <c r="BC61" s="87">
        <f>BB61*'Irradiancia Horizontal'!I82</f>
        <v>95.56015724792627</v>
      </c>
      <c r="BD61" s="87">
        <f t="shared" si="564"/>
        <v>177.91253515894036</v>
      </c>
      <c r="BE61" s="88">
        <f t="shared" si="406"/>
        <v>20137.625505367454</v>
      </c>
      <c r="BF61" s="87">
        <f t="shared" si="565"/>
        <v>8846.7681216574747</v>
      </c>
      <c r="BG61" s="106">
        <f t="shared" si="566"/>
        <v>74579.54432525771</v>
      </c>
      <c r="BH61" s="106">
        <f t="shared" si="567"/>
        <v>10044.467092980756</v>
      </c>
      <c r="BI61" s="106">
        <f t="shared" si="568"/>
        <v>21335.324476690737</v>
      </c>
      <c r="BJ61" s="44"/>
      <c r="BL61" s="39">
        <v>0.54166666666666596</v>
      </c>
      <c r="BM61" s="38">
        <v>-15</v>
      </c>
      <c r="BN61" s="38">
        <f t="shared" si="407"/>
        <v>67.739632253222226</v>
      </c>
      <c r="BO61" s="38">
        <f t="shared" ref="BO61:BO71" si="746">-(180-DEGREES(ACOS((((SIN(RADIANS(BN61)))*SIN(RADIANS($BO$46)))-SIN(RADIANS($BN$46)))/((COS(RADIANS(BN61)))*COS(RADIANS($BO$46))))))</f>
        <v>-138.01742275319981</v>
      </c>
      <c r="BP61" s="38">
        <f t="shared" si="409"/>
        <v>22.260367746777774</v>
      </c>
      <c r="BQ61" s="38">
        <f>+'Irradiancia Horizontal'!J82/COS(RADIANS(BP61))</f>
        <v>723.83793560148069</v>
      </c>
      <c r="BR61" s="38">
        <f>((('Irradiancia Horizontal'!J53+BQ61)/'Irradiancia Horizontal'!J53)+1.041*((RADIANS('Cálculos iluminancia'!BP61))^3))/(1+1.041*((RADIANS('Cálculos iluminancia'!BP61))^3))</f>
        <v>4.1687184878783601</v>
      </c>
      <c r="BS61" s="87">
        <f t="shared" si="410"/>
        <v>1.0800122645516568</v>
      </c>
      <c r="BT61" s="87">
        <f t="shared" si="569"/>
        <v>1.0533652057938745</v>
      </c>
      <c r="BU61" s="106">
        <f>'Irradiancia Horizontal'!J53*BT61/$BS$46</f>
        <v>0.1674209063840478</v>
      </c>
      <c r="BV61" s="87">
        <f>((17.27*Temp!I23)/(237.7+Temp!I23))+LN(HR!I34/100)</f>
        <v>1.5107352534990213</v>
      </c>
      <c r="BW61" s="87">
        <f t="shared" si="570"/>
        <v>22.786708360645346</v>
      </c>
      <c r="BX61" s="87">
        <f t="shared" si="571"/>
        <v>4.5725433656232131</v>
      </c>
      <c r="BY61" s="87">
        <f t="shared" si="670"/>
        <v>6</v>
      </c>
      <c r="BZ61" s="87">
        <f t="shared" si="671"/>
        <v>88.34</v>
      </c>
      <c r="CA61" s="87">
        <f t="shared" si="672"/>
        <v>1.39</v>
      </c>
      <c r="CB61" s="87">
        <f t="shared" si="673"/>
        <v>6.06</v>
      </c>
      <c r="CC61" s="87">
        <f t="shared" si="674"/>
        <v>-7.6</v>
      </c>
      <c r="CD61" s="103">
        <f t="shared" si="416"/>
        <v>113.88725165140183</v>
      </c>
      <c r="CE61" s="165">
        <f>IF(CK61&gt;(CD61*'Irradiancia Horizontal'!J21),CK61,CD61*'Irradiancia Horizontal'!J21)</f>
        <v>100810.81810923941</v>
      </c>
      <c r="CF61" s="87">
        <f t="shared" si="675"/>
        <v>106.42</v>
      </c>
      <c r="CG61" s="87">
        <f t="shared" si="676"/>
        <v>3.83</v>
      </c>
      <c r="CH61" s="87">
        <f t="shared" si="677"/>
        <v>-36.15</v>
      </c>
      <c r="CI61" s="87">
        <f t="shared" si="678"/>
        <v>-28.83</v>
      </c>
      <c r="CJ61" s="103">
        <f t="shared" si="421"/>
        <v>142.00328074339583</v>
      </c>
      <c r="CK61" s="87">
        <f>+CJ61*'Irradiancia Horizontal'!J53</f>
        <v>30571.767389890872</v>
      </c>
      <c r="CL61" s="87">
        <f t="shared" si="572"/>
        <v>70239.050719348539</v>
      </c>
      <c r="CM61" s="87">
        <f>+CL61/'Irradiancia Horizontal'!J82</f>
        <v>104.85134903884133</v>
      </c>
      <c r="CN61" s="38">
        <f t="shared" si="422"/>
        <v>0.28159228181321849</v>
      </c>
      <c r="CO61" s="87">
        <f t="shared" si="573"/>
        <v>0.28159228181321849</v>
      </c>
      <c r="CP61" s="87">
        <f t="shared" si="574"/>
        <v>0.92547197189918029</v>
      </c>
      <c r="CQ61" s="87">
        <f t="shared" si="575"/>
        <v>1.4259999999999999</v>
      </c>
      <c r="CR61" s="87">
        <f t="shared" si="576"/>
        <v>-0.65300000000000002</v>
      </c>
      <c r="CS61" s="87">
        <f t="shared" si="577"/>
        <v>-0.77900000000000003</v>
      </c>
      <c r="CT61" s="87">
        <f t="shared" si="578"/>
        <v>0.42499999999999999</v>
      </c>
      <c r="CU61" s="87">
        <f t="shared" si="579"/>
        <v>-0.78500000000000003</v>
      </c>
      <c r="CV61" s="87">
        <f t="shared" si="580"/>
        <v>-9.7000000000000003E-2</v>
      </c>
      <c r="CW61" s="87">
        <f t="shared" si="423"/>
        <v>1.0140196311300045</v>
      </c>
      <c r="CX61" s="87">
        <f t="shared" si="424"/>
        <v>0.25588846762957818</v>
      </c>
      <c r="CY61" s="88">
        <f t="shared" si="425"/>
        <v>17041.107524769708</v>
      </c>
      <c r="CZ61" s="87">
        <f t="shared" si="679"/>
        <v>1.1319999999999999</v>
      </c>
      <c r="DA61" s="87">
        <f t="shared" si="680"/>
        <v>-1.2370000000000001</v>
      </c>
      <c r="DB61" s="87">
        <f t="shared" si="681"/>
        <v>-0.41199999999999998</v>
      </c>
      <c r="DC61" s="87">
        <f t="shared" si="682"/>
        <v>0.28799999999999998</v>
      </c>
      <c r="DD61" s="87">
        <f t="shared" si="683"/>
        <v>-0.82299999999999995</v>
      </c>
      <c r="DE61" s="87">
        <f t="shared" si="684"/>
        <v>5.6000000000000001E-2</v>
      </c>
      <c r="DF61" s="87">
        <f t="shared" si="432"/>
        <v>0.76483145432989108</v>
      </c>
      <c r="DG61" s="87">
        <f t="shared" si="433"/>
        <v>0.17196952979954597</v>
      </c>
      <c r="DH61" s="106">
        <f>IF(BN61&lt;0,0,((0.5*(1-DF61)*(1+COS(RADIANS($BU$46))))+(DF61*(CO61/CP61))+(DG61*SIN(RADIANS($BU$46))))*'Irradiancia Horizontal'!J53)</f>
        <v>112.43867926305076</v>
      </c>
      <c r="DI61" s="87">
        <f t="shared" si="434"/>
        <v>0.30426883834780766</v>
      </c>
      <c r="DJ61" s="87">
        <f>DI61*'Irradiancia Horizontal'!J82</f>
        <v>203.82717594899046</v>
      </c>
      <c r="DK61" s="87">
        <f t="shared" si="581"/>
        <v>316.26585521204123</v>
      </c>
      <c r="DL61" s="88">
        <f t="shared" si="435"/>
        <v>36018.649041279554</v>
      </c>
      <c r="DM61" s="87">
        <f t="shared" si="582"/>
        <v>18977.541516509846</v>
      </c>
      <c r="DN61" s="106">
        <f t="shared" si="583"/>
        <v>75895.384033305207</v>
      </c>
      <c r="DO61" s="106">
        <f t="shared" si="584"/>
        <v>21371.554369028923</v>
      </c>
      <c r="DP61" s="106">
        <f t="shared" si="585"/>
        <v>38412.661893798635</v>
      </c>
      <c r="DQ61" s="44"/>
      <c r="DS61" s="39">
        <v>0.54166666666666596</v>
      </c>
      <c r="DT61" s="38">
        <v>-15</v>
      </c>
      <c r="DU61" s="38">
        <f t="shared" si="436"/>
        <v>57.399290508538691</v>
      </c>
      <c r="DV61" s="38">
        <f t="shared" ref="DV61:DV72" si="747">-(180-DEGREES(ACOS((((SIN(RADIANS(DU61)))*SIN(RADIANS($DV$46)))-SIN(RADIANS($DU$46)))/((COS(RADIANS(DU61)))*COS(RADIANS($DV$46))))))</f>
        <v>-151.29005331477052</v>
      </c>
      <c r="DW61" s="38">
        <f t="shared" si="438"/>
        <v>32.600709491461309</v>
      </c>
      <c r="DX61" s="38">
        <f>+'Irradiancia Horizontal'!K82/COS(RADIANS(DW61))</f>
        <v>965.1005046984684</v>
      </c>
      <c r="DY61" s="38">
        <f>((('Irradiancia Horizontal'!K53+DX61)/'Irradiancia Horizontal'!K53)+1.041*((RADIANS('Cálculos iluminancia'!DW61))^3))/(1+1.041*((RADIANS('Cálculos iluminancia'!DW61))^3))</f>
        <v>6.7560264663142169</v>
      </c>
      <c r="DZ61" s="87">
        <f t="shared" si="439"/>
        <v>1.1862207939628644</v>
      </c>
      <c r="EA61" s="87">
        <f t="shared" si="586"/>
        <v>1.1569532604042956</v>
      </c>
      <c r="EB61" s="106">
        <f>'Irradiancia Horizontal'!K53*EA61/$DZ$46</f>
        <v>0.11831120075717326</v>
      </c>
      <c r="EC61" s="87">
        <f>((17.27*Temp!J23)/(237.7+Temp!J23))+LN(HR!J34/100)</f>
        <v>1.3834121965884907</v>
      </c>
      <c r="ED61" s="87">
        <f t="shared" si="587"/>
        <v>20.699037653540003</v>
      </c>
      <c r="EE61" s="87">
        <f t="shared" si="588"/>
        <v>3.950857467553571</v>
      </c>
      <c r="EF61" s="87">
        <f t="shared" si="685"/>
        <v>8</v>
      </c>
      <c r="EG61" s="87">
        <f t="shared" si="686"/>
        <v>99.65</v>
      </c>
      <c r="EH61" s="87">
        <f t="shared" si="687"/>
        <v>1.86</v>
      </c>
      <c r="EI61" s="87">
        <f t="shared" si="688"/>
        <v>-4.46</v>
      </c>
      <c r="EJ61" s="87">
        <f t="shared" si="689"/>
        <v>-3.15</v>
      </c>
      <c r="EK61" s="103">
        <f t="shared" si="445"/>
        <v>109.9647629738222</v>
      </c>
      <c r="EL61" s="165">
        <f>IF(ER61&gt;(EK61*'Irradiancia Horizontal'!K21),ER61,EK61*'Irradiancia Horizontal'!K21)</f>
        <v>104877.10544219705</v>
      </c>
      <c r="EM61" s="87">
        <f t="shared" si="690"/>
        <v>152.22999999999999</v>
      </c>
      <c r="EN61" s="87">
        <f t="shared" si="691"/>
        <v>0.35</v>
      </c>
      <c r="EO61" s="87">
        <f t="shared" si="692"/>
        <v>-45.27</v>
      </c>
      <c r="EP61" s="87">
        <f t="shared" si="693"/>
        <v>-7.98</v>
      </c>
      <c r="EQ61" s="103">
        <f t="shared" si="450"/>
        <v>132.50808804195196</v>
      </c>
      <c r="ER61" s="87">
        <f>+EQ61*'Irradiancia Horizontal'!K53</f>
        <v>18642.42408980519</v>
      </c>
      <c r="ES61" s="87">
        <f t="shared" si="589"/>
        <v>86234.681352391854</v>
      </c>
      <c r="ET61" s="87">
        <f>+ES61/'Irradiancia Horizontal'!K82</f>
        <v>106.06387484591595</v>
      </c>
      <c r="EU61" s="38">
        <f t="shared" si="451"/>
        <v>0.47254495337766805</v>
      </c>
      <c r="EV61" s="87">
        <f t="shared" si="590"/>
        <v>0.47254495337766805</v>
      </c>
      <c r="EW61" s="87">
        <f t="shared" si="591"/>
        <v>0.84244572536439244</v>
      </c>
      <c r="EX61" s="87">
        <f t="shared" si="592"/>
        <v>1.17</v>
      </c>
      <c r="EY61" s="87">
        <f t="shared" si="593"/>
        <v>-0.3</v>
      </c>
      <c r="EZ61" s="87">
        <f t="shared" si="594"/>
        <v>-0.61499999999999999</v>
      </c>
      <c r="FA61" s="87">
        <f t="shared" si="595"/>
        <v>0.51800000000000002</v>
      </c>
      <c r="FB61" s="87">
        <f t="shared" si="596"/>
        <v>-1.8919999999999999</v>
      </c>
      <c r="FC61" s="87">
        <f t="shared" si="597"/>
        <v>-5.5E-2</v>
      </c>
      <c r="FD61" s="87">
        <f t="shared" si="452"/>
        <v>0.78457796251886591</v>
      </c>
      <c r="FE61" s="87">
        <f t="shared" si="453"/>
        <v>0.26286077361625909</v>
      </c>
      <c r="FF61" s="88">
        <f t="shared" si="454"/>
        <v>15112.621648379954</v>
      </c>
      <c r="FG61" s="87">
        <f t="shared" si="694"/>
        <v>0.67800000000000005</v>
      </c>
      <c r="FH61" s="87">
        <f t="shared" si="695"/>
        <v>-0.32700000000000001</v>
      </c>
      <c r="FI61" s="87">
        <f t="shared" si="696"/>
        <v>-0.25</v>
      </c>
      <c r="FJ61" s="87">
        <f t="shared" si="697"/>
        <v>0.156</v>
      </c>
      <c r="FK61" s="87">
        <f t="shared" si="698"/>
        <v>-1.377</v>
      </c>
      <c r="FL61" s="87">
        <f t="shared" si="699"/>
        <v>0.251</v>
      </c>
      <c r="FM61" s="87">
        <f t="shared" si="461"/>
        <v>0.49706480757436289</v>
      </c>
      <c r="FN61" s="87">
        <f t="shared" si="462"/>
        <v>0.13590189605452613</v>
      </c>
      <c r="FO61" s="106">
        <f>IF(DU61&lt;0,0,((0.5*(1-FM61)*(1+COS(RADIANS($EB$46))))+(FM61*(EV61/EW61))+(FN61*SIN(RADIANS($EB$46))))*'Irradiancia Horizontal'!K53)</f>
        <v>93.724624869198678</v>
      </c>
      <c r="FP61" s="87">
        <f t="shared" si="463"/>
        <v>0.56092035267111473</v>
      </c>
      <c r="FQ61" s="87">
        <f>FP61*'Irradiancia Horizontal'!K82</f>
        <v>456.05337299750164</v>
      </c>
      <c r="FR61" s="87">
        <f t="shared" si="598"/>
        <v>549.77799786670028</v>
      </c>
      <c r="FS61" s="88">
        <f t="shared" si="464"/>
        <v>60456.207223634228</v>
      </c>
      <c r="FT61" s="87">
        <f t="shared" si="599"/>
        <v>45343.58557525427</v>
      </c>
      <c r="FU61" s="106">
        <f t="shared" si="600"/>
        <v>102362.29914406866</v>
      </c>
      <c r="FV61" s="106">
        <f t="shared" si="601"/>
        <v>48370.787876664835</v>
      </c>
      <c r="FW61" s="106">
        <f t="shared" si="602"/>
        <v>63483.409525044786</v>
      </c>
      <c r="FX61" s="83"/>
      <c r="FZ61" s="39">
        <v>0.54166666666666596</v>
      </c>
      <c r="GA61" s="38">
        <v>-15</v>
      </c>
      <c r="GB61" s="38">
        <f t="shared" si="465"/>
        <v>46.673158273074627</v>
      </c>
      <c r="GC61" s="38">
        <f t="shared" ref="GC61:GC71" si="748">-(180-DEGREES(ACOS((((SIN(RADIANS(GB61)))*SIN(RADIANS($GC$46)))-SIN(RADIANS($GB$46)))/((COS(RADIANS(GB61)))*COS(RADIANS($GC$46))))))</f>
        <v>-158.32815603485838</v>
      </c>
      <c r="GD61" s="38">
        <f t="shared" si="467"/>
        <v>43.326841726925373</v>
      </c>
      <c r="GE61" s="38">
        <f>+'Irradiancia Horizontal'!L82/COS(RADIANS(GD61))</f>
        <v>1099.2392341538275</v>
      </c>
      <c r="GF61" s="38">
        <f>((('Irradiancia Horizontal'!L53+GE61)/'Irradiancia Horizontal'!L53)+1.041*((RADIANS('Cálculos iluminancia'!GD61))^3))/(1+1.041*((RADIANS('Cálculos iluminancia'!GD61))^3))</f>
        <v>8.9885389447188704</v>
      </c>
      <c r="GG61" s="88">
        <f t="shared" si="468"/>
        <v>1.373211671592014</v>
      </c>
      <c r="GH61" s="88">
        <f t="shared" si="603"/>
        <v>1.3393305266265212</v>
      </c>
      <c r="GI61" s="106">
        <f>'Irradiancia Horizontal'!L53*GH61/$GG$46</f>
        <v>9.0772187298377549E-2</v>
      </c>
      <c r="GJ61" s="88">
        <f>((17.27*Temp!K23)/(237.7+Temp!K23))+LN(HR!K34/100)</f>
        <v>1.051193546561497</v>
      </c>
      <c r="GK61" s="88">
        <f t="shared" si="604"/>
        <v>15.40610936661704</v>
      </c>
      <c r="GL61" s="88">
        <f t="shared" si="605"/>
        <v>2.7276151491292837</v>
      </c>
      <c r="GM61" s="88">
        <f t="shared" si="700"/>
        <v>8</v>
      </c>
      <c r="GN61" s="88">
        <f t="shared" si="701"/>
        <v>99.65</v>
      </c>
      <c r="GO61" s="88">
        <f t="shared" si="702"/>
        <v>1.86</v>
      </c>
      <c r="GP61" s="88">
        <f t="shared" si="703"/>
        <v>-4.46</v>
      </c>
      <c r="GQ61" s="88">
        <f t="shared" si="704"/>
        <v>-3.15</v>
      </c>
      <c r="GR61" s="103">
        <f t="shared" si="474"/>
        <v>109.03704838171134</v>
      </c>
      <c r="GS61" s="165">
        <f>IF(GY61&gt;(GR61*'Irradiancia Horizontal'!L21),GY61,GR61*'Irradiancia Horizontal'!L21)</f>
        <v>97537.071486684101</v>
      </c>
      <c r="GT61" s="88">
        <f t="shared" si="705"/>
        <v>152.22999999999999</v>
      </c>
      <c r="GU61" s="88">
        <f t="shared" si="706"/>
        <v>0.35</v>
      </c>
      <c r="GV61" s="88">
        <f t="shared" si="707"/>
        <v>-45.27</v>
      </c>
      <c r="GW61" s="88">
        <f t="shared" si="708"/>
        <v>-7.98</v>
      </c>
      <c r="GX61" s="103">
        <f t="shared" si="479"/>
        <v>139.40017170037703</v>
      </c>
      <c r="GY61" s="88">
        <f>+GX61*'Irradiancia Horizontal'!L53</f>
        <v>13227.454544219767</v>
      </c>
      <c r="GZ61" s="88">
        <f t="shared" si="606"/>
        <v>84309.61694246433</v>
      </c>
      <c r="HA61" s="88">
        <f>+GZ61/'Irradiancia Horizontal'!L82</f>
        <v>105.43405707063449</v>
      </c>
      <c r="HB61" s="38">
        <f t="shared" si="480"/>
        <v>0.63765748017239288</v>
      </c>
      <c r="HC61" s="88">
        <f t="shared" si="607"/>
        <v>0.63765748017239288</v>
      </c>
      <c r="HD61" s="88">
        <f t="shared" si="608"/>
        <v>0.72745138801704601</v>
      </c>
      <c r="HE61" s="88">
        <f t="shared" si="609"/>
        <v>1.17</v>
      </c>
      <c r="HF61" s="88">
        <f t="shared" si="610"/>
        <v>-0.3</v>
      </c>
      <c r="HG61" s="88">
        <f t="shared" si="611"/>
        <v>-0.61499999999999999</v>
      </c>
      <c r="HH61" s="88">
        <f t="shared" si="612"/>
        <v>0.51800000000000002</v>
      </c>
      <c r="HI61" s="88">
        <f t="shared" si="613"/>
        <v>-1.8919999999999999</v>
      </c>
      <c r="HJ61" s="88">
        <f t="shared" si="614"/>
        <v>-5.5E-2</v>
      </c>
      <c r="HK61" s="88">
        <f t="shared" si="481"/>
        <v>0.67770777759591883</v>
      </c>
      <c r="HL61" s="88">
        <f t="shared" si="482"/>
        <v>0.30466823928707748</v>
      </c>
      <c r="HM61" s="88">
        <f t="shared" si="483"/>
        <v>14019.360918045359</v>
      </c>
      <c r="HN61" s="88">
        <f t="shared" si="709"/>
        <v>0.67800000000000005</v>
      </c>
      <c r="HO61" s="88">
        <f t="shared" si="710"/>
        <v>-0.32700000000000001</v>
      </c>
      <c r="HP61" s="88">
        <f t="shared" si="711"/>
        <v>-0.25</v>
      </c>
      <c r="HQ61" s="88">
        <f t="shared" si="712"/>
        <v>0.156</v>
      </c>
      <c r="HR61" s="88">
        <f t="shared" si="713"/>
        <v>-1.377</v>
      </c>
      <c r="HS61" s="88">
        <f t="shared" si="714"/>
        <v>0.251</v>
      </c>
      <c r="HT61" s="88">
        <f t="shared" si="490"/>
        <v>0.45926848409710219</v>
      </c>
      <c r="HU61" s="88">
        <f t="shared" si="491"/>
        <v>0.22081190478908785</v>
      </c>
      <c r="HV61" s="106">
        <f>IF(GB61&lt;0,0,((0.5*(1-HT61)*(1+COS(RADIANS($GI$46))))+(HT61*(HC61/HD61))+(HU61*SIN(RADIANS($GI$46))))*'Irradiancia Horizontal'!L53)</f>
        <v>84.807022391340666</v>
      </c>
      <c r="HW61" s="88">
        <f t="shared" si="492"/>
        <v>0.87656369989282501</v>
      </c>
      <c r="HX61" s="88">
        <f>HW61*'Irradiancia Horizontal'!L82</f>
        <v>700.93812015716071</v>
      </c>
      <c r="HY61" s="88">
        <f t="shared" si="615"/>
        <v>785.74514254850135</v>
      </c>
      <c r="HZ61" s="88">
        <f t="shared" si="493"/>
        <v>85675.331123755619</v>
      </c>
      <c r="IA61" s="88">
        <f t="shared" si="616"/>
        <v>71655.970205710255</v>
      </c>
      <c r="IB61" s="106">
        <f t="shared" si="617"/>
        <v>115897.25214805521</v>
      </c>
      <c r="IC61" s="106">
        <f t="shared" si="618"/>
        <v>73902.749763633328</v>
      </c>
      <c r="ID61" s="106">
        <f t="shared" si="619"/>
        <v>87922.110681678692</v>
      </c>
      <c r="IE61" s="83"/>
      <c r="IG61" s="39">
        <v>0.54166666666666596</v>
      </c>
      <c r="IH61" s="38">
        <v>-15</v>
      </c>
      <c r="II61" s="38">
        <f t="shared" si="494"/>
        <v>38.40811985351386</v>
      </c>
      <c r="IJ61" s="38">
        <f t="shared" ref="IJ61:IJ71" si="749">-(180-DEGREES(ACOS((((SIN(RADIANS(II61)))*SIN(RADIANS($IJ$46)))-SIN(RADIANS($II$46)))/((COS(RADIANS(II61)))*COS(RADIANS($IJ$46))))))</f>
        <v>-161.97127433681268</v>
      </c>
      <c r="IK61" s="38">
        <f t="shared" si="496"/>
        <v>51.59188014648614</v>
      </c>
      <c r="IL61" s="38">
        <f>+'Irradiancia Horizontal'!M82/COS(RADIANS(IK61))</f>
        <v>1037.7904418130483</v>
      </c>
      <c r="IM61" s="38">
        <f>((('Irradiancia Horizontal'!M53+IL61)/'Irradiancia Horizontal'!M53)+1.041*((RADIANS('Cálculos iluminancia'!IK61))^3))/(1+1.041*((RADIANS('Cálculos iluminancia'!IK61))^3))</f>
        <v>7.0792670682525225</v>
      </c>
      <c r="IN61" s="88">
        <f t="shared" si="497"/>
        <v>1.6070079907266694</v>
      </c>
      <c r="IO61" s="88">
        <f t="shared" si="620"/>
        <v>1.5673584073296736</v>
      </c>
      <c r="IP61" s="106">
        <f>'Irradiancia Horizontal'!M53*IO61/$IN$46</f>
        <v>0.1068941753883285</v>
      </c>
      <c r="IQ61" s="88">
        <f>((17.27*Temp!L23)/(237.7+Temp!L23))+LN(HR!L34/100)</f>
        <v>0.75616781193369909</v>
      </c>
      <c r="IR61" s="88">
        <f t="shared" si="621"/>
        <v>10.884274882394042</v>
      </c>
      <c r="IS61" s="88">
        <f t="shared" si="622"/>
        <v>1.98754307798154</v>
      </c>
      <c r="IT61" s="88">
        <f t="shared" si="715"/>
        <v>8</v>
      </c>
      <c r="IU61" s="88">
        <f t="shared" si="716"/>
        <v>99.65</v>
      </c>
      <c r="IV61" s="88">
        <f t="shared" si="717"/>
        <v>1.86</v>
      </c>
      <c r="IW61" s="88">
        <f t="shared" si="718"/>
        <v>-4.46</v>
      </c>
      <c r="IX61" s="88">
        <f t="shared" si="719"/>
        <v>-3.15</v>
      </c>
      <c r="IY61" s="103">
        <f t="shared" si="503"/>
        <v>107.61915094841713</v>
      </c>
      <c r="IZ61" s="165">
        <f>IF(JF61&gt;(IY61*'Irradiancia Horizontal'!M21),JF61,IY61*'Irradiancia Horizontal'!M21)</f>
        <v>79824.288561870402</v>
      </c>
      <c r="JA61" s="88">
        <f t="shared" si="720"/>
        <v>152.22999999999999</v>
      </c>
      <c r="JB61" s="88">
        <f t="shared" si="721"/>
        <v>0.35</v>
      </c>
      <c r="JC61" s="88">
        <f t="shared" si="722"/>
        <v>-45.27</v>
      </c>
      <c r="JD61" s="88">
        <f t="shared" si="723"/>
        <v>-7.98</v>
      </c>
      <c r="JE61" s="103">
        <f t="shared" si="508"/>
        <v>142.64386176975705</v>
      </c>
      <c r="JF61" s="88">
        <f>+JE61*'Irradiancia Horizontal'!M53</f>
        <v>13835.444557083336</v>
      </c>
      <c r="JG61" s="88">
        <f t="shared" si="623"/>
        <v>65988.844004787068</v>
      </c>
      <c r="JH61" s="88">
        <f>+JG61/'Irradiancia Horizontal'!M82</f>
        <v>102.35010067344139</v>
      </c>
      <c r="JI61" s="38">
        <f t="shared" si="509"/>
        <v>0.7451315462992476</v>
      </c>
      <c r="JJ61" s="88">
        <f t="shared" si="624"/>
        <v>0.7451315462992476</v>
      </c>
      <c r="JK61" s="88">
        <f t="shared" si="625"/>
        <v>0.62125883764970968</v>
      </c>
      <c r="JL61" s="88">
        <f t="shared" si="626"/>
        <v>1.17</v>
      </c>
      <c r="JM61" s="88">
        <f t="shared" si="627"/>
        <v>-0.3</v>
      </c>
      <c r="JN61" s="88">
        <f t="shared" si="628"/>
        <v>-0.61499999999999999</v>
      </c>
      <c r="JO61" s="88">
        <f t="shared" si="629"/>
        <v>0.51800000000000002</v>
      </c>
      <c r="JP61" s="88">
        <f t="shared" si="630"/>
        <v>-1.8919999999999999</v>
      </c>
      <c r="JQ61" s="88">
        <f t="shared" si="631"/>
        <v>-5.5E-2</v>
      </c>
      <c r="JR61" s="88">
        <f t="shared" si="510"/>
        <v>0.58415611923545763</v>
      </c>
      <c r="JS61" s="88">
        <f t="shared" si="511"/>
        <v>0.26623157049350621</v>
      </c>
      <c r="JT61" s="88">
        <f t="shared" si="512"/>
        <v>16253.664891651035</v>
      </c>
      <c r="JU61" s="88">
        <f t="shared" si="724"/>
        <v>0.67800000000000005</v>
      </c>
      <c r="JV61" s="88">
        <f t="shared" si="725"/>
        <v>-0.32700000000000001</v>
      </c>
      <c r="JW61" s="88">
        <f t="shared" si="726"/>
        <v>-0.25</v>
      </c>
      <c r="JX61" s="88">
        <f t="shared" si="727"/>
        <v>0.156</v>
      </c>
      <c r="JY61" s="88">
        <f t="shared" si="728"/>
        <v>-1.377</v>
      </c>
      <c r="JZ61" s="88">
        <f t="shared" si="729"/>
        <v>0.251</v>
      </c>
      <c r="KA61" s="88">
        <f t="shared" si="519"/>
        <v>0.41793356068539722</v>
      </c>
      <c r="KB61" s="88">
        <f t="shared" si="520"/>
        <v>0.2348192126287415</v>
      </c>
      <c r="KC61" s="106">
        <f>IF(II61&lt;0,0,((0.5*(1-KA61)*(1+COS(RADIANS($IP$46))))+(KA61*(JJ61/JK61))+(KB61*SIN(RADIANS($IP$46))))*'Irradiancia Horizontal'!M53)</f>
        <v>99.623144500411257</v>
      </c>
      <c r="KD61" s="88">
        <f t="shared" si="521"/>
        <v>1.1993898535402119</v>
      </c>
      <c r="KE61" s="88">
        <f>KD61*'Irradiancia Horizontal'!M82</f>
        <v>773.29039664273603</v>
      </c>
      <c r="KF61" s="88">
        <f t="shared" si="632"/>
        <v>872.91354114314731</v>
      </c>
      <c r="KG61" s="88">
        <f t="shared" si="522"/>
        <v>93942.214149201696</v>
      </c>
      <c r="KH61" s="88">
        <f t="shared" si="633"/>
        <v>77688.549257550665</v>
      </c>
      <c r="KI61" s="106">
        <f t="shared" si="634"/>
        <v>106217.95619750071</v>
      </c>
      <c r="KJ61" s="106">
        <f t="shared" si="635"/>
        <v>79146.349946189453</v>
      </c>
      <c r="KK61" s="106">
        <f t="shared" si="636"/>
        <v>95400.014837840485</v>
      </c>
      <c r="KL61" s="40"/>
      <c r="KN61" s="39">
        <v>0.54166666666666596</v>
      </c>
      <c r="KO61" s="38">
        <v>-15</v>
      </c>
      <c r="KP61" s="38">
        <f t="shared" si="523"/>
        <v>35.522989333110019</v>
      </c>
      <c r="KQ61" s="38">
        <f t="shared" ref="KQ61:KQ71" si="750">-(180-DEGREES(ACOS((((SIN(RADIANS(KP61)))*SIN(RADIANS($KQ$46)))-SIN(RADIANS($KP$46)))/((COS(RADIANS(KP61)))*COS(RADIANS($KQ$46))))))</f>
        <v>-163.03777709301244</v>
      </c>
      <c r="KR61" s="38">
        <f t="shared" si="525"/>
        <v>54.477010666889981</v>
      </c>
      <c r="KS61" s="38">
        <f>+'Irradiancia Horizontal'!N82/COS(RADIANS(KR61))</f>
        <v>850.93235522734813</v>
      </c>
      <c r="KT61" s="38">
        <f>((('Irradiancia Horizontal'!N53+KS61)/'Irradiancia Horizontal'!N53)+1.041*((RADIANS('Cálculos iluminancia'!KR61))^3))/(1+1.041*((RADIANS('Cálculos iluminancia'!KR61))^3))</f>
        <v>4.7249841916543058</v>
      </c>
      <c r="KU61" s="88">
        <f t="shared" si="526"/>
        <v>1.7177321393874878</v>
      </c>
      <c r="KV61" s="88">
        <f t="shared" si="637"/>
        <v>1.6753506676665246</v>
      </c>
      <c r="KW61" s="106">
        <f>'Irradiancia Horizontal'!N53*KV61/$KU$46</f>
        <v>0.14082117990524462</v>
      </c>
      <c r="KX61" s="88">
        <f>((17.27*Temp!M23)/(237.7+Temp!M23))+LN(HR!M34/100)</f>
        <v>0.46933520548495467</v>
      </c>
      <c r="KY61" s="88">
        <f t="shared" si="638"/>
        <v>6.6402716623567963</v>
      </c>
      <c r="KZ61" s="88">
        <f t="shared" si="639"/>
        <v>1.4767135087175547</v>
      </c>
      <c r="LA61" s="88">
        <f t="shared" si="730"/>
        <v>7</v>
      </c>
      <c r="LB61" s="88">
        <f t="shared" si="731"/>
        <v>78.63</v>
      </c>
      <c r="LC61" s="88">
        <f t="shared" si="732"/>
        <v>1.47</v>
      </c>
      <c r="LD61" s="88">
        <f t="shared" si="733"/>
        <v>4.93</v>
      </c>
      <c r="LE61" s="88">
        <f t="shared" si="734"/>
        <v>-11.37</v>
      </c>
      <c r="LF61" s="103">
        <f t="shared" si="532"/>
        <v>105.95345107783844</v>
      </c>
      <c r="LG61" s="165">
        <f>IF(LM61&gt;(LF61*'Irradiancia Horizontal'!N21),LM61,LF61*'Irradiancia Horizontal'!N21)</f>
        <v>65159.083844682864</v>
      </c>
      <c r="LH61" s="88">
        <f t="shared" si="735"/>
        <v>141.88</v>
      </c>
      <c r="LI61" s="88">
        <f t="shared" si="736"/>
        <v>1.9</v>
      </c>
      <c r="LJ61" s="88">
        <f t="shared" si="737"/>
        <v>-53.24</v>
      </c>
      <c r="LK61" s="88">
        <f t="shared" si="738"/>
        <v>-14.03</v>
      </c>
      <c r="LL61" s="103">
        <f t="shared" si="537"/>
        <v>141.25425149103185</v>
      </c>
      <c r="LM61" s="88">
        <f>+LL61*'Irradiancia Horizontal'!N53</f>
        <v>17029.830746275245</v>
      </c>
      <c r="LN61" s="88">
        <f t="shared" si="640"/>
        <v>48129.253098407615</v>
      </c>
      <c r="LO61" s="88">
        <f>+LN61/'Irradiancia Horizontal'!N82</f>
        <v>97.345494094934139</v>
      </c>
      <c r="LP61" s="38">
        <f t="shared" si="538"/>
        <v>0.77847638306406575</v>
      </c>
      <c r="LQ61" s="88">
        <f t="shared" si="641"/>
        <v>0.77847638306406575</v>
      </c>
      <c r="LR61" s="88">
        <f t="shared" si="642"/>
        <v>0.58102956430636599</v>
      </c>
      <c r="LS61" s="88">
        <f t="shared" si="643"/>
        <v>1.4850000000000001</v>
      </c>
      <c r="LT61" s="88">
        <f t="shared" si="644"/>
        <v>-1.214</v>
      </c>
      <c r="LU61" s="88">
        <f t="shared" si="645"/>
        <v>-0.78400000000000003</v>
      </c>
      <c r="LV61" s="88">
        <f t="shared" si="646"/>
        <v>0.41099999999999998</v>
      </c>
      <c r="LW61" s="88">
        <f t="shared" si="647"/>
        <v>-0.629</v>
      </c>
      <c r="LX61" s="88">
        <f t="shared" si="648"/>
        <v>-8.2000000000000003E-2</v>
      </c>
      <c r="LY61" s="88">
        <f t="shared" si="539"/>
        <v>0.56861337661449229</v>
      </c>
      <c r="LZ61" s="88">
        <f t="shared" si="540"/>
        <v>0.24445761521153436</v>
      </c>
      <c r="MA61" s="88">
        <f t="shared" si="541"/>
        <v>20810.313944212088</v>
      </c>
      <c r="MB61" s="88">
        <f t="shared" si="739"/>
        <v>1.06</v>
      </c>
      <c r="MC61" s="88">
        <f t="shared" si="740"/>
        <v>-1.6</v>
      </c>
      <c r="MD61" s="88">
        <f t="shared" si="741"/>
        <v>-0.35899999999999999</v>
      </c>
      <c r="ME61" s="88">
        <f t="shared" si="742"/>
        <v>0.26400000000000001</v>
      </c>
      <c r="MF61" s="88">
        <f t="shared" si="743"/>
        <v>-1.127</v>
      </c>
      <c r="MG61" s="88">
        <f t="shared" si="744"/>
        <v>0.13100000000000001</v>
      </c>
      <c r="MH61" s="88">
        <f t="shared" si="548"/>
        <v>0.49334776235312128</v>
      </c>
      <c r="MI61" s="88">
        <f t="shared" si="549"/>
        <v>0.22984974981113993</v>
      </c>
      <c r="MJ61" s="106">
        <f>IF(KP61&lt;0,0,((0.5*(1-MH61)*(1+COS(RADIANS($KW$46))))+(MH61*(LQ61/LR61))+(MI61*SIN(RADIANS($KW$46))))*'Irradiancia Horizontal'!N53)</f>
        <v>137.94341078395513</v>
      </c>
      <c r="MK61" s="88">
        <f t="shared" si="550"/>
        <v>1.3398223272741931</v>
      </c>
      <c r="ML61" s="88">
        <f>MK61*'Irradiancia Horizontal'!N82</f>
        <v>662.43074212957276</v>
      </c>
      <c r="MM61" s="88">
        <f t="shared" si="649"/>
        <v>800.37415291352795</v>
      </c>
      <c r="MN61" s="88">
        <f t="shared" si="551"/>
        <v>84802.403654689871</v>
      </c>
      <c r="MO61" s="88">
        <f t="shared" si="650"/>
        <v>63992.089710477783</v>
      </c>
      <c r="MP61" s="106">
        <f t="shared" si="651"/>
        <v>82834.430560972221</v>
      </c>
      <c r="MQ61" s="106">
        <f t="shared" si="652"/>
        <v>64484.647896277165</v>
      </c>
      <c r="MR61" s="106">
        <f t="shared" si="653"/>
        <v>85294.961840489254</v>
      </c>
    </row>
    <row r="62" spans="1:356" x14ac:dyDescent="0.25">
      <c r="A62" s="48"/>
      <c r="B62" s="37"/>
      <c r="E62" s="39">
        <v>0.58333333333333304</v>
      </c>
      <c r="F62" s="38">
        <v>-30</v>
      </c>
      <c r="G62" s="38">
        <f t="shared" si="378"/>
        <v>61.515083298976819</v>
      </c>
      <c r="H62" s="38">
        <f t="shared" si="745"/>
        <v>-100.77760344118244</v>
      </c>
      <c r="I62" s="38">
        <f t="shared" si="380"/>
        <v>28.484916701023181</v>
      </c>
      <c r="J62" s="38">
        <f>+'Irradiancia Horizontal'!I83/COS(RADIANS(I62))</f>
        <v>679.70519748509457</v>
      </c>
      <c r="K62" s="38">
        <f>((('Irradiancia Horizontal'!I54+J62)/'Irradiancia Horizontal'!I54)+1.041*((RADIANS('Cálculos iluminancia'!I62))^3))/(1+1.041*((RADIANS('Cálculos iluminancia'!I62))^3))</f>
        <v>4.0029970255756409</v>
      </c>
      <c r="L62" s="87">
        <f t="shared" si="381"/>
        <v>1.1370679809360884</v>
      </c>
      <c r="M62" s="87">
        <f t="shared" si="654"/>
        <v>1.1090131909174075</v>
      </c>
      <c r="N62" s="106">
        <f>'Irradiancia Horizontal'!I54*M62/$L$46</f>
        <v>0.1657862657911201</v>
      </c>
      <c r="O62" s="87">
        <f>((17.27*Temp!H24)/(237.7+Temp!H24))+LN(HR!H35/100)</f>
        <v>1.3653056428000716</v>
      </c>
      <c r="P62" s="87">
        <f t="shared" si="553"/>
        <v>20.404865633061565</v>
      </c>
      <c r="Q62" s="87">
        <f t="shared" si="554"/>
        <v>3.8703331720857692</v>
      </c>
      <c r="R62" s="87">
        <f t="shared" si="655"/>
        <v>6</v>
      </c>
      <c r="S62" s="87">
        <f t="shared" si="656"/>
        <v>88.34</v>
      </c>
      <c r="T62" s="87">
        <f t="shared" si="657"/>
        <v>1.39</v>
      </c>
      <c r="U62" s="87">
        <f t="shared" si="658"/>
        <v>6.06</v>
      </c>
      <c r="V62" s="87">
        <f t="shared" si="659"/>
        <v>-7.6</v>
      </c>
      <c r="W62" s="103">
        <f t="shared" si="387"/>
        <v>112.70378050111987</v>
      </c>
      <c r="X62" s="165">
        <f>IF(AD62&gt;(W62*'Irradiancia Horizontal'!I22),AD62,W62*'Irradiancia Horizontal'!I22)</f>
        <v>89948.297236152488</v>
      </c>
      <c r="Y62" s="87">
        <f t="shared" si="660"/>
        <v>106.42</v>
      </c>
      <c r="Z62" s="87">
        <f t="shared" si="661"/>
        <v>3.83</v>
      </c>
      <c r="AA62" s="87">
        <f t="shared" si="662"/>
        <v>-36.15</v>
      </c>
      <c r="AB62" s="87">
        <f t="shared" si="663"/>
        <v>-28.83</v>
      </c>
      <c r="AC62" s="103">
        <f t="shared" si="392"/>
        <v>141.27871849296369</v>
      </c>
      <c r="AD62" s="87">
        <f>+AC62*'Irradiancia Horizontal'!I54</f>
        <v>28350.802600815481</v>
      </c>
      <c r="AE62" s="87">
        <f t="shared" si="393"/>
        <v>61597.494635337003</v>
      </c>
      <c r="AF62" s="87">
        <f>+AE62/'Irradiancia Horizontal'!I83</f>
        <v>103.10551507284937</v>
      </c>
      <c r="AG62" s="38">
        <f t="shared" si="555"/>
        <v>8.9184149146877556E-2</v>
      </c>
      <c r="AH62" s="87">
        <f t="shared" si="556"/>
        <v>8.9184149146877556E-2</v>
      </c>
      <c r="AI62" s="87">
        <f t="shared" si="557"/>
        <v>0.87894269579299078</v>
      </c>
      <c r="AJ62" s="87">
        <f t="shared" si="558"/>
        <v>1.4259999999999999</v>
      </c>
      <c r="AK62" s="87">
        <f t="shared" si="559"/>
        <v>-0.65300000000000002</v>
      </c>
      <c r="AL62" s="87">
        <f t="shared" si="560"/>
        <v>-0.77900000000000003</v>
      </c>
      <c r="AM62" s="87">
        <f t="shared" si="561"/>
        <v>0.42499999999999999</v>
      </c>
      <c r="AN62" s="87">
        <f t="shared" si="562"/>
        <v>-0.78500000000000003</v>
      </c>
      <c r="AO62" s="87">
        <f t="shared" si="563"/>
        <v>-9.7000000000000003E-2</v>
      </c>
      <c r="AP62" s="87">
        <f t="shared" si="394"/>
        <v>0.93045736882243046</v>
      </c>
      <c r="AQ62" s="87">
        <f t="shared" si="395"/>
        <v>0.24663368974582062</v>
      </c>
      <c r="AR62" s="88">
        <f t="shared" si="396"/>
        <v>10654.691506910569</v>
      </c>
      <c r="AS62" s="87">
        <f t="shared" si="664"/>
        <v>1.1319999999999999</v>
      </c>
      <c r="AT62" s="87">
        <f t="shared" si="665"/>
        <v>-1.2370000000000001</v>
      </c>
      <c r="AU62" s="87">
        <f t="shared" si="666"/>
        <v>-0.41199999999999998</v>
      </c>
      <c r="AV62" s="87">
        <f t="shared" si="667"/>
        <v>0.28799999999999998</v>
      </c>
      <c r="AW62" s="87">
        <f t="shared" si="668"/>
        <v>-0.82299999999999995</v>
      </c>
      <c r="AX62" s="87">
        <f t="shared" si="669"/>
        <v>5.6000000000000001E-2</v>
      </c>
      <c r="AY62" s="87">
        <f t="shared" si="403"/>
        <v>0.72209428877764381</v>
      </c>
      <c r="AZ62" s="87">
        <f t="shared" si="404"/>
        <v>0.17939861593490197</v>
      </c>
      <c r="BA62" s="106">
        <f>IF(G62&lt;0,0,((0.5*(1-AY62)*(1+COS(RADIANS($N$46))))+(AY62*(AH62/AI62))+(AZ62*SIN(RADIANS($N$46))))*'Irradiancia Horizontal'!I54)</f>
        <v>78.587620458675133</v>
      </c>
      <c r="BB62" s="87">
        <f t="shared" si="405"/>
        <v>0.10146753545339464</v>
      </c>
      <c r="BC62" s="87">
        <f>BB62*'Irradiancia Horizontal'!I83</f>
        <v>60.618929708418534</v>
      </c>
      <c r="BD62" s="87">
        <f t="shared" si="564"/>
        <v>139.20655016709367</v>
      </c>
      <c r="BE62" s="88">
        <f t="shared" si="406"/>
        <v>15689.104474350255</v>
      </c>
      <c r="BF62" s="87">
        <f t="shared" si="565"/>
        <v>5034.4129674396863</v>
      </c>
      <c r="BG62" s="106">
        <f t="shared" si="566"/>
        <v>70081.35448439348</v>
      </c>
      <c r="BH62" s="106">
        <f t="shared" si="567"/>
        <v>6250.1459707513441</v>
      </c>
      <c r="BI62" s="106">
        <f t="shared" si="568"/>
        <v>16904.837477661913</v>
      </c>
      <c r="BJ62" s="44"/>
      <c r="BL62" s="39">
        <v>0.58333333333333304</v>
      </c>
      <c r="BM62" s="38">
        <v>-30</v>
      </c>
      <c r="BN62" s="38">
        <f t="shared" si="407"/>
        <v>57.139651075019302</v>
      </c>
      <c r="BO62" s="38">
        <f t="shared" si="746"/>
        <v>-115.55422361507756</v>
      </c>
      <c r="BP62" s="38">
        <f t="shared" si="409"/>
        <v>32.860348924980698</v>
      </c>
      <c r="BQ62" s="38">
        <f>+'Irradiancia Horizontal'!J83/COS(RADIANS(BP62))</f>
        <v>690.28797558176962</v>
      </c>
      <c r="BR62" s="38">
        <f>((('Irradiancia Horizontal'!J54+BQ62)/'Irradiancia Horizontal'!J54)+1.041*((RADIANS('Cálculos iluminancia'!BP62))^3))/(1+1.041*((RADIANS('Cálculos iluminancia'!BP62))^3))</f>
        <v>3.9527381237715855</v>
      </c>
      <c r="BS62" s="87">
        <f t="shared" si="410"/>
        <v>1.1896731091817776</v>
      </c>
      <c r="BT62" s="87">
        <f t="shared" si="569"/>
        <v>1.1603203969178291</v>
      </c>
      <c r="BU62" s="106">
        <f>'Irradiancia Horizontal'!J54*BT62/$BS$46</f>
        <v>0.16738724750821726</v>
      </c>
      <c r="BV62" s="87">
        <f>((17.27*Temp!I24)/(237.7+Temp!I24))+LN(HR!I35/100)</f>
        <v>1.5095771634038442</v>
      </c>
      <c r="BW62" s="87">
        <f t="shared" si="570"/>
        <v>22.767567562203233</v>
      </c>
      <c r="BX62" s="87">
        <f t="shared" si="571"/>
        <v>4.5664209189721996</v>
      </c>
      <c r="BY62" s="87">
        <f t="shared" si="670"/>
        <v>6</v>
      </c>
      <c r="BZ62" s="87">
        <f t="shared" si="671"/>
        <v>88.34</v>
      </c>
      <c r="CA62" s="87">
        <f t="shared" si="672"/>
        <v>1.39</v>
      </c>
      <c r="CB62" s="87">
        <f t="shared" si="673"/>
        <v>6.06</v>
      </c>
      <c r="CC62" s="87">
        <f t="shared" si="674"/>
        <v>-7.6</v>
      </c>
      <c r="CD62" s="103">
        <f t="shared" si="416"/>
        <v>113.36228249568533</v>
      </c>
      <c r="CE62" s="165">
        <f>IF(CK62&gt;(CD62*'Irradiancia Horizontal'!J22),CK62,CD62*'Irradiancia Horizontal'!J22)</f>
        <v>87883.421905623836</v>
      </c>
      <c r="CF62" s="87">
        <f t="shared" si="675"/>
        <v>106.42</v>
      </c>
      <c r="CG62" s="87">
        <f t="shared" si="676"/>
        <v>3.83</v>
      </c>
      <c r="CH62" s="87">
        <f t="shared" si="677"/>
        <v>-36.15</v>
      </c>
      <c r="CI62" s="87">
        <f t="shared" si="678"/>
        <v>-28.83</v>
      </c>
      <c r="CJ62" s="103">
        <f t="shared" si="421"/>
        <v>145.07560062406429</v>
      </c>
      <c r="CK62" s="87">
        <f>+CJ62*'Irradiancia Horizontal'!J54</f>
        <v>28348.511942993733</v>
      </c>
      <c r="CL62" s="87">
        <f t="shared" si="572"/>
        <v>59534.909962630103</v>
      </c>
      <c r="CM62" s="87">
        <f>+CL62/'Irradiancia Horizontal'!J83</f>
        <v>102.67492655724631</v>
      </c>
      <c r="CN62" s="38">
        <f t="shared" si="422"/>
        <v>0.23405579551672301</v>
      </c>
      <c r="CO62" s="87">
        <f t="shared" si="573"/>
        <v>0.23405579551672301</v>
      </c>
      <c r="CP62" s="87">
        <f t="shared" si="574"/>
        <v>0.83999556287831545</v>
      </c>
      <c r="CQ62" s="87">
        <f t="shared" si="575"/>
        <v>1.4259999999999999</v>
      </c>
      <c r="CR62" s="87">
        <f t="shared" si="576"/>
        <v>-0.65300000000000002</v>
      </c>
      <c r="CS62" s="87">
        <f t="shared" si="577"/>
        <v>-0.77900000000000003</v>
      </c>
      <c r="CT62" s="87">
        <f t="shared" si="578"/>
        <v>0.42499999999999999</v>
      </c>
      <c r="CU62" s="87">
        <f t="shared" si="579"/>
        <v>-0.78500000000000003</v>
      </c>
      <c r="CV62" s="87">
        <f t="shared" si="580"/>
        <v>-9.7000000000000003E-2</v>
      </c>
      <c r="CW62" s="87">
        <f t="shared" si="423"/>
        <v>0.86992304862505709</v>
      </c>
      <c r="CX62" s="87">
        <f t="shared" si="424"/>
        <v>0.23796944634282546</v>
      </c>
      <c r="CY62" s="88">
        <f t="shared" si="425"/>
        <v>15461.354726040361</v>
      </c>
      <c r="CZ62" s="87">
        <f t="shared" si="679"/>
        <v>1.1319999999999999</v>
      </c>
      <c r="DA62" s="87">
        <f t="shared" si="680"/>
        <v>-1.2370000000000001</v>
      </c>
      <c r="DB62" s="87">
        <f t="shared" si="681"/>
        <v>-0.41199999999999998</v>
      </c>
      <c r="DC62" s="87">
        <f t="shared" si="682"/>
        <v>0.28799999999999998</v>
      </c>
      <c r="DD62" s="87">
        <f t="shared" si="683"/>
        <v>-0.82299999999999995</v>
      </c>
      <c r="DE62" s="87">
        <f t="shared" si="684"/>
        <v>5.6000000000000001E-2</v>
      </c>
      <c r="DF62" s="87">
        <f t="shared" si="432"/>
        <v>0.68865120660915702</v>
      </c>
      <c r="DG62" s="87">
        <f t="shared" si="433"/>
        <v>0.18235748709806235</v>
      </c>
      <c r="DH62" s="106">
        <f>IF(BN62&lt;0,0,((0.5*(1-DF62)*(1+COS(RADIANS($BU$46))))+(DF62*(CO62/CP62))+(DG62*SIN(RADIANS($BU$46))))*'Irradiancia Horizontal'!J54)</f>
        <v>103.54852043823993</v>
      </c>
      <c r="DI62" s="87">
        <f t="shared" si="434"/>
        <v>0.2786393236587002</v>
      </c>
      <c r="DJ62" s="87">
        <f>DI62*'Irradiancia Horizontal'!J83</f>
        <v>161.56590126041934</v>
      </c>
      <c r="DK62" s="87">
        <f t="shared" si="581"/>
        <v>265.11442169865927</v>
      </c>
      <c r="DL62" s="88">
        <f t="shared" si="435"/>
        <v>30053.975966283662</v>
      </c>
      <c r="DM62" s="87">
        <f t="shared" si="582"/>
        <v>14592.621240243301</v>
      </c>
      <c r="DN62" s="106">
        <f t="shared" si="583"/>
        <v>70875.267196208428</v>
      </c>
      <c r="DO62" s="106">
        <f t="shared" si="584"/>
        <v>16588.767046068864</v>
      </c>
      <c r="DP62" s="106">
        <f t="shared" si="585"/>
        <v>32050.121772109225</v>
      </c>
      <c r="DQ62" s="44"/>
      <c r="DS62" s="39">
        <v>0.58333333333333304</v>
      </c>
      <c r="DT62" s="38">
        <v>-30</v>
      </c>
      <c r="DU62" s="38">
        <f t="shared" si="436"/>
        <v>49.037525394311317</v>
      </c>
      <c r="DV62" s="38">
        <f t="shared" si="747"/>
        <v>-130.29749452432006</v>
      </c>
      <c r="DW62" s="38">
        <f t="shared" si="438"/>
        <v>40.962474605688683</v>
      </c>
      <c r="DX62" s="38">
        <f>+'Irradiancia Horizontal'!K83/COS(RADIANS(DW62))</f>
        <v>920.26332663497396</v>
      </c>
      <c r="DY62" s="38">
        <f>((('Irradiancia Horizontal'!K54+DX62)/'Irradiancia Horizontal'!K54)+1.041*((RADIANS('Cálculos iluminancia'!DW62))^3))/(1+1.041*((RADIANS('Cálculos iluminancia'!DW62))^3))</f>
        <v>6.2864228720235733</v>
      </c>
      <c r="DZ62" s="87">
        <f t="shared" si="439"/>
        <v>1.3230061951481971</v>
      </c>
      <c r="EA62" s="87">
        <f t="shared" si="586"/>
        <v>1.2903637660053586</v>
      </c>
      <c r="EB62" s="106">
        <f>'Irradiancia Horizontal'!K54*EA62/$DZ$46</f>
        <v>0.11827888815834661</v>
      </c>
      <c r="EC62" s="87">
        <f>((17.27*Temp!J24)/(237.7+Temp!J24))+LN(HR!J35/100)</f>
        <v>1.3783567686900895</v>
      </c>
      <c r="ED62" s="87">
        <f t="shared" si="587"/>
        <v>20.616836103652453</v>
      </c>
      <c r="EE62" s="87">
        <f t="shared" si="588"/>
        <v>3.928189085757793</v>
      </c>
      <c r="EF62" s="87">
        <f t="shared" si="685"/>
        <v>8</v>
      </c>
      <c r="EG62" s="87">
        <f t="shared" si="686"/>
        <v>99.65</v>
      </c>
      <c r="EH62" s="87">
        <f t="shared" si="687"/>
        <v>1.86</v>
      </c>
      <c r="EI62" s="87">
        <f t="shared" si="688"/>
        <v>-4.46</v>
      </c>
      <c r="EJ62" s="87">
        <f t="shared" si="689"/>
        <v>-3.15</v>
      </c>
      <c r="EK62" s="103">
        <f t="shared" si="445"/>
        <v>110.312847769157</v>
      </c>
      <c r="EL62" s="165">
        <f>IF(ER62&gt;(EK62*'Irradiancia Horizontal'!K22),ER62,EK62*'Irradiancia Horizontal'!K22)</f>
        <v>90570.765372321839</v>
      </c>
      <c r="EM62" s="87">
        <f t="shared" si="690"/>
        <v>152.22999999999999</v>
      </c>
      <c r="EN62" s="87">
        <f t="shared" si="691"/>
        <v>0.35</v>
      </c>
      <c r="EO62" s="87">
        <f t="shared" si="692"/>
        <v>-45.27</v>
      </c>
      <c r="EP62" s="87">
        <f t="shared" si="693"/>
        <v>-7.98</v>
      </c>
      <c r="EQ62" s="103">
        <f t="shared" si="450"/>
        <v>136.45470485375182</v>
      </c>
      <c r="ER62" s="87">
        <f>+EQ62*'Irradiancia Horizontal'!K54</f>
        <v>17208.12437914377</v>
      </c>
      <c r="ES62" s="87">
        <f t="shared" si="589"/>
        <v>73362.640993178065</v>
      </c>
      <c r="ET62" s="87">
        <f>+ES62/'Irradiancia Horizontal'!K83</f>
        <v>105.56887283654481</v>
      </c>
      <c r="EU62" s="38">
        <f t="shared" si="451"/>
        <v>0.42399061764838253</v>
      </c>
      <c r="EV62" s="87">
        <f t="shared" si="590"/>
        <v>0.42399061764838253</v>
      </c>
      <c r="EW62" s="87">
        <f t="shared" si="591"/>
        <v>0.75513909873139351</v>
      </c>
      <c r="EX62" s="87">
        <f t="shared" si="592"/>
        <v>1.17</v>
      </c>
      <c r="EY62" s="87">
        <f t="shared" si="593"/>
        <v>-0.3</v>
      </c>
      <c r="EZ62" s="87">
        <f t="shared" si="594"/>
        <v>-0.61499999999999999</v>
      </c>
      <c r="FA62" s="87">
        <f t="shared" si="595"/>
        <v>0.51800000000000002</v>
      </c>
      <c r="FB62" s="87">
        <f t="shared" si="596"/>
        <v>-1.8919999999999999</v>
      </c>
      <c r="FC62" s="87">
        <f t="shared" si="597"/>
        <v>-5.5E-2</v>
      </c>
      <c r="FD62" s="87">
        <f t="shared" si="452"/>
        <v>0.69483435179768827</v>
      </c>
      <c r="FE62" s="87">
        <f t="shared" si="453"/>
        <v>0.25489519076454736</v>
      </c>
      <c r="FF62" s="88">
        <f t="shared" si="454"/>
        <v>13725.356825856039</v>
      </c>
      <c r="FG62" s="87">
        <f t="shared" si="694"/>
        <v>0.67800000000000005</v>
      </c>
      <c r="FH62" s="87">
        <f t="shared" si="695"/>
        <v>-0.32700000000000001</v>
      </c>
      <c r="FI62" s="87">
        <f t="shared" si="696"/>
        <v>-0.25</v>
      </c>
      <c r="FJ62" s="87">
        <f t="shared" si="697"/>
        <v>0.156</v>
      </c>
      <c r="FK62" s="87">
        <f t="shared" si="698"/>
        <v>-1.377</v>
      </c>
      <c r="FL62" s="87">
        <f t="shared" si="699"/>
        <v>0.251</v>
      </c>
      <c r="FM62" s="87">
        <f t="shared" si="461"/>
        <v>0.46059029066376234</v>
      </c>
      <c r="FN62" s="87">
        <f t="shared" si="462"/>
        <v>0.17257741396604892</v>
      </c>
      <c r="FO62" s="106">
        <f>IF(DU62&lt;0,0,((0.5*(1-FM62)*(1+COS(RADIANS($EB$46))))+(FM62*(EV62/EW62))+(FN62*SIN(RADIANS($EB$46))))*'Irradiancia Horizontal'!K54)</f>
        <v>88.388513794694973</v>
      </c>
      <c r="FP62" s="87">
        <f t="shared" si="463"/>
        <v>0.56147353296984825</v>
      </c>
      <c r="FQ62" s="87">
        <f>FP62*'Irradiancia Horizontal'!K83</f>
        <v>390.18301625911784</v>
      </c>
      <c r="FR62" s="87">
        <f t="shared" si="598"/>
        <v>478.57153005381281</v>
      </c>
      <c r="FS62" s="88">
        <f t="shared" si="464"/>
        <v>52792.588341478797</v>
      </c>
      <c r="FT62" s="87">
        <f t="shared" si="599"/>
        <v>39067.231515622756</v>
      </c>
      <c r="FU62" s="106">
        <f t="shared" si="600"/>
        <v>97151.162105663258</v>
      </c>
      <c r="FV62" s="106">
        <f t="shared" si="601"/>
        <v>41191.181226438297</v>
      </c>
      <c r="FW62" s="106">
        <f t="shared" si="602"/>
        <v>54916.538052294338</v>
      </c>
      <c r="FX62" s="83"/>
      <c r="FZ62" s="39">
        <v>0.58333333333333304</v>
      </c>
      <c r="GA62" s="38">
        <v>-30</v>
      </c>
      <c r="GB62" s="38">
        <f t="shared" si="465"/>
        <v>39.939246849075232</v>
      </c>
      <c r="GC62" s="38">
        <f t="shared" si="748"/>
        <v>-140.32371555745891</v>
      </c>
      <c r="GD62" s="38">
        <f t="shared" si="467"/>
        <v>50.060753150924768</v>
      </c>
      <c r="GE62" s="38">
        <f>+'Irradiancia Horizontal'!L83/COS(RADIANS(GD62))</f>
        <v>1044.7368663003367</v>
      </c>
      <c r="GF62" s="38">
        <f>((('Irradiancia Horizontal'!L54+GE62)/'Irradiancia Horizontal'!L54)+1.041*((RADIANS('Cálculos iluminancia'!GD62))^3))/(1+1.041*((RADIANS('Cálculos iluminancia'!GD62))^3))</f>
        <v>8.3633953901342739</v>
      </c>
      <c r="GG62" s="88">
        <f t="shared" si="468"/>
        <v>1.5553650649049895</v>
      </c>
      <c r="GH62" s="88">
        <f t="shared" si="603"/>
        <v>1.5169896634075533</v>
      </c>
      <c r="GI62" s="106">
        <f>'Irradiancia Horizontal'!L54*GH62/$GG$46</f>
        <v>9.0732270618005664E-2</v>
      </c>
      <c r="GJ62" s="88">
        <f>((17.27*Temp!K24)/(237.7+Temp!K24))+LN(HR!K35/100)</f>
        <v>1.038218706371006</v>
      </c>
      <c r="GK62" s="88">
        <f t="shared" si="604"/>
        <v>15.203789531174346</v>
      </c>
      <c r="GL62" s="88">
        <f t="shared" si="605"/>
        <v>2.6892578602918378</v>
      </c>
      <c r="GM62" s="88">
        <f t="shared" si="700"/>
        <v>8</v>
      </c>
      <c r="GN62" s="88">
        <f t="shared" si="701"/>
        <v>99.65</v>
      </c>
      <c r="GO62" s="88">
        <f t="shared" si="702"/>
        <v>1.86</v>
      </c>
      <c r="GP62" s="88">
        <f t="shared" si="703"/>
        <v>-4.46</v>
      </c>
      <c r="GQ62" s="88">
        <f t="shared" si="704"/>
        <v>-3.15</v>
      </c>
      <c r="GR62" s="103">
        <f t="shared" si="474"/>
        <v>109.3483141123648</v>
      </c>
      <c r="GS62" s="165">
        <f>IF(GY62&gt;(GR62*'Irradiancia Horizontal'!L22),GY62,GR62*'Irradiancia Horizontal'!L22)</f>
        <v>82496.063854020278</v>
      </c>
      <c r="GT62" s="88">
        <f t="shared" si="705"/>
        <v>152.22999999999999</v>
      </c>
      <c r="GU62" s="88">
        <f t="shared" si="706"/>
        <v>0.35</v>
      </c>
      <c r="GV62" s="88">
        <f t="shared" si="707"/>
        <v>-45.27</v>
      </c>
      <c r="GW62" s="88">
        <f t="shared" si="708"/>
        <v>-7.98</v>
      </c>
      <c r="GX62" s="103">
        <f t="shared" si="479"/>
        <v>143.25977362825887</v>
      </c>
      <c r="GY62" s="88">
        <f>+GX62*'Irradiancia Horizontal'!L54</f>
        <v>11996.411501438468</v>
      </c>
      <c r="GZ62" s="88">
        <f t="shared" si="606"/>
        <v>70499.652352581805</v>
      </c>
      <c r="HA62" s="88">
        <f>+GZ62/'Irradiancia Horizontal'!L83</f>
        <v>105.11433653429503</v>
      </c>
      <c r="HB62" s="38">
        <f t="shared" si="480"/>
        <v>0.59012099387589745</v>
      </c>
      <c r="HC62" s="88">
        <f t="shared" si="607"/>
        <v>0.59012099387589745</v>
      </c>
      <c r="HD62" s="88">
        <f t="shared" si="608"/>
        <v>0.64197497899618094</v>
      </c>
      <c r="HE62" s="88">
        <f t="shared" si="609"/>
        <v>1.17</v>
      </c>
      <c r="HF62" s="88">
        <f t="shared" si="610"/>
        <v>-0.3</v>
      </c>
      <c r="HG62" s="88">
        <f t="shared" si="611"/>
        <v>-0.61499999999999999</v>
      </c>
      <c r="HH62" s="88">
        <f t="shared" si="612"/>
        <v>0.51800000000000002</v>
      </c>
      <c r="HI62" s="88">
        <f t="shared" si="613"/>
        <v>-1.8919999999999999</v>
      </c>
      <c r="HJ62" s="88">
        <f t="shared" si="614"/>
        <v>-5.5E-2</v>
      </c>
      <c r="HK62" s="88">
        <f t="shared" si="481"/>
        <v>0.60543946317986397</v>
      </c>
      <c r="HL62" s="88">
        <f t="shared" si="482"/>
        <v>0.29827967072258632</v>
      </c>
      <c r="HM62" s="88">
        <f t="shared" si="483"/>
        <v>12621.382380744106</v>
      </c>
      <c r="HN62" s="88">
        <f t="shared" si="709"/>
        <v>0.67800000000000005</v>
      </c>
      <c r="HO62" s="88">
        <f t="shared" si="710"/>
        <v>-0.32700000000000001</v>
      </c>
      <c r="HP62" s="88">
        <f t="shared" si="711"/>
        <v>-0.25</v>
      </c>
      <c r="HQ62" s="88">
        <f t="shared" si="712"/>
        <v>0.156</v>
      </c>
      <c r="HR62" s="88">
        <f t="shared" si="713"/>
        <v>-1.377</v>
      </c>
      <c r="HS62" s="88">
        <f t="shared" si="714"/>
        <v>0.251</v>
      </c>
      <c r="HT62" s="88">
        <f t="shared" si="490"/>
        <v>0.42989930537997145</v>
      </c>
      <c r="HU62" s="88">
        <f t="shared" si="491"/>
        <v>0.25036663045545871</v>
      </c>
      <c r="HV62" s="106">
        <f>IF(GB62&lt;0,0,((0.5*(1-HT62)*(1+COS(RADIANS($GI$46))))+(HT62*(HC62/HD62))+(HU62*SIN(RADIANS($GI$46))))*'Irradiancia Horizontal'!L54)</f>
        <v>77.926738925271124</v>
      </c>
      <c r="HW62" s="88">
        <f t="shared" si="492"/>
        <v>0.91922740477928822</v>
      </c>
      <c r="HX62" s="88">
        <f>HW62*'Irradiancia Horizontal'!L83</f>
        <v>616.52115787994535</v>
      </c>
      <c r="HY62" s="88">
        <f t="shared" si="615"/>
        <v>694.44789680521649</v>
      </c>
      <c r="HZ62" s="88">
        <f t="shared" si="493"/>
        <v>75936.706754527913</v>
      </c>
      <c r="IA62" s="88">
        <f t="shared" si="616"/>
        <v>63315.324373783806</v>
      </c>
      <c r="IB62" s="106">
        <f t="shared" si="617"/>
        <v>109816.82255407839</v>
      </c>
      <c r="IC62" s="106">
        <f t="shared" si="618"/>
        <v>64805.212469905811</v>
      </c>
      <c r="ID62" s="106">
        <f t="shared" si="619"/>
        <v>77426.594850649912</v>
      </c>
      <c r="IE62" s="83"/>
      <c r="IG62" s="39">
        <v>0.58333333333333304</v>
      </c>
      <c r="IH62" s="38">
        <v>-30</v>
      </c>
      <c r="II62" s="38">
        <f t="shared" si="494"/>
        <v>32.646169918095019</v>
      </c>
      <c r="IJ62" s="38">
        <f t="shared" si="749"/>
        <v>-146.19150902310417</v>
      </c>
      <c r="IK62" s="38">
        <f t="shared" si="496"/>
        <v>57.353830081904981</v>
      </c>
      <c r="IL62" s="38">
        <f>+'Irradiancia Horizontal'!M83/COS(RADIANS(IK62))</f>
        <v>980.03974225161767</v>
      </c>
      <c r="IM62" s="38">
        <f>((('Irradiancia Horizontal'!M54+IL62)/'Irradiancia Horizontal'!M54)+1.041*((RADIANS('Cálculos iluminancia'!IK62))^3))/(1+1.041*((RADIANS('Cálculos iluminancia'!IK62))^3))</f>
        <v>6.6925783541406307</v>
      </c>
      <c r="IN62" s="88">
        <f t="shared" si="497"/>
        <v>1.8493728127035414</v>
      </c>
      <c r="IO62" s="88">
        <f t="shared" si="620"/>
        <v>1.8037433808696224</v>
      </c>
      <c r="IP62" s="106">
        <f>'Irradiancia Horizontal'!M54*IO62/$IN$46</f>
        <v>0.10681657953721382</v>
      </c>
      <c r="IQ62" s="88">
        <f>((17.27*Temp!L24)/(237.7+Temp!L24))+LN(HR!L35/100)</f>
        <v>0.73845052447253767</v>
      </c>
      <c r="IR62" s="88">
        <f t="shared" si="621"/>
        <v>10.617860710937483</v>
      </c>
      <c r="IS62" s="88">
        <f t="shared" si="622"/>
        <v>1.9508208832538398</v>
      </c>
      <c r="IT62" s="88">
        <f t="shared" si="715"/>
        <v>8</v>
      </c>
      <c r="IU62" s="88">
        <f t="shared" si="716"/>
        <v>99.65</v>
      </c>
      <c r="IV62" s="88">
        <f t="shared" si="717"/>
        <v>1.86</v>
      </c>
      <c r="IW62" s="88">
        <f t="shared" si="718"/>
        <v>-4.46</v>
      </c>
      <c r="IX62" s="88">
        <f t="shared" si="719"/>
        <v>-3.15</v>
      </c>
      <c r="IY62" s="103">
        <f t="shared" si="503"/>
        <v>107.91800489028084</v>
      </c>
      <c r="IZ62" s="165">
        <f>IF(JF62&gt;(IY62*'Irradiancia Horizontal'!M22),JF62,IY62*'Irradiancia Horizontal'!M22)</f>
        <v>66143.215117545507</v>
      </c>
      <c r="JA62" s="88">
        <f t="shared" si="720"/>
        <v>152.22999999999999</v>
      </c>
      <c r="JB62" s="88">
        <f t="shared" si="721"/>
        <v>0.35</v>
      </c>
      <c r="JC62" s="88">
        <f t="shared" si="722"/>
        <v>-45.27</v>
      </c>
      <c r="JD62" s="88">
        <f t="shared" si="723"/>
        <v>-7.98</v>
      </c>
      <c r="JE62" s="103">
        <f t="shared" si="508"/>
        <v>146.34031384760246</v>
      </c>
      <c r="JF62" s="88">
        <f>+JE62*'Irradiancia Horizontal'!M54</f>
        <v>12324.865982163761</v>
      </c>
      <c r="JG62" s="88">
        <f t="shared" si="623"/>
        <v>53818.349135381744</v>
      </c>
      <c r="JH62" s="88">
        <f>+JG62/'Irradiancia Horizontal'!M83</f>
        <v>101.79721850246187</v>
      </c>
      <c r="JI62" s="38">
        <f t="shared" si="509"/>
        <v>0.69963443419874294</v>
      </c>
      <c r="JJ62" s="88">
        <f t="shared" si="624"/>
        <v>0.69963443419874294</v>
      </c>
      <c r="JK62" s="88">
        <f t="shared" si="625"/>
        <v>0.53944947254613906</v>
      </c>
      <c r="JL62" s="88">
        <f t="shared" si="626"/>
        <v>1.17</v>
      </c>
      <c r="JM62" s="88">
        <f t="shared" si="627"/>
        <v>-0.3</v>
      </c>
      <c r="JN62" s="88">
        <f t="shared" si="628"/>
        <v>-0.61499999999999999</v>
      </c>
      <c r="JO62" s="88">
        <f t="shared" si="629"/>
        <v>0.51800000000000002</v>
      </c>
      <c r="JP62" s="88">
        <f t="shared" si="630"/>
        <v>-1.8919999999999999</v>
      </c>
      <c r="JQ62" s="88">
        <f t="shared" si="631"/>
        <v>-5.5E-2</v>
      </c>
      <c r="JR62" s="88">
        <f t="shared" si="510"/>
        <v>0.52233192440029008</v>
      </c>
      <c r="JS62" s="88">
        <f t="shared" si="511"/>
        <v>0.26084730696986785</v>
      </c>
      <c r="JT62" s="88">
        <f t="shared" si="512"/>
        <v>14507.788559272532</v>
      </c>
      <c r="JU62" s="88">
        <f t="shared" si="724"/>
        <v>0.67800000000000005</v>
      </c>
      <c r="JV62" s="88">
        <f t="shared" si="725"/>
        <v>-0.32700000000000001</v>
      </c>
      <c r="JW62" s="88">
        <f t="shared" si="726"/>
        <v>-0.25</v>
      </c>
      <c r="JX62" s="88">
        <f t="shared" si="727"/>
        <v>0.156</v>
      </c>
      <c r="JY62" s="88">
        <f t="shared" si="728"/>
        <v>-1.377</v>
      </c>
      <c r="JZ62" s="88">
        <f t="shared" si="729"/>
        <v>0.251</v>
      </c>
      <c r="KA62" s="88">
        <f t="shared" si="519"/>
        <v>0.39281768510167836</v>
      </c>
      <c r="KB62" s="88">
        <f t="shared" si="520"/>
        <v>0.26016787654046791</v>
      </c>
      <c r="KC62" s="106">
        <f>IF(II62&lt;0,0,((0.5*(1-KA62)*(1+COS(RADIANS($IP$46))))+(KA62*(JJ62/JK62))+(KB62*SIN(RADIANS($IP$46))))*'Irradiancia Horizontal'!M54)</f>
        <v>90.387261369517134</v>
      </c>
      <c r="KD62" s="88">
        <f t="shared" si="521"/>
        <v>1.2969415483836686</v>
      </c>
      <c r="KE62" s="88">
        <f>KD62*'Irradiancia Horizontal'!M83</f>
        <v>685.66955056249242</v>
      </c>
      <c r="KF62" s="88">
        <f t="shared" si="632"/>
        <v>776.05681193200951</v>
      </c>
      <c r="KG62" s="88">
        <f t="shared" si="522"/>
        <v>83750.502825214367</v>
      </c>
      <c r="KH62" s="88">
        <f t="shared" si="633"/>
        <v>69242.714265941831</v>
      </c>
      <c r="KI62" s="106">
        <f t="shared" si="634"/>
        <v>99765.319783084342</v>
      </c>
      <c r="KJ62" s="106">
        <f t="shared" si="635"/>
        <v>69799.253059094874</v>
      </c>
      <c r="KK62" s="106">
        <f t="shared" si="636"/>
        <v>84307.04161836741</v>
      </c>
      <c r="KL62" s="40"/>
      <c r="KN62" s="39">
        <v>0.58333333333333304</v>
      </c>
      <c r="KO62" s="38">
        <v>-30</v>
      </c>
      <c r="KP62" s="38">
        <f t="shared" si="523"/>
        <v>30.061756873161897</v>
      </c>
      <c r="KQ62" s="38">
        <f t="shared" si="750"/>
        <v>-147.99477629228704</v>
      </c>
      <c r="KR62" s="38">
        <f t="shared" si="525"/>
        <v>59.938243126838103</v>
      </c>
      <c r="KS62" s="38">
        <f>+'Irradiancia Horizontal'!N83/COS(RADIANS(KR62))</f>
        <v>798.08308716493718</v>
      </c>
      <c r="KT62" s="38">
        <f>((('Irradiancia Horizontal'!N54+KS62)/'Irradiancia Horizontal'!N54)+1.041*((RADIANS('Cálculos iluminancia'!KR62))^3))/(1+1.041*((RADIANS('Cálculos iluminancia'!KR62))^3))</f>
        <v>4.5031719998279209</v>
      </c>
      <c r="KU62" s="88">
        <f t="shared" si="526"/>
        <v>1.9906042074393122</v>
      </c>
      <c r="KV62" s="88">
        <f t="shared" si="637"/>
        <v>1.9414901843674133</v>
      </c>
      <c r="KW62" s="106">
        <f>'Irradiancia Horizontal'!N54*KV62/$KU$46</f>
        <v>0.14069511183434671</v>
      </c>
      <c r="KX62" s="88">
        <f>((17.27*Temp!M24)/(237.7+Temp!M24))+LN(HR!M35/100)</f>
        <v>0.4532210898287985</v>
      </c>
      <c r="KY62" s="88">
        <f t="shared" si="638"/>
        <v>6.4061407733170146</v>
      </c>
      <c r="KZ62" s="88">
        <f t="shared" si="639"/>
        <v>1.4527086584598998</v>
      </c>
      <c r="LA62" s="88">
        <f t="shared" si="730"/>
        <v>7</v>
      </c>
      <c r="LB62" s="88">
        <f t="shared" si="731"/>
        <v>78.63</v>
      </c>
      <c r="LC62" s="88">
        <f t="shared" si="732"/>
        <v>1.47</v>
      </c>
      <c r="LD62" s="88">
        <f t="shared" si="733"/>
        <v>4.93</v>
      </c>
      <c r="LE62" s="88">
        <f t="shared" si="734"/>
        <v>-11.37</v>
      </c>
      <c r="LF62" s="103">
        <f t="shared" si="532"/>
        <v>105.53347207801644</v>
      </c>
      <c r="LG62" s="165">
        <f>IF(LM62&gt;(LF62*'Irradiancia Horizontal'!N22),LM62,LF62*'Irradiancia Horizontal'!N22)</f>
        <v>53160.177049231934</v>
      </c>
      <c r="LH62" s="88">
        <f t="shared" si="735"/>
        <v>141.88</v>
      </c>
      <c r="LI62" s="88">
        <f t="shared" si="736"/>
        <v>1.9</v>
      </c>
      <c r="LJ62" s="88">
        <f t="shared" si="737"/>
        <v>-53.24</v>
      </c>
      <c r="LK62" s="88">
        <f t="shared" si="738"/>
        <v>-14.03</v>
      </c>
      <c r="LL62" s="103">
        <f t="shared" si="537"/>
        <v>145.48554039279222</v>
      </c>
      <c r="LM62" s="88">
        <f>+LL62*'Irradiancia Horizontal'!N54</f>
        <v>15122.033265830787</v>
      </c>
      <c r="LN62" s="88">
        <f t="shared" si="640"/>
        <v>38038.143783401145</v>
      </c>
      <c r="LO62" s="88">
        <f>+LN62/'Irradiancia Horizontal'!N83</f>
        <v>95.146194610920375</v>
      </c>
      <c r="LP62" s="38">
        <f t="shared" si="538"/>
        <v>0.73393191201723762</v>
      </c>
      <c r="LQ62" s="88">
        <f t="shared" si="641"/>
        <v>0.73393191201723762</v>
      </c>
      <c r="LR62" s="88">
        <f t="shared" si="642"/>
        <v>0.50093316418397271</v>
      </c>
      <c r="LS62" s="88">
        <f t="shared" si="643"/>
        <v>1.4850000000000001</v>
      </c>
      <c r="LT62" s="88">
        <f t="shared" si="644"/>
        <v>-1.214</v>
      </c>
      <c r="LU62" s="88">
        <f t="shared" si="645"/>
        <v>-0.78400000000000003</v>
      </c>
      <c r="LV62" s="88">
        <f t="shared" si="646"/>
        <v>0.41099999999999998</v>
      </c>
      <c r="LW62" s="88">
        <f t="shared" si="647"/>
        <v>-0.629</v>
      </c>
      <c r="LX62" s="88">
        <f t="shared" si="648"/>
        <v>-8.2000000000000003E-2</v>
      </c>
      <c r="LY62" s="88">
        <f t="shared" si="539"/>
        <v>0.49403829694054135</v>
      </c>
      <c r="LZ62" s="88">
        <f t="shared" si="540"/>
        <v>0.23672096004141266</v>
      </c>
      <c r="MA62" s="88">
        <f t="shared" si="541"/>
        <v>18351.069016972699</v>
      </c>
      <c r="MB62" s="88">
        <f t="shared" si="739"/>
        <v>1.06</v>
      </c>
      <c r="MC62" s="88">
        <f t="shared" si="740"/>
        <v>-1.6</v>
      </c>
      <c r="MD62" s="88">
        <f t="shared" si="741"/>
        <v>-0.35899999999999999</v>
      </c>
      <c r="ME62" s="88">
        <f t="shared" si="742"/>
        <v>0.26400000000000001</v>
      </c>
      <c r="MF62" s="88">
        <f t="shared" si="743"/>
        <v>-1.127</v>
      </c>
      <c r="MG62" s="88">
        <f t="shared" si="744"/>
        <v>0.13100000000000001</v>
      </c>
      <c r="MH62" s="88">
        <f t="shared" si="548"/>
        <v>0.45933085220276254</v>
      </c>
      <c r="MI62" s="88">
        <f t="shared" si="549"/>
        <v>0.24247828840825966</v>
      </c>
      <c r="MJ62" s="106">
        <f>IF(KP62&lt;0,0,((0.5*(1-MH62)*(1+COS(RADIANS($KW$46))))+(MH62*(LQ62/LR62))+(MI62*SIN(RADIANS($KW$46))))*'Irradiancia Horizontal'!N54)</f>
        <v>123.25339050331714</v>
      </c>
      <c r="MK62" s="88">
        <f t="shared" si="550"/>
        <v>1.4651294114511728</v>
      </c>
      <c r="ML62" s="88">
        <f>MK62*'Irradiancia Horizontal'!N83</f>
        <v>585.73864611158206</v>
      </c>
      <c r="MM62" s="88">
        <f t="shared" si="649"/>
        <v>708.99203661489923</v>
      </c>
      <c r="MN62" s="88">
        <f t="shared" si="551"/>
        <v>74822.391299634488</v>
      </c>
      <c r="MO62" s="88">
        <f t="shared" si="650"/>
        <v>56471.322282661786</v>
      </c>
      <c r="MP62" s="106">
        <f t="shared" si="651"/>
        <v>75934.56872707924</v>
      </c>
      <c r="MQ62" s="106">
        <f t="shared" si="652"/>
        <v>55730.803214069601</v>
      </c>
      <c r="MR62" s="106">
        <f t="shared" si="653"/>
        <v>74081.872231042304</v>
      </c>
    </row>
    <row r="63" spans="1:356" x14ac:dyDescent="0.25">
      <c r="A63" s="48"/>
      <c r="B63" s="37"/>
      <c r="E63" s="39">
        <v>0.625</v>
      </c>
      <c r="F63" s="38">
        <v>-45</v>
      </c>
      <c r="G63" s="38">
        <f t="shared" si="378"/>
        <v>48.486777985752788</v>
      </c>
      <c r="H63" s="38">
        <f t="shared" si="745"/>
        <v>-91.453199982521028</v>
      </c>
      <c r="I63" s="38">
        <f t="shared" si="380"/>
        <v>41.513222014247212</v>
      </c>
      <c r="J63" s="38">
        <f>+'Irradiancia Horizontal'!I84/COS(RADIANS(I63))</f>
        <v>632.263599818236</v>
      </c>
      <c r="K63" s="38">
        <f>((('Irradiancia Horizontal'!I55+J63)/'Irradiancia Horizontal'!I55)+1.041*((RADIANS('Cálculos iluminancia'!I63))^3))/(1+1.041*((RADIANS('Cálculos iluminancia'!I63))^3))</f>
        <v>3.6493070757307251</v>
      </c>
      <c r="L63" s="87">
        <f t="shared" si="381"/>
        <v>1.3341695881220104</v>
      </c>
      <c r="M63" s="87">
        <f t="shared" si="654"/>
        <v>1.3012517254509861</v>
      </c>
      <c r="N63" s="106">
        <f>'Irradiancia Horizontal'!I55*M63/$L$46</f>
        <v>0.16572195513339921</v>
      </c>
      <c r="O63" s="87">
        <f>((17.27*Temp!H25)/(237.7+Temp!H25))+LN(HR!H36/100)</f>
        <v>1.3732777416272817</v>
      </c>
      <c r="P63" s="87">
        <f t="shared" si="553"/>
        <v>20.534303479629386</v>
      </c>
      <c r="Q63" s="87">
        <f t="shared" si="554"/>
        <v>3.9055602525888391</v>
      </c>
      <c r="R63" s="87">
        <f t="shared" si="655"/>
        <v>6</v>
      </c>
      <c r="S63" s="87">
        <f t="shared" si="656"/>
        <v>88.34</v>
      </c>
      <c r="T63" s="87">
        <f t="shared" si="657"/>
        <v>1.39</v>
      </c>
      <c r="U63" s="87">
        <f t="shared" si="658"/>
        <v>6.06</v>
      </c>
      <c r="V63" s="87">
        <f t="shared" si="659"/>
        <v>-7.6</v>
      </c>
      <c r="W63" s="103">
        <f t="shared" si="387"/>
        <v>111.96704702243532</v>
      </c>
      <c r="X63" s="165">
        <f>IF(AD63&gt;(W63*'Irradiancia Horizontal'!I23),AD63,W63*'Irradiancia Horizontal'!I23)</f>
        <v>72151.692597509144</v>
      </c>
      <c r="Y63" s="87">
        <f t="shared" si="660"/>
        <v>106.42</v>
      </c>
      <c r="Z63" s="87">
        <f t="shared" si="661"/>
        <v>3.83</v>
      </c>
      <c r="AA63" s="87">
        <f t="shared" si="662"/>
        <v>-36.15</v>
      </c>
      <c r="AB63" s="87">
        <f t="shared" si="663"/>
        <v>-28.83</v>
      </c>
      <c r="AC63" s="103">
        <f t="shared" si="392"/>
        <v>146.12938152499561</v>
      </c>
      <c r="AD63" s="87">
        <f>+AC63*'Irradiancia Horizontal'!I55</f>
        <v>24982.336262936376</v>
      </c>
      <c r="AE63" s="87">
        <f t="shared" si="393"/>
        <v>47169.356334572767</v>
      </c>
      <c r="AF63" s="87">
        <f>+AE63/'Irradiancia Horizontal'!I84</f>
        <v>99.630960380484851</v>
      </c>
      <c r="AG63" s="38">
        <f t="shared" si="555"/>
        <v>1.6808695611043145E-2</v>
      </c>
      <c r="AH63" s="87">
        <f t="shared" si="556"/>
        <v>1.6808695611043145E-2</v>
      </c>
      <c r="AI63" s="87">
        <f t="shared" si="557"/>
        <v>0.74880278955520752</v>
      </c>
      <c r="AJ63" s="87">
        <f t="shared" si="558"/>
        <v>1.4259999999999999</v>
      </c>
      <c r="AK63" s="87">
        <f t="shared" si="559"/>
        <v>-0.65300000000000002</v>
      </c>
      <c r="AL63" s="87">
        <f t="shared" si="560"/>
        <v>-0.77900000000000003</v>
      </c>
      <c r="AM63" s="87">
        <f t="shared" si="561"/>
        <v>0.42499999999999999</v>
      </c>
      <c r="AN63" s="87">
        <f t="shared" si="562"/>
        <v>-0.78500000000000003</v>
      </c>
      <c r="AO63" s="87">
        <f t="shared" si="563"/>
        <v>-9.7000000000000003E-2</v>
      </c>
      <c r="AP63" s="87">
        <f t="shared" si="394"/>
        <v>0.7533650280423454</v>
      </c>
      <c r="AQ63" s="87">
        <f t="shared" si="395"/>
        <v>0.22462765171606097</v>
      </c>
      <c r="AR63" s="88">
        <f t="shared" si="396"/>
        <v>9114.9613707238241</v>
      </c>
      <c r="AS63" s="87">
        <f t="shared" si="664"/>
        <v>1.1319999999999999</v>
      </c>
      <c r="AT63" s="87">
        <f t="shared" si="665"/>
        <v>-1.2370000000000001</v>
      </c>
      <c r="AU63" s="87">
        <f t="shared" si="666"/>
        <v>-0.41199999999999998</v>
      </c>
      <c r="AV63" s="87">
        <f t="shared" si="667"/>
        <v>0.28799999999999998</v>
      </c>
      <c r="AW63" s="87">
        <f t="shared" si="668"/>
        <v>-0.82299999999999995</v>
      </c>
      <c r="AX63" s="87">
        <f t="shared" si="669"/>
        <v>5.6000000000000001E-2</v>
      </c>
      <c r="AY63" s="87">
        <f t="shared" si="403"/>
        <v>0.62849046970886246</v>
      </c>
      <c r="AZ63" s="87">
        <f t="shared" si="404"/>
        <v>0.19218520573177278</v>
      </c>
      <c r="BA63" s="106">
        <f>IF(G63&lt;0,0,((0.5*(1-AY63)*(1+COS(RADIANS($N$46))))+(AY63*(AH63/AI63))+(AZ63*SIN(RADIANS($N$46))))*'Irradiancia Horizontal'!I55)</f>
        <v>67.02467346947715</v>
      </c>
      <c r="BB63" s="87">
        <f t="shared" si="405"/>
        <v>2.2447426539406446E-2</v>
      </c>
      <c r="BC63" s="87">
        <f>BB63*'Irradiancia Horizontal'!I84</f>
        <v>10.627526395287122</v>
      </c>
      <c r="BD63" s="87">
        <f t="shared" si="564"/>
        <v>77.65219986476427</v>
      </c>
      <c r="BE63" s="88">
        <f t="shared" si="406"/>
        <v>8694.4875136536066</v>
      </c>
      <c r="BF63" s="87">
        <f t="shared" si="565"/>
        <v>-420.47385707021749</v>
      </c>
      <c r="BG63" s="106">
        <f t="shared" si="566"/>
        <v>62993.0296635134</v>
      </c>
      <c r="BH63" s="106">
        <f t="shared" si="567"/>
        <v>1058.8306612314084</v>
      </c>
      <c r="BI63" s="106">
        <f t="shared" si="568"/>
        <v>10173.792031955232</v>
      </c>
      <c r="BJ63" s="44"/>
      <c r="BL63" s="39">
        <v>0.625</v>
      </c>
      <c r="BM63" s="38">
        <v>-45</v>
      </c>
      <c r="BN63" s="38">
        <f t="shared" si="407"/>
        <v>44.750605705383357</v>
      </c>
      <c r="BO63" s="38">
        <f t="shared" si="746"/>
        <v>-102.89080145989399</v>
      </c>
      <c r="BP63" s="38">
        <f t="shared" si="409"/>
        <v>45.249394294616643</v>
      </c>
      <c r="BQ63" s="38">
        <f>+'Irradiancia Horizontal'!J84/COS(RADIANS(BP63))</f>
        <v>636.91769644906958</v>
      </c>
      <c r="BR63" s="38">
        <f>((('Irradiancia Horizontal'!J55+BQ63)/'Irradiancia Horizontal'!J55)+1.041*((RADIANS('Cálculos iluminancia'!BP63))^3))/(1+1.041*((RADIANS('Cálculos iluminancia'!BP63))^3))</f>
        <v>3.5707842915932915</v>
      </c>
      <c r="BS63" s="87">
        <f t="shared" si="410"/>
        <v>1.4187640629078591</v>
      </c>
      <c r="BT63" s="87">
        <f t="shared" si="569"/>
        <v>1.3837590073278376</v>
      </c>
      <c r="BU63" s="106">
        <f>'Irradiancia Horizontal'!J55*BT63/$BS$46</f>
        <v>0.16730706631307349</v>
      </c>
      <c r="BV63" s="87">
        <f>((17.27*Temp!I25)/(237.7+Temp!I25))+LN(HR!I36/100)</f>
        <v>1.514990349949358</v>
      </c>
      <c r="BW63" s="87">
        <f t="shared" si="570"/>
        <v>22.857060337110287</v>
      </c>
      <c r="BX63" s="87">
        <f t="shared" si="571"/>
        <v>4.5951170259855614</v>
      </c>
      <c r="BY63" s="87">
        <f t="shared" si="670"/>
        <v>6</v>
      </c>
      <c r="BZ63" s="87">
        <f t="shared" si="671"/>
        <v>88.34</v>
      </c>
      <c r="CA63" s="87">
        <f t="shared" si="672"/>
        <v>1.39</v>
      </c>
      <c r="CB63" s="87">
        <f t="shared" si="673"/>
        <v>6.06</v>
      </c>
      <c r="CC63" s="87">
        <f t="shared" si="674"/>
        <v>-7.6</v>
      </c>
      <c r="CD63" s="103">
        <f t="shared" si="416"/>
        <v>112.58181309536289</v>
      </c>
      <c r="CE63" s="165">
        <f>IF(CK63&gt;(CD63*'Irradiancia Horizontal'!J23),CK63,CD63*'Irradiancia Horizontal'!J23)</f>
        <v>68920.147149150842</v>
      </c>
      <c r="CF63" s="87">
        <f t="shared" si="675"/>
        <v>106.42</v>
      </c>
      <c r="CG63" s="87">
        <f t="shared" si="676"/>
        <v>3.83</v>
      </c>
      <c r="CH63" s="87">
        <f t="shared" si="677"/>
        <v>-36.15</v>
      </c>
      <c r="CI63" s="87">
        <f t="shared" si="678"/>
        <v>-28.83</v>
      </c>
      <c r="CJ63" s="103">
        <f t="shared" si="421"/>
        <v>150.11475596302586</v>
      </c>
      <c r="CK63" s="87">
        <f>+CJ63*'Irradiancia Horizontal'!J55</f>
        <v>24584.911894082903</v>
      </c>
      <c r="CL63" s="87">
        <f t="shared" si="572"/>
        <v>44335.235255067935</v>
      </c>
      <c r="CM63" s="87">
        <f>+CL63/'Irradiancia Horizontal'!J84</f>
        <v>98.87336790983619</v>
      </c>
      <c r="CN63" s="38">
        <f t="shared" si="422"/>
        <v>0.15843616612994529</v>
      </c>
      <c r="CO63" s="87">
        <f t="shared" si="573"/>
        <v>0.15843616612994529</v>
      </c>
      <c r="CP63" s="87">
        <f t="shared" si="574"/>
        <v>0.70402223217913495</v>
      </c>
      <c r="CQ63" s="87">
        <f t="shared" si="575"/>
        <v>1.4259999999999999</v>
      </c>
      <c r="CR63" s="87">
        <f t="shared" si="576"/>
        <v>-0.65300000000000002</v>
      </c>
      <c r="CS63" s="87">
        <f t="shared" si="577"/>
        <v>-0.77900000000000003</v>
      </c>
      <c r="CT63" s="87">
        <f t="shared" si="578"/>
        <v>0.42499999999999999</v>
      </c>
      <c r="CU63" s="87">
        <f t="shared" si="579"/>
        <v>-0.78500000000000003</v>
      </c>
      <c r="CV63" s="87">
        <f t="shared" si="580"/>
        <v>-9.7000000000000003E-2</v>
      </c>
      <c r="CW63" s="87">
        <f t="shared" si="423"/>
        <v>0.70153252293266299</v>
      </c>
      <c r="CX63" s="87">
        <f t="shared" si="424"/>
        <v>0.21705811419174015</v>
      </c>
      <c r="CY63" s="88">
        <f t="shared" si="425"/>
        <v>12886.617313901679</v>
      </c>
      <c r="CZ63" s="87">
        <f t="shared" si="679"/>
        <v>1.1319999999999999</v>
      </c>
      <c r="DA63" s="87">
        <f t="shared" si="680"/>
        <v>-1.2370000000000001</v>
      </c>
      <c r="DB63" s="87">
        <f t="shared" si="681"/>
        <v>-0.41199999999999998</v>
      </c>
      <c r="DC63" s="87">
        <f t="shared" si="682"/>
        <v>0.28799999999999998</v>
      </c>
      <c r="DD63" s="87">
        <f t="shared" si="683"/>
        <v>-0.82299999999999995</v>
      </c>
      <c r="DE63" s="87">
        <f t="shared" si="684"/>
        <v>5.6000000000000001E-2</v>
      </c>
      <c r="DF63" s="87">
        <f t="shared" si="432"/>
        <v>0.59966378200135861</v>
      </c>
      <c r="DG63" s="87">
        <f t="shared" si="433"/>
        <v>0.19453233566289554</v>
      </c>
      <c r="DH63" s="106">
        <f>IF(BN63&lt;0,0,((0.5*(1-DF63)*(1+COS(RADIANS($BU$46))))+(DF63*(CO63/CP63))+(DG63*SIN(RADIANS($BU$46))))*'Irradiancia Horizontal'!J55)</f>
        <v>86.743181544949692</v>
      </c>
      <c r="DI63" s="87">
        <f t="shared" si="434"/>
        <v>0.22504426549079773</v>
      </c>
      <c r="DJ63" s="87">
        <f>DI63*'Irradiancia Horizontal'!J84</f>
        <v>100.91079796570685</v>
      </c>
      <c r="DK63" s="87">
        <f t="shared" si="581"/>
        <v>187.65397951065654</v>
      </c>
      <c r="DL63" s="88">
        <f t="shared" si="435"/>
        <v>21126.425247869793</v>
      </c>
      <c r="DM63" s="87">
        <f t="shared" si="582"/>
        <v>8239.8079339681135</v>
      </c>
      <c r="DN63" s="106">
        <f t="shared" si="583"/>
        <v>62974.197729294232</v>
      </c>
      <c r="DO63" s="106">
        <f t="shared" si="584"/>
        <v>9977.3904533384848</v>
      </c>
      <c r="DP63" s="106">
        <f t="shared" si="585"/>
        <v>22864.007767240164</v>
      </c>
      <c r="DQ63" s="44"/>
      <c r="DS63" s="39">
        <v>0.625</v>
      </c>
      <c r="DT63" s="38">
        <v>-45</v>
      </c>
      <c r="DU63" s="38">
        <f t="shared" si="436"/>
        <v>38.043117489966257</v>
      </c>
      <c r="DV63" s="38">
        <f t="shared" si="747"/>
        <v>-116.12260115072581</v>
      </c>
      <c r="DW63" s="38">
        <f t="shared" si="438"/>
        <v>51.956882510033743</v>
      </c>
      <c r="DX63" s="38">
        <f>+'Irradiancia Horizontal'!K84/COS(RADIANS(DW63))</f>
        <v>848.93767654879252</v>
      </c>
      <c r="DY63" s="38">
        <f>((('Irradiancia Horizontal'!K55+DX63)/'Irradiancia Horizontal'!K55)+1.041*((RADIANS('Cálculos iluminancia'!DW63))^3))/(1+1.041*((RADIANS('Cálculos iluminancia'!DW63))^3))</f>
        <v>5.6439667771327082</v>
      </c>
      <c r="DZ63" s="87">
        <f t="shared" si="439"/>
        <v>1.6200006565420473</v>
      </c>
      <c r="EA63" s="87">
        <f t="shared" si="586"/>
        <v>1.5800305061100592</v>
      </c>
      <c r="EB63" s="106">
        <f>'Irradiancia Horizontal'!K55*EA63/$DZ$46</f>
        <v>0.11819349096799522</v>
      </c>
      <c r="EC63" s="87">
        <f>((17.27*Temp!J25)/(237.7+Temp!J25))+LN(HR!J36/100)</f>
        <v>1.3816193057994237</v>
      </c>
      <c r="ED63" s="87">
        <f t="shared" si="587"/>
        <v>20.6698791594537</v>
      </c>
      <c r="EE63" s="87">
        <f t="shared" si="588"/>
        <v>3.9428016179386116</v>
      </c>
      <c r="EF63" s="87">
        <f t="shared" si="685"/>
        <v>7</v>
      </c>
      <c r="EG63" s="87">
        <f t="shared" si="686"/>
        <v>78.63</v>
      </c>
      <c r="EH63" s="87">
        <f t="shared" si="687"/>
        <v>1.47</v>
      </c>
      <c r="EI63" s="87">
        <f t="shared" si="688"/>
        <v>4.93</v>
      </c>
      <c r="EJ63" s="87">
        <f t="shared" si="689"/>
        <v>-11.37</v>
      </c>
      <c r="EK63" s="103">
        <f t="shared" si="445"/>
        <v>111.74391674615768</v>
      </c>
      <c r="EL63" s="165">
        <f>IF(ER63&gt;(EK63*'Irradiancia Horizontal'!K23),ER63,EK63*'Irradiancia Horizontal'!K23)</f>
        <v>69960.223732424667</v>
      </c>
      <c r="EM63" s="87">
        <f t="shared" si="690"/>
        <v>141.88</v>
      </c>
      <c r="EN63" s="87">
        <f t="shared" si="691"/>
        <v>1.9</v>
      </c>
      <c r="EO63" s="87">
        <f t="shared" si="692"/>
        <v>-53.24</v>
      </c>
      <c r="EP63" s="87">
        <f t="shared" si="693"/>
        <v>-14.03</v>
      </c>
      <c r="EQ63" s="103">
        <f t="shared" si="450"/>
        <v>146.52205786549374</v>
      </c>
      <c r="ER63" s="87">
        <f>+EQ63*'Irradiancia Horizontal'!K55</f>
        <v>15079.295283115109</v>
      </c>
      <c r="ES63" s="87">
        <f t="shared" si="589"/>
        <v>54880.928449309562</v>
      </c>
      <c r="ET63" s="87">
        <f>+ES63/'Irradiancia Horizontal'!K84</f>
        <v>104.90245942891387</v>
      </c>
      <c r="EU63" s="38">
        <f t="shared" si="451"/>
        <v>0.34675182363931767</v>
      </c>
      <c r="EV63" s="87">
        <f t="shared" si="590"/>
        <v>0.34675182363931767</v>
      </c>
      <c r="EW63" s="87">
        <f t="shared" si="591"/>
        <v>0.61625431225772664</v>
      </c>
      <c r="EX63" s="87">
        <f t="shared" si="592"/>
        <v>1.4850000000000001</v>
      </c>
      <c r="EY63" s="87">
        <f t="shared" si="593"/>
        <v>-1.214</v>
      </c>
      <c r="EZ63" s="87">
        <f t="shared" si="594"/>
        <v>-0.78400000000000003</v>
      </c>
      <c r="FA63" s="87">
        <f t="shared" si="595"/>
        <v>0.41099999999999998</v>
      </c>
      <c r="FB63" s="87">
        <f t="shared" si="596"/>
        <v>-0.629</v>
      </c>
      <c r="FC63" s="87">
        <f t="shared" si="597"/>
        <v>-8.2000000000000003E-2</v>
      </c>
      <c r="FD63" s="87">
        <f t="shared" si="452"/>
        <v>0.63056726556924925</v>
      </c>
      <c r="FE63" s="87">
        <f t="shared" si="453"/>
        <v>0.26229716333363151</v>
      </c>
      <c r="FF63" s="88">
        <f t="shared" si="454"/>
        <v>12090.864209377336</v>
      </c>
      <c r="FG63" s="87">
        <f t="shared" si="694"/>
        <v>1.06</v>
      </c>
      <c r="FH63" s="87">
        <f t="shared" si="695"/>
        <v>-1.6</v>
      </c>
      <c r="FI63" s="87">
        <f t="shared" si="696"/>
        <v>-0.35899999999999999</v>
      </c>
      <c r="FJ63" s="87">
        <f t="shared" si="697"/>
        <v>0.26400000000000001</v>
      </c>
      <c r="FK63" s="87">
        <f t="shared" si="698"/>
        <v>-1.127</v>
      </c>
      <c r="FL63" s="87">
        <f t="shared" si="699"/>
        <v>0.13100000000000001</v>
      </c>
      <c r="FM63" s="87">
        <f t="shared" si="461"/>
        <v>0.5453425123261797</v>
      </c>
      <c r="FN63" s="87">
        <f t="shared" si="462"/>
        <v>0.24958918130129415</v>
      </c>
      <c r="FO63" s="106">
        <f>IF(DU63&lt;0,0,((0.5*(1-FM63)*(1+COS(RADIANS($EB$46))))+(FM63*(EV63/EW63))+(FN63*SIN(RADIANS($EB$46))))*'Irradiancia Horizontal'!K55)</f>
        <v>80.661502833998085</v>
      </c>
      <c r="FP63" s="87">
        <f t="shared" si="463"/>
        <v>0.56267650666645708</v>
      </c>
      <c r="FQ63" s="87">
        <f>FP63*'Irradiancia Horizontal'!K84</f>
        <v>294.37068749941903</v>
      </c>
      <c r="FR63" s="87">
        <f t="shared" si="598"/>
        <v>375.03219033341713</v>
      </c>
      <c r="FS63" s="88">
        <f t="shared" si="464"/>
        <v>41907.565853746528</v>
      </c>
      <c r="FT63" s="87">
        <f t="shared" si="599"/>
        <v>29816.70164436919</v>
      </c>
      <c r="FU63" s="106">
        <f t="shared" si="600"/>
        <v>89055.650171836111</v>
      </c>
      <c r="FV63" s="106">
        <f t="shared" si="601"/>
        <v>30880.209102469285</v>
      </c>
      <c r="FW63" s="106">
        <f t="shared" si="602"/>
        <v>42971.073311846623</v>
      </c>
      <c r="FX63" s="83"/>
      <c r="FZ63" s="39">
        <v>0.625</v>
      </c>
      <c r="GA63" s="38">
        <v>-45</v>
      </c>
      <c r="GB63" s="38">
        <f t="shared" si="465"/>
        <v>30.397866606469542</v>
      </c>
      <c r="GC63" s="38">
        <f t="shared" si="748"/>
        <v>-126.61969747300897</v>
      </c>
      <c r="GD63" s="38">
        <f t="shared" si="467"/>
        <v>59.602133393530458</v>
      </c>
      <c r="GE63" s="38">
        <f>+'Irradiancia Horizontal'!L84/COS(RADIANS(GD63))</f>
        <v>958.03611959229431</v>
      </c>
      <c r="GF63" s="38">
        <f>((('Irradiancia Horizontal'!L55+GE63)/'Irradiancia Horizontal'!L55)+1.041*((RADIANS('Cálculos iluminancia'!GD63))^3))/(1+1.041*((RADIANS('Cálculos iluminancia'!GD63))^3))</f>
        <v>7.6833340664803185</v>
      </c>
      <c r="GG63" s="88">
        <f t="shared" si="468"/>
        <v>1.9708042366694691</v>
      </c>
      <c r="GH63" s="88">
        <f t="shared" si="603"/>
        <v>1.9221787367392267</v>
      </c>
      <c r="GI63" s="106">
        <f>'Irradiancia Horizontal'!L55*GH63/$GG$46</f>
        <v>9.0616389953407608E-2</v>
      </c>
      <c r="GJ63" s="88">
        <f>((17.27*Temp!K25)/(237.7+Temp!K25))+LN(HR!K36/100)</f>
        <v>1.0378267881049363</v>
      </c>
      <c r="GK63" s="88">
        <f t="shared" si="604"/>
        <v>15.197683286903688</v>
      </c>
      <c r="GL63" s="88">
        <f t="shared" si="605"/>
        <v>2.6881086173457494</v>
      </c>
      <c r="GM63" s="88">
        <f t="shared" si="700"/>
        <v>8</v>
      </c>
      <c r="GN63" s="88">
        <f t="shared" si="701"/>
        <v>99.65</v>
      </c>
      <c r="GO63" s="88">
        <f t="shared" si="702"/>
        <v>1.86</v>
      </c>
      <c r="GP63" s="88">
        <f t="shared" si="703"/>
        <v>-4.46</v>
      </c>
      <c r="GQ63" s="88">
        <f t="shared" si="704"/>
        <v>-3.15</v>
      </c>
      <c r="GR63" s="103">
        <f t="shared" si="474"/>
        <v>109.95664323671259</v>
      </c>
      <c r="GS63" s="165">
        <f>IF(GY63&gt;(GR63*'Irradiancia Horizontal'!L23),GY63,GR63*'Irradiancia Horizontal'!L23)</f>
        <v>60560.868490767185</v>
      </c>
      <c r="GT63" s="88">
        <f t="shared" si="705"/>
        <v>152.22999999999999</v>
      </c>
      <c r="GU63" s="88">
        <f t="shared" si="706"/>
        <v>0.35</v>
      </c>
      <c r="GV63" s="88">
        <f t="shared" si="707"/>
        <v>-45.27</v>
      </c>
      <c r="GW63" s="88">
        <f t="shared" si="708"/>
        <v>-7.98</v>
      </c>
      <c r="GX63" s="103">
        <f t="shared" si="479"/>
        <v>149.42508241596283</v>
      </c>
      <c r="GY63" s="88">
        <f>+GX63*'Irradiancia Horizontal'!L55</f>
        <v>9862.4412192268155</v>
      </c>
      <c r="GZ63" s="88">
        <f t="shared" si="606"/>
        <v>50698.427271540371</v>
      </c>
      <c r="HA63" s="88">
        <f>+GZ63/'Irradiancia Horizontal'!L84</f>
        <v>104.58289814703761</v>
      </c>
      <c r="HB63" s="38">
        <f t="shared" si="480"/>
        <v>0.51450136448911976</v>
      </c>
      <c r="HC63" s="88">
        <f t="shared" si="607"/>
        <v>0.51450136448911976</v>
      </c>
      <c r="HD63" s="88">
        <f t="shared" si="608"/>
        <v>0.50600164829700067</v>
      </c>
      <c r="HE63" s="88">
        <f t="shared" si="609"/>
        <v>1.17</v>
      </c>
      <c r="HF63" s="88">
        <f t="shared" si="610"/>
        <v>-0.3</v>
      </c>
      <c r="HG63" s="88">
        <f t="shared" si="611"/>
        <v>-0.61499999999999999</v>
      </c>
      <c r="HH63" s="88">
        <f t="shared" si="612"/>
        <v>0.51800000000000002</v>
      </c>
      <c r="HI63" s="88">
        <f t="shared" si="613"/>
        <v>-1.8919999999999999</v>
      </c>
      <c r="HJ63" s="88">
        <f t="shared" si="614"/>
        <v>-5.5E-2</v>
      </c>
      <c r="HK63" s="88">
        <f t="shared" si="481"/>
        <v>0.50305919962204748</v>
      </c>
      <c r="HL63" s="88">
        <f t="shared" si="482"/>
        <v>0.28933984941700458</v>
      </c>
      <c r="HM63" s="88">
        <f t="shared" si="483"/>
        <v>10348.854243555723</v>
      </c>
      <c r="HN63" s="88">
        <f t="shared" si="709"/>
        <v>0.67800000000000005</v>
      </c>
      <c r="HO63" s="88">
        <f t="shared" si="710"/>
        <v>-0.32700000000000001</v>
      </c>
      <c r="HP63" s="88">
        <f t="shared" si="711"/>
        <v>-0.25</v>
      </c>
      <c r="HQ63" s="88">
        <f t="shared" si="712"/>
        <v>0.156</v>
      </c>
      <c r="HR63" s="88">
        <f t="shared" si="713"/>
        <v>-1.377</v>
      </c>
      <c r="HS63" s="88">
        <f t="shared" si="714"/>
        <v>0.251</v>
      </c>
      <c r="HT63" s="88">
        <f t="shared" si="490"/>
        <v>0.38830507325274388</v>
      </c>
      <c r="HU63" s="88">
        <f t="shared" si="491"/>
        <v>0.29232485173557954</v>
      </c>
      <c r="HV63" s="106">
        <f>IF(GB63&lt;0,0,((0.5*(1-HT63)*(1+COS(RADIANS($GI$46))))+(HT63*(HC63/HD63))+(HU63*SIN(RADIANS($GI$46))))*'Irradiancia Horizontal'!L55)</f>
        <v>65.540567689855834</v>
      </c>
      <c r="HW63" s="88">
        <f t="shared" si="492"/>
        <v>1.016797803368281</v>
      </c>
      <c r="HX63" s="88">
        <f>HW63*'Irradiancia Horizontal'!L84</f>
        <v>492.91089076009695</v>
      </c>
      <c r="HY63" s="88">
        <f t="shared" si="615"/>
        <v>558.45145844995272</v>
      </c>
      <c r="HZ63" s="88">
        <f t="shared" si="493"/>
        <v>61405.447781803276</v>
      </c>
      <c r="IA63" s="88">
        <f t="shared" si="616"/>
        <v>51056.593538247551</v>
      </c>
      <c r="IB63" s="106">
        <f t="shared" si="617"/>
        <v>100194.19391650405</v>
      </c>
      <c r="IC63" s="106">
        <f t="shared" si="618"/>
        <v>51550.0494839288</v>
      </c>
      <c r="ID63" s="106">
        <f t="shared" si="619"/>
        <v>61898.903727484525</v>
      </c>
      <c r="IE63" s="83"/>
      <c r="IG63" s="39">
        <v>0.625</v>
      </c>
      <c r="IH63" s="38">
        <v>-45</v>
      </c>
      <c r="II63" s="38">
        <f t="shared" si="494"/>
        <v>24.161470214332304</v>
      </c>
      <c r="IJ63" s="38">
        <f t="shared" si="749"/>
        <v>-133.43141457095311</v>
      </c>
      <c r="IK63" s="38">
        <f t="shared" si="496"/>
        <v>65.838529785667703</v>
      </c>
      <c r="IL63" s="38">
        <f>+'Irradiancia Horizontal'!M84/COS(RADIANS(IK63))</f>
        <v>888.17164601867285</v>
      </c>
      <c r="IM63" s="38">
        <f>((('Irradiancia Horizontal'!M55+IL63)/'Irradiancia Horizontal'!M55)+1.041*((RADIANS('Cálculos iluminancia'!IK63))^3))/(1+1.041*((RADIANS('Cálculos iluminancia'!IK63))^3))</f>
        <v>6.3881519891518499</v>
      </c>
      <c r="IN63" s="88">
        <f t="shared" si="497"/>
        <v>2.4317903985642415</v>
      </c>
      <c r="IO63" s="88">
        <f t="shared" si="620"/>
        <v>2.3717910228496959</v>
      </c>
      <c r="IP63" s="106">
        <f>'Irradiancia Horizontal'!M55*IO63/$IN$46</f>
        <v>0.10657159353721296</v>
      </c>
      <c r="IQ63" s="88">
        <f>((17.27*Temp!L25)/(237.7+Temp!L25))+LN(HR!L36/100)</f>
        <v>0.73202727186788707</v>
      </c>
      <c r="IR63" s="88">
        <f t="shared" si="621"/>
        <v>10.5214154953229</v>
      </c>
      <c r="IS63" s="88">
        <f t="shared" si="622"/>
        <v>1.9376949270076744</v>
      </c>
      <c r="IT63" s="88">
        <f t="shared" si="715"/>
        <v>8</v>
      </c>
      <c r="IU63" s="88">
        <f t="shared" si="716"/>
        <v>99.65</v>
      </c>
      <c r="IV63" s="88">
        <f t="shared" si="717"/>
        <v>1.86</v>
      </c>
      <c r="IW63" s="88">
        <f t="shared" si="718"/>
        <v>-4.46</v>
      </c>
      <c r="IX63" s="88">
        <f t="shared" si="719"/>
        <v>-3.15</v>
      </c>
      <c r="IY63" s="103">
        <f t="shared" si="503"/>
        <v>108.48124748017952</v>
      </c>
      <c r="IZ63" s="165">
        <f>IF(JF63&gt;(IY63*'Irradiancia Horizontal'!M23),JF63,IY63*'Irradiancia Horizontal'!M23)</f>
        <v>46369.210478787943</v>
      </c>
      <c r="JA63" s="88">
        <f t="shared" si="720"/>
        <v>152.22999999999999</v>
      </c>
      <c r="JB63" s="88">
        <f t="shared" si="721"/>
        <v>0.35</v>
      </c>
      <c r="JC63" s="88">
        <f t="shared" si="722"/>
        <v>-45.27</v>
      </c>
      <c r="JD63" s="88">
        <f t="shared" si="723"/>
        <v>-7.98</v>
      </c>
      <c r="JE63" s="103">
        <f t="shared" si="508"/>
        <v>152.24547663126401</v>
      </c>
      <c r="JF63" s="88">
        <f>+JE63*'Irradiancia Horizontal'!M55</f>
        <v>9728.9000980931542</v>
      </c>
      <c r="JG63" s="88">
        <f t="shared" si="623"/>
        <v>36640.310380694791</v>
      </c>
      <c r="JH63" s="88">
        <f>+JG63/'Irradiancia Horizontal'!M84</f>
        <v>100.78835204542281</v>
      </c>
      <c r="JI63" s="38">
        <f t="shared" si="509"/>
        <v>0.62725898066290853</v>
      </c>
      <c r="JJ63" s="88">
        <f t="shared" si="624"/>
        <v>0.62725898066290853</v>
      </c>
      <c r="JK63" s="88">
        <f t="shared" si="625"/>
        <v>0.40930956630835552</v>
      </c>
      <c r="JL63" s="88">
        <f t="shared" si="626"/>
        <v>1.17</v>
      </c>
      <c r="JM63" s="88">
        <f t="shared" si="627"/>
        <v>-0.3</v>
      </c>
      <c r="JN63" s="88">
        <f t="shared" si="628"/>
        <v>-0.61499999999999999</v>
      </c>
      <c r="JO63" s="88">
        <f t="shared" si="629"/>
        <v>0.51800000000000002</v>
      </c>
      <c r="JP63" s="88">
        <f t="shared" si="630"/>
        <v>-1.8919999999999999</v>
      </c>
      <c r="JQ63" s="88">
        <f t="shared" si="631"/>
        <v>-5.5E-2</v>
      </c>
      <c r="JR63" s="88">
        <f t="shared" si="510"/>
        <v>0.43133256348799731</v>
      </c>
      <c r="JS63" s="88">
        <f t="shared" si="511"/>
        <v>0.25316609345881891</v>
      </c>
      <c r="JT63" s="88">
        <f t="shared" si="512"/>
        <v>11660.17052265293</v>
      </c>
      <c r="JU63" s="88">
        <f t="shared" si="724"/>
        <v>0.67800000000000005</v>
      </c>
      <c r="JV63" s="88">
        <f t="shared" si="725"/>
        <v>-0.32700000000000001</v>
      </c>
      <c r="JW63" s="88">
        <f t="shared" si="726"/>
        <v>-0.25</v>
      </c>
      <c r="JX63" s="88">
        <f t="shared" si="727"/>
        <v>0.156</v>
      </c>
      <c r="JY63" s="88">
        <f t="shared" si="728"/>
        <v>-1.377</v>
      </c>
      <c r="JZ63" s="88">
        <f t="shared" si="729"/>
        <v>0.251</v>
      </c>
      <c r="KA63" s="88">
        <f t="shared" si="519"/>
        <v>0.3558763090552669</v>
      </c>
      <c r="KB63" s="88">
        <f t="shared" si="520"/>
        <v>0.29767479467675451</v>
      </c>
      <c r="KC63" s="106">
        <f>IF(II63&lt;0,0,((0.5*(1-KA63)*(1+COS(RADIANS($IP$46))))+(KA63*(JJ63/JK63))+(KB63*SIN(RADIANS($IP$46))))*'Irradiancia Horizontal'!M55)</f>
        <v>74.453710450619141</v>
      </c>
      <c r="KD63" s="88">
        <f t="shared" si="521"/>
        <v>1.5324806266325075</v>
      </c>
      <c r="KE63" s="88">
        <f>KD63*'Irradiancia Horizontal'!M84</f>
        <v>557.1136413353704</v>
      </c>
      <c r="KF63" s="88">
        <f t="shared" si="632"/>
        <v>631.56735178598956</v>
      </c>
      <c r="KG63" s="88">
        <f t="shared" si="522"/>
        <v>68513.214189497536</v>
      </c>
      <c r="KH63" s="88">
        <f t="shared" si="633"/>
        <v>56853.043666844605</v>
      </c>
      <c r="KI63" s="106">
        <f t="shared" si="634"/>
        <v>89517.356535692641</v>
      </c>
      <c r="KJ63" s="106">
        <f t="shared" si="635"/>
        <v>56150.565812216715</v>
      </c>
      <c r="KK63" s="106">
        <f t="shared" si="636"/>
        <v>67810.736334869638</v>
      </c>
      <c r="KL63" s="40"/>
      <c r="KN63" s="39">
        <v>0.625</v>
      </c>
      <c r="KO63" s="38">
        <v>-45</v>
      </c>
      <c r="KP63" s="38">
        <f t="shared" si="523"/>
        <v>21.932757611792816</v>
      </c>
      <c r="KQ63" s="38">
        <f t="shared" si="750"/>
        <v>-135.62743572218571</v>
      </c>
      <c r="KR63" s="38">
        <f t="shared" si="525"/>
        <v>68.067242388207177</v>
      </c>
      <c r="KS63" s="38">
        <f>+'Irradiancia Horizontal'!N84/COS(RADIANS(KR63))</f>
        <v>714.01204246644431</v>
      </c>
      <c r="KT63" s="38">
        <f>((('Irradiancia Horizontal'!N55+KS63)/'Irradiancia Horizontal'!N55)+1.041*((RADIANS('Cálculos iluminancia'!KR63))^3))/(1+1.041*((RADIANS('Cálculos iluminancia'!KR63))^3))</f>
        <v>4.3556456598886424</v>
      </c>
      <c r="KU63" s="88">
        <f t="shared" si="526"/>
        <v>2.6618172365242754</v>
      </c>
      <c r="KV63" s="88">
        <f t="shared" si="637"/>
        <v>2.5961424264946089</v>
      </c>
      <c r="KW63" s="106">
        <f>'Irradiancia Horizontal'!N55*KV63/$KU$46</f>
        <v>0.14028275867120113</v>
      </c>
      <c r="KX63" s="88">
        <f>((17.27*Temp!M25)/(237.7+Temp!M25))+LN(HR!M36/100)</f>
        <v>0.4451481257093175</v>
      </c>
      <c r="KY63" s="88">
        <f t="shared" si="638"/>
        <v>6.2890128407484527</v>
      </c>
      <c r="KZ63" s="88">
        <f t="shared" si="639"/>
        <v>1.4408466595834923</v>
      </c>
      <c r="LA63" s="88">
        <f t="shared" si="730"/>
        <v>6</v>
      </c>
      <c r="LB63" s="88">
        <f t="shared" si="731"/>
        <v>88.34</v>
      </c>
      <c r="LC63" s="88">
        <f t="shared" si="732"/>
        <v>1.39</v>
      </c>
      <c r="LD63" s="88">
        <f t="shared" si="733"/>
        <v>6.06</v>
      </c>
      <c r="LE63" s="88">
        <f t="shared" si="734"/>
        <v>-7.6</v>
      </c>
      <c r="LF63" s="103">
        <f t="shared" si="532"/>
        <v>107.53342053079346</v>
      </c>
      <c r="LG63" s="165">
        <f>IF(LM63&gt;(LF63*'Irradiancia Horizontal'!N23),LM63,LF63*'Irradiancia Horizontal'!N23)</f>
        <v>37013.021434914859</v>
      </c>
      <c r="LH63" s="88">
        <f t="shared" si="735"/>
        <v>106.42</v>
      </c>
      <c r="LI63" s="88">
        <f t="shared" si="736"/>
        <v>3.83</v>
      </c>
      <c r="LJ63" s="88">
        <f t="shared" si="737"/>
        <v>-36.15</v>
      </c>
      <c r="LK63" s="88">
        <f t="shared" si="738"/>
        <v>-28.83</v>
      </c>
      <c r="LL63" s="103">
        <f t="shared" si="537"/>
        <v>155.06062435823247</v>
      </c>
      <c r="LM63" s="88">
        <f>+LL63*'Irradiancia Horizontal'!N55</f>
        <v>12017.769203342586</v>
      </c>
      <c r="LN63" s="88">
        <f t="shared" si="640"/>
        <v>24995.252231572274</v>
      </c>
      <c r="LO63" s="88">
        <f>+LN63/'Irradiancia Horizontal'!N84</f>
        <v>93.721715331376913</v>
      </c>
      <c r="LP63" s="38">
        <f t="shared" si="538"/>
        <v>0.66307189155250401</v>
      </c>
      <c r="LQ63" s="88">
        <f t="shared" si="641"/>
        <v>0.66307189155250401</v>
      </c>
      <c r="LR63" s="88">
        <f t="shared" si="642"/>
        <v>0.37351819172066375</v>
      </c>
      <c r="LS63" s="88">
        <f t="shared" si="643"/>
        <v>1.4259999999999999</v>
      </c>
      <c r="LT63" s="88">
        <f t="shared" si="644"/>
        <v>-0.65300000000000002</v>
      </c>
      <c r="LU63" s="88">
        <f t="shared" si="645"/>
        <v>-0.77900000000000003</v>
      </c>
      <c r="LV63" s="88">
        <f t="shared" si="646"/>
        <v>0.42499999999999999</v>
      </c>
      <c r="LW63" s="88">
        <f t="shared" si="647"/>
        <v>-0.78500000000000003</v>
      </c>
      <c r="LX63" s="88">
        <f t="shared" si="648"/>
        <v>-9.7000000000000003E-2</v>
      </c>
      <c r="LY63" s="88">
        <f t="shared" si="539"/>
        <v>0.40894531198686712</v>
      </c>
      <c r="LZ63" s="88">
        <f t="shared" si="540"/>
        <v>0.19964227767766252</v>
      </c>
      <c r="MA63" s="88">
        <f t="shared" si="541"/>
        <v>14675.282116662078</v>
      </c>
      <c r="MB63" s="88">
        <f t="shared" si="739"/>
        <v>1.1319999999999999</v>
      </c>
      <c r="MC63" s="88">
        <f t="shared" si="740"/>
        <v>-1.2370000000000001</v>
      </c>
      <c r="MD63" s="88">
        <f t="shared" si="741"/>
        <v>-0.41199999999999998</v>
      </c>
      <c r="ME63" s="88">
        <f t="shared" si="742"/>
        <v>0.28799999999999998</v>
      </c>
      <c r="MF63" s="88">
        <f t="shared" si="743"/>
        <v>-0.82299999999999995</v>
      </c>
      <c r="MG63" s="88">
        <f t="shared" si="744"/>
        <v>5.6000000000000001E-2</v>
      </c>
      <c r="MH63" s="88">
        <f t="shared" si="548"/>
        <v>0.46901526064369142</v>
      </c>
      <c r="MI63" s="88">
        <f t="shared" si="549"/>
        <v>0.23907514918952821</v>
      </c>
      <c r="MJ63" s="106">
        <f>IF(KP63&lt;0,0,((0.5*(1-MH63)*(1+COS(RADIANS($KW$46))))+(MH63*(LQ63/LR63))+(MI63*SIN(RADIANS($KW$46))))*'Irradiancia Horizontal'!N55)</f>
        <v>103.6353199952527</v>
      </c>
      <c r="MK63" s="88">
        <f t="shared" si="550"/>
        <v>1.7752064189911894</v>
      </c>
      <c r="ML63" s="88">
        <f>MK63*'Irradiancia Horizontal'!N84</f>
        <v>473.44131558949204</v>
      </c>
      <c r="MM63" s="88">
        <f t="shared" si="649"/>
        <v>577.07663558474474</v>
      </c>
      <c r="MN63" s="88">
        <f t="shared" si="551"/>
        <v>62055.024532829804</v>
      </c>
      <c r="MO63" s="88">
        <f t="shared" si="650"/>
        <v>47379.742416167726</v>
      </c>
      <c r="MP63" s="106">
        <f t="shared" si="651"/>
        <v>66918.433387215089</v>
      </c>
      <c r="MQ63" s="106">
        <f t="shared" si="652"/>
        <v>44371.732205790948</v>
      </c>
      <c r="MR63" s="106">
        <f t="shared" si="653"/>
        <v>59047.014322453026</v>
      </c>
    </row>
    <row r="64" spans="1:356" x14ac:dyDescent="0.25">
      <c r="A64" s="48"/>
      <c r="B64" s="37"/>
      <c r="E64" s="39">
        <v>0.66666666666666596</v>
      </c>
      <c r="F64" s="38">
        <v>-60</v>
      </c>
      <c r="G64" s="38">
        <f t="shared" si="378"/>
        <v>35.394376206101434</v>
      </c>
      <c r="H64" s="38">
        <f t="shared" si="745"/>
        <v>-84.543717342161969</v>
      </c>
      <c r="I64" s="38">
        <f t="shared" si="380"/>
        <v>54.605623793898566</v>
      </c>
      <c r="J64" s="38">
        <f>+'Irradiancia Horizontal'!I85/COS(RADIANS(I64))</f>
        <v>570.43650601066179</v>
      </c>
      <c r="K64" s="38">
        <f>((('Irradiancia Horizontal'!I56+J64)/'Irradiancia Horizontal'!I56)+1.041*((RADIANS('Cálculos iluminancia'!I64))^3))/(1+1.041*((RADIANS('Cálculos iluminancia'!I64))^3))</f>
        <v>3.2689998434075531</v>
      </c>
      <c r="L64" s="87">
        <f t="shared" si="381"/>
        <v>1.723126934181425</v>
      </c>
      <c r="M64" s="87">
        <f t="shared" si="654"/>
        <v>1.6806123571073297</v>
      </c>
      <c r="N64" s="106">
        <f>'Irradiancia Horizontal'!I56*M64/$L$46</f>
        <v>0.16555726872944795</v>
      </c>
      <c r="O64" s="87">
        <f>((17.27*Temp!H26)/(237.7+Temp!H26))+LN(HR!H37/100)</f>
        <v>1.381071020548603</v>
      </c>
      <c r="P64" s="87">
        <f t="shared" si="553"/>
        <v>20.66096349281672</v>
      </c>
      <c r="Q64" s="87">
        <f t="shared" si="554"/>
        <v>3.9403416962940132</v>
      </c>
      <c r="R64" s="87">
        <f t="shared" si="655"/>
        <v>6</v>
      </c>
      <c r="S64" s="87">
        <f t="shared" si="656"/>
        <v>88.34</v>
      </c>
      <c r="T64" s="87">
        <f t="shared" si="657"/>
        <v>1.39</v>
      </c>
      <c r="U64" s="87">
        <f t="shared" si="658"/>
        <v>6.06</v>
      </c>
      <c r="V64" s="87">
        <f t="shared" si="659"/>
        <v>-7.6</v>
      </c>
      <c r="W64" s="103">
        <f t="shared" si="387"/>
        <v>110.9951636293705</v>
      </c>
      <c r="X64" s="165">
        <f>IF(AD64&gt;(W64*'Irradiancia Horizontal'!I24),AD64,W64*'Irradiancia Horizontal'!I24)</f>
        <v>51350.342197175436</v>
      </c>
      <c r="Y64" s="87">
        <f t="shared" si="660"/>
        <v>106.42</v>
      </c>
      <c r="Z64" s="87">
        <f t="shared" si="661"/>
        <v>3.83</v>
      </c>
      <c r="AA64" s="87">
        <f t="shared" si="662"/>
        <v>-36.15</v>
      </c>
      <c r="AB64" s="87">
        <f t="shared" si="663"/>
        <v>-28.83</v>
      </c>
      <c r="AC64" s="103">
        <f t="shared" si="392"/>
        <v>152.42235739444129</v>
      </c>
      <c r="AD64" s="87">
        <f>+AC64*'Irradiancia Horizontal'!I56</f>
        <v>20156.083477724042</v>
      </c>
      <c r="AE64" s="87">
        <f t="shared" si="393"/>
        <v>31194.258719451394</v>
      </c>
      <c r="AF64" s="87">
        <f>+AE64/'Irradiancia Horizontal'!I85</f>
        <v>94.414334095754668</v>
      </c>
      <c r="AG64" s="38">
        <f t="shared" si="555"/>
        <v>-7.7512831807746069E-2</v>
      </c>
      <c r="AH64" s="87">
        <f t="shared" si="556"/>
        <v>0</v>
      </c>
      <c r="AI64" s="87">
        <f t="shared" si="557"/>
        <v>0.57920116172695291</v>
      </c>
      <c r="AJ64" s="87">
        <f t="shared" si="558"/>
        <v>1.4259999999999999</v>
      </c>
      <c r="AK64" s="87">
        <f t="shared" si="559"/>
        <v>-0.65300000000000002</v>
      </c>
      <c r="AL64" s="87">
        <f t="shared" si="560"/>
        <v>-0.77900000000000003</v>
      </c>
      <c r="AM64" s="87">
        <f t="shared" si="561"/>
        <v>0.42499999999999999</v>
      </c>
      <c r="AN64" s="87">
        <f t="shared" si="562"/>
        <v>-0.78500000000000003</v>
      </c>
      <c r="AO64" s="87">
        <f t="shared" si="563"/>
        <v>-9.7000000000000003E-2</v>
      </c>
      <c r="AP64" s="87">
        <f t="shared" si="394"/>
        <v>0.57546676970404698</v>
      </c>
      <c r="AQ64" s="87">
        <f t="shared" si="395"/>
        <v>0.20259189529242128</v>
      </c>
      <c r="AR64" s="88">
        <f t="shared" si="396"/>
        <v>8361.9227678809093</v>
      </c>
      <c r="AS64" s="87">
        <f t="shared" si="664"/>
        <v>1.1319999999999999</v>
      </c>
      <c r="AT64" s="87">
        <f t="shared" si="665"/>
        <v>-1.2370000000000001</v>
      </c>
      <c r="AU64" s="87">
        <f t="shared" si="666"/>
        <v>-0.41199999999999998</v>
      </c>
      <c r="AV64" s="87">
        <f t="shared" si="667"/>
        <v>0.28799999999999998</v>
      </c>
      <c r="AW64" s="87">
        <f t="shared" si="668"/>
        <v>-0.82299999999999995</v>
      </c>
      <c r="AX64" s="87">
        <f t="shared" si="669"/>
        <v>5.6000000000000001E-2</v>
      </c>
      <c r="AY64" s="87">
        <f t="shared" si="403"/>
        <v>0.53454991335441115</v>
      </c>
      <c r="AZ64" s="87">
        <f t="shared" si="404"/>
        <v>0.20511705165296201</v>
      </c>
      <c r="BA64" s="106">
        <f>IF(G64&lt;0,0,((0.5*(1-AY64)*(1+COS(RADIANS($N$46))))+(AY64*(AH64/AI64))+(AZ64*SIN(RADIANS($N$46))))*'Irradiancia Horizontal'!I56)</f>
        <v>57.899523188418897</v>
      </c>
      <c r="BB64" s="87">
        <f t="shared" si="405"/>
        <v>0</v>
      </c>
      <c r="BC64" s="87">
        <f>BB64*'Irradiancia Horizontal'!I85</f>
        <v>0</v>
      </c>
      <c r="BD64" s="87">
        <f t="shared" si="564"/>
        <v>57.899523188418897</v>
      </c>
      <c r="BE64" s="88">
        <f t="shared" si="406"/>
        <v>6426.5670503610863</v>
      </c>
      <c r="BF64" s="87">
        <f t="shared" si="565"/>
        <v>-1935.355717519823</v>
      </c>
      <c r="BG64" s="106">
        <f t="shared" si="566"/>
        <v>53857.382858905585</v>
      </c>
      <c r="BH64" s="106">
        <f t="shared" si="567"/>
        <v>0</v>
      </c>
      <c r="BI64" s="106">
        <f t="shared" si="568"/>
        <v>8361.9227678809093</v>
      </c>
      <c r="BJ64" s="44"/>
      <c r="BL64" s="39">
        <v>0.66666666666666596</v>
      </c>
      <c r="BM64" s="38">
        <v>-60</v>
      </c>
      <c r="BN64" s="38">
        <f t="shared" si="407"/>
        <v>31.790733696612165</v>
      </c>
      <c r="BO64" s="38">
        <f t="shared" si="746"/>
        <v>-94.040226277650163</v>
      </c>
      <c r="BP64" s="38">
        <f t="shared" si="409"/>
        <v>58.209266303387835</v>
      </c>
      <c r="BQ64" s="38">
        <f>+'Irradiancia Horizontal'!J85/COS(RADIANS(BP64))</f>
        <v>567.36419452771747</v>
      </c>
      <c r="BR64" s="38">
        <f>((('Irradiancia Horizontal'!J56+BQ64)/'Irradiancia Horizontal'!J56)+1.041*((RADIANS('Cálculos iluminancia'!BP64))^3))/(1+1.041*((RADIANS('Cálculos iluminancia'!BP64))^3))</f>
        <v>3.2134298586724257</v>
      </c>
      <c r="BS64" s="87">
        <f t="shared" si="410"/>
        <v>1.8934367534623893</v>
      </c>
      <c r="BT64" s="87">
        <f t="shared" si="569"/>
        <v>1.8467201354389802</v>
      </c>
      <c r="BU64" s="106">
        <f>'Irradiancia Horizontal'!J56*BT64/$BS$46</f>
        <v>0.16708190464506065</v>
      </c>
      <c r="BV64" s="87">
        <f>((17.27*Temp!I26)/(237.7+Temp!I26))+LN(HR!I37/100)</f>
        <v>1.5220465451137331</v>
      </c>
      <c r="BW64" s="87">
        <f t="shared" si="570"/>
        <v>22.973808298962059</v>
      </c>
      <c r="BX64" s="87">
        <f t="shared" si="571"/>
        <v>4.6328238311747709</v>
      </c>
      <c r="BY64" s="87">
        <f t="shared" si="670"/>
        <v>6</v>
      </c>
      <c r="BZ64" s="87">
        <f t="shared" si="671"/>
        <v>88.34</v>
      </c>
      <c r="CA64" s="87">
        <f t="shared" si="672"/>
        <v>1.39</v>
      </c>
      <c r="CB64" s="87">
        <f t="shared" si="673"/>
        <v>6.06</v>
      </c>
      <c r="CC64" s="87">
        <f t="shared" si="674"/>
        <v>-7.6</v>
      </c>
      <c r="CD64" s="103">
        <f t="shared" si="416"/>
        <v>111.570604913704</v>
      </c>
      <c r="CE64" s="165">
        <f>IF(CK64&gt;(CD64*'Irradiancia Horizontal'!J24),CK64,CD64*'Irradiancia Horizontal'!J24)</f>
        <v>47021.3964410591</v>
      </c>
      <c r="CF64" s="87">
        <f t="shared" si="675"/>
        <v>106.42</v>
      </c>
      <c r="CG64" s="87">
        <f t="shared" si="676"/>
        <v>3.83</v>
      </c>
      <c r="CH64" s="87">
        <f t="shared" si="677"/>
        <v>-36.15</v>
      </c>
      <c r="CI64" s="87">
        <f t="shared" si="678"/>
        <v>-28.83</v>
      </c>
      <c r="CJ64" s="103">
        <f t="shared" si="421"/>
        <v>156.70391933077701</v>
      </c>
      <c r="CK64" s="87">
        <f>+CJ64*'Irradiancia Horizontal'!J56</f>
        <v>19204.35122563496</v>
      </c>
      <c r="CL64" s="87">
        <f t="shared" si="572"/>
        <v>27817.045215424139</v>
      </c>
      <c r="CM64" s="87">
        <f>+CL64/'Irradiancia Horizontal'!J85</f>
        <v>93.065387123161642</v>
      </c>
      <c r="CN64" s="38">
        <f t="shared" si="422"/>
        <v>5.9886746428248233E-2</v>
      </c>
      <c r="CO64" s="87">
        <f t="shared" si="573"/>
        <v>5.9886746428248233E-2</v>
      </c>
      <c r="CP64" s="87">
        <f t="shared" si="574"/>
        <v>0.52681833758223529</v>
      </c>
      <c r="CQ64" s="87">
        <f t="shared" si="575"/>
        <v>1.4259999999999999</v>
      </c>
      <c r="CR64" s="87">
        <f t="shared" si="576"/>
        <v>-0.65300000000000002</v>
      </c>
      <c r="CS64" s="87">
        <f t="shared" si="577"/>
        <v>-0.77900000000000003</v>
      </c>
      <c r="CT64" s="87">
        <f t="shared" si="578"/>
        <v>0.42499999999999999</v>
      </c>
      <c r="CU64" s="87">
        <f t="shared" si="579"/>
        <v>-0.78500000000000003</v>
      </c>
      <c r="CV64" s="87">
        <f t="shared" si="580"/>
        <v>-9.7000000000000003E-2</v>
      </c>
      <c r="CW64" s="87">
        <f t="shared" si="423"/>
        <v>0.52547564493078069</v>
      </c>
      <c r="CX64" s="87">
        <f t="shared" si="424"/>
        <v>0.19529419969368964</v>
      </c>
      <c r="CY64" s="88">
        <f t="shared" si="425"/>
        <v>9454.119501058789</v>
      </c>
      <c r="CZ64" s="87">
        <f t="shared" si="679"/>
        <v>1.1319999999999999</v>
      </c>
      <c r="DA64" s="87">
        <f t="shared" si="680"/>
        <v>-1.2370000000000001</v>
      </c>
      <c r="DB64" s="87">
        <f t="shared" si="681"/>
        <v>-0.41199999999999998</v>
      </c>
      <c r="DC64" s="87">
        <f t="shared" si="682"/>
        <v>0.28799999999999998</v>
      </c>
      <c r="DD64" s="87">
        <f t="shared" si="683"/>
        <v>-0.82299999999999995</v>
      </c>
      <c r="DE64" s="87">
        <f t="shared" si="684"/>
        <v>5.6000000000000001E-2</v>
      </c>
      <c r="DF64" s="87">
        <f t="shared" si="432"/>
        <v>0.50675102286236573</v>
      </c>
      <c r="DG64" s="87">
        <f t="shared" si="433"/>
        <v>0.20738442019831621</v>
      </c>
      <c r="DH64" s="106">
        <f>IF(BN64&lt;0,0,((0.5*(1-DF64)*(1+COS(RADIANS($BU$46))))+(DF64*(CO64/CP64))+(DG64*SIN(RADIANS($BU$46))))*'Irradiancia Horizontal'!J56)</f>
        <v>62.699287688046873</v>
      </c>
      <c r="DI64" s="87">
        <f t="shared" si="434"/>
        <v>0.11367627539901272</v>
      </c>
      <c r="DJ64" s="87">
        <f>DI64*'Irradiancia Horizontal'!J85</f>
        <v>33.977595650148714</v>
      </c>
      <c r="DK64" s="87">
        <f t="shared" si="581"/>
        <v>96.67688333819558</v>
      </c>
      <c r="DL64" s="88">
        <f t="shared" si="435"/>
        <v>10786.298355214072</v>
      </c>
      <c r="DM64" s="87">
        <f t="shared" si="582"/>
        <v>1332.1788541552833</v>
      </c>
      <c r="DN64" s="106">
        <f t="shared" si="583"/>
        <v>52801.968403542814</v>
      </c>
      <c r="DO64" s="106">
        <f t="shared" si="584"/>
        <v>3162.1380926953439</v>
      </c>
      <c r="DP64" s="106">
        <f t="shared" si="585"/>
        <v>12616.257593754133</v>
      </c>
      <c r="DQ64" s="44"/>
      <c r="DS64" s="39">
        <v>0.66666666666666596</v>
      </c>
      <c r="DT64" s="38">
        <v>-60</v>
      </c>
      <c r="DU64" s="38">
        <f t="shared" si="436"/>
        <v>25.801593239999558</v>
      </c>
      <c r="DV64" s="38">
        <f t="shared" si="747"/>
        <v>-105.86327501254968</v>
      </c>
      <c r="DW64" s="38">
        <f t="shared" si="438"/>
        <v>64.198406760000438</v>
      </c>
      <c r="DX64" s="38">
        <f>+'Irradiancia Horizontal'!K85/COS(RADIANS(DW64))</f>
        <v>755.98427962208723</v>
      </c>
      <c r="DY64" s="38">
        <f>((('Irradiancia Horizontal'!K56+DX64)/'Irradiancia Horizontal'!K56)+1.041*((RADIANS('Cálculos iluminancia'!DW64))^3))/(1+1.041*((RADIANS('Cálculos iluminancia'!DW64))^3))</f>
        <v>5.2202779756417419</v>
      </c>
      <c r="DZ64" s="87">
        <f t="shared" si="439"/>
        <v>2.2882872561823979</v>
      </c>
      <c r="EA64" s="87">
        <f t="shared" si="586"/>
        <v>2.2318285223591392</v>
      </c>
      <c r="EB64" s="106">
        <f>'Irradiancia Horizontal'!K56*EA64/$DZ$46</f>
        <v>0.11791629941402954</v>
      </c>
      <c r="EC64" s="87">
        <f>((17.27*Temp!J26)/(237.7+Temp!J26))+LN(HR!J37/100)</f>
        <v>1.389294510288805</v>
      </c>
      <c r="ED64" s="87">
        <f t="shared" si="587"/>
        <v>20.794750290508318</v>
      </c>
      <c r="EE64" s="87">
        <f t="shared" si="588"/>
        <v>3.9774166289169997</v>
      </c>
      <c r="EF64" s="87">
        <f t="shared" si="685"/>
        <v>7</v>
      </c>
      <c r="EG64" s="87">
        <f t="shared" si="686"/>
        <v>78.63</v>
      </c>
      <c r="EH64" s="87">
        <f t="shared" si="687"/>
        <v>1.47</v>
      </c>
      <c r="EI64" s="87">
        <f t="shared" si="688"/>
        <v>4.93</v>
      </c>
      <c r="EJ64" s="87">
        <f t="shared" si="689"/>
        <v>-11.37</v>
      </c>
      <c r="EK64" s="103">
        <f t="shared" si="445"/>
        <v>110.92917643977333</v>
      </c>
      <c r="EL64" s="165">
        <f>IF(ER64&gt;(EK64*'Irradiancia Horizontal'!K24),ER64,EK64*'Irradiancia Horizontal'!K24)</f>
        <v>44564.114570463156</v>
      </c>
      <c r="EM64" s="87">
        <f t="shared" si="690"/>
        <v>141.88</v>
      </c>
      <c r="EN64" s="87">
        <f t="shared" si="691"/>
        <v>1.9</v>
      </c>
      <c r="EO64" s="87">
        <f t="shared" si="692"/>
        <v>-53.24</v>
      </c>
      <c r="EP64" s="87">
        <f t="shared" si="693"/>
        <v>-14.03</v>
      </c>
      <c r="EQ64" s="103">
        <f t="shared" si="450"/>
        <v>156.25711165948451</v>
      </c>
      <c r="ER64" s="87">
        <f>+EQ64*'Irradiancia Horizontal'!K56</f>
        <v>11358.023371470845</v>
      </c>
      <c r="ES64" s="87">
        <f t="shared" si="589"/>
        <v>33206.091198992312</v>
      </c>
      <c r="ET64" s="87">
        <f>+ES64/'Irradiancia Horizontal'!K85</f>
        <v>100.91601457533596</v>
      </c>
      <c r="EU64" s="38">
        <f t="shared" si="451"/>
        <v>0.24609226751904914</v>
      </c>
      <c r="EV64" s="87">
        <f t="shared" si="590"/>
        <v>0.24609226751904914</v>
      </c>
      <c r="EW64" s="87">
        <f t="shared" si="591"/>
        <v>0.43525613462361123</v>
      </c>
      <c r="EX64" s="87">
        <f t="shared" si="592"/>
        <v>1.4850000000000001</v>
      </c>
      <c r="EY64" s="87">
        <f t="shared" si="593"/>
        <v>-1.214</v>
      </c>
      <c r="EZ64" s="87">
        <f t="shared" si="594"/>
        <v>-0.78400000000000003</v>
      </c>
      <c r="FA64" s="87">
        <f t="shared" si="595"/>
        <v>0.41099999999999998</v>
      </c>
      <c r="FB64" s="87">
        <f t="shared" si="596"/>
        <v>-0.629</v>
      </c>
      <c r="FC64" s="87">
        <f t="shared" si="597"/>
        <v>-8.2000000000000003E-2</v>
      </c>
      <c r="FD64" s="87">
        <f t="shared" si="452"/>
        <v>0.46339833167403943</v>
      </c>
      <c r="FE64" s="87">
        <f t="shared" si="453"/>
        <v>0.2449518147238548</v>
      </c>
      <c r="FF64" s="88">
        <f t="shared" si="454"/>
        <v>8805.380472910294</v>
      </c>
      <c r="FG64" s="87">
        <f t="shared" si="694"/>
        <v>1.06</v>
      </c>
      <c r="FH64" s="87">
        <f t="shared" si="695"/>
        <v>-1.6</v>
      </c>
      <c r="FI64" s="87">
        <f t="shared" si="696"/>
        <v>-0.35899999999999999</v>
      </c>
      <c r="FJ64" s="87">
        <f t="shared" si="697"/>
        <v>0.26400000000000001</v>
      </c>
      <c r="FK64" s="87">
        <f t="shared" si="698"/>
        <v>-1.127</v>
      </c>
      <c r="FL64" s="87">
        <f t="shared" si="699"/>
        <v>0.13100000000000001</v>
      </c>
      <c r="FM64" s="87">
        <f t="shared" si="461"/>
        <v>0.46908390841127606</v>
      </c>
      <c r="FN64" s="87">
        <f t="shared" si="462"/>
        <v>0.27789036855744237</v>
      </c>
      <c r="FO64" s="106">
        <f>IF(DU64&lt;0,0,((0.5*(1-FM64)*(1+COS(RADIANS($EB$46))))+(FM64*(EV64/EW64))+(FN64*SIN(RADIANS($EB$46))))*'Irradiancia Horizontal'!K56)</f>
        <v>58.773135761103916</v>
      </c>
      <c r="FP64" s="87">
        <f t="shared" si="463"/>
        <v>0.56539643658752337</v>
      </c>
      <c r="FQ64" s="87">
        <f>FP64*'Irradiancia Horizontal'!K85</f>
        <v>186.04188558095433</v>
      </c>
      <c r="FR64" s="87">
        <f t="shared" si="598"/>
        <v>244.81502134205823</v>
      </c>
      <c r="FS64" s="88">
        <f t="shared" si="464"/>
        <v>27157.128697560049</v>
      </c>
      <c r="FT64" s="87">
        <f t="shared" si="599"/>
        <v>18351.748224649753</v>
      </c>
      <c r="FU64" s="106">
        <f t="shared" si="600"/>
        <v>76290.920581067418</v>
      </c>
      <c r="FV64" s="106">
        <f t="shared" si="601"/>
        <v>18774.605636910575</v>
      </c>
      <c r="FW64" s="106">
        <f t="shared" si="602"/>
        <v>27579.986109820871</v>
      </c>
      <c r="FX64" s="83"/>
      <c r="FZ64" s="39">
        <v>0.66666666666666596</v>
      </c>
      <c r="GA64" s="38">
        <v>-60</v>
      </c>
      <c r="GB64" s="38">
        <f t="shared" si="465"/>
        <v>19.195820278510393</v>
      </c>
      <c r="GC64" s="38">
        <f t="shared" si="748"/>
        <v>-116.13197518856757</v>
      </c>
      <c r="GD64" s="38">
        <f t="shared" si="467"/>
        <v>70.804179721489604</v>
      </c>
      <c r="GE64" s="38">
        <f>+'Irradiancia Horizontal'!L85/COS(RADIANS(GD64))</f>
        <v>845.04550663809357</v>
      </c>
      <c r="GF64" s="38">
        <f>((('Irradiancia Horizontal'!L56+GE64)/'Irradiancia Horizontal'!L56)+1.041*((RADIANS('Cálculos iluminancia'!GD64))^3))/(1+1.041*((RADIANS('Cálculos iluminancia'!GD64))^3))</f>
        <v>7.6463903912028837</v>
      </c>
      <c r="GG64" s="88">
        <f t="shared" si="468"/>
        <v>3.0178709351609534</v>
      </c>
      <c r="GH64" s="88">
        <f t="shared" si="603"/>
        <v>2.9434112398666405</v>
      </c>
      <c r="GI64" s="106">
        <f>'Irradiancia Horizontal'!L56*GH64/$GG$46</f>
        <v>9.0165592715459333E-2</v>
      </c>
      <c r="GJ64" s="88">
        <f>((17.27*Temp!K26)/(237.7+Temp!K26))+LN(HR!K37/100)</f>
        <v>1.0479792220992503</v>
      </c>
      <c r="GK64" s="88">
        <f t="shared" si="604"/>
        <v>15.355957466923416</v>
      </c>
      <c r="GL64" s="88">
        <f t="shared" si="605"/>
        <v>2.7180562820882712</v>
      </c>
      <c r="GM64" s="88">
        <f t="shared" si="700"/>
        <v>8</v>
      </c>
      <c r="GN64" s="88">
        <f t="shared" si="701"/>
        <v>99.65</v>
      </c>
      <c r="GO64" s="88">
        <f t="shared" si="702"/>
        <v>1.86</v>
      </c>
      <c r="GP64" s="88">
        <f t="shared" si="703"/>
        <v>-4.46</v>
      </c>
      <c r="GQ64" s="88">
        <f t="shared" si="704"/>
        <v>-3.15</v>
      </c>
      <c r="GR64" s="103">
        <f t="shared" si="474"/>
        <v>110.81838495071385</v>
      </c>
      <c r="GS64" s="165">
        <f>IF(GY64&gt;(GR64*'Irradiancia Horizontal'!L24),GY64,GR64*'Irradiancia Horizontal'!L24)</f>
        <v>35543.585789154436</v>
      </c>
      <c r="GT64" s="88">
        <f t="shared" si="705"/>
        <v>152.22999999999999</v>
      </c>
      <c r="GU64" s="88">
        <f t="shared" si="706"/>
        <v>0.35</v>
      </c>
      <c r="GV64" s="88">
        <f t="shared" si="707"/>
        <v>-45.27</v>
      </c>
      <c r="GW64" s="88">
        <f t="shared" si="708"/>
        <v>-7.98</v>
      </c>
      <c r="GX64" s="103">
        <f t="shared" si="479"/>
        <v>157.49738228247529</v>
      </c>
      <c r="GY64" s="88">
        <f>+GX64*'Irradiancia Horizontal'!L56</f>
        <v>6754.779457641137</v>
      </c>
      <c r="GZ64" s="88">
        <f t="shared" si="606"/>
        <v>28788.8063315133</v>
      </c>
      <c r="HA64" s="88">
        <f>+GZ64/'Irradiancia Horizontal'!L85</f>
        <v>103.61311238581904</v>
      </c>
      <c r="HB64" s="38">
        <f t="shared" si="480"/>
        <v>0.41595194478742264</v>
      </c>
      <c r="HC64" s="88">
        <f t="shared" si="607"/>
        <v>0.41595194478742264</v>
      </c>
      <c r="HD64" s="88">
        <f t="shared" si="608"/>
        <v>0.32879775370010111</v>
      </c>
      <c r="HE64" s="88">
        <f t="shared" si="609"/>
        <v>1.17</v>
      </c>
      <c r="HF64" s="88">
        <f t="shared" si="610"/>
        <v>-0.3</v>
      </c>
      <c r="HG64" s="88">
        <f t="shared" si="611"/>
        <v>-0.61499999999999999</v>
      </c>
      <c r="HH64" s="88">
        <f t="shared" si="612"/>
        <v>0.51800000000000002</v>
      </c>
      <c r="HI64" s="88">
        <f t="shared" si="613"/>
        <v>-1.8919999999999999</v>
      </c>
      <c r="HJ64" s="88">
        <f t="shared" si="614"/>
        <v>-5.5E-2</v>
      </c>
      <c r="HK64" s="88">
        <f t="shared" si="481"/>
        <v>0.38295419509237805</v>
      </c>
      <c r="HL64" s="88">
        <f t="shared" si="482"/>
        <v>0.27943956526509223</v>
      </c>
      <c r="HM64" s="88">
        <f t="shared" si="483"/>
        <v>7244.0015470792514</v>
      </c>
      <c r="HN64" s="88">
        <f t="shared" si="709"/>
        <v>0.67800000000000005</v>
      </c>
      <c r="HO64" s="88">
        <f t="shared" si="710"/>
        <v>-0.32700000000000001</v>
      </c>
      <c r="HP64" s="88">
        <f t="shared" si="711"/>
        <v>-0.25</v>
      </c>
      <c r="HQ64" s="88">
        <f t="shared" si="712"/>
        <v>0.156</v>
      </c>
      <c r="HR64" s="88">
        <f t="shared" si="713"/>
        <v>-1.377</v>
      </c>
      <c r="HS64" s="88">
        <f t="shared" si="714"/>
        <v>0.251</v>
      </c>
      <c r="HT64" s="88">
        <f t="shared" si="490"/>
        <v>0.339574336103596</v>
      </c>
      <c r="HU64" s="88">
        <f t="shared" si="491"/>
        <v>0.34201925996957505</v>
      </c>
      <c r="HV64" s="106">
        <f>IF(GB64&lt;0,0,((0.5*(1-HT64)*(1+COS(RADIANS($GI$46))))+(HT64*(HC64/HD64))+(HU64*SIN(RADIANS($GI$46))))*'Irradiancia Horizontal'!L56)</f>
        <v>47.25495632060759</v>
      </c>
      <c r="HW64" s="88">
        <f t="shared" si="492"/>
        <v>1.2650693020452186</v>
      </c>
      <c r="HX64" s="88">
        <f>HW64*'Irradiancia Horizontal'!L85</f>
        <v>351.49832191998786</v>
      </c>
      <c r="HY64" s="88">
        <f t="shared" si="615"/>
        <v>398.75327824059548</v>
      </c>
      <c r="HZ64" s="88">
        <f t="shared" si="493"/>
        <v>44189.194288425417</v>
      </c>
      <c r="IA64" s="88">
        <f t="shared" si="616"/>
        <v>36945.192741346167</v>
      </c>
      <c r="IB64" s="106">
        <f t="shared" si="617"/>
        <v>87557.795050424174</v>
      </c>
      <c r="IC64" s="106">
        <f t="shared" si="618"/>
        <v>36419.835132522501</v>
      </c>
      <c r="ID64" s="106">
        <f t="shared" si="619"/>
        <v>43663.836679601751</v>
      </c>
      <c r="IE64" s="83"/>
      <c r="IG64" s="39">
        <v>0.66666666666666596</v>
      </c>
      <c r="IH64" s="38">
        <v>-60</v>
      </c>
      <c r="II64" s="38">
        <f t="shared" si="494"/>
        <v>13.869303302725958</v>
      </c>
      <c r="IJ64" s="38">
        <f t="shared" si="749"/>
        <v>-123.29444810834164</v>
      </c>
      <c r="IK64" s="38">
        <f t="shared" si="496"/>
        <v>76.130696697274047</v>
      </c>
      <c r="IL64" s="38">
        <f>+'Irradiancia Horizontal'!M85/COS(RADIANS(IK64))</f>
        <v>768.44681205328141</v>
      </c>
      <c r="IM64" s="38">
        <f>((('Irradiancia Horizontal'!M56+IL64)/'Irradiancia Horizontal'!M56)+1.041*((RADIANS('Cálculos iluminancia'!IK64))^3))/(1+1.041*((RADIANS('Cálculos iluminancia'!IK64))^3))</f>
        <v>6.9654239412922054</v>
      </c>
      <c r="IN64" s="88">
        <f t="shared" si="497"/>
        <v>4.107094266266639</v>
      </c>
      <c r="IO64" s="88">
        <f t="shared" si="620"/>
        <v>4.0057602482845462</v>
      </c>
      <c r="IP64" s="106">
        <f>'Irradiancia Horizontal'!M56*IO64/$IN$46</f>
        <v>0.10540968442667814</v>
      </c>
      <c r="IQ64" s="88">
        <f>((17.27*Temp!L26)/(237.7+Temp!L26))+LN(HR!L37/100)</f>
        <v>0.73999223864366948</v>
      </c>
      <c r="IR64" s="88">
        <f t="shared" si="621"/>
        <v>10.641020722132286</v>
      </c>
      <c r="IS64" s="88">
        <f t="shared" si="622"/>
        <v>1.9539861206479125</v>
      </c>
      <c r="IT64" s="88">
        <f t="shared" si="715"/>
        <v>8</v>
      </c>
      <c r="IU64" s="88">
        <f t="shared" si="716"/>
        <v>99.65</v>
      </c>
      <c r="IV64" s="88">
        <f t="shared" si="717"/>
        <v>1.86</v>
      </c>
      <c r="IW64" s="88">
        <f t="shared" si="718"/>
        <v>-4.46</v>
      </c>
      <c r="IX64" s="88">
        <f t="shared" si="719"/>
        <v>-3.15</v>
      </c>
      <c r="IY64" s="103">
        <f t="shared" si="503"/>
        <v>109.30250418692664</v>
      </c>
      <c r="IZ64" s="165">
        <f>IF(JF64&gt;(IY64*'Irradiancia Horizontal'!M24),JF64,IY64*'Irradiancia Horizontal'!M24)</f>
        <v>24224.361187514085</v>
      </c>
      <c r="JA64" s="88">
        <f t="shared" si="720"/>
        <v>152.22999999999999</v>
      </c>
      <c r="JB64" s="88">
        <f t="shared" si="721"/>
        <v>0.35</v>
      </c>
      <c r="JC64" s="88">
        <f t="shared" si="722"/>
        <v>-45.27</v>
      </c>
      <c r="JD64" s="88">
        <f t="shared" si="723"/>
        <v>-7.98</v>
      </c>
      <c r="JE64" s="103">
        <f t="shared" si="508"/>
        <v>160.01652486786094</v>
      </c>
      <c r="JF64" s="88">
        <f>+JE64*'Irradiancia Horizontal'!M56</f>
        <v>5988.4537814530531</v>
      </c>
      <c r="JG64" s="88">
        <f t="shared" si="623"/>
        <v>18235.907406061033</v>
      </c>
      <c r="JH64" s="88">
        <f>+JG64/'Irradiancia Horizontal'!M85</f>
        <v>98.999077605341654</v>
      </c>
      <c r="JI64" s="38">
        <f t="shared" si="509"/>
        <v>0.53293745324411934</v>
      </c>
      <c r="JJ64" s="88">
        <f t="shared" si="624"/>
        <v>0.53293745324411934</v>
      </c>
      <c r="JK64" s="88">
        <f t="shared" si="625"/>
        <v>0.23970793848010091</v>
      </c>
      <c r="JL64" s="88">
        <f t="shared" si="626"/>
        <v>1.17</v>
      </c>
      <c r="JM64" s="88">
        <f t="shared" si="627"/>
        <v>-0.3</v>
      </c>
      <c r="JN64" s="88">
        <f t="shared" si="628"/>
        <v>-0.61499999999999999</v>
      </c>
      <c r="JO64" s="88">
        <f t="shared" si="629"/>
        <v>0.51800000000000002</v>
      </c>
      <c r="JP64" s="88">
        <f t="shared" si="630"/>
        <v>-1.8919999999999999</v>
      </c>
      <c r="JQ64" s="88">
        <f t="shared" si="631"/>
        <v>-5.5E-2</v>
      </c>
      <c r="JR64" s="88">
        <f t="shared" si="510"/>
        <v>0.32120733336116447</v>
      </c>
      <c r="JS64" s="88">
        <f t="shared" si="511"/>
        <v>0.24548465450847171</v>
      </c>
      <c r="JT64" s="88">
        <f t="shared" si="512"/>
        <v>7779.0869507025573</v>
      </c>
      <c r="JU64" s="88">
        <f t="shared" si="724"/>
        <v>0.67800000000000005</v>
      </c>
      <c r="JV64" s="88">
        <f t="shared" si="725"/>
        <v>-0.32700000000000001</v>
      </c>
      <c r="JW64" s="88">
        <f t="shared" si="726"/>
        <v>-0.25</v>
      </c>
      <c r="JX64" s="88">
        <f t="shared" si="727"/>
        <v>0.156</v>
      </c>
      <c r="JY64" s="88">
        <f t="shared" si="728"/>
        <v>-1.377</v>
      </c>
      <c r="JZ64" s="88">
        <f t="shared" si="729"/>
        <v>0.251</v>
      </c>
      <c r="KA64" s="88">
        <f t="shared" si="519"/>
        <v>0.31134820339132507</v>
      </c>
      <c r="KB64" s="88">
        <f t="shared" si="520"/>
        <v>0.34436242566482</v>
      </c>
      <c r="KC64" s="106">
        <f>IF(II64&lt;0,0,((0.5*(1-KA64)*(1+COS(RADIANS($IP$46))))+(KA64*(JJ64/JK64))+(KB64*SIN(RADIANS($IP$46))))*'Irradiancia Horizontal'!M56)</f>
        <v>51.6788371914162</v>
      </c>
      <c r="KD64" s="88">
        <f t="shared" si="521"/>
        <v>2.2232782803242896</v>
      </c>
      <c r="KE64" s="88">
        <f>KD64*'Irradiancia Horizontal'!M85</f>
        <v>409.53408696923822</v>
      </c>
      <c r="KF64" s="88">
        <f t="shared" si="632"/>
        <v>461.21292416065444</v>
      </c>
      <c r="KG64" s="88">
        <f t="shared" si="522"/>
        <v>50411.727574134609</v>
      </c>
      <c r="KH64" s="88">
        <f t="shared" si="633"/>
        <v>42632.640623432053</v>
      </c>
      <c r="KI64" s="106">
        <f t="shared" si="634"/>
        <v>76075.525582040194</v>
      </c>
      <c r="KJ64" s="106">
        <f t="shared" si="635"/>
        <v>40543.496857900354</v>
      </c>
      <c r="KK64" s="106">
        <f t="shared" si="636"/>
        <v>48322.583808602911</v>
      </c>
      <c r="KL64" s="40"/>
      <c r="KN64" s="39">
        <v>0.66666666666666596</v>
      </c>
      <c r="KO64" s="38">
        <v>-60</v>
      </c>
      <c r="KP64" s="38">
        <f t="shared" si="523"/>
        <v>11.973998043852726</v>
      </c>
      <c r="KQ64" s="38">
        <f t="shared" si="750"/>
        <v>-125.69140900534735</v>
      </c>
      <c r="KR64" s="38">
        <f t="shared" si="525"/>
        <v>78.026001956147269</v>
      </c>
      <c r="KS64" s="38">
        <f>+'Irradiancia Horizontal'!N85/COS(RADIANS(KR64))</f>
        <v>604.44852389410084</v>
      </c>
      <c r="KT64" s="38">
        <f>((('Irradiancia Horizontal'!N56+KS64)/'Irradiancia Horizontal'!N56)+1.041*((RADIANS('Cálculos iluminancia'!KR64))^3))/(1+1.041*((RADIANS('Cálculos iluminancia'!KR64))^3))</f>
        <v>4.8690441030414693</v>
      </c>
      <c r="KU64" s="88">
        <f t="shared" si="526"/>
        <v>4.7189721647148204</v>
      </c>
      <c r="KV64" s="88">
        <f t="shared" si="637"/>
        <v>4.6025413308467478</v>
      </c>
      <c r="KW64" s="106">
        <f>'Irradiancia Horizontal'!N56*KV64/$KU$46</f>
        <v>0.13813774238947996</v>
      </c>
      <c r="KX64" s="88">
        <f>((17.27*Temp!M26)/(237.7+Temp!M26))+LN(HR!M37/100)</f>
        <v>0.45016182871725929</v>
      </c>
      <c r="KY64" s="88">
        <f t="shared" si="638"/>
        <v>6.3617417478358567</v>
      </c>
      <c r="KZ64" s="88">
        <f t="shared" si="639"/>
        <v>1.4482007478158101</v>
      </c>
      <c r="LA64" s="88">
        <f t="shared" si="730"/>
        <v>7</v>
      </c>
      <c r="LB64" s="88">
        <f t="shared" si="731"/>
        <v>78.63</v>
      </c>
      <c r="LC64" s="88">
        <f t="shared" si="732"/>
        <v>1.47</v>
      </c>
      <c r="LD64" s="88">
        <f t="shared" si="733"/>
        <v>4.93</v>
      </c>
      <c r="LE64" s="88">
        <f t="shared" si="734"/>
        <v>-11.37</v>
      </c>
      <c r="LF64" s="103">
        <f t="shared" si="532"/>
        <v>104.28863119593665</v>
      </c>
      <c r="LG64" s="165">
        <f>IF(LM64&gt;(LF64*'Irradiancia Horizontal'!N24),LM64,LF64*'Irradiancia Horizontal'!N24)</f>
        <v>17567.670289637372</v>
      </c>
      <c r="LH64" s="88">
        <f t="shared" si="735"/>
        <v>141.88</v>
      </c>
      <c r="LI64" s="88">
        <f t="shared" si="736"/>
        <v>1.9</v>
      </c>
      <c r="LJ64" s="88">
        <f t="shared" si="737"/>
        <v>-53.24</v>
      </c>
      <c r="LK64" s="88">
        <f t="shared" si="738"/>
        <v>-14.03</v>
      </c>
      <c r="LL64" s="103">
        <f t="shared" si="537"/>
        <v>161.35843805627866</v>
      </c>
      <c r="LM64" s="88">
        <f>+LL64*'Irradiancia Horizontal'!N56</f>
        <v>6946.2896028814894</v>
      </c>
      <c r="LN64" s="88">
        <f t="shared" si="640"/>
        <v>10621.380686755881</v>
      </c>
      <c r="LO64" s="88">
        <f>+LN64/'Irradiancia Horizontal'!N85</f>
        <v>84.697583859460948</v>
      </c>
      <c r="LP64" s="38">
        <f t="shared" si="538"/>
        <v>0.57072531496281609</v>
      </c>
      <c r="LQ64" s="88">
        <f t="shared" si="641"/>
        <v>0.57072531496281609</v>
      </c>
      <c r="LR64" s="88">
        <f t="shared" si="642"/>
        <v>0.20746776672661621</v>
      </c>
      <c r="LS64" s="88">
        <f t="shared" si="643"/>
        <v>1.4850000000000001</v>
      </c>
      <c r="LT64" s="88">
        <f t="shared" si="644"/>
        <v>-1.214</v>
      </c>
      <c r="LU64" s="88">
        <f t="shared" si="645"/>
        <v>-0.78400000000000003</v>
      </c>
      <c r="LV64" s="88">
        <f t="shared" si="646"/>
        <v>0.41099999999999998</v>
      </c>
      <c r="LW64" s="88">
        <f t="shared" si="647"/>
        <v>-0.629</v>
      </c>
      <c r="LX64" s="88">
        <f t="shared" si="648"/>
        <v>-8.2000000000000003E-2</v>
      </c>
      <c r="LY64" s="88">
        <f t="shared" si="539"/>
        <v>0.2496412418781635</v>
      </c>
      <c r="LZ64" s="88">
        <f t="shared" si="540"/>
        <v>0.21244288786022797</v>
      </c>
      <c r="MA64" s="88">
        <f t="shared" si="541"/>
        <v>8852.094798255901</v>
      </c>
      <c r="MB64" s="88">
        <f t="shared" si="739"/>
        <v>1.06</v>
      </c>
      <c r="MC64" s="88">
        <f t="shared" si="740"/>
        <v>-1.6</v>
      </c>
      <c r="MD64" s="88">
        <f t="shared" si="741"/>
        <v>-0.35899999999999999</v>
      </c>
      <c r="ME64" s="88">
        <f t="shared" si="742"/>
        <v>0.26400000000000001</v>
      </c>
      <c r="MF64" s="88">
        <f t="shared" si="743"/>
        <v>-1.127</v>
      </c>
      <c r="MG64" s="88">
        <f t="shared" si="744"/>
        <v>0.13100000000000001</v>
      </c>
      <c r="MH64" s="88">
        <f t="shared" si="548"/>
        <v>0.35008959374430426</v>
      </c>
      <c r="MI64" s="88">
        <f t="shared" si="549"/>
        <v>0.28671595768265823</v>
      </c>
      <c r="MJ64" s="106">
        <f>IF(KP64&lt;0,0,((0.5*(1-MH64)*(1+COS(RADIANS($KW$46))))+(MH64*(LQ64/LR64))+(MI64*SIN(RADIANS($KW$46))))*'Irradiancia Horizontal'!N56)</f>
        <v>67.790536335532153</v>
      </c>
      <c r="MK64" s="88">
        <f t="shared" si="550"/>
        <v>2.7509107750452171</v>
      </c>
      <c r="ML64" s="88">
        <f>MK64*'Irradiancia Horizontal'!N85</f>
        <v>344.97407417826997</v>
      </c>
      <c r="MM64" s="88">
        <f t="shared" si="649"/>
        <v>412.76461051380215</v>
      </c>
      <c r="MN64" s="88">
        <f t="shared" si="551"/>
        <v>43046.656236608345</v>
      </c>
      <c r="MO64" s="88">
        <f t="shared" si="650"/>
        <v>34194.561438352444</v>
      </c>
      <c r="MP64" s="106">
        <f t="shared" si="651"/>
        <v>51195.329541247986</v>
      </c>
      <c r="MQ64" s="106">
        <f t="shared" si="652"/>
        <v>29218.470577053919</v>
      </c>
      <c r="MR64" s="106">
        <f t="shared" si="653"/>
        <v>38070.565375309816</v>
      </c>
    </row>
    <row r="65" spans="1:356" x14ac:dyDescent="0.25">
      <c r="A65" s="48"/>
      <c r="B65" s="37"/>
      <c r="E65" s="39">
        <v>0.70833333333333304</v>
      </c>
      <c r="F65" s="38">
        <v>-75</v>
      </c>
      <c r="G65" s="38">
        <f t="shared" si="378"/>
        <v>22.438769178429386</v>
      </c>
      <c r="H65" s="38">
        <f t="shared" si="745"/>
        <v>-78.305145385643101</v>
      </c>
      <c r="I65" s="38">
        <f t="shared" si="380"/>
        <v>67.561230821570618</v>
      </c>
      <c r="J65" s="38">
        <f>+'Irradiancia Horizontal'!I86/COS(RADIANS(I65))</f>
        <v>498.43733033125471</v>
      </c>
      <c r="K65" s="38">
        <f>((('Irradiancia Horizontal'!I57+J65)/'Irradiancia Horizontal'!I57)+1.041*((RADIANS('Cálculos iluminancia'!I65))^3))/(1+1.041*((RADIANS('Cálculos iluminancia'!I65))^3))</f>
        <v>3.1130675087092006</v>
      </c>
      <c r="L65" s="87">
        <f t="shared" si="381"/>
        <v>2.6055347088233445</v>
      </c>
      <c r="M65" s="87">
        <f t="shared" si="654"/>
        <v>2.541248553230214</v>
      </c>
      <c r="N65" s="106">
        <f>'Irradiancia Horizontal'!I57*M65/$L$46</f>
        <v>0.16497414881470129</v>
      </c>
      <c r="O65" s="87">
        <f>((17.27*Temp!H27)/(237.7+Temp!H27))+LN(HR!H38/100)</f>
        <v>1.3837920894907096</v>
      </c>
      <c r="P65" s="87">
        <f t="shared" si="553"/>
        <v>20.705216847523726</v>
      </c>
      <c r="Q65" s="87">
        <f t="shared" si="554"/>
        <v>3.9525667552262083</v>
      </c>
      <c r="R65" s="87">
        <f t="shared" si="655"/>
        <v>6</v>
      </c>
      <c r="S65" s="87">
        <f t="shared" si="656"/>
        <v>88.34</v>
      </c>
      <c r="T65" s="87">
        <f t="shared" si="657"/>
        <v>1.39</v>
      </c>
      <c r="U65" s="87">
        <f t="shared" si="658"/>
        <v>6.06</v>
      </c>
      <c r="V65" s="87">
        <f t="shared" si="659"/>
        <v>-7.6</v>
      </c>
      <c r="W65" s="103">
        <f t="shared" si="387"/>
        <v>109.84209017370026</v>
      </c>
      <c r="X65" s="165">
        <f>IF(AD65&gt;(W65*'Irradiancia Horizontal'!I25),AD65,W65*'Irradiancia Horizontal'!I25)</f>
        <v>30469.876081201579</v>
      </c>
      <c r="Y65" s="87">
        <f t="shared" si="660"/>
        <v>106.42</v>
      </c>
      <c r="Z65" s="87">
        <f t="shared" si="661"/>
        <v>3.83</v>
      </c>
      <c r="AA65" s="87">
        <f t="shared" si="662"/>
        <v>-36.15</v>
      </c>
      <c r="AB65" s="87">
        <f t="shared" si="663"/>
        <v>-28.83</v>
      </c>
      <c r="AC65" s="103">
        <f t="shared" si="392"/>
        <v>159.71071844482242</v>
      </c>
      <c r="AD65" s="87">
        <f>+AC65*'Irradiancia Horizontal'!I57</f>
        <v>13918.088342477198</v>
      </c>
      <c r="AE65" s="87">
        <f t="shared" si="393"/>
        <v>16551.787738724379</v>
      </c>
      <c r="AF65" s="87">
        <f>+AE65/'Irradiancia Horizontal'!I86</f>
        <v>86.999522989926007</v>
      </c>
      <c r="AG65" s="38">
        <f t="shared" si="555"/>
        <v>-0.18735257688959361</v>
      </c>
      <c r="AH65" s="87">
        <f t="shared" si="556"/>
        <v>0</v>
      </c>
      <c r="AI65" s="87">
        <f t="shared" si="557"/>
        <v>0.38169588296478008</v>
      </c>
      <c r="AJ65" s="87">
        <f t="shared" si="558"/>
        <v>1.4259999999999999</v>
      </c>
      <c r="AK65" s="87">
        <f t="shared" si="559"/>
        <v>-0.65300000000000002</v>
      </c>
      <c r="AL65" s="87">
        <f t="shared" si="560"/>
        <v>-0.77900000000000003</v>
      </c>
      <c r="AM65" s="87">
        <f t="shared" si="561"/>
        <v>0.42499999999999999</v>
      </c>
      <c r="AN65" s="87">
        <f t="shared" si="562"/>
        <v>-0.78500000000000003</v>
      </c>
      <c r="AO65" s="87">
        <f t="shared" si="563"/>
        <v>-9.7000000000000003E-2</v>
      </c>
      <c r="AP65" s="87">
        <f t="shared" si="394"/>
        <v>0.39970162561023714</v>
      </c>
      <c r="AQ65" s="87">
        <f t="shared" si="395"/>
        <v>0.18111619850044022</v>
      </c>
      <c r="AR65" s="88">
        <f t="shared" si="396"/>
        <v>6698.294154283848</v>
      </c>
      <c r="AS65" s="87">
        <f t="shared" si="664"/>
        <v>1.1319999999999999</v>
      </c>
      <c r="AT65" s="87">
        <f t="shared" si="665"/>
        <v>-1.2370000000000001</v>
      </c>
      <c r="AU65" s="87">
        <f t="shared" si="666"/>
        <v>-0.41199999999999998</v>
      </c>
      <c r="AV65" s="87">
        <f t="shared" si="667"/>
        <v>0.28799999999999998</v>
      </c>
      <c r="AW65" s="87">
        <f t="shared" si="668"/>
        <v>-0.82299999999999995</v>
      </c>
      <c r="AX65" s="87">
        <f t="shared" si="669"/>
        <v>5.6000000000000001E-2</v>
      </c>
      <c r="AY65" s="87">
        <f t="shared" si="403"/>
        <v>0.44211061700726667</v>
      </c>
      <c r="AZ65" s="87">
        <f t="shared" si="404"/>
        <v>0.21825956729953255</v>
      </c>
      <c r="BA65" s="106">
        <f>IF(G65&lt;0,0,((0.5*(1-AY65)*(1+COS(RADIANS($N$46))))+(AY65*(AH65/AI65))+(AZ65*SIN(RADIANS($N$46))))*'Irradiancia Horizontal'!I57)</f>
        <v>43.329169548304428</v>
      </c>
      <c r="BB65" s="87">
        <f t="shared" si="405"/>
        <v>0</v>
      </c>
      <c r="BC65" s="87">
        <f>BB65*'Irradiancia Horizontal'!I86</f>
        <v>0</v>
      </c>
      <c r="BD65" s="87">
        <f t="shared" si="564"/>
        <v>43.329169548304428</v>
      </c>
      <c r="BE65" s="88">
        <f t="shared" si="406"/>
        <v>4759.3665486764021</v>
      </c>
      <c r="BF65" s="87">
        <f t="shared" si="565"/>
        <v>-1938.9276056074459</v>
      </c>
      <c r="BG65" s="106">
        <f t="shared" si="566"/>
        <v>43363.809979191334</v>
      </c>
      <c r="BH65" s="106">
        <f t="shared" si="567"/>
        <v>0</v>
      </c>
      <c r="BI65" s="106">
        <f t="shared" si="568"/>
        <v>6698.294154283848</v>
      </c>
      <c r="BJ65" s="44"/>
      <c r="BL65" s="39">
        <v>0.70833333333333304</v>
      </c>
      <c r="BM65" s="38">
        <v>-75</v>
      </c>
      <c r="BN65" s="38">
        <f t="shared" si="407"/>
        <v>18.690747924130896</v>
      </c>
      <c r="BO65" s="38">
        <f t="shared" si="746"/>
        <v>-86.678899683987325</v>
      </c>
      <c r="BP65" s="38">
        <f t="shared" si="409"/>
        <v>71.309252075869097</v>
      </c>
      <c r="BQ65" s="38">
        <f>+'Irradiancia Horizontal'!J86/COS(RADIANS(BP65))</f>
        <v>486.3674260310562</v>
      </c>
      <c r="BR65" s="38">
        <f>((('Irradiancia Horizontal'!J57+BQ65)/'Irradiancia Horizontal'!J57)+1.041*((RADIANS('Cálculos iluminancia'!BP65))^3))/(1+1.041*((RADIANS('Cálculos iluminancia'!BP65))^3))</f>
        <v>3.1697826641727893</v>
      </c>
      <c r="BS65" s="87">
        <f t="shared" si="410"/>
        <v>3.0949429143168792</v>
      </c>
      <c r="BT65" s="87">
        <f t="shared" si="569"/>
        <v>3.0185816280642457</v>
      </c>
      <c r="BU65" s="106">
        <f>'Irradiancia Horizontal'!J57*BT65/$BS$46</f>
        <v>0.16612853874335817</v>
      </c>
      <c r="BV65" s="87">
        <f>((17.27*Temp!I27)/(237.7+Temp!I27))+LN(HR!I38/100)</f>
        <v>1.5260478254298762</v>
      </c>
      <c r="BW65" s="87">
        <f t="shared" si="570"/>
        <v>23.040057800136573</v>
      </c>
      <c r="BX65" s="87">
        <f t="shared" si="571"/>
        <v>4.654358283966884</v>
      </c>
      <c r="BY65" s="87">
        <f t="shared" si="670"/>
        <v>6</v>
      </c>
      <c r="BZ65" s="87">
        <f t="shared" si="671"/>
        <v>88.34</v>
      </c>
      <c r="CA65" s="87">
        <f t="shared" si="672"/>
        <v>1.39</v>
      </c>
      <c r="CB65" s="87">
        <f t="shared" si="673"/>
        <v>6.06</v>
      </c>
      <c r="CC65" s="87">
        <f t="shared" si="674"/>
        <v>-7.6</v>
      </c>
      <c r="CD65" s="103">
        <f t="shared" si="416"/>
        <v>110.39349610626601</v>
      </c>
      <c r="CE65" s="165">
        <f>IF(CK65&gt;(CD65*'Irradiancia Horizontal'!J25),CK65,CD65*'Irradiancia Horizontal'!J25)</f>
        <v>25435.629293996149</v>
      </c>
      <c r="CF65" s="87">
        <f t="shared" si="675"/>
        <v>106.42</v>
      </c>
      <c r="CG65" s="87">
        <f t="shared" si="676"/>
        <v>3.83</v>
      </c>
      <c r="CH65" s="87">
        <f t="shared" si="677"/>
        <v>-36.15</v>
      </c>
      <c r="CI65" s="87">
        <f t="shared" si="678"/>
        <v>-28.83</v>
      </c>
      <c r="CJ65" s="103">
        <f t="shared" si="421"/>
        <v>164.41122354882538</v>
      </c>
      <c r="CK65" s="87">
        <f>+CJ65*'Irradiancia Horizontal'!J57</f>
        <v>12256.436808554467</v>
      </c>
      <c r="CL65" s="87">
        <f t="shared" si="572"/>
        <v>13179.192485441683</v>
      </c>
      <c r="CM65" s="87">
        <f>+CL65/'Irradiancia Horizontal'!J86</f>
        <v>84.557171865730353</v>
      </c>
      <c r="CN65" s="38">
        <f t="shared" si="422"/>
        <v>-5.4876483496314132E-2</v>
      </c>
      <c r="CO65" s="87">
        <f t="shared" si="573"/>
        <v>0</v>
      </c>
      <c r="CP65" s="87">
        <f t="shared" si="574"/>
        <v>0.32046003166111275</v>
      </c>
      <c r="CQ65" s="87">
        <f t="shared" si="575"/>
        <v>1.4259999999999999</v>
      </c>
      <c r="CR65" s="87">
        <f t="shared" si="576"/>
        <v>-0.65300000000000002</v>
      </c>
      <c r="CS65" s="87">
        <f t="shared" si="577"/>
        <v>-0.77900000000000003</v>
      </c>
      <c r="CT65" s="87">
        <f t="shared" si="578"/>
        <v>0.42499999999999999</v>
      </c>
      <c r="CU65" s="87">
        <f t="shared" si="579"/>
        <v>-0.78500000000000003</v>
      </c>
      <c r="CV65" s="87">
        <f t="shared" si="580"/>
        <v>-9.7000000000000003E-2</v>
      </c>
      <c r="CW65" s="87">
        <f t="shared" si="423"/>
        <v>0.34798928146680219</v>
      </c>
      <c r="CX65" s="87">
        <f t="shared" si="424"/>
        <v>0.17386471720818769</v>
      </c>
      <c r="CY65" s="88">
        <f t="shared" si="425"/>
        <v>6126.6260048005106</v>
      </c>
      <c r="CZ65" s="87">
        <f t="shared" si="679"/>
        <v>1.1319999999999999</v>
      </c>
      <c r="DA65" s="87">
        <f t="shared" si="680"/>
        <v>-1.2370000000000001</v>
      </c>
      <c r="DB65" s="87">
        <f t="shared" si="681"/>
        <v>-0.41199999999999998</v>
      </c>
      <c r="DC65" s="87">
        <f t="shared" si="682"/>
        <v>0.28799999999999998</v>
      </c>
      <c r="DD65" s="87">
        <f t="shared" si="683"/>
        <v>-0.82299999999999995</v>
      </c>
      <c r="DE65" s="87">
        <f t="shared" si="684"/>
        <v>5.6000000000000001E-2</v>
      </c>
      <c r="DF65" s="87">
        <f t="shared" si="432"/>
        <v>0.41373152840075689</v>
      </c>
      <c r="DG65" s="87">
        <f t="shared" si="433"/>
        <v>0.22097276182229314</v>
      </c>
      <c r="DH65" s="106">
        <f>IF(BN65&lt;0,0,((0.5*(1-DF65)*(1+COS(RADIANS($BU$46))))+(DF65*(CO65/CP65))+(DG65*SIN(RADIANS($BU$46))))*'Irradiancia Horizontal'!J57)</f>
        <v>38.325363641110599</v>
      </c>
      <c r="DI65" s="87">
        <f t="shared" si="434"/>
        <v>0</v>
      </c>
      <c r="DJ65" s="87">
        <f>DI65*'Irradiancia Horizontal'!J86</f>
        <v>0</v>
      </c>
      <c r="DK65" s="87">
        <f t="shared" si="581"/>
        <v>38.325363641110599</v>
      </c>
      <c r="DL65" s="88">
        <f t="shared" si="435"/>
        <v>4230.8708818861724</v>
      </c>
      <c r="DM65" s="87">
        <f t="shared" si="582"/>
        <v>-1895.7551229143382</v>
      </c>
      <c r="DN65" s="106">
        <f t="shared" si="583"/>
        <v>41125.854032800919</v>
      </c>
      <c r="DO65" s="106">
        <f t="shared" si="584"/>
        <v>0</v>
      </c>
      <c r="DP65" s="106">
        <f t="shared" si="585"/>
        <v>6126.6260048005106</v>
      </c>
      <c r="DQ65" s="44"/>
      <c r="DS65" s="39">
        <v>0.70833333333333304</v>
      </c>
      <c r="DT65" s="38">
        <v>-75</v>
      </c>
      <c r="DU65" s="38">
        <f t="shared" si="436"/>
        <v>12.972260588788428</v>
      </c>
      <c r="DV65" s="38">
        <f t="shared" si="747"/>
        <v>-97.599446887905543</v>
      </c>
      <c r="DW65" s="38">
        <f t="shared" si="438"/>
        <v>77.02773941121157</v>
      </c>
      <c r="DX65" s="38">
        <f>+'Irradiancia Horizontal'!K86/COS(RADIANS(DW65))</f>
        <v>647.73775624266216</v>
      </c>
      <c r="DY65" s="38">
        <f>((('Irradiancia Horizontal'!K57+DX65)/'Irradiancia Horizontal'!K57)+1.041*((RADIANS('Cálculos iluminancia'!DW65))^3))/(1+1.041*((RADIANS('Cálculos iluminancia'!DW65))^3))</f>
        <v>5.8955233423013249</v>
      </c>
      <c r="DZ65" s="87">
        <f t="shared" si="439"/>
        <v>4.3754572619061545</v>
      </c>
      <c r="EA65" s="87">
        <f t="shared" si="586"/>
        <v>4.2675019445666988</v>
      </c>
      <c r="EB65" s="106">
        <f>'Irradiancia Horizontal'!K57*EA65/$DZ$46</f>
        <v>0.11628350920366136</v>
      </c>
      <c r="EC65" s="87">
        <f>((17.27*Temp!J27)/(237.7+Temp!J27))+LN(HR!J38/100)</f>
        <v>1.3956911344428309</v>
      </c>
      <c r="ED65" s="87">
        <f t="shared" si="587"/>
        <v>20.8989119127497</v>
      </c>
      <c r="EE65" s="87">
        <f t="shared" si="588"/>
        <v>4.0065232043389267</v>
      </c>
      <c r="EF65" s="87">
        <f t="shared" si="685"/>
        <v>7</v>
      </c>
      <c r="EG65" s="87">
        <f t="shared" si="686"/>
        <v>78.63</v>
      </c>
      <c r="EH65" s="87">
        <f t="shared" si="687"/>
        <v>1.47</v>
      </c>
      <c r="EI65" s="87">
        <f t="shared" si="688"/>
        <v>4.93</v>
      </c>
      <c r="EJ65" s="87">
        <f t="shared" si="689"/>
        <v>-11.37</v>
      </c>
      <c r="EK65" s="103">
        <f t="shared" si="445"/>
        <v>110.09137418490181</v>
      </c>
      <c r="EL65" s="165">
        <f>IF(ER65&gt;(EK65*'Irradiancia Horizontal'!K25),ER65,EK65*'Irradiancia Horizontal'!K25)</f>
        <v>20134.819791695114</v>
      </c>
      <c r="EM65" s="87">
        <f t="shared" si="690"/>
        <v>141.88</v>
      </c>
      <c r="EN65" s="87">
        <f t="shared" si="691"/>
        <v>1.9</v>
      </c>
      <c r="EO65" s="87">
        <f t="shared" si="692"/>
        <v>-53.24</v>
      </c>
      <c r="EP65" s="87">
        <f t="shared" si="693"/>
        <v>-14.03</v>
      </c>
      <c r="EQ65" s="103">
        <f t="shared" si="450"/>
        <v>167.72980462287634</v>
      </c>
      <c r="ER65" s="87">
        <f>+EQ65*'Irradiancia Horizontal'!K57</f>
        <v>6287.8850085791455</v>
      </c>
      <c r="ES65" s="87">
        <f t="shared" si="589"/>
        <v>13846.934783115968</v>
      </c>
      <c r="ET65" s="87">
        <f>+ES65/'Irradiancia Horizontal'!K86</f>
        <v>95.23095712348055</v>
      </c>
      <c r="EU65" s="38">
        <f t="shared" si="451"/>
        <v>0.12887173168939131</v>
      </c>
      <c r="EV65" s="87">
        <f t="shared" si="590"/>
        <v>0.12887173168939131</v>
      </c>
      <c r="EW65" s="87">
        <f t="shared" si="591"/>
        <v>0.22447929252118032</v>
      </c>
      <c r="EX65" s="87">
        <f t="shared" si="592"/>
        <v>1.4850000000000001</v>
      </c>
      <c r="EY65" s="87">
        <f t="shared" si="593"/>
        <v>-1.214</v>
      </c>
      <c r="EZ65" s="87">
        <f t="shared" si="594"/>
        <v>-0.78400000000000003</v>
      </c>
      <c r="FA65" s="87">
        <f t="shared" si="595"/>
        <v>0.41099999999999998</v>
      </c>
      <c r="FB65" s="87">
        <f t="shared" si="596"/>
        <v>-0.629</v>
      </c>
      <c r="FC65" s="87">
        <f t="shared" si="597"/>
        <v>-8.2000000000000003E-2</v>
      </c>
      <c r="FD65" s="87">
        <f t="shared" si="452"/>
        <v>0.28983188804118432</v>
      </c>
      <c r="FE65" s="87">
        <f t="shared" si="453"/>
        <v>0.22761788392720206</v>
      </c>
      <c r="FF65" s="88">
        <f t="shared" si="454"/>
        <v>4710.2047584778711</v>
      </c>
      <c r="FG65" s="87">
        <f t="shared" si="694"/>
        <v>1.06</v>
      </c>
      <c r="FH65" s="87">
        <f t="shared" si="695"/>
        <v>-1.6</v>
      </c>
      <c r="FI65" s="87">
        <f t="shared" si="696"/>
        <v>-0.35899999999999999</v>
      </c>
      <c r="FJ65" s="87">
        <f t="shared" si="697"/>
        <v>0.26400000000000001</v>
      </c>
      <c r="FK65" s="87">
        <f t="shared" si="698"/>
        <v>-1.127</v>
      </c>
      <c r="FL65" s="87">
        <f t="shared" si="699"/>
        <v>0.13100000000000001</v>
      </c>
      <c r="FM65" s="87">
        <f t="shared" si="461"/>
        <v>0.39131121242845318</v>
      </c>
      <c r="FN65" s="87">
        <f t="shared" si="462"/>
        <v>0.30906326964776676</v>
      </c>
      <c r="FO65" s="106">
        <f>IF(DU65&lt;0,0,((0.5*(1-FM65)*(1+COS(RADIANS($EB$46))))+(FM65*(EV65/EW65))+(FN65*SIN(RADIANS($EB$46))))*'Irradiancia Horizontal'!K57)</f>
        <v>31.417202690098275</v>
      </c>
      <c r="FP65" s="87">
        <f t="shared" si="463"/>
        <v>0.5740918471454638</v>
      </c>
      <c r="FQ65" s="87">
        <f>FP65*'Irradiancia Horizontal'!K86</f>
        <v>83.475086327592706</v>
      </c>
      <c r="FR65" s="87">
        <f t="shared" si="598"/>
        <v>114.89228901769098</v>
      </c>
      <c r="FS65" s="88">
        <f t="shared" si="464"/>
        <v>12648.649981206503</v>
      </c>
      <c r="FT65" s="87">
        <f t="shared" si="599"/>
        <v>7938.445222728632</v>
      </c>
      <c r="FU65" s="106">
        <f t="shared" si="600"/>
        <v>61684.686492004454</v>
      </c>
      <c r="FV65" s="106">
        <f t="shared" si="601"/>
        <v>7949.4123669418186</v>
      </c>
      <c r="FW65" s="106">
        <f t="shared" si="602"/>
        <v>12659.617125419689</v>
      </c>
      <c r="FX65" s="83"/>
      <c r="FZ65" s="39">
        <v>0.70833333333333304</v>
      </c>
      <c r="GA65" s="38">
        <v>-75</v>
      </c>
      <c r="GB65" s="38">
        <f t="shared" si="465"/>
        <v>7.0329110421435939</v>
      </c>
      <c r="GC65" s="38">
        <f t="shared" si="748"/>
        <v>-107.66626194582828</v>
      </c>
      <c r="GD65" s="38">
        <f t="shared" si="467"/>
        <v>82.967088957856404</v>
      </c>
      <c r="GE65" s="38">
        <f>+'Irradiancia Horizontal'!L86/COS(RADIANS(GD65))</f>
        <v>713.46515098474936</v>
      </c>
      <c r="GF65" s="38">
        <f>((('Irradiancia Horizontal'!L57+GE65)/'Irradiancia Horizontal'!L57)+1.041*((RADIANS('Cálculos iluminancia'!GD65))^3))/(1+1.041*((RADIANS('Cálculos iluminancia'!GD65))^3))</f>
        <v>11.736506901845209</v>
      </c>
      <c r="GG65" s="88">
        <f t="shared" si="468"/>
        <v>7.6960470159579755</v>
      </c>
      <c r="GH65" s="88">
        <f t="shared" si="603"/>
        <v>7.5061630454069368</v>
      </c>
      <c r="GI65" s="106">
        <f>'Irradiancia Horizontal'!L57*GH65/$GG$46</f>
        <v>8.5624965997834146E-2</v>
      </c>
      <c r="GJ65" s="88">
        <f>((17.27*Temp!K27)/(237.7+Temp!K27))+LN(HR!K38/100)</f>
        <v>1.0599112579029946</v>
      </c>
      <c r="GK65" s="88">
        <f t="shared" si="604"/>
        <v>15.54222867079441</v>
      </c>
      <c r="GL65" s="88">
        <f t="shared" si="605"/>
        <v>2.7537290380423936</v>
      </c>
      <c r="GM65" s="88">
        <f t="shared" si="700"/>
        <v>8</v>
      </c>
      <c r="GN65" s="88">
        <f t="shared" si="701"/>
        <v>99.65</v>
      </c>
      <c r="GO65" s="88">
        <f t="shared" si="702"/>
        <v>1.86</v>
      </c>
      <c r="GP65" s="88">
        <f t="shared" si="703"/>
        <v>-4.46</v>
      </c>
      <c r="GQ65" s="88">
        <f t="shared" si="704"/>
        <v>-3.15</v>
      </c>
      <c r="GR65" s="103">
        <f t="shared" si="474"/>
        <v>111.96785796910666</v>
      </c>
      <c r="GS65" s="165">
        <f>IF(GY65&gt;(GR65*'Irradiancia Horizontal'!L25),GY65,GR65*'Irradiancia Horizontal'!L25)</f>
        <v>11569.326882686448</v>
      </c>
      <c r="GT65" s="88">
        <f t="shared" si="705"/>
        <v>152.22999999999999</v>
      </c>
      <c r="GU65" s="88">
        <f t="shared" si="706"/>
        <v>0.35</v>
      </c>
      <c r="GV65" s="88">
        <f t="shared" si="707"/>
        <v>-45.27</v>
      </c>
      <c r="GW65" s="88">
        <f t="shared" si="708"/>
        <v>-7.98</v>
      </c>
      <c r="GX65" s="103">
        <f t="shared" si="479"/>
        <v>167.26404283081368</v>
      </c>
      <c r="GY65" s="88">
        <f>+GX65*'Irradiancia Horizontal'!L57</f>
        <v>2671.3632312216378</v>
      </c>
      <c r="GZ65" s="88">
        <f t="shared" si="606"/>
        <v>8897.96365146481</v>
      </c>
      <c r="HA65" s="88">
        <f>+GZ65/'Irradiancia Horizontal'!L86</f>
        <v>101.85831795416094</v>
      </c>
      <c r="HB65" s="38">
        <f t="shared" si="480"/>
        <v>0.30118871486286025</v>
      </c>
      <c r="HC65" s="88">
        <f t="shared" si="607"/>
        <v>0.30118871486286025</v>
      </c>
      <c r="HD65" s="88">
        <f t="shared" si="608"/>
        <v>0.12243944777897818</v>
      </c>
      <c r="HE65" s="88">
        <f t="shared" si="609"/>
        <v>1.17</v>
      </c>
      <c r="HF65" s="88">
        <f t="shared" si="610"/>
        <v>-0.3</v>
      </c>
      <c r="HG65" s="88">
        <f t="shared" si="611"/>
        <v>-0.61499999999999999</v>
      </c>
      <c r="HH65" s="88">
        <f t="shared" si="612"/>
        <v>0.51800000000000002</v>
      </c>
      <c r="HI65" s="88">
        <f t="shared" si="613"/>
        <v>-1.8919999999999999</v>
      </c>
      <c r="HJ65" s="88">
        <f t="shared" si="614"/>
        <v>-5.5E-2</v>
      </c>
      <c r="HK65" s="88">
        <f t="shared" si="481"/>
        <v>0.25376245323823021</v>
      </c>
      <c r="HL65" s="88">
        <f t="shared" si="482"/>
        <v>0.27635487631106848</v>
      </c>
      <c r="HM65" s="88">
        <f t="shared" si="483"/>
        <v>3402.5253303659138</v>
      </c>
      <c r="HN65" s="88">
        <f t="shared" si="709"/>
        <v>0.67800000000000005</v>
      </c>
      <c r="HO65" s="88">
        <f t="shared" si="710"/>
        <v>-0.32700000000000001</v>
      </c>
      <c r="HP65" s="88">
        <f t="shared" si="711"/>
        <v>-0.25</v>
      </c>
      <c r="HQ65" s="88">
        <f t="shared" si="712"/>
        <v>0.156</v>
      </c>
      <c r="HR65" s="88">
        <f t="shared" si="713"/>
        <v>-1.377</v>
      </c>
      <c r="HS65" s="88">
        <f t="shared" si="714"/>
        <v>0.251</v>
      </c>
      <c r="HT65" s="88">
        <f t="shared" si="490"/>
        <v>0.28798841784130197</v>
      </c>
      <c r="HU65" s="88">
        <f t="shared" si="491"/>
        <v>0.40155468897149832</v>
      </c>
      <c r="HV65" s="106">
        <f>IF(GB65&lt;0,0,((0.5*(1-HT65)*(1+COS(RADIANS($GI$46))))+(HT65*(HC65/HD65))+(HU65*SIN(RADIANS($GI$46))))*'Irradiancia Horizontal'!L57)</f>
        <v>23.413119776740693</v>
      </c>
      <c r="HW65" s="88">
        <f t="shared" si="492"/>
        <v>2.4598993243301104</v>
      </c>
      <c r="HX65" s="88">
        <f>HW65*'Irradiancia Horizontal'!L86</f>
        <v>214.88765192453323</v>
      </c>
      <c r="HY65" s="88">
        <f t="shared" si="615"/>
        <v>238.30077170127393</v>
      </c>
      <c r="HZ65" s="88">
        <f t="shared" si="493"/>
        <v>26682.026959776751</v>
      </c>
      <c r="IA65" s="88">
        <f t="shared" si="616"/>
        <v>23279.501629410835</v>
      </c>
      <c r="IB65" s="106">
        <f t="shared" si="617"/>
        <v>72672.360198218041</v>
      </c>
      <c r="IC65" s="106">
        <f t="shared" si="618"/>
        <v>21888.094774152167</v>
      </c>
      <c r="ID65" s="106">
        <f t="shared" si="619"/>
        <v>25290.620104518079</v>
      </c>
      <c r="IE65" s="83"/>
      <c r="IG65" s="39">
        <v>0.70833333333333304</v>
      </c>
      <c r="IH65" s="38">
        <v>-75</v>
      </c>
      <c r="II65" s="38">
        <f t="shared" si="494"/>
        <v>2.4187526411256099</v>
      </c>
      <c r="IJ65" s="38">
        <f t="shared" si="749"/>
        <v>-115.05417364306142</v>
      </c>
      <c r="IK65" s="38">
        <f t="shared" si="496"/>
        <v>87.581247358874393</v>
      </c>
      <c r="IL65" s="38">
        <f>+'Irradiancia Horizontal'!M86/COS(RADIANS(IK65))</f>
        <v>629.02428993554361</v>
      </c>
      <c r="IM65" s="38">
        <f>((('Irradiancia Horizontal'!M57+IL65)/'Irradiancia Horizontal'!M57)+1.041*((RADIANS('Cálculos iluminancia'!IK65))^3))/(1+1.041*((RADIANS('Cálculos iluminancia'!IK65))^3))</f>
        <v>21.234702701523851</v>
      </c>
      <c r="IN65" s="88">
        <f t="shared" si="497"/>
        <v>17.407255311291184</v>
      </c>
      <c r="IO65" s="88">
        <f t="shared" si="620"/>
        <v>16.977767452387791</v>
      </c>
      <c r="IP65" s="106">
        <f>'Irradiancia Horizontal'!M57*IO65/$IN$46</f>
        <v>7.8656306030218337E-2</v>
      </c>
      <c r="IQ65" s="88">
        <f>((17.27*Temp!L27)/(237.7+Temp!L27))+LN(HR!L38/100)</f>
        <v>0.75409629773142428</v>
      </c>
      <c r="IR65" s="88">
        <f t="shared" si="621"/>
        <v>10.85309609465321</v>
      </c>
      <c r="IS65" s="88">
        <f t="shared" si="622"/>
        <v>1.9832099653807</v>
      </c>
      <c r="IT65" s="88">
        <f t="shared" si="715"/>
        <v>8</v>
      </c>
      <c r="IU65" s="88">
        <f t="shared" si="716"/>
        <v>99.65</v>
      </c>
      <c r="IV65" s="88">
        <f t="shared" si="717"/>
        <v>1.86</v>
      </c>
      <c r="IW65" s="88">
        <f t="shared" si="718"/>
        <v>-4.46</v>
      </c>
      <c r="IX65" s="88">
        <f t="shared" si="719"/>
        <v>-3.15</v>
      </c>
      <c r="IY65" s="103">
        <f t="shared" si="503"/>
        <v>111.15994921732356</v>
      </c>
      <c r="IZ65" s="165">
        <f>IF(JF65&gt;(IY65*'Irradiancia Horizontal'!M25),JF65,IY65*'Irradiancia Horizontal'!M25)</f>
        <v>3683.3196484520054</v>
      </c>
      <c r="JA65" s="88">
        <f t="shared" si="720"/>
        <v>152.22999999999999</v>
      </c>
      <c r="JB65" s="88">
        <f t="shared" si="721"/>
        <v>0.35</v>
      </c>
      <c r="JC65" s="88">
        <f t="shared" si="722"/>
        <v>-45.27</v>
      </c>
      <c r="JD65" s="88">
        <f t="shared" si="723"/>
        <v>-7.98</v>
      </c>
      <c r="JE65" s="103">
        <f t="shared" si="508"/>
        <v>171.30409552739806</v>
      </c>
      <c r="JF65" s="88">
        <f>+JE65*'Irradiancia Horizontal'!M57</f>
        <v>1128.6908880375993</v>
      </c>
      <c r="JG65" s="88">
        <f t="shared" si="623"/>
        <v>2554.6287604144063</v>
      </c>
      <c r="JH65" s="88">
        <f>+JG65/'Irradiancia Horizontal'!M86</f>
        <v>96.232232003017302</v>
      </c>
      <c r="JI65" s="38">
        <f t="shared" si="509"/>
        <v>0.42309770816227177</v>
      </c>
      <c r="JJ65" s="88">
        <f t="shared" si="624"/>
        <v>0.42309770816227177</v>
      </c>
      <c r="JK65" s="88">
        <f t="shared" si="625"/>
        <v>8.6999999999999994E-2</v>
      </c>
      <c r="JL65" s="88">
        <f t="shared" si="626"/>
        <v>1.17</v>
      </c>
      <c r="JM65" s="88">
        <f t="shared" si="627"/>
        <v>-0.3</v>
      </c>
      <c r="JN65" s="88">
        <f t="shared" si="628"/>
        <v>-0.61499999999999999</v>
      </c>
      <c r="JO65" s="88">
        <f t="shared" si="629"/>
        <v>0.51800000000000002</v>
      </c>
      <c r="JP65" s="88">
        <f t="shared" si="630"/>
        <v>-1.8919999999999999</v>
      </c>
      <c r="JQ65" s="88">
        <f t="shared" si="631"/>
        <v>-5.5E-2</v>
      </c>
      <c r="JR65" s="88">
        <f t="shared" si="510"/>
        <v>0.20632571360012775</v>
      </c>
      <c r="JS65" s="88">
        <f t="shared" si="511"/>
        <v>0.28511030687294991</v>
      </c>
      <c r="JT65" s="88">
        <f t="shared" si="512"/>
        <v>1902.2380817192534</v>
      </c>
      <c r="JU65" s="88">
        <f t="shared" si="724"/>
        <v>0.67800000000000005</v>
      </c>
      <c r="JV65" s="88">
        <f t="shared" si="725"/>
        <v>-0.32700000000000001</v>
      </c>
      <c r="JW65" s="88">
        <f t="shared" si="726"/>
        <v>-0.25</v>
      </c>
      <c r="JX65" s="88">
        <f t="shared" si="727"/>
        <v>0.156</v>
      </c>
      <c r="JY65" s="88">
        <f t="shared" si="728"/>
        <v>-1.377</v>
      </c>
      <c r="JZ65" s="88">
        <f t="shared" si="729"/>
        <v>0.251</v>
      </c>
      <c r="KA65" s="88">
        <f t="shared" si="519"/>
        <v>0.2701341055741322</v>
      </c>
      <c r="KB65" s="88">
        <f t="shared" si="520"/>
        <v>0.4313641300797918</v>
      </c>
      <c r="KC65" s="106">
        <f>IF(II65&lt;0,0,((0.5*(1-KA65)*(1+COS(RADIANS($IP$46))))+(KA65*(JJ65/JK65))+(KB65*SIN(RADIANS($IP$46))))*'Irradiancia Horizontal'!M57)</f>
        <v>13.902471553475213</v>
      </c>
      <c r="KD65" s="88">
        <f t="shared" si="521"/>
        <v>10.025380177224601</v>
      </c>
      <c r="KE65" s="88">
        <f>KD65*'Irradiancia Horizontal'!M86</f>
        <v>266.13873545012882</v>
      </c>
      <c r="KF65" s="88">
        <f t="shared" si="632"/>
        <v>280.04120700360403</v>
      </c>
      <c r="KG65" s="88">
        <f t="shared" si="522"/>
        <v>31129.366349278618</v>
      </c>
      <c r="KH65" s="88">
        <f t="shared" si="633"/>
        <v>29227.128267559365</v>
      </c>
      <c r="KI65" s="106">
        <f t="shared" si="634"/>
        <v>60532.411404610451</v>
      </c>
      <c r="KJ65" s="106">
        <f t="shared" si="635"/>
        <v>25611.124534826446</v>
      </c>
      <c r="KK65" s="106">
        <f t="shared" si="636"/>
        <v>27513.362616545699</v>
      </c>
      <c r="KL65" s="40"/>
      <c r="KN65" s="39">
        <v>0.70833333333333304</v>
      </c>
      <c r="KO65" s="38">
        <v>-75</v>
      </c>
      <c r="KP65" s="38">
        <f t="shared" si="523"/>
        <v>0.80777986614324049</v>
      </c>
      <c r="KQ65" s="38">
        <f t="shared" si="750"/>
        <v>-117.59582673339338</v>
      </c>
      <c r="KR65" s="38">
        <f t="shared" si="525"/>
        <v>89.192220133856765</v>
      </c>
      <c r="KS65" s="38">
        <f>+'Irradiancia Horizontal'!N86/COS(RADIANS(KR65))</f>
        <v>476.85910417634182</v>
      </c>
      <c r="KT65" s="38">
        <f>((('Irradiancia Horizontal'!N57+KS65)/'Irradiancia Horizontal'!N57)+1.041*((RADIANS('Cálculos iluminancia'!KR65))^3))/(1+1.041*((RADIANS('Cálculos iluminancia'!KR65))^3))</f>
        <v>34.085573302560519</v>
      </c>
      <c r="KU65" s="88">
        <f t="shared" si="526"/>
        <v>28.089788123519959</v>
      </c>
      <c r="KV65" s="88">
        <f t="shared" si="637"/>
        <v>27.396730961866506</v>
      </c>
      <c r="KW65" s="106">
        <f>'Irradiancia Horizontal'!N57*KV65/$KU$46</f>
        <v>5.5875159298540526E-2</v>
      </c>
      <c r="KX65" s="88">
        <f>((17.27*Temp!M27)/(237.7+Temp!M27))+LN(HR!M38/100)</f>
        <v>0.46229330249391487</v>
      </c>
      <c r="KY65" s="88">
        <f t="shared" si="638"/>
        <v>6.5379007368749793</v>
      </c>
      <c r="KZ65" s="88">
        <f t="shared" si="639"/>
        <v>1.4661692567092086</v>
      </c>
      <c r="LA65" s="88">
        <f t="shared" si="730"/>
        <v>8</v>
      </c>
      <c r="LB65" s="88">
        <f t="shared" si="731"/>
        <v>99.65</v>
      </c>
      <c r="LC65" s="88">
        <f t="shared" si="732"/>
        <v>1.86</v>
      </c>
      <c r="LD65" s="88">
        <f t="shared" si="733"/>
        <v>-4.46</v>
      </c>
      <c r="LE65" s="88">
        <f t="shared" si="734"/>
        <v>-3.15</v>
      </c>
      <c r="LF65" s="103">
        <f t="shared" si="532"/>
        <v>111.40079938636327</v>
      </c>
      <c r="LG65" s="165">
        <f>IF(LM65&gt;(LF65*'Irradiancia Horizontal'!N25),LM65,LF65*'Irradiancia Horizontal'!N25)</f>
        <v>1074.7960911725547</v>
      </c>
      <c r="LH65" s="88">
        <f t="shared" si="735"/>
        <v>152.22999999999999</v>
      </c>
      <c r="LI65" s="88">
        <f t="shared" si="736"/>
        <v>0.35</v>
      </c>
      <c r="LJ65" s="88">
        <f t="shared" si="737"/>
        <v>-45.27</v>
      </c>
      <c r="LK65" s="88">
        <f t="shared" si="738"/>
        <v>-7.98</v>
      </c>
      <c r="LL65" s="103">
        <f t="shared" si="537"/>
        <v>175.12433527965899</v>
      </c>
      <c r="LM65" s="88">
        <f>+LL65*'Irradiancia Horizontal'!N57</f>
        <v>512.28669540893463</v>
      </c>
      <c r="LN65" s="88">
        <f t="shared" si="640"/>
        <v>562.50939576362009</v>
      </c>
      <c r="LO65" s="88">
        <f>+LN65/'Irradiancia Horizontal'!N86</f>
        <v>83.672683535747936</v>
      </c>
      <c r="LP65" s="38">
        <f t="shared" si="538"/>
        <v>0.46318544883282758</v>
      </c>
      <c r="LQ65" s="88">
        <f t="shared" si="641"/>
        <v>0.46318544883282758</v>
      </c>
      <c r="LR65" s="88">
        <f t="shared" si="642"/>
        <v>8.6999999999999994E-2</v>
      </c>
      <c r="LS65" s="88">
        <f t="shared" si="643"/>
        <v>1.17</v>
      </c>
      <c r="LT65" s="88">
        <f t="shared" si="644"/>
        <v>-0.3</v>
      </c>
      <c r="LU65" s="88">
        <f t="shared" si="645"/>
        <v>-0.61499999999999999</v>
      </c>
      <c r="LV65" s="88">
        <f t="shared" si="646"/>
        <v>0.51800000000000002</v>
      </c>
      <c r="LW65" s="88">
        <f t="shared" si="647"/>
        <v>-1.8919999999999999</v>
      </c>
      <c r="LX65" s="88">
        <f t="shared" si="648"/>
        <v>-5.5E-2</v>
      </c>
      <c r="LY65" s="88">
        <f t="shared" si="539"/>
        <v>0.19586823848332025</v>
      </c>
      <c r="LZ65" s="88">
        <f t="shared" si="540"/>
        <v>0.3266658136396956</v>
      </c>
      <c r="MA65" s="88">
        <f t="shared" si="541"/>
        <v>907.53045674895361</v>
      </c>
      <c r="MB65" s="88">
        <f t="shared" si="739"/>
        <v>0.67800000000000005</v>
      </c>
      <c r="MC65" s="88">
        <f t="shared" si="740"/>
        <v>-0.32700000000000001</v>
      </c>
      <c r="MD65" s="88">
        <f t="shared" si="741"/>
        <v>-0.25</v>
      </c>
      <c r="ME65" s="88">
        <f t="shared" si="742"/>
        <v>0.156</v>
      </c>
      <c r="MF65" s="88">
        <f t="shared" si="743"/>
        <v>-1.377</v>
      </c>
      <c r="MG65" s="88">
        <f t="shared" si="744"/>
        <v>0.251</v>
      </c>
      <c r="MH65" s="88">
        <f t="shared" si="548"/>
        <v>0.27055434578453275</v>
      </c>
      <c r="MI65" s="88">
        <f t="shared" si="549"/>
        <v>0.46979108067925363</v>
      </c>
      <c r="MJ65" s="106">
        <f>IF(KP65&lt;0,0,((0.5*(1-MH65)*(1+COS(RADIANS($KW$46))))+(MH65*(LQ65/LR65))+(MI65*SIN(RADIANS($KW$46))))*'Irradiancia Horizontal'!N57)</f>
        <v>6.6548153658426878</v>
      </c>
      <c r="MK65" s="88">
        <f t="shared" si="550"/>
        <v>32.85480567296058</v>
      </c>
      <c r="ML65" s="88">
        <f>MK65*'Irradiancia Horizontal'!N86</f>
        <v>220.87419819793897</v>
      </c>
      <c r="MM65" s="88">
        <f t="shared" si="649"/>
        <v>227.52901356378166</v>
      </c>
      <c r="MN65" s="88">
        <f t="shared" si="551"/>
        <v>25346.913994595969</v>
      </c>
      <c r="MO65" s="88">
        <f t="shared" si="650"/>
        <v>24439.383537847014</v>
      </c>
      <c r="MP65" s="106">
        <f t="shared" si="651"/>
        <v>39900.080914887309</v>
      </c>
      <c r="MQ65" s="106">
        <f t="shared" si="652"/>
        <v>18481.136887028217</v>
      </c>
      <c r="MR65" s="106">
        <f t="shared" si="653"/>
        <v>19388.667343777171</v>
      </c>
    </row>
    <row r="66" spans="1:356" x14ac:dyDescent="0.25">
      <c r="A66" s="48"/>
      <c r="B66" s="37"/>
      <c r="E66" s="39">
        <v>0.75</v>
      </c>
      <c r="F66" s="38">
        <v>-90</v>
      </c>
      <c r="G66" s="38">
        <f t="shared" si="378"/>
        <v>9.7730868529410237</v>
      </c>
      <c r="H66" s="38">
        <f t="shared" si="745"/>
        <v>-71.957650170580621</v>
      </c>
      <c r="I66" s="38">
        <f t="shared" si="380"/>
        <v>80.22691314705898</v>
      </c>
      <c r="J66" s="38">
        <f>+'Irradiancia Horizontal'!I87/COS(RADIANS(I66))</f>
        <v>421.17269761830295</v>
      </c>
      <c r="K66" s="38">
        <f>((('Irradiancia Horizontal'!I58+J66)/'Irradiancia Horizontal'!I58)+1.041*((RADIANS('Cálculos iluminancia'!I66))^3))/(1+1.041*((RADIANS('Cálculos iluminancia'!I66))^3))</f>
        <v>3.8169750852095823</v>
      </c>
      <c r="L66" s="87">
        <f t="shared" si="381"/>
        <v>5.7063749330725395</v>
      </c>
      <c r="M66" s="87">
        <f t="shared" si="654"/>
        <v>5.565581987356647</v>
      </c>
      <c r="N66" s="106">
        <f>'Irradiancia Horizontal'!I58*M66/$L$46</f>
        <v>0.16068042619645032</v>
      </c>
      <c r="O66" s="87">
        <f>((17.27*Temp!H28)/(237.7+Temp!H28))+LN(HR!H39/100)</f>
        <v>1.3797325034573626</v>
      </c>
      <c r="P66" s="87">
        <f t="shared" si="553"/>
        <v>20.639200450412321</v>
      </c>
      <c r="Q66" s="87">
        <f t="shared" si="554"/>
        <v>3.9343434986803749</v>
      </c>
      <c r="R66" s="87">
        <f t="shared" si="655"/>
        <v>6</v>
      </c>
      <c r="S66" s="87">
        <f t="shared" si="656"/>
        <v>88.34</v>
      </c>
      <c r="T66" s="87">
        <f t="shared" si="657"/>
        <v>1.39</v>
      </c>
      <c r="U66" s="87">
        <f t="shared" si="658"/>
        <v>6.06</v>
      </c>
      <c r="V66" s="87">
        <f t="shared" si="659"/>
        <v>-7.6</v>
      </c>
      <c r="W66" s="103">
        <f t="shared" si="387"/>
        <v>108.73276933910535</v>
      </c>
      <c r="X66" s="165">
        <f>IF(AD66&gt;(W66*'Irradiancia Horizontal'!I26),AD66,W66*'Irradiancia Horizontal'!I26)</f>
        <v>11987.5448315088</v>
      </c>
      <c r="Y66" s="87">
        <f t="shared" si="660"/>
        <v>106.42</v>
      </c>
      <c r="Z66" s="87">
        <f t="shared" si="661"/>
        <v>3.83</v>
      </c>
      <c r="AA66" s="87">
        <f t="shared" si="662"/>
        <v>-36.15</v>
      </c>
      <c r="AB66" s="87">
        <f t="shared" si="663"/>
        <v>-28.83</v>
      </c>
      <c r="AC66" s="103">
        <f t="shared" si="392"/>
        <v>168.0631748550133</v>
      </c>
      <c r="AD66" s="87">
        <f>+AC66*'Irradiancia Horizontal'!I58</f>
        <v>6513.3096760054168</v>
      </c>
      <c r="AE66" s="87">
        <f t="shared" si="393"/>
        <v>5474.2351555033829</v>
      </c>
      <c r="AF66" s="87">
        <f>+AE66/'Irradiancia Horizontal'!I87</f>
        <v>76.570613191127308</v>
      </c>
      <c r="AG66" s="38">
        <f t="shared" si="555"/>
        <v>-0.30522514252593264</v>
      </c>
      <c r="AH66" s="87">
        <f t="shared" si="556"/>
        <v>0</v>
      </c>
      <c r="AI66" s="87">
        <f t="shared" si="557"/>
        <v>0.16974661162342602</v>
      </c>
      <c r="AJ66" s="87">
        <f t="shared" si="558"/>
        <v>1.4259999999999999</v>
      </c>
      <c r="AK66" s="87">
        <f t="shared" si="559"/>
        <v>-0.65300000000000002</v>
      </c>
      <c r="AL66" s="87">
        <f t="shared" si="560"/>
        <v>-0.77900000000000003</v>
      </c>
      <c r="AM66" s="87">
        <f t="shared" si="561"/>
        <v>0.42499999999999999</v>
      </c>
      <c r="AN66" s="87">
        <f t="shared" si="562"/>
        <v>-0.78500000000000003</v>
      </c>
      <c r="AO66" s="87">
        <f t="shared" si="563"/>
        <v>-9.7000000000000003E-2</v>
      </c>
      <c r="AP66" s="87">
        <f t="shared" si="394"/>
        <v>0.23030135463723567</v>
      </c>
      <c r="AQ66" s="87">
        <f t="shared" si="395"/>
        <v>0.16304415847239914</v>
      </c>
      <c r="AR66" s="88">
        <f t="shared" si="396"/>
        <v>3568.5999122192156</v>
      </c>
      <c r="AS66" s="87">
        <f t="shared" si="664"/>
        <v>1.1319999999999999</v>
      </c>
      <c r="AT66" s="87">
        <f t="shared" si="665"/>
        <v>-1.2370000000000001</v>
      </c>
      <c r="AU66" s="87">
        <f t="shared" si="666"/>
        <v>-0.41199999999999998</v>
      </c>
      <c r="AV66" s="87">
        <f t="shared" si="667"/>
        <v>0.28799999999999998</v>
      </c>
      <c r="AW66" s="87">
        <f t="shared" si="668"/>
        <v>-0.82299999999999995</v>
      </c>
      <c r="AX66" s="87">
        <f t="shared" si="669"/>
        <v>5.6000000000000001E-2</v>
      </c>
      <c r="AY66" s="87">
        <f t="shared" si="403"/>
        <v>0.3563461141463764</v>
      </c>
      <c r="AZ66" s="87">
        <f t="shared" si="404"/>
        <v>0.23417254109547286</v>
      </c>
      <c r="BA66" s="106">
        <f>IF(G66&lt;0,0,((0.5*(1-AY66)*(1+COS(RADIANS($N$46))))+(AY66*(AH66/AI66))+(AZ66*SIN(RADIANS($N$46))))*'Irradiancia Horizontal'!I58)</f>
        <v>21.547830583710645</v>
      </c>
      <c r="BB66" s="87">
        <f t="shared" si="405"/>
        <v>0</v>
      </c>
      <c r="BC66" s="87">
        <f>BB66*'Irradiancia Horizontal'!I87</f>
        <v>0</v>
      </c>
      <c r="BD66" s="87">
        <f t="shared" si="564"/>
        <v>21.547830583710645</v>
      </c>
      <c r="BE66" s="88">
        <f t="shared" si="406"/>
        <v>2342.9552926167294</v>
      </c>
      <c r="BF66" s="87">
        <f t="shared" si="565"/>
        <v>-1225.6446196024863</v>
      </c>
      <c r="BG66" s="106">
        <f t="shared" si="566"/>
        <v>32249.451715994703</v>
      </c>
      <c r="BH66" s="106">
        <f t="shared" si="567"/>
        <v>0</v>
      </c>
      <c r="BI66" s="106">
        <f t="shared" si="568"/>
        <v>3568.5999122192156</v>
      </c>
      <c r="BJ66" s="44"/>
      <c r="BL66" s="39">
        <v>0.75</v>
      </c>
      <c r="BM66" s="38">
        <v>-90</v>
      </c>
      <c r="BN66" s="38">
        <f t="shared" si="407"/>
        <v>5.6821815467779757</v>
      </c>
      <c r="BO66" s="38">
        <f t="shared" si="746"/>
        <v>-79.693624283554726</v>
      </c>
      <c r="BP66" s="38">
        <f t="shared" si="409"/>
        <v>84.317818453222031</v>
      </c>
      <c r="BQ66" s="38">
        <f>+'Irradiancia Horizontal'!J87/COS(RADIANS(BP66))</f>
        <v>399.44718687864497</v>
      </c>
      <c r="BR66" s="38">
        <f>((('Irradiancia Horizontal'!J58+BQ66)/'Irradiancia Horizontal'!J58)+1.041*((RADIANS('Cálculos iluminancia'!BP66))^3))/(1+1.041*((RADIANS('Cálculos iluminancia'!BP66))^3))</f>
        <v>5.0166569477457132</v>
      </c>
      <c r="BS66" s="87">
        <f t="shared" si="410"/>
        <v>9.2620568455457928</v>
      </c>
      <c r="BT66" s="87">
        <f t="shared" si="569"/>
        <v>9.0335348360446925</v>
      </c>
      <c r="BU66" s="106">
        <f>'Irradiancia Horizontal'!J58*BT66/$BS$46</f>
        <v>0.15360505708646038</v>
      </c>
      <c r="BV66" s="87">
        <f>((17.27*Temp!I28)/(237.7+Temp!I28))+LN(HR!I39/100)</f>
        <v>1.5247070194438721</v>
      </c>
      <c r="BW66" s="87">
        <f t="shared" si="570"/>
        <v>23.017854222805799</v>
      </c>
      <c r="BX66" s="87">
        <f t="shared" si="571"/>
        <v>4.6471298645231514</v>
      </c>
      <c r="BY66" s="87">
        <f t="shared" si="670"/>
        <v>7</v>
      </c>
      <c r="BZ66" s="87">
        <f t="shared" si="671"/>
        <v>78.63</v>
      </c>
      <c r="CA66" s="87">
        <f t="shared" si="672"/>
        <v>1.47</v>
      </c>
      <c r="CB66" s="87">
        <f t="shared" si="673"/>
        <v>4.93</v>
      </c>
      <c r="CC66" s="87">
        <f t="shared" si="674"/>
        <v>-11.37</v>
      </c>
      <c r="CD66" s="103">
        <f t="shared" si="416"/>
        <v>107.2496246238708</v>
      </c>
      <c r="CE66" s="165">
        <f>IF(CK66&gt;(CD66*'Irradiancia Horizontal'!J26),CK66,CD66*'Irradiancia Horizontal'!J26)</f>
        <v>6711.8729446075577</v>
      </c>
      <c r="CF66" s="87">
        <f t="shared" si="675"/>
        <v>141.88</v>
      </c>
      <c r="CG66" s="87">
        <f t="shared" si="676"/>
        <v>1.9</v>
      </c>
      <c r="CH66" s="87">
        <f t="shared" si="677"/>
        <v>-53.24</v>
      </c>
      <c r="CI66" s="87">
        <f t="shared" si="678"/>
        <v>-14.03</v>
      </c>
      <c r="CJ66" s="103">
        <f t="shared" si="421"/>
        <v>171.72162740669154</v>
      </c>
      <c r="CK66" s="87">
        <f>+CJ66*'Irradiancia Horizontal'!J58</f>
        <v>3955.1616173924763</v>
      </c>
      <c r="CL66" s="87">
        <f t="shared" si="572"/>
        <v>2756.7113272150814</v>
      </c>
      <c r="CM66" s="87">
        <f>+CL66/'Irradiancia Horizontal'!J87</f>
        <v>69.703018020286237</v>
      </c>
      <c r="CN66" s="38">
        <f t="shared" si="422"/>
        <v>-0.17803259917958728</v>
      </c>
      <c r="CO66" s="87">
        <f t="shared" si="573"/>
        <v>0</v>
      </c>
      <c r="CP66" s="87">
        <f t="shared" si="574"/>
        <v>9.9010291941067363E-2</v>
      </c>
      <c r="CQ66" s="87">
        <f t="shared" si="575"/>
        <v>1.4850000000000001</v>
      </c>
      <c r="CR66" s="87">
        <f t="shared" si="576"/>
        <v>-1.214</v>
      </c>
      <c r="CS66" s="87">
        <f t="shared" si="577"/>
        <v>-0.78400000000000003</v>
      </c>
      <c r="CT66" s="87">
        <f t="shared" si="578"/>
        <v>0.41099999999999998</v>
      </c>
      <c r="CU66" s="87">
        <f t="shared" si="579"/>
        <v>-0.629</v>
      </c>
      <c r="CV66" s="87">
        <f t="shared" si="580"/>
        <v>-8.2000000000000003E-2</v>
      </c>
      <c r="CW66" s="87">
        <f t="shared" si="423"/>
        <v>0.1447705974127127</v>
      </c>
      <c r="CX66" s="87">
        <f t="shared" si="424"/>
        <v>0.19370928798379672</v>
      </c>
      <c r="CY66" s="88">
        <f t="shared" si="425"/>
        <v>2457.4367943553066</v>
      </c>
      <c r="CZ66" s="87">
        <f t="shared" si="679"/>
        <v>1.06</v>
      </c>
      <c r="DA66" s="87">
        <f t="shared" si="680"/>
        <v>-1.6</v>
      </c>
      <c r="DB66" s="87">
        <f t="shared" si="681"/>
        <v>-0.35899999999999999</v>
      </c>
      <c r="DC66" s="87">
        <f t="shared" si="682"/>
        <v>0.26400000000000001</v>
      </c>
      <c r="DD66" s="87">
        <f t="shared" si="683"/>
        <v>-1.127</v>
      </c>
      <c r="DE66" s="87">
        <f t="shared" si="684"/>
        <v>0.13100000000000001</v>
      </c>
      <c r="DF66" s="87">
        <f t="shared" si="432"/>
        <v>0.28591905417305052</v>
      </c>
      <c r="DG66" s="87">
        <f t="shared" si="433"/>
        <v>0.28366978572764912</v>
      </c>
      <c r="DH66" s="106">
        <f>IF(BN66&lt;0,0,((0.5*(1-DF66)*(1+COS(RADIANS($BU$46))))+(DF66*(CO66/CP66))+(DG66*SIN(RADIANS($BU$46))))*'Irradiancia Horizontal'!J58)</f>
        <v>14.757096477110556</v>
      </c>
      <c r="DI66" s="87">
        <f t="shared" si="434"/>
        <v>0</v>
      </c>
      <c r="DJ66" s="87">
        <f>DI66*'Irradiancia Horizontal'!J87</f>
        <v>0</v>
      </c>
      <c r="DK66" s="87">
        <f t="shared" si="581"/>
        <v>14.757096477110556</v>
      </c>
      <c r="DL66" s="88">
        <f t="shared" si="435"/>
        <v>1582.6930577083533</v>
      </c>
      <c r="DM66" s="87">
        <f t="shared" si="582"/>
        <v>-874.74373664695327</v>
      </c>
      <c r="DN66" s="106">
        <f t="shared" si="583"/>
        <v>27842.674465154832</v>
      </c>
      <c r="DO66" s="106">
        <f t="shared" si="584"/>
        <v>0</v>
      </c>
      <c r="DP66" s="106">
        <f t="shared" si="585"/>
        <v>2457.4367943553066</v>
      </c>
      <c r="DQ66" s="44"/>
      <c r="DS66" s="39">
        <v>0.75</v>
      </c>
      <c r="DT66" s="38">
        <v>-90</v>
      </c>
      <c r="DU66" s="38">
        <f t="shared" si="436"/>
        <v>-9.8097331492219067E-2</v>
      </c>
      <c r="DV66" s="38">
        <f t="shared" si="747"/>
        <v>-90.176391435763364</v>
      </c>
      <c r="DW66" s="38">
        <f t="shared" si="438"/>
        <v>90.098097331492212</v>
      </c>
      <c r="DX66" s="38">
        <f>+'Irradiancia Horizontal'!K87/COS(RADIANS(DW66))</f>
        <v>0</v>
      </c>
      <c r="DY66" s="38" t="e">
        <f>((('Irradiancia Horizontal'!K58+DX66)/'Irradiancia Horizontal'!K58)+1.041*((RADIANS('Cálculos iluminancia'!DW66))^3))/(1+1.041*((RADIANS('Cálculos iluminancia'!DW66))^3))</f>
        <v>#DIV/0!</v>
      </c>
      <c r="DZ66" s="87">
        <f t="shared" si="439"/>
        <v>39.415325677035824</v>
      </c>
      <c r="EA66" s="87">
        <f t="shared" si="586"/>
        <v>38.44283440656946</v>
      </c>
      <c r="EB66" s="106">
        <f>'Irradiancia Horizontal'!K58*EA66/$DZ$46</f>
        <v>0</v>
      </c>
      <c r="EC66" s="87">
        <f>((17.27*Temp!J28)/(237.7+Temp!J28))+LN(HR!J39/100)</f>
        <v>1.3971076376864073</v>
      </c>
      <c r="ED66" s="87">
        <f t="shared" si="587"/>
        <v>20.921989382762629</v>
      </c>
      <c r="EE66" s="87">
        <f t="shared" si="588"/>
        <v>4.0130006641860847</v>
      </c>
      <c r="EF66" s="87" t="e">
        <f t="shared" si="685"/>
        <v>#DIV/0!</v>
      </c>
      <c r="EG66" s="87" t="e">
        <f t="shared" si="686"/>
        <v>#DIV/0!</v>
      </c>
      <c r="EH66" s="87" t="e">
        <f t="shared" si="687"/>
        <v>#DIV/0!</v>
      </c>
      <c r="EI66" s="87" t="e">
        <f t="shared" si="688"/>
        <v>#DIV/0!</v>
      </c>
      <c r="EJ66" s="87" t="e">
        <f t="shared" si="689"/>
        <v>#DIV/0!</v>
      </c>
      <c r="EK66" s="103">
        <f t="shared" si="445"/>
        <v>0</v>
      </c>
      <c r="EL66" s="165">
        <f>IF(ER66&gt;(EK66*'Irradiancia Horizontal'!K26),ER66,EK66*'Irradiancia Horizontal'!K26)</f>
        <v>0</v>
      </c>
      <c r="EM66" s="87" t="e">
        <f t="shared" si="690"/>
        <v>#DIV/0!</v>
      </c>
      <c r="EN66" s="87" t="e">
        <f t="shared" si="691"/>
        <v>#DIV/0!</v>
      </c>
      <c r="EO66" s="87" t="e">
        <f t="shared" si="692"/>
        <v>#DIV/0!</v>
      </c>
      <c r="EP66" s="87" t="e">
        <f t="shared" si="693"/>
        <v>#DIV/0!</v>
      </c>
      <c r="EQ66" s="103">
        <f t="shared" si="450"/>
        <v>0</v>
      </c>
      <c r="ER66" s="87">
        <f>+EQ66*'Irradiancia Horizontal'!K58</f>
        <v>0</v>
      </c>
      <c r="ES66" s="87">
        <f t="shared" si="589"/>
        <v>0</v>
      </c>
      <c r="ET66" s="87" t="e">
        <f>+ES66/'Irradiancia Horizontal'!K87</f>
        <v>#DIV/0!</v>
      </c>
      <c r="EU66" s="38">
        <f t="shared" si="451"/>
        <v>3.0786019510409841E-3</v>
      </c>
      <c r="EV66" s="87">
        <f t="shared" si="590"/>
        <v>3.0786019510409841E-3</v>
      </c>
      <c r="EW66" s="87">
        <f t="shared" si="591"/>
        <v>8.6999999999999994E-2</v>
      </c>
      <c r="EX66" s="87" t="e">
        <f t="shared" si="592"/>
        <v>#DIV/0!</v>
      </c>
      <c r="EY66" s="87" t="e">
        <f t="shared" si="593"/>
        <v>#DIV/0!</v>
      </c>
      <c r="EZ66" s="87" t="e">
        <f t="shared" si="594"/>
        <v>#DIV/0!</v>
      </c>
      <c r="FA66" s="87" t="e">
        <f t="shared" si="595"/>
        <v>#DIV/0!</v>
      </c>
      <c r="FB66" s="87" t="e">
        <f t="shared" si="596"/>
        <v>#DIV/0!</v>
      </c>
      <c r="FC66" s="87" t="e">
        <f t="shared" si="597"/>
        <v>#DIV/0!</v>
      </c>
      <c r="FD66" s="87" t="e">
        <f t="shared" si="452"/>
        <v>#DIV/0!</v>
      </c>
      <c r="FE66" s="87" t="e">
        <f t="shared" si="453"/>
        <v>#DIV/0!</v>
      </c>
      <c r="FF66" s="88">
        <f t="shared" si="454"/>
        <v>0</v>
      </c>
      <c r="FG66" s="87" t="e">
        <f t="shared" si="694"/>
        <v>#DIV/0!</v>
      </c>
      <c r="FH66" s="87" t="e">
        <f t="shared" si="695"/>
        <v>#DIV/0!</v>
      </c>
      <c r="FI66" s="87" t="e">
        <f t="shared" si="696"/>
        <v>#DIV/0!</v>
      </c>
      <c r="FJ66" s="87" t="e">
        <f t="shared" si="697"/>
        <v>#DIV/0!</v>
      </c>
      <c r="FK66" s="87" t="e">
        <f t="shared" si="698"/>
        <v>#DIV/0!</v>
      </c>
      <c r="FL66" s="87" t="e">
        <f t="shared" si="699"/>
        <v>#DIV/0!</v>
      </c>
      <c r="FM66" s="87" t="e">
        <f t="shared" si="461"/>
        <v>#DIV/0!</v>
      </c>
      <c r="FN66" s="87" t="e">
        <f t="shared" si="462"/>
        <v>#DIV/0!</v>
      </c>
      <c r="FO66" s="106">
        <f>IF(DU66&lt;0,0,((0.5*(1-FM66)*(1+COS(RADIANS($EB$46))))+(FM66*(EV66/EW66))+(FN66*SIN(RADIANS($EB$46))))*'Irradiancia Horizontal'!K58)</f>
        <v>0</v>
      </c>
      <c r="FP66" s="87">
        <f t="shared" si="463"/>
        <v>-1.798122151640259</v>
      </c>
      <c r="FQ66" s="87">
        <f>FP66*'Irradiancia Horizontal'!K87</f>
        <v>0</v>
      </c>
      <c r="FR66" s="87">
        <f t="shared" si="598"/>
        <v>0</v>
      </c>
      <c r="FS66" s="88">
        <f t="shared" si="464"/>
        <v>0</v>
      </c>
      <c r="FT66" s="87">
        <f t="shared" si="599"/>
        <v>0</v>
      </c>
      <c r="FU66" s="106">
        <f t="shared" si="600"/>
        <v>0</v>
      </c>
      <c r="FV66" s="106">
        <f t="shared" si="601"/>
        <v>0</v>
      </c>
      <c r="FW66" s="106">
        <f t="shared" si="602"/>
        <v>0</v>
      </c>
      <c r="FX66" s="83"/>
      <c r="FZ66" s="39">
        <v>0.75</v>
      </c>
      <c r="GA66" s="38">
        <v>-90</v>
      </c>
      <c r="GB66" s="38">
        <f t="shared" si="465"/>
        <v>-5.6821815467779615</v>
      </c>
      <c r="GC66" s="38">
        <f t="shared" si="748"/>
        <v>-100.30637571644526</v>
      </c>
      <c r="GD66" s="38">
        <f t="shared" si="467"/>
        <v>95.682181546777969</v>
      </c>
      <c r="GE66" s="38">
        <f>+'Irradiancia Horizontal'!L87/COS(RADIANS(GD66))</f>
        <v>0</v>
      </c>
      <c r="GF66" s="38" t="e">
        <f>((('Irradiancia Horizontal'!L58+GE66)/'Irradiancia Horizontal'!L58)+1.041*((RADIANS('Cálculos iluminancia'!GD66))^3))/(1+1.041*((RADIANS('Cálculos iluminancia'!GD66))^3))</f>
        <v>#DIV/0!</v>
      </c>
      <c r="GG66" s="88">
        <f t="shared" si="468"/>
        <v>0.45725082066340655</v>
      </c>
      <c r="GH66" s="88">
        <f t="shared" si="603"/>
        <v>0.44596910666331596</v>
      </c>
      <c r="GI66" s="106">
        <f>'Irradiancia Horizontal'!L58*GH66/$GG$46</f>
        <v>0</v>
      </c>
      <c r="GJ66" s="88">
        <f>((17.27*Temp!K28)/(237.7+Temp!K28))+LN(HR!K39/100)</f>
        <v>1.0662313100057652</v>
      </c>
      <c r="GK66" s="88">
        <f t="shared" si="604"/>
        <v>15.641002240723825</v>
      </c>
      <c r="GL66" s="88">
        <f t="shared" si="605"/>
        <v>2.7728347069984043</v>
      </c>
      <c r="GM66" s="88" t="e">
        <f t="shared" si="700"/>
        <v>#DIV/0!</v>
      </c>
      <c r="GN66" s="88" t="e">
        <f t="shared" si="701"/>
        <v>#DIV/0!</v>
      </c>
      <c r="GO66" s="88" t="e">
        <f t="shared" si="702"/>
        <v>#DIV/0!</v>
      </c>
      <c r="GP66" s="88" t="e">
        <f t="shared" si="703"/>
        <v>#DIV/0!</v>
      </c>
      <c r="GQ66" s="88" t="e">
        <f t="shared" si="704"/>
        <v>#DIV/0!</v>
      </c>
      <c r="GR66" s="103">
        <f t="shared" si="474"/>
        <v>0</v>
      </c>
      <c r="GS66" s="165">
        <f>IF(GY66&gt;(GR66*'Irradiancia Horizontal'!L26),GY66,GR66*'Irradiancia Horizontal'!L26)</f>
        <v>0</v>
      </c>
      <c r="GT66" s="88" t="e">
        <f t="shared" si="705"/>
        <v>#DIV/0!</v>
      </c>
      <c r="GU66" s="88" t="e">
        <f t="shared" si="706"/>
        <v>#DIV/0!</v>
      </c>
      <c r="GV66" s="88" t="e">
        <f t="shared" si="707"/>
        <v>#DIV/0!</v>
      </c>
      <c r="GW66" s="88" t="e">
        <f t="shared" si="708"/>
        <v>#DIV/0!</v>
      </c>
      <c r="GX66" s="103">
        <f t="shared" si="479"/>
        <v>0</v>
      </c>
      <c r="GY66" s="88">
        <f>+GX66*'Irradiancia Horizontal'!L58</f>
        <v>0</v>
      </c>
      <c r="GZ66" s="88">
        <f t="shared" si="606"/>
        <v>0</v>
      </c>
      <c r="HA66" s="88" t="e">
        <f>+GZ66/'Irradiancia Horizontal'!L87</f>
        <v>#DIV/0!</v>
      </c>
      <c r="HB66" s="38">
        <f t="shared" si="480"/>
        <v>0.17803259917958711</v>
      </c>
      <c r="HC66" s="88">
        <f t="shared" si="607"/>
        <v>0.17803259917958711</v>
      </c>
      <c r="HD66" s="88">
        <f t="shared" si="608"/>
        <v>8.6999999999999994E-2</v>
      </c>
      <c r="HE66" s="88" t="e">
        <f t="shared" si="609"/>
        <v>#DIV/0!</v>
      </c>
      <c r="HF66" s="88" t="e">
        <f t="shared" si="610"/>
        <v>#DIV/0!</v>
      </c>
      <c r="HG66" s="88" t="e">
        <f t="shared" si="611"/>
        <v>#DIV/0!</v>
      </c>
      <c r="HH66" s="88" t="e">
        <f t="shared" si="612"/>
        <v>#DIV/0!</v>
      </c>
      <c r="HI66" s="88" t="e">
        <f t="shared" si="613"/>
        <v>#DIV/0!</v>
      </c>
      <c r="HJ66" s="88" t="e">
        <f t="shared" si="614"/>
        <v>#DIV/0!</v>
      </c>
      <c r="HK66" s="88" t="e">
        <f t="shared" si="481"/>
        <v>#DIV/0!</v>
      </c>
      <c r="HL66" s="88" t="e">
        <f t="shared" si="482"/>
        <v>#DIV/0!</v>
      </c>
      <c r="HM66" s="88">
        <f t="shared" si="483"/>
        <v>0</v>
      </c>
      <c r="HN66" s="88" t="e">
        <f t="shared" si="709"/>
        <v>#DIV/0!</v>
      </c>
      <c r="HO66" s="88" t="e">
        <f t="shared" si="710"/>
        <v>#DIV/0!</v>
      </c>
      <c r="HP66" s="88" t="e">
        <f t="shared" si="711"/>
        <v>#DIV/0!</v>
      </c>
      <c r="HQ66" s="88" t="e">
        <f t="shared" si="712"/>
        <v>#DIV/0!</v>
      </c>
      <c r="HR66" s="88" t="e">
        <f t="shared" si="713"/>
        <v>#DIV/0!</v>
      </c>
      <c r="HS66" s="88" t="e">
        <f t="shared" si="714"/>
        <v>#DIV/0!</v>
      </c>
      <c r="HT66" s="88" t="e">
        <f t="shared" si="490"/>
        <v>#DIV/0!</v>
      </c>
      <c r="HU66" s="88" t="e">
        <f t="shared" si="491"/>
        <v>#DIV/0!</v>
      </c>
      <c r="HV66" s="106">
        <f>IF(GB66&lt;0,0,((0.5*(1-HT66)*(1+COS(RADIANS($GI$46))))+(HT66*(HC66/HD66))+(HU66*SIN(RADIANS($GI$46))))*'Irradiancia Horizontal'!L58)</f>
        <v>0</v>
      </c>
      <c r="HW66" s="88">
        <f t="shared" si="492"/>
        <v>-1.7981221516401082</v>
      </c>
      <c r="HX66" s="88">
        <f>HW66*'Irradiancia Horizontal'!L87</f>
        <v>0</v>
      </c>
      <c r="HY66" s="88">
        <f t="shared" si="615"/>
        <v>0</v>
      </c>
      <c r="HZ66" s="88">
        <f t="shared" si="493"/>
        <v>0</v>
      </c>
      <c r="IA66" s="88">
        <f t="shared" si="616"/>
        <v>0</v>
      </c>
      <c r="IB66" s="106">
        <f t="shared" si="617"/>
        <v>0</v>
      </c>
      <c r="IC66" s="106">
        <f t="shared" si="618"/>
        <v>0</v>
      </c>
      <c r="ID66" s="106">
        <f t="shared" si="619"/>
        <v>0</v>
      </c>
      <c r="IE66" s="83"/>
      <c r="IG66" s="39">
        <v>0.75</v>
      </c>
      <c r="IH66" s="38">
        <v>-90</v>
      </c>
      <c r="II66" s="38">
        <f t="shared" si="494"/>
        <v>-9.7730868529410131</v>
      </c>
      <c r="IJ66" s="38">
        <f t="shared" si="749"/>
        <v>-108.04234982941938</v>
      </c>
      <c r="IK66" s="38">
        <f t="shared" si="496"/>
        <v>99.77308685294102</v>
      </c>
      <c r="IL66" s="38">
        <f>+'Irradiancia Horizontal'!M87/COS(RADIANS(IK66))</f>
        <v>0</v>
      </c>
      <c r="IM66" s="38" t="e">
        <f>((('Irradiancia Horizontal'!M58+IL66)/'Irradiancia Horizontal'!M58)+1.041*((RADIANS('Cálculos iluminancia'!IK66))^3))/(1+1.041*((RADIANS('Cálculos iluminancia'!IK66))^3))</f>
        <v>#DIV/0!</v>
      </c>
      <c r="IN66" s="88" t="e">
        <f t="shared" si="497"/>
        <v>#NUM!</v>
      </c>
      <c r="IO66" s="88" t="e">
        <f t="shared" si="620"/>
        <v>#NUM!</v>
      </c>
      <c r="IP66" s="106" t="e">
        <f>'Irradiancia Horizontal'!M58*IO66/$IN$46</f>
        <v>#NUM!</v>
      </c>
      <c r="IQ66" s="88">
        <f>((17.27*Temp!L28)/(237.7+Temp!L28))+LN(HR!L39/100)</f>
        <v>0.76475196274372192</v>
      </c>
      <c r="IR66" s="88">
        <f t="shared" si="621"/>
        <v>11.013560119415258</v>
      </c>
      <c r="IS66" s="88">
        <f t="shared" si="622"/>
        <v>2.0056119142964155</v>
      </c>
      <c r="IT66" s="88" t="e">
        <f t="shared" si="715"/>
        <v>#DIV/0!</v>
      </c>
      <c r="IU66" s="88" t="e">
        <f t="shared" si="716"/>
        <v>#DIV/0!</v>
      </c>
      <c r="IV66" s="88" t="e">
        <f t="shared" si="717"/>
        <v>#DIV/0!</v>
      </c>
      <c r="IW66" s="88" t="e">
        <f t="shared" si="718"/>
        <v>#DIV/0!</v>
      </c>
      <c r="IX66" s="88" t="e">
        <f t="shared" si="719"/>
        <v>#DIV/0!</v>
      </c>
      <c r="IY66" s="103">
        <f t="shared" si="503"/>
        <v>0</v>
      </c>
      <c r="IZ66" s="165">
        <f>IF(JF66&gt;(IY66*'Irradiancia Horizontal'!M26),JF66,IY66*'Irradiancia Horizontal'!M26)</f>
        <v>0</v>
      </c>
      <c r="JA66" s="88" t="e">
        <f t="shared" si="720"/>
        <v>#DIV/0!</v>
      </c>
      <c r="JB66" s="88" t="e">
        <f t="shared" si="721"/>
        <v>#DIV/0!</v>
      </c>
      <c r="JC66" s="88" t="e">
        <f t="shared" si="722"/>
        <v>#DIV/0!</v>
      </c>
      <c r="JD66" s="88" t="e">
        <f t="shared" si="723"/>
        <v>#DIV/0!</v>
      </c>
      <c r="JE66" s="103">
        <f t="shared" si="508"/>
        <v>0</v>
      </c>
      <c r="JF66" s="88">
        <f>+JE66*'Irradiancia Horizontal'!M58</f>
        <v>0</v>
      </c>
      <c r="JG66" s="88">
        <f t="shared" si="623"/>
        <v>0</v>
      </c>
      <c r="JH66" s="88" t="e">
        <f>+JG66/'Irradiancia Horizontal'!M87</f>
        <v>#DIV/0!</v>
      </c>
      <c r="JI66" s="38">
        <f t="shared" si="509"/>
        <v>0.30522514252593269</v>
      </c>
      <c r="JJ66" s="88">
        <f t="shared" si="624"/>
        <v>0.30522514252593269</v>
      </c>
      <c r="JK66" s="88">
        <f t="shared" si="625"/>
        <v>8.6999999999999994E-2</v>
      </c>
      <c r="JL66" s="88" t="e">
        <f t="shared" si="626"/>
        <v>#DIV/0!</v>
      </c>
      <c r="JM66" s="88" t="e">
        <f t="shared" si="627"/>
        <v>#DIV/0!</v>
      </c>
      <c r="JN66" s="88" t="e">
        <f t="shared" si="628"/>
        <v>#DIV/0!</v>
      </c>
      <c r="JO66" s="88" t="e">
        <f t="shared" si="629"/>
        <v>#DIV/0!</v>
      </c>
      <c r="JP66" s="88" t="e">
        <f t="shared" si="630"/>
        <v>#DIV/0!</v>
      </c>
      <c r="JQ66" s="88" t="e">
        <f t="shared" si="631"/>
        <v>#DIV/0!</v>
      </c>
      <c r="JR66" s="88" t="e">
        <f t="shared" si="510"/>
        <v>#DIV/0!</v>
      </c>
      <c r="JS66" s="88" t="e">
        <f t="shared" si="511"/>
        <v>#DIV/0!</v>
      </c>
      <c r="JT66" s="88">
        <f t="shared" si="512"/>
        <v>0</v>
      </c>
      <c r="JU66" s="88" t="e">
        <f t="shared" si="724"/>
        <v>#DIV/0!</v>
      </c>
      <c r="JV66" s="88" t="e">
        <f t="shared" si="725"/>
        <v>#DIV/0!</v>
      </c>
      <c r="JW66" s="88" t="e">
        <f t="shared" si="726"/>
        <v>#DIV/0!</v>
      </c>
      <c r="JX66" s="88" t="e">
        <f t="shared" si="727"/>
        <v>#DIV/0!</v>
      </c>
      <c r="JY66" s="88" t="e">
        <f t="shared" si="728"/>
        <v>#DIV/0!</v>
      </c>
      <c r="JZ66" s="88" t="e">
        <f t="shared" si="729"/>
        <v>#DIV/0!</v>
      </c>
      <c r="KA66" s="88" t="e">
        <f t="shared" si="519"/>
        <v>#DIV/0!</v>
      </c>
      <c r="KB66" s="88" t="e">
        <f t="shared" si="520"/>
        <v>#DIV/0!</v>
      </c>
      <c r="KC66" s="106">
        <f>IF(II66&lt;0,0,((0.5*(1-KA66)*(1+COS(RADIANS($IP$46))))+(KA66*(JJ66/JK66))+(KB66*SIN(RADIANS($IP$46))))*'Irradiancia Horizontal'!M58)</f>
        <v>0</v>
      </c>
      <c r="KD66" s="88">
        <f t="shared" si="521"/>
        <v>-1.7981221516401098</v>
      </c>
      <c r="KE66" s="88">
        <f>KD66*'Irradiancia Horizontal'!M87</f>
        <v>0</v>
      </c>
      <c r="KF66" s="88">
        <f t="shared" si="632"/>
        <v>0</v>
      </c>
      <c r="KG66" s="88">
        <f t="shared" si="522"/>
        <v>0</v>
      </c>
      <c r="KH66" s="88">
        <f t="shared" si="633"/>
        <v>0</v>
      </c>
      <c r="KI66" s="106">
        <f t="shared" si="634"/>
        <v>0</v>
      </c>
      <c r="KJ66" s="106">
        <f t="shared" si="635"/>
        <v>0</v>
      </c>
      <c r="KK66" s="106">
        <f t="shared" si="636"/>
        <v>0</v>
      </c>
      <c r="KL66" s="40"/>
      <c r="KN66" s="39">
        <v>0.75</v>
      </c>
      <c r="KO66" s="38">
        <v>-90</v>
      </c>
      <c r="KP66" s="38">
        <f t="shared" si="523"/>
        <v>-11.15205496731916</v>
      </c>
      <c r="KQ66" s="38">
        <f t="shared" si="750"/>
        <v>-110.76123341972382</v>
      </c>
      <c r="KR66" s="38">
        <f t="shared" si="525"/>
        <v>101.15205496731916</v>
      </c>
      <c r="KS66" s="38">
        <f>+'Irradiancia Horizontal'!N87/COS(RADIANS(KR66))</f>
        <v>0</v>
      </c>
      <c r="KT66" s="38" t="e">
        <f>((('Irradiancia Horizontal'!N58+KS66)/'Irradiancia Horizontal'!N58)+1.041*((RADIANS('Cálculos iluminancia'!KR66))^3))/(1+1.041*((RADIANS('Cálculos iluminancia'!KR66))^3))</f>
        <v>#DIV/0!</v>
      </c>
      <c r="KU66" s="88" t="e">
        <f t="shared" si="526"/>
        <v>#NUM!</v>
      </c>
      <c r="KV66" s="88" t="e">
        <f t="shared" si="637"/>
        <v>#NUM!</v>
      </c>
      <c r="KW66" s="106" t="e">
        <f>'Irradiancia Horizontal'!N58*KV66/$KU$46</f>
        <v>#NUM!</v>
      </c>
      <c r="KX66" s="88">
        <f>((17.27*Temp!M28)/(237.7+Temp!M28))+LN(HR!M39/100)</f>
        <v>0.47291912506067524</v>
      </c>
      <c r="KY66" s="88">
        <f t="shared" si="638"/>
        <v>6.6924054759204443</v>
      </c>
      <c r="KZ66" s="88">
        <f t="shared" si="639"/>
        <v>1.4821124235088441</v>
      </c>
      <c r="LA66" s="88" t="e">
        <f t="shared" si="730"/>
        <v>#DIV/0!</v>
      </c>
      <c r="LB66" s="88" t="e">
        <f t="shared" si="731"/>
        <v>#DIV/0!</v>
      </c>
      <c r="LC66" s="88" t="e">
        <f t="shared" si="732"/>
        <v>#DIV/0!</v>
      </c>
      <c r="LD66" s="88" t="e">
        <f t="shared" si="733"/>
        <v>#DIV/0!</v>
      </c>
      <c r="LE66" s="88" t="e">
        <f t="shared" si="734"/>
        <v>#DIV/0!</v>
      </c>
      <c r="LF66" s="103">
        <f t="shared" si="532"/>
        <v>0</v>
      </c>
      <c r="LG66" s="165">
        <f>IF(LM66&gt;(LF66*'Irradiancia Horizontal'!N26),LM66,LF66*'Irradiancia Horizontal'!N26)</f>
        <v>0</v>
      </c>
      <c r="LH66" s="88" t="e">
        <f t="shared" si="735"/>
        <v>#DIV/0!</v>
      </c>
      <c r="LI66" s="88" t="e">
        <f t="shared" si="736"/>
        <v>#DIV/0!</v>
      </c>
      <c r="LJ66" s="88" t="e">
        <f t="shared" si="737"/>
        <v>#DIV/0!</v>
      </c>
      <c r="LK66" s="88" t="e">
        <f t="shared" si="738"/>
        <v>#DIV/0!</v>
      </c>
      <c r="LL66" s="103">
        <f t="shared" si="537"/>
        <v>0</v>
      </c>
      <c r="LM66" s="88">
        <f>+LL66*'Irradiancia Horizontal'!N58</f>
        <v>0</v>
      </c>
      <c r="LN66" s="88">
        <f t="shared" si="640"/>
        <v>0</v>
      </c>
      <c r="LO66" s="88" t="e">
        <f>+LN66/'Irradiancia Horizontal'!N87</f>
        <v>#DIV/0!</v>
      </c>
      <c r="LP66" s="38">
        <f t="shared" si="538"/>
        <v>0.34778095732126574</v>
      </c>
      <c r="LQ66" s="88">
        <f t="shared" si="641"/>
        <v>0.34778095732126574</v>
      </c>
      <c r="LR66" s="88">
        <f t="shared" si="642"/>
        <v>8.6999999999999994E-2</v>
      </c>
      <c r="LS66" s="88" t="e">
        <f t="shared" si="643"/>
        <v>#DIV/0!</v>
      </c>
      <c r="LT66" s="88" t="e">
        <f t="shared" si="644"/>
        <v>#DIV/0!</v>
      </c>
      <c r="LU66" s="88" t="e">
        <f t="shared" si="645"/>
        <v>#DIV/0!</v>
      </c>
      <c r="LV66" s="88" t="e">
        <f t="shared" si="646"/>
        <v>#DIV/0!</v>
      </c>
      <c r="LW66" s="88" t="e">
        <f t="shared" si="647"/>
        <v>#DIV/0!</v>
      </c>
      <c r="LX66" s="88" t="e">
        <f t="shared" si="648"/>
        <v>#DIV/0!</v>
      </c>
      <c r="LY66" s="88" t="e">
        <f t="shared" si="539"/>
        <v>#DIV/0!</v>
      </c>
      <c r="LZ66" s="88" t="e">
        <f t="shared" si="540"/>
        <v>#DIV/0!</v>
      </c>
      <c r="MA66" s="88">
        <f t="shared" si="541"/>
        <v>0</v>
      </c>
      <c r="MB66" s="88" t="e">
        <f t="shared" si="739"/>
        <v>#DIV/0!</v>
      </c>
      <c r="MC66" s="88" t="e">
        <f t="shared" si="740"/>
        <v>#DIV/0!</v>
      </c>
      <c r="MD66" s="88" t="e">
        <f t="shared" si="741"/>
        <v>#DIV/0!</v>
      </c>
      <c r="ME66" s="88" t="e">
        <f t="shared" si="742"/>
        <v>#DIV/0!</v>
      </c>
      <c r="MF66" s="88" t="e">
        <f t="shared" si="743"/>
        <v>#DIV/0!</v>
      </c>
      <c r="MG66" s="88" t="e">
        <f t="shared" si="744"/>
        <v>#DIV/0!</v>
      </c>
      <c r="MH66" s="88" t="e">
        <f t="shared" si="548"/>
        <v>#DIV/0!</v>
      </c>
      <c r="MI66" s="88" t="e">
        <f t="shared" si="549"/>
        <v>#DIV/0!</v>
      </c>
      <c r="MJ66" s="106">
        <f>IF(KP66&lt;0,0,((0.5*(1-MH66)*(1+COS(RADIANS($KW$46))))+(MH66*(LQ66/LR66))+(MI66*SIN(RADIANS($KW$46))))*'Irradiancia Horizontal'!N58)</f>
        <v>0</v>
      </c>
      <c r="MK66" s="88">
        <f t="shared" si="550"/>
        <v>-1.7981221516401087</v>
      </c>
      <c r="ML66" s="88">
        <f>MK66*'Irradiancia Horizontal'!N87</f>
        <v>0</v>
      </c>
      <c r="MM66" s="88">
        <f t="shared" si="649"/>
        <v>0</v>
      </c>
      <c r="MN66" s="88">
        <f t="shared" si="551"/>
        <v>0</v>
      </c>
      <c r="MO66" s="88">
        <f t="shared" si="650"/>
        <v>0</v>
      </c>
      <c r="MP66" s="106">
        <f t="shared" si="651"/>
        <v>0</v>
      </c>
      <c r="MQ66" s="106">
        <f t="shared" si="652"/>
        <v>0</v>
      </c>
      <c r="MR66" s="106">
        <f t="shared" si="653"/>
        <v>0</v>
      </c>
    </row>
    <row r="67" spans="1:356" x14ac:dyDescent="0.25">
      <c r="E67" s="39">
        <v>0.79166666666666663</v>
      </c>
      <c r="F67" s="38">
        <v>-105</v>
      </c>
      <c r="G67" s="38">
        <f t="shared" si="378"/>
        <v>-2.4187526411256099</v>
      </c>
      <c r="H67" s="38">
        <f t="shared" si="745"/>
        <v>-64.945826356938582</v>
      </c>
      <c r="I67" s="38">
        <f t="shared" si="380"/>
        <v>92.418752641125607</v>
      </c>
      <c r="J67" s="38">
        <f>+'Irradiancia Horizontal'!I88/COS(RADIANS(I67))</f>
        <v>0</v>
      </c>
      <c r="K67" s="38" t="e">
        <f>((('Irradiancia Horizontal'!I59+J67)/'Irradiancia Horizontal'!I59)+1.041*((RADIANS('Cálculos iluminancia'!I67))^3))/(1+1.041*((RADIANS('Cálculos iluminancia'!I67))^3))</f>
        <v>#DIV/0!</v>
      </c>
      <c r="L67" s="87">
        <f t="shared" si="381"/>
        <v>54.718626079652843</v>
      </c>
      <c r="M67" s="87">
        <f t="shared" si="654"/>
        <v>53.368557666406701</v>
      </c>
      <c r="N67" s="106">
        <f>'Irradiancia Horizontal'!I59*M67/$L$46</f>
        <v>0</v>
      </c>
      <c r="O67" s="87">
        <f>((17.27*Temp!H29)/(237.7+Temp!H29))+LN(HR!H40/100)</f>
        <v>1.3695921765259484</v>
      </c>
      <c r="P67" s="87">
        <f t="shared" si="553"/>
        <v>20.474447194970665</v>
      </c>
      <c r="Q67" s="87">
        <f t="shared" si="554"/>
        <v>3.8892304241427662</v>
      </c>
      <c r="R67" s="87" t="e">
        <f t="shared" si="655"/>
        <v>#DIV/0!</v>
      </c>
      <c r="S67" s="87" t="e">
        <f t="shared" si="656"/>
        <v>#DIV/0!</v>
      </c>
      <c r="T67" s="87" t="e">
        <f t="shared" si="657"/>
        <v>#DIV/0!</v>
      </c>
      <c r="U67" s="87" t="e">
        <f t="shared" si="658"/>
        <v>#DIV/0!</v>
      </c>
      <c r="V67" s="87" t="e">
        <f t="shared" si="659"/>
        <v>#DIV/0!</v>
      </c>
      <c r="W67" s="103">
        <f t="shared" si="387"/>
        <v>0</v>
      </c>
      <c r="X67" s="165">
        <f>IF(AD67&gt;(W67*'Irradiancia Horizontal'!I27),AD67,W67*'Irradiancia Horizontal'!I27)</f>
        <v>0</v>
      </c>
      <c r="Y67" s="87" t="e">
        <f t="shared" si="660"/>
        <v>#DIV/0!</v>
      </c>
      <c r="Z67" s="87" t="e">
        <f t="shared" si="661"/>
        <v>#DIV/0!</v>
      </c>
      <c r="AA67" s="87" t="e">
        <f t="shared" si="662"/>
        <v>#DIV/0!</v>
      </c>
      <c r="AB67" s="87" t="e">
        <f t="shared" si="663"/>
        <v>#DIV/0!</v>
      </c>
      <c r="AC67" s="103">
        <f t="shared" si="392"/>
        <v>0</v>
      </c>
      <c r="AD67" s="87">
        <f>+AC67*'Irradiancia Horizontal'!I59</f>
        <v>0</v>
      </c>
      <c r="AE67" s="87">
        <f t="shared" si="393"/>
        <v>0</v>
      </c>
      <c r="AF67" s="87" t="e">
        <f>+AE67/'Irradiancia Horizontal'!I88</f>
        <v>#DIV/0!</v>
      </c>
      <c r="AG67" s="38">
        <f t="shared" si="555"/>
        <v>-0.42309770816227182</v>
      </c>
      <c r="AH67" s="87">
        <f t="shared" si="556"/>
        <v>0</v>
      </c>
      <c r="AI67" s="87">
        <f t="shared" si="557"/>
        <v>8.6999999999999994E-2</v>
      </c>
      <c r="AJ67" s="87" t="e">
        <f t="shared" si="558"/>
        <v>#DIV/0!</v>
      </c>
      <c r="AK67" s="87" t="e">
        <f t="shared" si="559"/>
        <v>#DIV/0!</v>
      </c>
      <c r="AL67" s="87" t="e">
        <f t="shared" si="560"/>
        <v>#DIV/0!</v>
      </c>
      <c r="AM67" s="87" t="e">
        <f t="shared" si="561"/>
        <v>#DIV/0!</v>
      </c>
      <c r="AN67" s="87" t="e">
        <f t="shared" si="562"/>
        <v>#DIV/0!</v>
      </c>
      <c r="AO67" s="87" t="e">
        <f t="shared" si="563"/>
        <v>#DIV/0!</v>
      </c>
      <c r="AP67" s="87" t="e">
        <f t="shared" si="394"/>
        <v>#DIV/0!</v>
      </c>
      <c r="AQ67" s="87" t="e">
        <f t="shared" si="395"/>
        <v>#DIV/0!</v>
      </c>
      <c r="AR67" s="88">
        <f t="shared" si="396"/>
        <v>0</v>
      </c>
      <c r="AS67" s="87" t="e">
        <f t="shared" si="664"/>
        <v>#DIV/0!</v>
      </c>
      <c r="AT67" s="87" t="e">
        <f t="shared" si="665"/>
        <v>#DIV/0!</v>
      </c>
      <c r="AU67" s="87" t="e">
        <f t="shared" si="666"/>
        <v>#DIV/0!</v>
      </c>
      <c r="AV67" s="87" t="e">
        <f t="shared" si="667"/>
        <v>#DIV/0!</v>
      </c>
      <c r="AW67" s="87" t="e">
        <f t="shared" si="668"/>
        <v>#DIV/0!</v>
      </c>
      <c r="AX67" s="87" t="e">
        <f t="shared" si="669"/>
        <v>#DIV/0!</v>
      </c>
      <c r="AY67" s="87" t="e">
        <f t="shared" si="403"/>
        <v>#DIV/0!</v>
      </c>
      <c r="AZ67" s="87" t="e">
        <f t="shared" si="404"/>
        <v>#DIV/0!</v>
      </c>
      <c r="BA67" s="106">
        <f>IF(G67&lt;0,0,((0.5*(1-AY67)*(1+COS(RADIANS($N$46))))+(AY67*(AH67/AI67))+(AZ67*SIN(RADIANS($N$46))))*'Irradiancia Horizontal'!I59)</f>
        <v>0</v>
      </c>
      <c r="BB67" s="87">
        <f t="shared" si="405"/>
        <v>0</v>
      </c>
      <c r="BC67" s="87">
        <f>BB67*'Irradiancia Horizontal'!I88</f>
        <v>0</v>
      </c>
      <c r="BD67" s="87">
        <f t="shared" si="564"/>
        <v>0</v>
      </c>
      <c r="BE67" s="88">
        <f t="shared" si="406"/>
        <v>0</v>
      </c>
      <c r="BF67" s="87">
        <f t="shared" si="565"/>
        <v>0</v>
      </c>
      <c r="BG67" s="106">
        <f t="shared" si="566"/>
        <v>0</v>
      </c>
      <c r="BH67" s="106">
        <f t="shared" si="567"/>
        <v>0</v>
      </c>
      <c r="BI67" s="106">
        <f t="shared" si="568"/>
        <v>0</v>
      </c>
      <c r="BJ67" s="44"/>
      <c r="BL67" s="39">
        <v>0.79166666666666663</v>
      </c>
      <c r="BM67" s="38">
        <v>-105</v>
      </c>
      <c r="BN67" s="38">
        <f t="shared" si="407"/>
        <v>-7.0329110421435894</v>
      </c>
      <c r="BO67" s="38">
        <f t="shared" si="746"/>
        <v>-72.333738054171704</v>
      </c>
      <c r="BP67" s="38">
        <f t="shared" si="409"/>
        <v>97.032911042143596</v>
      </c>
      <c r="BQ67" s="38">
        <f>+'Irradiancia Horizontal'!J88/COS(RADIANS(BP67))</f>
        <v>0</v>
      </c>
      <c r="BR67" s="38" t="e">
        <f>((('Irradiancia Horizontal'!J59+BQ67)/'Irradiancia Horizontal'!J59)+1.041*((RADIANS('Cálculos iluminancia'!BP67))^3))/(1+1.041*((RADIANS('Cálculos iluminancia'!BP67))^3))</f>
        <v>#DIV/0!</v>
      </c>
      <c r="BS67" s="87" t="e">
        <f t="shared" si="410"/>
        <v>#NUM!</v>
      </c>
      <c r="BT67" s="87" t="e">
        <f t="shared" si="569"/>
        <v>#NUM!</v>
      </c>
      <c r="BU67" s="106" t="e">
        <f>'Irradiancia Horizontal'!J59*BT67/$BS$46</f>
        <v>#NUM!</v>
      </c>
      <c r="BV67" s="87">
        <f>((17.27*Temp!I29)/(237.7+Temp!I29))+LN(HR!I40/100)</f>
        <v>1.5180017968321708</v>
      </c>
      <c r="BW67" s="87">
        <f t="shared" si="570"/>
        <v>22.906873302870356</v>
      </c>
      <c r="BX67" s="87">
        <f t="shared" si="571"/>
        <v>4.611167741900017</v>
      </c>
      <c r="BY67" s="87" t="e">
        <f t="shared" si="670"/>
        <v>#DIV/0!</v>
      </c>
      <c r="BZ67" s="87" t="e">
        <f t="shared" si="671"/>
        <v>#DIV/0!</v>
      </c>
      <c r="CA67" s="87" t="e">
        <f t="shared" si="672"/>
        <v>#DIV/0!</v>
      </c>
      <c r="CB67" s="87" t="e">
        <f t="shared" si="673"/>
        <v>#DIV/0!</v>
      </c>
      <c r="CC67" s="87" t="e">
        <f t="shared" si="674"/>
        <v>#DIV/0!</v>
      </c>
      <c r="CD67" s="103">
        <f t="shared" si="416"/>
        <v>0</v>
      </c>
      <c r="CE67" s="165">
        <f>IF(CK67&gt;(CD67*'Irradiancia Horizontal'!J27),CK67,CD67*'Irradiancia Horizontal'!J27)</f>
        <v>0</v>
      </c>
      <c r="CF67" s="87" t="e">
        <f t="shared" si="675"/>
        <v>#DIV/0!</v>
      </c>
      <c r="CG67" s="87" t="e">
        <f t="shared" si="676"/>
        <v>#DIV/0!</v>
      </c>
      <c r="CH67" s="87" t="e">
        <f t="shared" si="677"/>
        <v>#DIV/0!</v>
      </c>
      <c r="CI67" s="87" t="e">
        <f t="shared" si="678"/>
        <v>#DIV/0!</v>
      </c>
      <c r="CJ67" s="103">
        <f t="shared" si="421"/>
        <v>0</v>
      </c>
      <c r="CK67" s="87">
        <f>+CJ67*'Irradiancia Horizontal'!J59</f>
        <v>0</v>
      </c>
      <c r="CL67" s="87">
        <f t="shared" si="572"/>
        <v>0</v>
      </c>
      <c r="CM67" s="87" t="e">
        <f>+CL67/'Irradiancia Horizontal'!J88</f>
        <v>#DIV/0!</v>
      </c>
      <c r="CN67" s="38">
        <f t="shared" si="422"/>
        <v>-0.30118871486286053</v>
      </c>
      <c r="CO67" s="87">
        <f t="shared" si="573"/>
        <v>0</v>
      </c>
      <c r="CP67" s="87">
        <f t="shared" si="574"/>
        <v>8.6999999999999994E-2</v>
      </c>
      <c r="CQ67" s="87" t="e">
        <f t="shared" si="575"/>
        <v>#DIV/0!</v>
      </c>
      <c r="CR67" s="87" t="e">
        <f t="shared" si="576"/>
        <v>#DIV/0!</v>
      </c>
      <c r="CS67" s="87" t="e">
        <f t="shared" si="577"/>
        <v>#DIV/0!</v>
      </c>
      <c r="CT67" s="87" t="e">
        <f t="shared" si="578"/>
        <v>#DIV/0!</v>
      </c>
      <c r="CU67" s="87" t="e">
        <f t="shared" si="579"/>
        <v>#DIV/0!</v>
      </c>
      <c r="CV67" s="87" t="e">
        <f t="shared" si="580"/>
        <v>#DIV/0!</v>
      </c>
      <c r="CW67" s="87" t="e">
        <f t="shared" si="423"/>
        <v>#DIV/0!</v>
      </c>
      <c r="CX67" s="87" t="e">
        <f t="shared" si="424"/>
        <v>#DIV/0!</v>
      </c>
      <c r="CY67" s="88">
        <f t="shared" si="425"/>
        <v>0</v>
      </c>
      <c r="CZ67" s="87" t="e">
        <f t="shared" si="679"/>
        <v>#DIV/0!</v>
      </c>
      <c r="DA67" s="87" t="e">
        <f t="shared" si="680"/>
        <v>#DIV/0!</v>
      </c>
      <c r="DB67" s="87" t="e">
        <f t="shared" si="681"/>
        <v>#DIV/0!</v>
      </c>
      <c r="DC67" s="87" t="e">
        <f t="shared" si="682"/>
        <v>#DIV/0!</v>
      </c>
      <c r="DD67" s="87" t="e">
        <f t="shared" si="683"/>
        <v>#DIV/0!</v>
      </c>
      <c r="DE67" s="87" t="e">
        <f t="shared" si="684"/>
        <v>#DIV/0!</v>
      </c>
      <c r="DF67" s="87" t="e">
        <f t="shared" si="432"/>
        <v>#DIV/0!</v>
      </c>
      <c r="DG67" s="87" t="e">
        <f t="shared" si="433"/>
        <v>#DIV/0!</v>
      </c>
      <c r="DH67" s="106">
        <f>IF(BN67&lt;0,0,((0.5*(1-DF67)*(1+COS(RADIANS($BU$46))))+(DF67*(CO67/CP67))+(DG67*SIN(RADIANS($BU$46))))*'Irradiancia Horizontal'!J59)</f>
        <v>0</v>
      </c>
      <c r="DI67" s="87">
        <f t="shared" si="434"/>
        <v>0</v>
      </c>
      <c r="DJ67" s="87">
        <f>DI67*'Irradiancia Horizontal'!J88</f>
        <v>0</v>
      </c>
      <c r="DK67" s="87">
        <f t="shared" si="581"/>
        <v>0</v>
      </c>
      <c r="DL67" s="88">
        <f t="shared" si="435"/>
        <v>0</v>
      </c>
      <c r="DM67" s="87">
        <f t="shared" si="582"/>
        <v>0</v>
      </c>
      <c r="DN67" s="106">
        <f t="shared" si="583"/>
        <v>0</v>
      </c>
      <c r="DO67" s="106">
        <f t="shared" si="584"/>
        <v>0</v>
      </c>
      <c r="DP67" s="106">
        <f t="shared" si="585"/>
        <v>0</v>
      </c>
      <c r="DQ67" s="44"/>
      <c r="DS67" s="39">
        <v>0.79166666666666663</v>
      </c>
      <c r="DT67" s="38">
        <v>-105</v>
      </c>
      <c r="DU67" s="38">
        <f t="shared" si="436"/>
        <v>-13.173675365510617</v>
      </c>
      <c r="DV67" s="38">
        <f t="shared" si="747"/>
        <v>-82.759689794839844</v>
      </c>
      <c r="DW67" s="38">
        <f t="shared" si="438"/>
        <v>103.17367536551062</v>
      </c>
      <c r="DX67" s="38">
        <f>+'Irradiancia Horizontal'!K88/COS(RADIANS(DW67))</f>
        <v>0</v>
      </c>
      <c r="DY67" s="38" t="e">
        <f>((('Irradiancia Horizontal'!K59+DX67)/'Irradiancia Horizontal'!K59)+1.041*((RADIANS('Cálculos iluminancia'!DW67))^3))/(1+1.041*((RADIANS('Cálculos iluminancia'!DW67))^3))</f>
        <v>#DIV/0!</v>
      </c>
      <c r="DZ67" s="87" t="e">
        <f t="shared" si="439"/>
        <v>#NUM!</v>
      </c>
      <c r="EA67" s="87" t="e">
        <f t="shared" si="586"/>
        <v>#NUM!</v>
      </c>
      <c r="EB67" s="106" t="e">
        <f>'Irradiancia Horizontal'!K59*EA67/$DZ$46</f>
        <v>#NUM!</v>
      </c>
      <c r="EC67" s="87">
        <f>((17.27*Temp!J29)/(237.7+Temp!J29))+LN(HR!J40/100)</f>
        <v>1.3925654503164426</v>
      </c>
      <c r="ED67" s="87">
        <f t="shared" si="587"/>
        <v>20.848003278137625</v>
      </c>
      <c r="EE67" s="87">
        <f t="shared" si="588"/>
        <v>3.9922709503082356</v>
      </c>
      <c r="EF67" s="87" t="e">
        <f t="shared" si="685"/>
        <v>#DIV/0!</v>
      </c>
      <c r="EG67" s="87" t="e">
        <f t="shared" si="686"/>
        <v>#DIV/0!</v>
      </c>
      <c r="EH67" s="87" t="e">
        <f t="shared" si="687"/>
        <v>#DIV/0!</v>
      </c>
      <c r="EI67" s="87" t="e">
        <f t="shared" si="688"/>
        <v>#DIV/0!</v>
      </c>
      <c r="EJ67" s="87" t="e">
        <f t="shared" si="689"/>
        <v>#DIV/0!</v>
      </c>
      <c r="EK67" s="103">
        <f t="shared" si="445"/>
        <v>0</v>
      </c>
      <c r="EL67" s="165">
        <f>IF(ER67&gt;(EK67*'Irradiancia Horizontal'!K27),ER67,EK67*'Irradiancia Horizontal'!K27)</f>
        <v>0</v>
      </c>
      <c r="EM67" s="87" t="e">
        <f t="shared" si="690"/>
        <v>#DIV/0!</v>
      </c>
      <c r="EN67" s="87" t="e">
        <f t="shared" si="691"/>
        <v>#DIV/0!</v>
      </c>
      <c r="EO67" s="87" t="e">
        <f t="shared" si="692"/>
        <v>#DIV/0!</v>
      </c>
      <c r="EP67" s="87" t="e">
        <f t="shared" si="693"/>
        <v>#DIV/0!</v>
      </c>
      <c r="EQ67" s="103">
        <f t="shared" si="450"/>
        <v>0</v>
      </c>
      <c r="ER67" s="87">
        <f>+EQ67*'Irradiancia Horizontal'!K59</f>
        <v>0</v>
      </c>
      <c r="ES67" s="87">
        <f t="shared" si="589"/>
        <v>0</v>
      </c>
      <c r="ET67" s="87" t="e">
        <f>+ES67/'Irradiancia Horizontal'!K88</f>
        <v>#DIV/0!</v>
      </c>
      <c r="EU67" s="38">
        <f t="shared" si="451"/>
        <v>-0.12271452778730947</v>
      </c>
      <c r="EV67" s="87">
        <f t="shared" si="590"/>
        <v>0</v>
      </c>
      <c r="EW67" s="87">
        <f t="shared" si="591"/>
        <v>8.6999999999999994E-2</v>
      </c>
      <c r="EX67" s="87" t="e">
        <f t="shared" si="592"/>
        <v>#DIV/0!</v>
      </c>
      <c r="EY67" s="87" t="e">
        <f t="shared" si="593"/>
        <v>#DIV/0!</v>
      </c>
      <c r="EZ67" s="87" t="e">
        <f t="shared" si="594"/>
        <v>#DIV/0!</v>
      </c>
      <c r="FA67" s="87" t="e">
        <f t="shared" si="595"/>
        <v>#DIV/0!</v>
      </c>
      <c r="FB67" s="87" t="e">
        <f t="shared" si="596"/>
        <v>#DIV/0!</v>
      </c>
      <c r="FC67" s="87" t="e">
        <f t="shared" si="597"/>
        <v>#DIV/0!</v>
      </c>
      <c r="FD67" s="87" t="e">
        <f t="shared" si="452"/>
        <v>#DIV/0!</v>
      </c>
      <c r="FE67" s="87" t="e">
        <f t="shared" si="453"/>
        <v>#DIV/0!</v>
      </c>
      <c r="FF67" s="88">
        <f t="shared" si="454"/>
        <v>0</v>
      </c>
      <c r="FG67" s="87" t="e">
        <f t="shared" si="694"/>
        <v>#DIV/0!</v>
      </c>
      <c r="FH67" s="87" t="e">
        <f t="shared" si="695"/>
        <v>#DIV/0!</v>
      </c>
      <c r="FI67" s="87" t="e">
        <f t="shared" si="696"/>
        <v>#DIV/0!</v>
      </c>
      <c r="FJ67" s="87" t="e">
        <f t="shared" si="697"/>
        <v>#DIV/0!</v>
      </c>
      <c r="FK67" s="87" t="e">
        <f t="shared" si="698"/>
        <v>#DIV/0!</v>
      </c>
      <c r="FL67" s="87" t="e">
        <f t="shared" si="699"/>
        <v>#DIV/0!</v>
      </c>
      <c r="FM67" s="87" t="e">
        <f t="shared" si="461"/>
        <v>#DIV/0!</v>
      </c>
      <c r="FN67" s="87" t="e">
        <f t="shared" si="462"/>
        <v>#DIV/0!</v>
      </c>
      <c r="FO67" s="106">
        <f>IF(DU67&lt;0,0,((0.5*(1-FM67)*(1+COS(RADIANS($EB$46))))+(FM67*(EV67/EW67))+(FN67*SIN(RADIANS($EB$46))))*'Irradiancia Horizontal'!K59)</f>
        <v>0</v>
      </c>
      <c r="FP67" s="87">
        <f t="shared" si="463"/>
        <v>0</v>
      </c>
      <c r="FQ67" s="87">
        <f>FP67*'Irradiancia Horizontal'!K88</f>
        <v>0</v>
      </c>
      <c r="FR67" s="87">
        <f t="shared" si="598"/>
        <v>0</v>
      </c>
      <c r="FS67" s="88">
        <f t="shared" si="464"/>
        <v>0</v>
      </c>
      <c r="FT67" s="87">
        <f t="shared" si="599"/>
        <v>0</v>
      </c>
      <c r="FU67" s="106">
        <f t="shared" si="600"/>
        <v>0</v>
      </c>
      <c r="FV67" s="106">
        <f t="shared" si="601"/>
        <v>0</v>
      </c>
      <c r="FW67" s="106">
        <f t="shared" si="602"/>
        <v>0</v>
      </c>
      <c r="FX67" s="83"/>
      <c r="FZ67" s="39">
        <v>0.79166666666666663</v>
      </c>
      <c r="GA67" s="38">
        <v>-105</v>
      </c>
      <c r="GB67" s="38">
        <f t="shared" si="465"/>
        <v>-18.690747924130889</v>
      </c>
      <c r="GC67" s="38">
        <f t="shared" si="748"/>
        <v>-93.321100316012661</v>
      </c>
      <c r="GD67" s="38">
        <f t="shared" si="467"/>
        <v>108.69074792413089</v>
      </c>
      <c r="GE67" s="38">
        <f>+'Irradiancia Horizontal'!L88/COS(RADIANS(GD67))</f>
        <v>0</v>
      </c>
      <c r="GF67" s="38" t="e">
        <f>((('Irradiancia Horizontal'!L59+GE67)/'Irradiancia Horizontal'!L59)+1.041*((RADIANS('Cálculos iluminancia'!GD67))^3))/(1+1.041*((RADIANS('Cálculos iluminancia'!GD67))^3))</f>
        <v>#DIV/0!</v>
      </c>
      <c r="GG67" s="88" t="e">
        <f t="shared" si="468"/>
        <v>#NUM!</v>
      </c>
      <c r="GH67" s="88" t="e">
        <f t="shared" si="603"/>
        <v>#NUM!</v>
      </c>
      <c r="GI67" s="106" t="e">
        <f>'Irradiancia Horizontal'!L59*GH67/$GG$46</f>
        <v>#NUM!</v>
      </c>
      <c r="GJ67" s="88">
        <f>((17.27*Temp!K29)/(237.7+Temp!K29))+LN(HR!K40/100)</f>
        <v>1.0638977265032017</v>
      </c>
      <c r="GK67" s="88">
        <f t="shared" si="604"/>
        <v>15.604522624997923</v>
      </c>
      <c r="GL67" s="88">
        <f t="shared" si="605"/>
        <v>2.7657631036483306</v>
      </c>
      <c r="GM67" s="88" t="e">
        <f t="shared" si="700"/>
        <v>#DIV/0!</v>
      </c>
      <c r="GN67" s="88" t="e">
        <f t="shared" si="701"/>
        <v>#DIV/0!</v>
      </c>
      <c r="GO67" s="88" t="e">
        <f t="shared" si="702"/>
        <v>#DIV/0!</v>
      </c>
      <c r="GP67" s="88" t="e">
        <f t="shared" si="703"/>
        <v>#DIV/0!</v>
      </c>
      <c r="GQ67" s="88" t="e">
        <f t="shared" si="704"/>
        <v>#DIV/0!</v>
      </c>
      <c r="GR67" s="103">
        <f t="shared" si="474"/>
        <v>0</v>
      </c>
      <c r="GS67" s="165">
        <f>IF(GY67&gt;(GR67*'Irradiancia Horizontal'!L27),GY67,GR67*'Irradiancia Horizontal'!L27)</f>
        <v>0</v>
      </c>
      <c r="GT67" s="88" t="e">
        <f t="shared" si="705"/>
        <v>#DIV/0!</v>
      </c>
      <c r="GU67" s="88" t="e">
        <f t="shared" si="706"/>
        <v>#DIV/0!</v>
      </c>
      <c r="GV67" s="88" t="e">
        <f t="shared" si="707"/>
        <v>#DIV/0!</v>
      </c>
      <c r="GW67" s="88" t="e">
        <f t="shared" si="708"/>
        <v>#DIV/0!</v>
      </c>
      <c r="GX67" s="103">
        <f t="shared" si="479"/>
        <v>0</v>
      </c>
      <c r="GY67" s="88">
        <f>+GX67*'Irradiancia Horizontal'!L59</f>
        <v>0</v>
      </c>
      <c r="GZ67" s="88">
        <f t="shared" si="606"/>
        <v>0</v>
      </c>
      <c r="HA67" s="88" t="e">
        <f>+GZ67/'Irradiancia Horizontal'!L88</f>
        <v>#DIV/0!</v>
      </c>
      <c r="HB67" s="38">
        <f t="shared" si="480"/>
        <v>5.4876483496313841E-2</v>
      </c>
      <c r="HC67" s="88">
        <f t="shared" si="607"/>
        <v>5.4876483496313841E-2</v>
      </c>
      <c r="HD67" s="88">
        <f t="shared" si="608"/>
        <v>8.6999999999999994E-2</v>
      </c>
      <c r="HE67" s="88" t="e">
        <f t="shared" si="609"/>
        <v>#DIV/0!</v>
      </c>
      <c r="HF67" s="88" t="e">
        <f t="shared" si="610"/>
        <v>#DIV/0!</v>
      </c>
      <c r="HG67" s="88" t="e">
        <f t="shared" si="611"/>
        <v>#DIV/0!</v>
      </c>
      <c r="HH67" s="88" t="e">
        <f t="shared" si="612"/>
        <v>#DIV/0!</v>
      </c>
      <c r="HI67" s="88" t="e">
        <f t="shared" si="613"/>
        <v>#DIV/0!</v>
      </c>
      <c r="HJ67" s="88" t="e">
        <f t="shared" si="614"/>
        <v>#DIV/0!</v>
      </c>
      <c r="HK67" s="88" t="e">
        <f t="shared" si="481"/>
        <v>#DIV/0!</v>
      </c>
      <c r="HL67" s="88" t="e">
        <f t="shared" si="482"/>
        <v>#DIV/0!</v>
      </c>
      <c r="HM67" s="88">
        <f t="shared" si="483"/>
        <v>0</v>
      </c>
      <c r="HN67" s="88" t="e">
        <f t="shared" si="709"/>
        <v>#DIV/0!</v>
      </c>
      <c r="HO67" s="88" t="e">
        <f t="shared" si="710"/>
        <v>#DIV/0!</v>
      </c>
      <c r="HP67" s="88" t="e">
        <f t="shared" si="711"/>
        <v>#DIV/0!</v>
      </c>
      <c r="HQ67" s="88" t="e">
        <f t="shared" si="712"/>
        <v>#DIV/0!</v>
      </c>
      <c r="HR67" s="88" t="e">
        <f t="shared" si="713"/>
        <v>#DIV/0!</v>
      </c>
      <c r="HS67" s="88" t="e">
        <f t="shared" si="714"/>
        <v>#DIV/0!</v>
      </c>
      <c r="HT67" s="88" t="e">
        <f t="shared" si="490"/>
        <v>#DIV/0!</v>
      </c>
      <c r="HU67" s="88" t="e">
        <f t="shared" si="491"/>
        <v>#DIV/0!</v>
      </c>
      <c r="HV67" s="106">
        <f>IF(GB67&lt;0,0,((0.5*(1-HT67)*(1+COS(RADIANS($GI$46))))+(HT67*(HC67/HD67))+(HU67*SIN(RADIANS($GI$46))))*'Irradiancia Horizontal'!L59)</f>
        <v>0</v>
      </c>
      <c r="HW67" s="88">
        <f t="shared" si="492"/>
        <v>-0.17124283241145613</v>
      </c>
      <c r="HX67" s="88">
        <f>HW67*'Irradiancia Horizontal'!L88</f>
        <v>0</v>
      </c>
      <c r="HY67" s="88">
        <f t="shared" si="615"/>
        <v>0</v>
      </c>
      <c r="HZ67" s="88">
        <f t="shared" si="493"/>
        <v>0</v>
      </c>
      <c r="IA67" s="88">
        <f t="shared" si="616"/>
        <v>0</v>
      </c>
      <c r="IB67" s="106">
        <f t="shared" si="617"/>
        <v>0</v>
      </c>
      <c r="IC67" s="106">
        <f t="shared" si="618"/>
        <v>0</v>
      </c>
      <c r="ID67" s="106">
        <f t="shared" si="619"/>
        <v>0</v>
      </c>
      <c r="IE67" s="83"/>
      <c r="IG67" s="39">
        <v>0.79166666666666663</v>
      </c>
      <c r="IH67" s="38">
        <v>-105</v>
      </c>
      <c r="II67" s="38">
        <f t="shared" si="494"/>
        <v>-22.438769178429386</v>
      </c>
      <c r="IJ67" s="38">
        <f t="shared" si="749"/>
        <v>-101.6948546143569</v>
      </c>
      <c r="IK67" s="38">
        <f t="shared" si="496"/>
        <v>112.43876917842938</v>
      </c>
      <c r="IL67" s="38">
        <f>+'Irradiancia Horizontal'!M88/COS(RADIANS(IK67))</f>
        <v>0</v>
      </c>
      <c r="IM67" s="38" t="e">
        <f>((('Irradiancia Horizontal'!M59+IL67)/'Irradiancia Horizontal'!M59)+1.041*((RADIANS('Cálculos iluminancia'!IK67))^3))/(1+1.041*((RADIANS('Cálculos iluminancia'!IK67))^3))</f>
        <v>#DIV/0!</v>
      </c>
      <c r="IN67" s="88" t="e">
        <f t="shared" si="497"/>
        <v>#NUM!</v>
      </c>
      <c r="IO67" s="88" t="e">
        <f t="shared" si="620"/>
        <v>#NUM!</v>
      </c>
      <c r="IP67" s="106" t="e">
        <f>'Irradiancia Horizontal'!M59*IO67/$IN$46</f>
        <v>#NUM!</v>
      </c>
      <c r="IQ67" s="88">
        <f>((17.27*Temp!L29)/(237.7+Temp!L29))+LN(HR!L40/100)</f>
        <v>0.76670520464989067</v>
      </c>
      <c r="IR67" s="88">
        <f t="shared" si="621"/>
        <v>11.04299652919172</v>
      </c>
      <c r="IS67" s="88">
        <f t="shared" si="622"/>
        <v>2.0097488359882822</v>
      </c>
      <c r="IT67" s="88" t="e">
        <f t="shared" si="715"/>
        <v>#DIV/0!</v>
      </c>
      <c r="IU67" s="88" t="e">
        <f t="shared" si="716"/>
        <v>#DIV/0!</v>
      </c>
      <c r="IV67" s="88" t="e">
        <f t="shared" si="717"/>
        <v>#DIV/0!</v>
      </c>
      <c r="IW67" s="88" t="e">
        <f t="shared" si="718"/>
        <v>#DIV/0!</v>
      </c>
      <c r="IX67" s="88" t="e">
        <f t="shared" si="719"/>
        <v>#DIV/0!</v>
      </c>
      <c r="IY67" s="103">
        <f t="shared" si="503"/>
        <v>0</v>
      </c>
      <c r="IZ67" s="165">
        <f>IF(JF67&gt;(IY67*'Irradiancia Horizontal'!M27),JF67,IY67*'Irradiancia Horizontal'!M27)</f>
        <v>0</v>
      </c>
      <c r="JA67" s="88" t="e">
        <f t="shared" si="720"/>
        <v>#DIV/0!</v>
      </c>
      <c r="JB67" s="88" t="e">
        <f t="shared" si="721"/>
        <v>#DIV/0!</v>
      </c>
      <c r="JC67" s="88" t="e">
        <f t="shared" si="722"/>
        <v>#DIV/0!</v>
      </c>
      <c r="JD67" s="88" t="e">
        <f t="shared" si="723"/>
        <v>#DIV/0!</v>
      </c>
      <c r="JE67" s="103">
        <f t="shared" si="508"/>
        <v>0</v>
      </c>
      <c r="JF67" s="88">
        <f>+JE67*'Irradiancia Horizontal'!M59</f>
        <v>0</v>
      </c>
      <c r="JG67" s="88">
        <f t="shared" si="623"/>
        <v>0</v>
      </c>
      <c r="JH67" s="88" t="e">
        <f>+JG67/'Irradiancia Horizontal'!M88</f>
        <v>#DIV/0!</v>
      </c>
      <c r="JI67" s="38">
        <f t="shared" si="509"/>
        <v>0.18735257688959348</v>
      </c>
      <c r="JJ67" s="88">
        <f t="shared" si="624"/>
        <v>0.18735257688959348</v>
      </c>
      <c r="JK67" s="88">
        <f t="shared" si="625"/>
        <v>8.6999999999999994E-2</v>
      </c>
      <c r="JL67" s="88" t="e">
        <f t="shared" si="626"/>
        <v>#DIV/0!</v>
      </c>
      <c r="JM67" s="88" t="e">
        <f t="shared" si="627"/>
        <v>#DIV/0!</v>
      </c>
      <c r="JN67" s="88" t="e">
        <f t="shared" si="628"/>
        <v>#DIV/0!</v>
      </c>
      <c r="JO67" s="88" t="e">
        <f t="shared" si="629"/>
        <v>#DIV/0!</v>
      </c>
      <c r="JP67" s="88" t="e">
        <f t="shared" si="630"/>
        <v>#DIV/0!</v>
      </c>
      <c r="JQ67" s="88" t="e">
        <f t="shared" si="631"/>
        <v>#DIV/0!</v>
      </c>
      <c r="JR67" s="88" t="e">
        <f t="shared" si="510"/>
        <v>#DIV/0!</v>
      </c>
      <c r="JS67" s="88" t="e">
        <f t="shared" si="511"/>
        <v>#DIV/0!</v>
      </c>
      <c r="JT67" s="88">
        <f t="shared" si="512"/>
        <v>0</v>
      </c>
      <c r="JU67" s="88" t="e">
        <f t="shared" si="724"/>
        <v>#DIV/0!</v>
      </c>
      <c r="JV67" s="88" t="e">
        <f t="shared" si="725"/>
        <v>#DIV/0!</v>
      </c>
      <c r="JW67" s="88" t="e">
        <f t="shared" si="726"/>
        <v>#DIV/0!</v>
      </c>
      <c r="JX67" s="88" t="e">
        <f t="shared" si="727"/>
        <v>#DIV/0!</v>
      </c>
      <c r="JY67" s="88" t="e">
        <f t="shared" si="728"/>
        <v>#DIV/0!</v>
      </c>
      <c r="JZ67" s="88" t="e">
        <f t="shared" si="729"/>
        <v>#DIV/0!</v>
      </c>
      <c r="KA67" s="88" t="e">
        <f t="shared" si="519"/>
        <v>#DIV/0!</v>
      </c>
      <c r="KB67" s="88" t="e">
        <f t="shared" si="520"/>
        <v>#DIV/0!</v>
      </c>
      <c r="KC67" s="106">
        <f>IF(II67&lt;0,0,((0.5*(1-KA67)*(1+COS(RADIANS($IP$46))))+(KA67*(JJ67/JK67))+(KB67*SIN(RADIANS($IP$46))))*'Irradiancia Horizontal'!M59)</f>
        <v>0</v>
      </c>
      <c r="KD67" s="88">
        <f t="shared" si="521"/>
        <v>-0.49084254049153836</v>
      </c>
      <c r="KE67" s="88">
        <f>KD67*'Irradiancia Horizontal'!M88</f>
        <v>0</v>
      </c>
      <c r="KF67" s="88">
        <f t="shared" si="632"/>
        <v>0</v>
      </c>
      <c r="KG67" s="88">
        <f t="shared" si="522"/>
        <v>0</v>
      </c>
      <c r="KH67" s="88">
        <f t="shared" si="633"/>
        <v>0</v>
      </c>
      <c r="KI67" s="106">
        <f t="shared" si="634"/>
        <v>0</v>
      </c>
      <c r="KJ67" s="106">
        <f t="shared" si="635"/>
        <v>0</v>
      </c>
      <c r="KK67" s="106">
        <f t="shared" si="636"/>
        <v>0</v>
      </c>
      <c r="KL67" s="40"/>
      <c r="KN67" s="39">
        <v>0.79166666666666663</v>
      </c>
      <c r="KO67" s="38">
        <v>-105</v>
      </c>
      <c r="KP67" s="38">
        <f t="shared" si="523"/>
        <v>-23.636004549359633</v>
      </c>
      <c r="KQ67" s="38">
        <f t="shared" si="750"/>
        <v>-104.69392403052011</v>
      </c>
      <c r="KR67" s="38">
        <f t="shared" si="525"/>
        <v>113.63600454935963</v>
      </c>
      <c r="KS67" s="38">
        <f>+'Irradiancia Horizontal'!N88/COS(RADIANS(KR67))</f>
        <v>0</v>
      </c>
      <c r="KT67" s="38" t="e">
        <f>((('Irradiancia Horizontal'!N59+KS67)/'Irradiancia Horizontal'!N59)+1.041*((RADIANS('Cálculos iluminancia'!KR67))^3))/(1+1.041*((RADIANS('Cálculos iluminancia'!KR67))^3))</f>
        <v>#DIV/0!</v>
      </c>
      <c r="KU67" s="88" t="e">
        <f t="shared" si="526"/>
        <v>#NUM!</v>
      </c>
      <c r="KV67" s="88" t="e">
        <f t="shared" si="637"/>
        <v>#NUM!</v>
      </c>
      <c r="KW67" s="106" t="e">
        <f>'Irradiancia Horizontal'!N59*KV67/$KU$46</f>
        <v>#NUM!</v>
      </c>
      <c r="KX67" s="88">
        <f>((17.27*Temp!M29)/(237.7+Temp!M29))+LN(HR!M40/100)</f>
        <v>0.47657731733201547</v>
      </c>
      <c r="KY67" s="88">
        <f t="shared" si="638"/>
        <v>6.7456426525091677</v>
      </c>
      <c r="KZ67" s="88">
        <f t="shared" si="639"/>
        <v>1.4876459714282855</v>
      </c>
      <c r="LA67" s="88" t="e">
        <f t="shared" si="730"/>
        <v>#DIV/0!</v>
      </c>
      <c r="LB67" s="88" t="e">
        <f t="shared" si="731"/>
        <v>#DIV/0!</v>
      </c>
      <c r="LC67" s="88" t="e">
        <f t="shared" si="732"/>
        <v>#DIV/0!</v>
      </c>
      <c r="LD67" s="88" t="e">
        <f t="shared" si="733"/>
        <v>#DIV/0!</v>
      </c>
      <c r="LE67" s="88" t="e">
        <f t="shared" si="734"/>
        <v>#DIV/0!</v>
      </c>
      <c r="LF67" s="103">
        <f t="shared" si="532"/>
        <v>0</v>
      </c>
      <c r="LG67" s="165">
        <f>IF(LM67&gt;(LF67*'Irradiancia Horizontal'!N27),LM67,LF67*'Irradiancia Horizontal'!N27)</f>
        <v>0</v>
      </c>
      <c r="LH67" s="88" t="e">
        <f t="shared" si="735"/>
        <v>#DIV/0!</v>
      </c>
      <c r="LI67" s="88" t="e">
        <f t="shared" si="736"/>
        <v>#DIV/0!</v>
      </c>
      <c r="LJ67" s="88" t="e">
        <f t="shared" si="737"/>
        <v>#DIV/0!</v>
      </c>
      <c r="LK67" s="88" t="e">
        <f t="shared" si="738"/>
        <v>#DIV/0!</v>
      </c>
      <c r="LL67" s="103">
        <f t="shared" si="537"/>
        <v>0</v>
      </c>
      <c r="LM67" s="88">
        <f>+LL67*'Irradiancia Horizontal'!N59</f>
        <v>0</v>
      </c>
      <c r="LN67" s="88">
        <f t="shared" si="640"/>
        <v>0</v>
      </c>
      <c r="LO67" s="88" t="e">
        <f>+LN67/'Irradiancia Horizontal'!N88</f>
        <v>#DIV/0!</v>
      </c>
      <c r="LP67" s="38">
        <f t="shared" si="538"/>
        <v>0.23237646580970386</v>
      </c>
      <c r="LQ67" s="88">
        <f t="shared" si="641"/>
        <v>0.23237646580970386</v>
      </c>
      <c r="LR67" s="88">
        <f t="shared" si="642"/>
        <v>8.6999999999999994E-2</v>
      </c>
      <c r="LS67" s="88" t="e">
        <f t="shared" si="643"/>
        <v>#DIV/0!</v>
      </c>
      <c r="LT67" s="88" t="e">
        <f t="shared" si="644"/>
        <v>#DIV/0!</v>
      </c>
      <c r="LU67" s="88" t="e">
        <f t="shared" si="645"/>
        <v>#DIV/0!</v>
      </c>
      <c r="LV67" s="88" t="e">
        <f t="shared" si="646"/>
        <v>#DIV/0!</v>
      </c>
      <c r="LW67" s="88" t="e">
        <f t="shared" si="647"/>
        <v>#DIV/0!</v>
      </c>
      <c r="LX67" s="88" t="e">
        <f t="shared" si="648"/>
        <v>#DIV/0!</v>
      </c>
      <c r="LY67" s="88" t="e">
        <f t="shared" si="539"/>
        <v>#DIV/0!</v>
      </c>
      <c r="LZ67" s="88" t="e">
        <f t="shared" si="540"/>
        <v>#DIV/0!</v>
      </c>
      <c r="MA67" s="88">
        <f t="shared" si="541"/>
        <v>0</v>
      </c>
      <c r="MB67" s="88" t="e">
        <f t="shared" si="739"/>
        <v>#DIV/0!</v>
      </c>
      <c r="MC67" s="88" t="e">
        <f t="shared" si="740"/>
        <v>#DIV/0!</v>
      </c>
      <c r="MD67" s="88" t="e">
        <f t="shared" si="741"/>
        <v>#DIV/0!</v>
      </c>
      <c r="ME67" s="88" t="e">
        <f t="shared" si="742"/>
        <v>#DIV/0!</v>
      </c>
      <c r="MF67" s="88" t="e">
        <f t="shared" si="743"/>
        <v>#DIV/0!</v>
      </c>
      <c r="MG67" s="88" t="e">
        <f t="shared" si="744"/>
        <v>#DIV/0!</v>
      </c>
      <c r="MH67" s="88" t="e">
        <f t="shared" si="548"/>
        <v>#DIV/0!</v>
      </c>
      <c r="MI67" s="88" t="e">
        <f t="shared" si="549"/>
        <v>#DIV/0!</v>
      </c>
      <c r="MJ67" s="106">
        <f>IF(KP67&lt;0,0,((0.5*(1-MH67)*(1+COS(RADIANS($KW$46))))+(MH67*(LQ67/LR67))+(MI67*SIN(RADIANS($KW$46))))*'Irradiancia Horizontal'!N59)</f>
        <v>0</v>
      </c>
      <c r="MK67" s="88">
        <f t="shared" si="550"/>
        <v>-0.57960113551246739</v>
      </c>
      <c r="ML67" s="88">
        <f>MK67*'Irradiancia Horizontal'!N88</f>
        <v>0</v>
      </c>
      <c r="MM67" s="88">
        <f t="shared" si="649"/>
        <v>0</v>
      </c>
      <c r="MN67" s="88">
        <f t="shared" si="551"/>
        <v>0</v>
      </c>
      <c r="MO67" s="88">
        <f t="shared" si="650"/>
        <v>0</v>
      </c>
      <c r="MP67" s="106">
        <f t="shared" si="651"/>
        <v>0</v>
      </c>
      <c r="MQ67" s="106">
        <f t="shared" si="652"/>
        <v>0</v>
      </c>
      <c r="MR67" s="106">
        <f t="shared" si="653"/>
        <v>0</v>
      </c>
    </row>
    <row r="68" spans="1:356" x14ac:dyDescent="0.25">
      <c r="E68" s="39">
        <v>0.83333333333333304</v>
      </c>
      <c r="F68" s="38">
        <v>-120</v>
      </c>
      <c r="G68" s="38">
        <f t="shared" si="378"/>
        <v>-13.869303302725935</v>
      </c>
      <c r="H68" s="38">
        <f t="shared" si="745"/>
        <v>-56.705551891658374</v>
      </c>
      <c r="I68" s="38">
        <f t="shared" si="380"/>
        <v>103.86930330272594</v>
      </c>
      <c r="J68" s="38">
        <f>+'Irradiancia Horizontal'!I89/COS(RADIANS(I68))</f>
        <v>0</v>
      </c>
      <c r="K68" s="38" t="e">
        <f>((('Irradiancia Horizontal'!I60+J68)/'Irradiancia Horizontal'!I60)+1.041*((RADIANS('Cálculos iluminancia'!I68))^3))/(1+1.041*((RADIANS('Cálculos iluminancia'!I68))^3))</f>
        <v>#DIV/0!</v>
      </c>
      <c r="L68" s="87" t="e">
        <f t="shared" si="381"/>
        <v>#NUM!</v>
      </c>
      <c r="M68" s="87" t="e">
        <f t="shared" si="654"/>
        <v>#NUM!</v>
      </c>
      <c r="N68" s="106" t="e">
        <f>'Irradiancia Horizontal'!I60*M68/$L$46</f>
        <v>#NUM!</v>
      </c>
      <c r="O68" s="87">
        <f>((17.27*Temp!H30)/(237.7+Temp!H30))+LN(HR!H41/100)</f>
        <v>1.3552073538339147</v>
      </c>
      <c r="P68" s="87">
        <f t="shared" si="553"/>
        <v>20.241092370369284</v>
      </c>
      <c r="Q68" s="87">
        <f t="shared" si="554"/>
        <v>3.8262165382446232</v>
      </c>
      <c r="R68" s="87" t="e">
        <f t="shared" si="655"/>
        <v>#DIV/0!</v>
      </c>
      <c r="S68" s="87" t="e">
        <f t="shared" si="656"/>
        <v>#DIV/0!</v>
      </c>
      <c r="T68" s="87" t="e">
        <f t="shared" si="657"/>
        <v>#DIV/0!</v>
      </c>
      <c r="U68" s="87" t="e">
        <f t="shared" si="658"/>
        <v>#DIV/0!</v>
      </c>
      <c r="V68" s="87" t="e">
        <f t="shared" si="659"/>
        <v>#DIV/0!</v>
      </c>
      <c r="W68" s="103">
        <f t="shared" si="387"/>
        <v>0</v>
      </c>
      <c r="X68" s="165">
        <f>IF(AD68&gt;(W68*'Irradiancia Horizontal'!I28),AD68,W68*'Irradiancia Horizontal'!I28)</f>
        <v>0</v>
      </c>
      <c r="Y68" s="87" t="e">
        <f t="shared" si="660"/>
        <v>#DIV/0!</v>
      </c>
      <c r="Z68" s="87" t="e">
        <f t="shared" si="661"/>
        <v>#DIV/0!</v>
      </c>
      <c r="AA68" s="87" t="e">
        <f t="shared" si="662"/>
        <v>#DIV/0!</v>
      </c>
      <c r="AB68" s="87" t="e">
        <f t="shared" si="663"/>
        <v>#DIV/0!</v>
      </c>
      <c r="AC68" s="103">
        <f t="shared" si="392"/>
        <v>0</v>
      </c>
      <c r="AD68" s="87">
        <f>+AC68*'Irradiancia Horizontal'!I60</f>
        <v>0</v>
      </c>
      <c r="AE68" s="87">
        <f t="shared" si="393"/>
        <v>0</v>
      </c>
      <c r="AF68" s="87" t="e">
        <f>+AE68/'Irradiancia Horizontal'!I89</f>
        <v>#DIV/0!</v>
      </c>
      <c r="AG68" s="38">
        <f t="shared" si="555"/>
        <v>-0.53293745324411912</v>
      </c>
      <c r="AH68" s="87">
        <f t="shared" si="556"/>
        <v>0</v>
      </c>
      <c r="AI68" s="87">
        <f t="shared" si="557"/>
        <v>8.6999999999999994E-2</v>
      </c>
      <c r="AJ68" s="87" t="e">
        <f t="shared" si="558"/>
        <v>#DIV/0!</v>
      </c>
      <c r="AK68" s="87" t="e">
        <f t="shared" si="559"/>
        <v>#DIV/0!</v>
      </c>
      <c r="AL68" s="87" t="e">
        <f t="shared" si="560"/>
        <v>#DIV/0!</v>
      </c>
      <c r="AM68" s="87" t="e">
        <f t="shared" si="561"/>
        <v>#DIV/0!</v>
      </c>
      <c r="AN68" s="87" t="e">
        <f t="shared" si="562"/>
        <v>#DIV/0!</v>
      </c>
      <c r="AO68" s="87" t="e">
        <f t="shared" si="563"/>
        <v>#DIV/0!</v>
      </c>
      <c r="AP68" s="87" t="e">
        <f t="shared" si="394"/>
        <v>#DIV/0!</v>
      </c>
      <c r="AQ68" s="87" t="e">
        <f t="shared" si="395"/>
        <v>#DIV/0!</v>
      </c>
      <c r="AR68" s="88">
        <f t="shared" si="396"/>
        <v>0</v>
      </c>
      <c r="AS68" s="87" t="e">
        <f t="shared" si="664"/>
        <v>#DIV/0!</v>
      </c>
      <c r="AT68" s="87" t="e">
        <f t="shared" si="665"/>
        <v>#DIV/0!</v>
      </c>
      <c r="AU68" s="87" t="e">
        <f t="shared" si="666"/>
        <v>#DIV/0!</v>
      </c>
      <c r="AV68" s="87" t="e">
        <f t="shared" si="667"/>
        <v>#DIV/0!</v>
      </c>
      <c r="AW68" s="87" t="e">
        <f t="shared" si="668"/>
        <v>#DIV/0!</v>
      </c>
      <c r="AX68" s="87" t="e">
        <f t="shared" si="669"/>
        <v>#DIV/0!</v>
      </c>
      <c r="AY68" s="87" t="e">
        <f t="shared" si="403"/>
        <v>#DIV/0!</v>
      </c>
      <c r="AZ68" s="87" t="e">
        <f t="shared" si="404"/>
        <v>#DIV/0!</v>
      </c>
      <c r="BA68" s="106">
        <f>IF(G68&lt;0,0,((0.5*(1-AY68)*(1+COS(RADIANS($N$46))))+(AY68*(AH68/AI68))+(AZ68*SIN(RADIANS($N$46))))*'Irradiancia Horizontal'!I60)</f>
        <v>0</v>
      </c>
      <c r="BB68" s="87">
        <f t="shared" si="405"/>
        <v>0</v>
      </c>
      <c r="BC68" s="87">
        <f>BB68*'Irradiancia Horizontal'!I89</f>
        <v>0</v>
      </c>
      <c r="BD68" s="87">
        <f t="shared" si="564"/>
        <v>0</v>
      </c>
      <c r="BE68" s="88">
        <f t="shared" si="406"/>
        <v>0</v>
      </c>
      <c r="BF68" s="87">
        <f t="shared" si="565"/>
        <v>0</v>
      </c>
      <c r="BG68" s="106">
        <f t="shared" si="566"/>
        <v>0</v>
      </c>
      <c r="BH68" s="106">
        <f t="shared" si="567"/>
        <v>0</v>
      </c>
      <c r="BI68" s="106">
        <f t="shared" si="568"/>
        <v>0</v>
      </c>
      <c r="BJ68" s="44"/>
      <c r="BL68" s="39">
        <v>0.83333333333333304</v>
      </c>
      <c r="BM68" s="38">
        <v>-120</v>
      </c>
      <c r="BN68" s="38">
        <f t="shared" si="407"/>
        <v>-19.195820278510361</v>
      </c>
      <c r="BO68" s="38">
        <f t="shared" si="746"/>
        <v>-63.868024811432448</v>
      </c>
      <c r="BP68" s="38">
        <f t="shared" si="409"/>
        <v>109.19582027851035</v>
      </c>
      <c r="BQ68" s="38">
        <f>+'Irradiancia Horizontal'!J89/COS(RADIANS(BP68))</f>
        <v>0</v>
      </c>
      <c r="BR68" s="38" t="e">
        <f>((('Irradiancia Horizontal'!J60+BQ68)/'Irradiancia Horizontal'!J60)+1.041*((RADIANS('Cálculos iluminancia'!BP68))^3))/(1+1.041*((RADIANS('Cálculos iluminancia'!BP68))^3))</f>
        <v>#DIV/0!</v>
      </c>
      <c r="BS68" s="87" t="e">
        <f t="shared" si="410"/>
        <v>#NUM!</v>
      </c>
      <c r="BT68" s="87" t="e">
        <f t="shared" si="569"/>
        <v>#NUM!</v>
      </c>
      <c r="BU68" s="106" t="e">
        <f>'Irradiancia Horizontal'!J60*BT68/$BS$46</f>
        <v>#NUM!</v>
      </c>
      <c r="BV68" s="87">
        <f>((17.27*Temp!I30)/(237.7+Temp!I30))+LN(HR!I41/100)</f>
        <v>1.5071977493325257</v>
      </c>
      <c r="BW68" s="87">
        <f t="shared" si="570"/>
        <v>22.728249667737273</v>
      </c>
      <c r="BX68" s="87">
        <f t="shared" si="571"/>
        <v>4.5538702542899747</v>
      </c>
      <c r="BY68" s="87" t="e">
        <f t="shared" si="670"/>
        <v>#DIV/0!</v>
      </c>
      <c r="BZ68" s="87" t="e">
        <f t="shared" si="671"/>
        <v>#DIV/0!</v>
      </c>
      <c r="CA68" s="87" t="e">
        <f t="shared" si="672"/>
        <v>#DIV/0!</v>
      </c>
      <c r="CB68" s="87" t="e">
        <f t="shared" si="673"/>
        <v>#DIV/0!</v>
      </c>
      <c r="CC68" s="87" t="e">
        <f t="shared" si="674"/>
        <v>#DIV/0!</v>
      </c>
      <c r="CD68" s="103">
        <f t="shared" si="416"/>
        <v>0</v>
      </c>
      <c r="CE68" s="165">
        <f>IF(CK68&gt;(CD68*'Irradiancia Horizontal'!J28),CK68,CD68*'Irradiancia Horizontal'!J28)</f>
        <v>0</v>
      </c>
      <c r="CF68" s="87" t="e">
        <f t="shared" si="675"/>
        <v>#DIV/0!</v>
      </c>
      <c r="CG68" s="87" t="e">
        <f t="shared" si="676"/>
        <v>#DIV/0!</v>
      </c>
      <c r="CH68" s="87" t="e">
        <f t="shared" si="677"/>
        <v>#DIV/0!</v>
      </c>
      <c r="CI68" s="87" t="e">
        <f t="shared" si="678"/>
        <v>#DIV/0!</v>
      </c>
      <c r="CJ68" s="103">
        <f t="shared" si="421"/>
        <v>0</v>
      </c>
      <c r="CK68" s="87">
        <f>+CJ68*'Irradiancia Horizontal'!J60</f>
        <v>0</v>
      </c>
      <c r="CL68" s="87">
        <f t="shared" si="572"/>
        <v>0</v>
      </c>
      <c r="CM68" s="87" t="e">
        <f>+CL68/'Irradiancia Horizontal'!J89</f>
        <v>#DIV/0!</v>
      </c>
      <c r="CN68" s="38">
        <f t="shared" si="422"/>
        <v>-0.4159519447874227</v>
      </c>
      <c r="CO68" s="87">
        <f t="shared" si="573"/>
        <v>0</v>
      </c>
      <c r="CP68" s="87">
        <f t="shared" si="574"/>
        <v>8.6999999999999994E-2</v>
      </c>
      <c r="CQ68" s="87" t="e">
        <f t="shared" si="575"/>
        <v>#DIV/0!</v>
      </c>
      <c r="CR68" s="87" t="e">
        <f t="shared" si="576"/>
        <v>#DIV/0!</v>
      </c>
      <c r="CS68" s="87" t="e">
        <f t="shared" si="577"/>
        <v>#DIV/0!</v>
      </c>
      <c r="CT68" s="87" t="e">
        <f t="shared" si="578"/>
        <v>#DIV/0!</v>
      </c>
      <c r="CU68" s="87" t="e">
        <f t="shared" si="579"/>
        <v>#DIV/0!</v>
      </c>
      <c r="CV68" s="87" t="e">
        <f t="shared" si="580"/>
        <v>#DIV/0!</v>
      </c>
      <c r="CW68" s="87" t="e">
        <f t="shared" si="423"/>
        <v>#DIV/0!</v>
      </c>
      <c r="CX68" s="87" t="e">
        <f t="shared" si="424"/>
        <v>#DIV/0!</v>
      </c>
      <c r="CY68" s="88">
        <f t="shared" si="425"/>
        <v>0</v>
      </c>
      <c r="CZ68" s="87" t="e">
        <f t="shared" si="679"/>
        <v>#DIV/0!</v>
      </c>
      <c r="DA68" s="87" t="e">
        <f t="shared" si="680"/>
        <v>#DIV/0!</v>
      </c>
      <c r="DB68" s="87" t="e">
        <f t="shared" si="681"/>
        <v>#DIV/0!</v>
      </c>
      <c r="DC68" s="87" t="e">
        <f t="shared" si="682"/>
        <v>#DIV/0!</v>
      </c>
      <c r="DD68" s="87" t="e">
        <f t="shared" si="683"/>
        <v>#DIV/0!</v>
      </c>
      <c r="DE68" s="87" t="e">
        <f t="shared" si="684"/>
        <v>#DIV/0!</v>
      </c>
      <c r="DF68" s="87" t="e">
        <f t="shared" si="432"/>
        <v>#DIV/0!</v>
      </c>
      <c r="DG68" s="87" t="e">
        <f t="shared" si="433"/>
        <v>#DIV/0!</v>
      </c>
      <c r="DH68" s="106">
        <f>IF(BN68&lt;0,0,((0.5*(1-DF68)*(1+COS(RADIANS($BU$46))))+(DF68*(CO68/CP68))+(DG68*SIN(RADIANS($BU$46))))*'Irradiancia Horizontal'!J60)</f>
        <v>0</v>
      </c>
      <c r="DI68" s="87">
        <f t="shared" si="434"/>
        <v>0</v>
      </c>
      <c r="DJ68" s="87">
        <f>DI68*'Irradiancia Horizontal'!J89</f>
        <v>0</v>
      </c>
      <c r="DK68" s="87">
        <f t="shared" si="581"/>
        <v>0</v>
      </c>
      <c r="DL68" s="88">
        <f t="shared" si="435"/>
        <v>0</v>
      </c>
      <c r="DM68" s="87">
        <f t="shared" si="582"/>
        <v>0</v>
      </c>
      <c r="DN68" s="106">
        <f t="shared" si="583"/>
        <v>0</v>
      </c>
      <c r="DO68" s="106">
        <f t="shared" si="584"/>
        <v>0</v>
      </c>
      <c r="DP68" s="106">
        <f t="shared" si="585"/>
        <v>0</v>
      </c>
      <c r="DQ68" s="44"/>
      <c r="DS68" s="39">
        <v>0.83333333333333304</v>
      </c>
      <c r="DT68" s="38">
        <v>-120</v>
      </c>
      <c r="DU68" s="38">
        <f t="shared" si="436"/>
        <v>-26.019714198290455</v>
      </c>
      <c r="DV68" s="38">
        <f t="shared" si="747"/>
        <v>-74.514348919386748</v>
      </c>
      <c r="DW68" s="38">
        <f t="shared" si="438"/>
        <v>116.01971419829046</v>
      </c>
      <c r="DX68" s="38">
        <f>+'Irradiancia Horizontal'!K89/COS(RADIANS(DW68))</f>
        <v>0</v>
      </c>
      <c r="DY68" s="38" t="e">
        <f>((('Irradiancia Horizontal'!K60+DX68)/'Irradiancia Horizontal'!K60)+1.041*((RADIANS('Cálculos iluminancia'!DW68))^3))/(1+1.041*((RADIANS('Cálculos iluminancia'!DW68))^3))</f>
        <v>#DIV/0!</v>
      </c>
      <c r="DZ68" s="87" t="e">
        <f t="shared" si="439"/>
        <v>#NUM!</v>
      </c>
      <c r="EA68" s="87" t="e">
        <f t="shared" si="586"/>
        <v>#NUM!</v>
      </c>
      <c r="EB68" s="106" t="e">
        <f>'Irradiancia Horizontal'!K60*EA68/$DZ$46</f>
        <v>#NUM!</v>
      </c>
      <c r="EC68" s="87">
        <f>((17.27*Temp!J30)/(237.7+Temp!J30))+LN(HR!J41/100)</f>
        <v>1.382953800905498</v>
      </c>
      <c r="ED68" s="87">
        <f t="shared" si="587"/>
        <v>20.691581956498183</v>
      </c>
      <c r="EE68" s="87">
        <f t="shared" si="588"/>
        <v>3.9487960577806529</v>
      </c>
      <c r="EF68" s="87" t="e">
        <f t="shared" si="685"/>
        <v>#DIV/0!</v>
      </c>
      <c r="EG68" s="87" t="e">
        <f t="shared" si="686"/>
        <v>#DIV/0!</v>
      </c>
      <c r="EH68" s="87" t="e">
        <f t="shared" si="687"/>
        <v>#DIV/0!</v>
      </c>
      <c r="EI68" s="87" t="e">
        <f t="shared" si="688"/>
        <v>#DIV/0!</v>
      </c>
      <c r="EJ68" s="87" t="e">
        <f t="shared" si="689"/>
        <v>#DIV/0!</v>
      </c>
      <c r="EK68" s="103">
        <f t="shared" si="445"/>
        <v>0</v>
      </c>
      <c r="EL68" s="165">
        <f>IF(ER68&gt;(EK68*'Irradiancia Horizontal'!K28),ER68,EK68*'Irradiancia Horizontal'!K28)</f>
        <v>0</v>
      </c>
      <c r="EM68" s="87" t="e">
        <f t="shared" si="690"/>
        <v>#DIV/0!</v>
      </c>
      <c r="EN68" s="87" t="e">
        <f t="shared" si="691"/>
        <v>#DIV/0!</v>
      </c>
      <c r="EO68" s="87" t="e">
        <f t="shared" si="692"/>
        <v>#DIV/0!</v>
      </c>
      <c r="EP68" s="87" t="e">
        <f t="shared" si="693"/>
        <v>#DIV/0!</v>
      </c>
      <c r="EQ68" s="103">
        <f t="shared" si="450"/>
        <v>0</v>
      </c>
      <c r="ER68" s="87">
        <f>+EQ68*'Irradiancia Horizontal'!K60</f>
        <v>0</v>
      </c>
      <c r="ES68" s="87">
        <f t="shared" si="589"/>
        <v>0</v>
      </c>
      <c r="ET68" s="87" t="e">
        <f>+ES68/'Irradiancia Horizontal'!K89</f>
        <v>#DIV/0!</v>
      </c>
      <c r="EU68" s="38">
        <f t="shared" si="451"/>
        <v>-0.23993506361696706</v>
      </c>
      <c r="EV68" s="87">
        <f t="shared" si="590"/>
        <v>0</v>
      </c>
      <c r="EW68" s="87">
        <f t="shared" si="591"/>
        <v>8.6999999999999994E-2</v>
      </c>
      <c r="EX68" s="87" t="e">
        <f t="shared" si="592"/>
        <v>#DIV/0!</v>
      </c>
      <c r="EY68" s="87" t="e">
        <f t="shared" si="593"/>
        <v>#DIV/0!</v>
      </c>
      <c r="EZ68" s="87" t="e">
        <f t="shared" si="594"/>
        <v>#DIV/0!</v>
      </c>
      <c r="FA68" s="87" t="e">
        <f t="shared" si="595"/>
        <v>#DIV/0!</v>
      </c>
      <c r="FB68" s="87" t="e">
        <f t="shared" si="596"/>
        <v>#DIV/0!</v>
      </c>
      <c r="FC68" s="87" t="e">
        <f t="shared" si="597"/>
        <v>#DIV/0!</v>
      </c>
      <c r="FD68" s="87" t="e">
        <f t="shared" si="452"/>
        <v>#DIV/0!</v>
      </c>
      <c r="FE68" s="87" t="e">
        <f t="shared" si="453"/>
        <v>#DIV/0!</v>
      </c>
      <c r="FF68" s="88">
        <f t="shared" si="454"/>
        <v>0</v>
      </c>
      <c r="FG68" s="87" t="e">
        <f t="shared" si="694"/>
        <v>#DIV/0!</v>
      </c>
      <c r="FH68" s="87" t="e">
        <f t="shared" si="695"/>
        <v>#DIV/0!</v>
      </c>
      <c r="FI68" s="87" t="e">
        <f t="shared" si="696"/>
        <v>#DIV/0!</v>
      </c>
      <c r="FJ68" s="87" t="e">
        <f t="shared" si="697"/>
        <v>#DIV/0!</v>
      </c>
      <c r="FK68" s="87" t="e">
        <f t="shared" si="698"/>
        <v>#DIV/0!</v>
      </c>
      <c r="FL68" s="87" t="e">
        <f t="shared" si="699"/>
        <v>#DIV/0!</v>
      </c>
      <c r="FM68" s="87" t="e">
        <f t="shared" si="461"/>
        <v>#DIV/0!</v>
      </c>
      <c r="FN68" s="87" t="e">
        <f t="shared" si="462"/>
        <v>#DIV/0!</v>
      </c>
      <c r="FO68" s="106">
        <f>IF(DU68&lt;0,0,((0.5*(1-FM68)*(1+COS(RADIANS($EB$46))))+(FM68*(EV68/EW68))+(FN68*SIN(RADIANS($EB$46))))*'Irradiancia Horizontal'!K60)</f>
        <v>0</v>
      </c>
      <c r="FP68" s="87">
        <f t="shared" si="463"/>
        <v>0</v>
      </c>
      <c r="FQ68" s="87">
        <f>FP68*'Irradiancia Horizontal'!K89</f>
        <v>0</v>
      </c>
      <c r="FR68" s="87">
        <f t="shared" si="598"/>
        <v>0</v>
      </c>
      <c r="FS68" s="88">
        <f t="shared" si="464"/>
        <v>0</v>
      </c>
      <c r="FT68" s="87">
        <f t="shared" si="599"/>
        <v>0</v>
      </c>
      <c r="FU68" s="106">
        <f t="shared" si="600"/>
        <v>0</v>
      </c>
      <c r="FV68" s="106">
        <f t="shared" si="601"/>
        <v>0</v>
      </c>
      <c r="FW68" s="106">
        <f t="shared" si="602"/>
        <v>0</v>
      </c>
      <c r="FX68" s="83"/>
      <c r="FZ68" s="39">
        <v>0.83333333333333304</v>
      </c>
      <c r="GA68" s="38">
        <v>-120</v>
      </c>
      <c r="GB68" s="38">
        <f t="shared" si="465"/>
        <v>-31.790733696612147</v>
      </c>
      <c r="GC68" s="38">
        <f t="shared" si="748"/>
        <v>-85.959773722349823</v>
      </c>
      <c r="GD68" s="38">
        <f t="shared" si="467"/>
        <v>121.79073369661215</v>
      </c>
      <c r="GE68" s="38">
        <f>+'Irradiancia Horizontal'!L89/COS(RADIANS(GD68))</f>
        <v>0</v>
      </c>
      <c r="GF68" s="38" t="e">
        <f>((('Irradiancia Horizontal'!L60+GE68)/'Irradiancia Horizontal'!L60)+1.041*((RADIANS('Cálculos iluminancia'!GD68))^3))/(1+1.041*((RADIANS('Cálculos iluminancia'!GD68))^3))</f>
        <v>#DIV/0!</v>
      </c>
      <c r="GG68" s="88" t="e">
        <f t="shared" si="468"/>
        <v>#NUM!</v>
      </c>
      <c r="GH68" s="88" t="e">
        <f t="shared" si="603"/>
        <v>#NUM!</v>
      </c>
      <c r="GI68" s="106" t="e">
        <f>'Irradiancia Horizontal'!L60*GH68/$GG$46</f>
        <v>#NUM!</v>
      </c>
      <c r="GJ68" s="88">
        <f>((17.27*Temp!K30)/(237.7+Temp!K30))+LN(HR!K41/100)</f>
        <v>1.0533916170194515</v>
      </c>
      <c r="GK68" s="88">
        <f t="shared" si="604"/>
        <v>15.440416482420025</v>
      </c>
      <c r="GL68" s="88">
        <f t="shared" si="605"/>
        <v>2.7341733833860751</v>
      </c>
      <c r="GM68" s="88" t="e">
        <f t="shared" si="700"/>
        <v>#DIV/0!</v>
      </c>
      <c r="GN68" s="88" t="e">
        <f t="shared" si="701"/>
        <v>#DIV/0!</v>
      </c>
      <c r="GO68" s="88" t="e">
        <f t="shared" si="702"/>
        <v>#DIV/0!</v>
      </c>
      <c r="GP68" s="88" t="e">
        <f t="shared" si="703"/>
        <v>#DIV/0!</v>
      </c>
      <c r="GQ68" s="88" t="e">
        <f t="shared" si="704"/>
        <v>#DIV/0!</v>
      </c>
      <c r="GR68" s="103">
        <f t="shared" si="474"/>
        <v>0</v>
      </c>
      <c r="GS68" s="165">
        <f>IF(GY68&gt;(GR68*'Irradiancia Horizontal'!L28),GY68,GR68*'Irradiancia Horizontal'!L28)</f>
        <v>0</v>
      </c>
      <c r="GT68" s="88" t="e">
        <f t="shared" si="705"/>
        <v>#DIV/0!</v>
      </c>
      <c r="GU68" s="88" t="e">
        <f t="shared" si="706"/>
        <v>#DIV/0!</v>
      </c>
      <c r="GV68" s="88" t="e">
        <f t="shared" si="707"/>
        <v>#DIV/0!</v>
      </c>
      <c r="GW68" s="88" t="e">
        <f t="shared" si="708"/>
        <v>#DIV/0!</v>
      </c>
      <c r="GX68" s="103">
        <f t="shared" si="479"/>
        <v>0</v>
      </c>
      <c r="GY68" s="88">
        <f>+GX68*'Irradiancia Horizontal'!L60</f>
        <v>0</v>
      </c>
      <c r="GZ68" s="88">
        <f t="shared" si="606"/>
        <v>0</v>
      </c>
      <c r="HA68" s="88" t="e">
        <f>+GZ68/'Irradiancia Horizontal'!L89</f>
        <v>#DIV/0!</v>
      </c>
      <c r="HB68" s="38">
        <f t="shared" si="480"/>
        <v>-5.9886746428248316E-2</v>
      </c>
      <c r="HC68" s="88">
        <f t="shared" si="607"/>
        <v>0</v>
      </c>
      <c r="HD68" s="88">
        <f t="shared" si="608"/>
        <v>8.6999999999999994E-2</v>
      </c>
      <c r="HE68" s="88" t="e">
        <f t="shared" si="609"/>
        <v>#DIV/0!</v>
      </c>
      <c r="HF68" s="88" t="e">
        <f t="shared" si="610"/>
        <v>#DIV/0!</v>
      </c>
      <c r="HG68" s="88" t="e">
        <f t="shared" si="611"/>
        <v>#DIV/0!</v>
      </c>
      <c r="HH68" s="88" t="e">
        <f t="shared" si="612"/>
        <v>#DIV/0!</v>
      </c>
      <c r="HI68" s="88" t="e">
        <f t="shared" si="613"/>
        <v>#DIV/0!</v>
      </c>
      <c r="HJ68" s="88" t="e">
        <f t="shared" si="614"/>
        <v>#DIV/0!</v>
      </c>
      <c r="HK68" s="88" t="e">
        <f t="shared" si="481"/>
        <v>#DIV/0!</v>
      </c>
      <c r="HL68" s="88" t="e">
        <f t="shared" si="482"/>
        <v>#DIV/0!</v>
      </c>
      <c r="HM68" s="88">
        <f t="shared" si="483"/>
        <v>0</v>
      </c>
      <c r="HN68" s="88" t="e">
        <f t="shared" si="709"/>
        <v>#DIV/0!</v>
      </c>
      <c r="HO68" s="88" t="e">
        <f t="shared" si="710"/>
        <v>#DIV/0!</v>
      </c>
      <c r="HP68" s="88" t="e">
        <f t="shared" si="711"/>
        <v>#DIV/0!</v>
      </c>
      <c r="HQ68" s="88" t="e">
        <f t="shared" si="712"/>
        <v>#DIV/0!</v>
      </c>
      <c r="HR68" s="88" t="e">
        <f t="shared" si="713"/>
        <v>#DIV/0!</v>
      </c>
      <c r="HS68" s="88" t="e">
        <f t="shared" si="714"/>
        <v>#DIV/0!</v>
      </c>
      <c r="HT68" s="88" t="e">
        <f t="shared" si="490"/>
        <v>#DIV/0!</v>
      </c>
      <c r="HU68" s="88" t="e">
        <f t="shared" si="491"/>
        <v>#DIV/0!</v>
      </c>
      <c r="HV68" s="106">
        <f>IF(GB68&lt;0,0,((0.5*(1-HT68)*(1+COS(RADIANS($GI$46))))+(HT68*(HC68/HD68))+(HU68*SIN(RADIANS($GI$46))))*'Irradiancia Horizontal'!L60)</f>
        <v>0</v>
      </c>
      <c r="HW68" s="88">
        <f t="shared" si="492"/>
        <v>0</v>
      </c>
      <c r="HX68" s="88">
        <f>HW68*'Irradiancia Horizontal'!L89</f>
        <v>0</v>
      </c>
      <c r="HY68" s="88">
        <f t="shared" si="615"/>
        <v>0</v>
      </c>
      <c r="HZ68" s="88">
        <f t="shared" si="493"/>
        <v>0</v>
      </c>
      <c r="IA68" s="88">
        <f t="shared" si="616"/>
        <v>0</v>
      </c>
      <c r="IB68" s="106">
        <f t="shared" si="617"/>
        <v>0</v>
      </c>
      <c r="IC68" s="106">
        <f t="shared" si="618"/>
        <v>0</v>
      </c>
      <c r="ID68" s="106">
        <f t="shared" si="619"/>
        <v>0</v>
      </c>
      <c r="IE68" s="83"/>
      <c r="IG68" s="39">
        <v>0.83333333333333304</v>
      </c>
      <c r="IH68" s="38">
        <v>-120</v>
      </c>
      <c r="II68" s="38">
        <f t="shared" si="494"/>
        <v>-35.394376206101413</v>
      </c>
      <c r="IJ68" s="38">
        <f t="shared" si="749"/>
        <v>-95.456282657838045</v>
      </c>
      <c r="IK68" s="38">
        <f t="shared" si="496"/>
        <v>125.39437620610141</v>
      </c>
      <c r="IL68" s="38">
        <f>+'Irradiancia Horizontal'!M89/COS(RADIANS(IK68))</f>
        <v>0</v>
      </c>
      <c r="IM68" s="38" t="e">
        <f>((('Irradiancia Horizontal'!M60+IL68)/'Irradiancia Horizontal'!M60)+1.041*((RADIANS('Cálculos iluminancia'!IK68))^3))/(1+1.041*((RADIANS('Cálculos iluminancia'!IK68))^3))</f>
        <v>#DIV/0!</v>
      </c>
      <c r="IN68" s="88" t="e">
        <f t="shared" si="497"/>
        <v>#NUM!</v>
      </c>
      <c r="IO68" s="88" t="e">
        <f t="shared" si="620"/>
        <v>#NUM!</v>
      </c>
      <c r="IP68" s="106" t="e">
        <f>'Irradiancia Horizontal'!M60*IO68/$IN$46</f>
        <v>#NUM!</v>
      </c>
      <c r="IQ68" s="88">
        <f>((17.27*Temp!L30)/(237.7+Temp!L30))+LN(HR!L41/100)</f>
        <v>0.75923603611410473</v>
      </c>
      <c r="IR68" s="88">
        <f t="shared" si="621"/>
        <v>10.930469733506383</v>
      </c>
      <c r="IS68" s="88">
        <f t="shared" si="622"/>
        <v>1.9939804784483259</v>
      </c>
      <c r="IT68" s="88" t="e">
        <f t="shared" si="715"/>
        <v>#DIV/0!</v>
      </c>
      <c r="IU68" s="88" t="e">
        <f t="shared" si="716"/>
        <v>#DIV/0!</v>
      </c>
      <c r="IV68" s="88" t="e">
        <f t="shared" si="717"/>
        <v>#DIV/0!</v>
      </c>
      <c r="IW68" s="88" t="e">
        <f t="shared" si="718"/>
        <v>#DIV/0!</v>
      </c>
      <c r="IX68" s="88" t="e">
        <f t="shared" si="719"/>
        <v>#DIV/0!</v>
      </c>
      <c r="IY68" s="103">
        <f t="shared" si="503"/>
        <v>0</v>
      </c>
      <c r="IZ68" s="165">
        <f>IF(JF68&gt;(IY68*'Irradiancia Horizontal'!M28),JF68,IY68*'Irradiancia Horizontal'!M28)</f>
        <v>0</v>
      </c>
      <c r="JA68" s="88" t="e">
        <f t="shared" si="720"/>
        <v>#DIV/0!</v>
      </c>
      <c r="JB68" s="88" t="e">
        <f t="shared" si="721"/>
        <v>#DIV/0!</v>
      </c>
      <c r="JC68" s="88" t="e">
        <f t="shared" si="722"/>
        <v>#DIV/0!</v>
      </c>
      <c r="JD68" s="88" t="e">
        <f t="shared" si="723"/>
        <v>#DIV/0!</v>
      </c>
      <c r="JE68" s="103">
        <f t="shared" si="508"/>
        <v>0</v>
      </c>
      <c r="JF68" s="88">
        <f>+JE68*'Irradiancia Horizontal'!M60</f>
        <v>0</v>
      </c>
      <c r="JG68" s="88">
        <f t="shared" si="623"/>
        <v>0</v>
      </c>
      <c r="JH68" s="88" t="e">
        <f>+JG68/'Irradiancia Horizontal'!M89</f>
        <v>#DIV/0!</v>
      </c>
      <c r="JI68" s="38">
        <f t="shared" si="509"/>
        <v>7.7512831807746152E-2</v>
      </c>
      <c r="JJ68" s="88">
        <f t="shared" si="624"/>
        <v>7.7512831807746152E-2</v>
      </c>
      <c r="JK68" s="88">
        <f t="shared" si="625"/>
        <v>8.6999999999999994E-2</v>
      </c>
      <c r="JL68" s="88" t="e">
        <f t="shared" si="626"/>
        <v>#DIV/0!</v>
      </c>
      <c r="JM68" s="88" t="e">
        <f t="shared" si="627"/>
        <v>#DIV/0!</v>
      </c>
      <c r="JN68" s="88" t="e">
        <f t="shared" si="628"/>
        <v>#DIV/0!</v>
      </c>
      <c r="JO68" s="88" t="e">
        <f t="shared" si="629"/>
        <v>#DIV/0!</v>
      </c>
      <c r="JP68" s="88" t="e">
        <f t="shared" si="630"/>
        <v>#DIV/0!</v>
      </c>
      <c r="JQ68" s="88" t="e">
        <f t="shared" si="631"/>
        <v>#DIV/0!</v>
      </c>
      <c r="JR68" s="88" t="e">
        <f t="shared" si="510"/>
        <v>#DIV/0!</v>
      </c>
      <c r="JS68" s="88" t="e">
        <f t="shared" si="511"/>
        <v>#DIV/0!</v>
      </c>
      <c r="JT68" s="88">
        <f t="shared" si="512"/>
        <v>0</v>
      </c>
      <c r="JU68" s="88" t="e">
        <f t="shared" si="724"/>
        <v>#DIV/0!</v>
      </c>
      <c r="JV68" s="88" t="e">
        <f t="shared" si="725"/>
        <v>#DIV/0!</v>
      </c>
      <c r="JW68" s="88" t="e">
        <f t="shared" si="726"/>
        <v>#DIV/0!</v>
      </c>
      <c r="JX68" s="88" t="e">
        <f t="shared" si="727"/>
        <v>#DIV/0!</v>
      </c>
      <c r="JY68" s="88" t="e">
        <f t="shared" si="728"/>
        <v>#DIV/0!</v>
      </c>
      <c r="JZ68" s="88" t="e">
        <f t="shared" si="729"/>
        <v>#DIV/0!</v>
      </c>
      <c r="KA68" s="88" t="e">
        <f t="shared" si="519"/>
        <v>#DIV/0!</v>
      </c>
      <c r="KB68" s="88" t="e">
        <f t="shared" si="520"/>
        <v>#DIV/0!</v>
      </c>
      <c r="KC68" s="106">
        <f>IF(II68&lt;0,0,((0.5*(1-KA68)*(1+COS(RADIANS($IP$46))))+(KA68*(JJ68/JK68))+(KB68*SIN(RADIANS($IP$46))))*'Irradiancia Horizontal'!M60)</f>
        <v>0</v>
      </c>
      <c r="KD68" s="88">
        <f t="shared" si="521"/>
        <v>-0.13382713456000858</v>
      </c>
      <c r="KE68" s="88">
        <f>KD68*'Irradiancia Horizontal'!M89</f>
        <v>0</v>
      </c>
      <c r="KF68" s="88">
        <f t="shared" si="632"/>
        <v>0</v>
      </c>
      <c r="KG68" s="88">
        <f t="shared" si="522"/>
        <v>0</v>
      </c>
      <c r="KH68" s="88">
        <f t="shared" si="633"/>
        <v>0</v>
      </c>
      <c r="KI68" s="106">
        <f t="shared" si="634"/>
        <v>0</v>
      </c>
      <c r="KJ68" s="106">
        <f t="shared" si="635"/>
        <v>0</v>
      </c>
      <c r="KK68" s="106">
        <f t="shared" si="636"/>
        <v>0</v>
      </c>
      <c r="KL68" s="40"/>
      <c r="KN68" s="39">
        <v>0.83333333333333304</v>
      </c>
      <c r="KO68" s="38">
        <v>-120</v>
      </c>
      <c r="KP68" s="38">
        <f t="shared" si="523"/>
        <v>-36.462362723804368</v>
      </c>
      <c r="KQ68" s="38">
        <f t="shared" si="750"/>
        <v>-98.929650560124273</v>
      </c>
      <c r="KR68" s="38">
        <f t="shared" si="525"/>
        <v>126.46236272380438</v>
      </c>
      <c r="KS68" s="38">
        <f>+'Irradiancia Horizontal'!N89/COS(RADIANS(KR68))</f>
        <v>0</v>
      </c>
      <c r="KT68" s="38" t="e">
        <f>((('Irradiancia Horizontal'!N60+KS68)/'Irradiancia Horizontal'!N60)+1.041*((RADIANS('Cálculos iluminancia'!KR68))^3))/(1+1.041*((RADIANS('Cálculos iluminancia'!KR68))^3))</f>
        <v>#DIV/0!</v>
      </c>
      <c r="KU68" s="88" t="e">
        <f t="shared" si="526"/>
        <v>#NUM!</v>
      </c>
      <c r="KV68" s="88" t="e">
        <f t="shared" si="637"/>
        <v>#NUM!</v>
      </c>
      <c r="KW68" s="106" t="e">
        <f>'Irradiancia Horizontal'!N60*KV68/$KU$46</f>
        <v>#NUM!</v>
      </c>
      <c r="KX68" s="88">
        <f>((17.27*Temp!M30)/(237.7+Temp!M30))+LN(HR!M41/100)</f>
        <v>0.47189811121497882</v>
      </c>
      <c r="KY68" s="88">
        <f t="shared" si="638"/>
        <v>6.6775509386979639</v>
      </c>
      <c r="KZ68" s="88">
        <f t="shared" si="639"/>
        <v>1.4805720978850772</v>
      </c>
      <c r="LA68" s="88" t="e">
        <f t="shared" si="730"/>
        <v>#DIV/0!</v>
      </c>
      <c r="LB68" s="88" t="e">
        <f t="shared" si="731"/>
        <v>#DIV/0!</v>
      </c>
      <c r="LC68" s="88" t="e">
        <f t="shared" si="732"/>
        <v>#DIV/0!</v>
      </c>
      <c r="LD68" s="88" t="e">
        <f t="shared" si="733"/>
        <v>#DIV/0!</v>
      </c>
      <c r="LE68" s="88" t="e">
        <f t="shared" si="734"/>
        <v>#DIV/0!</v>
      </c>
      <c r="LF68" s="103">
        <f t="shared" si="532"/>
        <v>0</v>
      </c>
      <c r="LG68" s="165">
        <f>IF(LM68&gt;(LF68*'Irradiancia Horizontal'!N28),LM68,LF68*'Irradiancia Horizontal'!N28)</f>
        <v>0</v>
      </c>
      <c r="LH68" s="88" t="e">
        <f t="shared" si="735"/>
        <v>#DIV/0!</v>
      </c>
      <c r="LI68" s="88" t="e">
        <f t="shared" si="736"/>
        <v>#DIV/0!</v>
      </c>
      <c r="LJ68" s="88" t="e">
        <f t="shared" si="737"/>
        <v>#DIV/0!</v>
      </c>
      <c r="LK68" s="88" t="e">
        <f t="shared" si="738"/>
        <v>#DIV/0!</v>
      </c>
      <c r="LL68" s="103">
        <f t="shared" si="537"/>
        <v>0</v>
      </c>
      <c r="LM68" s="88">
        <f>+LL68*'Irradiancia Horizontal'!N60</f>
        <v>0</v>
      </c>
      <c r="LN68" s="88">
        <f t="shared" si="640"/>
        <v>0</v>
      </c>
      <c r="LO68" s="88" t="e">
        <f>+LN68/'Irradiancia Horizontal'!N89</f>
        <v>#DIV/0!</v>
      </c>
      <c r="LP68" s="38">
        <f t="shared" si="538"/>
        <v>0.12483659967971558</v>
      </c>
      <c r="LQ68" s="88">
        <f t="shared" si="641"/>
        <v>0.12483659967971558</v>
      </c>
      <c r="LR68" s="88">
        <f t="shared" si="642"/>
        <v>8.6999999999999994E-2</v>
      </c>
      <c r="LS68" s="88" t="e">
        <f t="shared" si="643"/>
        <v>#DIV/0!</v>
      </c>
      <c r="LT68" s="88" t="e">
        <f t="shared" si="644"/>
        <v>#DIV/0!</v>
      </c>
      <c r="LU68" s="88" t="e">
        <f t="shared" si="645"/>
        <v>#DIV/0!</v>
      </c>
      <c r="LV68" s="88" t="e">
        <f t="shared" si="646"/>
        <v>#DIV/0!</v>
      </c>
      <c r="LW68" s="88" t="e">
        <f t="shared" si="647"/>
        <v>#DIV/0!</v>
      </c>
      <c r="LX68" s="88" t="e">
        <f t="shared" si="648"/>
        <v>#DIV/0!</v>
      </c>
      <c r="LY68" s="88" t="e">
        <f t="shared" si="539"/>
        <v>#DIV/0!</v>
      </c>
      <c r="LZ68" s="88" t="e">
        <f t="shared" si="540"/>
        <v>#DIV/0!</v>
      </c>
      <c r="MA68" s="88">
        <f t="shared" si="541"/>
        <v>0</v>
      </c>
      <c r="MB68" s="88" t="e">
        <f t="shared" si="739"/>
        <v>#DIV/0!</v>
      </c>
      <c r="MC68" s="88" t="e">
        <f t="shared" si="740"/>
        <v>#DIV/0!</v>
      </c>
      <c r="MD68" s="88" t="e">
        <f t="shared" si="741"/>
        <v>#DIV/0!</v>
      </c>
      <c r="ME68" s="88" t="e">
        <f t="shared" si="742"/>
        <v>#DIV/0!</v>
      </c>
      <c r="MF68" s="88" t="e">
        <f t="shared" si="743"/>
        <v>#DIV/0!</v>
      </c>
      <c r="MG68" s="88" t="e">
        <f t="shared" si="744"/>
        <v>#DIV/0!</v>
      </c>
      <c r="MH68" s="88" t="e">
        <f t="shared" si="548"/>
        <v>#DIV/0!</v>
      </c>
      <c r="MI68" s="88" t="e">
        <f t="shared" si="549"/>
        <v>#DIV/0!</v>
      </c>
      <c r="MJ68" s="106">
        <f>IF(KP68&lt;0,0,((0.5*(1-MH68)*(1+COS(RADIANS($KW$46))))+(MH68*(LQ68/LR68))+(MI68*SIN(RADIANS($KW$46))))*'Irradiancia Horizontal'!N60)</f>
        <v>0</v>
      </c>
      <c r="MK68" s="88">
        <f t="shared" si="550"/>
        <v>-0.21005844190273429</v>
      </c>
      <c r="ML68" s="88">
        <f>MK68*'Irradiancia Horizontal'!N89</f>
        <v>0</v>
      </c>
      <c r="MM68" s="88">
        <f t="shared" si="649"/>
        <v>0</v>
      </c>
      <c r="MN68" s="88">
        <f t="shared" si="551"/>
        <v>0</v>
      </c>
      <c r="MO68" s="88">
        <f t="shared" si="650"/>
        <v>0</v>
      </c>
      <c r="MP68" s="106">
        <f t="shared" si="651"/>
        <v>0</v>
      </c>
      <c r="MQ68" s="106">
        <f t="shared" si="652"/>
        <v>0</v>
      </c>
      <c r="MR68" s="106">
        <f t="shared" si="653"/>
        <v>0</v>
      </c>
    </row>
    <row r="69" spans="1:356" x14ac:dyDescent="0.25">
      <c r="E69" s="39">
        <v>0.875</v>
      </c>
      <c r="F69" s="38">
        <v>-135</v>
      </c>
      <c r="G69" s="38">
        <f t="shared" si="378"/>
        <v>-24.161470214332297</v>
      </c>
      <c r="H69" s="38">
        <f t="shared" si="745"/>
        <v>-46.568585429046891</v>
      </c>
      <c r="I69" s="38">
        <f t="shared" si="380"/>
        <v>114.1614702143323</v>
      </c>
      <c r="J69" s="38">
        <f>+'Irradiancia Horizontal'!I90/COS(RADIANS(I69))</f>
        <v>0</v>
      </c>
      <c r="K69" s="38" t="e">
        <f>((('Irradiancia Horizontal'!I61+J69)/'Irradiancia Horizontal'!I61)+1.041*((RADIANS('Cálculos iluminancia'!I69))^3))/(1+1.041*((RADIANS('Cálculos iluminancia'!I69))^3))</f>
        <v>#DIV/0!</v>
      </c>
      <c r="L69" s="87" t="e">
        <f t="shared" si="381"/>
        <v>#NUM!</v>
      </c>
      <c r="M69" s="87" t="e">
        <f t="shared" si="654"/>
        <v>#NUM!</v>
      </c>
      <c r="N69" s="106" t="e">
        <f>'Irradiancia Horizontal'!I61*M69/$L$46</f>
        <v>#NUM!</v>
      </c>
      <c r="O69" s="87">
        <f>((17.27*Temp!H31)/(237.7+Temp!H31))+LN(HR!H42/100)</f>
        <v>1.3386055490163837</v>
      </c>
      <c r="P69" s="87">
        <f t="shared" si="553"/>
        <v>19.972296836925615</v>
      </c>
      <c r="Q69" s="87">
        <f t="shared" si="554"/>
        <v>3.7548967140199814</v>
      </c>
      <c r="R69" s="87" t="e">
        <f t="shared" si="655"/>
        <v>#DIV/0!</v>
      </c>
      <c r="S69" s="87" t="e">
        <f t="shared" si="656"/>
        <v>#DIV/0!</v>
      </c>
      <c r="T69" s="87" t="e">
        <f t="shared" si="657"/>
        <v>#DIV/0!</v>
      </c>
      <c r="U69" s="87" t="e">
        <f t="shared" si="658"/>
        <v>#DIV/0!</v>
      </c>
      <c r="V69" s="87" t="e">
        <f t="shared" si="659"/>
        <v>#DIV/0!</v>
      </c>
      <c r="W69" s="103">
        <f t="shared" si="387"/>
        <v>0</v>
      </c>
      <c r="X69" s="165">
        <f>IF(AD69&gt;(W69*'Irradiancia Horizontal'!I29),AD69,W69*'Irradiancia Horizontal'!I29)</f>
        <v>0</v>
      </c>
      <c r="Y69" s="87" t="e">
        <f t="shared" si="660"/>
        <v>#DIV/0!</v>
      </c>
      <c r="Z69" s="87" t="e">
        <f t="shared" si="661"/>
        <v>#DIV/0!</v>
      </c>
      <c r="AA69" s="87" t="e">
        <f t="shared" si="662"/>
        <v>#DIV/0!</v>
      </c>
      <c r="AB69" s="87" t="e">
        <f t="shared" si="663"/>
        <v>#DIV/0!</v>
      </c>
      <c r="AC69" s="103">
        <f t="shared" si="392"/>
        <v>0</v>
      </c>
      <c r="AD69" s="87">
        <f>+AC69*'Irradiancia Horizontal'!I61</f>
        <v>0</v>
      </c>
      <c r="AE69" s="87">
        <f t="shared" si="393"/>
        <v>0</v>
      </c>
      <c r="AF69" s="87" t="e">
        <f>+AE69/'Irradiancia Horizontal'!I90</f>
        <v>#DIV/0!</v>
      </c>
      <c r="AG69" s="38">
        <f t="shared" si="555"/>
        <v>-0.62725898066290853</v>
      </c>
      <c r="AH69" s="87">
        <f t="shared" si="556"/>
        <v>0</v>
      </c>
      <c r="AI69" s="87">
        <f t="shared" si="557"/>
        <v>8.6999999999999994E-2</v>
      </c>
      <c r="AJ69" s="87" t="e">
        <f t="shared" si="558"/>
        <v>#DIV/0!</v>
      </c>
      <c r="AK69" s="87" t="e">
        <f t="shared" si="559"/>
        <v>#DIV/0!</v>
      </c>
      <c r="AL69" s="87" t="e">
        <f t="shared" si="560"/>
        <v>#DIV/0!</v>
      </c>
      <c r="AM69" s="87" t="e">
        <f t="shared" si="561"/>
        <v>#DIV/0!</v>
      </c>
      <c r="AN69" s="87" t="e">
        <f t="shared" si="562"/>
        <v>#DIV/0!</v>
      </c>
      <c r="AO69" s="87" t="e">
        <f t="shared" si="563"/>
        <v>#DIV/0!</v>
      </c>
      <c r="AP69" s="87" t="e">
        <f t="shared" si="394"/>
        <v>#DIV/0!</v>
      </c>
      <c r="AQ69" s="87" t="e">
        <f t="shared" si="395"/>
        <v>#DIV/0!</v>
      </c>
      <c r="AR69" s="88">
        <f t="shared" si="396"/>
        <v>0</v>
      </c>
      <c r="AS69" s="87" t="e">
        <f t="shared" si="664"/>
        <v>#DIV/0!</v>
      </c>
      <c r="AT69" s="87" t="e">
        <f t="shared" si="665"/>
        <v>#DIV/0!</v>
      </c>
      <c r="AU69" s="87" t="e">
        <f t="shared" si="666"/>
        <v>#DIV/0!</v>
      </c>
      <c r="AV69" s="87" t="e">
        <f t="shared" si="667"/>
        <v>#DIV/0!</v>
      </c>
      <c r="AW69" s="87" t="e">
        <f t="shared" si="668"/>
        <v>#DIV/0!</v>
      </c>
      <c r="AX69" s="87" t="e">
        <f t="shared" si="669"/>
        <v>#DIV/0!</v>
      </c>
      <c r="AY69" s="87" t="e">
        <f t="shared" si="403"/>
        <v>#DIV/0!</v>
      </c>
      <c r="AZ69" s="87" t="e">
        <f t="shared" si="404"/>
        <v>#DIV/0!</v>
      </c>
      <c r="BA69" s="106">
        <f>IF(G69&lt;0,0,((0.5*(1-AY69)*(1+COS(RADIANS($N$46))))+(AY69*(AH69/AI69))+(AZ69*SIN(RADIANS($N$46))))*'Irradiancia Horizontal'!I61)</f>
        <v>0</v>
      </c>
      <c r="BB69" s="87">
        <f t="shared" si="405"/>
        <v>0</v>
      </c>
      <c r="BC69" s="87">
        <f>BB69*'Irradiancia Horizontal'!I90</f>
        <v>0</v>
      </c>
      <c r="BD69" s="87">
        <f t="shared" si="564"/>
        <v>0</v>
      </c>
      <c r="BE69" s="88">
        <f t="shared" si="406"/>
        <v>0</v>
      </c>
      <c r="BF69" s="87">
        <f t="shared" si="565"/>
        <v>0</v>
      </c>
      <c r="BG69" s="106">
        <f t="shared" si="566"/>
        <v>0</v>
      </c>
      <c r="BH69" s="106">
        <f t="shared" si="567"/>
        <v>0</v>
      </c>
      <c r="BI69" s="106">
        <f t="shared" si="568"/>
        <v>0</v>
      </c>
      <c r="BJ69" s="44"/>
      <c r="BL69" s="39">
        <v>0.875</v>
      </c>
      <c r="BM69" s="38">
        <v>-135</v>
      </c>
      <c r="BN69" s="38">
        <f t="shared" si="407"/>
        <v>-30.397866606469517</v>
      </c>
      <c r="BO69" s="38">
        <f t="shared" si="746"/>
        <v>-53.380302526991059</v>
      </c>
      <c r="BP69" s="38">
        <f t="shared" si="409"/>
        <v>120.39786660646952</v>
      </c>
      <c r="BQ69" s="38">
        <f>+'Irradiancia Horizontal'!J90/COS(RADIANS(BP69))</f>
        <v>0</v>
      </c>
      <c r="BR69" s="38" t="e">
        <f>((('Irradiancia Horizontal'!J61+BQ69)/'Irradiancia Horizontal'!J61)+1.041*((RADIANS('Cálculos iluminancia'!BP69))^3))/(1+1.041*((RADIANS('Cálculos iluminancia'!BP69))^3))</f>
        <v>#DIV/0!</v>
      </c>
      <c r="BS69" s="87" t="e">
        <f t="shared" si="410"/>
        <v>#NUM!</v>
      </c>
      <c r="BT69" s="87" t="e">
        <f t="shared" si="569"/>
        <v>#NUM!</v>
      </c>
      <c r="BU69" s="106" t="e">
        <f>'Irradiancia Horizontal'!J61*BT69/$BS$46</f>
        <v>#NUM!</v>
      </c>
      <c r="BV69" s="87">
        <f>((17.27*Temp!I31)/(237.7+Temp!I31))+LN(HR!I42/100)</f>
        <v>1.4939633680783875</v>
      </c>
      <c r="BW69" s="87">
        <f t="shared" si="570"/>
        <v>22.509778652116228</v>
      </c>
      <c r="BX69" s="87">
        <f t="shared" si="571"/>
        <v>4.4847578620026924</v>
      </c>
      <c r="BY69" s="87" t="e">
        <f t="shared" si="670"/>
        <v>#DIV/0!</v>
      </c>
      <c r="BZ69" s="87" t="e">
        <f t="shared" si="671"/>
        <v>#DIV/0!</v>
      </c>
      <c r="CA69" s="87" t="e">
        <f t="shared" si="672"/>
        <v>#DIV/0!</v>
      </c>
      <c r="CB69" s="87" t="e">
        <f t="shared" si="673"/>
        <v>#DIV/0!</v>
      </c>
      <c r="CC69" s="87" t="e">
        <f t="shared" si="674"/>
        <v>#DIV/0!</v>
      </c>
      <c r="CD69" s="103">
        <f t="shared" si="416"/>
        <v>0</v>
      </c>
      <c r="CE69" s="165">
        <f>IF(CK69&gt;(CD69*'Irradiancia Horizontal'!J29),CK69,CD69*'Irradiancia Horizontal'!J29)</f>
        <v>0</v>
      </c>
      <c r="CF69" s="87" t="e">
        <f t="shared" si="675"/>
        <v>#DIV/0!</v>
      </c>
      <c r="CG69" s="87" t="e">
        <f t="shared" si="676"/>
        <v>#DIV/0!</v>
      </c>
      <c r="CH69" s="87" t="e">
        <f t="shared" si="677"/>
        <v>#DIV/0!</v>
      </c>
      <c r="CI69" s="87" t="e">
        <f t="shared" si="678"/>
        <v>#DIV/0!</v>
      </c>
      <c r="CJ69" s="103">
        <f t="shared" si="421"/>
        <v>0</v>
      </c>
      <c r="CK69" s="87">
        <f>+CJ69*'Irradiancia Horizontal'!J61</f>
        <v>0</v>
      </c>
      <c r="CL69" s="87">
        <f t="shared" si="572"/>
        <v>0</v>
      </c>
      <c r="CM69" s="87" t="e">
        <f>+CL69/'Irradiancia Horizontal'!J90</f>
        <v>#DIV/0!</v>
      </c>
      <c r="CN69" s="38">
        <f t="shared" si="422"/>
        <v>-0.51450136448911987</v>
      </c>
      <c r="CO69" s="87">
        <f t="shared" si="573"/>
        <v>0</v>
      </c>
      <c r="CP69" s="87">
        <f t="shared" si="574"/>
        <v>8.6999999999999994E-2</v>
      </c>
      <c r="CQ69" s="87" t="e">
        <f t="shared" si="575"/>
        <v>#DIV/0!</v>
      </c>
      <c r="CR69" s="87" t="e">
        <f t="shared" si="576"/>
        <v>#DIV/0!</v>
      </c>
      <c r="CS69" s="87" t="e">
        <f t="shared" si="577"/>
        <v>#DIV/0!</v>
      </c>
      <c r="CT69" s="87" t="e">
        <f t="shared" si="578"/>
        <v>#DIV/0!</v>
      </c>
      <c r="CU69" s="87" t="e">
        <f t="shared" si="579"/>
        <v>#DIV/0!</v>
      </c>
      <c r="CV69" s="87" t="e">
        <f t="shared" si="580"/>
        <v>#DIV/0!</v>
      </c>
      <c r="CW69" s="87" t="e">
        <f t="shared" si="423"/>
        <v>#DIV/0!</v>
      </c>
      <c r="CX69" s="87" t="e">
        <f t="shared" si="424"/>
        <v>#DIV/0!</v>
      </c>
      <c r="CY69" s="88">
        <f t="shared" si="425"/>
        <v>0</v>
      </c>
      <c r="CZ69" s="87" t="e">
        <f t="shared" si="679"/>
        <v>#DIV/0!</v>
      </c>
      <c r="DA69" s="87" t="e">
        <f t="shared" si="680"/>
        <v>#DIV/0!</v>
      </c>
      <c r="DB69" s="87" t="e">
        <f t="shared" si="681"/>
        <v>#DIV/0!</v>
      </c>
      <c r="DC69" s="87" t="e">
        <f t="shared" si="682"/>
        <v>#DIV/0!</v>
      </c>
      <c r="DD69" s="87" t="e">
        <f t="shared" si="683"/>
        <v>#DIV/0!</v>
      </c>
      <c r="DE69" s="87" t="e">
        <f t="shared" si="684"/>
        <v>#DIV/0!</v>
      </c>
      <c r="DF69" s="87" t="e">
        <f t="shared" si="432"/>
        <v>#DIV/0!</v>
      </c>
      <c r="DG69" s="87" t="e">
        <f t="shared" si="433"/>
        <v>#DIV/0!</v>
      </c>
      <c r="DH69" s="106">
        <f>IF(BN69&lt;0,0,((0.5*(1-DF69)*(1+COS(RADIANS($BU$46))))+(DF69*(CO69/CP69))+(DG69*SIN(RADIANS($BU$46))))*'Irradiancia Horizontal'!J61)</f>
        <v>0</v>
      </c>
      <c r="DI69" s="87">
        <f t="shared" si="434"/>
        <v>0</v>
      </c>
      <c r="DJ69" s="87">
        <f>DI69*'Irradiancia Horizontal'!J90</f>
        <v>0</v>
      </c>
      <c r="DK69" s="87">
        <f t="shared" si="581"/>
        <v>0</v>
      </c>
      <c r="DL69" s="88">
        <f t="shared" si="435"/>
        <v>0</v>
      </c>
      <c r="DM69" s="87">
        <f t="shared" si="582"/>
        <v>0</v>
      </c>
      <c r="DN69" s="106">
        <f t="shared" si="583"/>
        <v>0</v>
      </c>
      <c r="DO69" s="106">
        <f t="shared" si="584"/>
        <v>0</v>
      </c>
      <c r="DP69" s="106">
        <f t="shared" si="585"/>
        <v>0</v>
      </c>
      <c r="DQ69" s="44"/>
      <c r="DS69" s="39">
        <v>0.875</v>
      </c>
      <c r="DT69" s="38">
        <v>-135</v>
      </c>
      <c r="DU69" s="38">
        <f t="shared" si="436"/>
        <v>-38.292664540459405</v>
      </c>
      <c r="DV69" s="38">
        <f t="shared" si="747"/>
        <v>-64.280975136579571</v>
      </c>
      <c r="DW69" s="38">
        <f t="shared" si="438"/>
        <v>128.29266454045941</v>
      </c>
      <c r="DX69" s="38">
        <f>+'Irradiancia Horizontal'!K90/COS(RADIANS(DW69))</f>
        <v>0</v>
      </c>
      <c r="DY69" s="38" t="e">
        <f>((('Irradiancia Horizontal'!K61+DX69)/'Irradiancia Horizontal'!K61)+1.041*((RADIANS('Cálculos iluminancia'!DW69))^3))/(1+1.041*((RADIANS('Cálculos iluminancia'!DW69))^3))</f>
        <v>#DIV/0!</v>
      </c>
      <c r="DZ69" s="87" t="e">
        <f t="shared" si="439"/>
        <v>#NUM!</v>
      </c>
      <c r="EA69" s="87" t="e">
        <f t="shared" si="586"/>
        <v>#NUM!</v>
      </c>
      <c r="EB69" s="106" t="e">
        <f>'Irradiancia Horizontal'!K61*EA69/$DZ$46</f>
        <v>#NUM!</v>
      </c>
      <c r="EC69" s="87">
        <f>((17.27*Temp!J31)/(237.7+Temp!J31))+LN(HR!J42/100)</f>
        <v>1.3699603434733354</v>
      </c>
      <c r="ED69" s="87">
        <f t="shared" si="587"/>
        <v>20.480425249124643</v>
      </c>
      <c r="EE69" s="87">
        <f t="shared" si="588"/>
        <v>3.8908582668221188</v>
      </c>
      <c r="EF69" s="87" t="e">
        <f t="shared" si="685"/>
        <v>#DIV/0!</v>
      </c>
      <c r="EG69" s="87" t="e">
        <f t="shared" si="686"/>
        <v>#DIV/0!</v>
      </c>
      <c r="EH69" s="87" t="e">
        <f t="shared" si="687"/>
        <v>#DIV/0!</v>
      </c>
      <c r="EI69" s="87" t="e">
        <f t="shared" si="688"/>
        <v>#DIV/0!</v>
      </c>
      <c r="EJ69" s="87" t="e">
        <f t="shared" si="689"/>
        <v>#DIV/0!</v>
      </c>
      <c r="EK69" s="103">
        <f t="shared" si="445"/>
        <v>0</v>
      </c>
      <c r="EL69" s="165">
        <f>IF(ER69&gt;(EK69*'Irradiancia Horizontal'!K29),ER69,EK69*'Irradiancia Horizontal'!K29)</f>
        <v>0</v>
      </c>
      <c r="EM69" s="87" t="e">
        <f t="shared" si="690"/>
        <v>#DIV/0!</v>
      </c>
      <c r="EN69" s="87" t="e">
        <f t="shared" si="691"/>
        <v>#DIV/0!</v>
      </c>
      <c r="EO69" s="87" t="e">
        <f t="shared" si="692"/>
        <v>#DIV/0!</v>
      </c>
      <c r="EP69" s="87" t="e">
        <f t="shared" si="693"/>
        <v>#DIV/0!</v>
      </c>
      <c r="EQ69" s="103">
        <f t="shared" si="450"/>
        <v>0</v>
      </c>
      <c r="ER69" s="87">
        <f>+EQ69*'Irradiancia Horizontal'!K61</f>
        <v>0</v>
      </c>
      <c r="ES69" s="87">
        <f t="shared" si="589"/>
        <v>0</v>
      </c>
      <c r="ET69" s="87" t="e">
        <f>+ES69/'Irradiancia Horizontal'!K90</f>
        <v>#DIV/0!</v>
      </c>
      <c r="EU69" s="38">
        <f t="shared" si="451"/>
        <v>-0.3405946197372357</v>
      </c>
      <c r="EV69" s="87">
        <f t="shared" si="590"/>
        <v>0</v>
      </c>
      <c r="EW69" s="87">
        <f t="shared" si="591"/>
        <v>8.6999999999999994E-2</v>
      </c>
      <c r="EX69" s="87" t="e">
        <f t="shared" si="592"/>
        <v>#DIV/0!</v>
      </c>
      <c r="EY69" s="87" t="e">
        <f t="shared" si="593"/>
        <v>#DIV/0!</v>
      </c>
      <c r="EZ69" s="87" t="e">
        <f t="shared" si="594"/>
        <v>#DIV/0!</v>
      </c>
      <c r="FA69" s="87" t="e">
        <f t="shared" si="595"/>
        <v>#DIV/0!</v>
      </c>
      <c r="FB69" s="87" t="e">
        <f t="shared" si="596"/>
        <v>#DIV/0!</v>
      </c>
      <c r="FC69" s="87" t="e">
        <f t="shared" si="597"/>
        <v>#DIV/0!</v>
      </c>
      <c r="FD69" s="87" t="e">
        <f t="shared" si="452"/>
        <v>#DIV/0!</v>
      </c>
      <c r="FE69" s="87" t="e">
        <f t="shared" si="453"/>
        <v>#DIV/0!</v>
      </c>
      <c r="FF69" s="88">
        <f t="shared" si="454"/>
        <v>0</v>
      </c>
      <c r="FG69" s="87" t="e">
        <f t="shared" si="694"/>
        <v>#DIV/0!</v>
      </c>
      <c r="FH69" s="87" t="e">
        <f t="shared" si="695"/>
        <v>#DIV/0!</v>
      </c>
      <c r="FI69" s="87" t="e">
        <f t="shared" si="696"/>
        <v>#DIV/0!</v>
      </c>
      <c r="FJ69" s="87" t="e">
        <f t="shared" si="697"/>
        <v>#DIV/0!</v>
      </c>
      <c r="FK69" s="87" t="e">
        <f t="shared" si="698"/>
        <v>#DIV/0!</v>
      </c>
      <c r="FL69" s="87" t="e">
        <f t="shared" si="699"/>
        <v>#DIV/0!</v>
      </c>
      <c r="FM69" s="87" t="e">
        <f t="shared" si="461"/>
        <v>#DIV/0!</v>
      </c>
      <c r="FN69" s="87" t="e">
        <f t="shared" si="462"/>
        <v>#DIV/0!</v>
      </c>
      <c r="FO69" s="106">
        <f>IF(DU69&lt;0,0,((0.5*(1-FM69)*(1+COS(RADIANS($EB$46))))+(FM69*(EV69/EW69))+(FN69*SIN(RADIANS($EB$46))))*'Irradiancia Horizontal'!K61)</f>
        <v>0</v>
      </c>
      <c r="FP69" s="87">
        <f t="shared" si="463"/>
        <v>0</v>
      </c>
      <c r="FQ69" s="87">
        <f>FP69*'Irradiancia Horizontal'!K90</f>
        <v>0</v>
      </c>
      <c r="FR69" s="87">
        <f t="shared" si="598"/>
        <v>0</v>
      </c>
      <c r="FS69" s="88">
        <f t="shared" si="464"/>
        <v>0</v>
      </c>
      <c r="FT69" s="87">
        <f t="shared" si="599"/>
        <v>0</v>
      </c>
      <c r="FU69" s="106">
        <f t="shared" si="600"/>
        <v>0</v>
      </c>
      <c r="FV69" s="106">
        <f t="shared" si="601"/>
        <v>0</v>
      </c>
      <c r="FW69" s="106">
        <f t="shared" si="602"/>
        <v>0</v>
      </c>
      <c r="FX69" s="83"/>
      <c r="FZ69" s="39">
        <v>0.875</v>
      </c>
      <c r="GA69" s="38">
        <v>-135</v>
      </c>
      <c r="GB69" s="38">
        <f t="shared" si="465"/>
        <v>-44.750605705383343</v>
      </c>
      <c r="GC69" s="38">
        <f t="shared" si="748"/>
        <v>-77.109198540105993</v>
      </c>
      <c r="GD69" s="38">
        <f t="shared" si="467"/>
        <v>134.75060570538335</v>
      </c>
      <c r="GE69" s="38">
        <f>+'Irradiancia Horizontal'!L90/COS(RADIANS(GD69))</f>
        <v>0</v>
      </c>
      <c r="GF69" s="38" t="e">
        <f>((('Irradiancia Horizontal'!L61+GE69)/'Irradiancia Horizontal'!L61)+1.041*((RADIANS('Cálculos iluminancia'!GD69))^3))/(1+1.041*((RADIANS('Cálculos iluminancia'!GD69))^3))</f>
        <v>#DIV/0!</v>
      </c>
      <c r="GG69" s="88" t="e">
        <f t="shared" si="468"/>
        <v>#NUM!</v>
      </c>
      <c r="GH69" s="88" t="e">
        <f t="shared" si="603"/>
        <v>#NUM!</v>
      </c>
      <c r="GI69" s="106" t="e">
        <f>'Irradiancia Horizontal'!L61*GH69/$GG$46</f>
        <v>#NUM!</v>
      </c>
      <c r="GJ69" s="88">
        <f>((17.27*Temp!K31)/(237.7+Temp!K31))+LN(HR!K42/100)</f>
        <v>1.0369408658093724</v>
      </c>
      <c r="GK69" s="88">
        <f t="shared" si="604"/>
        <v>15.183881347647</v>
      </c>
      <c r="GL69" s="88">
        <f t="shared" si="605"/>
        <v>2.6855127936770469</v>
      </c>
      <c r="GM69" s="88" t="e">
        <f t="shared" si="700"/>
        <v>#DIV/0!</v>
      </c>
      <c r="GN69" s="88" t="e">
        <f t="shared" si="701"/>
        <v>#DIV/0!</v>
      </c>
      <c r="GO69" s="88" t="e">
        <f t="shared" si="702"/>
        <v>#DIV/0!</v>
      </c>
      <c r="GP69" s="88" t="e">
        <f t="shared" si="703"/>
        <v>#DIV/0!</v>
      </c>
      <c r="GQ69" s="88" t="e">
        <f t="shared" si="704"/>
        <v>#DIV/0!</v>
      </c>
      <c r="GR69" s="103">
        <f t="shared" si="474"/>
        <v>0</v>
      </c>
      <c r="GS69" s="165">
        <f>IF(GY69&gt;(GR69*'Irradiancia Horizontal'!L29),GY69,GR69*'Irradiancia Horizontal'!L29)</f>
        <v>0</v>
      </c>
      <c r="GT69" s="88" t="e">
        <f t="shared" si="705"/>
        <v>#DIV/0!</v>
      </c>
      <c r="GU69" s="88" t="e">
        <f t="shared" si="706"/>
        <v>#DIV/0!</v>
      </c>
      <c r="GV69" s="88" t="e">
        <f t="shared" si="707"/>
        <v>#DIV/0!</v>
      </c>
      <c r="GW69" s="88" t="e">
        <f t="shared" si="708"/>
        <v>#DIV/0!</v>
      </c>
      <c r="GX69" s="103">
        <f t="shared" si="479"/>
        <v>0</v>
      </c>
      <c r="GY69" s="88">
        <f>+GX69*'Irradiancia Horizontal'!L61</f>
        <v>0</v>
      </c>
      <c r="GZ69" s="88">
        <f t="shared" si="606"/>
        <v>0</v>
      </c>
      <c r="HA69" s="88" t="e">
        <f>+GZ69/'Irradiancia Horizontal'!L90</f>
        <v>#DIV/0!</v>
      </c>
      <c r="HB69" s="38">
        <f t="shared" si="480"/>
        <v>-0.15843616612994552</v>
      </c>
      <c r="HC69" s="88">
        <f t="shared" si="607"/>
        <v>0</v>
      </c>
      <c r="HD69" s="88">
        <f t="shared" si="608"/>
        <v>8.6999999999999994E-2</v>
      </c>
      <c r="HE69" s="88" t="e">
        <f t="shared" si="609"/>
        <v>#DIV/0!</v>
      </c>
      <c r="HF69" s="88" t="e">
        <f t="shared" si="610"/>
        <v>#DIV/0!</v>
      </c>
      <c r="HG69" s="88" t="e">
        <f t="shared" si="611"/>
        <v>#DIV/0!</v>
      </c>
      <c r="HH69" s="88" t="e">
        <f t="shared" si="612"/>
        <v>#DIV/0!</v>
      </c>
      <c r="HI69" s="88" t="e">
        <f t="shared" si="613"/>
        <v>#DIV/0!</v>
      </c>
      <c r="HJ69" s="88" t="e">
        <f t="shared" si="614"/>
        <v>#DIV/0!</v>
      </c>
      <c r="HK69" s="88" t="e">
        <f t="shared" si="481"/>
        <v>#DIV/0!</v>
      </c>
      <c r="HL69" s="88" t="e">
        <f t="shared" si="482"/>
        <v>#DIV/0!</v>
      </c>
      <c r="HM69" s="88">
        <f t="shared" si="483"/>
        <v>0</v>
      </c>
      <c r="HN69" s="88" t="e">
        <f t="shared" si="709"/>
        <v>#DIV/0!</v>
      </c>
      <c r="HO69" s="88" t="e">
        <f t="shared" si="710"/>
        <v>#DIV/0!</v>
      </c>
      <c r="HP69" s="88" t="e">
        <f t="shared" si="711"/>
        <v>#DIV/0!</v>
      </c>
      <c r="HQ69" s="88" t="e">
        <f t="shared" si="712"/>
        <v>#DIV/0!</v>
      </c>
      <c r="HR69" s="88" t="e">
        <f t="shared" si="713"/>
        <v>#DIV/0!</v>
      </c>
      <c r="HS69" s="88" t="e">
        <f t="shared" si="714"/>
        <v>#DIV/0!</v>
      </c>
      <c r="HT69" s="88" t="e">
        <f t="shared" si="490"/>
        <v>#DIV/0!</v>
      </c>
      <c r="HU69" s="88" t="e">
        <f t="shared" si="491"/>
        <v>#DIV/0!</v>
      </c>
      <c r="HV69" s="106">
        <f>IF(GB69&lt;0,0,((0.5*(1-HT69)*(1+COS(RADIANS($GI$46))))+(HT69*(HC69/HD69))+(HU69*SIN(RADIANS($GI$46))))*'Irradiancia Horizontal'!L61)</f>
        <v>0</v>
      </c>
      <c r="HW69" s="88">
        <f t="shared" si="492"/>
        <v>0</v>
      </c>
      <c r="HX69" s="88">
        <f>HW69*'Irradiancia Horizontal'!L90</f>
        <v>0</v>
      </c>
      <c r="HY69" s="88">
        <f t="shared" si="615"/>
        <v>0</v>
      </c>
      <c r="HZ69" s="88">
        <f t="shared" si="493"/>
        <v>0</v>
      </c>
      <c r="IA69" s="88">
        <f t="shared" si="616"/>
        <v>0</v>
      </c>
      <c r="IB69" s="106">
        <f t="shared" si="617"/>
        <v>0</v>
      </c>
      <c r="IC69" s="106">
        <f t="shared" si="618"/>
        <v>0</v>
      </c>
      <c r="ID69" s="106">
        <f t="shared" si="619"/>
        <v>0</v>
      </c>
      <c r="IE69" s="83"/>
      <c r="IG69" s="39">
        <v>0.875</v>
      </c>
      <c r="IH69" s="38">
        <v>-135</v>
      </c>
      <c r="II69" s="38">
        <f t="shared" si="494"/>
        <v>-48.486777985752788</v>
      </c>
      <c r="IJ69" s="38">
        <f t="shared" si="749"/>
        <v>-88.546800017478972</v>
      </c>
      <c r="IK69" s="38">
        <f t="shared" si="496"/>
        <v>138.48677798575278</v>
      </c>
      <c r="IL69" s="38">
        <f>+'Irradiancia Horizontal'!M90/COS(RADIANS(IK69))</f>
        <v>0</v>
      </c>
      <c r="IM69" s="38" t="e">
        <f>((('Irradiancia Horizontal'!M61+IL69)/'Irradiancia Horizontal'!M61)+1.041*((RADIANS('Cálculos iluminancia'!IK69))^3))/(1+1.041*((RADIANS('Cálculos iluminancia'!IK69))^3))</f>
        <v>#DIV/0!</v>
      </c>
      <c r="IN69" s="88" t="e">
        <f t="shared" si="497"/>
        <v>#NUM!</v>
      </c>
      <c r="IO69" s="88" t="e">
        <f t="shared" si="620"/>
        <v>#NUM!</v>
      </c>
      <c r="IP69" s="106" t="e">
        <f>'Irradiancia Horizontal'!M61*IO69/$IN$46</f>
        <v>#NUM!</v>
      </c>
      <c r="IQ69" s="88">
        <f>((17.27*Temp!L31)/(237.7+Temp!L31))+LN(HR!L42/100)</f>
        <v>0.74426317686594068</v>
      </c>
      <c r="IR69" s="88">
        <f t="shared" si="621"/>
        <v>10.705202378230984</v>
      </c>
      <c r="IS69" s="88">
        <f t="shared" si="622"/>
        <v>1.9627845748915036</v>
      </c>
      <c r="IT69" s="88" t="e">
        <f t="shared" si="715"/>
        <v>#DIV/0!</v>
      </c>
      <c r="IU69" s="88" t="e">
        <f t="shared" si="716"/>
        <v>#DIV/0!</v>
      </c>
      <c r="IV69" s="88" t="e">
        <f t="shared" si="717"/>
        <v>#DIV/0!</v>
      </c>
      <c r="IW69" s="88" t="e">
        <f t="shared" si="718"/>
        <v>#DIV/0!</v>
      </c>
      <c r="IX69" s="88" t="e">
        <f t="shared" si="719"/>
        <v>#DIV/0!</v>
      </c>
      <c r="IY69" s="103">
        <f t="shared" si="503"/>
        <v>0</v>
      </c>
      <c r="IZ69" s="165">
        <f>IF(JF69&gt;(IY69*'Irradiancia Horizontal'!M29),JF69,IY69*'Irradiancia Horizontal'!M29)</f>
        <v>0</v>
      </c>
      <c r="JA69" s="88" t="e">
        <f t="shared" si="720"/>
        <v>#DIV/0!</v>
      </c>
      <c r="JB69" s="88" t="e">
        <f t="shared" si="721"/>
        <v>#DIV/0!</v>
      </c>
      <c r="JC69" s="88" t="e">
        <f t="shared" si="722"/>
        <v>#DIV/0!</v>
      </c>
      <c r="JD69" s="88" t="e">
        <f t="shared" si="723"/>
        <v>#DIV/0!</v>
      </c>
      <c r="JE69" s="103">
        <f t="shared" si="508"/>
        <v>0</v>
      </c>
      <c r="JF69" s="88">
        <f>+JE69*'Irradiancia Horizontal'!M61</f>
        <v>0</v>
      </c>
      <c r="JG69" s="88">
        <f t="shared" si="623"/>
        <v>0</v>
      </c>
      <c r="JH69" s="88" t="e">
        <f>+JG69/'Irradiancia Horizontal'!M90</f>
        <v>#DIV/0!</v>
      </c>
      <c r="JI69" s="38">
        <f t="shared" si="509"/>
        <v>-1.6808695611043145E-2</v>
      </c>
      <c r="JJ69" s="88">
        <f t="shared" si="624"/>
        <v>0</v>
      </c>
      <c r="JK69" s="88">
        <f t="shared" si="625"/>
        <v>8.6999999999999994E-2</v>
      </c>
      <c r="JL69" s="88" t="e">
        <f t="shared" si="626"/>
        <v>#DIV/0!</v>
      </c>
      <c r="JM69" s="88" t="e">
        <f t="shared" si="627"/>
        <v>#DIV/0!</v>
      </c>
      <c r="JN69" s="88" t="e">
        <f t="shared" si="628"/>
        <v>#DIV/0!</v>
      </c>
      <c r="JO69" s="88" t="e">
        <f t="shared" si="629"/>
        <v>#DIV/0!</v>
      </c>
      <c r="JP69" s="88" t="e">
        <f t="shared" si="630"/>
        <v>#DIV/0!</v>
      </c>
      <c r="JQ69" s="88" t="e">
        <f t="shared" si="631"/>
        <v>#DIV/0!</v>
      </c>
      <c r="JR69" s="88" t="e">
        <f t="shared" si="510"/>
        <v>#DIV/0!</v>
      </c>
      <c r="JS69" s="88" t="e">
        <f t="shared" si="511"/>
        <v>#DIV/0!</v>
      </c>
      <c r="JT69" s="88">
        <f t="shared" si="512"/>
        <v>0</v>
      </c>
      <c r="JU69" s="88" t="e">
        <f t="shared" si="724"/>
        <v>#DIV/0!</v>
      </c>
      <c r="JV69" s="88" t="e">
        <f t="shared" si="725"/>
        <v>#DIV/0!</v>
      </c>
      <c r="JW69" s="88" t="e">
        <f t="shared" si="726"/>
        <v>#DIV/0!</v>
      </c>
      <c r="JX69" s="88" t="e">
        <f t="shared" si="727"/>
        <v>#DIV/0!</v>
      </c>
      <c r="JY69" s="88" t="e">
        <f t="shared" si="728"/>
        <v>#DIV/0!</v>
      </c>
      <c r="JZ69" s="88" t="e">
        <f t="shared" si="729"/>
        <v>#DIV/0!</v>
      </c>
      <c r="KA69" s="88" t="e">
        <f t="shared" si="519"/>
        <v>#DIV/0!</v>
      </c>
      <c r="KB69" s="88" t="e">
        <f t="shared" si="520"/>
        <v>#DIV/0!</v>
      </c>
      <c r="KC69" s="106">
        <f>IF(II69&lt;0,0,((0.5*(1-KA69)*(1+COS(RADIANS($IP$46))))+(KA69*(JJ69/JK69))+(KB69*SIN(RADIANS($IP$46))))*'Irradiancia Horizontal'!M61)</f>
        <v>0</v>
      </c>
      <c r="KD69" s="88">
        <f t="shared" si="521"/>
        <v>0</v>
      </c>
      <c r="KE69" s="88">
        <f>KD69*'Irradiancia Horizontal'!M90</f>
        <v>0</v>
      </c>
      <c r="KF69" s="88">
        <f t="shared" si="632"/>
        <v>0</v>
      </c>
      <c r="KG69" s="88">
        <f t="shared" si="522"/>
        <v>0</v>
      </c>
      <c r="KH69" s="88">
        <f t="shared" si="633"/>
        <v>0</v>
      </c>
      <c r="KI69" s="106">
        <f t="shared" si="634"/>
        <v>0</v>
      </c>
      <c r="KJ69" s="106">
        <f t="shared" si="635"/>
        <v>0</v>
      </c>
      <c r="KK69" s="106">
        <f t="shared" si="636"/>
        <v>0</v>
      </c>
      <c r="KL69" s="40"/>
      <c r="KN69" s="39">
        <v>0.875</v>
      </c>
      <c r="KO69" s="38">
        <v>-135</v>
      </c>
      <c r="KP69" s="38">
        <f t="shared" si="523"/>
        <v>-49.494624805188721</v>
      </c>
      <c r="KQ69" s="38">
        <f t="shared" si="750"/>
        <v>-92.867225270837807</v>
      </c>
      <c r="KR69" s="38">
        <f t="shared" si="525"/>
        <v>139.49462480518872</v>
      </c>
      <c r="KS69" s="38">
        <f>+'Irradiancia Horizontal'!N90/COS(RADIANS(KR69))</f>
        <v>0</v>
      </c>
      <c r="KT69" s="38" t="e">
        <f>((('Irradiancia Horizontal'!N61+KS69)/'Irradiancia Horizontal'!N61)+1.041*((RADIANS('Cálculos iluminancia'!KR69))^3))/(1+1.041*((RADIANS('Cálculos iluminancia'!KR69))^3))</f>
        <v>#DIV/0!</v>
      </c>
      <c r="KU69" s="88" t="e">
        <f t="shared" si="526"/>
        <v>#NUM!</v>
      </c>
      <c r="KV69" s="88" t="e">
        <f t="shared" si="637"/>
        <v>#NUM!</v>
      </c>
      <c r="KW69" s="106" t="e">
        <f>'Irradiancia Horizontal'!N61*KV69/$KU$46</f>
        <v>#NUM!</v>
      </c>
      <c r="KX69" s="88">
        <f>((17.27*Temp!M31)/(237.7+Temp!M31))+LN(HR!M42/100)</f>
        <v>0.46017710594033867</v>
      </c>
      <c r="KY69" s="88">
        <f t="shared" si="638"/>
        <v>6.5071535120499808</v>
      </c>
      <c r="KZ69" s="88">
        <f t="shared" si="639"/>
        <v>1.4630170057262986</v>
      </c>
      <c r="LA69" s="88" t="e">
        <f t="shared" si="730"/>
        <v>#DIV/0!</v>
      </c>
      <c r="LB69" s="88" t="e">
        <f t="shared" si="731"/>
        <v>#DIV/0!</v>
      </c>
      <c r="LC69" s="88" t="e">
        <f t="shared" si="732"/>
        <v>#DIV/0!</v>
      </c>
      <c r="LD69" s="88" t="e">
        <f t="shared" si="733"/>
        <v>#DIV/0!</v>
      </c>
      <c r="LE69" s="88" t="e">
        <f t="shared" si="734"/>
        <v>#DIV/0!</v>
      </c>
      <c r="LF69" s="103">
        <f t="shared" si="532"/>
        <v>0</v>
      </c>
      <c r="LG69" s="165">
        <f>IF(LM69&gt;(LF69*'Irradiancia Horizontal'!N29),LM69,LF69*'Irradiancia Horizontal'!N29)</f>
        <v>0</v>
      </c>
      <c r="LH69" s="88" t="e">
        <f t="shared" si="735"/>
        <v>#DIV/0!</v>
      </c>
      <c r="LI69" s="88" t="e">
        <f t="shared" si="736"/>
        <v>#DIV/0!</v>
      </c>
      <c r="LJ69" s="88" t="e">
        <f t="shared" si="737"/>
        <v>#DIV/0!</v>
      </c>
      <c r="LK69" s="88" t="e">
        <f t="shared" si="738"/>
        <v>#DIV/0!</v>
      </c>
      <c r="LL69" s="103">
        <f t="shared" si="537"/>
        <v>0</v>
      </c>
      <c r="LM69" s="88">
        <f>+LL69*'Irradiancia Horizontal'!N61</f>
        <v>0</v>
      </c>
      <c r="LN69" s="88">
        <f t="shared" si="640"/>
        <v>0</v>
      </c>
      <c r="LO69" s="88" t="e">
        <f>+LN69/'Irradiancia Horizontal'!N90</f>
        <v>#DIV/0!</v>
      </c>
      <c r="LP69" s="38">
        <f t="shared" si="538"/>
        <v>3.2490023090027575E-2</v>
      </c>
      <c r="LQ69" s="88">
        <f t="shared" si="641"/>
        <v>3.2490023090027575E-2</v>
      </c>
      <c r="LR69" s="88">
        <f t="shared" si="642"/>
        <v>8.6999999999999994E-2</v>
      </c>
      <c r="LS69" s="88" t="e">
        <f t="shared" si="643"/>
        <v>#DIV/0!</v>
      </c>
      <c r="LT69" s="88" t="e">
        <f t="shared" si="644"/>
        <v>#DIV/0!</v>
      </c>
      <c r="LU69" s="88" t="e">
        <f t="shared" si="645"/>
        <v>#DIV/0!</v>
      </c>
      <c r="LV69" s="88" t="e">
        <f t="shared" si="646"/>
        <v>#DIV/0!</v>
      </c>
      <c r="LW69" s="88" t="e">
        <f t="shared" si="647"/>
        <v>#DIV/0!</v>
      </c>
      <c r="LX69" s="88" t="e">
        <f t="shared" si="648"/>
        <v>#DIV/0!</v>
      </c>
      <c r="LY69" s="88" t="e">
        <f t="shared" si="539"/>
        <v>#DIV/0!</v>
      </c>
      <c r="LZ69" s="88" t="e">
        <f t="shared" si="540"/>
        <v>#DIV/0!</v>
      </c>
      <c r="MA69" s="88">
        <f t="shared" si="541"/>
        <v>0</v>
      </c>
      <c r="MB69" s="88" t="e">
        <f t="shared" si="739"/>
        <v>#DIV/0!</v>
      </c>
      <c r="MC69" s="88" t="e">
        <f t="shared" si="740"/>
        <v>#DIV/0!</v>
      </c>
      <c r="MD69" s="88" t="e">
        <f t="shared" si="741"/>
        <v>#DIV/0!</v>
      </c>
      <c r="ME69" s="88" t="e">
        <f t="shared" si="742"/>
        <v>#DIV/0!</v>
      </c>
      <c r="MF69" s="88" t="e">
        <f t="shared" si="743"/>
        <v>#DIV/0!</v>
      </c>
      <c r="MG69" s="88" t="e">
        <f t="shared" si="744"/>
        <v>#DIV/0!</v>
      </c>
      <c r="MH69" s="88" t="e">
        <f t="shared" si="548"/>
        <v>#DIV/0!</v>
      </c>
      <c r="MI69" s="88" t="e">
        <f t="shared" si="549"/>
        <v>#DIV/0!</v>
      </c>
      <c r="MJ69" s="106">
        <f>IF(KP69&lt;0,0,((0.5*(1-MH69)*(1+COS(RADIANS($KW$46))))+(MH69*(LQ69/LR69))+(MI69*SIN(RADIANS($KW$46))))*'Irradiancia Horizontal'!N61)</f>
        <v>0</v>
      </c>
      <c r="MK69" s="88">
        <f t="shared" si="550"/>
        <v>-4.2730630990883998E-2</v>
      </c>
      <c r="ML69" s="88">
        <f>MK69*'Irradiancia Horizontal'!N90</f>
        <v>0</v>
      </c>
      <c r="MM69" s="88">
        <f t="shared" si="649"/>
        <v>0</v>
      </c>
      <c r="MN69" s="88">
        <f t="shared" si="551"/>
        <v>0</v>
      </c>
      <c r="MO69" s="88">
        <f t="shared" si="650"/>
        <v>0</v>
      </c>
      <c r="MP69" s="106">
        <f t="shared" si="651"/>
        <v>0</v>
      </c>
      <c r="MQ69" s="106">
        <f t="shared" si="652"/>
        <v>0</v>
      </c>
      <c r="MR69" s="106">
        <f t="shared" si="653"/>
        <v>0</v>
      </c>
    </row>
    <row r="70" spans="1:356" x14ac:dyDescent="0.25">
      <c r="E70" s="39">
        <v>0.91666666666666696</v>
      </c>
      <c r="F70" s="38">
        <v>-150</v>
      </c>
      <c r="G70" s="38">
        <f t="shared" si="378"/>
        <v>-32.646169918095012</v>
      </c>
      <c r="H70" s="38">
        <f t="shared" si="745"/>
        <v>-33.808490976895825</v>
      </c>
      <c r="I70" s="38">
        <f t="shared" si="380"/>
        <v>122.64616991809501</v>
      </c>
      <c r="J70" s="38">
        <f>+'Irradiancia Horizontal'!I91/COS(RADIANS(I70))</f>
        <v>0</v>
      </c>
      <c r="K70" s="38" t="e">
        <f>((('Irradiancia Horizontal'!I62+J70)/'Irradiancia Horizontal'!I62)+1.041*((RADIANS('Cálculos iluminancia'!I70))^3))/(1+1.041*((RADIANS('Cálculos iluminancia'!I70))^3))</f>
        <v>#DIV/0!</v>
      </c>
      <c r="L70" s="87" t="e">
        <f t="shared" si="381"/>
        <v>#NUM!</v>
      </c>
      <c r="M70" s="87" t="e">
        <f t="shared" si="654"/>
        <v>#NUM!</v>
      </c>
      <c r="N70" s="106" t="e">
        <f>'Irradiancia Horizontal'!I62*M70/$L$46</f>
        <v>#NUM!</v>
      </c>
      <c r="O70" s="87">
        <f>((17.27*Temp!H32)/(237.7+Temp!H32))+LN(HR!H43/100)</f>
        <v>1.3215067747538323</v>
      </c>
      <c r="P70" s="87">
        <f t="shared" si="553"/>
        <v>19.696039990896217</v>
      </c>
      <c r="Q70" s="87">
        <f t="shared" si="554"/>
        <v>3.682982181320094</v>
      </c>
      <c r="R70" s="87" t="e">
        <f t="shared" si="655"/>
        <v>#DIV/0!</v>
      </c>
      <c r="S70" s="87" t="e">
        <f t="shared" si="656"/>
        <v>#DIV/0!</v>
      </c>
      <c r="T70" s="87" t="e">
        <f t="shared" si="657"/>
        <v>#DIV/0!</v>
      </c>
      <c r="U70" s="87" t="e">
        <f t="shared" si="658"/>
        <v>#DIV/0!</v>
      </c>
      <c r="V70" s="87" t="e">
        <f t="shared" si="659"/>
        <v>#DIV/0!</v>
      </c>
      <c r="W70" s="103">
        <f t="shared" si="387"/>
        <v>0</v>
      </c>
      <c r="X70" s="165">
        <f>IF(AD70&gt;(W70*'Irradiancia Horizontal'!I30),AD70,W70*'Irradiancia Horizontal'!I30)</f>
        <v>0</v>
      </c>
      <c r="Y70" s="87" t="e">
        <f t="shared" si="660"/>
        <v>#DIV/0!</v>
      </c>
      <c r="Z70" s="87" t="e">
        <f t="shared" si="661"/>
        <v>#DIV/0!</v>
      </c>
      <c r="AA70" s="87" t="e">
        <f t="shared" si="662"/>
        <v>#DIV/0!</v>
      </c>
      <c r="AB70" s="87" t="e">
        <f t="shared" si="663"/>
        <v>#DIV/0!</v>
      </c>
      <c r="AC70" s="103">
        <f t="shared" si="392"/>
        <v>0</v>
      </c>
      <c r="AD70" s="87">
        <f>+AC70*'Irradiancia Horizontal'!I62</f>
        <v>0</v>
      </c>
      <c r="AE70" s="87">
        <f t="shared" si="393"/>
        <v>0</v>
      </c>
      <c r="AF70" s="87" t="e">
        <f>+AE70/'Irradiancia Horizontal'!I91</f>
        <v>#DIV/0!</v>
      </c>
      <c r="AG70" s="38">
        <f t="shared" si="555"/>
        <v>-0.69963443419874294</v>
      </c>
      <c r="AH70" s="87">
        <f t="shared" si="556"/>
        <v>0</v>
      </c>
      <c r="AI70" s="87">
        <f t="shared" si="557"/>
        <v>8.6999999999999994E-2</v>
      </c>
      <c r="AJ70" s="87" t="e">
        <f t="shared" si="558"/>
        <v>#DIV/0!</v>
      </c>
      <c r="AK70" s="87" t="e">
        <f t="shared" si="559"/>
        <v>#DIV/0!</v>
      </c>
      <c r="AL70" s="87" t="e">
        <f t="shared" si="560"/>
        <v>#DIV/0!</v>
      </c>
      <c r="AM70" s="87" t="e">
        <f t="shared" si="561"/>
        <v>#DIV/0!</v>
      </c>
      <c r="AN70" s="87" t="e">
        <f t="shared" si="562"/>
        <v>#DIV/0!</v>
      </c>
      <c r="AO70" s="87" t="e">
        <f t="shared" si="563"/>
        <v>#DIV/0!</v>
      </c>
      <c r="AP70" s="87" t="e">
        <f t="shared" si="394"/>
        <v>#DIV/0!</v>
      </c>
      <c r="AQ70" s="87" t="e">
        <f t="shared" si="395"/>
        <v>#DIV/0!</v>
      </c>
      <c r="AR70" s="88">
        <f t="shared" si="396"/>
        <v>0</v>
      </c>
      <c r="AS70" s="87" t="e">
        <f t="shared" si="664"/>
        <v>#DIV/0!</v>
      </c>
      <c r="AT70" s="87" t="e">
        <f t="shared" si="665"/>
        <v>#DIV/0!</v>
      </c>
      <c r="AU70" s="87" t="e">
        <f t="shared" si="666"/>
        <v>#DIV/0!</v>
      </c>
      <c r="AV70" s="87" t="e">
        <f t="shared" si="667"/>
        <v>#DIV/0!</v>
      </c>
      <c r="AW70" s="87" t="e">
        <f t="shared" si="668"/>
        <v>#DIV/0!</v>
      </c>
      <c r="AX70" s="87" t="e">
        <f t="shared" si="669"/>
        <v>#DIV/0!</v>
      </c>
      <c r="AY70" s="87" t="e">
        <f t="shared" si="403"/>
        <v>#DIV/0!</v>
      </c>
      <c r="AZ70" s="87" t="e">
        <f t="shared" si="404"/>
        <v>#DIV/0!</v>
      </c>
      <c r="BA70" s="106">
        <f>IF(G70&lt;0,0,((0.5*(1-AY70)*(1+COS(RADIANS($N$46))))+(AY70*(AH70/AI70))+(AZ70*SIN(RADIANS($N$46))))*'Irradiancia Horizontal'!I62)</f>
        <v>0</v>
      </c>
      <c r="BB70" s="87">
        <f t="shared" si="405"/>
        <v>0</v>
      </c>
      <c r="BC70" s="87">
        <f>BB70*'Irradiancia Horizontal'!I91</f>
        <v>0</v>
      </c>
      <c r="BD70" s="87">
        <f t="shared" si="564"/>
        <v>0</v>
      </c>
      <c r="BE70" s="88">
        <f t="shared" si="406"/>
        <v>0</v>
      </c>
      <c r="BF70" s="87">
        <f t="shared" si="565"/>
        <v>0</v>
      </c>
      <c r="BG70" s="106">
        <f t="shared" si="566"/>
        <v>0</v>
      </c>
      <c r="BH70" s="106">
        <f t="shared" si="567"/>
        <v>0</v>
      </c>
      <c r="BI70" s="106">
        <f t="shared" si="568"/>
        <v>0</v>
      </c>
      <c r="BJ70" s="44"/>
      <c r="BK70" s="13"/>
      <c r="BL70" s="39">
        <v>0.91666666666666696</v>
      </c>
      <c r="BM70" s="38">
        <v>-150</v>
      </c>
      <c r="BN70" s="38">
        <f t="shared" si="407"/>
        <v>-39.939246849075218</v>
      </c>
      <c r="BO70" s="38">
        <f t="shared" si="746"/>
        <v>-39.676284442541061</v>
      </c>
      <c r="BP70" s="38">
        <f t="shared" si="409"/>
        <v>129.93924684907523</v>
      </c>
      <c r="BQ70" s="38">
        <f>+'Irradiancia Horizontal'!J91/COS(RADIANS(BP70))</f>
        <v>0</v>
      </c>
      <c r="BR70" s="38" t="e">
        <f>((('Irradiancia Horizontal'!J62+BQ70)/'Irradiancia Horizontal'!J62)+1.041*((RADIANS('Cálculos iluminancia'!BP70))^3))/(1+1.041*((RADIANS('Cálculos iluminancia'!BP70))^3))</f>
        <v>#DIV/0!</v>
      </c>
      <c r="BS70" s="87" t="e">
        <f t="shared" si="410"/>
        <v>#NUM!</v>
      </c>
      <c r="BT70" s="87" t="e">
        <f t="shared" si="569"/>
        <v>#NUM!</v>
      </c>
      <c r="BU70" s="106" t="e">
        <f>'Irradiancia Horizontal'!J62*BT70/$BS$46</f>
        <v>#NUM!</v>
      </c>
      <c r="BV70" s="87">
        <f>((17.27*Temp!I32)/(237.7+Temp!I32))+LN(HR!I43/100)</f>
        <v>1.4798352585941936</v>
      </c>
      <c r="BW70" s="87">
        <f t="shared" si="570"/>
        <v>22.276958266650912</v>
      </c>
      <c r="BX70" s="87">
        <f t="shared" si="571"/>
        <v>4.412260215407569</v>
      </c>
      <c r="BY70" s="87" t="e">
        <f t="shared" si="670"/>
        <v>#DIV/0!</v>
      </c>
      <c r="BZ70" s="87" t="e">
        <f t="shared" si="671"/>
        <v>#DIV/0!</v>
      </c>
      <c r="CA70" s="87" t="e">
        <f t="shared" si="672"/>
        <v>#DIV/0!</v>
      </c>
      <c r="CB70" s="87" t="e">
        <f t="shared" si="673"/>
        <v>#DIV/0!</v>
      </c>
      <c r="CC70" s="87" t="e">
        <f t="shared" si="674"/>
        <v>#DIV/0!</v>
      </c>
      <c r="CD70" s="103">
        <f t="shared" si="416"/>
        <v>0</v>
      </c>
      <c r="CE70" s="165">
        <f>IF(CK70&gt;(CD70*'Irradiancia Horizontal'!J30),CK70,CD70*'Irradiancia Horizontal'!J30)</f>
        <v>0</v>
      </c>
      <c r="CF70" s="87" t="e">
        <f t="shared" si="675"/>
        <v>#DIV/0!</v>
      </c>
      <c r="CG70" s="87" t="e">
        <f t="shared" si="676"/>
        <v>#DIV/0!</v>
      </c>
      <c r="CH70" s="87" t="e">
        <f t="shared" si="677"/>
        <v>#DIV/0!</v>
      </c>
      <c r="CI70" s="87" t="e">
        <f t="shared" si="678"/>
        <v>#DIV/0!</v>
      </c>
      <c r="CJ70" s="103">
        <f t="shared" si="421"/>
        <v>0</v>
      </c>
      <c r="CK70" s="87">
        <f>+CJ70*'Irradiancia Horizontal'!J62</f>
        <v>0</v>
      </c>
      <c r="CL70" s="87">
        <f t="shared" si="572"/>
        <v>0</v>
      </c>
      <c r="CM70" s="87" t="e">
        <f>+CL70/'Irradiancia Horizontal'!J91</f>
        <v>#DIV/0!</v>
      </c>
      <c r="CN70" s="38">
        <f t="shared" si="422"/>
        <v>-0.59012099387589756</v>
      </c>
      <c r="CO70" s="87">
        <f t="shared" si="573"/>
        <v>0</v>
      </c>
      <c r="CP70" s="87">
        <f t="shared" si="574"/>
        <v>8.6999999999999994E-2</v>
      </c>
      <c r="CQ70" s="87" t="e">
        <f t="shared" si="575"/>
        <v>#DIV/0!</v>
      </c>
      <c r="CR70" s="87" t="e">
        <f t="shared" si="576"/>
        <v>#DIV/0!</v>
      </c>
      <c r="CS70" s="87" t="e">
        <f t="shared" si="577"/>
        <v>#DIV/0!</v>
      </c>
      <c r="CT70" s="87" t="e">
        <f t="shared" si="578"/>
        <v>#DIV/0!</v>
      </c>
      <c r="CU70" s="87" t="e">
        <f t="shared" si="579"/>
        <v>#DIV/0!</v>
      </c>
      <c r="CV70" s="87" t="e">
        <f t="shared" si="580"/>
        <v>#DIV/0!</v>
      </c>
      <c r="CW70" s="87" t="e">
        <f t="shared" si="423"/>
        <v>#DIV/0!</v>
      </c>
      <c r="CX70" s="87" t="e">
        <f t="shared" si="424"/>
        <v>#DIV/0!</v>
      </c>
      <c r="CY70" s="88">
        <f t="shared" si="425"/>
        <v>0</v>
      </c>
      <c r="CZ70" s="87" t="e">
        <f t="shared" si="679"/>
        <v>#DIV/0!</v>
      </c>
      <c r="DA70" s="87" t="e">
        <f t="shared" si="680"/>
        <v>#DIV/0!</v>
      </c>
      <c r="DB70" s="87" t="e">
        <f t="shared" si="681"/>
        <v>#DIV/0!</v>
      </c>
      <c r="DC70" s="87" t="e">
        <f t="shared" si="682"/>
        <v>#DIV/0!</v>
      </c>
      <c r="DD70" s="87" t="e">
        <f t="shared" si="683"/>
        <v>#DIV/0!</v>
      </c>
      <c r="DE70" s="87" t="e">
        <f t="shared" si="684"/>
        <v>#DIV/0!</v>
      </c>
      <c r="DF70" s="87" t="e">
        <f t="shared" si="432"/>
        <v>#DIV/0!</v>
      </c>
      <c r="DG70" s="87" t="e">
        <f t="shared" si="433"/>
        <v>#DIV/0!</v>
      </c>
      <c r="DH70" s="106">
        <f>IF(BN70&lt;0,0,((0.5*(1-DF70)*(1+COS(RADIANS($BU$46))))+(DF70*(CO70/CP70))+(DG70*SIN(RADIANS($BU$46))))*'Irradiancia Horizontal'!J62)</f>
        <v>0</v>
      </c>
      <c r="DI70" s="87">
        <f t="shared" si="434"/>
        <v>0</v>
      </c>
      <c r="DJ70" s="87">
        <f>DI70*'Irradiancia Horizontal'!J91</f>
        <v>0</v>
      </c>
      <c r="DK70" s="87">
        <f t="shared" si="581"/>
        <v>0</v>
      </c>
      <c r="DL70" s="88">
        <f t="shared" si="435"/>
        <v>0</v>
      </c>
      <c r="DM70" s="87">
        <f t="shared" si="582"/>
        <v>0</v>
      </c>
      <c r="DN70" s="106">
        <f t="shared" si="583"/>
        <v>0</v>
      </c>
      <c r="DO70" s="106">
        <f t="shared" si="584"/>
        <v>0</v>
      </c>
      <c r="DP70" s="106">
        <f t="shared" si="585"/>
        <v>0</v>
      </c>
      <c r="DQ70" s="44"/>
      <c r="DS70" s="39">
        <v>0.91666666666666696</v>
      </c>
      <c r="DT70" s="38">
        <v>-150</v>
      </c>
      <c r="DU70" s="38">
        <f t="shared" si="436"/>
        <v>-49.337708282446648</v>
      </c>
      <c r="DV70" s="38">
        <f t="shared" si="747"/>
        <v>-50.115439938979534</v>
      </c>
      <c r="DW70" s="38">
        <f t="shared" si="438"/>
        <v>139.33770828244664</v>
      </c>
      <c r="DX70" s="38">
        <f>+'Irradiancia Horizontal'!K91/COS(RADIANS(DW70))</f>
        <v>0</v>
      </c>
      <c r="DY70" s="38" t="e">
        <f>((('Irradiancia Horizontal'!K62+DX70)/'Irradiancia Horizontal'!K62)+1.041*((RADIANS('Cálculos iluminancia'!DW70))^3))/(1+1.041*((RADIANS('Cálculos iluminancia'!DW70))^3))</f>
        <v>#DIV/0!</v>
      </c>
      <c r="DZ70" s="87" t="e">
        <f t="shared" si="439"/>
        <v>#NUM!</v>
      </c>
      <c r="EA70" s="87" t="e">
        <f t="shared" si="586"/>
        <v>#NUM!</v>
      </c>
      <c r="EB70" s="106" t="e">
        <f>'Irradiancia Horizontal'!K62*EA70/$DZ$46</f>
        <v>#NUM!</v>
      </c>
      <c r="EC70" s="87">
        <f>((17.27*Temp!J32)/(237.7+Temp!J32))+LN(HR!J43/100)</f>
        <v>1.3553298091143193</v>
      </c>
      <c r="ED70" s="87">
        <f t="shared" si="587"/>
        <v>20.243077095683425</v>
      </c>
      <c r="EE70" s="87">
        <f t="shared" si="588"/>
        <v>3.8267481543901476</v>
      </c>
      <c r="EF70" s="87" t="e">
        <f t="shared" si="685"/>
        <v>#DIV/0!</v>
      </c>
      <c r="EG70" s="87" t="e">
        <f t="shared" si="686"/>
        <v>#DIV/0!</v>
      </c>
      <c r="EH70" s="87" t="e">
        <f t="shared" si="687"/>
        <v>#DIV/0!</v>
      </c>
      <c r="EI70" s="87" t="e">
        <f t="shared" si="688"/>
        <v>#DIV/0!</v>
      </c>
      <c r="EJ70" s="87" t="e">
        <f t="shared" si="689"/>
        <v>#DIV/0!</v>
      </c>
      <c r="EK70" s="103">
        <f t="shared" si="445"/>
        <v>0</v>
      </c>
      <c r="EL70" s="165">
        <f>IF(ER70&gt;(EK70*'Irradiancia Horizontal'!K30),ER70,EK70*'Irradiancia Horizontal'!K30)</f>
        <v>0</v>
      </c>
      <c r="EM70" s="87" t="e">
        <f t="shared" si="690"/>
        <v>#DIV/0!</v>
      </c>
      <c r="EN70" s="87" t="e">
        <f t="shared" si="691"/>
        <v>#DIV/0!</v>
      </c>
      <c r="EO70" s="87" t="e">
        <f t="shared" si="692"/>
        <v>#DIV/0!</v>
      </c>
      <c r="EP70" s="87" t="e">
        <f t="shared" si="693"/>
        <v>#DIV/0!</v>
      </c>
      <c r="EQ70" s="103">
        <f t="shared" si="450"/>
        <v>0</v>
      </c>
      <c r="ER70" s="87">
        <f>+EQ70*'Irradiancia Horizontal'!K62</f>
        <v>0</v>
      </c>
      <c r="ES70" s="87">
        <f t="shared" si="589"/>
        <v>0</v>
      </c>
      <c r="ET70" s="87" t="e">
        <f>+ES70/'Irradiancia Horizontal'!K91</f>
        <v>#DIV/0!</v>
      </c>
      <c r="EU70" s="38">
        <f t="shared" si="451"/>
        <v>-0.41783341374630062</v>
      </c>
      <c r="EV70" s="87">
        <f t="shared" si="590"/>
        <v>0</v>
      </c>
      <c r="EW70" s="87">
        <f t="shared" si="591"/>
        <v>8.6999999999999994E-2</v>
      </c>
      <c r="EX70" s="87" t="e">
        <f t="shared" si="592"/>
        <v>#DIV/0!</v>
      </c>
      <c r="EY70" s="87" t="e">
        <f t="shared" si="593"/>
        <v>#DIV/0!</v>
      </c>
      <c r="EZ70" s="87" t="e">
        <f t="shared" si="594"/>
        <v>#DIV/0!</v>
      </c>
      <c r="FA70" s="87" t="e">
        <f t="shared" si="595"/>
        <v>#DIV/0!</v>
      </c>
      <c r="FB70" s="87" t="e">
        <f t="shared" si="596"/>
        <v>#DIV/0!</v>
      </c>
      <c r="FC70" s="87" t="e">
        <f t="shared" si="597"/>
        <v>#DIV/0!</v>
      </c>
      <c r="FD70" s="87" t="e">
        <f t="shared" si="452"/>
        <v>#DIV/0!</v>
      </c>
      <c r="FE70" s="87" t="e">
        <f t="shared" si="453"/>
        <v>#DIV/0!</v>
      </c>
      <c r="FF70" s="88">
        <f t="shared" si="454"/>
        <v>0</v>
      </c>
      <c r="FG70" s="87" t="e">
        <f t="shared" si="694"/>
        <v>#DIV/0!</v>
      </c>
      <c r="FH70" s="87" t="e">
        <f t="shared" si="695"/>
        <v>#DIV/0!</v>
      </c>
      <c r="FI70" s="87" t="e">
        <f t="shared" si="696"/>
        <v>#DIV/0!</v>
      </c>
      <c r="FJ70" s="87" t="e">
        <f t="shared" si="697"/>
        <v>#DIV/0!</v>
      </c>
      <c r="FK70" s="87" t="e">
        <f t="shared" si="698"/>
        <v>#DIV/0!</v>
      </c>
      <c r="FL70" s="87" t="e">
        <f t="shared" si="699"/>
        <v>#DIV/0!</v>
      </c>
      <c r="FM70" s="87" t="e">
        <f t="shared" si="461"/>
        <v>#DIV/0!</v>
      </c>
      <c r="FN70" s="87" t="e">
        <f t="shared" si="462"/>
        <v>#DIV/0!</v>
      </c>
      <c r="FO70" s="106">
        <f>IF(DU70&lt;0,0,((0.5*(1-FM70)*(1+COS(RADIANS($EB$46))))+(FM70*(EV70/EW70))+(FN70*SIN(RADIANS($EB$46))))*'Irradiancia Horizontal'!K62)</f>
        <v>0</v>
      </c>
      <c r="FP70" s="87">
        <f t="shared" si="463"/>
        <v>0</v>
      </c>
      <c r="FQ70" s="87">
        <f>FP70*'Irradiancia Horizontal'!K91</f>
        <v>0</v>
      </c>
      <c r="FR70" s="87">
        <f t="shared" si="598"/>
        <v>0</v>
      </c>
      <c r="FS70" s="88">
        <f t="shared" si="464"/>
        <v>0</v>
      </c>
      <c r="FT70" s="87">
        <f t="shared" si="599"/>
        <v>0</v>
      </c>
      <c r="FU70" s="106">
        <f t="shared" si="600"/>
        <v>0</v>
      </c>
      <c r="FV70" s="106">
        <f t="shared" si="601"/>
        <v>0</v>
      </c>
      <c r="FW70" s="106">
        <f t="shared" si="602"/>
        <v>0</v>
      </c>
      <c r="FX70" s="83"/>
      <c r="FZ70" s="39">
        <v>0.91666666666666696</v>
      </c>
      <c r="GA70" s="38">
        <v>-150</v>
      </c>
      <c r="GB70" s="38">
        <f t="shared" si="465"/>
        <v>-57.139651075019273</v>
      </c>
      <c r="GC70" s="38">
        <f t="shared" si="748"/>
        <v>-64.445776384922439</v>
      </c>
      <c r="GD70" s="38">
        <f t="shared" si="467"/>
        <v>147.13965107501929</v>
      </c>
      <c r="GE70" s="38">
        <f>+'Irradiancia Horizontal'!L91/COS(RADIANS(GD70))</f>
        <v>0</v>
      </c>
      <c r="GF70" s="38" t="e">
        <f>((('Irradiancia Horizontal'!L62+GE70)/'Irradiancia Horizontal'!L62)+1.041*((RADIANS('Cálculos iluminancia'!GD70))^3))/(1+1.041*((RADIANS('Cálculos iluminancia'!GD70))^3))</f>
        <v>#DIV/0!</v>
      </c>
      <c r="GG70" s="88" t="e">
        <f t="shared" si="468"/>
        <v>#NUM!</v>
      </c>
      <c r="GH70" s="88" t="e">
        <f t="shared" si="603"/>
        <v>#NUM!</v>
      </c>
      <c r="GI70" s="106" t="e">
        <f>'Irradiancia Horizontal'!L62*GH70/$GG$46</f>
        <v>#NUM!</v>
      </c>
      <c r="GJ70" s="88">
        <f>((17.27*Temp!K32)/(237.7+Temp!K32))+LN(HR!K43/100)</f>
        <v>1.0171613082887645</v>
      </c>
      <c r="GK70" s="88">
        <f t="shared" si="604"/>
        <v>14.876123953875453</v>
      </c>
      <c r="GL70" s="88">
        <f t="shared" si="605"/>
        <v>2.6282774687661399</v>
      </c>
      <c r="GM70" s="88" t="e">
        <f t="shared" si="700"/>
        <v>#DIV/0!</v>
      </c>
      <c r="GN70" s="88" t="e">
        <f t="shared" si="701"/>
        <v>#DIV/0!</v>
      </c>
      <c r="GO70" s="88" t="e">
        <f t="shared" si="702"/>
        <v>#DIV/0!</v>
      </c>
      <c r="GP70" s="88" t="e">
        <f t="shared" si="703"/>
        <v>#DIV/0!</v>
      </c>
      <c r="GQ70" s="88" t="e">
        <f t="shared" si="704"/>
        <v>#DIV/0!</v>
      </c>
      <c r="GR70" s="103">
        <f t="shared" si="474"/>
        <v>0</v>
      </c>
      <c r="GS70" s="165">
        <f>IF(GY70&gt;(GR70*'Irradiancia Horizontal'!L30),GY70,GR70*'Irradiancia Horizontal'!L30)</f>
        <v>0</v>
      </c>
      <c r="GT70" s="88" t="e">
        <f t="shared" si="705"/>
        <v>#DIV/0!</v>
      </c>
      <c r="GU70" s="88" t="e">
        <f t="shared" si="706"/>
        <v>#DIV/0!</v>
      </c>
      <c r="GV70" s="88" t="e">
        <f t="shared" si="707"/>
        <v>#DIV/0!</v>
      </c>
      <c r="GW70" s="88" t="e">
        <f t="shared" si="708"/>
        <v>#DIV/0!</v>
      </c>
      <c r="GX70" s="103">
        <f t="shared" si="479"/>
        <v>0</v>
      </c>
      <c r="GY70" s="88">
        <f>+GX70*'Irradiancia Horizontal'!L62</f>
        <v>0</v>
      </c>
      <c r="GZ70" s="88">
        <f t="shared" si="606"/>
        <v>0</v>
      </c>
      <c r="HA70" s="88" t="e">
        <f>+GZ70/'Irradiancia Horizontal'!L91</f>
        <v>#DIV/0!</v>
      </c>
      <c r="HB70" s="38">
        <f t="shared" si="480"/>
        <v>-0.23405579551672329</v>
      </c>
      <c r="HC70" s="88">
        <f t="shared" si="607"/>
        <v>0</v>
      </c>
      <c r="HD70" s="88">
        <f t="shared" si="608"/>
        <v>8.6999999999999994E-2</v>
      </c>
      <c r="HE70" s="88" t="e">
        <f t="shared" si="609"/>
        <v>#DIV/0!</v>
      </c>
      <c r="HF70" s="88" t="e">
        <f t="shared" si="610"/>
        <v>#DIV/0!</v>
      </c>
      <c r="HG70" s="88" t="e">
        <f t="shared" si="611"/>
        <v>#DIV/0!</v>
      </c>
      <c r="HH70" s="88" t="e">
        <f t="shared" si="612"/>
        <v>#DIV/0!</v>
      </c>
      <c r="HI70" s="88" t="e">
        <f t="shared" si="613"/>
        <v>#DIV/0!</v>
      </c>
      <c r="HJ70" s="88" t="e">
        <f t="shared" si="614"/>
        <v>#DIV/0!</v>
      </c>
      <c r="HK70" s="88" t="e">
        <f t="shared" si="481"/>
        <v>#DIV/0!</v>
      </c>
      <c r="HL70" s="88" t="e">
        <f t="shared" si="482"/>
        <v>#DIV/0!</v>
      </c>
      <c r="HM70" s="88">
        <f t="shared" si="483"/>
        <v>0</v>
      </c>
      <c r="HN70" s="88" t="e">
        <f t="shared" si="709"/>
        <v>#DIV/0!</v>
      </c>
      <c r="HO70" s="88" t="e">
        <f t="shared" si="710"/>
        <v>#DIV/0!</v>
      </c>
      <c r="HP70" s="88" t="e">
        <f t="shared" si="711"/>
        <v>#DIV/0!</v>
      </c>
      <c r="HQ70" s="88" t="e">
        <f t="shared" si="712"/>
        <v>#DIV/0!</v>
      </c>
      <c r="HR70" s="88" t="e">
        <f t="shared" si="713"/>
        <v>#DIV/0!</v>
      </c>
      <c r="HS70" s="88" t="e">
        <f t="shared" si="714"/>
        <v>#DIV/0!</v>
      </c>
      <c r="HT70" s="88" t="e">
        <f t="shared" si="490"/>
        <v>#DIV/0!</v>
      </c>
      <c r="HU70" s="88" t="e">
        <f t="shared" si="491"/>
        <v>#DIV/0!</v>
      </c>
      <c r="HV70" s="106">
        <f>IF(GB70&lt;0,0,((0.5*(1-HT70)*(1+COS(RADIANS($GI$46))))+(HT70*(HC70/HD70))+(HU70*SIN(RADIANS($GI$46))))*'Irradiancia Horizontal'!L62)</f>
        <v>0</v>
      </c>
      <c r="HW70" s="88">
        <f t="shared" si="492"/>
        <v>0</v>
      </c>
      <c r="HX70" s="88">
        <f>HW70*'Irradiancia Horizontal'!L91</f>
        <v>0</v>
      </c>
      <c r="HY70" s="88">
        <f t="shared" si="615"/>
        <v>0</v>
      </c>
      <c r="HZ70" s="88">
        <f t="shared" si="493"/>
        <v>0</v>
      </c>
      <c r="IA70" s="88">
        <f t="shared" si="616"/>
        <v>0</v>
      </c>
      <c r="IB70" s="106">
        <f t="shared" si="617"/>
        <v>0</v>
      </c>
      <c r="IC70" s="106">
        <f t="shared" si="618"/>
        <v>0</v>
      </c>
      <c r="ID70" s="106">
        <f t="shared" si="619"/>
        <v>0</v>
      </c>
      <c r="IE70" s="83"/>
      <c r="IG70" s="39">
        <v>0.91666666666666696</v>
      </c>
      <c r="IH70" s="38">
        <v>-150</v>
      </c>
      <c r="II70" s="38">
        <f t="shared" si="494"/>
        <v>-61.515083298976833</v>
      </c>
      <c r="IJ70" s="38">
        <f t="shared" si="749"/>
        <v>-79.22239655881755</v>
      </c>
      <c r="IK70" s="38">
        <f t="shared" si="496"/>
        <v>151.51508329897683</v>
      </c>
      <c r="IL70" s="38">
        <f>+'Irradiancia Horizontal'!M91/COS(RADIANS(IK70))</f>
        <v>0</v>
      </c>
      <c r="IM70" s="38" t="e">
        <f>((('Irradiancia Horizontal'!M62+IL70)/'Irradiancia Horizontal'!M62)+1.041*((RADIANS('Cálculos iluminancia'!IK70))^3))/(1+1.041*((RADIANS('Cálculos iluminancia'!IK70))^3))</f>
        <v>#DIV/0!</v>
      </c>
      <c r="IN70" s="88" t="e">
        <f t="shared" si="497"/>
        <v>#NUM!</v>
      </c>
      <c r="IO70" s="88" t="e">
        <f t="shared" si="620"/>
        <v>#NUM!</v>
      </c>
      <c r="IP70" s="106" t="e">
        <f>'Irradiancia Horizontal'!M62*IO70/$IN$46</f>
        <v>#NUM!</v>
      </c>
      <c r="IQ70" s="88">
        <f>((17.27*Temp!L32)/(237.7+Temp!L32))+LN(HR!L43/100)</f>
        <v>0.72459056409354239</v>
      </c>
      <c r="IR70" s="88">
        <f t="shared" si="621"/>
        <v>10.409846776668719</v>
      </c>
      <c r="IS70" s="88">
        <f t="shared" si="622"/>
        <v>1.9226208367080606</v>
      </c>
      <c r="IT70" s="88" t="e">
        <f t="shared" si="715"/>
        <v>#DIV/0!</v>
      </c>
      <c r="IU70" s="88" t="e">
        <f t="shared" si="716"/>
        <v>#DIV/0!</v>
      </c>
      <c r="IV70" s="88" t="e">
        <f t="shared" si="717"/>
        <v>#DIV/0!</v>
      </c>
      <c r="IW70" s="88" t="e">
        <f t="shared" si="718"/>
        <v>#DIV/0!</v>
      </c>
      <c r="IX70" s="88" t="e">
        <f t="shared" si="719"/>
        <v>#DIV/0!</v>
      </c>
      <c r="IY70" s="103">
        <f t="shared" si="503"/>
        <v>0</v>
      </c>
      <c r="IZ70" s="165">
        <f>IF(JF70&gt;(IY70*'Irradiancia Horizontal'!M30),JF70,IY70*'Irradiancia Horizontal'!M30)</f>
        <v>0</v>
      </c>
      <c r="JA70" s="88" t="e">
        <f t="shared" si="720"/>
        <v>#DIV/0!</v>
      </c>
      <c r="JB70" s="88" t="e">
        <f t="shared" si="721"/>
        <v>#DIV/0!</v>
      </c>
      <c r="JC70" s="88" t="e">
        <f t="shared" si="722"/>
        <v>#DIV/0!</v>
      </c>
      <c r="JD70" s="88" t="e">
        <f t="shared" si="723"/>
        <v>#DIV/0!</v>
      </c>
      <c r="JE70" s="103">
        <f t="shared" si="508"/>
        <v>0</v>
      </c>
      <c r="JF70" s="88">
        <f>+JE70*'Irradiancia Horizontal'!M62</f>
        <v>0</v>
      </c>
      <c r="JG70" s="88">
        <f t="shared" si="623"/>
        <v>0</v>
      </c>
      <c r="JH70" s="88" t="e">
        <f>+JG70/'Irradiancia Horizontal'!M91</f>
        <v>#DIV/0!</v>
      </c>
      <c r="JI70" s="38">
        <f t="shared" si="509"/>
        <v>-8.9184149146877667E-2</v>
      </c>
      <c r="JJ70" s="88">
        <f t="shared" si="624"/>
        <v>0</v>
      </c>
      <c r="JK70" s="88">
        <f t="shared" si="625"/>
        <v>8.6999999999999994E-2</v>
      </c>
      <c r="JL70" s="88" t="e">
        <f t="shared" si="626"/>
        <v>#DIV/0!</v>
      </c>
      <c r="JM70" s="88" t="e">
        <f t="shared" si="627"/>
        <v>#DIV/0!</v>
      </c>
      <c r="JN70" s="88" t="e">
        <f t="shared" si="628"/>
        <v>#DIV/0!</v>
      </c>
      <c r="JO70" s="88" t="e">
        <f t="shared" si="629"/>
        <v>#DIV/0!</v>
      </c>
      <c r="JP70" s="88" t="e">
        <f t="shared" si="630"/>
        <v>#DIV/0!</v>
      </c>
      <c r="JQ70" s="88" t="e">
        <f t="shared" si="631"/>
        <v>#DIV/0!</v>
      </c>
      <c r="JR70" s="88" t="e">
        <f t="shared" si="510"/>
        <v>#DIV/0!</v>
      </c>
      <c r="JS70" s="88" t="e">
        <f t="shared" si="511"/>
        <v>#DIV/0!</v>
      </c>
      <c r="JT70" s="88">
        <f t="shared" si="512"/>
        <v>0</v>
      </c>
      <c r="JU70" s="88" t="e">
        <f t="shared" si="724"/>
        <v>#DIV/0!</v>
      </c>
      <c r="JV70" s="88" t="e">
        <f t="shared" si="725"/>
        <v>#DIV/0!</v>
      </c>
      <c r="JW70" s="88" t="e">
        <f t="shared" si="726"/>
        <v>#DIV/0!</v>
      </c>
      <c r="JX70" s="88" t="e">
        <f t="shared" si="727"/>
        <v>#DIV/0!</v>
      </c>
      <c r="JY70" s="88" t="e">
        <f t="shared" si="728"/>
        <v>#DIV/0!</v>
      </c>
      <c r="JZ70" s="88" t="e">
        <f t="shared" si="729"/>
        <v>#DIV/0!</v>
      </c>
      <c r="KA70" s="88" t="e">
        <f t="shared" si="519"/>
        <v>#DIV/0!</v>
      </c>
      <c r="KB70" s="88" t="e">
        <f t="shared" si="520"/>
        <v>#DIV/0!</v>
      </c>
      <c r="KC70" s="106">
        <f>IF(II70&lt;0,0,((0.5*(1-KA70)*(1+COS(RADIANS($IP$46))))+(KA70*(JJ70/JK70))+(KB70*SIN(RADIANS($IP$46))))*'Irradiancia Horizontal'!M62)</f>
        <v>0</v>
      </c>
      <c r="KD70" s="88">
        <f t="shared" si="521"/>
        <v>0</v>
      </c>
      <c r="KE70" s="88">
        <f>KD70*'Irradiancia Horizontal'!M91</f>
        <v>0</v>
      </c>
      <c r="KF70" s="88">
        <f t="shared" si="632"/>
        <v>0</v>
      </c>
      <c r="KG70" s="88">
        <f t="shared" si="522"/>
        <v>0</v>
      </c>
      <c r="KH70" s="88">
        <f t="shared" si="633"/>
        <v>0</v>
      </c>
      <c r="KI70" s="106">
        <f t="shared" si="634"/>
        <v>0</v>
      </c>
      <c r="KJ70" s="106">
        <f t="shared" si="635"/>
        <v>0</v>
      </c>
      <c r="KK70" s="106">
        <f t="shared" si="636"/>
        <v>0</v>
      </c>
      <c r="KL70" s="40"/>
      <c r="KN70" s="39">
        <v>0.91666666666666696</v>
      </c>
      <c r="KO70" s="38">
        <v>-150</v>
      </c>
      <c r="KP70" s="38">
        <f t="shared" si="523"/>
        <v>-62.593106094089499</v>
      </c>
      <c r="KQ70" s="38">
        <f t="shared" si="750"/>
        <v>-85.218419971753733</v>
      </c>
      <c r="KR70" s="38">
        <f t="shared" si="525"/>
        <v>152.59310609408951</v>
      </c>
      <c r="KS70" s="38">
        <f>+'Irradiancia Horizontal'!N91/COS(RADIANS(KR70))</f>
        <v>0</v>
      </c>
      <c r="KT70" s="38" t="e">
        <f>((('Irradiancia Horizontal'!N62+KS70)/'Irradiancia Horizontal'!N62)+1.041*((RADIANS('Cálculos iluminancia'!KR70))^3))/(1+1.041*((RADIANS('Cálculos iluminancia'!KR70))^3))</f>
        <v>#DIV/0!</v>
      </c>
      <c r="KU70" s="88" t="e">
        <f t="shared" si="526"/>
        <v>#NUM!</v>
      </c>
      <c r="KV70" s="88" t="e">
        <f t="shared" si="637"/>
        <v>#NUM!</v>
      </c>
      <c r="KW70" s="106" t="e">
        <f>'Irradiancia Horizontal'!N62*KV70/$KU$46</f>
        <v>#NUM!</v>
      </c>
      <c r="KX70" s="88">
        <f>((17.27*Temp!M32)/(237.7+Temp!M32))+LN(HR!M43/100)</f>
        <v>0.44377561922476649</v>
      </c>
      <c r="KY70" s="88">
        <f t="shared" si="638"/>
        <v>6.2691107822292675</v>
      </c>
      <c r="KZ70" s="88">
        <f t="shared" si="639"/>
        <v>1.4388407501508307</v>
      </c>
      <c r="LA70" s="88" t="e">
        <f t="shared" si="730"/>
        <v>#DIV/0!</v>
      </c>
      <c r="LB70" s="88" t="e">
        <f t="shared" si="731"/>
        <v>#DIV/0!</v>
      </c>
      <c r="LC70" s="88" t="e">
        <f t="shared" si="732"/>
        <v>#DIV/0!</v>
      </c>
      <c r="LD70" s="88" t="e">
        <f t="shared" si="733"/>
        <v>#DIV/0!</v>
      </c>
      <c r="LE70" s="88" t="e">
        <f t="shared" si="734"/>
        <v>#DIV/0!</v>
      </c>
      <c r="LF70" s="103">
        <f t="shared" si="532"/>
        <v>0</v>
      </c>
      <c r="LG70" s="165">
        <f>IF(LM70&gt;(LF70*'Irradiancia Horizontal'!N30),LM70,LF70*'Irradiancia Horizontal'!N30)</f>
        <v>0</v>
      </c>
      <c r="LH70" s="88" t="e">
        <f t="shared" si="735"/>
        <v>#DIV/0!</v>
      </c>
      <c r="LI70" s="88" t="e">
        <f t="shared" si="736"/>
        <v>#DIV/0!</v>
      </c>
      <c r="LJ70" s="88" t="e">
        <f t="shared" si="737"/>
        <v>#DIV/0!</v>
      </c>
      <c r="LK70" s="88" t="e">
        <f t="shared" si="738"/>
        <v>#DIV/0!</v>
      </c>
      <c r="LL70" s="103">
        <f t="shared" si="537"/>
        <v>0</v>
      </c>
      <c r="LM70" s="88">
        <f>+LL70*'Irradiancia Horizontal'!N62</f>
        <v>0</v>
      </c>
      <c r="LN70" s="88">
        <f t="shared" si="640"/>
        <v>0</v>
      </c>
      <c r="LO70" s="88" t="e">
        <f>+LN70/'Irradiancia Horizontal'!N91</f>
        <v>#DIV/0!</v>
      </c>
      <c r="LP70" s="38">
        <f t="shared" si="538"/>
        <v>-3.8369997374706089E-2</v>
      </c>
      <c r="LQ70" s="88">
        <f t="shared" si="641"/>
        <v>0</v>
      </c>
      <c r="LR70" s="88">
        <f t="shared" si="642"/>
        <v>8.6999999999999994E-2</v>
      </c>
      <c r="LS70" s="88" t="e">
        <f t="shared" si="643"/>
        <v>#DIV/0!</v>
      </c>
      <c r="LT70" s="88" t="e">
        <f t="shared" si="644"/>
        <v>#DIV/0!</v>
      </c>
      <c r="LU70" s="88" t="e">
        <f t="shared" si="645"/>
        <v>#DIV/0!</v>
      </c>
      <c r="LV70" s="88" t="e">
        <f t="shared" si="646"/>
        <v>#DIV/0!</v>
      </c>
      <c r="LW70" s="88" t="e">
        <f t="shared" si="647"/>
        <v>#DIV/0!</v>
      </c>
      <c r="LX70" s="88" t="e">
        <f t="shared" si="648"/>
        <v>#DIV/0!</v>
      </c>
      <c r="LY70" s="88" t="e">
        <f t="shared" si="539"/>
        <v>#DIV/0!</v>
      </c>
      <c r="LZ70" s="88" t="e">
        <f t="shared" si="540"/>
        <v>#DIV/0!</v>
      </c>
      <c r="MA70" s="88">
        <f t="shared" si="541"/>
        <v>0</v>
      </c>
      <c r="MB70" s="88" t="e">
        <f t="shared" si="739"/>
        <v>#DIV/0!</v>
      </c>
      <c r="MC70" s="88" t="e">
        <f t="shared" si="740"/>
        <v>#DIV/0!</v>
      </c>
      <c r="MD70" s="88" t="e">
        <f t="shared" si="741"/>
        <v>#DIV/0!</v>
      </c>
      <c r="ME70" s="88" t="e">
        <f t="shared" si="742"/>
        <v>#DIV/0!</v>
      </c>
      <c r="MF70" s="88" t="e">
        <f t="shared" si="743"/>
        <v>#DIV/0!</v>
      </c>
      <c r="MG70" s="88" t="e">
        <f t="shared" si="744"/>
        <v>#DIV/0!</v>
      </c>
      <c r="MH70" s="88" t="e">
        <f t="shared" si="548"/>
        <v>#DIV/0!</v>
      </c>
      <c r="MI70" s="88" t="e">
        <f t="shared" si="549"/>
        <v>#DIV/0!</v>
      </c>
      <c r="MJ70" s="106">
        <f>IF(KP70&lt;0,0,((0.5*(1-MH70)*(1+COS(RADIANS($KW$46))))+(MH70*(LQ70/LR70))+(MI70*SIN(RADIANS($KW$46))))*'Irradiancia Horizontal'!N62)</f>
        <v>0</v>
      </c>
      <c r="MK70" s="88">
        <f t="shared" si="550"/>
        <v>0</v>
      </c>
      <c r="ML70" s="88">
        <f>MK70*'Irradiancia Horizontal'!N91</f>
        <v>0</v>
      </c>
      <c r="MM70" s="88">
        <f t="shared" si="649"/>
        <v>0</v>
      </c>
      <c r="MN70" s="88">
        <f t="shared" si="551"/>
        <v>0</v>
      </c>
      <c r="MO70" s="88">
        <f t="shared" si="650"/>
        <v>0</v>
      </c>
      <c r="MP70" s="106">
        <f t="shared" si="651"/>
        <v>0</v>
      </c>
      <c r="MQ70" s="106">
        <f t="shared" si="652"/>
        <v>0</v>
      </c>
      <c r="MR70" s="106">
        <f t="shared" si="653"/>
        <v>0</v>
      </c>
    </row>
    <row r="71" spans="1:356" x14ac:dyDescent="0.25">
      <c r="E71" s="39">
        <v>0.95833333333333304</v>
      </c>
      <c r="F71" s="38">
        <v>-165</v>
      </c>
      <c r="G71" s="38">
        <f t="shared" si="378"/>
        <v>-38.408119853513838</v>
      </c>
      <c r="H71" s="38">
        <f t="shared" si="745"/>
        <v>-18.028725663187345</v>
      </c>
      <c r="I71" s="38">
        <f t="shared" si="380"/>
        <v>128.40811985351382</v>
      </c>
      <c r="J71" s="38">
        <f>+'Irradiancia Horizontal'!I92/COS(RADIANS(I71))</f>
        <v>0</v>
      </c>
      <c r="K71" s="38" t="e">
        <f>((('Irradiancia Horizontal'!I63+J71)/'Irradiancia Horizontal'!I63)+1.041*((RADIANS('Cálculos iluminancia'!I71))^3))/(1+1.041*((RADIANS('Cálculos iluminancia'!I71))^3))</f>
        <v>#DIV/0!</v>
      </c>
      <c r="L71" s="87" t="e">
        <f t="shared" si="381"/>
        <v>#NUM!</v>
      </c>
      <c r="M71" s="87" t="e">
        <f t="shared" si="654"/>
        <v>#NUM!</v>
      </c>
      <c r="N71" s="106" t="e">
        <f>'Irradiancia Horizontal'!I63*M71/$L$46</f>
        <v>#NUM!</v>
      </c>
      <c r="O71" s="87">
        <f>((17.27*Temp!H33)/(237.7+Temp!H33))+LN(HR!H44/100)</f>
        <v>1.3051492904770619</v>
      </c>
      <c r="P71" s="87">
        <f t="shared" si="553"/>
        <v>19.432313648967909</v>
      </c>
      <c r="Q71" s="87">
        <f t="shared" si="554"/>
        <v>3.6156149631396244</v>
      </c>
      <c r="R71" s="87" t="e">
        <f t="shared" si="655"/>
        <v>#DIV/0!</v>
      </c>
      <c r="S71" s="87" t="e">
        <f t="shared" si="656"/>
        <v>#DIV/0!</v>
      </c>
      <c r="T71" s="87" t="e">
        <f t="shared" si="657"/>
        <v>#DIV/0!</v>
      </c>
      <c r="U71" s="87" t="e">
        <f t="shared" si="658"/>
        <v>#DIV/0!</v>
      </c>
      <c r="V71" s="87" t="e">
        <f t="shared" si="659"/>
        <v>#DIV/0!</v>
      </c>
      <c r="W71" s="103">
        <f t="shared" si="387"/>
        <v>0</v>
      </c>
      <c r="X71" s="165">
        <f>IF(AD71&gt;(W71*'Irradiancia Horizontal'!I31),AD71,W71*'Irradiancia Horizontal'!I31)</f>
        <v>0</v>
      </c>
      <c r="Y71" s="87" t="e">
        <f t="shared" si="660"/>
        <v>#DIV/0!</v>
      </c>
      <c r="Z71" s="87" t="e">
        <f t="shared" si="661"/>
        <v>#DIV/0!</v>
      </c>
      <c r="AA71" s="87" t="e">
        <f t="shared" si="662"/>
        <v>#DIV/0!</v>
      </c>
      <c r="AB71" s="87" t="e">
        <f t="shared" si="663"/>
        <v>#DIV/0!</v>
      </c>
      <c r="AC71" s="103">
        <f t="shared" si="392"/>
        <v>0</v>
      </c>
      <c r="AD71" s="87">
        <f>+AC71*'Irradiancia Horizontal'!I63</f>
        <v>0</v>
      </c>
      <c r="AE71" s="87">
        <f t="shared" si="393"/>
        <v>0</v>
      </c>
      <c r="AF71" s="87" t="e">
        <f>+AE71/'Irradiancia Horizontal'!I92</f>
        <v>#DIV/0!</v>
      </c>
      <c r="AG71" s="38">
        <f t="shared" si="555"/>
        <v>-0.7451315462992476</v>
      </c>
      <c r="AH71" s="87">
        <f t="shared" si="556"/>
        <v>0</v>
      </c>
      <c r="AI71" s="87">
        <f t="shared" si="557"/>
        <v>8.6999999999999994E-2</v>
      </c>
      <c r="AJ71" s="87" t="e">
        <f t="shared" si="558"/>
        <v>#DIV/0!</v>
      </c>
      <c r="AK71" s="87" t="e">
        <f t="shared" si="559"/>
        <v>#DIV/0!</v>
      </c>
      <c r="AL71" s="87" t="e">
        <f t="shared" si="560"/>
        <v>#DIV/0!</v>
      </c>
      <c r="AM71" s="87" t="e">
        <f t="shared" si="561"/>
        <v>#DIV/0!</v>
      </c>
      <c r="AN71" s="87" t="e">
        <f t="shared" si="562"/>
        <v>#DIV/0!</v>
      </c>
      <c r="AO71" s="87" t="e">
        <f t="shared" si="563"/>
        <v>#DIV/0!</v>
      </c>
      <c r="AP71" s="87" t="e">
        <f t="shared" si="394"/>
        <v>#DIV/0!</v>
      </c>
      <c r="AQ71" s="87" t="e">
        <f t="shared" si="395"/>
        <v>#DIV/0!</v>
      </c>
      <c r="AR71" s="88">
        <f t="shared" si="396"/>
        <v>0</v>
      </c>
      <c r="AS71" s="87" t="e">
        <f t="shared" si="664"/>
        <v>#DIV/0!</v>
      </c>
      <c r="AT71" s="87" t="e">
        <f t="shared" si="665"/>
        <v>#DIV/0!</v>
      </c>
      <c r="AU71" s="87" t="e">
        <f t="shared" si="666"/>
        <v>#DIV/0!</v>
      </c>
      <c r="AV71" s="87" t="e">
        <f t="shared" si="667"/>
        <v>#DIV/0!</v>
      </c>
      <c r="AW71" s="87" t="e">
        <f t="shared" si="668"/>
        <v>#DIV/0!</v>
      </c>
      <c r="AX71" s="87" t="e">
        <f t="shared" si="669"/>
        <v>#DIV/0!</v>
      </c>
      <c r="AY71" s="87" t="e">
        <f t="shared" si="403"/>
        <v>#DIV/0!</v>
      </c>
      <c r="AZ71" s="87" t="e">
        <f t="shared" si="404"/>
        <v>#DIV/0!</v>
      </c>
      <c r="BA71" s="106">
        <f>IF(G71&lt;0,0,((0.5*(1-AY71)*(1+COS(RADIANS($N$46))))+(AY71*(AH71/AI71))+(AZ71*SIN(RADIANS($N$46))))*'Irradiancia Horizontal'!I63)</f>
        <v>0</v>
      </c>
      <c r="BB71" s="87">
        <f t="shared" si="405"/>
        <v>0</v>
      </c>
      <c r="BC71" s="87">
        <f>BB71*'Irradiancia Horizontal'!I92</f>
        <v>0</v>
      </c>
      <c r="BD71" s="87">
        <f t="shared" si="564"/>
        <v>0</v>
      </c>
      <c r="BE71" s="88">
        <f t="shared" si="406"/>
        <v>0</v>
      </c>
      <c r="BF71" s="87">
        <f t="shared" si="565"/>
        <v>0</v>
      </c>
      <c r="BG71" s="106">
        <f t="shared" si="566"/>
        <v>0</v>
      </c>
      <c r="BH71" s="106">
        <f t="shared" si="567"/>
        <v>0</v>
      </c>
      <c r="BI71" s="106">
        <f t="shared" si="568"/>
        <v>0</v>
      </c>
      <c r="BJ71" s="44"/>
      <c r="BK71" s="13"/>
      <c r="BL71" s="39">
        <v>0.95833333333333304</v>
      </c>
      <c r="BM71" s="38">
        <v>-165</v>
      </c>
      <c r="BN71" s="38">
        <f t="shared" si="407"/>
        <v>-46.673158273074598</v>
      </c>
      <c r="BO71" s="38">
        <f t="shared" si="746"/>
        <v>-21.671843965141704</v>
      </c>
      <c r="BP71" s="38">
        <f t="shared" si="409"/>
        <v>136.67315827307459</v>
      </c>
      <c r="BQ71" s="38">
        <f>+'Irradiancia Horizontal'!J92/COS(RADIANS(BP71))</f>
        <v>0</v>
      </c>
      <c r="BR71" s="38" t="e">
        <f>((('Irradiancia Horizontal'!J63+BQ71)/'Irradiancia Horizontal'!J63)+1.041*((RADIANS('Cálculos iluminancia'!BP71))^3))/(1+1.041*((RADIANS('Cálculos iluminancia'!BP71))^3))</f>
        <v>#DIV/0!</v>
      </c>
      <c r="BS71" s="87" t="e">
        <f t="shared" si="410"/>
        <v>#NUM!</v>
      </c>
      <c r="BT71" s="87" t="e">
        <f t="shared" si="569"/>
        <v>#NUM!</v>
      </c>
      <c r="BU71" s="106" t="e">
        <f>'Irradiancia Horizontal'!J63*BT71/$BS$46</f>
        <v>#NUM!</v>
      </c>
      <c r="BV71" s="87">
        <f>((17.27*Temp!I33)/(237.7+Temp!I33))+LN(HR!I44/100)</f>
        <v>1.4659876482546299</v>
      </c>
      <c r="BW71" s="87">
        <f t="shared" si="570"/>
        <v>22.049164239715466</v>
      </c>
      <c r="BX71" s="87">
        <f t="shared" si="571"/>
        <v>4.3424621233471097</v>
      </c>
      <c r="BY71" s="87" t="e">
        <f t="shared" si="670"/>
        <v>#DIV/0!</v>
      </c>
      <c r="BZ71" s="87" t="e">
        <f t="shared" si="671"/>
        <v>#DIV/0!</v>
      </c>
      <c r="CA71" s="87" t="e">
        <f t="shared" si="672"/>
        <v>#DIV/0!</v>
      </c>
      <c r="CB71" s="87" t="e">
        <f t="shared" si="673"/>
        <v>#DIV/0!</v>
      </c>
      <c r="CC71" s="87" t="e">
        <f t="shared" si="674"/>
        <v>#DIV/0!</v>
      </c>
      <c r="CD71" s="103">
        <f t="shared" si="416"/>
        <v>0</v>
      </c>
      <c r="CE71" s="165">
        <f>IF(CK71&gt;(CD71*'Irradiancia Horizontal'!J31),CK71,CD71*'Irradiancia Horizontal'!J31)</f>
        <v>0</v>
      </c>
      <c r="CF71" s="87" t="e">
        <f t="shared" si="675"/>
        <v>#DIV/0!</v>
      </c>
      <c r="CG71" s="87" t="e">
        <f t="shared" si="676"/>
        <v>#DIV/0!</v>
      </c>
      <c r="CH71" s="87" t="e">
        <f t="shared" si="677"/>
        <v>#DIV/0!</v>
      </c>
      <c r="CI71" s="87" t="e">
        <f t="shared" si="678"/>
        <v>#DIV/0!</v>
      </c>
      <c r="CJ71" s="103">
        <f t="shared" si="421"/>
        <v>0</v>
      </c>
      <c r="CK71" s="87">
        <f>+CJ71*'Irradiancia Horizontal'!J63</f>
        <v>0</v>
      </c>
      <c r="CL71" s="87">
        <f t="shared" si="572"/>
        <v>0</v>
      </c>
      <c r="CM71" s="87" t="e">
        <f>+CL71/'Irradiancia Horizontal'!J92</f>
        <v>#DIV/0!</v>
      </c>
      <c r="CN71" s="38">
        <f t="shared" si="422"/>
        <v>-0.6376574801723931</v>
      </c>
      <c r="CO71" s="87">
        <f t="shared" si="573"/>
        <v>0</v>
      </c>
      <c r="CP71" s="87">
        <f t="shared" si="574"/>
        <v>8.6999999999999994E-2</v>
      </c>
      <c r="CQ71" s="87" t="e">
        <f t="shared" si="575"/>
        <v>#DIV/0!</v>
      </c>
      <c r="CR71" s="87" t="e">
        <f t="shared" si="576"/>
        <v>#DIV/0!</v>
      </c>
      <c r="CS71" s="87" t="e">
        <f t="shared" si="577"/>
        <v>#DIV/0!</v>
      </c>
      <c r="CT71" s="87" t="e">
        <f t="shared" si="578"/>
        <v>#DIV/0!</v>
      </c>
      <c r="CU71" s="87" t="e">
        <f t="shared" si="579"/>
        <v>#DIV/0!</v>
      </c>
      <c r="CV71" s="87" t="e">
        <f t="shared" si="580"/>
        <v>#DIV/0!</v>
      </c>
      <c r="CW71" s="87" t="e">
        <f t="shared" si="423"/>
        <v>#DIV/0!</v>
      </c>
      <c r="CX71" s="87" t="e">
        <f t="shared" si="424"/>
        <v>#DIV/0!</v>
      </c>
      <c r="CY71" s="88">
        <f t="shared" si="425"/>
        <v>0</v>
      </c>
      <c r="CZ71" s="87" t="e">
        <f t="shared" si="679"/>
        <v>#DIV/0!</v>
      </c>
      <c r="DA71" s="87" t="e">
        <f t="shared" si="680"/>
        <v>#DIV/0!</v>
      </c>
      <c r="DB71" s="87" t="e">
        <f t="shared" si="681"/>
        <v>#DIV/0!</v>
      </c>
      <c r="DC71" s="87" t="e">
        <f t="shared" si="682"/>
        <v>#DIV/0!</v>
      </c>
      <c r="DD71" s="87" t="e">
        <f t="shared" si="683"/>
        <v>#DIV/0!</v>
      </c>
      <c r="DE71" s="87" t="e">
        <f t="shared" si="684"/>
        <v>#DIV/0!</v>
      </c>
      <c r="DF71" s="87" t="e">
        <f t="shared" si="432"/>
        <v>#DIV/0!</v>
      </c>
      <c r="DG71" s="87" t="e">
        <f t="shared" si="433"/>
        <v>#DIV/0!</v>
      </c>
      <c r="DH71" s="106">
        <f>IF(BN71&lt;0,0,((0.5*(1-DF71)*(1+COS(RADIANS($BU$46))))+(DF71*(CO71/CP71))+(DG71*SIN(RADIANS($BU$46))))*'Irradiancia Horizontal'!J63)</f>
        <v>0</v>
      </c>
      <c r="DI71" s="87">
        <f t="shared" si="434"/>
        <v>0</v>
      </c>
      <c r="DJ71" s="87">
        <f>DI71*'Irradiancia Horizontal'!J92</f>
        <v>0</v>
      </c>
      <c r="DK71" s="87">
        <f t="shared" si="581"/>
        <v>0</v>
      </c>
      <c r="DL71" s="88">
        <f t="shared" si="435"/>
        <v>0</v>
      </c>
      <c r="DM71" s="87">
        <f t="shared" si="582"/>
        <v>0</v>
      </c>
      <c r="DN71" s="106">
        <f t="shared" si="583"/>
        <v>0</v>
      </c>
      <c r="DO71" s="106">
        <f t="shared" si="584"/>
        <v>0</v>
      </c>
      <c r="DP71" s="106">
        <f t="shared" si="585"/>
        <v>0</v>
      </c>
      <c r="DQ71" s="44"/>
      <c r="DS71" s="39">
        <v>0.95833333333333304</v>
      </c>
      <c r="DT71" s="38">
        <v>-165</v>
      </c>
      <c r="DU71" s="38">
        <f t="shared" si="436"/>
        <v>-57.765265737180506</v>
      </c>
      <c r="DV71" s="38">
        <f t="shared" si="747"/>
        <v>-29.027667227369875</v>
      </c>
      <c r="DW71" s="38">
        <f t="shared" si="438"/>
        <v>147.7652657371805</v>
      </c>
      <c r="DX71" s="38">
        <f>+'Irradiancia Horizontal'!K92/COS(RADIANS(DW71))</f>
        <v>0</v>
      </c>
      <c r="DY71" s="38" t="e">
        <f>((('Irradiancia Horizontal'!K63+DX71)/'Irradiancia Horizontal'!K63)+1.041*((RADIANS('Cálculos iluminancia'!DW71))^3))/(1+1.041*((RADIANS('Cálculos iluminancia'!DW71))^3))</f>
        <v>#DIV/0!</v>
      </c>
      <c r="DZ71" s="87" t="e">
        <f t="shared" si="439"/>
        <v>#NUM!</v>
      </c>
      <c r="EA71" s="87" t="e">
        <f t="shared" si="586"/>
        <v>#NUM!</v>
      </c>
      <c r="EB71" s="106" t="e">
        <f>'Irradiancia Horizontal'!K63*EA71/$DZ$46</f>
        <v>#NUM!</v>
      </c>
      <c r="EC71" s="87">
        <f>((17.27*Temp!J33)/(237.7+Temp!J33))+LN(HR!J44/100)</f>
        <v>1.340492996477558</v>
      </c>
      <c r="ED71" s="87">
        <f t="shared" si="587"/>
        <v>20.002827783198608</v>
      </c>
      <c r="EE71" s="87">
        <f t="shared" si="588"/>
        <v>3.7629301338276209</v>
      </c>
      <c r="EF71" s="87" t="e">
        <f t="shared" si="685"/>
        <v>#DIV/0!</v>
      </c>
      <c r="EG71" s="87" t="e">
        <f t="shared" si="686"/>
        <v>#DIV/0!</v>
      </c>
      <c r="EH71" s="87" t="e">
        <f t="shared" si="687"/>
        <v>#DIV/0!</v>
      </c>
      <c r="EI71" s="87" t="e">
        <f t="shared" si="688"/>
        <v>#DIV/0!</v>
      </c>
      <c r="EJ71" s="87" t="e">
        <f t="shared" si="689"/>
        <v>#DIV/0!</v>
      </c>
      <c r="EK71" s="103">
        <f t="shared" si="445"/>
        <v>0</v>
      </c>
      <c r="EL71" s="165">
        <f>IF(ER71&gt;(EK71*'Irradiancia Horizontal'!K31),ER71,EK71*'Irradiancia Horizontal'!K31)</f>
        <v>0</v>
      </c>
      <c r="EM71" s="87" t="e">
        <f t="shared" si="690"/>
        <v>#DIV/0!</v>
      </c>
      <c r="EN71" s="87" t="e">
        <f t="shared" si="691"/>
        <v>#DIV/0!</v>
      </c>
      <c r="EO71" s="87" t="e">
        <f t="shared" si="692"/>
        <v>#DIV/0!</v>
      </c>
      <c r="EP71" s="87" t="e">
        <f t="shared" si="693"/>
        <v>#DIV/0!</v>
      </c>
      <c r="EQ71" s="103">
        <f t="shared" si="450"/>
        <v>0</v>
      </c>
      <c r="ER71" s="87">
        <f>+EQ71*'Irradiancia Horizontal'!K63</f>
        <v>0</v>
      </c>
      <c r="ES71" s="87">
        <f t="shared" si="589"/>
        <v>0</v>
      </c>
      <c r="ET71" s="87" t="e">
        <f>+ES71/'Irradiancia Horizontal'!K92</f>
        <v>#DIV/0!</v>
      </c>
      <c r="EU71" s="38">
        <f t="shared" si="451"/>
        <v>-0.46638774947558609</v>
      </c>
      <c r="EV71" s="87">
        <f t="shared" si="590"/>
        <v>0</v>
      </c>
      <c r="EW71" s="87">
        <f t="shared" si="591"/>
        <v>8.6999999999999994E-2</v>
      </c>
      <c r="EX71" s="87" t="e">
        <f t="shared" si="592"/>
        <v>#DIV/0!</v>
      </c>
      <c r="EY71" s="87" t="e">
        <f t="shared" si="593"/>
        <v>#DIV/0!</v>
      </c>
      <c r="EZ71" s="87" t="e">
        <f t="shared" si="594"/>
        <v>#DIV/0!</v>
      </c>
      <c r="FA71" s="87" t="e">
        <f t="shared" si="595"/>
        <v>#DIV/0!</v>
      </c>
      <c r="FB71" s="87" t="e">
        <f t="shared" si="596"/>
        <v>#DIV/0!</v>
      </c>
      <c r="FC71" s="87" t="e">
        <f t="shared" si="597"/>
        <v>#DIV/0!</v>
      </c>
      <c r="FD71" s="87" t="e">
        <f t="shared" si="452"/>
        <v>#DIV/0!</v>
      </c>
      <c r="FE71" s="87" t="e">
        <f t="shared" si="453"/>
        <v>#DIV/0!</v>
      </c>
      <c r="FF71" s="88">
        <f t="shared" si="454"/>
        <v>0</v>
      </c>
      <c r="FG71" s="87" t="e">
        <f t="shared" si="694"/>
        <v>#DIV/0!</v>
      </c>
      <c r="FH71" s="87" t="e">
        <f t="shared" si="695"/>
        <v>#DIV/0!</v>
      </c>
      <c r="FI71" s="87" t="e">
        <f t="shared" si="696"/>
        <v>#DIV/0!</v>
      </c>
      <c r="FJ71" s="87" t="e">
        <f t="shared" si="697"/>
        <v>#DIV/0!</v>
      </c>
      <c r="FK71" s="87" t="e">
        <f t="shared" si="698"/>
        <v>#DIV/0!</v>
      </c>
      <c r="FL71" s="87" t="e">
        <f t="shared" si="699"/>
        <v>#DIV/0!</v>
      </c>
      <c r="FM71" s="87" t="e">
        <f t="shared" si="461"/>
        <v>#DIV/0!</v>
      </c>
      <c r="FN71" s="87" t="e">
        <f t="shared" si="462"/>
        <v>#DIV/0!</v>
      </c>
      <c r="FO71" s="106">
        <f>IF(DU71&lt;0,0,((0.5*(1-FM71)*(1+COS(RADIANS($EB$46))))+(FM71*(EV71/EW71))+(FN71*SIN(RADIANS($EB$46))))*'Irradiancia Horizontal'!K63)</f>
        <v>0</v>
      </c>
      <c r="FP71" s="87">
        <f t="shared" si="463"/>
        <v>0</v>
      </c>
      <c r="FQ71" s="87">
        <f>FP71*'Irradiancia Horizontal'!K92</f>
        <v>0</v>
      </c>
      <c r="FR71" s="87">
        <f t="shared" si="598"/>
        <v>0</v>
      </c>
      <c r="FS71" s="88">
        <f t="shared" si="464"/>
        <v>0</v>
      </c>
      <c r="FT71" s="87">
        <f t="shared" si="599"/>
        <v>0</v>
      </c>
      <c r="FU71" s="106">
        <f t="shared" si="600"/>
        <v>0</v>
      </c>
      <c r="FV71" s="106">
        <f t="shared" si="601"/>
        <v>0</v>
      </c>
      <c r="FW71" s="106">
        <f t="shared" si="602"/>
        <v>0</v>
      </c>
      <c r="FX71" s="83"/>
      <c r="FZ71" s="39">
        <v>0.95833333333333304</v>
      </c>
      <c r="GA71" s="38">
        <v>-165</v>
      </c>
      <c r="GB71" s="38">
        <f t="shared" si="465"/>
        <v>-67.739632253222211</v>
      </c>
      <c r="GC71" s="38">
        <f t="shared" si="748"/>
        <v>-41.982577246800219</v>
      </c>
      <c r="GD71" s="38">
        <f t="shared" si="467"/>
        <v>157.73963225322223</v>
      </c>
      <c r="GE71" s="38">
        <f>+'Irradiancia Horizontal'!L92/COS(RADIANS(GD71))</f>
        <v>0</v>
      </c>
      <c r="GF71" s="38" t="e">
        <f>((('Irradiancia Horizontal'!L63+GE71)/'Irradiancia Horizontal'!L63)+1.041*((RADIANS('Cálculos iluminancia'!GD71))^3))/(1+1.041*((RADIANS('Cálculos iluminancia'!GD71))^3))</f>
        <v>#DIV/0!</v>
      </c>
      <c r="GG71" s="88" t="e">
        <f t="shared" si="468"/>
        <v>#NUM!</v>
      </c>
      <c r="GH71" s="88" t="e">
        <f t="shared" si="603"/>
        <v>#NUM!</v>
      </c>
      <c r="GI71" s="106" t="e">
        <f>'Irradiancia Horizontal'!L63*GH71/$GG$46</f>
        <v>#NUM!</v>
      </c>
      <c r="GJ71" s="88">
        <f>((17.27*Temp!K33)/(237.7+Temp!K33))+LN(HR!K44/100)</f>
        <v>0.99633046002667891</v>
      </c>
      <c r="GK71" s="88">
        <f t="shared" si="604"/>
        <v>14.552817959503056</v>
      </c>
      <c r="GL71" s="88">
        <f t="shared" si="605"/>
        <v>2.5694638466572086</v>
      </c>
      <c r="GM71" s="88" t="e">
        <f t="shared" si="700"/>
        <v>#DIV/0!</v>
      </c>
      <c r="GN71" s="88" t="e">
        <f t="shared" si="701"/>
        <v>#DIV/0!</v>
      </c>
      <c r="GO71" s="88" t="e">
        <f t="shared" si="702"/>
        <v>#DIV/0!</v>
      </c>
      <c r="GP71" s="88" t="e">
        <f t="shared" si="703"/>
        <v>#DIV/0!</v>
      </c>
      <c r="GQ71" s="88" t="e">
        <f t="shared" si="704"/>
        <v>#DIV/0!</v>
      </c>
      <c r="GR71" s="103">
        <f t="shared" si="474"/>
        <v>0</v>
      </c>
      <c r="GS71" s="165">
        <f>IF(GY71&gt;(GR71*'Irradiancia Horizontal'!L31),GY71,GR71*'Irradiancia Horizontal'!L31)</f>
        <v>0</v>
      </c>
      <c r="GT71" s="88" t="e">
        <f t="shared" si="705"/>
        <v>#DIV/0!</v>
      </c>
      <c r="GU71" s="88" t="e">
        <f t="shared" si="706"/>
        <v>#DIV/0!</v>
      </c>
      <c r="GV71" s="88" t="e">
        <f t="shared" si="707"/>
        <v>#DIV/0!</v>
      </c>
      <c r="GW71" s="88" t="e">
        <f t="shared" si="708"/>
        <v>#DIV/0!</v>
      </c>
      <c r="GX71" s="103">
        <f t="shared" si="479"/>
        <v>0</v>
      </c>
      <c r="GY71" s="88">
        <f>+GX71*'Irradiancia Horizontal'!L63</f>
        <v>0</v>
      </c>
      <c r="GZ71" s="88">
        <f t="shared" si="606"/>
        <v>0</v>
      </c>
      <c r="HA71" s="88" t="e">
        <f>+GZ71/'Irradiancia Horizontal'!L92</f>
        <v>#DIV/0!</v>
      </c>
      <c r="HB71" s="38">
        <f t="shared" si="480"/>
        <v>-0.28159228181321871</v>
      </c>
      <c r="HC71" s="88">
        <f t="shared" si="607"/>
        <v>0</v>
      </c>
      <c r="HD71" s="88">
        <f t="shared" si="608"/>
        <v>8.6999999999999994E-2</v>
      </c>
      <c r="HE71" s="88" t="e">
        <f t="shared" si="609"/>
        <v>#DIV/0!</v>
      </c>
      <c r="HF71" s="88" t="e">
        <f t="shared" si="610"/>
        <v>#DIV/0!</v>
      </c>
      <c r="HG71" s="88" t="e">
        <f t="shared" si="611"/>
        <v>#DIV/0!</v>
      </c>
      <c r="HH71" s="88" t="e">
        <f t="shared" si="612"/>
        <v>#DIV/0!</v>
      </c>
      <c r="HI71" s="88" t="e">
        <f t="shared" si="613"/>
        <v>#DIV/0!</v>
      </c>
      <c r="HJ71" s="88" t="e">
        <f t="shared" si="614"/>
        <v>#DIV/0!</v>
      </c>
      <c r="HK71" s="88" t="e">
        <f t="shared" si="481"/>
        <v>#DIV/0!</v>
      </c>
      <c r="HL71" s="88" t="e">
        <f t="shared" si="482"/>
        <v>#DIV/0!</v>
      </c>
      <c r="HM71" s="88">
        <f t="shared" si="483"/>
        <v>0</v>
      </c>
      <c r="HN71" s="88" t="e">
        <f t="shared" si="709"/>
        <v>#DIV/0!</v>
      </c>
      <c r="HO71" s="88" t="e">
        <f t="shared" si="710"/>
        <v>#DIV/0!</v>
      </c>
      <c r="HP71" s="88" t="e">
        <f t="shared" si="711"/>
        <v>#DIV/0!</v>
      </c>
      <c r="HQ71" s="88" t="e">
        <f t="shared" si="712"/>
        <v>#DIV/0!</v>
      </c>
      <c r="HR71" s="88" t="e">
        <f t="shared" si="713"/>
        <v>#DIV/0!</v>
      </c>
      <c r="HS71" s="88" t="e">
        <f t="shared" si="714"/>
        <v>#DIV/0!</v>
      </c>
      <c r="HT71" s="88" t="e">
        <f t="shared" si="490"/>
        <v>#DIV/0!</v>
      </c>
      <c r="HU71" s="88" t="e">
        <f t="shared" si="491"/>
        <v>#DIV/0!</v>
      </c>
      <c r="HV71" s="106">
        <f>IF(GB71&lt;0,0,((0.5*(1-HT71)*(1+COS(RADIANS($GI$46))))+(HT71*(HC71/HD71))+(HU71*SIN(RADIANS($GI$46))))*'Irradiancia Horizontal'!L63)</f>
        <v>0</v>
      </c>
      <c r="HW71" s="88">
        <f t="shared" si="492"/>
        <v>0</v>
      </c>
      <c r="HX71" s="88">
        <f>HW71*'Irradiancia Horizontal'!L92</f>
        <v>0</v>
      </c>
      <c r="HY71" s="88">
        <f t="shared" si="615"/>
        <v>0</v>
      </c>
      <c r="HZ71" s="88">
        <f t="shared" si="493"/>
        <v>0</v>
      </c>
      <c r="IA71" s="88">
        <f t="shared" si="616"/>
        <v>0</v>
      </c>
      <c r="IB71" s="106">
        <f t="shared" si="617"/>
        <v>0</v>
      </c>
      <c r="IC71" s="106">
        <f t="shared" si="618"/>
        <v>0</v>
      </c>
      <c r="ID71" s="106">
        <f t="shared" si="619"/>
        <v>0</v>
      </c>
      <c r="IE71" s="83"/>
      <c r="IG71" s="39">
        <v>0.95833333333333304</v>
      </c>
      <c r="IH71" s="38">
        <v>-165</v>
      </c>
      <c r="II71" s="38">
        <f t="shared" si="494"/>
        <v>-73.894403228018092</v>
      </c>
      <c r="IJ71" s="38">
        <f t="shared" si="749"/>
        <v>-60.954897692664431</v>
      </c>
      <c r="IK71" s="38">
        <f t="shared" si="496"/>
        <v>163.89440322801809</v>
      </c>
      <c r="IL71" s="38">
        <f>+'Irradiancia Horizontal'!M92/COS(RADIANS(IK71))</f>
        <v>0</v>
      </c>
      <c r="IM71" s="38" t="e">
        <f>((('Irradiancia Horizontal'!M63+IL71)/'Irradiancia Horizontal'!M63)+1.041*((RADIANS('Cálculos iluminancia'!IK71))^3))/(1+1.041*((RADIANS('Cálculos iluminancia'!IK71))^3))</f>
        <v>#DIV/0!</v>
      </c>
      <c r="IN71" s="88" t="e">
        <f t="shared" si="497"/>
        <v>#NUM!</v>
      </c>
      <c r="IO71" s="88" t="e">
        <f t="shared" si="620"/>
        <v>#NUM!</v>
      </c>
      <c r="IP71" s="106" t="e">
        <f>'Irradiancia Horizontal'!M63*IO71/$IN$46</f>
        <v>#NUM!</v>
      </c>
      <c r="IQ71" s="88">
        <f>((17.27*Temp!L33)/(237.7+Temp!L33))+LN(HR!L44/100)</f>
        <v>0.70287065736516185</v>
      </c>
      <c r="IR71" s="88">
        <f t="shared" si="621"/>
        <v>10.084568774733048</v>
      </c>
      <c r="IS71" s="88">
        <f t="shared" si="622"/>
        <v>1.8793384267235349</v>
      </c>
      <c r="IT71" s="88" t="e">
        <f t="shared" si="715"/>
        <v>#DIV/0!</v>
      </c>
      <c r="IU71" s="88" t="e">
        <f t="shared" si="716"/>
        <v>#DIV/0!</v>
      </c>
      <c r="IV71" s="88" t="e">
        <f t="shared" si="717"/>
        <v>#DIV/0!</v>
      </c>
      <c r="IW71" s="88" t="e">
        <f t="shared" si="718"/>
        <v>#DIV/0!</v>
      </c>
      <c r="IX71" s="88" t="e">
        <f t="shared" si="719"/>
        <v>#DIV/0!</v>
      </c>
      <c r="IY71" s="103">
        <f t="shared" si="503"/>
        <v>0</v>
      </c>
      <c r="IZ71" s="165">
        <f>IF(JF71&gt;(IY71*'Irradiancia Horizontal'!M31),JF71,IY71*'Irradiancia Horizontal'!M31)</f>
        <v>0</v>
      </c>
      <c r="JA71" s="88" t="e">
        <f t="shared" si="720"/>
        <v>#DIV/0!</v>
      </c>
      <c r="JB71" s="88" t="e">
        <f t="shared" si="721"/>
        <v>#DIV/0!</v>
      </c>
      <c r="JC71" s="88" t="e">
        <f t="shared" si="722"/>
        <v>#DIV/0!</v>
      </c>
      <c r="JD71" s="88" t="e">
        <f t="shared" si="723"/>
        <v>#DIV/0!</v>
      </c>
      <c r="JE71" s="103">
        <f t="shared" si="508"/>
        <v>0</v>
      </c>
      <c r="JF71" s="88">
        <f>+JE71*'Irradiancia Horizontal'!M63</f>
        <v>0</v>
      </c>
      <c r="JG71" s="88">
        <f t="shared" si="623"/>
        <v>0</v>
      </c>
      <c r="JH71" s="88" t="e">
        <f>+JG71/'Irradiancia Horizontal'!M92</f>
        <v>#DIV/0!</v>
      </c>
      <c r="JI71" s="38">
        <f t="shared" si="509"/>
        <v>-0.13468126124738228</v>
      </c>
      <c r="JJ71" s="88">
        <f t="shared" si="624"/>
        <v>0</v>
      </c>
      <c r="JK71" s="88">
        <f t="shared" si="625"/>
        <v>8.6999999999999994E-2</v>
      </c>
      <c r="JL71" s="88" t="e">
        <f t="shared" si="626"/>
        <v>#DIV/0!</v>
      </c>
      <c r="JM71" s="88" t="e">
        <f t="shared" si="627"/>
        <v>#DIV/0!</v>
      </c>
      <c r="JN71" s="88" t="e">
        <f t="shared" si="628"/>
        <v>#DIV/0!</v>
      </c>
      <c r="JO71" s="88" t="e">
        <f t="shared" si="629"/>
        <v>#DIV/0!</v>
      </c>
      <c r="JP71" s="88" t="e">
        <f t="shared" si="630"/>
        <v>#DIV/0!</v>
      </c>
      <c r="JQ71" s="88" t="e">
        <f t="shared" si="631"/>
        <v>#DIV/0!</v>
      </c>
      <c r="JR71" s="88" t="e">
        <f t="shared" si="510"/>
        <v>#DIV/0!</v>
      </c>
      <c r="JS71" s="88" t="e">
        <f t="shared" si="511"/>
        <v>#DIV/0!</v>
      </c>
      <c r="JT71" s="88">
        <f t="shared" si="512"/>
        <v>0</v>
      </c>
      <c r="JU71" s="88" t="e">
        <f t="shared" si="724"/>
        <v>#DIV/0!</v>
      </c>
      <c r="JV71" s="88" t="e">
        <f t="shared" si="725"/>
        <v>#DIV/0!</v>
      </c>
      <c r="JW71" s="88" t="e">
        <f t="shared" si="726"/>
        <v>#DIV/0!</v>
      </c>
      <c r="JX71" s="88" t="e">
        <f t="shared" si="727"/>
        <v>#DIV/0!</v>
      </c>
      <c r="JY71" s="88" t="e">
        <f t="shared" si="728"/>
        <v>#DIV/0!</v>
      </c>
      <c r="JZ71" s="88" t="e">
        <f t="shared" si="729"/>
        <v>#DIV/0!</v>
      </c>
      <c r="KA71" s="88" t="e">
        <f t="shared" si="519"/>
        <v>#DIV/0!</v>
      </c>
      <c r="KB71" s="88" t="e">
        <f t="shared" si="520"/>
        <v>#DIV/0!</v>
      </c>
      <c r="KC71" s="106">
        <f>IF(II71&lt;0,0,((0.5*(1-KA71)*(1+COS(RADIANS($IP$46))))+(KA71*(JJ71/JK71))+(KB71*SIN(RADIANS($IP$46))))*'Irradiancia Horizontal'!M63)</f>
        <v>0</v>
      </c>
      <c r="KD71" s="88">
        <f t="shared" si="521"/>
        <v>0</v>
      </c>
      <c r="KE71" s="88">
        <f>KD71*'Irradiancia Horizontal'!M92</f>
        <v>0</v>
      </c>
      <c r="KF71" s="88">
        <f t="shared" si="632"/>
        <v>0</v>
      </c>
      <c r="KG71" s="88">
        <f t="shared" si="522"/>
        <v>0</v>
      </c>
      <c r="KH71" s="88">
        <f t="shared" si="633"/>
        <v>0</v>
      </c>
      <c r="KI71" s="106">
        <f t="shared" si="634"/>
        <v>0</v>
      </c>
      <c r="KJ71" s="106">
        <f t="shared" si="635"/>
        <v>0</v>
      </c>
      <c r="KK71" s="106">
        <f t="shared" si="636"/>
        <v>0</v>
      </c>
      <c r="KL71" s="40"/>
      <c r="KN71" s="39">
        <v>0.95833333333333304</v>
      </c>
      <c r="KO71" s="38">
        <v>-165</v>
      </c>
      <c r="KP71" s="38">
        <f t="shared" si="523"/>
        <v>-75.43350470599799</v>
      </c>
      <c r="KQ71" s="38">
        <f t="shared" si="750"/>
        <v>-70.750931390631095</v>
      </c>
      <c r="KR71" s="38">
        <f t="shared" si="525"/>
        <v>165.43350470599799</v>
      </c>
      <c r="KS71" s="38">
        <f>+'Irradiancia Horizontal'!N92/COS(RADIANS(KR71))</f>
        <v>0</v>
      </c>
      <c r="KT71" s="38" t="e">
        <f>((('Irradiancia Horizontal'!N63+KS71)/'Irradiancia Horizontal'!N63)+1.041*((RADIANS('Cálculos iluminancia'!KR71))^3))/(1+1.041*((RADIANS('Cálculos iluminancia'!KR71))^3))</f>
        <v>#DIV/0!</v>
      </c>
      <c r="KU71" s="88" t="e">
        <f t="shared" si="526"/>
        <v>#NUM!</v>
      </c>
      <c r="KV71" s="88" t="e">
        <f t="shared" si="637"/>
        <v>#NUM!</v>
      </c>
      <c r="KW71" s="106" t="e">
        <f>'Irradiancia Horizontal'!N63*KV71/$KU$46</f>
        <v>#NUM!</v>
      </c>
      <c r="KX71" s="88">
        <f>((17.27*Temp!M33)/(237.7+Temp!M33))+LN(HR!M44/100)</f>
        <v>0.42508387812083537</v>
      </c>
      <c r="KY71" s="88">
        <f t="shared" si="638"/>
        <v>5.9983936457886378</v>
      </c>
      <c r="KZ71" s="88">
        <f t="shared" si="639"/>
        <v>1.4118311576770359</v>
      </c>
      <c r="LA71" s="88" t="e">
        <f t="shared" si="730"/>
        <v>#DIV/0!</v>
      </c>
      <c r="LB71" s="88" t="e">
        <f t="shared" si="731"/>
        <v>#DIV/0!</v>
      </c>
      <c r="LC71" s="88" t="e">
        <f t="shared" si="732"/>
        <v>#DIV/0!</v>
      </c>
      <c r="LD71" s="88" t="e">
        <f t="shared" si="733"/>
        <v>#DIV/0!</v>
      </c>
      <c r="LE71" s="88" t="e">
        <f t="shared" si="734"/>
        <v>#DIV/0!</v>
      </c>
      <c r="LF71" s="103">
        <f t="shared" si="532"/>
        <v>0</v>
      </c>
      <c r="LG71" s="165">
        <f>IF(LM71&gt;(LF71*'Irradiancia Horizontal'!N31),LM71,LF71*'Irradiancia Horizontal'!N31)</f>
        <v>0</v>
      </c>
      <c r="LH71" s="88" t="e">
        <f t="shared" si="735"/>
        <v>#DIV/0!</v>
      </c>
      <c r="LI71" s="88" t="e">
        <f t="shared" si="736"/>
        <v>#DIV/0!</v>
      </c>
      <c r="LJ71" s="88" t="e">
        <f t="shared" si="737"/>
        <v>#DIV/0!</v>
      </c>
      <c r="LK71" s="88" t="e">
        <f t="shared" si="738"/>
        <v>#DIV/0!</v>
      </c>
      <c r="LL71" s="103">
        <f t="shared" si="537"/>
        <v>0</v>
      </c>
      <c r="LM71" s="88">
        <f>+LL71*'Irradiancia Horizontal'!N63</f>
        <v>0</v>
      </c>
      <c r="LN71" s="88">
        <f t="shared" si="640"/>
        <v>0</v>
      </c>
      <c r="LO71" s="88" t="e">
        <f>+LN71/'Irradiancia Horizontal'!N92</f>
        <v>#DIV/0!</v>
      </c>
      <c r="LP71" s="38">
        <f t="shared" si="538"/>
        <v>-8.2914468421534271E-2</v>
      </c>
      <c r="LQ71" s="88">
        <f t="shared" si="641"/>
        <v>0</v>
      </c>
      <c r="LR71" s="88">
        <f t="shared" si="642"/>
        <v>8.6999999999999994E-2</v>
      </c>
      <c r="LS71" s="88" t="e">
        <f t="shared" si="643"/>
        <v>#DIV/0!</v>
      </c>
      <c r="LT71" s="88" t="e">
        <f t="shared" si="644"/>
        <v>#DIV/0!</v>
      </c>
      <c r="LU71" s="88" t="e">
        <f t="shared" si="645"/>
        <v>#DIV/0!</v>
      </c>
      <c r="LV71" s="88" t="e">
        <f t="shared" si="646"/>
        <v>#DIV/0!</v>
      </c>
      <c r="LW71" s="88" t="e">
        <f t="shared" si="647"/>
        <v>#DIV/0!</v>
      </c>
      <c r="LX71" s="88" t="e">
        <f t="shared" si="648"/>
        <v>#DIV/0!</v>
      </c>
      <c r="LY71" s="88" t="e">
        <f t="shared" si="539"/>
        <v>#DIV/0!</v>
      </c>
      <c r="LZ71" s="88" t="e">
        <f t="shared" si="540"/>
        <v>#DIV/0!</v>
      </c>
      <c r="MA71" s="88">
        <f t="shared" si="541"/>
        <v>0</v>
      </c>
      <c r="MB71" s="88" t="e">
        <f t="shared" si="739"/>
        <v>#DIV/0!</v>
      </c>
      <c r="MC71" s="88" t="e">
        <f t="shared" si="740"/>
        <v>#DIV/0!</v>
      </c>
      <c r="MD71" s="88" t="e">
        <f t="shared" si="741"/>
        <v>#DIV/0!</v>
      </c>
      <c r="ME71" s="88" t="e">
        <f t="shared" si="742"/>
        <v>#DIV/0!</v>
      </c>
      <c r="MF71" s="88" t="e">
        <f t="shared" si="743"/>
        <v>#DIV/0!</v>
      </c>
      <c r="MG71" s="88" t="e">
        <f t="shared" si="744"/>
        <v>#DIV/0!</v>
      </c>
      <c r="MH71" s="88" t="e">
        <f t="shared" si="548"/>
        <v>#DIV/0!</v>
      </c>
      <c r="MI71" s="88" t="e">
        <f t="shared" si="549"/>
        <v>#DIV/0!</v>
      </c>
      <c r="MJ71" s="106">
        <f>IF(KP71&lt;0,0,((0.5*(1-MH71)*(1+COS(RADIANS($KW$46))))+(MH71*(LQ71/LR71))+(MI71*SIN(RADIANS($KW$46))))*'Irradiancia Horizontal'!N63)</f>
        <v>0</v>
      </c>
      <c r="MK71" s="88">
        <f t="shared" si="550"/>
        <v>0</v>
      </c>
      <c r="ML71" s="88">
        <f>MK71*'Irradiancia Horizontal'!N92</f>
        <v>0</v>
      </c>
      <c r="MM71" s="88">
        <f t="shared" si="649"/>
        <v>0</v>
      </c>
      <c r="MN71" s="88">
        <f t="shared" si="551"/>
        <v>0</v>
      </c>
      <c r="MO71" s="88">
        <f t="shared" si="650"/>
        <v>0</v>
      </c>
      <c r="MP71" s="106">
        <f t="shared" si="651"/>
        <v>0</v>
      </c>
      <c r="MQ71" s="106">
        <f t="shared" si="652"/>
        <v>0</v>
      </c>
      <c r="MR71" s="106">
        <f t="shared" si="653"/>
        <v>0</v>
      </c>
    </row>
    <row r="72" spans="1:356" x14ac:dyDescent="0.25">
      <c r="E72" s="39">
        <v>1</v>
      </c>
      <c r="F72" s="38">
        <v>-180</v>
      </c>
      <c r="G72" s="38">
        <f t="shared" si="378"/>
        <v>-40.478486826266412</v>
      </c>
      <c r="H72" s="38">
        <f>IF(H46&lt;20,180,0)</f>
        <v>0</v>
      </c>
      <c r="I72" s="38">
        <f t="shared" si="380"/>
        <v>130.47848682626642</v>
      </c>
      <c r="J72" s="38">
        <f>+'Irradiancia Horizontal'!I93/COS(RADIANS(I72))</f>
        <v>0</v>
      </c>
      <c r="K72" s="38" t="e">
        <f>((('Irradiancia Horizontal'!I64+J72)/'Irradiancia Horizontal'!I64)+1.041*((RADIANS('Cálculos iluminancia'!I72))^3))/(1+1.041*((RADIANS('Cálculos iluminancia'!I72))^3))</f>
        <v>#DIV/0!</v>
      </c>
      <c r="L72" s="87" t="e">
        <f t="shared" si="381"/>
        <v>#NUM!</v>
      </c>
      <c r="M72" s="87" t="e">
        <f t="shared" si="654"/>
        <v>#NUM!</v>
      </c>
      <c r="N72" s="106" t="e">
        <f>'Irradiancia Horizontal'!I64*M72/$L$46</f>
        <v>#NUM!</v>
      </c>
      <c r="O72" s="87">
        <f>((17.27*Temp!H10)/(237.7+Temp!H10))+LN(HR!H21/100)</f>
        <v>1.290297310372631</v>
      </c>
      <c r="P72" s="87">
        <f t="shared" si="553"/>
        <v>19.193327725343707</v>
      </c>
      <c r="Q72" s="87">
        <f t="shared" si="554"/>
        <v>3.5556324108236983</v>
      </c>
      <c r="R72" s="87" t="e">
        <f t="shared" si="655"/>
        <v>#DIV/0!</v>
      </c>
      <c r="S72" s="87" t="e">
        <f t="shared" si="656"/>
        <v>#DIV/0!</v>
      </c>
      <c r="T72" s="87" t="e">
        <f t="shared" si="657"/>
        <v>#DIV/0!</v>
      </c>
      <c r="U72" s="87" t="e">
        <f t="shared" si="658"/>
        <v>#DIV/0!</v>
      </c>
      <c r="V72" s="87" t="e">
        <f t="shared" si="659"/>
        <v>#DIV/0!</v>
      </c>
      <c r="W72" s="103">
        <f t="shared" si="387"/>
        <v>0</v>
      </c>
      <c r="X72" s="165">
        <f>IF(AD72&gt;(W72*'Irradiancia Horizontal'!I32),AD72,W72*'Irradiancia Horizontal'!I32)</f>
        <v>0</v>
      </c>
      <c r="Y72" s="87" t="e">
        <f t="shared" si="660"/>
        <v>#DIV/0!</v>
      </c>
      <c r="Z72" s="87" t="e">
        <f t="shared" si="661"/>
        <v>#DIV/0!</v>
      </c>
      <c r="AA72" s="87" t="e">
        <f t="shared" si="662"/>
        <v>#DIV/0!</v>
      </c>
      <c r="AB72" s="87" t="e">
        <f t="shared" si="663"/>
        <v>#DIV/0!</v>
      </c>
      <c r="AC72" s="103">
        <f t="shared" si="392"/>
        <v>0</v>
      </c>
      <c r="AD72" s="87">
        <f>+AC72*'Irradiancia Horizontal'!I64</f>
        <v>0</v>
      </c>
      <c r="AE72" s="87">
        <f t="shared" si="393"/>
        <v>0</v>
      </c>
      <c r="AF72" s="87" t="e">
        <f>+AE72/'Irradiancia Horizontal'!I93</f>
        <v>#DIV/0!</v>
      </c>
      <c r="AG72" s="38">
        <f t="shared" si="555"/>
        <v>-0.76064976396230588</v>
      </c>
      <c r="AH72" s="87">
        <f t="shared" si="556"/>
        <v>0</v>
      </c>
      <c r="AI72" s="87">
        <f t="shared" si="557"/>
        <v>8.6999999999999994E-2</v>
      </c>
      <c r="AJ72" s="87" t="e">
        <f t="shared" si="558"/>
        <v>#DIV/0!</v>
      </c>
      <c r="AK72" s="87" t="e">
        <f t="shared" si="559"/>
        <v>#DIV/0!</v>
      </c>
      <c r="AL72" s="87" t="e">
        <f t="shared" si="560"/>
        <v>#DIV/0!</v>
      </c>
      <c r="AM72" s="87" t="e">
        <f t="shared" si="561"/>
        <v>#DIV/0!</v>
      </c>
      <c r="AN72" s="87" t="e">
        <f t="shared" si="562"/>
        <v>#DIV/0!</v>
      </c>
      <c r="AO72" s="87" t="e">
        <f t="shared" si="563"/>
        <v>#DIV/0!</v>
      </c>
      <c r="AP72" s="87" t="e">
        <f t="shared" si="394"/>
        <v>#DIV/0!</v>
      </c>
      <c r="AQ72" s="87" t="e">
        <f t="shared" si="395"/>
        <v>#DIV/0!</v>
      </c>
      <c r="AR72" s="88">
        <f t="shared" si="396"/>
        <v>0</v>
      </c>
      <c r="AS72" s="87" t="e">
        <f t="shared" si="664"/>
        <v>#DIV/0!</v>
      </c>
      <c r="AT72" s="87" t="e">
        <f t="shared" si="665"/>
        <v>#DIV/0!</v>
      </c>
      <c r="AU72" s="87" t="e">
        <f t="shared" si="666"/>
        <v>#DIV/0!</v>
      </c>
      <c r="AV72" s="87" t="e">
        <f t="shared" si="667"/>
        <v>#DIV/0!</v>
      </c>
      <c r="AW72" s="87" t="e">
        <f t="shared" si="668"/>
        <v>#DIV/0!</v>
      </c>
      <c r="AX72" s="87" t="e">
        <f t="shared" si="669"/>
        <v>#DIV/0!</v>
      </c>
      <c r="AY72" s="87" t="e">
        <f t="shared" si="403"/>
        <v>#DIV/0!</v>
      </c>
      <c r="AZ72" s="87" t="e">
        <f t="shared" si="404"/>
        <v>#DIV/0!</v>
      </c>
      <c r="BA72" s="106">
        <f>IF(G72&lt;0,0,((0.5*(1-AY72)*(1+COS(RADIANS($N$46))))+(AY72*(AH72/AI72))+(AZ72*SIN(RADIANS($N$46))))*'Irradiancia Horizontal'!I64)</f>
        <v>0</v>
      </c>
      <c r="BB72" s="87">
        <f t="shared" si="405"/>
        <v>0</v>
      </c>
      <c r="BC72" s="87">
        <f>BB72*'Irradiancia Horizontal'!I93</f>
        <v>0</v>
      </c>
      <c r="BD72" s="87">
        <f t="shared" si="564"/>
        <v>0</v>
      </c>
      <c r="BE72" s="88">
        <f t="shared" si="406"/>
        <v>0</v>
      </c>
      <c r="BF72" s="87">
        <f t="shared" si="565"/>
        <v>0</v>
      </c>
      <c r="BG72" s="106">
        <f t="shared" si="566"/>
        <v>0</v>
      </c>
      <c r="BH72" s="106">
        <f t="shared" si="567"/>
        <v>0</v>
      </c>
      <c r="BI72" s="106">
        <f t="shared" si="568"/>
        <v>0</v>
      </c>
      <c r="BJ72" s="44"/>
      <c r="BK72" s="13"/>
      <c r="BL72" s="39">
        <v>1</v>
      </c>
      <c r="BM72" s="38">
        <v>-180</v>
      </c>
      <c r="BN72" s="38">
        <f t="shared" si="407"/>
        <v>-49.165879474696567</v>
      </c>
      <c r="BO72" s="38">
        <f>+IF(BO46&gt;=0,0,180)</f>
        <v>0</v>
      </c>
      <c r="BP72" s="38">
        <f t="shared" si="409"/>
        <v>139.16587947469657</v>
      </c>
      <c r="BQ72" s="38">
        <f>+'Irradiancia Horizontal'!J93/COS(RADIANS(BP72))</f>
        <v>0</v>
      </c>
      <c r="BR72" s="38" t="e">
        <f>((('Irradiancia Horizontal'!J64+BQ72)/'Irradiancia Horizontal'!J64)+1.041*((RADIANS('Cálculos iluminancia'!BP72))^3))/(1+1.041*((RADIANS('Cálculos iluminancia'!BP72))^3))</f>
        <v>#DIV/0!</v>
      </c>
      <c r="BS72" s="87" t="e">
        <f t="shared" si="410"/>
        <v>#NUM!</v>
      </c>
      <c r="BT72" s="87" t="e">
        <f t="shared" si="569"/>
        <v>#NUM!</v>
      </c>
      <c r="BU72" s="106" t="e">
        <f>'Irradiancia Horizontal'!J64*BT72/$BS$46</f>
        <v>#NUM!</v>
      </c>
      <c r="BV72" s="87">
        <f>((17.27*Temp!I10)/(237.7+Temp!I10))+LN(HR!I21/100)</f>
        <v>1.4531917667066394</v>
      </c>
      <c r="BW72" s="87">
        <f t="shared" si="570"/>
        <v>21.839025791504106</v>
      </c>
      <c r="BX72" s="87">
        <f t="shared" si="571"/>
        <v>4.2790533507788187</v>
      </c>
      <c r="BY72" s="87" t="e">
        <f t="shared" si="670"/>
        <v>#DIV/0!</v>
      </c>
      <c r="BZ72" s="87" t="e">
        <f t="shared" si="671"/>
        <v>#DIV/0!</v>
      </c>
      <c r="CA72" s="87" t="e">
        <f t="shared" si="672"/>
        <v>#DIV/0!</v>
      </c>
      <c r="CB72" s="87" t="e">
        <f t="shared" si="673"/>
        <v>#DIV/0!</v>
      </c>
      <c r="CC72" s="87" t="e">
        <f t="shared" si="674"/>
        <v>#DIV/0!</v>
      </c>
      <c r="CD72" s="103">
        <f t="shared" si="416"/>
        <v>0</v>
      </c>
      <c r="CE72" s="165">
        <f>IF(CK72&gt;(CD72*'Irradiancia Horizontal'!J32),CK72,CD72*'Irradiancia Horizontal'!J32)</f>
        <v>0</v>
      </c>
      <c r="CF72" s="87" t="e">
        <f t="shared" si="675"/>
        <v>#DIV/0!</v>
      </c>
      <c r="CG72" s="87" t="e">
        <f t="shared" si="676"/>
        <v>#DIV/0!</v>
      </c>
      <c r="CH72" s="87" t="e">
        <f t="shared" si="677"/>
        <v>#DIV/0!</v>
      </c>
      <c r="CI72" s="87" t="e">
        <f t="shared" si="678"/>
        <v>#DIV/0!</v>
      </c>
      <c r="CJ72" s="103">
        <f t="shared" si="421"/>
        <v>0</v>
      </c>
      <c r="CK72" s="87">
        <f>+CJ72*'Irradiancia Horizontal'!J64</f>
        <v>0</v>
      </c>
      <c r="CL72" s="87">
        <f t="shared" si="572"/>
        <v>0</v>
      </c>
      <c r="CM72" s="87" t="e">
        <f>+CL72/'Irradiancia Horizontal'!J93</f>
        <v>#DIV/0!</v>
      </c>
      <c r="CN72" s="38">
        <f t="shared" si="422"/>
        <v>-0.65387129039525826</v>
      </c>
      <c r="CO72" s="87">
        <f t="shared" si="573"/>
        <v>0</v>
      </c>
      <c r="CP72" s="87">
        <f t="shared" si="574"/>
        <v>8.6999999999999994E-2</v>
      </c>
      <c r="CQ72" s="87" t="e">
        <f t="shared" si="575"/>
        <v>#DIV/0!</v>
      </c>
      <c r="CR72" s="87" t="e">
        <f t="shared" si="576"/>
        <v>#DIV/0!</v>
      </c>
      <c r="CS72" s="87" t="e">
        <f t="shared" si="577"/>
        <v>#DIV/0!</v>
      </c>
      <c r="CT72" s="87" t="e">
        <f t="shared" si="578"/>
        <v>#DIV/0!</v>
      </c>
      <c r="CU72" s="87" t="e">
        <f t="shared" si="579"/>
        <v>#DIV/0!</v>
      </c>
      <c r="CV72" s="87" t="e">
        <f t="shared" si="580"/>
        <v>#DIV/0!</v>
      </c>
      <c r="CW72" s="87" t="e">
        <f t="shared" si="423"/>
        <v>#DIV/0!</v>
      </c>
      <c r="CX72" s="87" t="e">
        <f t="shared" si="424"/>
        <v>#DIV/0!</v>
      </c>
      <c r="CY72" s="88">
        <f t="shared" si="425"/>
        <v>0</v>
      </c>
      <c r="CZ72" s="87" t="e">
        <f t="shared" si="679"/>
        <v>#DIV/0!</v>
      </c>
      <c r="DA72" s="87" t="e">
        <f t="shared" si="680"/>
        <v>#DIV/0!</v>
      </c>
      <c r="DB72" s="87" t="e">
        <f t="shared" si="681"/>
        <v>#DIV/0!</v>
      </c>
      <c r="DC72" s="87" t="e">
        <f t="shared" si="682"/>
        <v>#DIV/0!</v>
      </c>
      <c r="DD72" s="87" t="e">
        <f t="shared" si="683"/>
        <v>#DIV/0!</v>
      </c>
      <c r="DE72" s="87" t="e">
        <f t="shared" si="684"/>
        <v>#DIV/0!</v>
      </c>
      <c r="DF72" s="87" t="e">
        <f t="shared" si="432"/>
        <v>#DIV/0!</v>
      </c>
      <c r="DG72" s="87" t="e">
        <f t="shared" si="433"/>
        <v>#DIV/0!</v>
      </c>
      <c r="DH72" s="106">
        <f>IF(BN72&lt;0,0,((0.5*(1-DF72)*(1+COS(RADIANS($BU$46))))+(DF72*(CO72/CP72))+(DG72*SIN(RADIANS($BU$46))))*'Irradiancia Horizontal'!J64)</f>
        <v>0</v>
      </c>
      <c r="DI72" s="87">
        <f t="shared" si="434"/>
        <v>0</v>
      </c>
      <c r="DJ72" s="87">
        <f>DI72*'Irradiancia Horizontal'!J93</f>
        <v>0</v>
      </c>
      <c r="DK72" s="87">
        <f t="shared" si="581"/>
        <v>0</v>
      </c>
      <c r="DL72" s="88">
        <f t="shared" si="435"/>
        <v>0</v>
      </c>
      <c r="DM72" s="87">
        <f t="shared" si="582"/>
        <v>0</v>
      </c>
      <c r="DN72" s="106">
        <f t="shared" si="583"/>
        <v>0</v>
      </c>
      <c r="DO72" s="106">
        <f t="shared" si="584"/>
        <v>0</v>
      </c>
      <c r="DP72" s="106">
        <f t="shared" si="585"/>
        <v>0</v>
      </c>
      <c r="DQ72" s="44"/>
      <c r="DS72" s="39">
        <v>1</v>
      </c>
      <c r="DT72" s="38">
        <v>-180</v>
      </c>
      <c r="DU72" s="38">
        <f t="shared" si="436"/>
        <v>-61.121834077039729</v>
      </c>
      <c r="DV72" s="38">
        <f t="shared" si="747"/>
        <v>0</v>
      </c>
      <c r="DW72" s="38">
        <f t="shared" si="438"/>
        <v>151.12183407703972</v>
      </c>
      <c r="DX72" s="38">
        <f>+'Irradiancia Horizontal'!K93/COS(RADIANS(DW72))</f>
        <v>0</v>
      </c>
      <c r="DY72" s="38" t="e">
        <f>((('Irradiancia Horizontal'!K64+DX72)/'Irradiancia Horizontal'!K64)+1.041*((RADIANS('Cálculos iluminancia'!DW72))^3))/(1+1.041*((RADIANS('Cálculos iluminancia'!DW72))^3))</f>
        <v>#DIV/0!</v>
      </c>
      <c r="DZ72" s="87" t="e">
        <f t="shared" si="439"/>
        <v>#NUM!</v>
      </c>
      <c r="EA72" s="87" t="e">
        <f t="shared" si="586"/>
        <v>#NUM!</v>
      </c>
      <c r="EB72" s="106" t="e">
        <f>'Irradiancia Horizontal'!K64*EA72/$DZ$46</f>
        <v>#NUM!</v>
      </c>
      <c r="EC72" s="87">
        <f>((17.27*Temp!J10)/(237.7+Temp!J10))+LN(HR!J21/100)</f>
        <v>1.3264523449609953</v>
      </c>
      <c r="ED72" s="87">
        <f t="shared" si="587"/>
        <v>19.775882333037575</v>
      </c>
      <c r="EE72" s="87">
        <f t="shared" si="588"/>
        <v>3.7036238650415245</v>
      </c>
      <c r="EF72" s="87" t="e">
        <f t="shared" si="685"/>
        <v>#DIV/0!</v>
      </c>
      <c r="EG72" s="87" t="e">
        <f t="shared" si="686"/>
        <v>#DIV/0!</v>
      </c>
      <c r="EH72" s="87" t="e">
        <f t="shared" si="687"/>
        <v>#DIV/0!</v>
      </c>
      <c r="EI72" s="87" t="e">
        <f t="shared" si="688"/>
        <v>#DIV/0!</v>
      </c>
      <c r="EJ72" s="87" t="e">
        <f t="shared" si="689"/>
        <v>#DIV/0!</v>
      </c>
      <c r="EK72" s="103">
        <f t="shared" si="445"/>
        <v>0</v>
      </c>
      <c r="EL72" s="165">
        <f>IF(ER72&gt;(EK72*'Irradiancia Horizontal'!K32),ER72,EK72*'Irradiancia Horizontal'!K32)</f>
        <v>0</v>
      </c>
      <c r="EM72" s="87" t="e">
        <f t="shared" si="690"/>
        <v>#DIV/0!</v>
      </c>
      <c r="EN72" s="87" t="e">
        <f t="shared" si="691"/>
        <v>#DIV/0!</v>
      </c>
      <c r="EO72" s="87" t="e">
        <f t="shared" si="692"/>
        <v>#DIV/0!</v>
      </c>
      <c r="EP72" s="87" t="e">
        <f t="shared" si="693"/>
        <v>#DIV/0!</v>
      </c>
      <c r="EQ72" s="103">
        <f t="shared" si="450"/>
        <v>0</v>
      </c>
      <c r="ER72" s="87">
        <f>+EQ72*'Irradiancia Horizontal'!K64</f>
        <v>0</v>
      </c>
      <c r="ES72" s="87">
        <f t="shared" si="589"/>
        <v>0</v>
      </c>
      <c r="ET72" s="87" t="e">
        <f>+ES72/'Irradiancia Horizontal'!K93</f>
        <v>#DIV/0!</v>
      </c>
      <c r="EU72" s="38">
        <f t="shared" si="451"/>
        <v>-0.48294872918497528</v>
      </c>
      <c r="EV72" s="87">
        <f t="shared" si="590"/>
        <v>0</v>
      </c>
      <c r="EW72" s="87">
        <f t="shared" si="591"/>
        <v>8.6999999999999994E-2</v>
      </c>
      <c r="EX72" s="87" t="e">
        <f t="shared" si="592"/>
        <v>#DIV/0!</v>
      </c>
      <c r="EY72" s="87" t="e">
        <f t="shared" si="593"/>
        <v>#DIV/0!</v>
      </c>
      <c r="EZ72" s="87" t="e">
        <f t="shared" si="594"/>
        <v>#DIV/0!</v>
      </c>
      <c r="FA72" s="87" t="e">
        <f t="shared" si="595"/>
        <v>#DIV/0!</v>
      </c>
      <c r="FB72" s="87" t="e">
        <f t="shared" si="596"/>
        <v>#DIV/0!</v>
      </c>
      <c r="FC72" s="87" t="e">
        <f t="shared" si="597"/>
        <v>#DIV/0!</v>
      </c>
      <c r="FD72" s="87" t="e">
        <f t="shared" si="452"/>
        <v>#DIV/0!</v>
      </c>
      <c r="FE72" s="87" t="e">
        <f t="shared" si="453"/>
        <v>#DIV/0!</v>
      </c>
      <c r="FF72" s="88">
        <f t="shared" si="454"/>
        <v>0</v>
      </c>
      <c r="FG72" s="87" t="e">
        <f t="shared" si="694"/>
        <v>#DIV/0!</v>
      </c>
      <c r="FH72" s="87" t="e">
        <f t="shared" si="695"/>
        <v>#DIV/0!</v>
      </c>
      <c r="FI72" s="87" t="e">
        <f t="shared" si="696"/>
        <v>#DIV/0!</v>
      </c>
      <c r="FJ72" s="87" t="e">
        <f t="shared" si="697"/>
        <v>#DIV/0!</v>
      </c>
      <c r="FK72" s="87" t="e">
        <f t="shared" si="698"/>
        <v>#DIV/0!</v>
      </c>
      <c r="FL72" s="87" t="e">
        <f t="shared" si="699"/>
        <v>#DIV/0!</v>
      </c>
      <c r="FM72" s="87" t="e">
        <f t="shared" si="461"/>
        <v>#DIV/0!</v>
      </c>
      <c r="FN72" s="87" t="e">
        <f t="shared" si="462"/>
        <v>#DIV/0!</v>
      </c>
      <c r="FO72" s="106">
        <f>IF(DU72&lt;0,0,((0.5*(1-FM72)*(1+COS(RADIANS($EB$46))))+(FM72*(EV72/EW72))+(FN72*SIN(RADIANS($EB$46))))*'Irradiancia Horizontal'!K64)</f>
        <v>0</v>
      </c>
      <c r="FP72" s="87">
        <f t="shared" si="463"/>
        <v>0</v>
      </c>
      <c r="FQ72" s="87">
        <f>FP72*'Irradiancia Horizontal'!K93</f>
        <v>0</v>
      </c>
      <c r="FR72" s="87">
        <f t="shared" si="598"/>
        <v>0</v>
      </c>
      <c r="FS72" s="88">
        <f t="shared" si="464"/>
        <v>0</v>
      </c>
      <c r="FT72" s="87">
        <f t="shared" si="599"/>
        <v>0</v>
      </c>
      <c r="FU72" s="106">
        <f t="shared" si="600"/>
        <v>0</v>
      </c>
      <c r="FV72" s="106">
        <f t="shared" si="601"/>
        <v>0</v>
      </c>
      <c r="FW72" s="106">
        <f t="shared" si="602"/>
        <v>0</v>
      </c>
      <c r="FX72" s="83"/>
      <c r="FZ72" s="39">
        <v>1</v>
      </c>
      <c r="GA72" s="38">
        <v>-180</v>
      </c>
      <c r="GB72" s="38">
        <f t="shared" si="465"/>
        <v>-72.674120525303422</v>
      </c>
      <c r="GC72" s="38">
        <f>+IF(GC46&gt;=-11,0,180)</f>
        <v>0</v>
      </c>
      <c r="GD72" s="38">
        <f t="shared" si="467"/>
        <v>162.67412052530341</v>
      </c>
      <c r="GE72" s="38">
        <f>+'Irradiancia Horizontal'!L93/COS(RADIANS(GD72))</f>
        <v>0</v>
      </c>
      <c r="GF72" s="38" t="e">
        <f>((('Irradiancia Horizontal'!L64+GE72)/'Irradiancia Horizontal'!L64)+1.041*((RADIANS('Cálculos iluminancia'!GD72))^3))/(1+1.041*((RADIANS('Cálculos iluminancia'!GD72))^3))</f>
        <v>#DIV/0!</v>
      </c>
      <c r="GG72" s="88" t="e">
        <f t="shared" si="468"/>
        <v>#NUM!</v>
      </c>
      <c r="GH72" s="88" t="e">
        <f t="shared" si="603"/>
        <v>#NUM!</v>
      </c>
      <c r="GI72" s="106" t="e">
        <f>'Irradiancia Horizontal'!L64*GH72/$GG$46</f>
        <v>#NUM!</v>
      </c>
      <c r="GJ72" s="88">
        <f>((17.27*Temp!K10)/(237.7+Temp!K10))+LN(HR!K21/100)</f>
        <v>0.97612161782211371</v>
      </c>
      <c r="GK72" s="88">
        <f t="shared" si="604"/>
        <v>14.239955835812701</v>
      </c>
      <c r="GL72" s="88">
        <f t="shared" si="605"/>
        <v>2.5138034087108103</v>
      </c>
      <c r="GM72" s="88" t="e">
        <f t="shared" si="700"/>
        <v>#DIV/0!</v>
      </c>
      <c r="GN72" s="88" t="e">
        <f t="shared" si="701"/>
        <v>#DIV/0!</v>
      </c>
      <c r="GO72" s="88" t="e">
        <f t="shared" si="702"/>
        <v>#DIV/0!</v>
      </c>
      <c r="GP72" s="88" t="e">
        <f t="shared" si="703"/>
        <v>#DIV/0!</v>
      </c>
      <c r="GQ72" s="88" t="e">
        <f t="shared" si="704"/>
        <v>#DIV/0!</v>
      </c>
      <c r="GR72" s="103">
        <f t="shared" si="474"/>
        <v>0</v>
      </c>
      <c r="GS72" s="165">
        <f>IF(GY72&gt;(GR72*'Irradiancia Horizontal'!L32),GY72,GR72*'Irradiancia Horizontal'!L32)</f>
        <v>0</v>
      </c>
      <c r="GT72" s="88" t="e">
        <f t="shared" si="705"/>
        <v>#DIV/0!</v>
      </c>
      <c r="GU72" s="88" t="e">
        <f t="shared" si="706"/>
        <v>#DIV/0!</v>
      </c>
      <c r="GV72" s="88" t="e">
        <f t="shared" si="707"/>
        <v>#DIV/0!</v>
      </c>
      <c r="GW72" s="88" t="e">
        <f t="shared" si="708"/>
        <v>#DIV/0!</v>
      </c>
      <c r="GX72" s="103">
        <f t="shared" si="479"/>
        <v>0</v>
      </c>
      <c r="GY72" s="88">
        <f>+GX72*'Irradiancia Horizontal'!L64</f>
        <v>0</v>
      </c>
      <c r="GZ72" s="88">
        <f t="shared" si="606"/>
        <v>0</v>
      </c>
      <c r="HA72" s="88" t="e">
        <f>+GZ72/'Irradiancia Horizontal'!L93</f>
        <v>#DIV/0!</v>
      </c>
      <c r="HB72" s="38">
        <f t="shared" si="480"/>
        <v>-0.29780609203608394</v>
      </c>
      <c r="HC72" s="88">
        <f t="shared" si="607"/>
        <v>0</v>
      </c>
      <c r="HD72" s="88">
        <f t="shared" si="608"/>
        <v>8.6999999999999994E-2</v>
      </c>
      <c r="HE72" s="88" t="e">
        <f t="shared" si="609"/>
        <v>#DIV/0!</v>
      </c>
      <c r="HF72" s="88" t="e">
        <f t="shared" si="610"/>
        <v>#DIV/0!</v>
      </c>
      <c r="HG72" s="88" t="e">
        <f t="shared" si="611"/>
        <v>#DIV/0!</v>
      </c>
      <c r="HH72" s="88" t="e">
        <f t="shared" si="612"/>
        <v>#DIV/0!</v>
      </c>
      <c r="HI72" s="88" t="e">
        <f t="shared" si="613"/>
        <v>#DIV/0!</v>
      </c>
      <c r="HJ72" s="88" t="e">
        <f t="shared" si="614"/>
        <v>#DIV/0!</v>
      </c>
      <c r="HK72" s="88" t="e">
        <f t="shared" si="481"/>
        <v>#DIV/0!</v>
      </c>
      <c r="HL72" s="88" t="e">
        <f t="shared" si="482"/>
        <v>#DIV/0!</v>
      </c>
      <c r="HM72" s="88">
        <f t="shared" si="483"/>
        <v>0</v>
      </c>
      <c r="HN72" s="88" t="e">
        <f t="shared" si="709"/>
        <v>#DIV/0!</v>
      </c>
      <c r="HO72" s="88" t="e">
        <f t="shared" si="710"/>
        <v>#DIV/0!</v>
      </c>
      <c r="HP72" s="88" t="e">
        <f t="shared" si="711"/>
        <v>#DIV/0!</v>
      </c>
      <c r="HQ72" s="88" t="e">
        <f t="shared" si="712"/>
        <v>#DIV/0!</v>
      </c>
      <c r="HR72" s="88" t="e">
        <f t="shared" si="713"/>
        <v>#DIV/0!</v>
      </c>
      <c r="HS72" s="88" t="e">
        <f t="shared" si="714"/>
        <v>#DIV/0!</v>
      </c>
      <c r="HT72" s="88" t="e">
        <f t="shared" si="490"/>
        <v>#DIV/0!</v>
      </c>
      <c r="HU72" s="88" t="e">
        <f t="shared" si="491"/>
        <v>#DIV/0!</v>
      </c>
      <c r="HV72" s="106">
        <f>IF(GB72&lt;0,0,((0.5*(1-HT72)*(1+COS(RADIANS($GI$46))))+(HT72*(HC72/HD72))+(HU72*SIN(RADIANS($GI$46))))*'Irradiancia Horizontal'!L64)</f>
        <v>0</v>
      </c>
      <c r="HW72" s="88">
        <f t="shared" si="492"/>
        <v>0</v>
      </c>
      <c r="HX72" s="88">
        <f>HW72*'Irradiancia Horizontal'!L93</f>
        <v>0</v>
      </c>
      <c r="HY72" s="88">
        <f t="shared" si="615"/>
        <v>0</v>
      </c>
      <c r="HZ72" s="88">
        <f t="shared" si="493"/>
        <v>0</v>
      </c>
      <c r="IA72" s="88">
        <f t="shared" si="616"/>
        <v>0</v>
      </c>
      <c r="IB72" s="106">
        <f t="shared" si="617"/>
        <v>0</v>
      </c>
      <c r="IC72" s="106">
        <f t="shared" si="618"/>
        <v>0</v>
      </c>
      <c r="ID72" s="106">
        <f t="shared" si="619"/>
        <v>0</v>
      </c>
      <c r="IE72" s="83"/>
      <c r="IG72" s="39">
        <v>1</v>
      </c>
      <c r="IH72" s="38">
        <v>-180</v>
      </c>
      <c r="II72" s="38">
        <f t="shared" si="494"/>
        <v>-81.361513173733599</v>
      </c>
      <c r="IJ72" s="38">
        <f>+IF(IJ46&gt;=-19,0,180)</f>
        <v>0</v>
      </c>
      <c r="IK72" s="38">
        <f t="shared" si="496"/>
        <v>171.36151317373361</v>
      </c>
      <c r="IL72" s="38">
        <f>+'Irradiancia Horizontal'!M93/COS(RADIANS(IK72))</f>
        <v>0</v>
      </c>
      <c r="IM72" s="38" t="e">
        <f>((('Irradiancia Horizontal'!M64+IL72)/'Irradiancia Horizontal'!M64)+1.041*((RADIANS('Cálculos iluminancia'!IK72))^3))/(1+1.041*((RADIANS('Cálculos iluminancia'!IK72))^3))</f>
        <v>#DIV/0!</v>
      </c>
      <c r="IN72" s="88" t="e">
        <f t="shared" si="497"/>
        <v>#NUM!</v>
      </c>
      <c r="IO72" s="88" t="e">
        <f t="shared" si="620"/>
        <v>#NUM!</v>
      </c>
      <c r="IP72" s="106" t="e">
        <f>'Irradiancia Horizontal'!M64*IO72/$IN$46</f>
        <v>#NUM!</v>
      </c>
      <c r="IQ72" s="88">
        <f>((17.27*Temp!L10)/(237.7+Temp!L10))+LN(HR!L21/100)</f>
        <v>0.68116307605557269</v>
      </c>
      <c r="IR72" s="88">
        <f t="shared" si="621"/>
        <v>9.760326412317923</v>
      </c>
      <c r="IS72" s="88">
        <f t="shared" si="622"/>
        <v>1.8371635785925877</v>
      </c>
      <c r="IT72" s="88" t="e">
        <f t="shared" si="715"/>
        <v>#DIV/0!</v>
      </c>
      <c r="IU72" s="88" t="e">
        <f t="shared" si="716"/>
        <v>#DIV/0!</v>
      </c>
      <c r="IV72" s="88" t="e">
        <f t="shared" si="717"/>
        <v>#DIV/0!</v>
      </c>
      <c r="IW72" s="88" t="e">
        <f t="shared" si="718"/>
        <v>#DIV/0!</v>
      </c>
      <c r="IX72" s="88" t="e">
        <f t="shared" si="719"/>
        <v>#DIV/0!</v>
      </c>
      <c r="IY72" s="103">
        <f t="shared" si="503"/>
        <v>0</v>
      </c>
      <c r="IZ72" s="165">
        <f>IF(JF72&gt;(IY72*'Irradiancia Horizontal'!M32),JF72,IY72*'Irradiancia Horizontal'!M32)</f>
        <v>0</v>
      </c>
      <c r="JA72" s="88" t="e">
        <f t="shared" si="720"/>
        <v>#DIV/0!</v>
      </c>
      <c r="JB72" s="88" t="e">
        <f t="shared" si="721"/>
        <v>#DIV/0!</v>
      </c>
      <c r="JC72" s="88" t="e">
        <f t="shared" si="722"/>
        <v>#DIV/0!</v>
      </c>
      <c r="JD72" s="88" t="e">
        <f t="shared" si="723"/>
        <v>#DIV/0!</v>
      </c>
      <c r="JE72" s="103">
        <f t="shared" si="508"/>
        <v>0</v>
      </c>
      <c r="JF72" s="88">
        <f>+JE72*'Irradiancia Horizontal'!M64</f>
        <v>0</v>
      </c>
      <c r="JG72" s="88">
        <f t="shared" si="623"/>
        <v>0</v>
      </c>
      <c r="JH72" s="88" t="e">
        <f>+JG72/'Irradiancia Horizontal'!M93</f>
        <v>#DIV/0!</v>
      </c>
      <c r="JI72" s="38">
        <f t="shared" si="509"/>
        <v>-0.15019947891044061</v>
      </c>
      <c r="JJ72" s="88">
        <f t="shared" si="624"/>
        <v>0</v>
      </c>
      <c r="JK72" s="88">
        <f t="shared" si="625"/>
        <v>8.6999999999999994E-2</v>
      </c>
      <c r="JL72" s="88" t="e">
        <f t="shared" si="626"/>
        <v>#DIV/0!</v>
      </c>
      <c r="JM72" s="88" t="e">
        <f t="shared" si="627"/>
        <v>#DIV/0!</v>
      </c>
      <c r="JN72" s="88" t="e">
        <f t="shared" si="628"/>
        <v>#DIV/0!</v>
      </c>
      <c r="JO72" s="88" t="e">
        <f t="shared" si="629"/>
        <v>#DIV/0!</v>
      </c>
      <c r="JP72" s="88" t="e">
        <f t="shared" si="630"/>
        <v>#DIV/0!</v>
      </c>
      <c r="JQ72" s="88" t="e">
        <f t="shared" si="631"/>
        <v>#DIV/0!</v>
      </c>
      <c r="JR72" s="88" t="e">
        <f t="shared" si="510"/>
        <v>#DIV/0!</v>
      </c>
      <c r="JS72" s="88" t="e">
        <f t="shared" si="511"/>
        <v>#DIV/0!</v>
      </c>
      <c r="JT72" s="88">
        <f t="shared" si="512"/>
        <v>0</v>
      </c>
      <c r="JU72" s="88" t="e">
        <f t="shared" si="724"/>
        <v>#DIV/0!</v>
      </c>
      <c r="JV72" s="88" t="e">
        <f t="shared" si="725"/>
        <v>#DIV/0!</v>
      </c>
      <c r="JW72" s="88" t="e">
        <f t="shared" si="726"/>
        <v>#DIV/0!</v>
      </c>
      <c r="JX72" s="88" t="e">
        <f t="shared" si="727"/>
        <v>#DIV/0!</v>
      </c>
      <c r="JY72" s="88" t="e">
        <f t="shared" si="728"/>
        <v>#DIV/0!</v>
      </c>
      <c r="JZ72" s="88" t="e">
        <f t="shared" si="729"/>
        <v>#DIV/0!</v>
      </c>
      <c r="KA72" s="88" t="e">
        <f t="shared" si="519"/>
        <v>#DIV/0!</v>
      </c>
      <c r="KB72" s="88" t="e">
        <f t="shared" si="520"/>
        <v>#DIV/0!</v>
      </c>
      <c r="KC72" s="106">
        <f>IF(II72&lt;0,0,((0.5*(1-KA72)*(1+COS(RADIANS($IP$46))))+(KA72*(JJ72/JK72))+(KB72*SIN(RADIANS($IP$46))))*'Irradiancia Horizontal'!M64)</f>
        <v>0</v>
      </c>
      <c r="KD72" s="88">
        <f t="shared" si="521"/>
        <v>0</v>
      </c>
      <c r="KE72" s="88">
        <f>KD72*'Irradiancia Horizontal'!M93</f>
        <v>0</v>
      </c>
      <c r="KF72" s="88">
        <f t="shared" si="632"/>
        <v>0</v>
      </c>
      <c r="KG72" s="88">
        <f t="shared" si="522"/>
        <v>0</v>
      </c>
      <c r="KH72" s="88">
        <f t="shared" si="633"/>
        <v>0</v>
      </c>
      <c r="KI72" s="106">
        <f t="shared" si="634"/>
        <v>0</v>
      </c>
      <c r="KJ72" s="106">
        <f t="shared" si="635"/>
        <v>0</v>
      </c>
      <c r="KK72" s="106">
        <f t="shared" si="636"/>
        <v>0</v>
      </c>
      <c r="KL72" s="40"/>
      <c r="KN72" s="39">
        <v>1</v>
      </c>
      <c r="KO72" s="38">
        <v>-180</v>
      </c>
      <c r="KP72" s="38">
        <f t="shared" si="523"/>
        <v>-84.369782846813692</v>
      </c>
      <c r="KQ72" s="38">
        <f>+IF(KQ46&gt;=-23,0,180)</f>
        <v>0</v>
      </c>
      <c r="KR72" s="38">
        <f t="shared" si="525"/>
        <v>174.36978284681368</v>
      </c>
      <c r="KS72" s="38">
        <f>+'Irradiancia Horizontal'!N93/COS(RADIANS(KR72))</f>
        <v>0</v>
      </c>
      <c r="KT72" s="38" t="e">
        <f>((('Irradiancia Horizontal'!N64+KS72)/'Irradiancia Horizontal'!N64)+1.041*((RADIANS('Cálculos iluminancia'!KR72))^3))/(1+1.041*((RADIANS('Cálculos iluminancia'!KR72))^3))</f>
        <v>#DIV/0!</v>
      </c>
      <c r="KU72" s="88" t="e">
        <f t="shared" si="526"/>
        <v>#NUM!</v>
      </c>
      <c r="KV72" s="88" t="e">
        <f t="shared" si="637"/>
        <v>#NUM!</v>
      </c>
      <c r="KW72" s="106" t="e">
        <f>'Irradiancia Horizontal'!N64*KV72/$KU$46</f>
        <v>#NUM!</v>
      </c>
      <c r="KX72" s="88">
        <f>((17.27*Temp!M10)/(237.7+Temp!M10))+LN(HR!M21/100)</f>
        <v>0.40603411678560297</v>
      </c>
      <c r="KY72" s="88">
        <f t="shared" si="638"/>
        <v>5.7231086820451678</v>
      </c>
      <c r="KZ72" s="88">
        <f t="shared" si="639"/>
        <v>1.3848856980406896</v>
      </c>
      <c r="LA72" s="88" t="e">
        <f t="shared" si="730"/>
        <v>#DIV/0!</v>
      </c>
      <c r="LB72" s="88" t="e">
        <f t="shared" si="731"/>
        <v>#DIV/0!</v>
      </c>
      <c r="LC72" s="88" t="e">
        <f t="shared" si="732"/>
        <v>#DIV/0!</v>
      </c>
      <c r="LD72" s="88" t="e">
        <f t="shared" si="733"/>
        <v>#DIV/0!</v>
      </c>
      <c r="LE72" s="88" t="e">
        <f t="shared" si="734"/>
        <v>#DIV/0!</v>
      </c>
      <c r="LF72" s="103">
        <f t="shared" si="532"/>
        <v>0</v>
      </c>
      <c r="LG72" s="165">
        <f>IF(LM72&gt;(LF72*'Irradiancia Horizontal'!N32),LM72,LF72*'Irradiancia Horizontal'!N32)</f>
        <v>0</v>
      </c>
      <c r="LH72" s="88" t="e">
        <f t="shared" si="735"/>
        <v>#DIV/0!</v>
      </c>
      <c r="LI72" s="88" t="e">
        <f t="shared" si="736"/>
        <v>#DIV/0!</v>
      </c>
      <c r="LJ72" s="88" t="e">
        <f t="shared" si="737"/>
        <v>#DIV/0!</v>
      </c>
      <c r="LK72" s="88" t="e">
        <f t="shared" si="738"/>
        <v>#DIV/0!</v>
      </c>
      <c r="LL72" s="103">
        <f t="shared" si="537"/>
        <v>0</v>
      </c>
      <c r="LM72" s="88">
        <f>+LL72*'Irradiancia Horizontal'!N64</f>
        <v>0</v>
      </c>
      <c r="LN72" s="88">
        <f t="shared" si="640"/>
        <v>0</v>
      </c>
      <c r="LO72" s="88" t="e">
        <f>+LN72/'Irradiancia Horizontal'!N93</f>
        <v>#DIV/0!</v>
      </c>
      <c r="LP72" s="38">
        <f t="shared" si="538"/>
        <v>-9.8107757961834852E-2</v>
      </c>
      <c r="LQ72" s="88">
        <f t="shared" si="641"/>
        <v>0</v>
      </c>
      <c r="LR72" s="88">
        <f t="shared" si="642"/>
        <v>8.6999999999999994E-2</v>
      </c>
      <c r="LS72" s="88" t="e">
        <f t="shared" si="643"/>
        <v>#DIV/0!</v>
      </c>
      <c r="LT72" s="88" t="e">
        <f t="shared" si="644"/>
        <v>#DIV/0!</v>
      </c>
      <c r="LU72" s="88" t="e">
        <f t="shared" si="645"/>
        <v>#DIV/0!</v>
      </c>
      <c r="LV72" s="88" t="e">
        <f t="shared" si="646"/>
        <v>#DIV/0!</v>
      </c>
      <c r="LW72" s="88" t="e">
        <f t="shared" si="647"/>
        <v>#DIV/0!</v>
      </c>
      <c r="LX72" s="88" t="e">
        <f t="shared" si="648"/>
        <v>#DIV/0!</v>
      </c>
      <c r="LY72" s="88" t="e">
        <f t="shared" si="539"/>
        <v>#DIV/0!</v>
      </c>
      <c r="LZ72" s="88" t="e">
        <f t="shared" si="540"/>
        <v>#DIV/0!</v>
      </c>
      <c r="MA72" s="88">
        <f t="shared" si="541"/>
        <v>0</v>
      </c>
      <c r="MB72" s="88" t="e">
        <f t="shared" si="739"/>
        <v>#DIV/0!</v>
      </c>
      <c r="MC72" s="88" t="e">
        <f t="shared" si="740"/>
        <v>#DIV/0!</v>
      </c>
      <c r="MD72" s="88" t="e">
        <f t="shared" si="741"/>
        <v>#DIV/0!</v>
      </c>
      <c r="ME72" s="88" t="e">
        <f t="shared" si="742"/>
        <v>#DIV/0!</v>
      </c>
      <c r="MF72" s="88" t="e">
        <f t="shared" si="743"/>
        <v>#DIV/0!</v>
      </c>
      <c r="MG72" s="88" t="e">
        <f t="shared" si="744"/>
        <v>#DIV/0!</v>
      </c>
      <c r="MH72" s="88" t="e">
        <f t="shared" si="548"/>
        <v>#DIV/0!</v>
      </c>
      <c r="MI72" s="88" t="e">
        <f t="shared" si="549"/>
        <v>#DIV/0!</v>
      </c>
      <c r="MJ72" s="106">
        <f>IF(KP72&lt;0,0,((0.5*(1-MH72)*(1+COS(RADIANS($KW$46))))+(MH72*(LQ72/LR72))+(MI72*SIN(RADIANS($KW$46))))*'Irradiancia Horizontal'!N64)</f>
        <v>0</v>
      </c>
      <c r="MK72" s="88">
        <f t="shared" si="550"/>
        <v>0</v>
      </c>
      <c r="ML72" s="88">
        <f>MK72*'Irradiancia Horizontal'!N93</f>
        <v>0</v>
      </c>
      <c r="MM72" s="88">
        <f t="shared" si="649"/>
        <v>0</v>
      </c>
      <c r="MN72" s="88">
        <f t="shared" si="551"/>
        <v>0</v>
      </c>
      <c r="MO72" s="88">
        <f t="shared" si="650"/>
        <v>0</v>
      </c>
      <c r="MP72" s="106">
        <f t="shared" si="651"/>
        <v>0</v>
      </c>
      <c r="MQ72" s="106">
        <f t="shared" si="652"/>
        <v>0</v>
      </c>
      <c r="MR72" s="106">
        <f t="shared" si="653"/>
        <v>0</v>
      </c>
    </row>
    <row r="75" spans="1:356" x14ac:dyDescent="0.25">
      <c r="A75" t="s">
        <v>53</v>
      </c>
      <c r="B75" t="s">
        <v>57</v>
      </c>
      <c r="C75" t="s">
        <v>58</v>
      </c>
      <c r="D75" t="s">
        <v>59</v>
      </c>
      <c r="E75" t="s">
        <v>60</v>
      </c>
      <c r="F75" t="s">
        <v>61</v>
      </c>
      <c r="G75" t="s">
        <v>62</v>
      </c>
      <c r="H75" t="s">
        <v>63</v>
      </c>
      <c r="I75" t="s">
        <v>64</v>
      </c>
      <c r="J75" t="s">
        <v>65</v>
      </c>
      <c r="K75" t="s">
        <v>66</v>
      </c>
      <c r="L75" t="s">
        <v>67</v>
      </c>
    </row>
    <row r="76" spans="1:356" x14ac:dyDescent="0.25">
      <c r="A76">
        <v>1</v>
      </c>
      <c r="B76">
        <v>2</v>
      </c>
      <c r="C76">
        <v>3</v>
      </c>
      <c r="D76">
        <v>4</v>
      </c>
      <c r="E76">
        <v>5</v>
      </c>
      <c r="F76">
        <v>6</v>
      </c>
      <c r="G76">
        <v>7</v>
      </c>
      <c r="H76">
        <v>8</v>
      </c>
      <c r="I76">
        <v>9</v>
      </c>
      <c r="J76">
        <v>10</v>
      </c>
      <c r="K76">
        <v>11</v>
      </c>
      <c r="L76">
        <v>12</v>
      </c>
    </row>
    <row r="77" spans="1:356" x14ac:dyDescent="0.25">
      <c r="A77">
        <v>31</v>
      </c>
      <c r="B77">
        <v>28</v>
      </c>
      <c r="C77">
        <v>31</v>
      </c>
      <c r="D77">
        <v>30</v>
      </c>
      <c r="E77">
        <v>31</v>
      </c>
      <c r="F77">
        <v>30</v>
      </c>
      <c r="G77">
        <v>31</v>
      </c>
      <c r="H77">
        <v>31</v>
      </c>
      <c r="I77">
        <v>30</v>
      </c>
      <c r="J77">
        <v>31</v>
      </c>
      <c r="K77">
        <v>30</v>
      </c>
      <c r="L77">
        <v>31</v>
      </c>
      <c r="M77">
        <f>SUM(A77:L77)</f>
        <v>365</v>
      </c>
    </row>
    <row r="79" spans="1:356" x14ac:dyDescent="0.25">
      <c r="G79" s="315" t="s">
        <v>139</v>
      </c>
      <c r="H79" s="315"/>
      <c r="I79" s="315"/>
      <c r="J79" s="315"/>
      <c r="K79" s="315"/>
      <c r="M79" s="315" t="s">
        <v>140</v>
      </c>
      <c r="N79" s="315"/>
      <c r="O79" s="315"/>
      <c r="P79" s="315"/>
      <c r="Q79" s="315"/>
      <c r="R79" s="70"/>
      <c r="S79" s="315" t="s">
        <v>141</v>
      </c>
      <c r="T79" s="315"/>
      <c r="U79" s="315"/>
      <c r="V79" s="315"/>
      <c r="W79" s="315"/>
      <c r="X79" s="315"/>
      <c r="Y79" s="315"/>
      <c r="AA79" s="315" t="s">
        <v>142</v>
      </c>
      <c r="AB79" s="315"/>
      <c r="AC79" s="315"/>
      <c r="AD79" s="315"/>
      <c r="AE79" s="315"/>
      <c r="AF79" s="315"/>
      <c r="AG79" s="315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</row>
    <row r="80" spans="1:356" ht="18" x14ac:dyDescent="0.4">
      <c r="B80" s="77" t="s">
        <v>143</v>
      </c>
      <c r="C80" s="77" t="s">
        <v>144</v>
      </c>
      <c r="D80" s="71" t="s">
        <v>148</v>
      </c>
      <c r="E80" s="71" t="s">
        <v>149</v>
      </c>
      <c r="G80" s="77" t="s">
        <v>143</v>
      </c>
      <c r="H80" s="38"/>
      <c r="I80" s="38"/>
      <c r="J80" s="38"/>
      <c r="K80" s="38"/>
      <c r="M80" s="77" t="s">
        <v>143</v>
      </c>
      <c r="N80" s="38"/>
      <c r="O80" s="38"/>
      <c r="P80" s="38"/>
      <c r="Q80" s="38"/>
      <c r="R80" s="13"/>
      <c r="S80" s="77" t="s">
        <v>143</v>
      </c>
      <c r="T80" s="38"/>
      <c r="U80" s="38"/>
      <c r="V80" s="38"/>
      <c r="W80" s="38"/>
      <c r="X80" s="38"/>
      <c r="Y80" s="38"/>
      <c r="AA80" s="77" t="s">
        <v>143</v>
      </c>
      <c r="AB80" s="38"/>
      <c r="AC80" s="38"/>
      <c r="AD80" s="38"/>
      <c r="AE80" s="38"/>
      <c r="AF80" s="38"/>
      <c r="AG80" s="38"/>
      <c r="AH80" s="82"/>
      <c r="AI80" s="82"/>
      <c r="AJ80" s="82"/>
      <c r="AK80" s="82"/>
      <c r="AL80" s="82"/>
      <c r="AM80" s="82"/>
      <c r="AN80" s="82"/>
      <c r="AO80" s="82"/>
      <c r="AP80" s="82"/>
      <c r="AQ80" s="82"/>
      <c r="AR80" s="82"/>
      <c r="AS80" s="82"/>
      <c r="AT80" s="82"/>
      <c r="AU80" s="82"/>
      <c r="AV80" s="82"/>
      <c r="AW80" s="82"/>
      <c r="AX80" s="82"/>
      <c r="AY80" s="82"/>
      <c r="AZ80" s="82"/>
      <c r="BA80" s="82"/>
      <c r="BB80" s="82"/>
      <c r="BC80" s="82"/>
      <c r="BD80" s="82"/>
      <c r="BE80" s="82"/>
      <c r="BF80" s="82"/>
      <c r="BG80" s="82"/>
      <c r="BH80" s="82"/>
      <c r="BI80" s="82"/>
    </row>
    <row r="81" spans="2:61" x14ac:dyDescent="0.25">
      <c r="B81" s="71">
        <v>1</v>
      </c>
      <c r="C81" s="71" t="s">
        <v>145</v>
      </c>
      <c r="D81" s="78">
        <v>1</v>
      </c>
      <c r="E81" s="78">
        <f t="shared" ref="E81:E86" si="751">+D82</f>
        <v>1.0649999999999999</v>
      </c>
      <c r="G81" s="71">
        <v>1</v>
      </c>
      <c r="H81" s="79">
        <v>96.63</v>
      </c>
      <c r="I81" s="79">
        <v>-0.47</v>
      </c>
      <c r="J81" s="79">
        <v>11.5</v>
      </c>
      <c r="K81" s="79">
        <v>-9.16</v>
      </c>
      <c r="M81" s="71">
        <v>1</v>
      </c>
      <c r="N81" s="79">
        <v>97.24</v>
      </c>
      <c r="O81" s="79">
        <v>-0.46</v>
      </c>
      <c r="P81" s="79">
        <v>12</v>
      </c>
      <c r="Q81" s="79">
        <v>-8.91</v>
      </c>
      <c r="R81" s="81"/>
      <c r="S81" s="71">
        <v>1</v>
      </c>
      <c r="T81" s="78">
        <v>1.0999999999999999E-2</v>
      </c>
      <c r="U81" s="78">
        <v>0.56999999999999995</v>
      </c>
      <c r="V81" s="78">
        <v>-8.1000000000000003E-2</v>
      </c>
      <c r="W81" s="78">
        <v>-9.5000000000000001E-2</v>
      </c>
      <c r="X81" s="78">
        <v>0.158</v>
      </c>
      <c r="Y81" s="78">
        <v>-1.7999999999999999E-2</v>
      </c>
      <c r="AA81" s="84">
        <v>1</v>
      </c>
      <c r="AB81" s="78">
        <v>-8.0000000000000002E-3</v>
      </c>
      <c r="AC81" s="78">
        <v>0.58799999999999997</v>
      </c>
      <c r="AD81" s="78">
        <v>-6.2E-2</v>
      </c>
      <c r="AE81" s="78">
        <v>-0.06</v>
      </c>
      <c r="AF81" s="78">
        <v>7.1999999999999995E-2</v>
      </c>
      <c r="AG81" s="78">
        <v>-2.1999999999999999E-2</v>
      </c>
      <c r="AH81" s="74"/>
      <c r="AI81" s="74"/>
      <c r="AJ81" s="83"/>
      <c r="AK81" s="83"/>
      <c r="AL81" s="83"/>
      <c r="AM81" s="83"/>
      <c r="AN81" s="83"/>
      <c r="AO81" s="83"/>
      <c r="AP81" s="83"/>
      <c r="AQ81" s="74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74"/>
      <c r="BF81" s="83"/>
      <c r="BG81" s="105"/>
      <c r="BH81" s="105"/>
      <c r="BI81" s="105"/>
    </row>
    <row r="82" spans="2:61" x14ac:dyDescent="0.25">
      <c r="B82" s="71">
        <v>2</v>
      </c>
      <c r="C82" s="71"/>
      <c r="D82" s="78">
        <v>1.0649999999999999</v>
      </c>
      <c r="E82" s="78">
        <f t="shared" si="751"/>
        <v>1.23</v>
      </c>
      <c r="G82" s="71">
        <v>2</v>
      </c>
      <c r="H82" s="79">
        <v>107.54</v>
      </c>
      <c r="I82" s="79">
        <v>0.79</v>
      </c>
      <c r="J82" s="79">
        <v>1.79</v>
      </c>
      <c r="K82" s="79">
        <v>-1.19</v>
      </c>
      <c r="M82" s="71">
        <v>2</v>
      </c>
      <c r="N82" s="79">
        <v>107.22</v>
      </c>
      <c r="O82" s="79">
        <v>1.1499999999999999</v>
      </c>
      <c r="P82" s="79">
        <v>0.59</v>
      </c>
      <c r="Q82" s="79">
        <v>-3.95</v>
      </c>
      <c r="R82" s="81"/>
      <c r="S82" s="71">
        <v>2</v>
      </c>
      <c r="T82" s="78">
        <v>0.42899999999999999</v>
      </c>
      <c r="U82" s="78">
        <v>0.36299999999999999</v>
      </c>
      <c r="V82" s="78">
        <v>-0.307</v>
      </c>
      <c r="W82" s="78">
        <v>0.05</v>
      </c>
      <c r="X82" s="78">
        <v>8.0000000000000002E-3</v>
      </c>
      <c r="Y82" s="78">
        <v>-6.5000000000000002E-2</v>
      </c>
      <c r="AA82" s="84">
        <v>2</v>
      </c>
      <c r="AB82" s="78">
        <v>0.13</v>
      </c>
      <c r="AC82" s="78">
        <v>0.68300000000000005</v>
      </c>
      <c r="AD82" s="78">
        <v>-0.151</v>
      </c>
      <c r="AE82" s="78">
        <v>-1.9E-2</v>
      </c>
      <c r="AF82" s="78">
        <v>6.6000000000000003E-2</v>
      </c>
      <c r="AG82" s="78">
        <v>-2.9000000000000001E-2</v>
      </c>
      <c r="AH82" s="74"/>
      <c r="AI82" s="74"/>
      <c r="AJ82" s="83"/>
      <c r="AK82" s="83"/>
      <c r="AL82" s="83"/>
      <c r="AM82" s="83"/>
      <c r="AN82" s="83"/>
      <c r="AO82" s="83"/>
      <c r="AP82" s="83"/>
      <c r="AQ82" s="74"/>
      <c r="AR82" s="83"/>
      <c r="AS82" s="83"/>
      <c r="AT82" s="83"/>
      <c r="AU82" s="83"/>
      <c r="AV82" s="83"/>
      <c r="AW82" s="83"/>
      <c r="AX82" s="83"/>
      <c r="AY82" s="83"/>
      <c r="AZ82" s="83"/>
      <c r="BA82" s="83"/>
      <c r="BB82" s="83"/>
      <c r="BC82" s="83"/>
      <c r="BD82" s="83"/>
      <c r="BE82" s="74"/>
      <c r="BF82" s="83"/>
      <c r="BG82" s="105"/>
      <c r="BH82" s="105"/>
      <c r="BI82" s="105"/>
    </row>
    <row r="83" spans="2:61" x14ac:dyDescent="0.25">
      <c r="B83" s="71">
        <v>3</v>
      </c>
      <c r="C83" s="71"/>
      <c r="D83" s="78">
        <v>1.23</v>
      </c>
      <c r="E83" s="78">
        <f t="shared" si="751"/>
        <v>1.5</v>
      </c>
      <c r="G83" s="71">
        <v>3</v>
      </c>
      <c r="H83" s="79">
        <v>98.73</v>
      </c>
      <c r="I83" s="79">
        <v>0.7</v>
      </c>
      <c r="J83" s="79">
        <v>4.4000000000000004</v>
      </c>
      <c r="K83" s="79">
        <v>-6.95</v>
      </c>
      <c r="M83" s="71">
        <v>3</v>
      </c>
      <c r="N83" s="79">
        <v>104.97</v>
      </c>
      <c r="O83" s="79">
        <v>2.96</v>
      </c>
      <c r="P83" s="79">
        <v>-5.53</v>
      </c>
      <c r="Q83" s="79">
        <v>-8.77</v>
      </c>
      <c r="R83" s="81"/>
      <c r="S83" s="71">
        <v>3</v>
      </c>
      <c r="T83" s="78">
        <v>0.80900000000000005</v>
      </c>
      <c r="U83" s="78">
        <v>-5.3999999999999999E-2</v>
      </c>
      <c r="V83" s="78">
        <v>-0.442</v>
      </c>
      <c r="W83" s="78">
        <v>0.18099999999999999</v>
      </c>
      <c r="X83" s="78">
        <v>-0.16900000000000001</v>
      </c>
      <c r="Y83" s="78">
        <v>-9.1999999999999998E-2</v>
      </c>
      <c r="AA83" s="84">
        <v>3</v>
      </c>
      <c r="AB83" s="78">
        <v>0.33</v>
      </c>
      <c r="AC83" s="78">
        <v>0.48699999999999999</v>
      </c>
      <c r="AD83" s="78">
        <v>-0.221</v>
      </c>
      <c r="AE83" s="78">
        <v>5.5E-2</v>
      </c>
      <c r="AF83" s="78">
        <v>-6.4000000000000001E-2</v>
      </c>
      <c r="AG83" s="78">
        <v>-2.5999999999999999E-2</v>
      </c>
      <c r="AH83" s="74"/>
      <c r="AI83" s="74"/>
      <c r="AJ83" s="83"/>
      <c r="AK83" s="83"/>
      <c r="AL83" s="83"/>
      <c r="AM83" s="83"/>
      <c r="AN83" s="83"/>
      <c r="AO83" s="83"/>
      <c r="AP83" s="83"/>
      <c r="AQ83" s="74"/>
      <c r="AR83" s="83"/>
      <c r="AS83" s="83"/>
      <c r="AT83" s="83"/>
      <c r="AU83" s="83"/>
      <c r="AV83" s="83"/>
      <c r="AW83" s="83"/>
      <c r="AX83" s="83"/>
      <c r="AY83" s="83"/>
      <c r="AZ83" s="83"/>
      <c r="BA83" s="83"/>
      <c r="BB83" s="83"/>
      <c r="BC83" s="83"/>
      <c r="BD83" s="83"/>
      <c r="BE83" s="74"/>
      <c r="BF83" s="83"/>
      <c r="BG83" s="105"/>
      <c r="BH83" s="105"/>
      <c r="BI83" s="105"/>
    </row>
    <row r="84" spans="2:61" x14ac:dyDescent="0.25">
      <c r="B84" s="71">
        <v>4</v>
      </c>
      <c r="C84" s="71"/>
      <c r="D84" s="78">
        <v>1.5</v>
      </c>
      <c r="E84" s="78">
        <f t="shared" si="751"/>
        <v>1.95</v>
      </c>
      <c r="G84" s="71">
        <v>4</v>
      </c>
      <c r="H84" s="79">
        <v>92.72</v>
      </c>
      <c r="I84" s="79">
        <v>0.56000000000000005</v>
      </c>
      <c r="J84" s="79">
        <v>8.36</v>
      </c>
      <c r="K84" s="79">
        <v>-8.31</v>
      </c>
      <c r="M84" s="71">
        <v>4</v>
      </c>
      <c r="N84" s="79">
        <v>102.39</v>
      </c>
      <c r="O84" s="79">
        <v>5.59</v>
      </c>
      <c r="P84" s="79">
        <v>-13.95</v>
      </c>
      <c r="Q84" s="79">
        <v>-13.9</v>
      </c>
      <c r="R84" s="81"/>
      <c r="S84" s="71">
        <v>4</v>
      </c>
      <c r="T84" s="78">
        <v>1.014</v>
      </c>
      <c r="U84" s="78">
        <v>-0.252</v>
      </c>
      <c r="V84" s="78">
        <v>-0.53100000000000003</v>
      </c>
      <c r="W84" s="78">
        <v>0.27500000000000002</v>
      </c>
      <c r="X84" s="78">
        <v>-0.35</v>
      </c>
      <c r="Y84" s="78">
        <v>-9.6000000000000002E-2</v>
      </c>
      <c r="AA84" s="84">
        <v>4</v>
      </c>
      <c r="AB84" s="78">
        <v>0.56799999999999995</v>
      </c>
      <c r="AC84" s="78">
        <v>0.187</v>
      </c>
      <c r="AD84" s="78">
        <v>-0.29499999999999998</v>
      </c>
      <c r="AE84" s="78">
        <v>0.109</v>
      </c>
      <c r="AF84" s="78">
        <v>-0.152</v>
      </c>
      <c r="AG84" s="78">
        <v>-1.4E-2</v>
      </c>
      <c r="AH84" s="74"/>
      <c r="AI84" s="74"/>
      <c r="AJ84" s="83"/>
      <c r="AK84" s="83"/>
      <c r="AL84" s="83"/>
      <c r="AM84" s="83"/>
      <c r="AN84" s="83"/>
      <c r="AO84" s="83"/>
      <c r="AP84" s="83"/>
      <c r="AQ84" s="74"/>
      <c r="AR84" s="83"/>
      <c r="AS84" s="83"/>
      <c r="AT84" s="83"/>
      <c r="AU84" s="83"/>
      <c r="AV84" s="83"/>
      <c r="AW84" s="83"/>
      <c r="AX84" s="83"/>
      <c r="AY84" s="83"/>
      <c r="AZ84" s="83"/>
      <c r="BA84" s="83"/>
      <c r="BB84" s="83"/>
      <c r="BC84" s="83"/>
      <c r="BD84" s="83"/>
      <c r="BE84" s="74"/>
      <c r="BF84" s="83"/>
      <c r="BG84" s="105"/>
      <c r="BH84" s="105"/>
      <c r="BI84" s="105"/>
    </row>
    <row r="85" spans="2:61" x14ac:dyDescent="0.25">
      <c r="B85" s="71">
        <v>5</v>
      </c>
      <c r="C85" s="71"/>
      <c r="D85" s="78">
        <v>1.95</v>
      </c>
      <c r="E85" s="78">
        <f t="shared" si="751"/>
        <v>2.8</v>
      </c>
      <c r="G85" s="71">
        <v>5</v>
      </c>
      <c r="H85" s="79">
        <v>86.73</v>
      </c>
      <c r="I85" s="79">
        <v>0.98</v>
      </c>
      <c r="J85" s="79">
        <v>7.1</v>
      </c>
      <c r="K85" s="79">
        <v>-10.94</v>
      </c>
      <c r="M85" s="71">
        <v>5</v>
      </c>
      <c r="N85" s="79">
        <v>100.71</v>
      </c>
      <c r="O85" s="79">
        <v>5.94</v>
      </c>
      <c r="P85" s="79">
        <v>-22.75</v>
      </c>
      <c r="Q85" s="79">
        <v>-23.74</v>
      </c>
      <c r="R85" s="81"/>
      <c r="S85" s="71">
        <v>5</v>
      </c>
      <c r="T85" s="78">
        <v>1.282</v>
      </c>
      <c r="U85" s="78">
        <v>-0.42</v>
      </c>
      <c r="V85" s="78">
        <v>-0.68899999999999995</v>
      </c>
      <c r="W85" s="78">
        <v>0.38</v>
      </c>
      <c r="X85" s="78">
        <v>-0.55900000000000005</v>
      </c>
      <c r="Y85" s="78">
        <v>-0.114</v>
      </c>
      <c r="AA85" s="84">
        <v>5</v>
      </c>
      <c r="AB85" s="78">
        <v>0.873</v>
      </c>
      <c r="AC85" s="78">
        <v>-0.39200000000000002</v>
      </c>
      <c r="AD85" s="78">
        <v>-0.36199999999999999</v>
      </c>
      <c r="AE85" s="78">
        <v>0.22600000000000001</v>
      </c>
      <c r="AF85" s="78">
        <v>-0.46200000000000002</v>
      </c>
      <c r="AG85" s="78">
        <v>1E-3</v>
      </c>
      <c r="AH85" s="74"/>
      <c r="AI85" s="74"/>
      <c r="AJ85" s="83"/>
      <c r="AK85" s="83"/>
      <c r="AL85" s="83"/>
      <c r="AM85" s="83"/>
      <c r="AN85" s="83"/>
      <c r="AO85" s="83"/>
      <c r="AP85" s="83"/>
      <c r="AQ85" s="74"/>
      <c r="AR85" s="83"/>
      <c r="AS85" s="83"/>
      <c r="AT85" s="83"/>
      <c r="AU85" s="83"/>
      <c r="AV85" s="83"/>
      <c r="AW85" s="83"/>
      <c r="AX85" s="83"/>
      <c r="AY85" s="83"/>
      <c r="AZ85" s="83"/>
      <c r="BA85" s="83"/>
      <c r="BB85" s="83"/>
      <c r="BC85" s="83"/>
      <c r="BD85" s="83"/>
      <c r="BE85" s="74"/>
      <c r="BF85" s="83"/>
      <c r="BG85" s="105"/>
      <c r="BH85" s="105"/>
      <c r="BI85" s="105"/>
    </row>
    <row r="86" spans="2:61" x14ac:dyDescent="0.25">
      <c r="B86" s="71">
        <v>6</v>
      </c>
      <c r="C86" s="71"/>
      <c r="D86" s="78">
        <v>2.8</v>
      </c>
      <c r="E86" s="78">
        <f t="shared" si="751"/>
        <v>4.5</v>
      </c>
      <c r="G86" s="71">
        <v>6</v>
      </c>
      <c r="H86" s="79">
        <v>88.34</v>
      </c>
      <c r="I86" s="79">
        <v>1.39</v>
      </c>
      <c r="J86" s="79">
        <v>6.06</v>
      </c>
      <c r="K86" s="79">
        <v>-7.6</v>
      </c>
      <c r="M86" s="71">
        <v>6</v>
      </c>
      <c r="N86" s="79">
        <v>106.42</v>
      </c>
      <c r="O86" s="79">
        <v>3.83</v>
      </c>
      <c r="P86" s="79">
        <v>-36.15</v>
      </c>
      <c r="Q86" s="79">
        <v>-28.83</v>
      </c>
      <c r="R86" s="81"/>
      <c r="S86" s="71">
        <v>6</v>
      </c>
      <c r="T86" s="78">
        <v>1.4259999999999999</v>
      </c>
      <c r="U86" s="78">
        <v>-0.65300000000000002</v>
      </c>
      <c r="V86" s="78">
        <v>-0.77900000000000003</v>
      </c>
      <c r="W86" s="78">
        <v>0.42499999999999999</v>
      </c>
      <c r="X86" s="78">
        <v>-0.78500000000000003</v>
      </c>
      <c r="Y86" s="78">
        <v>-9.7000000000000003E-2</v>
      </c>
      <c r="AA86" s="84">
        <v>6</v>
      </c>
      <c r="AB86" s="78">
        <v>1.1319999999999999</v>
      </c>
      <c r="AC86" s="78">
        <v>-1.2370000000000001</v>
      </c>
      <c r="AD86" s="78">
        <v>-0.41199999999999998</v>
      </c>
      <c r="AE86" s="78">
        <v>0.28799999999999998</v>
      </c>
      <c r="AF86" s="78">
        <v>-0.82299999999999995</v>
      </c>
      <c r="AG86" s="78">
        <v>5.6000000000000001E-2</v>
      </c>
      <c r="AH86" s="74"/>
      <c r="AI86" s="74"/>
      <c r="AJ86" s="83"/>
      <c r="AK86" s="83"/>
      <c r="AL86" s="83"/>
      <c r="AM86" s="83"/>
      <c r="AN86" s="83"/>
      <c r="AO86" s="83"/>
      <c r="AP86" s="83"/>
      <c r="AQ86" s="74"/>
      <c r="AR86" s="83"/>
      <c r="AS86" s="83"/>
      <c r="AT86" s="83"/>
      <c r="AU86" s="83"/>
      <c r="AV86" s="83"/>
      <c r="AW86" s="83"/>
      <c r="AX86" s="83"/>
      <c r="AY86" s="83"/>
      <c r="AZ86" s="83"/>
      <c r="BA86" s="83"/>
      <c r="BB86" s="83"/>
      <c r="BC86" s="83"/>
      <c r="BD86" s="83"/>
      <c r="BE86" s="74"/>
      <c r="BF86" s="83"/>
      <c r="BG86" s="105"/>
      <c r="BH86" s="105"/>
      <c r="BI86" s="105"/>
    </row>
    <row r="87" spans="2:61" x14ac:dyDescent="0.25">
      <c r="B87" s="71">
        <v>7</v>
      </c>
      <c r="C87" s="71"/>
      <c r="D87" s="78">
        <v>4.5</v>
      </c>
      <c r="E87" s="78">
        <f>+D88</f>
        <v>6.2</v>
      </c>
      <c r="G87" s="71">
        <v>7</v>
      </c>
      <c r="H87" s="79">
        <v>78.63</v>
      </c>
      <c r="I87" s="79">
        <v>1.47</v>
      </c>
      <c r="J87" s="79">
        <v>4.93</v>
      </c>
      <c r="K87" s="79">
        <v>-11.37</v>
      </c>
      <c r="M87" s="71">
        <v>7</v>
      </c>
      <c r="N87" s="79">
        <v>141.88</v>
      </c>
      <c r="O87" s="79">
        <v>1.9</v>
      </c>
      <c r="P87" s="79">
        <v>-53.24</v>
      </c>
      <c r="Q87" s="79">
        <v>-14.03</v>
      </c>
      <c r="R87" s="81"/>
      <c r="S87" s="71">
        <v>7</v>
      </c>
      <c r="T87" s="78">
        <v>1.4850000000000001</v>
      </c>
      <c r="U87" s="78">
        <v>-1.214</v>
      </c>
      <c r="V87" s="78">
        <v>-0.78400000000000003</v>
      </c>
      <c r="W87" s="78">
        <v>0.41099999999999998</v>
      </c>
      <c r="X87" s="78">
        <v>-0.629</v>
      </c>
      <c r="Y87" s="78">
        <v>-8.2000000000000003E-2</v>
      </c>
      <c r="AA87" s="84">
        <v>7</v>
      </c>
      <c r="AB87" s="78">
        <v>1.06</v>
      </c>
      <c r="AC87" s="78">
        <v>-1.6</v>
      </c>
      <c r="AD87" s="78">
        <v>-0.35899999999999999</v>
      </c>
      <c r="AE87" s="78">
        <v>0.26400000000000001</v>
      </c>
      <c r="AF87" s="78">
        <v>-1.127</v>
      </c>
      <c r="AG87" s="78">
        <v>0.13100000000000001</v>
      </c>
      <c r="AH87" s="74"/>
      <c r="AI87" s="74"/>
      <c r="AJ87" s="83"/>
      <c r="AK87" s="83"/>
      <c r="AL87" s="83"/>
      <c r="AM87" s="83"/>
      <c r="AN87" s="83"/>
      <c r="AO87" s="83"/>
      <c r="AP87" s="83"/>
      <c r="AQ87" s="74"/>
      <c r="AR87" s="83"/>
      <c r="AS87" s="83"/>
      <c r="AT87" s="83"/>
      <c r="AU87" s="83"/>
      <c r="AV87" s="83"/>
      <c r="AW87" s="83"/>
      <c r="AX87" s="83"/>
      <c r="AY87" s="83"/>
      <c r="AZ87" s="83"/>
      <c r="BA87" s="83"/>
      <c r="BB87" s="83"/>
      <c r="BC87" s="83"/>
      <c r="BD87" s="83"/>
      <c r="BE87" s="74"/>
      <c r="BF87" s="83"/>
      <c r="BG87" s="105"/>
      <c r="BH87" s="105"/>
      <c r="BI87" s="105"/>
    </row>
    <row r="88" spans="2:61" x14ac:dyDescent="0.25">
      <c r="B88" s="71">
        <v>8</v>
      </c>
      <c r="C88" s="71" t="s">
        <v>146</v>
      </c>
      <c r="D88" s="78">
        <v>6.2</v>
      </c>
      <c r="E88" s="80" t="s">
        <v>147</v>
      </c>
      <c r="G88" s="71">
        <v>8</v>
      </c>
      <c r="H88" s="79">
        <v>99.65</v>
      </c>
      <c r="I88" s="79">
        <v>1.86</v>
      </c>
      <c r="J88" s="79">
        <v>-4.46</v>
      </c>
      <c r="K88" s="79">
        <v>-3.15</v>
      </c>
      <c r="M88" s="71">
        <v>8</v>
      </c>
      <c r="N88" s="79">
        <v>152.22999999999999</v>
      </c>
      <c r="O88" s="79">
        <v>0.35</v>
      </c>
      <c r="P88" s="79">
        <v>-45.27</v>
      </c>
      <c r="Q88" s="79">
        <v>-7.98</v>
      </c>
      <c r="R88" s="81"/>
      <c r="S88" s="71">
        <v>8</v>
      </c>
      <c r="T88" s="78">
        <v>1.17</v>
      </c>
      <c r="U88" s="78">
        <v>-0.3</v>
      </c>
      <c r="V88" s="78">
        <v>-0.61499999999999999</v>
      </c>
      <c r="W88" s="78">
        <v>0.51800000000000002</v>
      </c>
      <c r="X88" s="78">
        <v>-1.8919999999999999</v>
      </c>
      <c r="Y88" s="78">
        <v>-5.5E-2</v>
      </c>
      <c r="AA88" s="84">
        <v>8</v>
      </c>
      <c r="AB88" s="78">
        <v>0.67800000000000005</v>
      </c>
      <c r="AC88" s="78">
        <v>-0.32700000000000001</v>
      </c>
      <c r="AD88" s="78">
        <v>-0.25</v>
      </c>
      <c r="AE88" s="78">
        <v>0.156</v>
      </c>
      <c r="AF88" s="78">
        <v>-1.377</v>
      </c>
      <c r="AG88" s="78">
        <v>0.251</v>
      </c>
      <c r="AH88" s="74"/>
      <c r="AI88" s="74"/>
      <c r="AJ88" s="83"/>
      <c r="AK88" s="83"/>
      <c r="AL88" s="83"/>
      <c r="AM88" s="83"/>
      <c r="AN88" s="83"/>
      <c r="AO88" s="83"/>
      <c r="AP88" s="83"/>
      <c r="AQ88" s="74"/>
      <c r="AR88" s="83"/>
      <c r="AS88" s="83"/>
      <c r="AT88" s="83"/>
      <c r="AU88" s="83"/>
      <c r="AV88" s="83"/>
      <c r="AW88" s="83"/>
      <c r="AX88" s="83"/>
      <c r="AY88" s="83"/>
      <c r="AZ88" s="83"/>
      <c r="BA88" s="83"/>
      <c r="BB88" s="83"/>
      <c r="BC88" s="83"/>
      <c r="BD88" s="83"/>
      <c r="BE88" s="74"/>
      <c r="BF88" s="83"/>
      <c r="BG88" s="105"/>
      <c r="BH88" s="105"/>
      <c r="BI88" s="105"/>
    </row>
    <row r="91" spans="2:61" x14ac:dyDescent="0.25">
      <c r="B91" s="315" t="s">
        <v>164</v>
      </c>
      <c r="C91" s="315"/>
      <c r="D91" s="315"/>
      <c r="E91" s="315"/>
      <c r="F91" s="315"/>
      <c r="G91" s="315"/>
      <c r="H91" s="315"/>
      <c r="I91" s="315"/>
      <c r="J91" s="315" t="s">
        <v>159</v>
      </c>
      <c r="K91" s="315"/>
      <c r="L91" s="315" t="str">
        <f>Temp!B2</f>
        <v>Hermosillo, Son.</v>
      </c>
      <c r="M91" s="315"/>
      <c r="N91" s="315"/>
    </row>
    <row r="92" spans="2:61" x14ac:dyDescent="0.25">
      <c r="B92" s="315" t="s">
        <v>158</v>
      </c>
      <c r="C92" s="315"/>
      <c r="D92" s="315"/>
      <c r="E92" s="315"/>
      <c r="F92" s="315" t="s">
        <v>161</v>
      </c>
      <c r="G92" s="315"/>
      <c r="H92" s="315"/>
      <c r="I92" s="315"/>
      <c r="J92" s="315" t="s">
        <v>160</v>
      </c>
      <c r="K92" s="315"/>
      <c r="L92" s="315">
        <f>Temp!D2</f>
        <v>29.08</v>
      </c>
      <c r="M92" s="315"/>
      <c r="N92" s="315"/>
    </row>
    <row r="93" spans="2:61" x14ac:dyDescent="0.25">
      <c r="B93" s="96" t="s">
        <v>56</v>
      </c>
      <c r="C93" s="96" t="s">
        <v>131</v>
      </c>
      <c r="D93" s="96" t="s">
        <v>130</v>
      </c>
      <c r="E93" s="96" t="s">
        <v>129</v>
      </c>
      <c r="F93" s="96" t="s">
        <v>128</v>
      </c>
      <c r="G93" s="96" t="s">
        <v>127</v>
      </c>
      <c r="H93" s="96" t="s">
        <v>126</v>
      </c>
      <c r="I93" s="96" t="s">
        <v>125</v>
      </c>
      <c r="J93" s="96" t="s">
        <v>124</v>
      </c>
      <c r="K93" s="96" t="s">
        <v>123</v>
      </c>
      <c r="L93" s="96" t="s">
        <v>122</v>
      </c>
      <c r="M93" s="96" t="s">
        <v>121</v>
      </c>
      <c r="N93" s="96" t="s">
        <v>120</v>
      </c>
    </row>
    <row r="94" spans="2:61" x14ac:dyDescent="0.25">
      <c r="B94" s="39">
        <v>0.25</v>
      </c>
      <c r="C94" s="100">
        <f>BE23</f>
        <v>0</v>
      </c>
      <c r="D94" s="100">
        <f>DL23</f>
        <v>0</v>
      </c>
      <c r="E94" s="100">
        <f>FS23</f>
        <v>0</v>
      </c>
      <c r="F94" s="100">
        <f>HZ23</f>
        <v>1391.2169786182667</v>
      </c>
      <c r="G94" s="100">
        <f>KG23</f>
        <v>1635.6085509785119</v>
      </c>
      <c r="H94" s="100">
        <f>KG23</f>
        <v>1635.6085509785119</v>
      </c>
      <c r="I94" s="100">
        <f>BE54</f>
        <v>2324.4279878031116</v>
      </c>
      <c r="J94" s="100">
        <f>DL54</f>
        <v>1568.7487464683779</v>
      </c>
      <c r="K94" s="100">
        <f>FS54</f>
        <v>0</v>
      </c>
      <c r="L94" s="100">
        <f>HZ54</f>
        <v>0</v>
      </c>
      <c r="M94" s="100">
        <f>KG54</f>
        <v>0</v>
      </c>
      <c r="N94" s="100">
        <f>MN54</f>
        <v>0</v>
      </c>
    </row>
    <row r="95" spans="2:61" x14ac:dyDescent="0.25">
      <c r="B95" s="39">
        <v>0.29166666666666702</v>
      </c>
      <c r="C95" s="100">
        <f t="shared" ref="C95:C106" si="752">BE24</f>
        <v>22308.962517598138</v>
      </c>
      <c r="D95" s="100">
        <f t="shared" ref="D95:D106" si="753">DL24</f>
        <v>17257.593549602974</v>
      </c>
      <c r="E95" s="100">
        <f t="shared" ref="E95:E106" si="754">FS24</f>
        <v>10100.816797198877</v>
      </c>
      <c r="F95" s="100">
        <f t="shared" ref="F95:F106" si="755">HZ24</f>
        <v>3752.4215601479123</v>
      </c>
      <c r="G95" s="100">
        <f t="shared" ref="G95:G106" si="756">KG24</f>
        <v>3255.4772564217069</v>
      </c>
      <c r="H95" s="100">
        <f t="shared" ref="H95:H106" si="757">KG24</f>
        <v>3255.4772564217069</v>
      </c>
      <c r="I95" s="100">
        <f t="shared" ref="I95:I106" si="758">BE55</f>
        <v>4727.1637441271751</v>
      </c>
      <c r="J95" s="100">
        <f t="shared" ref="J95:J106" si="759">DL55</f>
        <v>4199.8681561106578</v>
      </c>
      <c r="K95" s="100">
        <f t="shared" ref="K95:K106" si="760">FS55</f>
        <v>12555.743954156374</v>
      </c>
      <c r="L95" s="100">
        <f t="shared" ref="L95:L106" si="761">HZ55</f>
        <v>26461.793208604511</v>
      </c>
      <c r="M95" s="100">
        <f t="shared" ref="M95:M106" si="762">KG55</f>
        <v>30945.251736772607</v>
      </c>
      <c r="N95" s="100">
        <f t="shared" ref="N95:N106" si="763">MN55</f>
        <v>25253.848023088092</v>
      </c>
    </row>
    <row r="96" spans="2:61" x14ac:dyDescent="0.25">
      <c r="B96" s="39">
        <v>0.33333333333333298</v>
      </c>
      <c r="C96" s="100">
        <f t="shared" si="752"/>
        <v>39358.06558540526</v>
      </c>
      <c r="D96" s="100">
        <f t="shared" si="753"/>
        <v>31105.7213399256</v>
      </c>
      <c r="E96" s="100">
        <f t="shared" si="754"/>
        <v>21721.005612954661</v>
      </c>
      <c r="F96" s="100">
        <f t="shared" si="755"/>
        <v>10318.65854575626</v>
      </c>
      <c r="G96" s="100">
        <f t="shared" si="756"/>
        <v>4285.7555452024253</v>
      </c>
      <c r="H96" s="100">
        <f t="shared" si="757"/>
        <v>4285.7555452024253</v>
      </c>
      <c r="I96" s="100">
        <f t="shared" si="758"/>
        <v>6400.5751693287539</v>
      </c>
      <c r="J96" s="100">
        <f t="shared" si="759"/>
        <v>10735.127891163191</v>
      </c>
      <c r="K96" s="100">
        <f t="shared" si="760"/>
        <v>27012.417876448104</v>
      </c>
      <c r="L96" s="100">
        <f t="shared" si="761"/>
        <v>43893.728194897143</v>
      </c>
      <c r="M96" s="100">
        <f t="shared" si="762"/>
        <v>50153.523622990426</v>
      </c>
      <c r="N96" s="100">
        <f t="shared" si="763"/>
        <v>42929.955044819995</v>
      </c>
    </row>
    <row r="97" spans="2:14" x14ac:dyDescent="0.25">
      <c r="B97" s="39">
        <v>0.375</v>
      </c>
      <c r="C97" s="100">
        <f t="shared" si="752"/>
        <v>55652.920689560036</v>
      </c>
      <c r="D97" s="100">
        <f t="shared" si="753"/>
        <v>45332.404567979371</v>
      </c>
      <c r="E97" s="100">
        <f t="shared" si="754"/>
        <v>33664.351686640017</v>
      </c>
      <c r="F97" s="100">
        <f t="shared" si="755"/>
        <v>20571.190083827438</v>
      </c>
      <c r="G97" s="100">
        <f t="shared" si="756"/>
        <v>6954.2492447721806</v>
      </c>
      <c r="H97" s="100">
        <f t="shared" si="757"/>
        <v>6954.2492447721806</v>
      </c>
      <c r="I97" s="100">
        <f t="shared" si="758"/>
        <v>8685.5151726572512</v>
      </c>
      <c r="J97" s="100">
        <f t="shared" si="759"/>
        <v>21093.680624202636</v>
      </c>
      <c r="K97" s="100">
        <f t="shared" si="760"/>
        <v>41810.365422014242</v>
      </c>
      <c r="L97" s="100">
        <f t="shared" si="761"/>
        <v>61177.376348584359</v>
      </c>
      <c r="M97" s="100">
        <f t="shared" si="762"/>
        <v>68282.064863424937</v>
      </c>
      <c r="N97" s="100">
        <f t="shared" si="763"/>
        <v>61946.100153515988</v>
      </c>
    </row>
    <row r="98" spans="2:14" x14ac:dyDescent="0.25">
      <c r="B98" s="39">
        <v>0.41666666666666602</v>
      </c>
      <c r="C98" s="100">
        <f t="shared" si="752"/>
        <v>69827.410910372913</v>
      </c>
      <c r="D98" s="100">
        <f t="shared" si="753"/>
        <v>57741.224759940626</v>
      </c>
      <c r="E98" s="100">
        <f t="shared" si="754"/>
        <v>44090.169864479576</v>
      </c>
      <c r="F98" s="100">
        <f t="shared" si="755"/>
        <v>29476.616668660285</v>
      </c>
      <c r="G98" s="100">
        <f t="shared" si="756"/>
        <v>14922.758134068317</v>
      </c>
      <c r="H98" s="100">
        <f t="shared" si="757"/>
        <v>14922.758134068317</v>
      </c>
      <c r="I98" s="100">
        <f t="shared" si="758"/>
        <v>15702.206657119039</v>
      </c>
      <c r="J98" s="100">
        <f t="shared" si="759"/>
        <v>30073.233717904332</v>
      </c>
      <c r="K98" s="100">
        <f t="shared" si="760"/>
        <v>52799.378758894702</v>
      </c>
      <c r="L98" s="100">
        <f t="shared" si="761"/>
        <v>75874.941963493227</v>
      </c>
      <c r="M98" s="100">
        <f t="shared" si="762"/>
        <v>83632.883150944064</v>
      </c>
      <c r="N98" s="100">
        <f t="shared" si="763"/>
        <v>74752.156027294448</v>
      </c>
    </row>
    <row r="99" spans="2:14" x14ac:dyDescent="0.25">
      <c r="B99" s="39">
        <v>0.45833333333333298</v>
      </c>
      <c r="C99" s="100">
        <f t="shared" si="752"/>
        <v>79506.79387503257</v>
      </c>
      <c r="D99" s="100">
        <f t="shared" si="753"/>
        <v>66224.364090835938</v>
      </c>
      <c r="E99" s="100">
        <f t="shared" si="754"/>
        <v>51193.66571500399</v>
      </c>
      <c r="F99" s="100">
        <f t="shared" si="755"/>
        <v>33907.434343082532</v>
      </c>
      <c r="G99" s="100">
        <f t="shared" si="756"/>
        <v>19940.084432094442</v>
      </c>
      <c r="H99" s="100">
        <f t="shared" si="757"/>
        <v>19940.084432094442</v>
      </c>
      <c r="I99" s="100">
        <f t="shared" si="758"/>
        <v>20157.7278811783</v>
      </c>
      <c r="J99" s="100">
        <f t="shared" si="759"/>
        <v>36054.624665373354</v>
      </c>
      <c r="K99" s="100">
        <f t="shared" si="760"/>
        <v>60517.716975113843</v>
      </c>
      <c r="L99" s="100">
        <f t="shared" si="761"/>
        <v>85712.78870962272</v>
      </c>
      <c r="M99" s="100">
        <f t="shared" si="762"/>
        <v>93920.833868190253</v>
      </c>
      <c r="N99" s="100">
        <f t="shared" si="763"/>
        <v>84779.080632713609</v>
      </c>
    </row>
    <row r="100" spans="2:14" x14ac:dyDescent="0.25">
      <c r="B100" s="39">
        <v>0.5</v>
      </c>
      <c r="C100" s="100">
        <f t="shared" si="752"/>
        <v>82947.785009843836</v>
      </c>
      <c r="D100" s="100">
        <f t="shared" si="753"/>
        <v>69231.889018294634</v>
      </c>
      <c r="E100" s="100">
        <f t="shared" si="754"/>
        <v>53693.728982065055</v>
      </c>
      <c r="F100" s="100">
        <f t="shared" si="755"/>
        <v>35714.894327389251</v>
      </c>
      <c r="G100" s="100">
        <f t="shared" si="756"/>
        <v>21444.469186477854</v>
      </c>
      <c r="H100" s="100">
        <f t="shared" si="757"/>
        <v>21444.469186477854</v>
      </c>
      <c r="I100" s="100">
        <f t="shared" si="758"/>
        <v>21447.589392989397</v>
      </c>
      <c r="J100" s="100">
        <f t="shared" si="759"/>
        <v>38083.48128650766</v>
      </c>
      <c r="K100" s="100">
        <f t="shared" si="760"/>
        <v>63152.494824765061</v>
      </c>
      <c r="L100" s="100">
        <f t="shared" si="761"/>
        <v>89135.815054403021</v>
      </c>
      <c r="M100" s="100">
        <f t="shared" si="762"/>
        <v>97535.912073592597</v>
      </c>
      <c r="N100" s="100">
        <f t="shared" si="763"/>
        <v>88336.573002842662</v>
      </c>
    </row>
    <row r="101" spans="2:14" x14ac:dyDescent="0.25">
      <c r="B101" s="39">
        <v>0.54166666666666596</v>
      </c>
      <c r="C101" s="100">
        <f t="shared" si="752"/>
        <v>79521.667158745171</v>
      </c>
      <c r="D101" s="100">
        <f t="shared" si="753"/>
        <v>66215.692497910379</v>
      </c>
      <c r="E101" s="100">
        <f t="shared" si="754"/>
        <v>51165.586691380762</v>
      </c>
      <c r="F101" s="100">
        <f t="shared" si="755"/>
        <v>33873.105753279466</v>
      </c>
      <c r="G101" s="100">
        <f t="shared" si="756"/>
        <v>19907.258401050516</v>
      </c>
      <c r="H101" s="100">
        <f t="shared" si="757"/>
        <v>19907.258401050516</v>
      </c>
      <c r="I101" s="100">
        <f t="shared" si="758"/>
        <v>20137.625505367454</v>
      </c>
      <c r="J101" s="100">
        <f t="shared" si="759"/>
        <v>36018.649041279554</v>
      </c>
      <c r="K101" s="100">
        <f t="shared" si="760"/>
        <v>60456.207223634228</v>
      </c>
      <c r="L101" s="100">
        <f t="shared" si="761"/>
        <v>85675.331123755619</v>
      </c>
      <c r="M101" s="100">
        <f t="shared" si="762"/>
        <v>93942.214149201696</v>
      </c>
      <c r="N101" s="100">
        <f t="shared" si="763"/>
        <v>84802.403654689871</v>
      </c>
    </row>
    <row r="102" spans="2:14" x14ac:dyDescent="0.25">
      <c r="B102" s="39">
        <v>0.58333333333333304</v>
      </c>
      <c r="C102" s="100">
        <f t="shared" si="752"/>
        <v>69884.361490690571</v>
      </c>
      <c r="D102" s="100">
        <f t="shared" si="753"/>
        <v>57768.481122793462</v>
      </c>
      <c r="E102" s="100">
        <f t="shared" si="754"/>
        <v>44088.837383296763</v>
      </c>
      <c r="F102" s="100">
        <f t="shared" si="755"/>
        <v>29459.662504299515</v>
      </c>
      <c r="G102" s="100">
        <f t="shared" si="756"/>
        <v>14902.827521310634</v>
      </c>
      <c r="H102" s="100">
        <f t="shared" si="757"/>
        <v>14902.827521310634</v>
      </c>
      <c r="I102" s="100">
        <f t="shared" si="758"/>
        <v>15689.104474350255</v>
      </c>
      <c r="J102" s="100">
        <f t="shared" si="759"/>
        <v>30053.975966283662</v>
      </c>
      <c r="K102" s="100">
        <f t="shared" si="760"/>
        <v>52792.588341478797</v>
      </c>
      <c r="L102" s="100">
        <f t="shared" si="761"/>
        <v>75936.706754527913</v>
      </c>
      <c r="M102" s="100">
        <f t="shared" si="762"/>
        <v>83750.502825214367</v>
      </c>
      <c r="N102" s="100">
        <f t="shared" si="763"/>
        <v>74822.391299634488</v>
      </c>
    </row>
    <row r="103" spans="2:14" x14ac:dyDescent="0.25">
      <c r="B103" s="39">
        <v>0.625</v>
      </c>
      <c r="C103" s="100">
        <f t="shared" si="752"/>
        <v>55753.939352338632</v>
      </c>
      <c r="D103" s="100">
        <f t="shared" si="753"/>
        <v>45413.595372552001</v>
      </c>
      <c r="E103" s="100">
        <f t="shared" si="754"/>
        <v>33719.366364880014</v>
      </c>
      <c r="F103" s="100">
        <f t="shared" si="755"/>
        <v>20598.096822558571</v>
      </c>
      <c r="G103" s="100">
        <f t="shared" si="756"/>
        <v>6964.692717728477</v>
      </c>
      <c r="H103" s="100">
        <f t="shared" si="757"/>
        <v>6964.692717728477</v>
      </c>
      <c r="I103" s="100">
        <f t="shared" si="758"/>
        <v>8694.4875136536066</v>
      </c>
      <c r="J103" s="100">
        <f t="shared" si="759"/>
        <v>21126.425247869793</v>
      </c>
      <c r="K103" s="100">
        <f t="shared" si="760"/>
        <v>41907.565853746528</v>
      </c>
      <c r="L103" s="100">
        <f t="shared" si="761"/>
        <v>61405.447781803276</v>
      </c>
      <c r="M103" s="100">
        <f t="shared" si="762"/>
        <v>68513.214189497536</v>
      </c>
      <c r="N103" s="100">
        <f t="shared" si="763"/>
        <v>62055.024532829804</v>
      </c>
    </row>
    <row r="104" spans="2:14" x14ac:dyDescent="0.25">
      <c r="B104" s="39">
        <v>0.66666666666666596</v>
      </c>
      <c r="C104" s="100">
        <f t="shared" si="752"/>
        <v>39464.478470522517</v>
      </c>
      <c r="D104" s="100">
        <f t="shared" si="753"/>
        <v>31203.476296050721</v>
      </c>
      <c r="E104" s="100">
        <f t="shared" si="754"/>
        <v>21798.485392749848</v>
      </c>
      <c r="F104" s="100">
        <f t="shared" si="755"/>
        <v>10357.858526306736</v>
      </c>
      <c r="G104" s="100">
        <f t="shared" si="756"/>
        <v>4309.7127279848501</v>
      </c>
      <c r="H104" s="100">
        <f t="shared" si="757"/>
        <v>4309.7127279848501</v>
      </c>
      <c r="I104" s="100">
        <f t="shared" si="758"/>
        <v>6426.5670503610863</v>
      </c>
      <c r="J104" s="100">
        <f t="shared" si="759"/>
        <v>10786.298355214072</v>
      </c>
      <c r="K104" s="100">
        <f t="shared" si="760"/>
        <v>27157.128697560049</v>
      </c>
      <c r="L104" s="100">
        <f t="shared" si="761"/>
        <v>44189.194288425417</v>
      </c>
      <c r="M104" s="100">
        <f t="shared" si="762"/>
        <v>50411.727574134609</v>
      </c>
      <c r="N104" s="100">
        <f t="shared" si="763"/>
        <v>43046.656236608345</v>
      </c>
    </row>
    <row r="105" spans="2:14" x14ac:dyDescent="0.25">
      <c r="B105" s="39">
        <v>0.70833333333333304</v>
      </c>
      <c r="C105" s="100">
        <f t="shared" si="752"/>
        <v>22400.490646347036</v>
      </c>
      <c r="D105" s="100">
        <f t="shared" si="753"/>
        <v>17324.791273521096</v>
      </c>
      <c r="E105" s="100">
        <f t="shared" si="754"/>
        <v>10149.174953364301</v>
      </c>
      <c r="F105" s="100">
        <f t="shared" si="755"/>
        <v>3773.4780722862351</v>
      </c>
      <c r="G105" s="100">
        <f t="shared" si="756"/>
        <v>3284.137273171686</v>
      </c>
      <c r="H105" s="100">
        <f t="shared" si="757"/>
        <v>3284.137273171686</v>
      </c>
      <c r="I105" s="100">
        <f t="shared" si="758"/>
        <v>4759.3665486764021</v>
      </c>
      <c r="J105" s="100">
        <f t="shared" si="759"/>
        <v>4230.8708818861724</v>
      </c>
      <c r="K105" s="100">
        <f t="shared" si="760"/>
        <v>12648.649981206503</v>
      </c>
      <c r="L105" s="100">
        <f t="shared" si="761"/>
        <v>26682.026959776751</v>
      </c>
      <c r="M105" s="100">
        <f t="shared" si="762"/>
        <v>31129.366349278618</v>
      </c>
      <c r="N105" s="100">
        <f t="shared" si="763"/>
        <v>25346.913994595969</v>
      </c>
    </row>
    <row r="106" spans="2:14" x14ac:dyDescent="0.25">
      <c r="B106" s="39">
        <v>0.75</v>
      </c>
      <c r="C106" s="100">
        <f t="shared" si="752"/>
        <v>0</v>
      </c>
      <c r="D106" s="100">
        <f t="shared" si="753"/>
        <v>0</v>
      </c>
      <c r="E106" s="100">
        <f t="shared" si="754"/>
        <v>0</v>
      </c>
      <c r="F106" s="100">
        <f t="shared" si="755"/>
        <v>1400.3736088694914</v>
      </c>
      <c r="G106" s="100">
        <f t="shared" si="756"/>
        <v>1651.6364058983881</v>
      </c>
      <c r="H106" s="100">
        <f t="shared" si="757"/>
        <v>1651.6364058983881</v>
      </c>
      <c r="I106" s="100">
        <f t="shared" si="758"/>
        <v>2342.9552926167294</v>
      </c>
      <c r="J106" s="100">
        <f t="shared" si="759"/>
        <v>1582.6930577083533</v>
      </c>
      <c r="K106" s="100">
        <f t="shared" si="760"/>
        <v>0</v>
      </c>
      <c r="L106" s="100">
        <f t="shared" si="761"/>
        <v>0</v>
      </c>
      <c r="M106" s="100">
        <f t="shared" si="762"/>
        <v>0</v>
      </c>
      <c r="N106" s="100">
        <f t="shared" si="763"/>
        <v>0</v>
      </c>
    </row>
    <row r="108" spans="2:14" x14ac:dyDescent="0.25">
      <c r="D108" s="58"/>
      <c r="E108" s="367" t="s">
        <v>162</v>
      </c>
      <c r="F108" s="367"/>
      <c r="G108" s="367"/>
      <c r="H108" s="367"/>
      <c r="I108" s="367"/>
      <c r="J108" s="367"/>
      <c r="K108" s="96" t="s">
        <v>163</v>
      </c>
      <c r="L108" s="58"/>
    </row>
  </sheetData>
  <sheetProtection password="E6CB" sheet="1" objects="1" scenarios="1"/>
  <mergeCells count="894">
    <mergeCell ref="FU47:FU48"/>
    <mergeCell ref="FV47:FV48"/>
    <mergeCell ref="FW47:FW48"/>
    <mergeCell ref="DN47:DN48"/>
    <mergeCell ref="DO47:DO48"/>
    <mergeCell ref="DP47:DP48"/>
    <mergeCell ref="BG47:BG48"/>
    <mergeCell ref="BH47:BH48"/>
    <mergeCell ref="BI47:BI48"/>
    <mergeCell ref="DI47:DI48"/>
    <mergeCell ref="DJ47:DJ48"/>
    <mergeCell ref="DK47:DK48"/>
    <mergeCell ref="DL47:DL48"/>
    <mergeCell ref="DM47:DM48"/>
    <mergeCell ref="FE47:FE48"/>
    <mergeCell ref="FO47:FO48"/>
    <mergeCell ref="FP47:FP48"/>
    <mergeCell ref="FQ47:FQ48"/>
    <mergeCell ref="FR47:FR48"/>
    <mergeCell ref="FS47:FS48"/>
    <mergeCell ref="FT47:FT48"/>
    <mergeCell ref="FF47:FF48"/>
    <mergeCell ref="FG47:FG48"/>
    <mergeCell ref="FH47:FH48"/>
    <mergeCell ref="MP16:MP17"/>
    <mergeCell ref="MQ16:MQ17"/>
    <mergeCell ref="MR16:MR17"/>
    <mergeCell ref="MP47:MP48"/>
    <mergeCell ref="MQ47:MQ48"/>
    <mergeCell ref="MR47:MR48"/>
    <mergeCell ref="KI47:KI48"/>
    <mergeCell ref="KJ47:KJ48"/>
    <mergeCell ref="KK47:KK48"/>
    <mergeCell ref="MO16:MO17"/>
    <mergeCell ref="MJ16:MJ17"/>
    <mergeCell ref="MK16:MK17"/>
    <mergeCell ref="ML16:ML17"/>
    <mergeCell ref="MM16:MM17"/>
    <mergeCell ref="MN16:MN17"/>
    <mergeCell ref="LT16:LT17"/>
    <mergeCell ref="LU16:LU17"/>
    <mergeCell ref="LV16:LV17"/>
    <mergeCell ref="MN47:MN48"/>
    <mergeCell ref="MO47:MO48"/>
    <mergeCell ref="MA47:MA48"/>
    <mergeCell ref="MB47:MB48"/>
    <mergeCell ref="MC47:MC48"/>
    <mergeCell ref="MD47:MD48"/>
    <mergeCell ref="BI16:BI17"/>
    <mergeCell ref="DN16:DN17"/>
    <mergeCell ref="DO16:DO17"/>
    <mergeCell ref="DP16:DP17"/>
    <mergeCell ref="FU16:FU17"/>
    <mergeCell ref="FV16:FV17"/>
    <mergeCell ref="FW16:FW17"/>
    <mergeCell ref="IB16:IB17"/>
    <mergeCell ref="IC16:IC17"/>
    <mergeCell ref="BO16:BO17"/>
    <mergeCell ref="CV16:CV17"/>
    <mergeCell ref="CW16:CW17"/>
    <mergeCell ref="CX16:CX17"/>
    <mergeCell ref="CY16:CY17"/>
    <mergeCell ref="CZ16:CZ17"/>
    <mergeCell ref="DA16:DA17"/>
    <mergeCell ref="DB16:DB17"/>
    <mergeCell ref="DC16:DC17"/>
    <mergeCell ref="DD16:DD17"/>
    <mergeCell ref="DE16:DE17"/>
    <mergeCell ref="DF16:DF17"/>
    <mergeCell ref="DG16:DG17"/>
    <mergeCell ref="DH16:DH17"/>
    <mergeCell ref="DI16:DI17"/>
    <mergeCell ref="BG16:BG17"/>
    <mergeCell ref="BH16:BH17"/>
    <mergeCell ref="ID16:ID17"/>
    <mergeCell ref="ID47:ID48"/>
    <mergeCell ref="KI16:KI17"/>
    <mergeCell ref="E108:J108"/>
    <mergeCell ref="B91:I91"/>
    <mergeCell ref="J91:K91"/>
    <mergeCell ref="L91:N91"/>
    <mergeCell ref="J92:K92"/>
    <mergeCell ref="L92:N92"/>
    <mergeCell ref="B92:E92"/>
    <mergeCell ref="F92:I92"/>
    <mergeCell ref="FD47:FD48"/>
    <mergeCell ref="EU47:EU48"/>
    <mergeCell ref="EV47:EV48"/>
    <mergeCell ref="EW47:EW48"/>
    <mergeCell ref="EX47:EX48"/>
    <mergeCell ref="EY47:EY48"/>
    <mergeCell ref="EZ47:EZ48"/>
    <mergeCell ref="FA47:FA48"/>
    <mergeCell ref="FB47:FB48"/>
    <mergeCell ref="FC47:FC48"/>
    <mergeCell ref="DH47:DH48"/>
    <mergeCell ref="FI47:FI48"/>
    <mergeCell ref="FJ47:FJ48"/>
    <mergeCell ref="FK47:FK48"/>
    <mergeCell ref="FL47:FL48"/>
    <mergeCell ref="FM47:FM48"/>
    <mergeCell ref="FN47:FN48"/>
    <mergeCell ref="DW44:DW45"/>
    <mergeCell ref="EG46:EL46"/>
    <mergeCell ref="EM46:ER46"/>
    <mergeCell ref="DW47:DW48"/>
    <mergeCell ref="DX47:DX48"/>
    <mergeCell ref="DY47:DY48"/>
    <mergeCell ref="DZ47:DZ48"/>
    <mergeCell ref="EA47:EA48"/>
    <mergeCell ref="EB47:EB48"/>
    <mergeCell ref="EC47:EC48"/>
    <mergeCell ref="ED47:ED48"/>
    <mergeCell ref="EE47:EE48"/>
    <mergeCell ref="EF47:EF48"/>
    <mergeCell ref="EG47:EG48"/>
    <mergeCell ref="EH47:EH48"/>
    <mergeCell ref="EI47:EI48"/>
    <mergeCell ref="EJ47:EJ48"/>
    <mergeCell ref="EK47:EK48"/>
    <mergeCell ref="CY47:CY48"/>
    <mergeCell ref="CZ47:CZ48"/>
    <mergeCell ref="DA47:DA48"/>
    <mergeCell ref="DB47:DB48"/>
    <mergeCell ref="DC47:DC48"/>
    <mergeCell ref="DD47:DD48"/>
    <mergeCell ref="DE47:DE48"/>
    <mergeCell ref="DF47:DF48"/>
    <mergeCell ref="DG47:DG48"/>
    <mergeCell ref="CP47:CP48"/>
    <mergeCell ref="CQ47:CQ48"/>
    <mergeCell ref="CR47:CR48"/>
    <mergeCell ref="CS47:CS48"/>
    <mergeCell ref="CT47:CT48"/>
    <mergeCell ref="CU47:CU48"/>
    <mergeCell ref="CV47:CV48"/>
    <mergeCell ref="CW47:CW48"/>
    <mergeCell ref="CX47:CX48"/>
    <mergeCell ref="CG47:CG48"/>
    <mergeCell ref="CH47:CH48"/>
    <mergeCell ref="CI47:CI48"/>
    <mergeCell ref="CJ47:CJ48"/>
    <mergeCell ref="CK47:CK48"/>
    <mergeCell ref="CL47:CL48"/>
    <mergeCell ref="CM47:CM48"/>
    <mergeCell ref="CN47:CN48"/>
    <mergeCell ref="CO47:CO48"/>
    <mergeCell ref="BQ44:BQ45"/>
    <mergeCell ref="BR44:BR45"/>
    <mergeCell ref="BS44:BS45"/>
    <mergeCell ref="BT44:BT45"/>
    <mergeCell ref="BU44:BU45"/>
    <mergeCell ref="BZ46:CE46"/>
    <mergeCell ref="CF46:CK46"/>
    <mergeCell ref="BP47:BP48"/>
    <mergeCell ref="BQ47:BQ48"/>
    <mergeCell ref="BR47:BR48"/>
    <mergeCell ref="BS47:BS48"/>
    <mergeCell ref="BT47:BT48"/>
    <mergeCell ref="BU47:BU48"/>
    <mergeCell ref="BV47:BV48"/>
    <mergeCell ref="BW47:BW48"/>
    <mergeCell ref="BX47:BX48"/>
    <mergeCell ref="BY47:BY48"/>
    <mergeCell ref="BZ47:BZ48"/>
    <mergeCell ref="CA47:CA48"/>
    <mergeCell ref="CB47:CB48"/>
    <mergeCell ref="CC47:CC48"/>
    <mergeCell ref="CD47:CD48"/>
    <mergeCell ref="CE47:CE48"/>
    <mergeCell ref="CF47:CF48"/>
    <mergeCell ref="AY47:AY48"/>
    <mergeCell ref="AZ47:AZ48"/>
    <mergeCell ref="BA47:BA48"/>
    <mergeCell ref="BB47:BB48"/>
    <mergeCell ref="BC47:BC48"/>
    <mergeCell ref="BD47:BD48"/>
    <mergeCell ref="BE47:BE48"/>
    <mergeCell ref="BF47:BF48"/>
    <mergeCell ref="BP44:BP45"/>
    <mergeCell ref="AP47:AP48"/>
    <mergeCell ref="AQ47:AQ48"/>
    <mergeCell ref="AR47:AR48"/>
    <mergeCell ref="AS47:AS48"/>
    <mergeCell ref="AT47:AT48"/>
    <mergeCell ref="AU47:AU48"/>
    <mergeCell ref="AV47:AV48"/>
    <mergeCell ref="AW47:AW48"/>
    <mergeCell ref="AX47:AX48"/>
    <mergeCell ref="AG47:AG48"/>
    <mergeCell ref="AH47:AH48"/>
    <mergeCell ref="AI47:AI48"/>
    <mergeCell ref="AJ47:AJ48"/>
    <mergeCell ref="AK47:AK48"/>
    <mergeCell ref="AL47:AL48"/>
    <mergeCell ref="AM47:AM48"/>
    <mergeCell ref="AN47:AN48"/>
    <mergeCell ref="AO47:AO48"/>
    <mergeCell ref="I44:I45"/>
    <mergeCell ref="J44:J45"/>
    <mergeCell ref="K44:K45"/>
    <mergeCell ref="L44:L45"/>
    <mergeCell ref="M44:M45"/>
    <mergeCell ref="N44:N45"/>
    <mergeCell ref="S46:X46"/>
    <mergeCell ref="Y46:AD46"/>
    <mergeCell ref="AE46:AF46"/>
    <mergeCell ref="AJ46:AR46"/>
    <mergeCell ref="AS46:BA46"/>
    <mergeCell ref="BB46:BC46"/>
    <mergeCell ref="BD46:BE46"/>
    <mergeCell ref="CL46:CM46"/>
    <mergeCell ref="CQ46:CY46"/>
    <mergeCell ref="CZ46:DH46"/>
    <mergeCell ref="DI46:DJ46"/>
    <mergeCell ref="DK46:DL46"/>
    <mergeCell ref="DX44:DX45"/>
    <mergeCell ref="DY44:DY45"/>
    <mergeCell ref="DZ44:DZ45"/>
    <mergeCell ref="EA44:EA45"/>
    <mergeCell ref="EB44:EB45"/>
    <mergeCell ref="MF16:MF17"/>
    <mergeCell ref="MG16:MG17"/>
    <mergeCell ref="MH16:MH17"/>
    <mergeCell ref="MI16:MI17"/>
    <mergeCell ref="LW16:LW17"/>
    <mergeCell ref="LX16:LX17"/>
    <mergeCell ref="LY16:LY17"/>
    <mergeCell ref="LZ16:LZ17"/>
    <mergeCell ref="MA16:MA17"/>
    <mergeCell ref="MB16:MB17"/>
    <mergeCell ref="MC16:MC17"/>
    <mergeCell ref="MD16:MD17"/>
    <mergeCell ref="ME16:ME17"/>
    <mergeCell ref="LN16:LN17"/>
    <mergeCell ref="LO16:LO17"/>
    <mergeCell ref="LP16:LP17"/>
    <mergeCell ref="LQ16:LQ17"/>
    <mergeCell ref="LR16:LR17"/>
    <mergeCell ref="LS16:LS17"/>
    <mergeCell ref="LH15:LM15"/>
    <mergeCell ref="LN15:LO15"/>
    <mergeCell ref="LS15:MA15"/>
    <mergeCell ref="MB15:MJ15"/>
    <mergeCell ref="MK15:ML15"/>
    <mergeCell ref="MM15:MN15"/>
    <mergeCell ref="KR16:KR17"/>
    <mergeCell ref="KW16:KW17"/>
    <mergeCell ref="KX16:KX17"/>
    <mergeCell ref="KY16:KY17"/>
    <mergeCell ref="KZ16:KZ17"/>
    <mergeCell ref="LA16:LA17"/>
    <mergeCell ref="LB16:LB17"/>
    <mergeCell ref="LC16:LC17"/>
    <mergeCell ref="LD16:LD17"/>
    <mergeCell ref="LE16:LE17"/>
    <mergeCell ref="LF16:LF17"/>
    <mergeCell ref="LG16:LG17"/>
    <mergeCell ref="LH16:LH17"/>
    <mergeCell ref="LI16:LI17"/>
    <mergeCell ref="LJ16:LJ17"/>
    <mergeCell ref="LK16:LK17"/>
    <mergeCell ref="LL16:LL17"/>
    <mergeCell ref="LM16:LM17"/>
    <mergeCell ref="KG16:KG17"/>
    <mergeCell ref="KH16:KH17"/>
    <mergeCell ref="KR13:KR14"/>
    <mergeCell ref="KS13:KS14"/>
    <mergeCell ref="KT13:KT14"/>
    <mergeCell ref="KU13:KU14"/>
    <mergeCell ref="KV13:KV14"/>
    <mergeCell ref="KW13:KW14"/>
    <mergeCell ref="LB15:LG15"/>
    <mergeCell ref="KJ16:KJ17"/>
    <mergeCell ref="KK16:KK17"/>
    <mergeCell ref="JX16:JX17"/>
    <mergeCell ref="JY16:JY17"/>
    <mergeCell ref="JZ16:JZ17"/>
    <mergeCell ref="KA16:KA17"/>
    <mergeCell ref="KB16:KB17"/>
    <mergeCell ref="KC16:KC17"/>
    <mergeCell ref="KD16:KD17"/>
    <mergeCell ref="KE16:KE17"/>
    <mergeCell ref="KF16:KF17"/>
    <mergeCell ref="JO16:JO17"/>
    <mergeCell ref="JP16:JP17"/>
    <mergeCell ref="JQ16:JQ17"/>
    <mergeCell ref="JR16:JR17"/>
    <mergeCell ref="JS16:JS17"/>
    <mergeCell ref="JT16:JT17"/>
    <mergeCell ref="JU16:JU17"/>
    <mergeCell ref="JV16:JV17"/>
    <mergeCell ref="JW16:JW17"/>
    <mergeCell ref="JF16:JF17"/>
    <mergeCell ref="JG16:JG17"/>
    <mergeCell ref="JH16:JH17"/>
    <mergeCell ref="JI16:JI17"/>
    <mergeCell ref="JJ16:JJ17"/>
    <mergeCell ref="JK16:JK17"/>
    <mergeCell ref="JL16:JL17"/>
    <mergeCell ref="JM16:JM17"/>
    <mergeCell ref="JN16:JN17"/>
    <mergeCell ref="IU15:IZ15"/>
    <mergeCell ref="JA15:JF15"/>
    <mergeCell ref="JG15:JH15"/>
    <mergeCell ref="JL15:JT15"/>
    <mergeCell ref="JU15:KC15"/>
    <mergeCell ref="KD15:KE15"/>
    <mergeCell ref="KF15:KG15"/>
    <mergeCell ref="IK16:IK17"/>
    <mergeCell ref="IP16:IP17"/>
    <mergeCell ref="IQ16:IQ17"/>
    <mergeCell ref="IR16:IR17"/>
    <mergeCell ref="IS16:IS17"/>
    <mergeCell ref="IT16:IT17"/>
    <mergeCell ref="IU16:IU17"/>
    <mergeCell ref="IV16:IV17"/>
    <mergeCell ref="IW16:IW17"/>
    <mergeCell ref="IX16:IX17"/>
    <mergeCell ref="IY16:IY17"/>
    <mergeCell ref="IZ16:IZ17"/>
    <mergeCell ref="JA16:JA17"/>
    <mergeCell ref="JB16:JB17"/>
    <mergeCell ref="JC16:JC17"/>
    <mergeCell ref="JD16:JD17"/>
    <mergeCell ref="JE16:JE17"/>
    <mergeCell ref="G79:K79"/>
    <mergeCell ref="M79:Q79"/>
    <mergeCell ref="AA79:AG79"/>
    <mergeCell ref="U16:U17"/>
    <mergeCell ref="R16:R17"/>
    <mergeCell ref="S16:S17"/>
    <mergeCell ref="T16:T17"/>
    <mergeCell ref="W16:W17"/>
    <mergeCell ref="X16:X17"/>
    <mergeCell ref="Y16:Y17"/>
    <mergeCell ref="Z16:Z17"/>
    <mergeCell ref="AA16:AA17"/>
    <mergeCell ref="AB16:AB17"/>
    <mergeCell ref="AC16:AC17"/>
    <mergeCell ref="AD16:AD17"/>
    <mergeCell ref="S79:Y79"/>
    <mergeCell ref="L47:L48"/>
    <mergeCell ref="M47:M48"/>
    <mergeCell ref="I47:I48"/>
    <mergeCell ref="N47:N48"/>
    <mergeCell ref="O47:O48"/>
    <mergeCell ref="P47:P48"/>
    <mergeCell ref="Q47:Q48"/>
    <mergeCell ref="R47:R48"/>
    <mergeCell ref="DT44:DT45"/>
    <mergeCell ref="DU44:DU45"/>
    <mergeCell ref="DS47:DS48"/>
    <mergeCell ref="DT47:DT48"/>
    <mergeCell ref="DU47:DU48"/>
    <mergeCell ref="DV47:DV48"/>
    <mergeCell ref="IG47:IG48"/>
    <mergeCell ref="IH47:IH48"/>
    <mergeCell ref="II47:II48"/>
    <mergeCell ref="FZ47:FZ48"/>
    <mergeCell ref="ES46:ET46"/>
    <mergeCell ref="EX46:FF46"/>
    <mergeCell ref="FG46:FO46"/>
    <mergeCell ref="FP46:FQ46"/>
    <mergeCell ref="FR46:FS46"/>
    <mergeCell ref="EL47:EL48"/>
    <mergeCell ref="EM47:EM48"/>
    <mergeCell ref="EN47:EN48"/>
    <mergeCell ref="EO47:EO48"/>
    <mergeCell ref="EP47:EP48"/>
    <mergeCell ref="EQ47:EQ48"/>
    <mergeCell ref="ER47:ER48"/>
    <mergeCell ref="ES47:ES48"/>
    <mergeCell ref="ET47:ET48"/>
    <mergeCell ref="AE15:AF15"/>
    <mergeCell ref="AP16:AP17"/>
    <mergeCell ref="BE16:BE17"/>
    <mergeCell ref="AR16:AR17"/>
    <mergeCell ref="BA16:BA17"/>
    <mergeCell ref="BJ16:BJ17"/>
    <mergeCell ref="DS16:DS17"/>
    <mergeCell ref="DT16:DT17"/>
    <mergeCell ref="CE16:CE17"/>
    <mergeCell ref="CF16:CF17"/>
    <mergeCell ref="CG16:CG17"/>
    <mergeCell ref="CH16:CH17"/>
    <mergeCell ref="CI16:CI17"/>
    <mergeCell ref="CJ16:CJ17"/>
    <mergeCell ref="CK16:CK17"/>
    <mergeCell ref="CL16:CL17"/>
    <mergeCell ref="CM16:CM17"/>
    <mergeCell ref="CN16:CN17"/>
    <mergeCell ref="CO16:CO17"/>
    <mergeCell ref="CP16:CP17"/>
    <mergeCell ref="CQ16:CQ17"/>
    <mergeCell ref="CR16:CR17"/>
    <mergeCell ref="CS16:CS17"/>
    <mergeCell ref="BN16:BN17"/>
    <mergeCell ref="S15:X15"/>
    <mergeCell ref="Y15:AD15"/>
    <mergeCell ref="AE16:AE17"/>
    <mergeCell ref="AF16:AF17"/>
    <mergeCell ref="DU16:DU17"/>
    <mergeCell ref="DV16:DV17"/>
    <mergeCell ref="DX16:DX17"/>
    <mergeCell ref="DY16:DY17"/>
    <mergeCell ref="DZ16:DZ17"/>
    <mergeCell ref="V16:V17"/>
    <mergeCell ref="AZ16:AZ17"/>
    <mergeCell ref="AJ15:AR15"/>
    <mergeCell ref="AY16:AY17"/>
    <mergeCell ref="AU16:AU17"/>
    <mergeCell ref="AV16:AV17"/>
    <mergeCell ref="AW16:AW17"/>
    <mergeCell ref="AX16:AX17"/>
    <mergeCell ref="AS15:BA15"/>
    <mergeCell ref="BF16:BF17"/>
    <mergeCell ref="BB16:BB17"/>
    <mergeCell ref="BC16:BC17"/>
    <mergeCell ref="BB15:BC15"/>
    <mergeCell ref="BD16:BD17"/>
    <mergeCell ref="BD15:BE15"/>
    <mergeCell ref="E47:E48"/>
    <mergeCell ref="F47:F48"/>
    <mergeCell ref="G47:G48"/>
    <mergeCell ref="H47:H48"/>
    <mergeCell ref="J47:J48"/>
    <mergeCell ref="K47:K48"/>
    <mergeCell ref="BM47:BM48"/>
    <mergeCell ref="BN47:BN48"/>
    <mergeCell ref="BO47:BO48"/>
    <mergeCell ref="BL47:BL48"/>
    <mergeCell ref="S47:S48"/>
    <mergeCell ref="T47:T48"/>
    <mergeCell ref="U47:U48"/>
    <mergeCell ref="V47:V48"/>
    <mergeCell ref="W47:W48"/>
    <mergeCell ref="X47:X48"/>
    <mergeCell ref="Y47:Y48"/>
    <mergeCell ref="Z47:Z48"/>
    <mergeCell ref="AA47:AA48"/>
    <mergeCell ref="AB47:AB48"/>
    <mergeCell ref="AC47:AC48"/>
    <mergeCell ref="AD47:AD48"/>
    <mergeCell ref="AE47:AE48"/>
    <mergeCell ref="AF47:AF48"/>
    <mergeCell ref="GA47:GA48"/>
    <mergeCell ref="GB47:GB48"/>
    <mergeCell ref="GC47:GC48"/>
    <mergeCell ref="KL47:KL48"/>
    <mergeCell ref="KQ16:KQ17"/>
    <mergeCell ref="KS16:KS17"/>
    <mergeCell ref="KT16:KT17"/>
    <mergeCell ref="KU16:KU17"/>
    <mergeCell ref="KV16:KV17"/>
    <mergeCell ref="KN16:KN17"/>
    <mergeCell ref="KO16:KO17"/>
    <mergeCell ref="KP16:KP17"/>
    <mergeCell ref="HF16:HF17"/>
    <mergeCell ref="HG16:HG17"/>
    <mergeCell ref="HH16:HH17"/>
    <mergeCell ref="HI16:HI17"/>
    <mergeCell ref="HJ16:HJ17"/>
    <mergeCell ref="HK16:HK17"/>
    <mergeCell ref="HL16:HL17"/>
    <mergeCell ref="HM16:HM17"/>
    <mergeCell ref="HN16:HN17"/>
    <mergeCell ref="HO16:HO17"/>
    <mergeCell ref="HP16:HP17"/>
    <mergeCell ref="HZ16:HZ17"/>
    <mergeCell ref="F44:F45"/>
    <mergeCell ref="G44:G45"/>
    <mergeCell ref="H44:H45"/>
    <mergeCell ref="BM44:BM45"/>
    <mergeCell ref="BN44:BN45"/>
    <mergeCell ref="BO44:BO45"/>
    <mergeCell ref="KQ44:KQ45"/>
    <mergeCell ref="DV44:DV45"/>
    <mergeCell ref="GA44:GA45"/>
    <mergeCell ref="GB44:GB45"/>
    <mergeCell ref="GC44:GC45"/>
    <mergeCell ref="IH44:IH45"/>
    <mergeCell ref="II44:II45"/>
    <mergeCell ref="GD44:GD45"/>
    <mergeCell ref="GE44:GE45"/>
    <mergeCell ref="GF44:GF45"/>
    <mergeCell ref="GG44:GG45"/>
    <mergeCell ref="GH44:GH45"/>
    <mergeCell ref="GI44:GI45"/>
    <mergeCell ref="IN44:IN45"/>
    <mergeCell ref="IO44:IO45"/>
    <mergeCell ref="IP44:IP45"/>
    <mergeCell ref="IJ44:IJ45"/>
    <mergeCell ref="KO44:KO45"/>
    <mergeCell ref="II16:II17"/>
    <mergeCell ref="IJ16:IJ17"/>
    <mergeCell ref="IL16:IL17"/>
    <mergeCell ref="IM16:IM17"/>
    <mergeCell ref="IN16:IN17"/>
    <mergeCell ref="IO16:IO17"/>
    <mergeCell ref="GA16:GA17"/>
    <mergeCell ref="GB16:GB17"/>
    <mergeCell ref="GC16:GC17"/>
    <mergeCell ref="GE16:GE17"/>
    <mergeCell ref="GF16:GF17"/>
    <mergeCell ref="GG16:GG17"/>
    <mergeCell ref="GH16:GH17"/>
    <mergeCell ref="IG16:IG17"/>
    <mergeCell ref="IH16:IH17"/>
    <mergeCell ref="GZ16:GZ17"/>
    <mergeCell ref="HA16:HA17"/>
    <mergeCell ref="HB16:HB17"/>
    <mergeCell ref="HC16:HC17"/>
    <mergeCell ref="HD16:HD17"/>
    <mergeCell ref="HE16:HE17"/>
    <mergeCell ref="GY16:GY17"/>
    <mergeCell ref="IA16:IA17"/>
    <mergeCell ref="HQ16:HQ17"/>
    <mergeCell ref="Q16:Q17"/>
    <mergeCell ref="E16:E17"/>
    <mergeCell ref="F16:F17"/>
    <mergeCell ref="G16:G17"/>
    <mergeCell ref="H16:H17"/>
    <mergeCell ref="J16:J17"/>
    <mergeCell ref="K16:K17"/>
    <mergeCell ref="BL16:BL17"/>
    <mergeCell ref="BM16:BM17"/>
    <mergeCell ref="AG16:AG17"/>
    <mergeCell ref="AH16:AH17"/>
    <mergeCell ref="AI16:AI17"/>
    <mergeCell ref="AJ16:AJ17"/>
    <mergeCell ref="AK16:AK17"/>
    <mergeCell ref="AL16:AL17"/>
    <mergeCell ref="AQ16:AQ17"/>
    <mergeCell ref="AM16:AM17"/>
    <mergeCell ref="AN16:AN17"/>
    <mergeCell ref="AO16:AO17"/>
    <mergeCell ref="N16:N17"/>
    <mergeCell ref="O16:O17"/>
    <mergeCell ref="P16:P17"/>
    <mergeCell ref="AS16:AS17"/>
    <mergeCell ref="AT16:AT17"/>
    <mergeCell ref="II13:II14"/>
    <mergeCell ref="IJ13:IJ14"/>
    <mergeCell ref="KO13:KO14"/>
    <mergeCell ref="KP13:KP14"/>
    <mergeCell ref="KQ13:KQ14"/>
    <mergeCell ref="DU13:DU14"/>
    <mergeCell ref="DV13:DV14"/>
    <mergeCell ref="GA13:GA14"/>
    <mergeCell ref="GB13:GB14"/>
    <mergeCell ref="GC13:GC14"/>
    <mergeCell ref="IK13:IK14"/>
    <mergeCell ref="IL13:IL14"/>
    <mergeCell ref="IM13:IM14"/>
    <mergeCell ref="IN13:IN14"/>
    <mergeCell ref="IO13:IO14"/>
    <mergeCell ref="IP13:IP14"/>
    <mergeCell ref="DX13:DX14"/>
    <mergeCell ref="DY13:DY14"/>
    <mergeCell ref="GH13:GH14"/>
    <mergeCell ref="GI13:GI14"/>
    <mergeCell ref="N13:N14"/>
    <mergeCell ref="B2:C2"/>
    <mergeCell ref="A4:B4"/>
    <mergeCell ref="F13:F14"/>
    <mergeCell ref="IH13:IH14"/>
    <mergeCell ref="G13:G14"/>
    <mergeCell ref="H13:H14"/>
    <mergeCell ref="BM13:BM14"/>
    <mergeCell ref="BN13:BN14"/>
    <mergeCell ref="BO13:BO14"/>
    <mergeCell ref="DT13:DT14"/>
    <mergeCell ref="I13:I14"/>
    <mergeCell ref="J13:J14"/>
    <mergeCell ref="K13:K14"/>
    <mergeCell ref="L13:L14"/>
    <mergeCell ref="BS13:BS14"/>
    <mergeCell ref="BT13:BT14"/>
    <mergeCell ref="BU13:BU14"/>
    <mergeCell ref="DZ13:DZ14"/>
    <mergeCell ref="EA13:EA14"/>
    <mergeCell ref="EB13:EB14"/>
    <mergeCell ref="BP13:BP14"/>
    <mergeCell ref="BQ13:BQ14"/>
    <mergeCell ref="BR13:BR14"/>
    <mergeCell ref="BZ15:CE15"/>
    <mergeCell ref="CF15:CK15"/>
    <mergeCell ref="CL15:CM15"/>
    <mergeCell ref="CQ15:CY15"/>
    <mergeCell ref="CZ15:DH15"/>
    <mergeCell ref="DI15:DJ15"/>
    <mergeCell ref="DK15:DL15"/>
    <mergeCell ref="BP16:BP17"/>
    <mergeCell ref="BQ16:BQ17"/>
    <mergeCell ref="BR16:BR17"/>
    <mergeCell ref="BS16:BS17"/>
    <mergeCell ref="BT16:BT17"/>
    <mergeCell ref="BU16:BU17"/>
    <mergeCell ref="BV16:BV17"/>
    <mergeCell ref="BW16:BW17"/>
    <mergeCell ref="BX16:BX17"/>
    <mergeCell ref="BY16:BY17"/>
    <mergeCell ref="BZ16:BZ17"/>
    <mergeCell ref="CA16:CA17"/>
    <mergeCell ref="CB16:CB17"/>
    <mergeCell ref="CC16:CC17"/>
    <mergeCell ref="CD16:CD17"/>
    <mergeCell ref="CT16:CT17"/>
    <mergeCell ref="CU16:CU17"/>
    <mergeCell ref="DJ16:DJ17"/>
    <mergeCell ref="DK16:DK17"/>
    <mergeCell ref="DL16:DL17"/>
    <mergeCell ref="DM16:DM17"/>
    <mergeCell ref="DW13:DW14"/>
    <mergeCell ref="EG15:EL15"/>
    <mergeCell ref="EM15:ER15"/>
    <mergeCell ref="ES15:ET15"/>
    <mergeCell ref="EX15:FF15"/>
    <mergeCell ref="EV16:EV17"/>
    <mergeCell ref="EW16:EW17"/>
    <mergeCell ref="EX16:EX17"/>
    <mergeCell ref="EY16:EY17"/>
    <mergeCell ref="EZ16:EZ17"/>
    <mergeCell ref="FA16:FA17"/>
    <mergeCell ref="FB16:FB17"/>
    <mergeCell ref="FC16:FC17"/>
    <mergeCell ref="FD16:FD17"/>
    <mergeCell ref="FE16:FE17"/>
    <mergeCell ref="FF16:FF17"/>
    <mergeCell ref="EA16:EA17"/>
    <mergeCell ref="FG15:FO15"/>
    <mergeCell ref="FP15:FQ15"/>
    <mergeCell ref="FR15:FS15"/>
    <mergeCell ref="DW16:DW17"/>
    <mergeCell ref="EB16:EB17"/>
    <mergeCell ref="EC16:EC17"/>
    <mergeCell ref="ED16:ED17"/>
    <mergeCell ref="EE16:EE17"/>
    <mergeCell ref="EF16:EF17"/>
    <mergeCell ref="EG16:EG17"/>
    <mergeCell ref="EH16:EH17"/>
    <mergeCell ref="EI16:EI17"/>
    <mergeCell ref="EJ16:EJ17"/>
    <mergeCell ref="EK16:EK17"/>
    <mergeCell ref="EL16:EL17"/>
    <mergeCell ref="EM16:EM17"/>
    <mergeCell ref="EN16:EN17"/>
    <mergeCell ref="EO16:EO17"/>
    <mergeCell ref="EP16:EP17"/>
    <mergeCell ref="EQ16:EQ17"/>
    <mergeCell ref="ER16:ER17"/>
    <mergeCell ref="ES16:ES17"/>
    <mergeCell ref="ET16:ET17"/>
    <mergeCell ref="EU16:EU17"/>
    <mergeCell ref="FG16:FG17"/>
    <mergeCell ref="FH16:FH17"/>
    <mergeCell ref="FI16:FI17"/>
    <mergeCell ref="FJ16:FJ17"/>
    <mergeCell ref="FK16:FK17"/>
    <mergeCell ref="FL16:FL17"/>
    <mergeCell ref="FM16:FM17"/>
    <mergeCell ref="FN16:FN17"/>
    <mergeCell ref="FO16:FO17"/>
    <mergeCell ref="FP16:FP17"/>
    <mergeCell ref="FQ16:FQ17"/>
    <mergeCell ref="FR16:FR17"/>
    <mergeCell ref="FS16:FS17"/>
    <mergeCell ref="FT16:FT17"/>
    <mergeCell ref="GD13:GD14"/>
    <mergeCell ref="GE13:GE14"/>
    <mergeCell ref="GF13:GF14"/>
    <mergeCell ref="GG13:GG14"/>
    <mergeCell ref="FZ16:FZ17"/>
    <mergeCell ref="GN46:GS46"/>
    <mergeCell ref="GT46:GY46"/>
    <mergeCell ref="GZ46:HA46"/>
    <mergeCell ref="HE46:HM46"/>
    <mergeCell ref="HN46:HV46"/>
    <mergeCell ref="HW46:HX46"/>
    <mergeCell ref="HY46:HZ46"/>
    <mergeCell ref="GN15:GS15"/>
    <mergeCell ref="GT15:GY15"/>
    <mergeCell ref="GZ15:HA15"/>
    <mergeCell ref="HE15:HM15"/>
    <mergeCell ref="HN15:HV15"/>
    <mergeCell ref="HW15:HX15"/>
    <mergeCell ref="HY15:HZ15"/>
    <mergeCell ref="GN16:GN17"/>
    <mergeCell ref="GO16:GO17"/>
    <mergeCell ref="GP16:GP17"/>
    <mergeCell ref="GQ16:GQ17"/>
    <mergeCell ref="GR16:GR17"/>
    <mergeCell ref="GS16:GS17"/>
    <mergeCell ref="GT16:GT17"/>
    <mergeCell ref="GU16:GU17"/>
    <mergeCell ref="GV16:GV17"/>
    <mergeCell ref="GW16:GW17"/>
    <mergeCell ref="GD47:GD48"/>
    <mergeCell ref="GE47:GE48"/>
    <mergeCell ref="GF47:GF48"/>
    <mergeCell ref="GG47:GG48"/>
    <mergeCell ref="GH47:GH48"/>
    <mergeCell ref="GI47:GI48"/>
    <mergeCell ref="GJ47:GJ48"/>
    <mergeCell ref="GK47:GK48"/>
    <mergeCell ref="GL47:GL48"/>
    <mergeCell ref="GM47:GM48"/>
    <mergeCell ref="GN47:GN48"/>
    <mergeCell ref="GO47:GO48"/>
    <mergeCell ref="GP47:GP48"/>
    <mergeCell ref="GQ47:GQ48"/>
    <mergeCell ref="GR47:GR48"/>
    <mergeCell ref="GS47:GS48"/>
    <mergeCell ref="GT47:GT48"/>
    <mergeCell ref="GU47:GU48"/>
    <mergeCell ref="GV47:GV48"/>
    <mergeCell ref="GW47:GW48"/>
    <mergeCell ref="GX47:GX48"/>
    <mergeCell ref="GY47:GY48"/>
    <mergeCell ref="GZ47:GZ48"/>
    <mergeCell ref="HA47:HA48"/>
    <mergeCell ref="HB47:HB48"/>
    <mergeCell ref="HC47:HC48"/>
    <mergeCell ref="HD47:HD48"/>
    <mergeCell ref="HE47:HE48"/>
    <mergeCell ref="HF47:HF48"/>
    <mergeCell ref="HG47:HG48"/>
    <mergeCell ref="HH47:HH48"/>
    <mergeCell ref="HI47:HI48"/>
    <mergeCell ref="HJ47:HJ48"/>
    <mergeCell ref="HK47:HK48"/>
    <mergeCell ref="HL47:HL48"/>
    <mergeCell ref="HM47:HM48"/>
    <mergeCell ref="HN47:HN48"/>
    <mergeCell ref="HO47:HO48"/>
    <mergeCell ref="HP47:HP48"/>
    <mergeCell ref="HQ47:HQ48"/>
    <mergeCell ref="HR47:HR48"/>
    <mergeCell ref="HS47:HS48"/>
    <mergeCell ref="HT47:HT48"/>
    <mergeCell ref="HU47:HU48"/>
    <mergeCell ref="HV47:HV48"/>
    <mergeCell ref="HW47:HW48"/>
    <mergeCell ref="HX47:HX48"/>
    <mergeCell ref="HY47:HY48"/>
    <mergeCell ref="HZ47:HZ48"/>
    <mergeCell ref="IA47:IA48"/>
    <mergeCell ref="IK44:IK45"/>
    <mergeCell ref="IL44:IL45"/>
    <mergeCell ref="IM44:IM45"/>
    <mergeCell ref="IJ47:IJ48"/>
    <mergeCell ref="IB47:IB48"/>
    <mergeCell ref="IC47:IC48"/>
    <mergeCell ref="IU46:IZ46"/>
    <mergeCell ref="JA46:JF46"/>
    <mergeCell ref="JG46:JH46"/>
    <mergeCell ref="JL46:JT46"/>
    <mergeCell ref="JU46:KC46"/>
    <mergeCell ref="KD46:KE46"/>
    <mergeCell ref="KF46:KG46"/>
    <mergeCell ref="IK47:IK48"/>
    <mergeCell ref="IL47:IL48"/>
    <mergeCell ref="IM47:IM48"/>
    <mergeCell ref="IN47:IN48"/>
    <mergeCell ref="IO47:IO48"/>
    <mergeCell ref="IP47:IP48"/>
    <mergeCell ref="IQ47:IQ48"/>
    <mergeCell ref="IR47:IR48"/>
    <mergeCell ref="IS47:IS48"/>
    <mergeCell ref="IT47:IT48"/>
    <mergeCell ref="IU47:IU48"/>
    <mergeCell ref="IV47:IV48"/>
    <mergeCell ref="IW47:IW48"/>
    <mergeCell ref="IX47:IX48"/>
    <mergeCell ref="IY47:IY48"/>
    <mergeCell ref="IZ47:IZ48"/>
    <mergeCell ref="JA47:JA48"/>
    <mergeCell ref="JB47:JB48"/>
    <mergeCell ref="JC47:JC48"/>
    <mergeCell ref="JD47:JD48"/>
    <mergeCell ref="JE47:JE48"/>
    <mergeCell ref="JF47:JF48"/>
    <mergeCell ref="JG47:JG48"/>
    <mergeCell ref="JH47:JH48"/>
    <mergeCell ref="JI47:JI48"/>
    <mergeCell ref="JJ47:JJ48"/>
    <mergeCell ref="JK47:JK48"/>
    <mergeCell ref="JL47:JL48"/>
    <mergeCell ref="JM47:JM48"/>
    <mergeCell ref="JN47:JN48"/>
    <mergeCell ref="JO47:JO48"/>
    <mergeCell ref="JP47:JP48"/>
    <mergeCell ref="JQ47:JQ48"/>
    <mergeCell ref="JR47:JR48"/>
    <mergeCell ref="JS47:JS48"/>
    <mergeCell ref="JT47:JT48"/>
    <mergeCell ref="JU47:JU48"/>
    <mergeCell ref="JV47:JV48"/>
    <mergeCell ref="JW47:JW48"/>
    <mergeCell ref="JX47:JX48"/>
    <mergeCell ref="JY47:JY48"/>
    <mergeCell ref="JZ47:JZ48"/>
    <mergeCell ref="KA47:KA48"/>
    <mergeCell ref="KB47:KB48"/>
    <mergeCell ref="MK47:MK48"/>
    <mergeCell ref="ML47:ML48"/>
    <mergeCell ref="KR44:KR45"/>
    <mergeCell ref="KS44:KS45"/>
    <mergeCell ref="KT44:KT45"/>
    <mergeCell ref="KN47:KN48"/>
    <mergeCell ref="KO47:KO48"/>
    <mergeCell ref="KP47:KP48"/>
    <mergeCell ref="KQ47:KQ48"/>
    <mergeCell ref="KP44:KP45"/>
    <mergeCell ref="KR47:KR48"/>
    <mergeCell ref="KS47:KS48"/>
    <mergeCell ref="KT47:KT48"/>
    <mergeCell ref="KU47:KU48"/>
    <mergeCell ref="KV47:KV48"/>
    <mergeCell ref="LX47:LX48"/>
    <mergeCell ref="LY47:LY48"/>
    <mergeCell ref="LZ47:LZ48"/>
    <mergeCell ref="LG47:LG48"/>
    <mergeCell ref="LH47:LH48"/>
    <mergeCell ref="LI47:LI48"/>
    <mergeCell ref="LJ47:LJ48"/>
    <mergeCell ref="LK47:LK48"/>
    <mergeCell ref="LL47:LL48"/>
    <mergeCell ref="LM47:LM48"/>
    <mergeCell ref="LN47:LN48"/>
    <mergeCell ref="KC47:KC48"/>
    <mergeCell ref="KD47:KD48"/>
    <mergeCell ref="KE47:KE48"/>
    <mergeCell ref="KF47:KF48"/>
    <mergeCell ref="KG47:KG48"/>
    <mergeCell ref="KH47:KH48"/>
    <mergeCell ref="KW47:KW48"/>
    <mergeCell ref="KX47:KX48"/>
    <mergeCell ref="KY47:KY48"/>
    <mergeCell ref="KZ47:KZ48"/>
    <mergeCell ref="LA47:LA48"/>
    <mergeCell ref="LB47:LB48"/>
    <mergeCell ref="LC47:LC48"/>
    <mergeCell ref="LD47:LD48"/>
    <mergeCell ref="LE47:LE48"/>
    <mergeCell ref="LB46:LG46"/>
    <mergeCell ref="MM47:MM48"/>
    <mergeCell ref="LO47:LO48"/>
    <mergeCell ref="LP47:LP48"/>
    <mergeCell ref="LQ47:LQ48"/>
    <mergeCell ref="LR47:LR48"/>
    <mergeCell ref="LS47:LS48"/>
    <mergeCell ref="LT47:LT48"/>
    <mergeCell ref="LU47:LU48"/>
    <mergeCell ref="LV47:LV48"/>
    <mergeCell ref="LW47:LW48"/>
    <mergeCell ref="MM46:MN46"/>
    <mergeCell ref="LH46:LM46"/>
    <mergeCell ref="LN46:LO46"/>
    <mergeCell ref="LS46:MA46"/>
    <mergeCell ref="MB46:MJ46"/>
    <mergeCell ref="MK46:ML46"/>
    <mergeCell ref="MG47:MG48"/>
    <mergeCell ref="MH47:MH48"/>
    <mergeCell ref="MI47:MI48"/>
    <mergeCell ref="MJ47:MJ48"/>
    <mergeCell ref="ME47:ME48"/>
    <mergeCell ref="MF47:MF48"/>
    <mergeCell ref="LF47:LF48"/>
    <mergeCell ref="A6:A7"/>
    <mergeCell ref="B6:B7"/>
    <mergeCell ref="M13:M14"/>
    <mergeCell ref="I16:I17"/>
    <mergeCell ref="L16:L17"/>
    <mergeCell ref="M16:M17"/>
    <mergeCell ref="KU44:KU45"/>
    <mergeCell ref="KV44:KV45"/>
    <mergeCell ref="KW44:KW45"/>
    <mergeCell ref="HR16:HR17"/>
    <mergeCell ref="HS16:HS17"/>
    <mergeCell ref="HT16:HT17"/>
    <mergeCell ref="HU16:HU17"/>
    <mergeCell ref="HV16:HV17"/>
    <mergeCell ref="HW16:HW17"/>
    <mergeCell ref="HX16:HX17"/>
    <mergeCell ref="HY16:HY17"/>
    <mergeCell ref="GD16:GD17"/>
    <mergeCell ref="GI16:GI17"/>
    <mergeCell ref="GJ16:GJ17"/>
    <mergeCell ref="GK16:GK17"/>
    <mergeCell ref="GL16:GL17"/>
    <mergeCell ref="GM16:GM17"/>
    <mergeCell ref="GX16:GX17"/>
  </mergeCells>
  <pageMargins left="0.62992125984251968" right="0.23622047244094491" top="0.35433070866141736" bottom="0.35433070866141736" header="0.11811023622047245" footer="0.11811023622047245"/>
  <pageSetup orientation="landscape" horizontalDpi="0" verticalDpi="0"/>
  <drawing r:id="rId1"/>
  <legacyDrawing r:id="rId2"/>
  <oleObjects>
    <mc:AlternateContent xmlns:mc="http://schemas.openxmlformats.org/markup-compatibility/2006">
      <mc:Choice Requires="x14">
        <oleObject progId="Equation.DSMT4" shapeId="2049" r:id="rId3">
          <objectPr defaultSize="0" r:id="rId4">
            <anchor moveWithCells="1">
              <from>
                <xdr:col>5</xdr:col>
                <xdr:colOff>200025</xdr:colOff>
                <xdr:row>3</xdr:row>
                <xdr:rowOff>114300</xdr:rowOff>
              </from>
              <to>
                <xdr:col>7</xdr:col>
                <xdr:colOff>647700</xdr:colOff>
                <xdr:row>10</xdr:row>
                <xdr:rowOff>114300</xdr:rowOff>
              </to>
            </anchor>
          </objectPr>
        </oleObject>
      </mc:Choice>
      <mc:Fallback>
        <oleObject progId="Equation.DSMT4" shapeId="2049" r:id="rId3"/>
      </mc:Fallback>
    </mc:AlternateContent>
    <mc:AlternateContent xmlns:mc="http://schemas.openxmlformats.org/markup-compatibility/2006">
      <mc:Choice Requires="x14">
        <oleObject progId="Equation.DSMT4" shapeId="2050" r:id="rId5">
          <objectPr defaultSize="0" r:id="rId6">
            <anchor moveWithCells="1">
              <from>
                <xdr:col>8</xdr:col>
                <xdr:colOff>304800</xdr:colOff>
                <xdr:row>3</xdr:row>
                <xdr:rowOff>47625</xdr:rowOff>
              </from>
              <to>
                <xdr:col>10</xdr:col>
                <xdr:colOff>647700</xdr:colOff>
                <xdr:row>5</xdr:row>
                <xdr:rowOff>114300</xdr:rowOff>
              </to>
            </anchor>
          </objectPr>
        </oleObject>
      </mc:Choice>
      <mc:Fallback>
        <oleObject progId="Equation.DSMT4" shapeId="2050" r:id="rId5"/>
      </mc:Fallback>
    </mc:AlternateContent>
    <mc:AlternateContent xmlns:mc="http://schemas.openxmlformats.org/markup-compatibility/2006">
      <mc:Choice Requires="x14">
        <oleObject progId="Equation.DSMT4" shapeId="2051" r:id="rId7">
          <objectPr defaultSize="0" r:id="rId8">
            <anchor moveWithCells="1">
              <from>
                <xdr:col>8</xdr:col>
                <xdr:colOff>219075</xdr:colOff>
                <xdr:row>6</xdr:row>
                <xdr:rowOff>76200</xdr:rowOff>
              </from>
              <to>
                <xdr:col>12</xdr:col>
                <xdr:colOff>114300</xdr:colOff>
                <xdr:row>7</xdr:row>
                <xdr:rowOff>161925</xdr:rowOff>
              </to>
            </anchor>
          </objectPr>
        </oleObject>
      </mc:Choice>
      <mc:Fallback>
        <oleObject progId="Equation.DSMT4" shapeId="2051" r:id="rId7"/>
      </mc:Fallback>
    </mc:AlternateContent>
    <mc:AlternateContent xmlns:mc="http://schemas.openxmlformats.org/markup-compatibility/2006">
      <mc:Choice Requires="x14">
        <oleObject progId="Equation.DSMT4" shapeId="2052" r:id="rId9">
          <objectPr defaultSize="0" r:id="rId10">
            <anchor moveWithCells="1">
              <from>
                <xdr:col>8</xdr:col>
                <xdr:colOff>219075</xdr:colOff>
                <xdr:row>8</xdr:row>
                <xdr:rowOff>161925</xdr:rowOff>
              </from>
              <to>
                <xdr:col>10</xdr:col>
                <xdr:colOff>981075</xdr:colOff>
                <xdr:row>11</xdr:row>
                <xdr:rowOff>9525</xdr:rowOff>
              </to>
            </anchor>
          </objectPr>
        </oleObject>
      </mc:Choice>
      <mc:Fallback>
        <oleObject progId="Equation.DSMT4" shapeId="2052" r:id="rId9"/>
      </mc:Fallback>
    </mc:AlternateContent>
    <mc:AlternateContent xmlns:mc="http://schemas.openxmlformats.org/markup-compatibility/2006">
      <mc:Choice Requires="x14">
        <oleObject progId="Equation.DSMT4" shapeId="2053" r:id="rId11">
          <objectPr defaultSize="0" r:id="rId12">
            <anchor moveWithCells="1">
              <from>
                <xdr:col>5</xdr:col>
                <xdr:colOff>428625</xdr:colOff>
                <xdr:row>12</xdr:row>
                <xdr:rowOff>152400</xdr:rowOff>
              </from>
              <to>
                <xdr:col>5</xdr:col>
                <xdr:colOff>600075</xdr:colOff>
                <xdr:row>13</xdr:row>
                <xdr:rowOff>114300</xdr:rowOff>
              </to>
            </anchor>
          </objectPr>
        </oleObject>
      </mc:Choice>
      <mc:Fallback>
        <oleObject progId="Equation.DSMT4" shapeId="2053" r:id="rId11"/>
      </mc:Fallback>
    </mc:AlternateContent>
    <mc:AlternateContent xmlns:mc="http://schemas.openxmlformats.org/markup-compatibility/2006">
      <mc:Choice Requires="x14">
        <oleObject progId="Equation.DSMT4" shapeId="2054" r:id="rId13">
          <objectPr defaultSize="0" r:id="rId14">
            <anchor moveWithCells="1">
              <from>
                <xdr:col>6</xdr:col>
                <xdr:colOff>257175</xdr:colOff>
                <xdr:row>12</xdr:row>
                <xdr:rowOff>85725</xdr:rowOff>
              </from>
              <to>
                <xdr:col>6</xdr:col>
                <xdr:colOff>647700</xdr:colOff>
                <xdr:row>13</xdr:row>
                <xdr:rowOff>180975</xdr:rowOff>
              </to>
            </anchor>
          </objectPr>
        </oleObject>
      </mc:Choice>
      <mc:Fallback>
        <oleObject progId="Equation.DSMT4" shapeId="2054" r:id="rId13"/>
      </mc:Fallback>
    </mc:AlternateContent>
    <mc:AlternateContent xmlns:mc="http://schemas.openxmlformats.org/markup-compatibility/2006">
      <mc:Choice Requires="x14">
        <oleObject progId="Equation.DSMT4" shapeId="2055" r:id="rId15">
          <objectPr defaultSize="0" r:id="rId16">
            <anchor moveWithCells="1">
              <from>
                <xdr:col>5</xdr:col>
                <xdr:colOff>295275</xdr:colOff>
                <xdr:row>15</xdr:row>
                <xdr:rowOff>104775</xdr:rowOff>
              </from>
              <to>
                <xdr:col>5</xdr:col>
                <xdr:colOff>714375</xdr:colOff>
                <xdr:row>16</xdr:row>
                <xdr:rowOff>200025</xdr:rowOff>
              </to>
            </anchor>
          </objectPr>
        </oleObject>
      </mc:Choice>
      <mc:Fallback>
        <oleObject progId="Equation.DSMT4" shapeId="2055" r:id="rId15"/>
      </mc:Fallback>
    </mc:AlternateContent>
    <mc:AlternateContent xmlns:mc="http://schemas.openxmlformats.org/markup-compatibility/2006">
      <mc:Choice Requires="x14">
        <oleObject progId="Equation.DSMT4" shapeId="2056" r:id="rId17">
          <objectPr defaultSize="0" r:id="rId18">
            <anchor moveWithCells="1">
              <from>
                <xdr:col>6</xdr:col>
                <xdr:colOff>295275</xdr:colOff>
                <xdr:row>15</xdr:row>
                <xdr:rowOff>104775</xdr:rowOff>
              </from>
              <to>
                <xdr:col>6</xdr:col>
                <xdr:colOff>714375</xdr:colOff>
                <xdr:row>16</xdr:row>
                <xdr:rowOff>200025</xdr:rowOff>
              </to>
            </anchor>
          </objectPr>
        </oleObject>
      </mc:Choice>
      <mc:Fallback>
        <oleObject progId="Equation.DSMT4" shapeId="2056" r:id="rId17"/>
      </mc:Fallback>
    </mc:AlternateContent>
    <mc:AlternateContent xmlns:mc="http://schemas.openxmlformats.org/markup-compatibility/2006">
      <mc:Choice Requires="x14">
        <oleObject progId="Equation.DSMT4" shapeId="2057" r:id="rId19">
          <objectPr defaultSize="0" r:id="rId20">
            <anchor moveWithCells="1">
              <from>
                <xdr:col>7</xdr:col>
                <xdr:colOff>314325</xdr:colOff>
                <xdr:row>12</xdr:row>
                <xdr:rowOff>85725</xdr:rowOff>
              </from>
              <to>
                <xdr:col>7</xdr:col>
                <xdr:colOff>714375</xdr:colOff>
                <xdr:row>13</xdr:row>
                <xdr:rowOff>180975</xdr:rowOff>
              </to>
            </anchor>
          </objectPr>
        </oleObject>
      </mc:Choice>
      <mc:Fallback>
        <oleObject progId="Equation.DSMT4" shapeId="2057" r:id="rId19"/>
      </mc:Fallback>
    </mc:AlternateContent>
    <mc:AlternateContent xmlns:mc="http://schemas.openxmlformats.org/markup-compatibility/2006">
      <mc:Choice Requires="x14">
        <oleObject progId="Equation.DSMT4" shapeId="2058" r:id="rId21">
          <objectPr defaultSize="0" r:id="rId22">
            <anchor moveWithCells="1">
              <from>
                <xdr:col>7</xdr:col>
                <xdr:colOff>304800</xdr:colOff>
                <xdr:row>15</xdr:row>
                <xdr:rowOff>85725</xdr:rowOff>
              </from>
              <to>
                <xdr:col>7</xdr:col>
                <xdr:colOff>714375</xdr:colOff>
                <xdr:row>16</xdr:row>
                <xdr:rowOff>180975</xdr:rowOff>
              </to>
            </anchor>
          </objectPr>
        </oleObject>
      </mc:Choice>
      <mc:Fallback>
        <oleObject progId="Equation.DSMT4" shapeId="2058" r:id="rId21"/>
      </mc:Fallback>
    </mc:AlternateContent>
    <mc:AlternateContent xmlns:mc="http://schemas.openxmlformats.org/markup-compatibility/2006">
      <mc:Choice Requires="x14">
        <oleObject progId="Equation.DSMT4" shapeId="2059" r:id="rId23">
          <objectPr defaultSize="0" r:id="rId12">
            <anchor moveWithCells="1">
              <from>
                <xdr:col>64</xdr:col>
                <xdr:colOff>428625</xdr:colOff>
                <xdr:row>12</xdr:row>
                <xdr:rowOff>152400</xdr:rowOff>
              </from>
              <to>
                <xdr:col>64</xdr:col>
                <xdr:colOff>600075</xdr:colOff>
                <xdr:row>13</xdr:row>
                <xdr:rowOff>114300</xdr:rowOff>
              </to>
            </anchor>
          </objectPr>
        </oleObject>
      </mc:Choice>
      <mc:Fallback>
        <oleObject progId="Equation.DSMT4" shapeId="2059" r:id="rId23"/>
      </mc:Fallback>
    </mc:AlternateContent>
    <mc:AlternateContent xmlns:mc="http://schemas.openxmlformats.org/markup-compatibility/2006">
      <mc:Choice Requires="x14">
        <oleObject progId="Equation.DSMT4" shapeId="2060" r:id="rId24">
          <objectPr defaultSize="0" r:id="rId14">
            <anchor moveWithCells="1">
              <from>
                <xdr:col>65</xdr:col>
                <xdr:colOff>257175</xdr:colOff>
                <xdr:row>12</xdr:row>
                <xdr:rowOff>85725</xdr:rowOff>
              </from>
              <to>
                <xdr:col>65</xdr:col>
                <xdr:colOff>647700</xdr:colOff>
                <xdr:row>13</xdr:row>
                <xdr:rowOff>180975</xdr:rowOff>
              </to>
            </anchor>
          </objectPr>
        </oleObject>
      </mc:Choice>
      <mc:Fallback>
        <oleObject progId="Equation.DSMT4" shapeId="2060" r:id="rId24"/>
      </mc:Fallback>
    </mc:AlternateContent>
    <mc:AlternateContent xmlns:mc="http://schemas.openxmlformats.org/markup-compatibility/2006">
      <mc:Choice Requires="x14">
        <oleObject progId="Equation.DSMT4" shapeId="2061" r:id="rId25">
          <objectPr defaultSize="0" r:id="rId16">
            <anchor moveWithCells="1">
              <from>
                <xdr:col>64</xdr:col>
                <xdr:colOff>295275</xdr:colOff>
                <xdr:row>15</xdr:row>
                <xdr:rowOff>104775</xdr:rowOff>
              </from>
              <to>
                <xdr:col>64</xdr:col>
                <xdr:colOff>714375</xdr:colOff>
                <xdr:row>16</xdr:row>
                <xdr:rowOff>200025</xdr:rowOff>
              </to>
            </anchor>
          </objectPr>
        </oleObject>
      </mc:Choice>
      <mc:Fallback>
        <oleObject progId="Equation.DSMT4" shapeId="2061" r:id="rId25"/>
      </mc:Fallback>
    </mc:AlternateContent>
    <mc:AlternateContent xmlns:mc="http://schemas.openxmlformats.org/markup-compatibility/2006">
      <mc:Choice Requires="x14">
        <oleObject progId="Equation.DSMT4" shapeId="2062" r:id="rId26">
          <objectPr defaultSize="0" r:id="rId18">
            <anchor moveWithCells="1">
              <from>
                <xdr:col>65</xdr:col>
                <xdr:colOff>295275</xdr:colOff>
                <xdr:row>15</xdr:row>
                <xdr:rowOff>104775</xdr:rowOff>
              </from>
              <to>
                <xdr:col>65</xdr:col>
                <xdr:colOff>714375</xdr:colOff>
                <xdr:row>16</xdr:row>
                <xdr:rowOff>200025</xdr:rowOff>
              </to>
            </anchor>
          </objectPr>
        </oleObject>
      </mc:Choice>
      <mc:Fallback>
        <oleObject progId="Equation.DSMT4" shapeId="2062" r:id="rId26"/>
      </mc:Fallback>
    </mc:AlternateContent>
    <mc:AlternateContent xmlns:mc="http://schemas.openxmlformats.org/markup-compatibility/2006">
      <mc:Choice Requires="x14">
        <oleObject progId="Equation.DSMT4" shapeId="2063" r:id="rId27">
          <objectPr defaultSize="0" r:id="rId20">
            <anchor moveWithCells="1">
              <from>
                <xdr:col>66</xdr:col>
                <xdr:colOff>333375</xdr:colOff>
                <xdr:row>12</xdr:row>
                <xdr:rowOff>85725</xdr:rowOff>
              </from>
              <to>
                <xdr:col>66</xdr:col>
                <xdr:colOff>752475</xdr:colOff>
                <xdr:row>13</xdr:row>
                <xdr:rowOff>180975</xdr:rowOff>
              </to>
            </anchor>
          </objectPr>
        </oleObject>
      </mc:Choice>
      <mc:Fallback>
        <oleObject progId="Equation.DSMT4" shapeId="2063" r:id="rId27"/>
      </mc:Fallback>
    </mc:AlternateContent>
    <mc:AlternateContent xmlns:mc="http://schemas.openxmlformats.org/markup-compatibility/2006">
      <mc:Choice Requires="x14">
        <oleObject progId="Equation.DSMT4" shapeId="2064" r:id="rId28">
          <objectPr defaultSize="0" r:id="rId22">
            <anchor moveWithCells="1">
              <from>
                <xdr:col>66</xdr:col>
                <xdr:colOff>304800</xdr:colOff>
                <xdr:row>15</xdr:row>
                <xdr:rowOff>85725</xdr:rowOff>
              </from>
              <to>
                <xdr:col>66</xdr:col>
                <xdr:colOff>714375</xdr:colOff>
                <xdr:row>16</xdr:row>
                <xdr:rowOff>180975</xdr:rowOff>
              </to>
            </anchor>
          </objectPr>
        </oleObject>
      </mc:Choice>
      <mc:Fallback>
        <oleObject progId="Equation.DSMT4" shapeId="2064" r:id="rId28"/>
      </mc:Fallback>
    </mc:AlternateContent>
    <mc:AlternateContent xmlns:mc="http://schemas.openxmlformats.org/markup-compatibility/2006">
      <mc:Choice Requires="x14">
        <oleObject progId="Equation.DSMT4" shapeId="2066" r:id="rId29">
          <objectPr defaultSize="0" r:id="rId12">
            <anchor moveWithCells="1">
              <from>
                <xdr:col>123</xdr:col>
                <xdr:colOff>428625</xdr:colOff>
                <xdr:row>12</xdr:row>
                <xdr:rowOff>152400</xdr:rowOff>
              </from>
              <to>
                <xdr:col>123</xdr:col>
                <xdr:colOff>600075</xdr:colOff>
                <xdr:row>13</xdr:row>
                <xdr:rowOff>114300</xdr:rowOff>
              </to>
            </anchor>
          </objectPr>
        </oleObject>
      </mc:Choice>
      <mc:Fallback>
        <oleObject progId="Equation.DSMT4" shapeId="2066" r:id="rId29"/>
      </mc:Fallback>
    </mc:AlternateContent>
    <mc:AlternateContent xmlns:mc="http://schemas.openxmlformats.org/markup-compatibility/2006">
      <mc:Choice Requires="x14">
        <oleObject progId="Equation.DSMT4" shapeId="2067" r:id="rId30">
          <objectPr defaultSize="0" r:id="rId14">
            <anchor moveWithCells="1">
              <from>
                <xdr:col>124</xdr:col>
                <xdr:colOff>257175</xdr:colOff>
                <xdr:row>12</xdr:row>
                <xdr:rowOff>85725</xdr:rowOff>
              </from>
              <to>
                <xdr:col>124</xdr:col>
                <xdr:colOff>647700</xdr:colOff>
                <xdr:row>13</xdr:row>
                <xdr:rowOff>180975</xdr:rowOff>
              </to>
            </anchor>
          </objectPr>
        </oleObject>
      </mc:Choice>
      <mc:Fallback>
        <oleObject progId="Equation.DSMT4" shapeId="2067" r:id="rId30"/>
      </mc:Fallback>
    </mc:AlternateContent>
    <mc:AlternateContent xmlns:mc="http://schemas.openxmlformats.org/markup-compatibility/2006">
      <mc:Choice Requires="x14">
        <oleObject progId="Equation.DSMT4" shapeId="2068" r:id="rId31">
          <objectPr defaultSize="0" r:id="rId16">
            <anchor moveWithCells="1">
              <from>
                <xdr:col>123</xdr:col>
                <xdr:colOff>295275</xdr:colOff>
                <xdr:row>15</xdr:row>
                <xdr:rowOff>104775</xdr:rowOff>
              </from>
              <to>
                <xdr:col>123</xdr:col>
                <xdr:colOff>714375</xdr:colOff>
                <xdr:row>16</xdr:row>
                <xdr:rowOff>200025</xdr:rowOff>
              </to>
            </anchor>
          </objectPr>
        </oleObject>
      </mc:Choice>
      <mc:Fallback>
        <oleObject progId="Equation.DSMT4" shapeId="2068" r:id="rId31"/>
      </mc:Fallback>
    </mc:AlternateContent>
    <mc:AlternateContent xmlns:mc="http://schemas.openxmlformats.org/markup-compatibility/2006">
      <mc:Choice Requires="x14">
        <oleObject progId="Equation.DSMT4" shapeId="2069" r:id="rId32">
          <objectPr defaultSize="0" r:id="rId18">
            <anchor moveWithCells="1">
              <from>
                <xdr:col>124</xdr:col>
                <xdr:colOff>295275</xdr:colOff>
                <xdr:row>15</xdr:row>
                <xdr:rowOff>104775</xdr:rowOff>
              </from>
              <to>
                <xdr:col>124</xdr:col>
                <xdr:colOff>714375</xdr:colOff>
                <xdr:row>16</xdr:row>
                <xdr:rowOff>200025</xdr:rowOff>
              </to>
            </anchor>
          </objectPr>
        </oleObject>
      </mc:Choice>
      <mc:Fallback>
        <oleObject progId="Equation.DSMT4" shapeId="2069" r:id="rId32"/>
      </mc:Fallback>
    </mc:AlternateContent>
    <mc:AlternateContent xmlns:mc="http://schemas.openxmlformats.org/markup-compatibility/2006">
      <mc:Choice Requires="x14">
        <oleObject progId="Equation.DSMT4" shapeId="2070" r:id="rId33">
          <objectPr defaultSize="0" r:id="rId20">
            <anchor moveWithCells="1">
              <from>
                <xdr:col>125</xdr:col>
                <xdr:colOff>314325</xdr:colOff>
                <xdr:row>12</xdr:row>
                <xdr:rowOff>85725</xdr:rowOff>
              </from>
              <to>
                <xdr:col>125</xdr:col>
                <xdr:colOff>714375</xdr:colOff>
                <xdr:row>13</xdr:row>
                <xdr:rowOff>180975</xdr:rowOff>
              </to>
            </anchor>
          </objectPr>
        </oleObject>
      </mc:Choice>
      <mc:Fallback>
        <oleObject progId="Equation.DSMT4" shapeId="2070" r:id="rId33"/>
      </mc:Fallback>
    </mc:AlternateContent>
    <mc:AlternateContent xmlns:mc="http://schemas.openxmlformats.org/markup-compatibility/2006">
      <mc:Choice Requires="x14">
        <oleObject progId="Equation.DSMT4" shapeId="2071" r:id="rId34">
          <objectPr defaultSize="0" r:id="rId22">
            <anchor moveWithCells="1">
              <from>
                <xdr:col>125</xdr:col>
                <xdr:colOff>304800</xdr:colOff>
                <xdr:row>15</xdr:row>
                <xdr:rowOff>85725</xdr:rowOff>
              </from>
              <to>
                <xdr:col>125</xdr:col>
                <xdr:colOff>714375</xdr:colOff>
                <xdr:row>16</xdr:row>
                <xdr:rowOff>180975</xdr:rowOff>
              </to>
            </anchor>
          </objectPr>
        </oleObject>
      </mc:Choice>
      <mc:Fallback>
        <oleObject progId="Equation.DSMT4" shapeId="2071" r:id="rId34"/>
      </mc:Fallback>
    </mc:AlternateContent>
    <mc:AlternateContent xmlns:mc="http://schemas.openxmlformats.org/markup-compatibility/2006">
      <mc:Choice Requires="x14">
        <oleObject progId="Equation.DSMT4" shapeId="2073" r:id="rId35">
          <objectPr defaultSize="0" r:id="rId12">
            <anchor moveWithCells="1">
              <from>
                <xdr:col>182</xdr:col>
                <xdr:colOff>428625</xdr:colOff>
                <xdr:row>12</xdr:row>
                <xdr:rowOff>152400</xdr:rowOff>
              </from>
              <to>
                <xdr:col>182</xdr:col>
                <xdr:colOff>600075</xdr:colOff>
                <xdr:row>13</xdr:row>
                <xdr:rowOff>114300</xdr:rowOff>
              </to>
            </anchor>
          </objectPr>
        </oleObject>
      </mc:Choice>
      <mc:Fallback>
        <oleObject progId="Equation.DSMT4" shapeId="2073" r:id="rId35"/>
      </mc:Fallback>
    </mc:AlternateContent>
    <mc:AlternateContent xmlns:mc="http://schemas.openxmlformats.org/markup-compatibility/2006">
      <mc:Choice Requires="x14">
        <oleObject progId="Equation.DSMT4" shapeId="2074" r:id="rId36">
          <objectPr defaultSize="0" r:id="rId14">
            <anchor moveWithCells="1">
              <from>
                <xdr:col>183</xdr:col>
                <xdr:colOff>257175</xdr:colOff>
                <xdr:row>12</xdr:row>
                <xdr:rowOff>85725</xdr:rowOff>
              </from>
              <to>
                <xdr:col>183</xdr:col>
                <xdr:colOff>647700</xdr:colOff>
                <xdr:row>13</xdr:row>
                <xdr:rowOff>180975</xdr:rowOff>
              </to>
            </anchor>
          </objectPr>
        </oleObject>
      </mc:Choice>
      <mc:Fallback>
        <oleObject progId="Equation.DSMT4" shapeId="2074" r:id="rId36"/>
      </mc:Fallback>
    </mc:AlternateContent>
    <mc:AlternateContent xmlns:mc="http://schemas.openxmlformats.org/markup-compatibility/2006">
      <mc:Choice Requires="x14">
        <oleObject progId="Equation.DSMT4" shapeId="2075" r:id="rId37">
          <objectPr defaultSize="0" r:id="rId16">
            <anchor moveWithCells="1">
              <from>
                <xdr:col>182</xdr:col>
                <xdr:colOff>295275</xdr:colOff>
                <xdr:row>15</xdr:row>
                <xdr:rowOff>104775</xdr:rowOff>
              </from>
              <to>
                <xdr:col>182</xdr:col>
                <xdr:colOff>714375</xdr:colOff>
                <xdr:row>16</xdr:row>
                <xdr:rowOff>200025</xdr:rowOff>
              </to>
            </anchor>
          </objectPr>
        </oleObject>
      </mc:Choice>
      <mc:Fallback>
        <oleObject progId="Equation.DSMT4" shapeId="2075" r:id="rId37"/>
      </mc:Fallback>
    </mc:AlternateContent>
    <mc:AlternateContent xmlns:mc="http://schemas.openxmlformats.org/markup-compatibility/2006">
      <mc:Choice Requires="x14">
        <oleObject progId="Equation.DSMT4" shapeId="2076" r:id="rId38">
          <objectPr defaultSize="0" r:id="rId18">
            <anchor moveWithCells="1">
              <from>
                <xdr:col>183</xdr:col>
                <xdr:colOff>295275</xdr:colOff>
                <xdr:row>15</xdr:row>
                <xdr:rowOff>104775</xdr:rowOff>
              </from>
              <to>
                <xdr:col>183</xdr:col>
                <xdr:colOff>714375</xdr:colOff>
                <xdr:row>16</xdr:row>
                <xdr:rowOff>200025</xdr:rowOff>
              </to>
            </anchor>
          </objectPr>
        </oleObject>
      </mc:Choice>
      <mc:Fallback>
        <oleObject progId="Equation.DSMT4" shapeId="2076" r:id="rId38"/>
      </mc:Fallback>
    </mc:AlternateContent>
    <mc:AlternateContent xmlns:mc="http://schemas.openxmlformats.org/markup-compatibility/2006">
      <mc:Choice Requires="x14">
        <oleObject progId="Equation.DSMT4" shapeId="2077" r:id="rId39">
          <objectPr defaultSize="0" r:id="rId20">
            <anchor moveWithCells="1">
              <from>
                <xdr:col>184</xdr:col>
                <xdr:colOff>314325</xdr:colOff>
                <xdr:row>12</xdr:row>
                <xdr:rowOff>85725</xdr:rowOff>
              </from>
              <to>
                <xdr:col>184</xdr:col>
                <xdr:colOff>714375</xdr:colOff>
                <xdr:row>13</xdr:row>
                <xdr:rowOff>180975</xdr:rowOff>
              </to>
            </anchor>
          </objectPr>
        </oleObject>
      </mc:Choice>
      <mc:Fallback>
        <oleObject progId="Equation.DSMT4" shapeId="2077" r:id="rId39"/>
      </mc:Fallback>
    </mc:AlternateContent>
    <mc:AlternateContent xmlns:mc="http://schemas.openxmlformats.org/markup-compatibility/2006">
      <mc:Choice Requires="x14">
        <oleObject progId="Equation.DSMT4" shapeId="2078" r:id="rId40">
          <objectPr defaultSize="0" r:id="rId22">
            <anchor moveWithCells="1">
              <from>
                <xdr:col>184</xdr:col>
                <xdr:colOff>304800</xdr:colOff>
                <xdr:row>15</xdr:row>
                <xdr:rowOff>85725</xdr:rowOff>
              </from>
              <to>
                <xdr:col>184</xdr:col>
                <xdr:colOff>714375</xdr:colOff>
                <xdr:row>16</xdr:row>
                <xdr:rowOff>180975</xdr:rowOff>
              </to>
            </anchor>
          </objectPr>
        </oleObject>
      </mc:Choice>
      <mc:Fallback>
        <oleObject progId="Equation.DSMT4" shapeId="2078" r:id="rId40"/>
      </mc:Fallback>
    </mc:AlternateContent>
    <mc:AlternateContent xmlns:mc="http://schemas.openxmlformats.org/markup-compatibility/2006">
      <mc:Choice Requires="x14">
        <oleObject progId="Equation.DSMT4" shapeId="2080" r:id="rId41">
          <objectPr defaultSize="0" r:id="rId12">
            <anchor moveWithCells="1">
              <from>
                <xdr:col>241</xdr:col>
                <xdr:colOff>428625</xdr:colOff>
                <xdr:row>12</xdr:row>
                <xdr:rowOff>152400</xdr:rowOff>
              </from>
              <to>
                <xdr:col>241</xdr:col>
                <xdr:colOff>600075</xdr:colOff>
                <xdr:row>13</xdr:row>
                <xdr:rowOff>114300</xdr:rowOff>
              </to>
            </anchor>
          </objectPr>
        </oleObject>
      </mc:Choice>
      <mc:Fallback>
        <oleObject progId="Equation.DSMT4" shapeId="2080" r:id="rId41"/>
      </mc:Fallback>
    </mc:AlternateContent>
    <mc:AlternateContent xmlns:mc="http://schemas.openxmlformats.org/markup-compatibility/2006">
      <mc:Choice Requires="x14">
        <oleObject progId="Equation.DSMT4" shapeId="2081" r:id="rId42">
          <objectPr defaultSize="0" r:id="rId14">
            <anchor moveWithCells="1">
              <from>
                <xdr:col>242</xdr:col>
                <xdr:colOff>257175</xdr:colOff>
                <xdr:row>12</xdr:row>
                <xdr:rowOff>85725</xdr:rowOff>
              </from>
              <to>
                <xdr:col>242</xdr:col>
                <xdr:colOff>647700</xdr:colOff>
                <xdr:row>13</xdr:row>
                <xdr:rowOff>180975</xdr:rowOff>
              </to>
            </anchor>
          </objectPr>
        </oleObject>
      </mc:Choice>
      <mc:Fallback>
        <oleObject progId="Equation.DSMT4" shapeId="2081" r:id="rId42"/>
      </mc:Fallback>
    </mc:AlternateContent>
    <mc:AlternateContent xmlns:mc="http://schemas.openxmlformats.org/markup-compatibility/2006">
      <mc:Choice Requires="x14">
        <oleObject progId="Equation.DSMT4" shapeId="2082" r:id="rId43">
          <objectPr defaultSize="0" r:id="rId16">
            <anchor moveWithCells="1">
              <from>
                <xdr:col>241</xdr:col>
                <xdr:colOff>295275</xdr:colOff>
                <xdr:row>15</xdr:row>
                <xdr:rowOff>104775</xdr:rowOff>
              </from>
              <to>
                <xdr:col>241</xdr:col>
                <xdr:colOff>714375</xdr:colOff>
                <xdr:row>16</xdr:row>
                <xdr:rowOff>200025</xdr:rowOff>
              </to>
            </anchor>
          </objectPr>
        </oleObject>
      </mc:Choice>
      <mc:Fallback>
        <oleObject progId="Equation.DSMT4" shapeId="2082" r:id="rId43"/>
      </mc:Fallback>
    </mc:AlternateContent>
    <mc:AlternateContent xmlns:mc="http://schemas.openxmlformats.org/markup-compatibility/2006">
      <mc:Choice Requires="x14">
        <oleObject progId="Equation.DSMT4" shapeId="2083" r:id="rId44">
          <objectPr defaultSize="0" r:id="rId18">
            <anchor moveWithCells="1">
              <from>
                <xdr:col>242</xdr:col>
                <xdr:colOff>295275</xdr:colOff>
                <xdr:row>15</xdr:row>
                <xdr:rowOff>104775</xdr:rowOff>
              </from>
              <to>
                <xdr:col>242</xdr:col>
                <xdr:colOff>714375</xdr:colOff>
                <xdr:row>16</xdr:row>
                <xdr:rowOff>200025</xdr:rowOff>
              </to>
            </anchor>
          </objectPr>
        </oleObject>
      </mc:Choice>
      <mc:Fallback>
        <oleObject progId="Equation.DSMT4" shapeId="2083" r:id="rId44"/>
      </mc:Fallback>
    </mc:AlternateContent>
    <mc:AlternateContent xmlns:mc="http://schemas.openxmlformats.org/markup-compatibility/2006">
      <mc:Choice Requires="x14">
        <oleObject progId="Equation.DSMT4" shapeId="2084" r:id="rId45">
          <objectPr defaultSize="0" r:id="rId20">
            <anchor moveWithCells="1">
              <from>
                <xdr:col>243</xdr:col>
                <xdr:colOff>314325</xdr:colOff>
                <xdr:row>12</xdr:row>
                <xdr:rowOff>85725</xdr:rowOff>
              </from>
              <to>
                <xdr:col>243</xdr:col>
                <xdr:colOff>714375</xdr:colOff>
                <xdr:row>13</xdr:row>
                <xdr:rowOff>180975</xdr:rowOff>
              </to>
            </anchor>
          </objectPr>
        </oleObject>
      </mc:Choice>
      <mc:Fallback>
        <oleObject progId="Equation.DSMT4" shapeId="2084" r:id="rId45"/>
      </mc:Fallback>
    </mc:AlternateContent>
    <mc:AlternateContent xmlns:mc="http://schemas.openxmlformats.org/markup-compatibility/2006">
      <mc:Choice Requires="x14">
        <oleObject progId="Equation.DSMT4" shapeId="2085" r:id="rId46">
          <objectPr defaultSize="0" r:id="rId22">
            <anchor moveWithCells="1">
              <from>
                <xdr:col>243</xdr:col>
                <xdr:colOff>304800</xdr:colOff>
                <xdr:row>15</xdr:row>
                <xdr:rowOff>85725</xdr:rowOff>
              </from>
              <to>
                <xdr:col>243</xdr:col>
                <xdr:colOff>714375</xdr:colOff>
                <xdr:row>16</xdr:row>
                <xdr:rowOff>180975</xdr:rowOff>
              </to>
            </anchor>
          </objectPr>
        </oleObject>
      </mc:Choice>
      <mc:Fallback>
        <oleObject progId="Equation.DSMT4" shapeId="2085" r:id="rId46"/>
      </mc:Fallback>
    </mc:AlternateContent>
    <mc:AlternateContent xmlns:mc="http://schemas.openxmlformats.org/markup-compatibility/2006">
      <mc:Choice Requires="x14">
        <oleObject progId="Equation.DSMT4" shapeId="2087" r:id="rId47">
          <objectPr defaultSize="0" r:id="rId12">
            <anchor moveWithCells="1">
              <from>
                <xdr:col>300</xdr:col>
                <xdr:colOff>428625</xdr:colOff>
                <xdr:row>12</xdr:row>
                <xdr:rowOff>152400</xdr:rowOff>
              </from>
              <to>
                <xdr:col>300</xdr:col>
                <xdr:colOff>600075</xdr:colOff>
                <xdr:row>13</xdr:row>
                <xdr:rowOff>114300</xdr:rowOff>
              </to>
            </anchor>
          </objectPr>
        </oleObject>
      </mc:Choice>
      <mc:Fallback>
        <oleObject progId="Equation.DSMT4" shapeId="2087" r:id="rId47"/>
      </mc:Fallback>
    </mc:AlternateContent>
    <mc:AlternateContent xmlns:mc="http://schemas.openxmlformats.org/markup-compatibility/2006">
      <mc:Choice Requires="x14">
        <oleObject progId="Equation.DSMT4" shapeId="2088" r:id="rId48">
          <objectPr defaultSize="0" r:id="rId14">
            <anchor moveWithCells="1">
              <from>
                <xdr:col>301</xdr:col>
                <xdr:colOff>257175</xdr:colOff>
                <xdr:row>12</xdr:row>
                <xdr:rowOff>85725</xdr:rowOff>
              </from>
              <to>
                <xdr:col>301</xdr:col>
                <xdr:colOff>647700</xdr:colOff>
                <xdr:row>13</xdr:row>
                <xdr:rowOff>180975</xdr:rowOff>
              </to>
            </anchor>
          </objectPr>
        </oleObject>
      </mc:Choice>
      <mc:Fallback>
        <oleObject progId="Equation.DSMT4" shapeId="2088" r:id="rId48"/>
      </mc:Fallback>
    </mc:AlternateContent>
    <mc:AlternateContent xmlns:mc="http://schemas.openxmlformats.org/markup-compatibility/2006">
      <mc:Choice Requires="x14">
        <oleObject progId="Equation.DSMT4" shapeId="2089" r:id="rId49">
          <objectPr defaultSize="0" r:id="rId16">
            <anchor moveWithCells="1">
              <from>
                <xdr:col>300</xdr:col>
                <xdr:colOff>295275</xdr:colOff>
                <xdr:row>15</xdr:row>
                <xdr:rowOff>104775</xdr:rowOff>
              </from>
              <to>
                <xdr:col>300</xdr:col>
                <xdr:colOff>714375</xdr:colOff>
                <xdr:row>16</xdr:row>
                <xdr:rowOff>200025</xdr:rowOff>
              </to>
            </anchor>
          </objectPr>
        </oleObject>
      </mc:Choice>
      <mc:Fallback>
        <oleObject progId="Equation.DSMT4" shapeId="2089" r:id="rId49"/>
      </mc:Fallback>
    </mc:AlternateContent>
    <mc:AlternateContent xmlns:mc="http://schemas.openxmlformats.org/markup-compatibility/2006">
      <mc:Choice Requires="x14">
        <oleObject progId="Equation.DSMT4" shapeId="2090" r:id="rId50">
          <objectPr defaultSize="0" r:id="rId18">
            <anchor moveWithCells="1">
              <from>
                <xdr:col>301</xdr:col>
                <xdr:colOff>295275</xdr:colOff>
                <xdr:row>15</xdr:row>
                <xdr:rowOff>104775</xdr:rowOff>
              </from>
              <to>
                <xdr:col>301</xdr:col>
                <xdr:colOff>714375</xdr:colOff>
                <xdr:row>16</xdr:row>
                <xdr:rowOff>200025</xdr:rowOff>
              </to>
            </anchor>
          </objectPr>
        </oleObject>
      </mc:Choice>
      <mc:Fallback>
        <oleObject progId="Equation.DSMT4" shapeId="2090" r:id="rId50"/>
      </mc:Fallback>
    </mc:AlternateContent>
    <mc:AlternateContent xmlns:mc="http://schemas.openxmlformats.org/markup-compatibility/2006">
      <mc:Choice Requires="x14">
        <oleObject progId="Equation.DSMT4" shapeId="2091" r:id="rId51">
          <objectPr defaultSize="0" r:id="rId20">
            <anchor moveWithCells="1">
              <from>
                <xdr:col>302</xdr:col>
                <xdr:colOff>314325</xdr:colOff>
                <xdr:row>12</xdr:row>
                <xdr:rowOff>85725</xdr:rowOff>
              </from>
              <to>
                <xdr:col>302</xdr:col>
                <xdr:colOff>714375</xdr:colOff>
                <xdr:row>13</xdr:row>
                <xdr:rowOff>180975</xdr:rowOff>
              </to>
            </anchor>
          </objectPr>
        </oleObject>
      </mc:Choice>
      <mc:Fallback>
        <oleObject progId="Equation.DSMT4" shapeId="2091" r:id="rId51"/>
      </mc:Fallback>
    </mc:AlternateContent>
    <mc:AlternateContent xmlns:mc="http://schemas.openxmlformats.org/markup-compatibility/2006">
      <mc:Choice Requires="x14">
        <oleObject progId="Equation.DSMT4" shapeId="2092" r:id="rId52">
          <objectPr defaultSize="0" r:id="rId22">
            <anchor moveWithCells="1">
              <from>
                <xdr:col>302</xdr:col>
                <xdr:colOff>304800</xdr:colOff>
                <xdr:row>15</xdr:row>
                <xdr:rowOff>85725</xdr:rowOff>
              </from>
              <to>
                <xdr:col>302</xdr:col>
                <xdr:colOff>714375</xdr:colOff>
                <xdr:row>16</xdr:row>
                <xdr:rowOff>180975</xdr:rowOff>
              </to>
            </anchor>
          </objectPr>
        </oleObject>
      </mc:Choice>
      <mc:Fallback>
        <oleObject progId="Equation.DSMT4" shapeId="2092" r:id="rId52"/>
      </mc:Fallback>
    </mc:AlternateContent>
    <mc:AlternateContent xmlns:mc="http://schemas.openxmlformats.org/markup-compatibility/2006">
      <mc:Choice Requires="x14">
        <oleObject progId="Equation.DSMT4" shapeId="2094" r:id="rId53">
          <objectPr defaultSize="0" r:id="rId12">
            <anchor moveWithCells="1">
              <from>
                <xdr:col>5</xdr:col>
                <xdr:colOff>428625</xdr:colOff>
                <xdr:row>43</xdr:row>
                <xdr:rowOff>152400</xdr:rowOff>
              </from>
              <to>
                <xdr:col>5</xdr:col>
                <xdr:colOff>600075</xdr:colOff>
                <xdr:row>44</xdr:row>
                <xdr:rowOff>114300</xdr:rowOff>
              </to>
            </anchor>
          </objectPr>
        </oleObject>
      </mc:Choice>
      <mc:Fallback>
        <oleObject progId="Equation.DSMT4" shapeId="2094" r:id="rId53"/>
      </mc:Fallback>
    </mc:AlternateContent>
    <mc:AlternateContent xmlns:mc="http://schemas.openxmlformats.org/markup-compatibility/2006">
      <mc:Choice Requires="x14">
        <oleObject progId="Equation.DSMT4" shapeId="2095" r:id="rId54">
          <objectPr defaultSize="0" r:id="rId14">
            <anchor moveWithCells="1">
              <from>
                <xdr:col>6</xdr:col>
                <xdr:colOff>257175</xdr:colOff>
                <xdr:row>43</xdr:row>
                <xdr:rowOff>85725</xdr:rowOff>
              </from>
              <to>
                <xdr:col>6</xdr:col>
                <xdr:colOff>647700</xdr:colOff>
                <xdr:row>44</xdr:row>
                <xdr:rowOff>180975</xdr:rowOff>
              </to>
            </anchor>
          </objectPr>
        </oleObject>
      </mc:Choice>
      <mc:Fallback>
        <oleObject progId="Equation.DSMT4" shapeId="2095" r:id="rId54"/>
      </mc:Fallback>
    </mc:AlternateContent>
    <mc:AlternateContent xmlns:mc="http://schemas.openxmlformats.org/markup-compatibility/2006">
      <mc:Choice Requires="x14">
        <oleObject progId="Equation.DSMT4" shapeId="2096" r:id="rId55">
          <objectPr defaultSize="0" r:id="rId16">
            <anchor moveWithCells="1">
              <from>
                <xdr:col>5</xdr:col>
                <xdr:colOff>295275</xdr:colOff>
                <xdr:row>46</xdr:row>
                <xdr:rowOff>104775</xdr:rowOff>
              </from>
              <to>
                <xdr:col>5</xdr:col>
                <xdr:colOff>714375</xdr:colOff>
                <xdr:row>47</xdr:row>
                <xdr:rowOff>200025</xdr:rowOff>
              </to>
            </anchor>
          </objectPr>
        </oleObject>
      </mc:Choice>
      <mc:Fallback>
        <oleObject progId="Equation.DSMT4" shapeId="2096" r:id="rId55"/>
      </mc:Fallback>
    </mc:AlternateContent>
    <mc:AlternateContent xmlns:mc="http://schemas.openxmlformats.org/markup-compatibility/2006">
      <mc:Choice Requires="x14">
        <oleObject progId="Equation.DSMT4" shapeId="2097" r:id="rId56">
          <objectPr defaultSize="0" r:id="rId18">
            <anchor moveWithCells="1">
              <from>
                <xdr:col>6</xdr:col>
                <xdr:colOff>295275</xdr:colOff>
                <xdr:row>46</xdr:row>
                <xdr:rowOff>104775</xdr:rowOff>
              </from>
              <to>
                <xdr:col>6</xdr:col>
                <xdr:colOff>714375</xdr:colOff>
                <xdr:row>47</xdr:row>
                <xdr:rowOff>200025</xdr:rowOff>
              </to>
            </anchor>
          </objectPr>
        </oleObject>
      </mc:Choice>
      <mc:Fallback>
        <oleObject progId="Equation.DSMT4" shapeId="2097" r:id="rId56"/>
      </mc:Fallback>
    </mc:AlternateContent>
    <mc:AlternateContent xmlns:mc="http://schemas.openxmlformats.org/markup-compatibility/2006">
      <mc:Choice Requires="x14">
        <oleObject progId="Equation.DSMT4" shapeId="2098" r:id="rId57">
          <objectPr defaultSize="0" r:id="rId20">
            <anchor moveWithCells="1">
              <from>
                <xdr:col>7</xdr:col>
                <xdr:colOff>314325</xdr:colOff>
                <xdr:row>43</xdr:row>
                <xdr:rowOff>85725</xdr:rowOff>
              </from>
              <to>
                <xdr:col>7</xdr:col>
                <xdr:colOff>714375</xdr:colOff>
                <xdr:row>44</xdr:row>
                <xdr:rowOff>180975</xdr:rowOff>
              </to>
            </anchor>
          </objectPr>
        </oleObject>
      </mc:Choice>
      <mc:Fallback>
        <oleObject progId="Equation.DSMT4" shapeId="2098" r:id="rId57"/>
      </mc:Fallback>
    </mc:AlternateContent>
    <mc:AlternateContent xmlns:mc="http://schemas.openxmlformats.org/markup-compatibility/2006">
      <mc:Choice Requires="x14">
        <oleObject progId="Equation.DSMT4" shapeId="2099" r:id="rId58">
          <objectPr defaultSize="0" r:id="rId22">
            <anchor moveWithCells="1">
              <from>
                <xdr:col>7</xdr:col>
                <xdr:colOff>304800</xdr:colOff>
                <xdr:row>46</xdr:row>
                <xdr:rowOff>85725</xdr:rowOff>
              </from>
              <to>
                <xdr:col>7</xdr:col>
                <xdr:colOff>714375</xdr:colOff>
                <xdr:row>47</xdr:row>
                <xdr:rowOff>180975</xdr:rowOff>
              </to>
            </anchor>
          </objectPr>
        </oleObject>
      </mc:Choice>
      <mc:Fallback>
        <oleObject progId="Equation.DSMT4" shapeId="2099" r:id="rId58"/>
      </mc:Fallback>
    </mc:AlternateContent>
    <mc:AlternateContent xmlns:mc="http://schemas.openxmlformats.org/markup-compatibility/2006">
      <mc:Choice Requires="x14">
        <oleObject progId="Equation.DSMT4" shapeId="2101" r:id="rId59">
          <objectPr defaultSize="0" r:id="rId12">
            <anchor moveWithCells="1">
              <from>
                <xdr:col>64</xdr:col>
                <xdr:colOff>428625</xdr:colOff>
                <xdr:row>43</xdr:row>
                <xdr:rowOff>152400</xdr:rowOff>
              </from>
              <to>
                <xdr:col>64</xdr:col>
                <xdr:colOff>600075</xdr:colOff>
                <xdr:row>44</xdr:row>
                <xdr:rowOff>114300</xdr:rowOff>
              </to>
            </anchor>
          </objectPr>
        </oleObject>
      </mc:Choice>
      <mc:Fallback>
        <oleObject progId="Equation.DSMT4" shapeId="2101" r:id="rId59"/>
      </mc:Fallback>
    </mc:AlternateContent>
    <mc:AlternateContent xmlns:mc="http://schemas.openxmlformats.org/markup-compatibility/2006">
      <mc:Choice Requires="x14">
        <oleObject progId="Equation.DSMT4" shapeId="2102" r:id="rId60">
          <objectPr defaultSize="0" r:id="rId14">
            <anchor moveWithCells="1">
              <from>
                <xdr:col>65</xdr:col>
                <xdr:colOff>257175</xdr:colOff>
                <xdr:row>43</xdr:row>
                <xdr:rowOff>85725</xdr:rowOff>
              </from>
              <to>
                <xdr:col>65</xdr:col>
                <xdr:colOff>647700</xdr:colOff>
                <xdr:row>44</xdr:row>
                <xdr:rowOff>180975</xdr:rowOff>
              </to>
            </anchor>
          </objectPr>
        </oleObject>
      </mc:Choice>
      <mc:Fallback>
        <oleObject progId="Equation.DSMT4" shapeId="2102" r:id="rId60"/>
      </mc:Fallback>
    </mc:AlternateContent>
    <mc:AlternateContent xmlns:mc="http://schemas.openxmlformats.org/markup-compatibility/2006">
      <mc:Choice Requires="x14">
        <oleObject progId="Equation.DSMT4" shapeId="2103" r:id="rId61">
          <objectPr defaultSize="0" r:id="rId16">
            <anchor moveWithCells="1">
              <from>
                <xdr:col>64</xdr:col>
                <xdr:colOff>295275</xdr:colOff>
                <xdr:row>46</xdr:row>
                <xdr:rowOff>104775</xdr:rowOff>
              </from>
              <to>
                <xdr:col>64</xdr:col>
                <xdr:colOff>714375</xdr:colOff>
                <xdr:row>47</xdr:row>
                <xdr:rowOff>200025</xdr:rowOff>
              </to>
            </anchor>
          </objectPr>
        </oleObject>
      </mc:Choice>
      <mc:Fallback>
        <oleObject progId="Equation.DSMT4" shapeId="2103" r:id="rId61"/>
      </mc:Fallback>
    </mc:AlternateContent>
    <mc:AlternateContent xmlns:mc="http://schemas.openxmlformats.org/markup-compatibility/2006">
      <mc:Choice Requires="x14">
        <oleObject progId="Equation.DSMT4" shapeId="2104" r:id="rId62">
          <objectPr defaultSize="0" r:id="rId18">
            <anchor moveWithCells="1">
              <from>
                <xdr:col>65</xdr:col>
                <xdr:colOff>295275</xdr:colOff>
                <xdr:row>46</xdr:row>
                <xdr:rowOff>104775</xdr:rowOff>
              </from>
              <to>
                <xdr:col>65</xdr:col>
                <xdr:colOff>714375</xdr:colOff>
                <xdr:row>47</xdr:row>
                <xdr:rowOff>200025</xdr:rowOff>
              </to>
            </anchor>
          </objectPr>
        </oleObject>
      </mc:Choice>
      <mc:Fallback>
        <oleObject progId="Equation.DSMT4" shapeId="2104" r:id="rId62"/>
      </mc:Fallback>
    </mc:AlternateContent>
    <mc:AlternateContent xmlns:mc="http://schemas.openxmlformats.org/markup-compatibility/2006">
      <mc:Choice Requires="x14">
        <oleObject progId="Equation.DSMT4" shapeId="2105" r:id="rId63">
          <objectPr defaultSize="0" r:id="rId20">
            <anchor moveWithCells="1">
              <from>
                <xdr:col>66</xdr:col>
                <xdr:colOff>314325</xdr:colOff>
                <xdr:row>43</xdr:row>
                <xdr:rowOff>85725</xdr:rowOff>
              </from>
              <to>
                <xdr:col>66</xdr:col>
                <xdr:colOff>714375</xdr:colOff>
                <xdr:row>44</xdr:row>
                <xdr:rowOff>180975</xdr:rowOff>
              </to>
            </anchor>
          </objectPr>
        </oleObject>
      </mc:Choice>
      <mc:Fallback>
        <oleObject progId="Equation.DSMT4" shapeId="2105" r:id="rId63"/>
      </mc:Fallback>
    </mc:AlternateContent>
    <mc:AlternateContent xmlns:mc="http://schemas.openxmlformats.org/markup-compatibility/2006">
      <mc:Choice Requires="x14">
        <oleObject progId="Equation.DSMT4" shapeId="2106" r:id="rId64">
          <objectPr defaultSize="0" r:id="rId22">
            <anchor moveWithCells="1">
              <from>
                <xdr:col>66</xdr:col>
                <xdr:colOff>304800</xdr:colOff>
                <xdr:row>46</xdr:row>
                <xdr:rowOff>85725</xdr:rowOff>
              </from>
              <to>
                <xdr:col>66</xdr:col>
                <xdr:colOff>714375</xdr:colOff>
                <xdr:row>47</xdr:row>
                <xdr:rowOff>180975</xdr:rowOff>
              </to>
            </anchor>
          </objectPr>
        </oleObject>
      </mc:Choice>
      <mc:Fallback>
        <oleObject progId="Equation.DSMT4" shapeId="2106" r:id="rId64"/>
      </mc:Fallback>
    </mc:AlternateContent>
    <mc:AlternateContent xmlns:mc="http://schemas.openxmlformats.org/markup-compatibility/2006">
      <mc:Choice Requires="x14">
        <oleObject progId="Equation.DSMT4" shapeId="2108" r:id="rId65">
          <objectPr defaultSize="0" r:id="rId12">
            <anchor moveWithCells="1">
              <from>
                <xdr:col>123</xdr:col>
                <xdr:colOff>428625</xdr:colOff>
                <xdr:row>43</xdr:row>
                <xdr:rowOff>152400</xdr:rowOff>
              </from>
              <to>
                <xdr:col>123</xdr:col>
                <xdr:colOff>600075</xdr:colOff>
                <xdr:row>44</xdr:row>
                <xdr:rowOff>114300</xdr:rowOff>
              </to>
            </anchor>
          </objectPr>
        </oleObject>
      </mc:Choice>
      <mc:Fallback>
        <oleObject progId="Equation.DSMT4" shapeId="2108" r:id="rId65"/>
      </mc:Fallback>
    </mc:AlternateContent>
    <mc:AlternateContent xmlns:mc="http://schemas.openxmlformats.org/markup-compatibility/2006">
      <mc:Choice Requires="x14">
        <oleObject progId="Equation.DSMT4" shapeId="2109" r:id="rId66">
          <objectPr defaultSize="0" r:id="rId14">
            <anchor moveWithCells="1">
              <from>
                <xdr:col>124</xdr:col>
                <xdr:colOff>257175</xdr:colOff>
                <xdr:row>43</xdr:row>
                <xdr:rowOff>85725</xdr:rowOff>
              </from>
              <to>
                <xdr:col>124</xdr:col>
                <xdr:colOff>647700</xdr:colOff>
                <xdr:row>44</xdr:row>
                <xdr:rowOff>180975</xdr:rowOff>
              </to>
            </anchor>
          </objectPr>
        </oleObject>
      </mc:Choice>
      <mc:Fallback>
        <oleObject progId="Equation.DSMT4" shapeId="2109" r:id="rId66"/>
      </mc:Fallback>
    </mc:AlternateContent>
    <mc:AlternateContent xmlns:mc="http://schemas.openxmlformats.org/markup-compatibility/2006">
      <mc:Choice Requires="x14">
        <oleObject progId="Equation.DSMT4" shapeId="2110" r:id="rId67">
          <objectPr defaultSize="0" r:id="rId16">
            <anchor moveWithCells="1">
              <from>
                <xdr:col>123</xdr:col>
                <xdr:colOff>295275</xdr:colOff>
                <xdr:row>46</xdr:row>
                <xdr:rowOff>104775</xdr:rowOff>
              </from>
              <to>
                <xdr:col>123</xdr:col>
                <xdr:colOff>714375</xdr:colOff>
                <xdr:row>47</xdr:row>
                <xdr:rowOff>200025</xdr:rowOff>
              </to>
            </anchor>
          </objectPr>
        </oleObject>
      </mc:Choice>
      <mc:Fallback>
        <oleObject progId="Equation.DSMT4" shapeId="2110" r:id="rId67"/>
      </mc:Fallback>
    </mc:AlternateContent>
    <mc:AlternateContent xmlns:mc="http://schemas.openxmlformats.org/markup-compatibility/2006">
      <mc:Choice Requires="x14">
        <oleObject progId="Equation.DSMT4" shapeId="2111" r:id="rId68">
          <objectPr defaultSize="0" r:id="rId18">
            <anchor moveWithCells="1">
              <from>
                <xdr:col>124</xdr:col>
                <xdr:colOff>295275</xdr:colOff>
                <xdr:row>46</xdr:row>
                <xdr:rowOff>104775</xdr:rowOff>
              </from>
              <to>
                <xdr:col>124</xdr:col>
                <xdr:colOff>714375</xdr:colOff>
                <xdr:row>47</xdr:row>
                <xdr:rowOff>200025</xdr:rowOff>
              </to>
            </anchor>
          </objectPr>
        </oleObject>
      </mc:Choice>
      <mc:Fallback>
        <oleObject progId="Equation.DSMT4" shapeId="2111" r:id="rId68"/>
      </mc:Fallback>
    </mc:AlternateContent>
    <mc:AlternateContent xmlns:mc="http://schemas.openxmlformats.org/markup-compatibility/2006">
      <mc:Choice Requires="x14">
        <oleObject progId="Equation.DSMT4" shapeId="2112" r:id="rId69">
          <objectPr defaultSize="0" r:id="rId20">
            <anchor moveWithCells="1">
              <from>
                <xdr:col>125</xdr:col>
                <xdr:colOff>314325</xdr:colOff>
                <xdr:row>43</xdr:row>
                <xdr:rowOff>85725</xdr:rowOff>
              </from>
              <to>
                <xdr:col>125</xdr:col>
                <xdr:colOff>714375</xdr:colOff>
                <xdr:row>44</xdr:row>
                <xdr:rowOff>180975</xdr:rowOff>
              </to>
            </anchor>
          </objectPr>
        </oleObject>
      </mc:Choice>
      <mc:Fallback>
        <oleObject progId="Equation.DSMT4" shapeId="2112" r:id="rId69"/>
      </mc:Fallback>
    </mc:AlternateContent>
    <mc:AlternateContent xmlns:mc="http://schemas.openxmlformats.org/markup-compatibility/2006">
      <mc:Choice Requires="x14">
        <oleObject progId="Equation.DSMT4" shapeId="2113" r:id="rId70">
          <objectPr defaultSize="0" r:id="rId22">
            <anchor moveWithCells="1">
              <from>
                <xdr:col>125</xdr:col>
                <xdr:colOff>304800</xdr:colOff>
                <xdr:row>46</xdr:row>
                <xdr:rowOff>85725</xdr:rowOff>
              </from>
              <to>
                <xdr:col>125</xdr:col>
                <xdr:colOff>714375</xdr:colOff>
                <xdr:row>47</xdr:row>
                <xdr:rowOff>180975</xdr:rowOff>
              </to>
            </anchor>
          </objectPr>
        </oleObject>
      </mc:Choice>
      <mc:Fallback>
        <oleObject progId="Equation.DSMT4" shapeId="2113" r:id="rId70"/>
      </mc:Fallback>
    </mc:AlternateContent>
    <mc:AlternateContent xmlns:mc="http://schemas.openxmlformats.org/markup-compatibility/2006">
      <mc:Choice Requires="x14">
        <oleObject progId="Equation.DSMT4" shapeId="2115" r:id="rId71">
          <objectPr defaultSize="0" r:id="rId12">
            <anchor moveWithCells="1">
              <from>
                <xdr:col>182</xdr:col>
                <xdr:colOff>428625</xdr:colOff>
                <xdr:row>43</xdr:row>
                <xdr:rowOff>152400</xdr:rowOff>
              </from>
              <to>
                <xdr:col>182</xdr:col>
                <xdr:colOff>600075</xdr:colOff>
                <xdr:row>44</xdr:row>
                <xdr:rowOff>114300</xdr:rowOff>
              </to>
            </anchor>
          </objectPr>
        </oleObject>
      </mc:Choice>
      <mc:Fallback>
        <oleObject progId="Equation.DSMT4" shapeId="2115" r:id="rId71"/>
      </mc:Fallback>
    </mc:AlternateContent>
    <mc:AlternateContent xmlns:mc="http://schemas.openxmlformats.org/markup-compatibility/2006">
      <mc:Choice Requires="x14">
        <oleObject progId="Equation.DSMT4" shapeId="2116" r:id="rId72">
          <objectPr defaultSize="0" r:id="rId14">
            <anchor moveWithCells="1">
              <from>
                <xdr:col>183</xdr:col>
                <xdr:colOff>257175</xdr:colOff>
                <xdr:row>43</xdr:row>
                <xdr:rowOff>85725</xdr:rowOff>
              </from>
              <to>
                <xdr:col>183</xdr:col>
                <xdr:colOff>647700</xdr:colOff>
                <xdr:row>44</xdr:row>
                <xdr:rowOff>180975</xdr:rowOff>
              </to>
            </anchor>
          </objectPr>
        </oleObject>
      </mc:Choice>
      <mc:Fallback>
        <oleObject progId="Equation.DSMT4" shapeId="2116" r:id="rId72"/>
      </mc:Fallback>
    </mc:AlternateContent>
    <mc:AlternateContent xmlns:mc="http://schemas.openxmlformats.org/markup-compatibility/2006">
      <mc:Choice Requires="x14">
        <oleObject progId="Equation.DSMT4" shapeId="2117" r:id="rId73">
          <objectPr defaultSize="0" r:id="rId16">
            <anchor moveWithCells="1">
              <from>
                <xdr:col>182</xdr:col>
                <xdr:colOff>295275</xdr:colOff>
                <xdr:row>46</xdr:row>
                <xdr:rowOff>104775</xdr:rowOff>
              </from>
              <to>
                <xdr:col>182</xdr:col>
                <xdr:colOff>714375</xdr:colOff>
                <xdr:row>47</xdr:row>
                <xdr:rowOff>200025</xdr:rowOff>
              </to>
            </anchor>
          </objectPr>
        </oleObject>
      </mc:Choice>
      <mc:Fallback>
        <oleObject progId="Equation.DSMT4" shapeId="2117" r:id="rId73"/>
      </mc:Fallback>
    </mc:AlternateContent>
    <mc:AlternateContent xmlns:mc="http://schemas.openxmlformats.org/markup-compatibility/2006">
      <mc:Choice Requires="x14">
        <oleObject progId="Equation.DSMT4" shapeId="2118" r:id="rId74">
          <objectPr defaultSize="0" r:id="rId18">
            <anchor moveWithCells="1">
              <from>
                <xdr:col>183</xdr:col>
                <xdr:colOff>295275</xdr:colOff>
                <xdr:row>46</xdr:row>
                <xdr:rowOff>104775</xdr:rowOff>
              </from>
              <to>
                <xdr:col>183</xdr:col>
                <xdr:colOff>714375</xdr:colOff>
                <xdr:row>47</xdr:row>
                <xdr:rowOff>200025</xdr:rowOff>
              </to>
            </anchor>
          </objectPr>
        </oleObject>
      </mc:Choice>
      <mc:Fallback>
        <oleObject progId="Equation.DSMT4" shapeId="2118" r:id="rId74"/>
      </mc:Fallback>
    </mc:AlternateContent>
    <mc:AlternateContent xmlns:mc="http://schemas.openxmlformats.org/markup-compatibility/2006">
      <mc:Choice Requires="x14">
        <oleObject progId="Equation.DSMT4" shapeId="2119" r:id="rId75">
          <objectPr defaultSize="0" r:id="rId20">
            <anchor moveWithCells="1">
              <from>
                <xdr:col>184</xdr:col>
                <xdr:colOff>314325</xdr:colOff>
                <xdr:row>43</xdr:row>
                <xdr:rowOff>85725</xdr:rowOff>
              </from>
              <to>
                <xdr:col>184</xdr:col>
                <xdr:colOff>714375</xdr:colOff>
                <xdr:row>44</xdr:row>
                <xdr:rowOff>180975</xdr:rowOff>
              </to>
            </anchor>
          </objectPr>
        </oleObject>
      </mc:Choice>
      <mc:Fallback>
        <oleObject progId="Equation.DSMT4" shapeId="2119" r:id="rId75"/>
      </mc:Fallback>
    </mc:AlternateContent>
    <mc:AlternateContent xmlns:mc="http://schemas.openxmlformats.org/markup-compatibility/2006">
      <mc:Choice Requires="x14">
        <oleObject progId="Equation.DSMT4" shapeId="2120" r:id="rId76">
          <objectPr defaultSize="0" r:id="rId22">
            <anchor moveWithCells="1">
              <from>
                <xdr:col>184</xdr:col>
                <xdr:colOff>304800</xdr:colOff>
                <xdr:row>46</xdr:row>
                <xdr:rowOff>85725</xdr:rowOff>
              </from>
              <to>
                <xdr:col>184</xdr:col>
                <xdr:colOff>714375</xdr:colOff>
                <xdr:row>47</xdr:row>
                <xdr:rowOff>180975</xdr:rowOff>
              </to>
            </anchor>
          </objectPr>
        </oleObject>
      </mc:Choice>
      <mc:Fallback>
        <oleObject progId="Equation.DSMT4" shapeId="2120" r:id="rId76"/>
      </mc:Fallback>
    </mc:AlternateContent>
    <mc:AlternateContent xmlns:mc="http://schemas.openxmlformats.org/markup-compatibility/2006">
      <mc:Choice Requires="x14">
        <oleObject progId="Equation.DSMT4" shapeId="2122" r:id="rId77">
          <objectPr defaultSize="0" r:id="rId12">
            <anchor moveWithCells="1">
              <from>
                <xdr:col>241</xdr:col>
                <xdr:colOff>428625</xdr:colOff>
                <xdr:row>43</xdr:row>
                <xdr:rowOff>152400</xdr:rowOff>
              </from>
              <to>
                <xdr:col>241</xdr:col>
                <xdr:colOff>600075</xdr:colOff>
                <xdr:row>44</xdr:row>
                <xdr:rowOff>114300</xdr:rowOff>
              </to>
            </anchor>
          </objectPr>
        </oleObject>
      </mc:Choice>
      <mc:Fallback>
        <oleObject progId="Equation.DSMT4" shapeId="2122" r:id="rId77"/>
      </mc:Fallback>
    </mc:AlternateContent>
    <mc:AlternateContent xmlns:mc="http://schemas.openxmlformats.org/markup-compatibility/2006">
      <mc:Choice Requires="x14">
        <oleObject progId="Equation.DSMT4" shapeId="2123" r:id="rId78">
          <objectPr defaultSize="0" r:id="rId14">
            <anchor moveWithCells="1">
              <from>
                <xdr:col>242</xdr:col>
                <xdr:colOff>257175</xdr:colOff>
                <xdr:row>43</xdr:row>
                <xdr:rowOff>85725</xdr:rowOff>
              </from>
              <to>
                <xdr:col>242</xdr:col>
                <xdr:colOff>647700</xdr:colOff>
                <xdr:row>44</xdr:row>
                <xdr:rowOff>180975</xdr:rowOff>
              </to>
            </anchor>
          </objectPr>
        </oleObject>
      </mc:Choice>
      <mc:Fallback>
        <oleObject progId="Equation.DSMT4" shapeId="2123" r:id="rId78"/>
      </mc:Fallback>
    </mc:AlternateContent>
    <mc:AlternateContent xmlns:mc="http://schemas.openxmlformats.org/markup-compatibility/2006">
      <mc:Choice Requires="x14">
        <oleObject progId="Equation.DSMT4" shapeId="2124" r:id="rId79">
          <objectPr defaultSize="0" r:id="rId16">
            <anchor moveWithCells="1">
              <from>
                <xdr:col>241</xdr:col>
                <xdr:colOff>295275</xdr:colOff>
                <xdr:row>46</xdr:row>
                <xdr:rowOff>104775</xdr:rowOff>
              </from>
              <to>
                <xdr:col>241</xdr:col>
                <xdr:colOff>714375</xdr:colOff>
                <xdr:row>47</xdr:row>
                <xdr:rowOff>200025</xdr:rowOff>
              </to>
            </anchor>
          </objectPr>
        </oleObject>
      </mc:Choice>
      <mc:Fallback>
        <oleObject progId="Equation.DSMT4" shapeId="2124" r:id="rId79"/>
      </mc:Fallback>
    </mc:AlternateContent>
    <mc:AlternateContent xmlns:mc="http://schemas.openxmlformats.org/markup-compatibility/2006">
      <mc:Choice Requires="x14">
        <oleObject progId="Equation.DSMT4" shapeId="2125" r:id="rId80">
          <objectPr defaultSize="0" r:id="rId18">
            <anchor moveWithCells="1">
              <from>
                <xdr:col>242</xdr:col>
                <xdr:colOff>295275</xdr:colOff>
                <xdr:row>46</xdr:row>
                <xdr:rowOff>104775</xdr:rowOff>
              </from>
              <to>
                <xdr:col>242</xdr:col>
                <xdr:colOff>714375</xdr:colOff>
                <xdr:row>47</xdr:row>
                <xdr:rowOff>200025</xdr:rowOff>
              </to>
            </anchor>
          </objectPr>
        </oleObject>
      </mc:Choice>
      <mc:Fallback>
        <oleObject progId="Equation.DSMT4" shapeId="2125" r:id="rId80"/>
      </mc:Fallback>
    </mc:AlternateContent>
    <mc:AlternateContent xmlns:mc="http://schemas.openxmlformats.org/markup-compatibility/2006">
      <mc:Choice Requires="x14">
        <oleObject progId="Equation.DSMT4" shapeId="2126" r:id="rId81">
          <objectPr defaultSize="0" r:id="rId20">
            <anchor moveWithCells="1">
              <from>
                <xdr:col>243</xdr:col>
                <xdr:colOff>314325</xdr:colOff>
                <xdr:row>43</xdr:row>
                <xdr:rowOff>85725</xdr:rowOff>
              </from>
              <to>
                <xdr:col>243</xdr:col>
                <xdr:colOff>714375</xdr:colOff>
                <xdr:row>44</xdr:row>
                <xdr:rowOff>180975</xdr:rowOff>
              </to>
            </anchor>
          </objectPr>
        </oleObject>
      </mc:Choice>
      <mc:Fallback>
        <oleObject progId="Equation.DSMT4" shapeId="2126" r:id="rId81"/>
      </mc:Fallback>
    </mc:AlternateContent>
    <mc:AlternateContent xmlns:mc="http://schemas.openxmlformats.org/markup-compatibility/2006">
      <mc:Choice Requires="x14">
        <oleObject progId="Equation.DSMT4" shapeId="2127" r:id="rId82">
          <objectPr defaultSize="0" r:id="rId22">
            <anchor moveWithCells="1">
              <from>
                <xdr:col>243</xdr:col>
                <xdr:colOff>304800</xdr:colOff>
                <xdr:row>46</xdr:row>
                <xdr:rowOff>85725</xdr:rowOff>
              </from>
              <to>
                <xdr:col>243</xdr:col>
                <xdr:colOff>714375</xdr:colOff>
                <xdr:row>47</xdr:row>
                <xdr:rowOff>180975</xdr:rowOff>
              </to>
            </anchor>
          </objectPr>
        </oleObject>
      </mc:Choice>
      <mc:Fallback>
        <oleObject progId="Equation.DSMT4" shapeId="2127" r:id="rId82"/>
      </mc:Fallback>
    </mc:AlternateContent>
    <mc:AlternateContent xmlns:mc="http://schemas.openxmlformats.org/markup-compatibility/2006">
      <mc:Choice Requires="x14">
        <oleObject progId="Equation.DSMT4" shapeId="2129" r:id="rId83">
          <objectPr defaultSize="0" r:id="rId12">
            <anchor moveWithCells="1">
              <from>
                <xdr:col>300</xdr:col>
                <xdr:colOff>428625</xdr:colOff>
                <xdr:row>43</xdr:row>
                <xdr:rowOff>152400</xdr:rowOff>
              </from>
              <to>
                <xdr:col>300</xdr:col>
                <xdr:colOff>600075</xdr:colOff>
                <xdr:row>44</xdr:row>
                <xdr:rowOff>114300</xdr:rowOff>
              </to>
            </anchor>
          </objectPr>
        </oleObject>
      </mc:Choice>
      <mc:Fallback>
        <oleObject progId="Equation.DSMT4" shapeId="2129" r:id="rId83"/>
      </mc:Fallback>
    </mc:AlternateContent>
    <mc:AlternateContent xmlns:mc="http://schemas.openxmlformats.org/markup-compatibility/2006">
      <mc:Choice Requires="x14">
        <oleObject progId="Equation.DSMT4" shapeId="2130" r:id="rId84">
          <objectPr defaultSize="0" r:id="rId14">
            <anchor moveWithCells="1">
              <from>
                <xdr:col>301</xdr:col>
                <xdr:colOff>257175</xdr:colOff>
                <xdr:row>43</xdr:row>
                <xdr:rowOff>85725</xdr:rowOff>
              </from>
              <to>
                <xdr:col>301</xdr:col>
                <xdr:colOff>647700</xdr:colOff>
                <xdr:row>44</xdr:row>
                <xdr:rowOff>180975</xdr:rowOff>
              </to>
            </anchor>
          </objectPr>
        </oleObject>
      </mc:Choice>
      <mc:Fallback>
        <oleObject progId="Equation.DSMT4" shapeId="2130" r:id="rId84"/>
      </mc:Fallback>
    </mc:AlternateContent>
    <mc:AlternateContent xmlns:mc="http://schemas.openxmlformats.org/markup-compatibility/2006">
      <mc:Choice Requires="x14">
        <oleObject progId="Equation.DSMT4" shapeId="2131" r:id="rId85">
          <objectPr defaultSize="0" r:id="rId16">
            <anchor moveWithCells="1">
              <from>
                <xdr:col>300</xdr:col>
                <xdr:colOff>295275</xdr:colOff>
                <xdr:row>46</xdr:row>
                <xdr:rowOff>104775</xdr:rowOff>
              </from>
              <to>
                <xdr:col>300</xdr:col>
                <xdr:colOff>714375</xdr:colOff>
                <xdr:row>47</xdr:row>
                <xdr:rowOff>200025</xdr:rowOff>
              </to>
            </anchor>
          </objectPr>
        </oleObject>
      </mc:Choice>
      <mc:Fallback>
        <oleObject progId="Equation.DSMT4" shapeId="2131" r:id="rId85"/>
      </mc:Fallback>
    </mc:AlternateContent>
    <mc:AlternateContent xmlns:mc="http://schemas.openxmlformats.org/markup-compatibility/2006">
      <mc:Choice Requires="x14">
        <oleObject progId="Equation.DSMT4" shapeId="2132" r:id="rId86">
          <objectPr defaultSize="0" r:id="rId18">
            <anchor moveWithCells="1">
              <from>
                <xdr:col>301</xdr:col>
                <xdr:colOff>295275</xdr:colOff>
                <xdr:row>46</xdr:row>
                <xdr:rowOff>104775</xdr:rowOff>
              </from>
              <to>
                <xdr:col>301</xdr:col>
                <xdr:colOff>714375</xdr:colOff>
                <xdr:row>47</xdr:row>
                <xdr:rowOff>200025</xdr:rowOff>
              </to>
            </anchor>
          </objectPr>
        </oleObject>
      </mc:Choice>
      <mc:Fallback>
        <oleObject progId="Equation.DSMT4" shapeId="2132" r:id="rId86"/>
      </mc:Fallback>
    </mc:AlternateContent>
    <mc:AlternateContent xmlns:mc="http://schemas.openxmlformats.org/markup-compatibility/2006">
      <mc:Choice Requires="x14">
        <oleObject progId="Equation.DSMT4" shapeId="2133" r:id="rId87">
          <objectPr defaultSize="0" r:id="rId20">
            <anchor moveWithCells="1">
              <from>
                <xdr:col>302</xdr:col>
                <xdr:colOff>314325</xdr:colOff>
                <xdr:row>43</xdr:row>
                <xdr:rowOff>85725</xdr:rowOff>
              </from>
              <to>
                <xdr:col>302</xdr:col>
                <xdr:colOff>714375</xdr:colOff>
                <xdr:row>44</xdr:row>
                <xdr:rowOff>180975</xdr:rowOff>
              </to>
            </anchor>
          </objectPr>
        </oleObject>
      </mc:Choice>
      <mc:Fallback>
        <oleObject progId="Equation.DSMT4" shapeId="2133" r:id="rId87"/>
      </mc:Fallback>
    </mc:AlternateContent>
    <mc:AlternateContent xmlns:mc="http://schemas.openxmlformats.org/markup-compatibility/2006">
      <mc:Choice Requires="x14">
        <oleObject progId="Equation.DSMT4" shapeId="2134" r:id="rId88">
          <objectPr defaultSize="0" r:id="rId22">
            <anchor moveWithCells="1">
              <from>
                <xdr:col>302</xdr:col>
                <xdr:colOff>304800</xdr:colOff>
                <xdr:row>46</xdr:row>
                <xdr:rowOff>85725</xdr:rowOff>
              </from>
              <to>
                <xdr:col>302</xdr:col>
                <xdr:colOff>714375</xdr:colOff>
                <xdr:row>47</xdr:row>
                <xdr:rowOff>180975</xdr:rowOff>
              </to>
            </anchor>
          </objectPr>
        </oleObject>
      </mc:Choice>
      <mc:Fallback>
        <oleObject progId="Equation.DSMT4" shapeId="2134" r:id="rId88"/>
      </mc:Fallback>
    </mc:AlternateContent>
    <mc:AlternateContent xmlns:mc="http://schemas.openxmlformats.org/markup-compatibility/2006">
      <mc:Choice Requires="x14">
        <oleObject progId="Equation.DSMT4" shapeId="2136" r:id="rId89">
          <objectPr defaultSize="0" r:id="rId90">
            <anchor moveWithCells="1">
              <from>
                <xdr:col>9</xdr:col>
                <xdr:colOff>76200</xdr:colOff>
                <xdr:row>15</xdr:row>
                <xdr:rowOff>123825</xdr:rowOff>
              </from>
              <to>
                <xdr:col>9</xdr:col>
                <xdr:colOff>923925</xdr:colOff>
                <xdr:row>16</xdr:row>
                <xdr:rowOff>200025</xdr:rowOff>
              </to>
            </anchor>
          </objectPr>
        </oleObject>
      </mc:Choice>
      <mc:Fallback>
        <oleObject progId="Equation.DSMT4" shapeId="2136" r:id="rId89"/>
      </mc:Fallback>
    </mc:AlternateContent>
    <mc:AlternateContent xmlns:mc="http://schemas.openxmlformats.org/markup-compatibility/2006">
      <mc:Choice Requires="x14">
        <oleObject progId="Equation.DSMT4" shapeId="2137" r:id="rId91">
          <objectPr defaultSize="0" r:id="rId92">
            <anchor moveWithCells="1">
              <from>
                <xdr:col>8</xdr:col>
                <xdr:colOff>219075</xdr:colOff>
                <xdr:row>12</xdr:row>
                <xdr:rowOff>85725</xdr:rowOff>
              </from>
              <to>
                <xdr:col>8</xdr:col>
                <xdr:colOff>876300</xdr:colOff>
                <xdr:row>13</xdr:row>
                <xdr:rowOff>180975</xdr:rowOff>
              </to>
            </anchor>
          </objectPr>
        </oleObject>
      </mc:Choice>
      <mc:Fallback>
        <oleObject progId="Equation.DSMT4" shapeId="2137" r:id="rId91"/>
      </mc:Fallback>
    </mc:AlternateContent>
    <mc:AlternateContent xmlns:mc="http://schemas.openxmlformats.org/markup-compatibility/2006">
      <mc:Choice Requires="x14">
        <oleObject progId="Equation.DSMT4" shapeId="2138" r:id="rId93">
          <objectPr defaultSize="0" autoPict="0" r:id="rId94">
            <anchor moveWithCells="1">
              <from>
                <xdr:col>10</xdr:col>
                <xdr:colOff>390525</xdr:colOff>
                <xdr:row>12</xdr:row>
                <xdr:rowOff>28575</xdr:rowOff>
              </from>
              <to>
                <xdr:col>10</xdr:col>
                <xdr:colOff>619125</xdr:colOff>
                <xdr:row>13</xdr:row>
                <xdr:rowOff>200025</xdr:rowOff>
              </to>
            </anchor>
          </objectPr>
        </oleObject>
      </mc:Choice>
      <mc:Fallback>
        <oleObject progId="Equation.DSMT4" shapeId="2138" r:id="rId93"/>
      </mc:Fallback>
    </mc:AlternateContent>
    <mc:AlternateContent xmlns:mc="http://schemas.openxmlformats.org/markup-compatibility/2006">
      <mc:Choice Requires="x14">
        <oleObject progId="Equation.DSMT4" shapeId="2139" r:id="rId95">
          <objectPr defaultSize="0" r:id="rId96">
            <anchor moveWithCells="1">
              <from>
                <xdr:col>11</xdr:col>
                <xdr:colOff>104775</xdr:colOff>
                <xdr:row>12</xdr:row>
                <xdr:rowOff>66675</xdr:rowOff>
              </from>
              <to>
                <xdr:col>11</xdr:col>
                <xdr:colOff>923925</xdr:colOff>
                <xdr:row>13</xdr:row>
                <xdr:rowOff>114300</xdr:rowOff>
              </to>
            </anchor>
          </objectPr>
        </oleObject>
      </mc:Choice>
      <mc:Fallback>
        <oleObject progId="Equation.DSMT4" shapeId="2139" r:id="rId95"/>
      </mc:Fallback>
    </mc:AlternateContent>
    <mc:AlternateContent xmlns:mc="http://schemas.openxmlformats.org/markup-compatibility/2006">
      <mc:Choice Requires="x14">
        <oleObject progId="Equation.DSMT4" shapeId="2140" r:id="rId97">
          <objectPr defaultSize="0" r:id="rId98">
            <anchor moveWithCells="1">
              <from>
                <xdr:col>13</xdr:col>
                <xdr:colOff>428625</xdr:colOff>
                <xdr:row>15</xdr:row>
                <xdr:rowOff>161925</xdr:rowOff>
              </from>
              <to>
                <xdr:col>13</xdr:col>
                <xdr:colOff>600075</xdr:colOff>
                <xdr:row>16</xdr:row>
                <xdr:rowOff>114300</xdr:rowOff>
              </to>
            </anchor>
          </objectPr>
        </oleObject>
      </mc:Choice>
      <mc:Fallback>
        <oleObject progId="Equation.DSMT4" shapeId="2140" r:id="rId97"/>
      </mc:Fallback>
    </mc:AlternateContent>
    <mc:AlternateContent xmlns:mc="http://schemas.openxmlformats.org/markup-compatibility/2006">
      <mc:Choice Requires="x14">
        <oleObject progId="Equation.DSMT4" shapeId="2141" r:id="rId99">
          <objectPr defaultSize="0" r:id="rId100">
            <anchor moveWithCells="1">
              <from>
                <xdr:col>15</xdr:col>
                <xdr:colOff>142875</xdr:colOff>
                <xdr:row>15</xdr:row>
                <xdr:rowOff>142875</xdr:rowOff>
              </from>
              <to>
                <xdr:col>15</xdr:col>
                <xdr:colOff>809625</xdr:colOff>
                <xdr:row>16</xdr:row>
                <xdr:rowOff>180975</xdr:rowOff>
              </to>
            </anchor>
          </objectPr>
        </oleObject>
      </mc:Choice>
      <mc:Fallback>
        <oleObject progId="Equation.DSMT4" shapeId="2141" r:id="rId99"/>
      </mc:Fallback>
    </mc:AlternateContent>
    <mc:AlternateContent xmlns:mc="http://schemas.openxmlformats.org/markup-compatibility/2006">
      <mc:Choice Requires="x14">
        <oleObject progId="Equation.DSMT4" shapeId="2142" r:id="rId101">
          <objectPr defaultSize="0" r:id="rId102">
            <anchor moveWithCells="1">
              <from>
                <xdr:col>7</xdr:col>
                <xdr:colOff>419100</xdr:colOff>
                <xdr:row>79</xdr:row>
                <xdr:rowOff>38100</xdr:rowOff>
              </from>
              <to>
                <xdr:col>7</xdr:col>
                <xdr:colOff>619125</xdr:colOff>
                <xdr:row>79</xdr:row>
                <xdr:rowOff>295275</xdr:rowOff>
              </to>
            </anchor>
          </objectPr>
        </oleObject>
      </mc:Choice>
      <mc:Fallback>
        <oleObject progId="Equation.DSMT4" shapeId="2142" r:id="rId101"/>
      </mc:Fallback>
    </mc:AlternateContent>
    <mc:AlternateContent xmlns:mc="http://schemas.openxmlformats.org/markup-compatibility/2006">
      <mc:Choice Requires="x14">
        <oleObject progId="Equation.DSMT4" shapeId="2143" r:id="rId103">
          <objectPr defaultSize="0" r:id="rId104">
            <anchor moveWithCells="1">
              <from>
                <xdr:col>8</xdr:col>
                <xdr:colOff>428625</xdr:colOff>
                <xdr:row>79</xdr:row>
                <xdr:rowOff>38100</xdr:rowOff>
              </from>
              <to>
                <xdr:col>8</xdr:col>
                <xdr:colOff>600075</xdr:colOff>
                <xdr:row>79</xdr:row>
                <xdr:rowOff>295275</xdr:rowOff>
              </to>
            </anchor>
          </objectPr>
        </oleObject>
      </mc:Choice>
      <mc:Fallback>
        <oleObject progId="Equation.DSMT4" shapeId="2143" r:id="rId103"/>
      </mc:Fallback>
    </mc:AlternateContent>
    <mc:AlternateContent xmlns:mc="http://schemas.openxmlformats.org/markup-compatibility/2006">
      <mc:Choice Requires="x14">
        <oleObject progId="Equation.DSMT4" shapeId="2144" r:id="rId105">
          <objectPr defaultSize="0" r:id="rId106">
            <anchor moveWithCells="1">
              <from>
                <xdr:col>9</xdr:col>
                <xdr:colOff>419100</xdr:colOff>
                <xdr:row>79</xdr:row>
                <xdr:rowOff>38100</xdr:rowOff>
              </from>
              <to>
                <xdr:col>9</xdr:col>
                <xdr:colOff>581025</xdr:colOff>
                <xdr:row>79</xdr:row>
                <xdr:rowOff>295275</xdr:rowOff>
              </to>
            </anchor>
          </objectPr>
        </oleObject>
      </mc:Choice>
      <mc:Fallback>
        <oleObject progId="Equation.DSMT4" shapeId="2144" r:id="rId105"/>
      </mc:Fallback>
    </mc:AlternateContent>
    <mc:AlternateContent xmlns:mc="http://schemas.openxmlformats.org/markup-compatibility/2006">
      <mc:Choice Requires="x14">
        <oleObject progId="Equation.DSMT4" shapeId="2145" r:id="rId107">
          <objectPr defaultSize="0" r:id="rId108">
            <anchor moveWithCells="1">
              <from>
                <xdr:col>10</xdr:col>
                <xdr:colOff>409575</xdr:colOff>
                <xdr:row>79</xdr:row>
                <xdr:rowOff>47625</xdr:rowOff>
              </from>
              <to>
                <xdr:col>10</xdr:col>
                <xdr:colOff>600075</xdr:colOff>
                <xdr:row>80</xdr:row>
                <xdr:rowOff>0</xdr:rowOff>
              </to>
            </anchor>
          </objectPr>
        </oleObject>
      </mc:Choice>
      <mc:Fallback>
        <oleObject progId="Equation.DSMT4" shapeId="2145" r:id="rId107"/>
      </mc:Fallback>
    </mc:AlternateContent>
    <mc:AlternateContent xmlns:mc="http://schemas.openxmlformats.org/markup-compatibility/2006">
      <mc:Choice Requires="x14">
        <oleObject progId="Equation.DSMT4" shapeId="2146" r:id="rId109">
          <objectPr defaultSize="0" r:id="rId102">
            <anchor moveWithCells="1">
              <from>
                <xdr:col>13</xdr:col>
                <xdr:colOff>419100</xdr:colOff>
                <xdr:row>79</xdr:row>
                <xdr:rowOff>38100</xdr:rowOff>
              </from>
              <to>
                <xdr:col>13</xdr:col>
                <xdr:colOff>619125</xdr:colOff>
                <xdr:row>79</xdr:row>
                <xdr:rowOff>295275</xdr:rowOff>
              </to>
            </anchor>
          </objectPr>
        </oleObject>
      </mc:Choice>
      <mc:Fallback>
        <oleObject progId="Equation.DSMT4" shapeId="2146" r:id="rId109"/>
      </mc:Fallback>
    </mc:AlternateContent>
    <mc:AlternateContent xmlns:mc="http://schemas.openxmlformats.org/markup-compatibility/2006">
      <mc:Choice Requires="x14">
        <oleObject progId="Equation.DSMT4" shapeId="2147" r:id="rId110">
          <objectPr defaultSize="0" r:id="rId104">
            <anchor moveWithCells="1">
              <from>
                <xdr:col>14</xdr:col>
                <xdr:colOff>428625</xdr:colOff>
                <xdr:row>79</xdr:row>
                <xdr:rowOff>38100</xdr:rowOff>
              </from>
              <to>
                <xdr:col>14</xdr:col>
                <xdr:colOff>600075</xdr:colOff>
                <xdr:row>79</xdr:row>
                <xdr:rowOff>295275</xdr:rowOff>
              </to>
            </anchor>
          </objectPr>
        </oleObject>
      </mc:Choice>
      <mc:Fallback>
        <oleObject progId="Equation.DSMT4" shapeId="2147" r:id="rId110"/>
      </mc:Fallback>
    </mc:AlternateContent>
    <mc:AlternateContent xmlns:mc="http://schemas.openxmlformats.org/markup-compatibility/2006">
      <mc:Choice Requires="x14">
        <oleObject progId="Equation.DSMT4" shapeId="2148" r:id="rId111">
          <objectPr defaultSize="0" r:id="rId106">
            <anchor moveWithCells="1">
              <from>
                <xdr:col>15</xdr:col>
                <xdr:colOff>419100</xdr:colOff>
                <xdr:row>79</xdr:row>
                <xdr:rowOff>38100</xdr:rowOff>
              </from>
              <to>
                <xdr:col>15</xdr:col>
                <xdr:colOff>581025</xdr:colOff>
                <xdr:row>79</xdr:row>
                <xdr:rowOff>295275</xdr:rowOff>
              </to>
            </anchor>
          </objectPr>
        </oleObject>
      </mc:Choice>
      <mc:Fallback>
        <oleObject progId="Equation.DSMT4" shapeId="2148" r:id="rId111"/>
      </mc:Fallback>
    </mc:AlternateContent>
    <mc:AlternateContent xmlns:mc="http://schemas.openxmlformats.org/markup-compatibility/2006">
      <mc:Choice Requires="x14">
        <oleObject progId="Equation.DSMT4" shapeId="2149" r:id="rId112">
          <objectPr defaultSize="0" r:id="rId108">
            <anchor moveWithCells="1">
              <from>
                <xdr:col>16</xdr:col>
                <xdr:colOff>409575</xdr:colOff>
                <xdr:row>79</xdr:row>
                <xdr:rowOff>47625</xdr:rowOff>
              </from>
              <to>
                <xdr:col>16</xdr:col>
                <xdr:colOff>600075</xdr:colOff>
                <xdr:row>80</xdr:row>
                <xdr:rowOff>0</xdr:rowOff>
              </to>
            </anchor>
          </objectPr>
        </oleObject>
      </mc:Choice>
      <mc:Fallback>
        <oleObject progId="Equation.DSMT4" shapeId="2149" r:id="rId112"/>
      </mc:Fallback>
    </mc:AlternateContent>
    <mc:AlternateContent xmlns:mc="http://schemas.openxmlformats.org/markup-compatibility/2006">
      <mc:Choice Requires="x14">
        <oleObject progId="Equation.DSMT4" shapeId="2150" r:id="rId113">
          <objectPr defaultSize="0" r:id="rId114">
            <anchor moveWithCells="1">
              <from>
                <xdr:col>19</xdr:col>
                <xdr:colOff>419100</xdr:colOff>
                <xdr:row>79</xdr:row>
                <xdr:rowOff>38100</xdr:rowOff>
              </from>
              <to>
                <xdr:col>19</xdr:col>
                <xdr:colOff>676275</xdr:colOff>
                <xdr:row>79</xdr:row>
                <xdr:rowOff>295275</xdr:rowOff>
              </to>
            </anchor>
          </objectPr>
        </oleObject>
      </mc:Choice>
      <mc:Fallback>
        <oleObject progId="Equation.DSMT4" shapeId="2150" r:id="rId113"/>
      </mc:Fallback>
    </mc:AlternateContent>
    <mc:AlternateContent xmlns:mc="http://schemas.openxmlformats.org/markup-compatibility/2006">
      <mc:Choice Requires="x14">
        <oleObject progId="Equation.DSMT4" shapeId="2151" r:id="rId115">
          <objectPr defaultSize="0" r:id="rId116">
            <anchor moveWithCells="1">
              <from>
                <xdr:col>21</xdr:col>
                <xdr:colOff>381000</xdr:colOff>
                <xdr:row>79</xdr:row>
                <xdr:rowOff>38100</xdr:rowOff>
              </from>
              <to>
                <xdr:col>21</xdr:col>
                <xdr:colOff>638175</xdr:colOff>
                <xdr:row>79</xdr:row>
                <xdr:rowOff>295275</xdr:rowOff>
              </to>
            </anchor>
          </objectPr>
        </oleObject>
      </mc:Choice>
      <mc:Fallback>
        <oleObject progId="Equation.DSMT4" shapeId="2151" r:id="rId115"/>
      </mc:Fallback>
    </mc:AlternateContent>
    <mc:AlternateContent xmlns:mc="http://schemas.openxmlformats.org/markup-compatibility/2006">
      <mc:Choice Requires="x14">
        <oleObject progId="Equation.DSMT4" shapeId="2152" r:id="rId117">
          <objectPr defaultSize="0" r:id="rId118">
            <anchor moveWithCells="1">
              <from>
                <xdr:col>22</xdr:col>
                <xdr:colOff>390525</xdr:colOff>
                <xdr:row>79</xdr:row>
                <xdr:rowOff>38100</xdr:rowOff>
              </from>
              <to>
                <xdr:col>22</xdr:col>
                <xdr:colOff>647700</xdr:colOff>
                <xdr:row>79</xdr:row>
                <xdr:rowOff>295275</xdr:rowOff>
              </to>
            </anchor>
          </objectPr>
        </oleObject>
      </mc:Choice>
      <mc:Fallback>
        <oleObject progId="Equation.DSMT4" shapeId="2152" r:id="rId117"/>
      </mc:Fallback>
    </mc:AlternateContent>
    <mc:AlternateContent xmlns:mc="http://schemas.openxmlformats.org/markup-compatibility/2006">
      <mc:Choice Requires="x14">
        <oleObject progId="Equation.DSMT4" shapeId="2153" r:id="rId119">
          <objectPr defaultSize="0" r:id="rId120">
            <anchor moveWithCells="1">
              <from>
                <xdr:col>23</xdr:col>
                <xdr:colOff>381000</xdr:colOff>
                <xdr:row>79</xdr:row>
                <xdr:rowOff>38100</xdr:rowOff>
              </from>
              <to>
                <xdr:col>23</xdr:col>
                <xdr:colOff>638175</xdr:colOff>
                <xdr:row>79</xdr:row>
                <xdr:rowOff>295275</xdr:rowOff>
              </to>
            </anchor>
          </objectPr>
        </oleObject>
      </mc:Choice>
      <mc:Fallback>
        <oleObject progId="Equation.DSMT4" shapeId="2153" r:id="rId119"/>
      </mc:Fallback>
    </mc:AlternateContent>
    <mc:AlternateContent xmlns:mc="http://schemas.openxmlformats.org/markup-compatibility/2006">
      <mc:Choice Requires="x14">
        <oleObject progId="Equation.DSMT4" shapeId="2154" r:id="rId121">
          <objectPr defaultSize="0" r:id="rId122">
            <anchor moveWithCells="1">
              <from>
                <xdr:col>24</xdr:col>
                <xdr:colOff>352425</xdr:colOff>
                <xdr:row>79</xdr:row>
                <xdr:rowOff>38100</xdr:rowOff>
              </from>
              <to>
                <xdr:col>24</xdr:col>
                <xdr:colOff>619125</xdr:colOff>
                <xdr:row>79</xdr:row>
                <xdr:rowOff>295275</xdr:rowOff>
              </to>
            </anchor>
          </objectPr>
        </oleObject>
      </mc:Choice>
      <mc:Fallback>
        <oleObject progId="Equation.DSMT4" shapeId="2154" r:id="rId121"/>
      </mc:Fallback>
    </mc:AlternateContent>
    <mc:AlternateContent xmlns:mc="http://schemas.openxmlformats.org/markup-compatibility/2006">
      <mc:Choice Requires="x14">
        <oleObject progId="Equation.DSMT4" shapeId="2155" r:id="rId123">
          <objectPr defaultSize="0" r:id="rId124">
            <anchor moveWithCells="1">
              <from>
                <xdr:col>20</xdr:col>
                <xdr:colOff>381000</xdr:colOff>
                <xdr:row>79</xdr:row>
                <xdr:rowOff>28575</xdr:rowOff>
              </from>
              <to>
                <xdr:col>20</xdr:col>
                <xdr:colOff>638175</xdr:colOff>
                <xdr:row>79</xdr:row>
                <xdr:rowOff>295275</xdr:rowOff>
              </to>
            </anchor>
          </objectPr>
        </oleObject>
      </mc:Choice>
      <mc:Fallback>
        <oleObject progId="Equation.DSMT4" shapeId="2155" r:id="rId123"/>
      </mc:Fallback>
    </mc:AlternateContent>
    <mc:AlternateContent xmlns:mc="http://schemas.openxmlformats.org/markup-compatibility/2006">
      <mc:Choice Requires="x14">
        <oleObject progId="Equation.DSMT4" shapeId="2156" r:id="rId125">
          <objectPr defaultSize="0" r:id="rId114">
            <anchor moveWithCells="1">
              <from>
                <xdr:col>27</xdr:col>
                <xdr:colOff>419100</xdr:colOff>
                <xdr:row>79</xdr:row>
                <xdr:rowOff>38100</xdr:rowOff>
              </from>
              <to>
                <xdr:col>27</xdr:col>
                <xdr:colOff>647700</xdr:colOff>
                <xdr:row>79</xdr:row>
                <xdr:rowOff>295275</xdr:rowOff>
              </to>
            </anchor>
          </objectPr>
        </oleObject>
      </mc:Choice>
      <mc:Fallback>
        <oleObject progId="Equation.DSMT4" shapeId="2156" r:id="rId125"/>
      </mc:Fallback>
    </mc:AlternateContent>
    <mc:AlternateContent xmlns:mc="http://schemas.openxmlformats.org/markup-compatibility/2006">
      <mc:Choice Requires="x14">
        <oleObject progId="Equation.DSMT4" shapeId="2157" r:id="rId126">
          <objectPr defaultSize="0" r:id="rId116">
            <anchor moveWithCells="1">
              <from>
                <xdr:col>29</xdr:col>
                <xdr:colOff>381000</xdr:colOff>
                <xdr:row>79</xdr:row>
                <xdr:rowOff>38100</xdr:rowOff>
              </from>
              <to>
                <xdr:col>29</xdr:col>
                <xdr:colOff>638175</xdr:colOff>
                <xdr:row>79</xdr:row>
                <xdr:rowOff>295275</xdr:rowOff>
              </to>
            </anchor>
          </objectPr>
        </oleObject>
      </mc:Choice>
      <mc:Fallback>
        <oleObject progId="Equation.DSMT4" shapeId="2157" r:id="rId126"/>
      </mc:Fallback>
    </mc:AlternateContent>
    <mc:AlternateContent xmlns:mc="http://schemas.openxmlformats.org/markup-compatibility/2006">
      <mc:Choice Requires="x14">
        <oleObject progId="Equation.DSMT4" shapeId="2158" r:id="rId127">
          <objectPr defaultSize="0" r:id="rId118">
            <anchor moveWithCells="1">
              <from>
                <xdr:col>30</xdr:col>
                <xdr:colOff>390525</xdr:colOff>
                <xdr:row>79</xdr:row>
                <xdr:rowOff>38100</xdr:rowOff>
              </from>
              <to>
                <xdr:col>30</xdr:col>
                <xdr:colOff>647700</xdr:colOff>
                <xdr:row>79</xdr:row>
                <xdr:rowOff>295275</xdr:rowOff>
              </to>
            </anchor>
          </objectPr>
        </oleObject>
      </mc:Choice>
      <mc:Fallback>
        <oleObject progId="Equation.DSMT4" shapeId="2158" r:id="rId127"/>
      </mc:Fallback>
    </mc:AlternateContent>
    <mc:AlternateContent xmlns:mc="http://schemas.openxmlformats.org/markup-compatibility/2006">
      <mc:Choice Requires="x14">
        <oleObject progId="Equation.DSMT4" shapeId="2159" r:id="rId128">
          <objectPr defaultSize="0" r:id="rId120">
            <anchor moveWithCells="1">
              <from>
                <xdr:col>31</xdr:col>
                <xdr:colOff>381000</xdr:colOff>
                <xdr:row>79</xdr:row>
                <xdr:rowOff>38100</xdr:rowOff>
              </from>
              <to>
                <xdr:col>31</xdr:col>
                <xdr:colOff>638175</xdr:colOff>
                <xdr:row>79</xdr:row>
                <xdr:rowOff>295275</xdr:rowOff>
              </to>
            </anchor>
          </objectPr>
        </oleObject>
      </mc:Choice>
      <mc:Fallback>
        <oleObject progId="Equation.DSMT4" shapeId="2159" r:id="rId128"/>
      </mc:Fallback>
    </mc:AlternateContent>
    <mc:AlternateContent xmlns:mc="http://schemas.openxmlformats.org/markup-compatibility/2006">
      <mc:Choice Requires="x14">
        <oleObject progId="Equation.DSMT4" shapeId="2160" r:id="rId129">
          <objectPr defaultSize="0" r:id="rId122">
            <anchor moveWithCells="1">
              <from>
                <xdr:col>32</xdr:col>
                <xdr:colOff>352425</xdr:colOff>
                <xdr:row>79</xdr:row>
                <xdr:rowOff>38100</xdr:rowOff>
              </from>
              <to>
                <xdr:col>32</xdr:col>
                <xdr:colOff>619125</xdr:colOff>
                <xdr:row>79</xdr:row>
                <xdr:rowOff>295275</xdr:rowOff>
              </to>
            </anchor>
          </objectPr>
        </oleObject>
      </mc:Choice>
      <mc:Fallback>
        <oleObject progId="Equation.DSMT4" shapeId="2160" r:id="rId129"/>
      </mc:Fallback>
    </mc:AlternateContent>
    <mc:AlternateContent xmlns:mc="http://schemas.openxmlformats.org/markup-compatibility/2006">
      <mc:Choice Requires="x14">
        <oleObject progId="Equation.DSMT4" shapeId="2161" r:id="rId130">
          <objectPr defaultSize="0" r:id="rId124">
            <anchor moveWithCells="1">
              <from>
                <xdr:col>28</xdr:col>
                <xdr:colOff>381000</xdr:colOff>
                <xdr:row>79</xdr:row>
                <xdr:rowOff>28575</xdr:rowOff>
              </from>
              <to>
                <xdr:col>28</xdr:col>
                <xdr:colOff>638175</xdr:colOff>
                <xdr:row>79</xdr:row>
                <xdr:rowOff>266700</xdr:rowOff>
              </to>
            </anchor>
          </objectPr>
        </oleObject>
      </mc:Choice>
      <mc:Fallback>
        <oleObject progId="Equation.DSMT4" shapeId="2161" r:id="rId130"/>
      </mc:Fallback>
    </mc:AlternateContent>
    <mc:AlternateContent xmlns:mc="http://schemas.openxmlformats.org/markup-compatibility/2006">
      <mc:Choice Requires="x14">
        <oleObject progId="Equation.DSMT4" shapeId="2162" r:id="rId131">
          <objectPr defaultSize="0" r:id="rId132">
            <anchor moveWithCells="1">
              <from>
                <xdr:col>22</xdr:col>
                <xdr:colOff>123825</xdr:colOff>
                <xdr:row>15</xdr:row>
                <xdr:rowOff>114300</xdr:rowOff>
              </from>
              <to>
                <xdr:col>22</xdr:col>
                <xdr:colOff>923925</xdr:colOff>
                <xdr:row>16</xdr:row>
                <xdr:rowOff>142875</xdr:rowOff>
              </to>
            </anchor>
          </objectPr>
        </oleObject>
      </mc:Choice>
      <mc:Fallback>
        <oleObject progId="Equation.DSMT4" shapeId="2162" r:id="rId131"/>
      </mc:Fallback>
    </mc:AlternateContent>
    <mc:AlternateContent xmlns:mc="http://schemas.openxmlformats.org/markup-compatibility/2006">
      <mc:Choice Requires="x14">
        <oleObject progId="Equation.DSMT4" shapeId="2163" r:id="rId133">
          <objectPr defaultSize="0" r:id="rId134">
            <anchor moveWithCells="1">
              <from>
                <xdr:col>23</xdr:col>
                <xdr:colOff>257175</xdr:colOff>
                <xdr:row>15</xdr:row>
                <xdr:rowOff>114300</xdr:rowOff>
              </from>
              <to>
                <xdr:col>23</xdr:col>
                <xdr:colOff>762000</xdr:colOff>
                <xdr:row>16</xdr:row>
                <xdr:rowOff>142875</xdr:rowOff>
              </to>
            </anchor>
          </objectPr>
        </oleObject>
      </mc:Choice>
      <mc:Fallback>
        <oleObject progId="Equation.DSMT4" shapeId="2163" r:id="rId133"/>
      </mc:Fallback>
    </mc:AlternateContent>
    <mc:AlternateContent xmlns:mc="http://schemas.openxmlformats.org/markup-compatibility/2006">
      <mc:Choice Requires="x14">
        <oleObject progId="Equation.DSMT4" shapeId="2164" r:id="rId135">
          <objectPr defaultSize="0" r:id="rId136">
            <anchor moveWithCells="1">
              <from>
                <xdr:col>28</xdr:col>
                <xdr:colOff>123825</xdr:colOff>
                <xdr:row>15</xdr:row>
                <xdr:rowOff>114300</xdr:rowOff>
              </from>
              <to>
                <xdr:col>28</xdr:col>
                <xdr:colOff>923925</xdr:colOff>
                <xdr:row>16</xdr:row>
                <xdr:rowOff>142875</xdr:rowOff>
              </to>
            </anchor>
          </objectPr>
        </oleObject>
      </mc:Choice>
      <mc:Fallback>
        <oleObject progId="Equation.DSMT4" shapeId="2164" r:id="rId135"/>
      </mc:Fallback>
    </mc:AlternateContent>
    <mc:AlternateContent xmlns:mc="http://schemas.openxmlformats.org/markup-compatibility/2006">
      <mc:Choice Requires="x14">
        <oleObject progId="Equation.DSMT4" shapeId="2165" r:id="rId137">
          <objectPr defaultSize="0" r:id="rId138">
            <anchor moveWithCells="1">
              <from>
                <xdr:col>29</xdr:col>
                <xdr:colOff>257175</xdr:colOff>
                <xdr:row>15</xdr:row>
                <xdr:rowOff>114300</xdr:rowOff>
              </from>
              <to>
                <xdr:col>29</xdr:col>
                <xdr:colOff>762000</xdr:colOff>
                <xdr:row>16</xdr:row>
                <xdr:rowOff>142875</xdr:rowOff>
              </to>
            </anchor>
          </objectPr>
        </oleObject>
      </mc:Choice>
      <mc:Fallback>
        <oleObject progId="Equation.DSMT4" shapeId="2165" r:id="rId137"/>
      </mc:Fallback>
    </mc:AlternateContent>
    <mc:AlternateContent xmlns:mc="http://schemas.openxmlformats.org/markup-compatibility/2006">
      <mc:Choice Requires="x14">
        <oleObject progId="Equation.DSMT4" shapeId="2166" r:id="rId139">
          <objectPr defaultSize="0" r:id="rId140">
            <anchor moveWithCells="1">
              <from>
                <xdr:col>30</xdr:col>
                <xdr:colOff>257175</xdr:colOff>
                <xdr:row>15</xdr:row>
                <xdr:rowOff>114300</xdr:rowOff>
              </from>
              <to>
                <xdr:col>30</xdr:col>
                <xdr:colOff>752475</xdr:colOff>
                <xdr:row>16</xdr:row>
                <xdr:rowOff>142875</xdr:rowOff>
              </to>
            </anchor>
          </objectPr>
        </oleObject>
      </mc:Choice>
      <mc:Fallback>
        <oleObject progId="Equation.DSMT4" shapeId="2166" r:id="rId139"/>
      </mc:Fallback>
    </mc:AlternateContent>
    <mc:AlternateContent xmlns:mc="http://schemas.openxmlformats.org/markup-compatibility/2006">
      <mc:Choice Requires="x14">
        <oleObject progId="Equation.DSMT4" shapeId="2167" r:id="rId141">
          <objectPr defaultSize="0" r:id="rId142">
            <anchor moveWithCells="1">
              <from>
                <xdr:col>31</xdr:col>
                <xdr:colOff>123825</xdr:colOff>
                <xdr:row>15</xdr:row>
                <xdr:rowOff>114300</xdr:rowOff>
              </from>
              <to>
                <xdr:col>31</xdr:col>
                <xdr:colOff>904875</xdr:colOff>
                <xdr:row>16</xdr:row>
                <xdr:rowOff>142875</xdr:rowOff>
              </to>
            </anchor>
          </objectPr>
        </oleObject>
      </mc:Choice>
      <mc:Fallback>
        <oleObject progId="Equation.DSMT4" shapeId="2167" r:id="rId141"/>
      </mc:Fallback>
    </mc:AlternateContent>
    <mc:AlternateContent xmlns:mc="http://schemas.openxmlformats.org/markup-compatibility/2006">
      <mc:Choice Requires="x14">
        <oleObject progId="Equation.DSMT4" shapeId="2168" r:id="rId143">
          <objectPr defaultSize="0" r:id="rId144">
            <anchor moveWithCells="1">
              <from>
                <xdr:col>12</xdr:col>
                <xdr:colOff>304800</xdr:colOff>
                <xdr:row>12</xdr:row>
                <xdr:rowOff>85725</xdr:rowOff>
              </from>
              <to>
                <xdr:col>12</xdr:col>
                <xdr:colOff>876300</xdr:colOff>
                <xdr:row>13</xdr:row>
                <xdr:rowOff>180975</xdr:rowOff>
              </to>
            </anchor>
          </objectPr>
        </oleObject>
      </mc:Choice>
      <mc:Fallback>
        <oleObject progId="Equation.DSMT4" shapeId="2168" r:id="rId143"/>
      </mc:Fallback>
    </mc:AlternateContent>
    <mc:AlternateContent xmlns:mc="http://schemas.openxmlformats.org/markup-compatibility/2006">
      <mc:Choice Requires="x14">
        <oleObject progId="Equation.DSMT4" shapeId="2169" r:id="rId145">
          <objectPr defaultSize="0" r:id="rId146">
            <anchor moveWithCells="1">
              <from>
                <xdr:col>13</xdr:col>
                <xdr:colOff>295275</xdr:colOff>
                <xdr:row>12</xdr:row>
                <xdr:rowOff>104775</xdr:rowOff>
              </from>
              <to>
                <xdr:col>13</xdr:col>
                <xdr:colOff>752475</xdr:colOff>
                <xdr:row>13</xdr:row>
                <xdr:rowOff>200025</xdr:rowOff>
              </to>
            </anchor>
          </objectPr>
        </oleObject>
      </mc:Choice>
      <mc:Fallback>
        <oleObject progId="Equation.DSMT4" shapeId="2169" r:id="rId145"/>
      </mc:Fallback>
    </mc:AlternateContent>
    <mc:AlternateContent xmlns:mc="http://schemas.openxmlformats.org/markup-compatibility/2006">
      <mc:Choice Requires="x14">
        <oleObject progId="Equation.DSMT4" shapeId="2170" r:id="rId147">
          <objectPr defaultSize="0" r:id="rId148">
            <anchor moveWithCells="1">
              <from>
                <xdr:col>32</xdr:col>
                <xdr:colOff>314325</xdr:colOff>
                <xdr:row>15</xdr:row>
                <xdr:rowOff>142875</xdr:rowOff>
              </from>
              <to>
                <xdr:col>32</xdr:col>
                <xdr:colOff>723900</xdr:colOff>
                <xdr:row>16</xdr:row>
                <xdr:rowOff>85725</xdr:rowOff>
              </to>
            </anchor>
          </objectPr>
        </oleObject>
      </mc:Choice>
      <mc:Fallback>
        <oleObject progId="Equation.DSMT4" shapeId="2170" r:id="rId147"/>
      </mc:Fallback>
    </mc:AlternateContent>
    <mc:AlternateContent xmlns:mc="http://schemas.openxmlformats.org/markup-compatibility/2006">
      <mc:Choice Requires="x14">
        <oleObject progId="Equation.DSMT4" shapeId="2171" r:id="rId149">
          <objectPr defaultSize="0" r:id="rId114">
            <anchor moveWithCells="1">
              <from>
                <xdr:col>35</xdr:col>
                <xdr:colOff>381000</xdr:colOff>
                <xdr:row>15</xdr:row>
                <xdr:rowOff>142875</xdr:rowOff>
              </from>
              <to>
                <xdr:col>35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171" r:id="rId149"/>
      </mc:Fallback>
    </mc:AlternateContent>
    <mc:AlternateContent xmlns:mc="http://schemas.openxmlformats.org/markup-compatibility/2006">
      <mc:Choice Requires="x14">
        <oleObject progId="Equation.DSMT4" shapeId="2172" r:id="rId150">
          <objectPr defaultSize="0" r:id="rId124">
            <anchor moveWithCells="1">
              <from>
                <xdr:col>36</xdr:col>
                <xdr:colOff>381000</xdr:colOff>
                <xdr:row>15</xdr:row>
                <xdr:rowOff>142875</xdr:rowOff>
              </from>
              <to>
                <xdr:col>36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172" r:id="rId150"/>
      </mc:Fallback>
    </mc:AlternateContent>
    <mc:AlternateContent xmlns:mc="http://schemas.openxmlformats.org/markup-compatibility/2006">
      <mc:Choice Requires="x14">
        <oleObject progId="Equation.DSMT4" shapeId="2173" r:id="rId151">
          <objectPr defaultSize="0" r:id="rId116">
            <anchor moveWithCells="1">
              <from>
                <xdr:col>37</xdr:col>
                <xdr:colOff>381000</xdr:colOff>
                <xdr:row>15</xdr:row>
                <xdr:rowOff>142875</xdr:rowOff>
              </from>
              <to>
                <xdr:col>37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173" r:id="rId151"/>
      </mc:Fallback>
    </mc:AlternateContent>
    <mc:AlternateContent xmlns:mc="http://schemas.openxmlformats.org/markup-compatibility/2006">
      <mc:Choice Requires="x14">
        <oleObject progId="Equation.DSMT4" shapeId="2174" r:id="rId152">
          <objectPr defaultSize="0" r:id="rId118">
            <anchor moveWithCells="1">
              <from>
                <xdr:col>38</xdr:col>
                <xdr:colOff>390525</xdr:colOff>
                <xdr:row>15</xdr:row>
                <xdr:rowOff>142875</xdr:rowOff>
              </from>
              <to>
                <xdr:col>38</xdr:col>
                <xdr:colOff>647700</xdr:colOff>
                <xdr:row>16</xdr:row>
                <xdr:rowOff>142875</xdr:rowOff>
              </to>
            </anchor>
          </objectPr>
        </oleObject>
      </mc:Choice>
      <mc:Fallback>
        <oleObject progId="Equation.DSMT4" shapeId="2174" r:id="rId152"/>
      </mc:Fallback>
    </mc:AlternateContent>
    <mc:AlternateContent xmlns:mc="http://schemas.openxmlformats.org/markup-compatibility/2006">
      <mc:Choice Requires="x14">
        <oleObject progId="Equation.DSMT4" shapeId="2175" r:id="rId153">
          <objectPr defaultSize="0" r:id="rId120">
            <anchor moveWithCells="1">
              <from>
                <xdr:col>39</xdr:col>
                <xdr:colOff>381000</xdr:colOff>
                <xdr:row>15</xdr:row>
                <xdr:rowOff>142875</xdr:rowOff>
              </from>
              <to>
                <xdr:col>39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175" r:id="rId153"/>
      </mc:Fallback>
    </mc:AlternateContent>
    <mc:AlternateContent xmlns:mc="http://schemas.openxmlformats.org/markup-compatibility/2006">
      <mc:Choice Requires="x14">
        <oleObject progId="Equation.DSMT4" shapeId="2176" r:id="rId154">
          <objectPr defaultSize="0" r:id="rId122">
            <anchor moveWithCells="1">
              <from>
                <xdr:col>40</xdr:col>
                <xdr:colOff>352425</xdr:colOff>
                <xdr:row>15</xdr:row>
                <xdr:rowOff>142875</xdr:rowOff>
              </from>
              <to>
                <xdr:col>40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176" r:id="rId154"/>
      </mc:Fallback>
    </mc:AlternateContent>
    <mc:AlternateContent xmlns:mc="http://schemas.openxmlformats.org/markup-compatibility/2006">
      <mc:Choice Requires="x14">
        <oleObject progId="Equation.DSMT4" shapeId="2177" r:id="rId155">
          <objectPr defaultSize="0" r:id="rId156">
            <anchor moveWithCells="1">
              <from>
                <xdr:col>41</xdr:col>
                <xdr:colOff>428625</xdr:colOff>
                <xdr:row>15</xdr:row>
                <xdr:rowOff>142875</xdr:rowOff>
              </from>
              <to>
                <xdr:col>41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177" r:id="rId155"/>
      </mc:Fallback>
    </mc:AlternateContent>
    <mc:AlternateContent xmlns:mc="http://schemas.openxmlformats.org/markup-compatibility/2006">
      <mc:Choice Requires="x14">
        <oleObject progId="Equation.DSMT4" shapeId="2178" r:id="rId157">
          <objectPr defaultSize="0" r:id="rId158">
            <anchor moveWithCells="1">
              <from>
                <xdr:col>42</xdr:col>
                <xdr:colOff>390525</xdr:colOff>
                <xdr:row>15</xdr:row>
                <xdr:rowOff>142875</xdr:rowOff>
              </from>
              <to>
                <xdr:col>42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178" r:id="rId157"/>
      </mc:Fallback>
    </mc:AlternateContent>
    <mc:AlternateContent xmlns:mc="http://schemas.openxmlformats.org/markup-compatibility/2006">
      <mc:Choice Requires="x14">
        <oleObject progId="Equation.DSMT4" shapeId="2179" r:id="rId159">
          <objectPr defaultSize="0" r:id="rId160">
            <anchor moveWithCells="1">
              <from>
                <xdr:col>43</xdr:col>
                <xdr:colOff>219075</xdr:colOff>
                <xdr:row>15</xdr:row>
                <xdr:rowOff>114300</xdr:rowOff>
              </from>
              <to>
                <xdr:col>43</xdr:col>
                <xdr:colOff>838200</xdr:colOff>
                <xdr:row>16</xdr:row>
                <xdr:rowOff>142875</xdr:rowOff>
              </to>
            </anchor>
          </objectPr>
        </oleObject>
      </mc:Choice>
      <mc:Fallback>
        <oleObject progId="Equation.DSMT4" shapeId="2179" r:id="rId159"/>
      </mc:Fallback>
    </mc:AlternateContent>
    <mc:AlternateContent xmlns:mc="http://schemas.openxmlformats.org/markup-compatibility/2006">
      <mc:Choice Requires="x14">
        <oleObject progId="Equation.DSMT4" shapeId="2189" r:id="rId161">
          <objectPr defaultSize="0" r:id="rId114">
            <anchor moveWithCells="1">
              <from>
                <xdr:col>44</xdr:col>
                <xdr:colOff>381000</xdr:colOff>
                <xdr:row>15</xdr:row>
                <xdr:rowOff>142875</xdr:rowOff>
              </from>
              <to>
                <xdr:col>44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189" r:id="rId161"/>
      </mc:Fallback>
    </mc:AlternateContent>
    <mc:AlternateContent xmlns:mc="http://schemas.openxmlformats.org/markup-compatibility/2006">
      <mc:Choice Requires="x14">
        <oleObject progId="Equation.DSMT4" shapeId="2190" r:id="rId162">
          <objectPr defaultSize="0" r:id="rId124">
            <anchor moveWithCells="1">
              <from>
                <xdr:col>45</xdr:col>
                <xdr:colOff>381000</xdr:colOff>
                <xdr:row>15</xdr:row>
                <xdr:rowOff>142875</xdr:rowOff>
              </from>
              <to>
                <xdr:col>45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190" r:id="rId162"/>
      </mc:Fallback>
    </mc:AlternateContent>
    <mc:AlternateContent xmlns:mc="http://schemas.openxmlformats.org/markup-compatibility/2006">
      <mc:Choice Requires="x14">
        <oleObject progId="Equation.DSMT4" shapeId="2191" r:id="rId163">
          <objectPr defaultSize="0" r:id="rId116">
            <anchor moveWithCells="1">
              <from>
                <xdr:col>46</xdr:col>
                <xdr:colOff>381000</xdr:colOff>
                <xdr:row>15</xdr:row>
                <xdr:rowOff>142875</xdr:rowOff>
              </from>
              <to>
                <xdr:col>46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191" r:id="rId163"/>
      </mc:Fallback>
    </mc:AlternateContent>
    <mc:AlternateContent xmlns:mc="http://schemas.openxmlformats.org/markup-compatibility/2006">
      <mc:Choice Requires="x14">
        <oleObject progId="Equation.DSMT4" shapeId="2192" r:id="rId164">
          <objectPr defaultSize="0" r:id="rId118">
            <anchor moveWithCells="1">
              <from>
                <xdr:col>47</xdr:col>
                <xdr:colOff>390525</xdr:colOff>
                <xdr:row>15</xdr:row>
                <xdr:rowOff>142875</xdr:rowOff>
              </from>
              <to>
                <xdr:col>47</xdr:col>
                <xdr:colOff>647700</xdr:colOff>
                <xdr:row>16</xdr:row>
                <xdr:rowOff>142875</xdr:rowOff>
              </to>
            </anchor>
          </objectPr>
        </oleObject>
      </mc:Choice>
      <mc:Fallback>
        <oleObject progId="Equation.DSMT4" shapeId="2192" r:id="rId164"/>
      </mc:Fallback>
    </mc:AlternateContent>
    <mc:AlternateContent xmlns:mc="http://schemas.openxmlformats.org/markup-compatibility/2006">
      <mc:Choice Requires="x14">
        <oleObject progId="Equation.DSMT4" shapeId="2193" r:id="rId165">
          <objectPr defaultSize="0" r:id="rId120">
            <anchor moveWithCells="1">
              <from>
                <xdr:col>48</xdr:col>
                <xdr:colOff>381000</xdr:colOff>
                <xdr:row>15</xdr:row>
                <xdr:rowOff>142875</xdr:rowOff>
              </from>
              <to>
                <xdr:col>48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193" r:id="rId165"/>
      </mc:Fallback>
    </mc:AlternateContent>
    <mc:AlternateContent xmlns:mc="http://schemas.openxmlformats.org/markup-compatibility/2006">
      <mc:Choice Requires="x14">
        <oleObject progId="Equation.DSMT4" shapeId="2194" r:id="rId166">
          <objectPr defaultSize="0" r:id="rId122">
            <anchor moveWithCells="1">
              <from>
                <xdr:col>49</xdr:col>
                <xdr:colOff>352425</xdr:colOff>
                <xdr:row>15</xdr:row>
                <xdr:rowOff>142875</xdr:rowOff>
              </from>
              <to>
                <xdr:col>49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194" r:id="rId166"/>
      </mc:Fallback>
    </mc:AlternateContent>
    <mc:AlternateContent xmlns:mc="http://schemas.openxmlformats.org/markup-compatibility/2006">
      <mc:Choice Requires="x14">
        <oleObject progId="Equation.DSMT4" shapeId="2195" r:id="rId167">
          <objectPr defaultSize="0" r:id="rId156">
            <anchor moveWithCells="1">
              <from>
                <xdr:col>50</xdr:col>
                <xdr:colOff>428625</xdr:colOff>
                <xdr:row>15</xdr:row>
                <xdr:rowOff>142875</xdr:rowOff>
              </from>
              <to>
                <xdr:col>50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195" r:id="rId167"/>
      </mc:Fallback>
    </mc:AlternateContent>
    <mc:AlternateContent xmlns:mc="http://schemas.openxmlformats.org/markup-compatibility/2006">
      <mc:Choice Requires="x14">
        <oleObject progId="Equation.DSMT4" shapeId="2196" r:id="rId168">
          <objectPr defaultSize="0" r:id="rId158">
            <anchor moveWithCells="1">
              <from>
                <xdr:col>51</xdr:col>
                <xdr:colOff>390525</xdr:colOff>
                <xdr:row>15</xdr:row>
                <xdr:rowOff>142875</xdr:rowOff>
              </from>
              <to>
                <xdr:col>51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196" r:id="rId168"/>
      </mc:Fallback>
    </mc:AlternateContent>
    <mc:AlternateContent xmlns:mc="http://schemas.openxmlformats.org/markup-compatibility/2006">
      <mc:Choice Requires="x14">
        <oleObject progId="Equation.DSMT4" shapeId="2197" r:id="rId169">
          <objectPr defaultSize="0" r:id="rId170">
            <anchor moveWithCells="1">
              <from>
                <xdr:col>52</xdr:col>
                <xdr:colOff>76200</xdr:colOff>
                <xdr:row>15</xdr:row>
                <xdr:rowOff>114300</xdr:rowOff>
              </from>
              <to>
                <xdr:col>52</xdr:col>
                <xdr:colOff>1000125</xdr:colOff>
                <xdr:row>16</xdr:row>
                <xdr:rowOff>180975</xdr:rowOff>
              </to>
            </anchor>
          </objectPr>
        </oleObject>
      </mc:Choice>
      <mc:Fallback>
        <oleObject progId="Equation.DSMT4" shapeId="2197" r:id="rId169"/>
      </mc:Fallback>
    </mc:AlternateContent>
    <mc:AlternateContent xmlns:mc="http://schemas.openxmlformats.org/markup-compatibility/2006">
      <mc:Choice Requires="x14">
        <oleObject progId="Equation.DSMT4" shapeId="2198" r:id="rId171">
          <objectPr defaultSize="0" r:id="rId172">
            <anchor moveWithCells="1">
              <from>
                <xdr:col>53</xdr:col>
                <xdr:colOff>390525</xdr:colOff>
                <xdr:row>15</xdr:row>
                <xdr:rowOff>142875</xdr:rowOff>
              </from>
              <to>
                <xdr:col>53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198" r:id="rId171"/>
      </mc:Fallback>
    </mc:AlternateContent>
    <mc:AlternateContent xmlns:mc="http://schemas.openxmlformats.org/markup-compatibility/2006">
      <mc:Choice Requires="x14">
        <oleObject progId="Equation.DSMT4" shapeId="2199" r:id="rId173">
          <objectPr defaultSize="0" r:id="rId174">
            <anchor moveWithCells="1">
              <from>
                <xdr:col>54</xdr:col>
                <xdr:colOff>76200</xdr:colOff>
                <xdr:row>15</xdr:row>
                <xdr:rowOff>114300</xdr:rowOff>
              </from>
              <to>
                <xdr:col>54</xdr:col>
                <xdr:colOff>1000125</xdr:colOff>
                <xdr:row>16</xdr:row>
                <xdr:rowOff>180975</xdr:rowOff>
              </to>
            </anchor>
          </objectPr>
        </oleObject>
      </mc:Choice>
      <mc:Fallback>
        <oleObject progId="Equation.DSMT4" shapeId="2199" r:id="rId173"/>
      </mc:Fallback>
    </mc:AlternateContent>
    <mc:AlternateContent xmlns:mc="http://schemas.openxmlformats.org/markup-compatibility/2006">
      <mc:Choice Requires="x14">
        <oleObject progId="Equation.DSMT4" shapeId="2200" r:id="rId175">
          <objectPr defaultSize="0" r:id="rId176">
            <anchor moveWithCells="1">
              <from>
                <xdr:col>55</xdr:col>
                <xdr:colOff>76200</xdr:colOff>
                <xdr:row>15</xdr:row>
                <xdr:rowOff>114300</xdr:rowOff>
              </from>
              <to>
                <xdr:col>55</xdr:col>
                <xdr:colOff>1000125</xdr:colOff>
                <xdr:row>16</xdr:row>
                <xdr:rowOff>180975</xdr:rowOff>
              </to>
            </anchor>
          </objectPr>
        </oleObject>
      </mc:Choice>
      <mc:Fallback>
        <oleObject progId="Equation.DSMT4" shapeId="2200" r:id="rId175"/>
      </mc:Fallback>
    </mc:AlternateContent>
    <mc:AlternateContent xmlns:mc="http://schemas.openxmlformats.org/markup-compatibility/2006">
      <mc:Choice Requires="x14">
        <oleObject progId="Equation.DSMT4" shapeId="2201" r:id="rId177">
          <objectPr defaultSize="0" r:id="rId178">
            <anchor moveWithCells="1">
              <from>
                <xdr:col>56</xdr:col>
                <xdr:colOff>200025</xdr:colOff>
                <xdr:row>15</xdr:row>
                <xdr:rowOff>114300</xdr:rowOff>
              </from>
              <to>
                <xdr:col>56</xdr:col>
                <xdr:colOff>809625</xdr:colOff>
                <xdr:row>16</xdr:row>
                <xdr:rowOff>142875</xdr:rowOff>
              </to>
            </anchor>
          </objectPr>
        </oleObject>
      </mc:Choice>
      <mc:Fallback>
        <oleObject progId="Equation.DSMT4" shapeId="2201" r:id="rId177"/>
      </mc:Fallback>
    </mc:AlternateContent>
    <mc:AlternateContent xmlns:mc="http://schemas.openxmlformats.org/markup-compatibility/2006">
      <mc:Choice Requires="x14">
        <oleObject progId="Equation.DSMT4" shapeId="2202" r:id="rId179">
          <objectPr defaultSize="0" r:id="rId180">
            <anchor moveWithCells="1">
              <from>
                <xdr:col>57</xdr:col>
                <xdr:colOff>200025</xdr:colOff>
                <xdr:row>15</xdr:row>
                <xdr:rowOff>114300</xdr:rowOff>
              </from>
              <to>
                <xdr:col>57</xdr:col>
                <xdr:colOff>800100</xdr:colOff>
                <xdr:row>16</xdr:row>
                <xdr:rowOff>142875</xdr:rowOff>
              </to>
            </anchor>
          </objectPr>
        </oleObject>
      </mc:Choice>
      <mc:Fallback>
        <oleObject progId="Equation.DSMT4" shapeId="2202" r:id="rId179"/>
      </mc:Fallback>
    </mc:AlternateContent>
    <mc:AlternateContent xmlns:mc="http://schemas.openxmlformats.org/markup-compatibility/2006">
      <mc:Choice Requires="x14">
        <oleObject progId="Equation.DSMT4" shapeId="2203" r:id="rId181">
          <objectPr defaultSize="0" r:id="rId90">
            <anchor moveWithCells="1">
              <from>
                <xdr:col>68</xdr:col>
                <xdr:colOff>76200</xdr:colOff>
                <xdr:row>15</xdr:row>
                <xdr:rowOff>123825</xdr:rowOff>
              </from>
              <to>
                <xdr:col>68</xdr:col>
                <xdr:colOff>923925</xdr:colOff>
                <xdr:row>16</xdr:row>
                <xdr:rowOff>200025</xdr:rowOff>
              </to>
            </anchor>
          </objectPr>
        </oleObject>
      </mc:Choice>
      <mc:Fallback>
        <oleObject progId="Equation.DSMT4" shapeId="2203" r:id="rId181"/>
      </mc:Fallback>
    </mc:AlternateContent>
    <mc:AlternateContent xmlns:mc="http://schemas.openxmlformats.org/markup-compatibility/2006">
      <mc:Choice Requires="x14">
        <oleObject progId="Equation.DSMT4" shapeId="2204" r:id="rId182">
          <objectPr defaultSize="0" r:id="rId92">
            <anchor moveWithCells="1">
              <from>
                <xdr:col>67</xdr:col>
                <xdr:colOff>219075</xdr:colOff>
                <xdr:row>12</xdr:row>
                <xdr:rowOff>85725</xdr:rowOff>
              </from>
              <to>
                <xdr:col>67</xdr:col>
                <xdr:colOff>876300</xdr:colOff>
                <xdr:row>13</xdr:row>
                <xdr:rowOff>180975</xdr:rowOff>
              </to>
            </anchor>
          </objectPr>
        </oleObject>
      </mc:Choice>
      <mc:Fallback>
        <oleObject progId="Equation.DSMT4" shapeId="2204" r:id="rId182"/>
      </mc:Fallback>
    </mc:AlternateContent>
    <mc:AlternateContent xmlns:mc="http://schemas.openxmlformats.org/markup-compatibility/2006">
      <mc:Choice Requires="x14">
        <oleObject progId="Equation.DSMT4" shapeId="2205" r:id="rId183">
          <objectPr defaultSize="0" autoPict="0" r:id="rId94">
            <anchor moveWithCells="1">
              <from>
                <xdr:col>69</xdr:col>
                <xdr:colOff>390525</xdr:colOff>
                <xdr:row>12</xdr:row>
                <xdr:rowOff>28575</xdr:rowOff>
              </from>
              <to>
                <xdr:col>69</xdr:col>
                <xdr:colOff>619125</xdr:colOff>
                <xdr:row>13</xdr:row>
                <xdr:rowOff>200025</xdr:rowOff>
              </to>
            </anchor>
          </objectPr>
        </oleObject>
      </mc:Choice>
      <mc:Fallback>
        <oleObject progId="Equation.DSMT4" shapeId="2205" r:id="rId183"/>
      </mc:Fallback>
    </mc:AlternateContent>
    <mc:AlternateContent xmlns:mc="http://schemas.openxmlformats.org/markup-compatibility/2006">
      <mc:Choice Requires="x14">
        <oleObject progId="Equation.DSMT4" shapeId="2206" r:id="rId184">
          <objectPr defaultSize="0" r:id="rId96">
            <anchor moveWithCells="1">
              <from>
                <xdr:col>70</xdr:col>
                <xdr:colOff>104775</xdr:colOff>
                <xdr:row>12</xdr:row>
                <xdr:rowOff>66675</xdr:rowOff>
              </from>
              <to>
                <xdr:col>70</xdr:col>
                <xdr:colOff>923925</xdr:colOff>
                <xdr:row>13</xdr:row>
                <xdr:rowOff>114300</xdr:rowOff>
              </to>
            </anchor>
          </objectPr>
        </oleObject>
      </mc:Choice>
      <mc:Fallback>
        <oleObject progId="Equation.DSMT4" shapeId="2206" r:id="rId184"/>
      </mc:Fallback>
    </mc:AlternateContent>
    <mc:AlternateContent xmlns:mc="http://schemas.openxmlformats.org/markup-compatibility/2006">
      <mc:Choice Requires="x14">
        <oleObject progId="Equation.DSMT4" shapeId="2207" r:id="rId185">
          <objectPr defaultSize="0" r:id="rId98">
            <anchor moveWithCells="1">
              <from>
                <xdr:col>72</xdr:col>
                <xdr:colOff>428625</xdr:colOff>
                <xdr:row>15</xdr:row>
                <xdr:rowOff>161925</xdr:rowOff>
              </from>
              <to>
                <xdr:col>72</xdr:col>
                <xdr:colOff>600075</xdr:colOff>
                <xdr:row>16</xdr:row>
                <xdr:rowOff>114300</xdr:rowOff>
              </to>
            </anchor>
          </objectPr>
        </oleObject>
      </mc:Choice>
      <mc:Fallback>
        <oleObject progId="Equation.DSMT4" shapeId="2207" r:id="rId185"/>
      </mc:Fallback>
    </mc:AlternateContent>
    <mc:AlternateContent xmlns:mc="http://schemas.openxmlformats.org/markup-compatibility/2006">
      <mc:Choice Requires="x14">
        <oleObject progId="Equation.DSMT4" shapeId="2208" r:id="rId186">
          <objectPr defaultSize="0" r:id="rId100">
            <anchor moveWithCells="1">
              <from>
                <xdr:col>74</xdr:col>
                <xdr:colOff>142875</xdr:colOff>
                <xdr:row>15</xdr:row>
                <xdr:rowOff>142875</xdr:rowOff>
              </from>
              <to>
                <xdr:col>74</xdr:col>
                <xdr:colOff>809625</xdr:colOff>
                <xdr:row>16</xdr:row>
                <xdr:rowOff>180975</xdr:rowOff>
              </to>
            </anchor>
          </objectPr>
        </oleObject>
      </mc:Choice>
      <mc:Fallback>
        <oleObject progId="Equation.DSMT4" shapeId="2208" r:id="rId186"/>
      </mc:Fallback>
    </mc:AlternateContent>
    <mc:AlternateContent xmlns:mc="http://schemas.openxmlformats.org/markup-compatibility/2006">
      <mc:Choice Requires="x14">
        <oleObject progId="Equation.DSMT4" shapeId="2209" r:id="rId187">
          <objectPr defaultSize="0" r:id="rId132">
            <anchor moveWithCells="1">
              <from>
                <xdr:col>81</xdr:col>
                <xdr:colOff>123825</xdr:colOff>
                <xdr:row>15</xdr:row>
                <xdr:rowOff>114300</xdr:rowOff>
              </from>
              <to>
                <xdr:col>81</xdr:col>
                <xdr:colOff>923925</xdr:colOff>
                <xdr:row>16</xdr:row>
                <xdr:rowOff>142875</xdr:rowOff>
              </to>
            </anchor>
          </objectPr>
        </oleObject>
      </mc:Choice>
      <mc:Fallback>
        <oleObject progId="Equation.DSMT4" shapeId="2209" r:id="rId187"/>
      </mc:Fallback>
    </mc:AlternateContent>
    <mc:AlternateContent xmlns:mc="http://schemas.openxmlformats.org/markup-compatibility/2006">
      <mc:Choice Requires="x14">
        <oleObject progId="Equation.DSMT4" shapeId="2210" r:id="rId188">
          <objectPr defaultSize="0" r:id="rId134">
            <anchor moveWithCells="1">
              <from>
                <xdr:col>82</xdr:col>
                <xdr:colOff>257175</xdr:colOff>
                <xdr:row>15</xdr:row>
                <xdr:rowOff>114300</xdr:rowOff>
              </from>
              <to>
                <xdr:col>82</xdr:col>
                <xdr:colOff>762000</xdr:colOff>
                <xdr:row>16</xdr:row>
                <xdr:rowOff>142875</xdr:rowOff>
              </to>
            </anchor>
          </objectPr>
        </oleObject>
      </mc:Choice>
      <mc:Fallback>
        <oleObject progId="Equation.DSMT4" shapeId="2210" r:id="rId188"/>
      </mc:Fallback>
    </mc:AlternateContent>
    <mc:AlternateContent xmlns:mc="http://schemas.openxmlformats.org/markup-compatibility/2006">
      <mc:Choice Requires="x14">
        <oleObject progId="Equation.DSMT4" shapeId="2211" r:id="rId189">
          <objectPr defaultSize="0" r:id="rId136">
            <anchor moveWithCells="1">
              <from>
                <xdr:col>87</xdr:col>
                <xdr:colOff>123825</xdr:colOff>
                <xdr:row>15</xdr:row>
                <xdr:rowOff>114300</xdr:rowOff>
              </from>
              <to>
                <xdr:col>87</xdr:col>
                <xdr:colOff>923925</xdr:colOff>
                <xdr:row>16</xdr:row>
                <xdr:rowOff>142875</xdr:rowOff>
              </to>
            </anchor>
          </objectPr>
        </oleObject>
      </mc:Choice>
      <mc:Fallback>
        <oleObject progId="Equation.DSMT4" shapeId="2211" r:id="rId189"/>
      </mc:Fallback>
    </mc:AlternateContent>
    <mc:AlternateContent xmlns:mc="http://schemas.openxmlformats.org/markup-compatibility/2006">
      <mc:Choice Requires="x14">
        <oleObject progId="Equation.DSMT4" shapeId="2212" r:id="rId190">
          <objectPr defaultSize="0" r:id="rId138">
            <anchor moveWithCells="1">
              <from>
                <xdr:col>88</xdr:col>
                <xdr:colOff>257175</xdr:colOff>
                <xdr:row>15</xdr:row>
                <xdr:rowOff>114300</xdr:rowOff>
              </from>
              <to>
                <xdr:col>88</xdr:col>
                <xdr:colOff>762000</xdr:colOff>
                <xdr:row>16</xdr:row>
                <xdr:rowOff>142875</xdr:rowOff>
              </to>
            </anchor>
          </objectPr>
        </oleObject>
      </mc:Choice>
      <mc:Fallback>
        <oleObject progId="Equation.DSMT4" shapeId="2212" r:id="rId190"/>
      </mc:Fallback>
    </mc:AlternateContent>
    <mc:AlternateContent xmlns:mc="http://schemas.openxmlformats.org/markup-compatibility/2006">
      <mc:Choice Requires="x14">
        <oleObject progId="Equation.DSMT4" shapeId="2213" r:id="rId191">
          <objectPr defaultSize="0" r:id="rId140">
            <anchor moveWithCells="1">
              <from>
                <xdr:col>89</xdr:col>
                <xdr:colOff>257175</xdr:colOff>
                <xdr:row>15</xdr:row>
                <xdr:rowOff>114300</xdr:rowOff>
              </from>
              <to>
                <xdr:col>89</xdr:col>
                <xdr:colOff>752475</xdr:colOff>
                <xdr:row>16</xdr:row>
                <xdr:rowOff>142875</xdr:rowOff>
              </to>
            </anchor>
          </objectPr>
        </oleObject>
      </mc:Choice>
      <mc:Fallback>
        <oleObject progId="Equation.DSMT4" shapeId="2213" r:id="rId191"/>
      </mc:Fallback>
    </mc:AlternateContent>
    <mc:AlternateContent xmlns:mc="http://schemas.openxmlformats.org/markup-compatibility/2006">
      <mc:Choice Requires="x14">
        <oleObject progId="Equation.DSMT4" shapeId="2214" r:id="rId192">
          <objectPr defaultSize="0" r:id="rId142">
            <anchor moveWithCells="1">
              <from>
                <xdr:col>90</xdr:col>
                <xdr:colOff>123825</xdr:colOff>
                <xdr:row>15</xdr:row>
                <xdr:rowOff>114300</xdr:rowOff>
              </from>
              <to>
                <xdr:col>90</xdr:col>
                <xdr:colOff>904875</xdr:colOff>
                <xdr:row>16</xdr:row>
                <xdr:rowOff>142875</xdr:rowOff>
              </to>
            </anchor>
          </objectPr>
        </oleObject>
      </mc:Choice>
      <mc:Fallback>
        <oleObject progId="Equation.DSMT4" shapeId="2214" r:id="rId192"/>
      </mc:Fallback>
    </mc:AlternateContent>
    <mc:AlternateContent xmlns:mc="http://schemas.openxmlformats.org/markup-compatibility/2006">
      <mc:Choice Requires="x14">
        <oleObject progId="Equation.DSMT4" shapeId="2215" r:id="rId193">
          <objectPr defaultSize="0" r:id="rId144">
            <anchor moveWithCells="1">
              <from>
                <xdr:col>71</xdr:col>
                <xdr:colOff>304800</xdr:colOff>
                <xdr:row>12</xdr:row>
                <xdr:rowOff>85725</xdr:rowOff>
              </from>
              <to>
                <xdr:col>71</xdr:col>
                <xdr:colOff>876300</xdr:colOff>
                <xdr:row>13</xdr:row>
                <xdr:rowOff>180975</xdr:rowOff>
              </to>
            </anchor>
          </objectPr>
        </oleObject>
      </mc:Choice>
      <mc:Fallback>
        <oleObject progId="Equation.DSMT4" shapeId="2215" r:id="rId193"/>
      </mc:Fallback>
    </mc:AlternateContent>
    <mc:AlternateContent xmlns:mc="http://schemas.openxmlformats.org/markup-compatibility/2006">
      <mc:Choice Requires="x14">
        <oleObject progId="Equation.DSMT4" shapeId="2216" r:id="rId194">
          <objectPr defaultSize="0" r:id="rId146">
            <anchor moveWithCells="1">
              <from>
                <xdr:col>72</xdr:col>
                <xdr:colOff>295275</xdr:colOff>
                <xdr:row>12</xdr:row>
                <xdr:rowOff>104775</xdr:rowOff>
              </from>
              <to>
                <xdr:col>72</xdr:col>
                <xdr:colOff>752475</xdr:colOff>
                <xdr:row>13</xdr:row>
                <xdr:rowOff>200025</xdr:rowOff>
              </to>
            </anchor>
          </objectPr>
        </oleObject>
      </mc:Choice>
      <mc:Fallback>
        <oleObject progId="Equation.DSMT4" shapeId="2216" r:id="rId194"/>
      </mc:Fallback>
    </mc:AlternateContent>
    <mc:AlternateContent xmlns:mc="http://schemas.openxmlformats.org/markup-compatibility/2006">
      <mc:Choice Requires="x14">
        <oleObject progId="Equation.DSMT4" shapeId="2217" r:id="rId195">
          <objectPr defaultSize="0" r:id="rId148">
            <anchor moveWithCells="1">
              <from>
                <xdr:col>91</xdr:col>
                <xdr:colOff>314325</xdr:colOff>
                <xdr:row>15</xdr:row>
                <xdr:rowOff>142875</xdr:rowOff>
              </from>
              <to>
                <xdr:col>91</xdr:col>
                <xdr:colOff>723900</xdr:colOff>
                <xdr:row>16</xdr:row>
                <xdr:rowOff>85725</xdr:rowOff>
              </to>
            </anchor>
          </objectPr>
        </oleObject>
      </mc:Choice>
      <mc:Fallback>
        <oleObject progId="Equation.DSMT4" shapeId="2217" r:id="rId195"/>
      </mc:Fallback>
    </mc:AlternateContent>
    <mc:AlternateContent xmlns:mc="http://schemas.openxmlformats.org/markup-compatibility/2006">
      <mc:Choice Requires="x14">
        <oleObject progId="Equation.DSMT4" shapeId="2218" r:id="rId196">
          <objectPr defaultSize="0" r:id="rId114">
            <anchor moveWithCells="1">
              <from>
                <xdr:col>94</xdr:col>
                <xdr:colOff>381000</xdr:colOff>
                <xdr:row>15</xdr:row>
                <xdr:rowOff>142875</xdr:rowOff>
              </from>
              <to>
                <xdr:col>94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218" r:id="rId196"/>
      </mc:Fallback>
    </mc:AlternateContent>
    <mc:AlternateContent xmlns:mc="http://schemas.openxmlformats.org/markup-compatibility/2006">
      <mc:Choice Requires="x14">
        <oleObject progId="Equation.DSMT4" shapeId="2219" r:id="rId197">
          <objectPr defaultSize="0" r:id="rId124">
            <anchor moveWithCells="1">
              <from>
                <xdr:col>95</xdr:col>
                <xdr:colOff>381000</xdr:colOff>
                <xdr:row>15</xdr:row>
                <xdr:rowOff>142875</xdr:rowOff>
              </from>
              <to>
                <xdr:col>95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219" r:id="rId197"/>
      </mc:Fallback>
    </mc:AlternateContent>
    <mc:AlternateContent xmlns:mc="http://schemas.openxmlformats.org/markup-compatibility/2006">
      <mc:Choice Requires="x14">
        <oleObject progId="Equation.DSMT4" shapeId="2220" r:id="rId198">
          <objectPr defaultSize="0" r:id="rId116">
            <anchor moveWithCells="1">
              <from>
                <xdr:col>96</xdr:col>
                <xdr:colOff>381000</xdr:colOff>
                <xdr:row>15</xdr:row>
                <xdr:rowOff>142875</xdr:rowOff>
              </from>
              <to>
                <xdr:col>96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220" r:id="rId198"/>
      </mc:Fallback>
    </mc:AlternateContent>
    <mc:AlternateContent xmlns:mc="http://schemas.openxmlformats.org/markup-compatibility/2006">
      <mc:Choice Requires="x14">
        <oleObject progId="Equation.DSMT4" shapeId="2221" r:id="rId199">
          <objectPr defaultSize="0" r:id="rId118">
            <anchor moveWithCells="1">
              <from>
                <xdr:col>97</xdr:col>
                <xdr:colOff>390525</xdr:colOff>
                <xdr:row>15</xdr:row>
                <xdr:rowOff>142875</xdr:rowOff>
              </from>
              <to>
                <xdr:col>97</xdr:col>
                <xdr:colOff>647700</xdr:colOff>
                <xdr:row>16</xdr:row>
                <xdr:rowOff>142875</xdr:rowOff>
              </to>
            </anchor>
          </objectPr>
        </oleObject>
      </mc:Choice>
      <mc:Fallback>
        <oleObject progId="Equation.DSMT4" shapeId="2221" r:id="rId199"/>
      </mc:Fallback>
    </mc:AlternateContent>
    <mc:AlternateContent xmlns:mc="http://schemas.openxmlformats.org/markup-compatibility/2006">
      <mc:Choice Requires="x14">
        <oleObject progId="Equation.DSMT4" shapeId="2222" r:id="rId200">
          <objectPr defaultSize="0" r:id="rId120">
            <anchor moveWithCells="1">
              <from>
                <xdr:col>98</xdr:col>
                <xdr:colOff>381000</xdr:colOff>
                <xdr:row>15</xdr:row>
                <xdr:rowOff>142875</xdr:rowOff>
              </from>
              <to>
                <xdr:col>98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222" r:id="rId200"/>
      </mc:Fallback>
    </mc:AlternateContent>
    <mc:AlternateContent xmlns:mc="http://schemas.openxmlformats.org/markup-compatibility/2006">
      <mc:Choice Requires="x14">
        <oleObject progId="Equation.DSMT4" shapeId="2223" r:id="rId201">
          <objectPr defaultSize="0" r:id="rId122">
            <anchor moveWithCells="1">
              <from>
                <xdr:col>99</xdr:col>
                <xdr:colOff>352425</xdr:colOff>
                <xdr:row>15</xdr:row>
                <xdr:rowOff>142875</xdr:rowOff>
              </from>
              <to>
                <xdr:col>99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223" r:id="rId201"/>
      </mc:Fallback>
    </mc:AlternateContent>
    <mc:AlternateContent xmlns:mc="http://schemas.openxmlformats.org/markup-compatibility/2006">
      <mc:Choice Requires="x14">
        <oleObject progId="Equation.DSMT4" shapeId="2224" r:id="rId202">
          <objectPr defaultSize="0" r:id="rId156">
            <anchor moveWithCells="1">
              <from>
                <xdr:col>100</xdr:col>
                <xdr:colOff>428625</xdr:colOff>
                <xdr:row>15</xdr:row>
                <xdr:rowOff>142875</xdr:rowOff>
              </from>
              <to>
                <xdr:col>100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224" r:id="rId202"/>
      </mc:Fallback>
    </mc:AlternateContent>
    <mc:AlternateContent xmlns:mc="http://schemas.openxmlformats.org/markup-compatibility/2006">
      <mc:Choice Requires="x14">
        <oleObject progId="Equation.DSMT4" shapeId="2225" r:id="rId203">
          <objectPr defaultSize="0" r:id="rId158">
            <anchor moveWithCells="1">
              <from>
                <xdr:col>101</xdr:col>
                <xdr:colOff>390525</xdr:colOff>
                <xdr:row>15</xdr:row>
                <xdr:rowOff>142875</xdr:rowOff>
              </from>
              <to>
                <xdr:col>101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225" r:id="rId203"/>
      </mc:Fallback>
    </mc:AlternateContent>
    <mc:AlternateContent xmlns:mc="http://schemas.openxmlformats.org/markup-compatibility/2006">
      <mc:Choice Requires="x14">
        <oleObject progId="Equation.DSMT4" shapeId="2226" r:id="rId204">
          <objectPr defaultSize="0" r:id="rId160">
            <anchor moveWithCells="1">
              <from>
                <xdr:col>102</xdr:col>
                <xdr:colOff>219075</xdr:colOff>
                <xdr:row>15</xdr:row>
                <xdr:rowOff>114300</xdr:rowOff>
              </from>
              <to>
                <xdr:col>102</xdr:col>
                <xdr:colOff>838200</xdr:colOff>
                <xdr:row>16</xdr:row>
                <xdr:rowOff>142875</xdr:rowOff>
              </to>
            </anchor>
          </objectPr>
        </oleObject>
      </mc:Choice>
      <mc:Fallback>
        <oleObject progId="Equation.DSMT4" shapeId="2226" r:id="rId204"/>
      </mc:Fallback>
    </mc:AlternateContent>
    <mc:AlternateContent xmlns:mc="http://schemas.openxmlformats.org/markup-compatibility/2006">
      <mc:Choice Requires="x14">
        <oleObject progId="Equation.DSMT4" shapeId="2227" r:id="rId205">
          <objectPr defaultSize="0" r:id="rId114">
            <anchor moveWithCells="1">
              <from>
                <xdr:col>103</xdr:col>
                <xdr:colOff>381000</xdr:colOff>
                <xdr:row>15</xdr:row>
                <xdr:rowOff>142875</xdr:rowOff>
              </from>
              <to>
                <xdr:col>103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227" r:id="rId205"/>
      </mc:Fallback>
    </mc:AlternateContent>
    <mc:AlternateContent xmlns:mc="http://schemas.openxmlformats.org/markup-compatibility/2006">
      <mc:Choice Requires="x14">
        <oleObject progId="Equation.DSMT4" shapeId="2228" r:id="rId206">
          <objectPr defaultSize="0" r:id="rId124">
            <anchor moveWithCells="1">
              <from>
                <xdr:col>104</xdr:col>
                <xdr:colOff>381000</xdr:colOff>
                <xdr:row>15</xdr:row>
                <xdr:rowOff>142875</xdr:rowOff>
              </from>
              <to>
                <xdr:col>104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228" r:id="rId206"/>
      </mc:Fallback>
    </mc:AlternateContent>
    <mc:AlternateContent xmlns:mc="http://schemas.openxmlformats.org/markup-compatibility/2006">
      <mc:Choice Requires="x14">
        <oleObject progId="Equation.DSMT4" shapeId="2229" r:id="rId207">
          <objectPr defaultSize="0" r:id="rId116">
            <anchor moveWithCells="1">
              <from>
                <xdr:col>105</xdr:col>
                <xdr:colOff>381000</xdr:colOff>
                <xdr:row>15</xdr:row>
                <xdr:rowOff>142875</xdr:rowOff>
              </from>
              <to>
                <xdr:col>105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229" r:id="rId207"/>
      </mc:Fallback>
    </mc:AlternateContent>
    <mc:AlternateContent xmlns:mc="http://schemas.openxmlformats.org/markup-compatibility/2006">
      <mc:Choice Requires="x14">
        <oleObject progId="Equation.DSMT4" shapeId="2230" r:id="rId208">
          <objectPr defaultSize="0" r:id="rId118">
            <anchor moveWithCells="1">
              <from>
                <xdr:col>106</xdr:col>
                <xdr:colOff>390525</xdr:colOff>
                <xdr:row>15</xdr:row>
                <xdr:rowOff>142875</xdr:rowOff>
              </from>
              <to>
                <xdr:col>106</xdr:col>
                <xdr:colOff>647700</xdr:colOff>
                <xdr:row>16</xdr:row>
                <xdr:rowOff>142875</xdr:rowOff>
              </to>
            </anchor>
          </objectPr>
        </oleObject>
      </mc:Choice>
      <mc:Fallback>
        <oleObject progId="Equation.DSMT4" shapeId="2230" r:id="rId208"/>
      </mc:Fallback>
    </mc:AlternateContent>
    <mc:AlternateContent xmlns:mc="http://schemas.openxmlformats.org/markup-compatibility/2006">
      <mc:Choice Requires="x14">
        <oleObject progId="Equation.DSMT4" shapeId="2231" r:id="rId209">
          <objectPr defaultSize="0" r:id="rId120">
            <anchor moveWithCells="1">
              <from>
                <xdr:col>107</xdr:col>
                <xdr:colOff>381000</xdr:colOff>
                <xdr:row>15</xdr:row>
                <xdr:rowOff>142875</xdr:rowOff>
              </from>
              <to>
                <xdr:col>107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231" r:id="rId209"/>
      </mc:Fallback>
    </mc:AlternateContent>
    <mc:AlternateContent xmlns:mc="http://schemas.openxmlformats.org/markup-compatibility/2006">
      <mc:Choice Requires="x14">
        <oleObject progId="Equation.DSMT4" shapeId="2232" r:id="rId210">
          <objectPr defaultSize="0" r:id="rId122">
            <anchor moveWithCells="1">
              <from>
                <xdr:col>108</xdr:col>
                <xdr:colOff>352425</xdr:colOff>
                <xdr:row>15</xdr:row>
                <xdr:rowOff>142875</xdr:rowOff>
              </from>
              <to>
                <xdr:col>108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232" r:id="rId210"/>
      </mc:Fallback>
    </mc:AlternateContent>
    <mc:AlternateContent xmlns:mc="http://schemas.openxmlformats.org/markup-compatibility/2006">
      <mc:Choice Requires="x14">
        <oleObject progId="Equation.DSMT4" shapeId="2233" r:id="rId211">
          <objectPr defaultSize="0" r:id="rId156">
            <anchor moveWithCells="1">
              <from>
                <xdr:col>109</xdr:col>
                <xdr:colOff>428625</xdr:colOff>
                <xdr:row>15</xdr:row>
                <xdr:rowOff>142875</xdr:rowOff>
              </from>
              <to>
                <xdr:col>109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233" r:id="rId211"/>
      </mc:Fallback>
    </mc:AlternateContent>
    <mc:AlternateContent xmlns:mc="http://schemas.openxmlformats.org/markup-compatibility/2006">
      <mc:Choice Requires="x14">
        <oleObject progId="Equation.DSMT4" shapeId="2234" r:id="rId212">
          <objectPr defaultSize="0" r:id="rId158">
            <anchor moveWithCells="1">
              <from>
                <xdr:col>110</xdr:col>
                <xdr:colOff>390525</xdr:colOff>
                <xdr:row>15</xdr:row>
                <xdr:rowOff>142875</xdr:rowOff>
              </from>
              <to>
                <xdr:col>110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234" r:id="rId212"/>
      </mc:Fallback>
    </mc:AlternateContent>
    <mc:AlternateContent xmlns:mc="http://schemas.openxmlformats.org/markup-compatibility/2006">
      <mc:Choice Requires="x14">
        <oleObject progId="Equation.DSMT4" shapeId="2235" r:id="rId213">
          <objectPr defaultSize="0" r:id="rId170">
            <anchor moveWithCells="1">
              <from>
                <xdr:col>111</xdr:col>
                <xdr:colOff>76200</xdr:colOff>
                <xdr:row>15</xdr:row>
                <xdr:rowOff>114300</xdr:rowOff>
              </from>
              <to>
                <xdr:col>111</xdr:col>
                <xdr:colOff>1000125</xdr:colOff>
                <xdr:row>16</xdr:row>
                <xdr:rowOff>180975</xdr:rowOff>
              </to>
            </anchor>
          </objectPr>
        </oleObject>
      </mc:Choice>
      <mc:Fallback>
        <oleObject progId="Equation.DSMT4" shapeId="2235" r:id="rId213"/>
      </mc:Fallback>
    </mc:AlternateContent>
    <mc:AlternateContent xmlns:mc="http://schemas.openxmlformats.org/markup-compatibility/2006">
      <mc:Choice Requires="x14">
        <oleObject progId="Equation.DSMT4" shapeId="2236" r:id="rId214">
          <objectPr defaultSize="0" r:id="rId172">
            <anchor moveWithCells="1">
              <from>
                <xdr:col>112</xdr:col>
                <xdr:colOff>390525</xdr:colOff>
                <xdr:row>15</xdr:row>
                <xdr:rowOff>142875</xdr:rowOff>
              </from>
              <to>
                <xdr:col>112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236" r:id="rId214"/>
      </mc:Fallback>
    </mc:AlternateContent>
    <mc:AlternateContent xmlns:mc="http://schemas.openxmlformats.org/markup-compatibility/2006">
      <mc:Choice Requires="x14">
        <oleObject progId="Equation.DSMT4" shapeId="2237" r:id="rId215">
          <objectPr defaultSize="0" r:id="rId174">
            <anchor moveWithCells="1">
              <from>
                <xdr:col>113</xdr:col>
                <xdr:colOff>76200</xdr:colOff>
                <xdr:row>15</xdr:row>
                <xdr:rowOff>114300</xdr:rowOff>
              </from>
              <to>
                <xdr:col>113</xdr:col>
                <xdr:colOff>1000125</xdr:colOff>
                <xdr:row>16</xdr:row>
                <xdr:rowOff>180975</xdr:rowOff>
              </to>
            </anchor>
          </objectPr>
        </oleObject>
      </mc:Choice>
      <mc:Fallback>
        <oleObject progId="Equation.DSMT4" shapeId="2237" r:id="rId215"/>
      </mc:Fallback>
    </mc:AlternateContent>
    <mc:AlternateContent xmlns:mc="http://schemas.openxmlformats.org/markup-compatibility/2006">
      <mc:Choice Requires="x14">
        <oleObject progId="Equation.DSMT4" shapeId="2238" r:id="rId216">
          <objectPr defaultSize="0" r:id="rId176">
            <anchor moveWithCells="1">
              <from>
                <xdr:col>114</xdr:col>
                <xdr:colOff>76200</xdr:colOff>
                <xdr:row>15</xdr:row>
                <xdr:rowOff>114300</xdr:rowOff>
              </from>
              <to>
                <xdr:col>114</xdr:col>
                <xdr:colOff>1000125</xdr:colOff>
                <xdr:row>16</xdr:row>
                <xdr:rowOff>180975</xdr:rowOff>
              </to>
            </anchor>
          </objectPr>
        </oleObject>
      </mc:Choice>
      <mc:Fallback>
        <oleObject progId="Equation.DSMT4" shapeId="2238" r:id="rId216"/>
      </mc:Fallback>
    </mc:AlternateContent>
    <mc:AlternateContent xmlns:mc="http://schemas.openxmlformats.org/markup-compatibility/2006">
      <mc:Choice Requires="x14">
        <oleObject progId="Equation.DSMT4" shapeId="2239" r:id="rId217">
          <objectPr defaultSize="0" r:id="rId178">
            <anchor moveWithCells="1">
              <from>
                <xdr:col>115</xdr:col>
                <xdr:colOff>200025</xdr:colOff>
                <xdr:row>15</xdr:row>
                <xdr:rowOff>114300</xdr:rowOff>
              </from>
              <to>
                <xdr:col>115</xdr:col>
                <xdr:colOff>809625</xdr:colOff>
                <xdr:row>16</xdr:row>
                <xdr:rowOff>142875</xdr:rowOff>
              </to>
            </anchor>
          </objectPr>
        </oleObject>
      </mc:Choice>
      <mc:Fallback>
        <oleObject progId="Equation.DSMT4" shapeId="2239" r:id="rId217"/>
      </mc:Fallback>
    </mc:AlternateContent>
    <mc:AlternateContent xmlns:mc="http://schemas.openxmlformats.org/markup-compatibility/2006">
      <mc:Choice Requires="x14">
        <oleObject progId="Equation.DSMT4" shapeId="2240" r:id="rId218">
          <objectPr defaultSize="0" r:id="rId180">
            <anchor moveWithCells="1">
              <from>
                <xdr:col>116</xdr:col>
                <xdr:colOff>200025</xdr:colOff>
                <xdr:row>15</xdr:row>
                <xdr:rowOff>114300</xdr:rowOff>
              </from>
              <to>
                <xdr:col>116</xdr:col>
                <xdr:colOff>800100</xdr:colOff>
                <xdr:row>16</xdr:row>
                <xdr:rowOff>142875</xdr:rowOff>
              </to>
            </anchor>
          </objectPr>
        </oleObject>
      </mc:Choice>
      <mc:Fallback>
        <oleObject progId="Equation.DSMT4" shapeId="2240" r:id="rId218"/>
      </mc:Fallback>
    </mc:AlternateContent>
    <mc:AlternateContent xmlns:mc="http://schemas.openxmlformats.org/markup-compatibility/2006">
      <mc:Choice Requires="x14">
        <oleObject progId="Equation.DSMT4" shapeId="2241" r:id="rId219">
          <objectPr defaultSize="0" r:id="rId90">
            <anchor moveWithCells="1">
              <from>
                <xdr:col>127</xdr:col>
                <xdr:colOff>76200</xdr:colOff>
                <xdr:row>15</xdr:row>
                <xdr:rowOff>123825</xdr:rowOff>
              </from>
              <to>
                <xdr:col>127</xdr:col>
                <xdr:colOff>923925</xdr:colOff>
                <xdr:row>16</xdr:row>
                <xdr:rowOff>200025</xdr:rowOff>
              </to>
            </anchor>
          </objectPr>
        </oleObject>
      </mc:Choice>
      <mc:Fallback>
        <oleObject progId="Equation.DSMT4" shapeId="2241" r:id="rId219"/>
      </mc:Fallback>
    </mc:AlternateContent>
    <mc:AlternateContent xmlns:mc="http://schemas.openxmlformats.org/markup-compatibility/2006">
      <mc:Choice Requires="x14">
        <oleObject progId="Equation.DSMT4" shapeId="2242" r:id="rId220">
          <objectPr defaultSize="0" r:id="rId92">
            <anchor moveWithCells="1">
              <from>
                <xdr:col>126</xdr:col>
                <xdr:colOff>219075</xdr:colOff>
                <xdr:row>12</xdr:row>
                <xdr:rowOff>85725</xdr:rowOff>
              </from>
              <to>
                <xdr:col>126</xdr:col>
                <xdr:colOff>876300</xdr:colOff>
                <xdr:row>13</xdr:row>
                <xdr:rowOff>180975</xdr:rowOff>
              </to>
            </anchor>
          </objectPr>
        </oleObject>
      </mc:Choice>
      <mc:Fallback>
        <oleObject progId="Equation.DSMT4" shapeId="2242" r:id="rId220"/>
      </mc:Fallback>
    </mc:AlternateContent>
    <mc:AlternateContent xmlns:mc="http://schemas.openxmlformats.org/markup-compatibility/2006">
      <mc:Choice Requires="x14">
        <oleObject progId="Equation.DSMT4" shapeId="2243" r:id="rId221">
          <objectPr defaultSize="0" autoPict="0" r:id="rId94">
            <anchor moveWithCells="1">
              <from>
                <xdr:col>128</xdr:col>
                <xdr:colOff>390525</xdr:colOff>
                <xdr:row>12</xdr:row>
                <xdr:rowOff>28575</xdr:rowOff>
              </from>
              <to>
                <xdr:col>128</xdr:col>
                <xdr:colOff>619125</xdr:colOff>
                <xdr:row>13</xdr:row>
                <xdr:rowOff>200025</xdr:rowOff>
              </to>
            </anchor>
          </objectPr>
        </oleObject>
      </mc:Choice>
      <mc:Fallback>
        <oleObject progId="Equation.DSMT4" shapeId="2243" r:id="rId221"/>
      </mc:Fallback>
    </mc:AlternateContent>
    <mc:AlternateContent xmlns:mc="http://schemas.openxmlformats.org/markup-compatibility/2006">
      <mc:Choice Requires="x14">
        <oleObject progId="Equation.DSMT4" shapeId="2244" r:id="rId222">
          <objectPr defaultSize="0" r:id="rId96">
            <anchor moveWithCells="1">
              <from>
                <xdr:col>129</xdr:col>
                <xdr:colOff>104775</xdr:colOff>
                <xdr:row>12</xdr:row>
                <xdr:rowOff>66675</xdr:rowOff>
              </from>
              <to>
                <xdr:col>129</xdr:col>
                <xdr:colOff>923925</xdr:colOff>
                <xdr:row>13</xdr:row>
                <xdr:rowOff>114300</xdr:rowOff>
              </to>
            </anchor>
          </objectPr>
        </oleObject>
      </mc:Choice>
      <mc:Fallback>
        <oleObject progId="Equation.DSMT4" shapeId="2244" r:id="rId222"/>
      </mc:Fallback>
    </mc:AlternateContent>
    <mc:AlternateContent xmlns:mc="http://schemas.openxmlformats.org/markup-compatibility/2006">
      <mc:Choice Requires="x14">
        <oleObject progId="Equation.DSMT4" shapeId="2245" r:id="rId223">
          <objectPr defaultSize="0" r:id="rId98">
            <anchor moveWithCells="1">
              <from>
                <xdr:col>131</xdr:col>
                <xdr:colOff>428625</xdr:colOff>
                <xdr:row>15</xdr:row>
                <xdr:rowOff>161925</xdr:rowOff>
              </from>
              <to>
                <xdr:col>131</xdr:col>
                <xdr:colOff>600075</xdr:colOff>
                <xdr:row>16</xdr:row>
                <xdr:rowOff>114300</xdr:rowOff>
              </to>
            </anchor>
          </objectPr>
        </oleObject>
      </mc:Choice>
      <mc:Fallback>
        <oleObject progId="Equation.DSMT4" shapeId="2245" r:id="rId223"/>
      </mc:Fallback>
    </mc:AlternateContent>
    <mc:AlternateContent xmlns:mc="http://schemas.openxmlformats.org/markup-compatibility/2006">
      <mc:Choice Requires="x14">
        <oleObject progId="Equation.DSMT4" shapeId="2246" r:id="rId224">
          <objectPr defaultSize="0" r:id="rId100">
            <anchor moveWithCells="1">
              <from>
                <xdr:col>133</xdr:col>
                <xdr:colOff>142875</xdr:colOff>
                <xdr:row>15</xdr:row>
                <xdr:rowOff>142875</xdr:rowOff>
              </from>
              <to>
                <xdr:col>133</xdr:col>
                <xdr:colOff>809625</xdr:colOff>
                <xdr:row>16</xdr:row>
                <xdr:rowOff>180975</xdr:rowOff>
              </to>
            </anchor>
          </objectPr>
        </oleObject>
      </mc:Choice>
      <mc:Fallback>
        <oleObject progId="Equation.DSMT4" shapeId="2246" r:id="rId224"/>
      </mc:Fallback>
    </mc:AlternateContent>
    <mc:AlternateContent xmlns:mc="http://schemas.openxmlformats.org/markup-compatibility/2006">
      <mc:Choice Requires="x14">
        <oleObject progId="Equation.DSMT4" shapeId="2247" r:id="rId225">
          <objectPr defaultSize="0" r:id="rId132">
            <anchor moveWithCells="1">
              <from>
                <xdr:col>140</xdr:col>
                <xdr:colOff>123825</xdr:colOff>
                <xdr:row>15</xdr:row>
                <xdr:rowOff>114300</xdr:rowOff>
              </from>
              <to>
                <xdr:col>140</xdr:col>
                <xdr:colOff>923925</xdr:colOff>
                <xdr:row>16</xdr:row>
                <xdr:rowOff>142875</xdr:rowOff>
              </to>
            </anchor>
          </objectPr>
        </oleObject>
      </mc:Choice>
      <mc:Fallback>
        <oleObject progId="Equation.DSMT4" shapeId="2247" r:id="rId225"/>
      </mc:Fallback>
    </mc:AlternateContent>
    <mc:AlternateContent xmlns:mc="http://schemas.openxmlformats.org/markup-compatibility/2006">
      <mc:Choice Requires="x14">
        <oleObject progId="Equation.DSMT4" shapeId="2248" r:id="rId226">
          <objectPr defaultSize="0" r:id="rId134">
            <anchor moveWithCells="1">
              <from>
                <xdr:col>141</xdr:col>
                <xdr:colOff>257175</xdr:colOff>
                <xdr:row>15</xdr:row>
                <xdr:rowOff>114300</xdr:rowOff>
              </from>
              <to>
                <xdr:col>141</xdr:col>
                <xdr:colOff>762000</xdr:colOff>
                <xdr:row>16</xdr:row>
                <xdr:rowOff>142875</xdr:rowOff>
              </to>
            </anchor>
          </objectPr>
        </oleObject>
      </mc:Choice>
      <mc:Fallback>
        <oleObject progId="Equation.DSMT4" shapeId="2248" r:id="rId226"/>
      </mc:Fallback>
    </mc:AlternateContent>
    <mc:AlternateContent xmlns:mc="http://schemas.openxmlformats.org/markup-compatibility/2006">
      <mc:Choice Requires="x14">
        <oleObject progId="Equation.DSMT4" shapeId="2249" r:id="rId227">
          <objectPr defaultSize="0" r:id="rId136">
            <anchor moveWithCells="1">
              <from>
                <xdr:col>146</xdr:col>
                <xdr:colOff>123825</xdr:colOff>
                <xdr:row>15</xdr:row>
                <xdr:rowOff>114300</xdr:rowOff>
              </from>
              <to>
                <xdr:col>146</xdr:col>
                <xdr:colOff>923925</xdr:colOff>
                <xdr:row>16</xdr:row>
                <xdr:rowOff>142875</xdr:rowOff>
              </to>
            </anchor>
          </objectPr>
        </oleObject>
      </mc:Choice>
      <mc:Fallback>
        <oleObject progId="Equation.DSMT4" shapeId="2249" r:id="rId227"/>
      </mc:Fallback>
    </mc:AlternateContent>
    <mc:AlternateContent xmlns:mc="http://schemas.openxmlformats.org/markup-compatibility/2006">
      <mc:Choice Requires="x14">
        <oleObject progId="Equation.DSMT4" shapeId="2250" r:id="rId228">
          <objectPr defaultSize="0" r:id="rId138">
            <anchor moveWithCells="1">
              <from>
                <xdr:col>147</xdr:col>
                <xdr:colOff>257175</xdr:colOff>
                <xdr:row>15</xdr:row>
                <xdr:rowOff>114300</xdr:rowOff>
              </from>
              <to>
                <xdr:col>147</xdr:col>
                <xdr:colOff>762000</xdr:colOff>
                <xdr:row>16</xdr:row>
                <xdr:rowOff>142875</xdr:rowOff>
              </to>
            </anchor>
          </objectPr>
        </oleObject>
      </mc:Choice>
      <mc:Fallback>
        <oleObject progId="Equation.DSMT4" shapeId="2250" r:id="rId228"/>
      </mc:Fallback>
    </mc:AlternateContent>
    <mc:AlternateContent xmlns:mc="http://schemas.openxmlformats.org/markup-compatibility/2006">
      <mc:Choice Requires="x14">
        <oleObject progId="Equation.DSMT4" shapeId="2251" r:id="rId229">
          <objectPr defaultSize="0" r:id="rId140">
            <anchor moveWithCells="1">
              <from>
                <xdr:col>148</xdr:col>
                <xdr:colOff>257175</xdr:colOff>
                <xdr:row>15</xdr:row>
                <xdr:rowOff>114300</xdr:rowOff>
              </from>
              <to>
                <xdr:col>148</xdr:col>
                <xdr:colOff>752475</xdr:colOff>
                <xdr:row>16</xdr:row>
                <xdr:rowOff>142875</xdr:rowOff>
              </to>
            </anchor>
          </objectPr>
        </oleObject>
      </mc:Choice>
      <mc:Fallback>
        <oleObject progId="Equation.DSMT4" shapeId="2251" r:id="rId229"/>
      </mc:Fallback>
    </mc:AlternateContent>
    <mc:AlternateContent xmlns:mc="http://schemas.openxmlformats.org/markup-compatibility/2006">
      <mc:Choice Requires="x14">
        <oleObject progId="Equation.DSMT4" shapeId="2252" r:id="rId230">
          <objectPr defaultSize="0" r:id="rId142">
            <anchor moveWithCells="1">
              <from>
                <xdr:col>149</xdr:col>
                <xdr:colOff>123825</xdr:colOff>
                <xdr:row>15</xdr:row>
                <xdr:rowOff>114300</xdr:rowOff>
              </from>
              <to>
                <xdr:col>149</xdr:col>
                <xdr:colOff>904875</xdr:colOff>
                <xdr:row>16</xdr:row>
                <xdr:rowOff>142875</xdr:rowOff>
              </to>
            </anchor>
          </objectPr>
        </oleObject>
      </mc:Choice>
      <mc:Fallback>
        <oleObject progId="Equation.DSMT4" shapeId="2252" r:id="rId230"/>
      </mc:Fallback>
    </mc:AlternateContent>
    <mc:AlternateContent xmlns:mc="http://schemas.openxmlformats.org/markup-compatibility/2006">
      <mc:Choice Requires="x14">
        <oleObject progId="Equation.DSMT4" shapeId="2253" r:id="rId231">
          <objectPr defaultSize="0" r:id="rId144">
            <anchor moveWithCells="1">
              <from>
                <xdr:col>130</xdr:col>
                <xdr:colOff>304800</xdr:colOff>
                <xdr:row>12</xdr:row>
                <xdr:rowOff>85725</xdr:rowOff>
              </from>
              <to>
                <xdr:col>130</xdr:col>
                <xdr:colOff>876300</xdr:colOff>
                <xdr:row>13</xdr:row>
                <xdr:rowOff>180975</xdr:rowOff>
              </to>
            </anchor>
          </objectPr>
        </oleObject>
      </mc:Choice>
      <mc:Fallback>
        <oleObject progId="Equation.DSMT4" shapeId="2253" r:id="rId231"/>
      </mc:Fallback>
    </mc:AlternateContent>
    <mc:AlternateContent xmlns:mc="http://schemas.openxmlformats.org/markup-compatibility/2006">
      <mc:Choice Requires="x14">
        <oleObject progId="Equation.DSMT4" shapeId="2254" r:id="rId232">
          <objectPr defaultSize="0" r:id="rId146">
            <anchor moveWithCells="1">
              <from>
                <xdr:col>131</xdr:col>
                <xdr:colOff>295275</xdr:colOff>
                <xdr:row>12</xdr:row>
                <xdr:rowOff>104775</xdr:rowOff>
              </from>
              <to>
                <xdr:col>131</xdr:col>
                <xdr:colOff>752475</xdr:colOff>
                <xdr:row>13</xdr:row>
                <xdr:rowOff>200025</xdr:rowOff>
              </to>
            </anchor>
          </objectPr>
        </oleObject>
      </mc:Choice>
      <mc:Fallback>
        <oleObject progId="Equation.DSMT4" shapeId="2254" r:id="rId232"/>
      </mc:Fallback>
    </mc:AlternateContent>
    <mc:AlternateContent xmlns:mc="http://schemas.openxmlformats.org/markup-compatibility/2006">
      <mc:Choice Requires="x14">
        <oleObject progId="Equation.DSMT4" shapeId="2255" r:id="rId233">
          <objectPr defaultSize="0" r:id="rId148">
            <anchor moveWithCells="1">
              <from>
                <xdr:col>150</xdr:col>
                <xdr:colOff>314325</xdr:colOff>
                <xdr:row>15</xdr:row>
                <xdr:rowOff>142875</xdr:rowOff>
              </from>
              <to>
                <xdr:col>150</xdr:col>
                <xdr:colOff>723900</xdr:colOff>
                <xdr:row>16</xdr:row>
                <xdr:rowOff>85725</xdr:rowOff>
              </to>
            </anchor>
          </objectPr>
        </oleObject>
      </mc:Choice>
      <mc:Fallback>
        <oleObject progId="Equation.DSMT4" shapeId="2255" r:id="rId233"/>
      </mc:Fallback>
    </mc:AlternateContent>
    <mc:AlternateContent xmlns:mc="http://schemas.openxmlformats.org/markup-compatibility/2006">
      <mc:Choice Requires="x14">
        <oleObject progId="Equation.DSMT4" shapeId="2256" r:id="rId234">
          <objectPr defaultSize="0" r:id="rId114">
            <anchor moveWithCells="1">
              <from>
                <xdr:col>153</xdr:col>
                <xdr:colOff>381000</xdr:colOff>
                <xdr:row>15</xdr:row>
                <xdr:rowOff>142875</xdr:rowOff>
              </from>
              <to>
                <xdr:col>153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256" r:id="rId234"/>
      </mc:Fallback>
    </mc:AlternateContent>
    <mc:AlternateContent xmlns:mc="http://schemas.openxmlformats.org/markup-compatibility/2006">
      <mc:Choice Requires="x14">
        <oleObject progId="Equation.DSMT4" shapeId="2257" r:id="rId235">
          <objectPr defaultSize="0" r:id="rId124">
            <anchor moveWithCells="1">
              <from>
                <xdr:col>154</xdr:col>
                <xdr:colOff>381000</xdr:colOff>
                <xdr:row>15</xdr:row>
                <xdr:rowOff>142875</xdr:rowOff>
              </from>
              <to>
                <xdr:col>154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257" r:id="rId235"/>
      </mc:Fallback>
    </mc:AlternateContent>
    <mc:AlternateContent xmlns:mc="http://schemas.openxmlformats.org/markup-compatibility/2006">
      <mc:Choice Requires="x14">
        <oleObject progId="Equation.DSMT4" shapeId="2258" r:id="rId236">
          <objectPr defaultSize="0" r:id="rId116">
            <anchor moveWithCells="1">
              <from>
                <xdr:col>155</xdr:col>
                <xdr:colOff>381000</xdr:colOff>
                <xdr:row>15</xdr:row>
                <xdr:rowOff>142875</xdr:rowOff>
              </from>
              <to>
                <xdr:col>155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258" r:id="rId236"/>
      </mc:Fallback>
    </mc:AlternateContent>
    <mc:AlternateContent xmlns:mc="http://schemas.openxmlformats.org/markup-compatibility/2006">
      <mc:Choice Requires="x14">
        <oleObject progId="Equation.DSMT4" shapeId="2259" r:id="rId237">
          <objectPr defaultSize="0" r:id="rId118">
            <anchor moveWithCells="1">
              <from>
                <xdr:col>156</xdr:col>
                <xdr:colOff>390525</xdr:colOff>
                <xdr:row>15</xdr:row>
                <xdr:rowOff>142875</xdr:rowOff>
              </from>
              <to>
                <xdr:col>156</xdr:col>
                <xdr:colOff>647700</xdr:colOff>
                <xdr:row>16</xdr:row>
                <xdr:rowOff>142875</xdr:rowOff>
              </to>
            </anchor>
          </objectPr>
        </oleObject>
      </mc:Choice>
      <mc:Fallback>
        <oleObject progId="Equation.DSMT4" shapeId="2259" r:id="rId237"/>
      </mc:Fallback>
    </mc:AlternateContent>
    <mc:AlternateContent xmlns:mc="http://schemas.openxmlformats.org/markup-compatibility/2006">
      <mc:Choice Requires="x14">
        <oleObject progId="Equation.DSMT4" shapeId="2260" r:id="rId238">
          <objectPr defaultSize="0" r:id="rId120">
            <anchor moveWithCells="1">
              <from>
                <xdr:col>157</xdr:col>
                <xdr:colOff>381000</xdr:colOff>
                <xdr:row>15</xdr:row>
                <xdr:rowOff>142875</xdr:rowOff>
              </from>
              <to>
                <xdr:col>157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260" r:id="rId238"/>
      </mc:Fallback>
    </mc:AlternateContent>
    <mc:AlternateContent xmlns:mc="http://schemas.openxmlformats.org/markup-compatibility/2006">
      <mc:Choice Requires="x14">
        <oleObject progId="Equation.DSMT4" shapeId="2261" r:id="rId239">
          <objectPr defaultSize="0" r:id="rId122">
            <anchor moveWithCells="1">
              <from>
                <xdr:col>158</xdr:col>
                <xdr:colOff>352425</xdr:colOff>
                <xdr:row>15</xdr:row>
                <xdr:rowOff>142875</xdr:rowOff>
              </from>
              <to>
                <xdr:col>158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261" r:id="rId239"/>
      </mc:Fallback>
    </mc:AlternateContent>
    <mc:AlternateContent xmlns:mc="http://schemas.openxmlformats.org/markup-compatibility/2006">
      <mc:Choice Requires="x14">
        <oleObject progId="Equation.DSMT4" shapeId="2262" r:id="rId240">
          <objectPr defaultSize="0" r:id="rId156">
            <anchor moveWithCells="1">
              <from>
                <xdr:col>159</xdr:col>
                <xdr:colOff>428625</xdr:colOff>
                <xdr:row>15</xdr:row>
                <xdr:rowOff>142875</xdr:rowOff>
              </from>
              <to>
                <xdr:col>159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262" r:id="rId240"/>
      </mc:Fallback>
    </mc:AlternateContent>
    <mc:AlternateContent xmlns:mc="http://schemas.openxmlformats.org/markup-compatibility/2006">
      <mc:Choice Requires="x14">
        <oleObject progId="Equation.DSMT4" shapeId="2263" r:id="rId241">
          <objectPr defaultSize="0" r:id="rId158">
            <anchor moveWithCells="1">
              <from>
                <xdr:col>160</xdr:col>
                <xdr:colOff>390525</xdr:colOff>
                <xdr:row>15</xdr:row>
                <xdr:rowOff>142875</xdr:rowOff>
              </from>
              <to>
                <xdr:col>160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263" r:id="rId241"/>
      </mc:Fallback>
    </mc:AlternateContent>
    <mc:AlternateContent xmlns:mc="http://schemas.openxmlformats.org/markup-compatibility/2006">
      <mc:Choice Requires="x14">
        <oleObject progId="Equation.DSMT4" shapeId="2264" r:id="rId242">
          <objectPr defaultSize="0" r:id="rId160">
            <anchor moveWithCells="1">
              <from>
                <xdr:col>161</xdr:col>
                <xdr:colOff>219075</xdr:colOff>
                <xdr:row>15</xdr:row>
                <xdr:rowOff>114300</xdr:rowOff>
              </from>
              <to>
                <xdr:col>161</xdr:col>
                <xdr:colOff>838200</xdr:colOff>
                <xdr:row>16</xdr:row>
                <xdr:rowOff>142875</xdr:rowOff>
              </to>
            </anchor>
          </objectPr>
        </oleObject>
      </mc:Choice>
      <mc:Fallback>
        <oleObject progId="Equation.DSMT4" shapeId="2264" r:id="rId242"/>
      </mc:Fallback>
    </mc:AlternateContent>
    <mc:AlternateContent xmlns:mc="http://schemas.openxmlformats.org/markup-compatibility/2006">
      <mc:Choice Requires="x14">
        <oleObject progId="Equation.DSMT4" shapeId="2265" r:id="rId243">
          <objectPr defaultSize="0" r:id="rId114">
            <anchor moveWithCells="1">
              <from>
                <xdr:col>162</xdr:col>
                <xdr:colOff>381000</xdr:colOff>
                <xdr:row>15</xdr:row>
                <xdr:rowOff>142875</xdr:rowOff>
              </from>
              <to>
                <xdr:col>162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265" r:id="rId243"/>
      </mc:Fallback>
    </mc:AlternateContent>
    <mc:AlternateContent xmlns:mc="http://schemas.openxmlformats.org/markup-compatibility/2006">
      <mc:Choice Requires="x14">
        <oleObject progId="Equation.DSMT4" shapeId="2266" r:id="rId244">
          <objectPr defaultSize="0" r:id="rId124">
            <anchor moveWithCells="1">
              <from>
                <xdr:col>163</xdr:col>
                <xdr:colOff>381000</xdr:colOff>
                <xdr:row>15</xdr:row>
                <xdr:rowOff>142875</xdr:rowOff>
              </from>
              <to>
                <xdr:col>163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266" r:id="rId244"/>
      </mc:Fallback>
    </mc:AlternateContent>
    <mc:AlternateContent xmlns:mc="http://schemas.openxmlformats.org/markup-compatibility/2006">
      <mc:Choice Requires="x14">
        <oleObject progId="Equation.DSMT4" shapeId="2267" r:id="rId245">
          <objectPr defaultSize="0" r:id="rId116">
            <anchor moveWithCells="1">
              <from>
                <xdr:col>164</xdr:col>
                <xdr:colOff>381000</xdr:colOff>
                <xdr:row>15</xdr:row>
                <xdr:rowOff>142875</xdr:rowOff>
              </from>
              <to>
                <xdr:col>164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267" r:id="rId245"/>
      </mc:Fallback>
    </mc:AlternateContent>
    <mc:AlternateContent xmlns:mc="http://schemas.openxmlformats.org/markup-compatibility/2006">
      <mc:Choice Requires="x14">
        <oleObject progId="Equation.DSMT4" shapeId="2268" r:id="rId246">
          <objectPr defaultSize="0" r:id="rId118">
            <anchor moveWithCells="1">
              <from>
                <xdr:col>165</xdr:col>
                <xdr:colOff>390525</xdr:colOff>
                <xdr:row>15</xdr:row>
                <xdr:rowOff>142875</xdr:rowOff>
              </from>
              <to>
                <xdr:col>165</xdr:col>
                <xdr:colOff>647700</xdr:colOff>
                <xdr:row>16</xdr:row>
                <xdr:rowOff>142875</xdr:rowOff>
              </to>
            </anchor>
          </objectPr>
        </oleObject>
      </mc:Choice>
      <mc:Fallback>
        <oleObject progId="Equation.DSMT4" shapeId="2268" r:id="rId246"/>
      </mc:Fallback>
    </mc:AlternateContent>
    <mc:AlternateContent xmlns:mc="http://schemas.openxmlformats.org/markup-compatibility/2006">
      <mc:Choice Requires="x14">
        <oleObject progId="Equation.DSMT4" shapeId="2269" r:id="rId247">
          <objectPr defaultSize="0" r:id="rId120">
            <anchor moveWithCells="1">
              <from>
                <xdr:col>166</xdr:col>
                <xdr:colOff>381000</xdr:colOff>
                <xdr:row>15</xdr:row>
                <xdr:rowOff>142875</xdr:rowOff>
              </from>
              <to>
                <xdr:col>166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269" r:id="rId247"/>
      </mc:Fallback>
    </mc:AlternateContent>
    <mc:AlternateContent xmlns:mc="http://schemas.openxmlformats.org/markup-compatibility/2006">
      <mc:Choice Requires="x14">
        <oleObject progId="Equation.DSMT4" shapeId="2270" r:id="rId248">
          <objectPr defaultSize="0" r:id="rId122">
            <anchor moveWithCells="1">
              <from>
                <xdr:col>167</xdr:col>
                <xdr:colOff>352425</xdr:colOff>
                <xdr:row>15</xdr:row>
                <xdr:rowOff>142875</xdr:rowOff>
              </from>
              <to>
                <xdr:col>167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270" r:id="rId248"/>
      </mc:Fallback>
    </mc:AlternateContent>
    <mc:AlternateContent xmlns:mc="http://schemas.openxmlformats.org/markup-compatibility/2006">
      <mc:Choice Requires="x14">
        <oleObject progId="Equation.DSMT4" shapeId="2271" r:id="rId249">
          <objectPr defaultSize="0" r:id="rId156">
            <anchor moveWithCells="1">
              <from>
                <xdr:col>168</xdr:col>
                <xdr:colOff>428625</xdr:colOff>
                <xdr:row>15</xdr:row>
                <xdr:rowOff>142875</xdr:rowOff>
              </from>
              <to>
                <xdr:col>168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271" r:id="rId249"/>
      </mc:Fallback>
    </mc:AlternateContent>
    <mc:AlternateContent xmlns:mc="http://schemas.openxmlformats.org/markup-compatibility/2006">
      <mc:Choice Requires="x14">
        <oleObject progId="Equation.DSMT4" shapeId="2272" r:id="rId250">
          <objectPr defaultSize="0" r:id="rId158">
            <anchor moveWithCells="1">
              <from>
                <xdr:col>169</xdr:col>
                <xdr:colOff>390525</xdr:colOff>
                <xdr:row>15</xdr:row>
                <xdr:rowOff>142875</xdr:rowOff>
              </from>
              <to>
                <xdr:col>169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272" r:id="rId250"/>
      </mc:Fallback>
    </mc:AlternateContent>
    <mc:AlternateContent xmlns:mc="http://schemas.openxmlformats.org/markup-compatibility/2006">
      <mc:Choice Requires="x14">
        <oleObject progId="Equation.DSMT4" shapeId="2273" r:id="rId251">
          <objectPr defaultSize="0" r:id="rId170">
            <anchor moveWithCells="1">
              <from>
                <xdr:col>170</xdr:col>
                <xdr:colOff>76200</xdr:colOff>
                <xdr:row>15</xdr:row>
                <xdr:rowOff>114300</xdr:rowOff>
              </from>
              <to>
                <xdr:col>170</xdr:col>
                <xdr:colOff>1000125</xdr:colOff>
                <xdr:row>16</xdr:row>
                <xdr:rowOff>180975</xdr:rowOff>
              </to>
            </anchor>
          </objectPr>
        </oleObject>
      </mc:Choice>
      <mc:Fallback>
        <oleObject progId="Equation.DSMT4" shapeId="2273" r:id="rId251"/>
      </mc:Fallback>
    </mc:AlternateContent>
    <mc:AlternateContent xmlns:mc="http://schemas.openxmlformats.org/markup-compatibility/2006">
      <mc:Choice Requires="x14">
        <oleObject progId="Equation.DSMT4" shapeId="2274" r:id="rId252">
          <objectPr defaultSize="0" r:id="rId172">
            <anchor moveWithCells="1">
              <from>
                <xdr:col>171</xdr:col>
                <xdr:colOff>390525</xdr:colOff>
                <xdr:row>15</xdr:row>
                <xdr:rowOff>142875</xdr:rowOff>
              </from>
              <to>
                <xdr:col>171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274" r:id="rId252"/>
      </mc:Fallback>
    </mc:AlternateContent>
    <mc:AlternateContent xmlns:mc="http://schemas.openxmlformats.org/markup-compatibility/2006">
      <mc:Choice Requires="x14">
        <oleObject progId="Equation.DSMT4" shapeId="2275" r:id="rId253">
          <objectPr defaultSize="0" r:id="rId174">
            <anchor moveWithCells="1">
              <from>
                <xdr:col>172</xdr:col>
                <xdr:colOff>76200</xdr:colOff>
                <xdr:row>15</xdr:row>
                <xdr:rowOff>114300</xdr:rowOff>
              </from>
              <to>
                <xdr:col>172</xdr:col>
                <xdr:colOff>1000125</xdr:colOff>
                <xdr:row>16</xdr:row>
                <xdr:rowOff>180975</xdr:rowOff>
              </to>
            </anchor>
          </objectPr>
        </oleObject>
      </mc:Choice>
      <mc:Fallback>
        <oleObject progId="Equation.DSMT4" shapeId="2275" r:id="rId253"/>
      </mc:Fallback>
    </mc:AlternateContent>
    <mc:AlternateContent xmlns:mc="http://schemas.openxmlformats.org/markup-compatibility/2006">
      <mc:Choice Requires="x14">
        <oleObject progId="Equation.DSMT4" shapeId="2276" r:id="rId254">
          <objectPr defaultSize="0" r:id="rId176">
            <anchor moveWithCells="1">
              <from>
                <xdr:col>173</xdr:col>
                <xdr:colOff>76200</xdr:colOff>
                <xdr:row>15</xdr:row>
                <xdr:rowOff>114300</xdr:rowOff>
              </from>
              <to>
                <xdr:col>173</xdr:col>
                <xdr:colOff>1000125</xdr:colOff>
                <xdr:row>16</xdr:row>
                <xdr:rowOff>180975</xdr:rowOff>
              </to>
            </anchor>
          </objectPr>
        </oleObject>
      </mc:Choice>
      <mc:Fallback>
        <oleObject progId="Equation.DSMT4" shapeId="2276" r:id="rId254"/>
      </mc:Fallback>
    </mc:AlternateContent>
    <mc:AlternateContent xmlns:mc="http://schemas.openxmlformats.org/markup-compatibility/2006">
      <mc:Choice Requires="x14">
        <oleObject progId="Equation.DSMT4" shapeId="2277" r:id="rId255">
          <objectPr defaultSize="0" r:id="rId178">
            <anchor moveWithCells="1">
              <from>
                <xdr:col>174</xdr:col>
                <xdr:colOff>200025</xdr:colOff>
                <xdr:row>15</xdr:row>
                <xdr:rowOff>114300</xdr:rowOff>
              </from>
              <to>
                <xdr:col>174</xdr:col>
                <xdr:colOff>809625</xdr:colOff>
                <xdr:row>16</xdr:row>
                <xdr:rowOff>142875</xdr:rowOff>
              </to>
            </anchor>
          </objectPr>
        </oleObject>
      </mc:Choice>
      <mc:Fallback>
        <oleObject progId="Equation.DSMT4" shapeId="2277" r:id="rId255"/>
      </mc:Fallback>
    </mc:AlternateContent>
    <mc:AlternateContent xmlns:mc="http://schemas.openxmlformats.org/markup-compatibility/2006">
      <mc:Choice Requires="x14">
        <oleObject progId="Equation.DSMT4" shapeId="2278" r:id="rId256">
          <objectPr defaultSize="0" r:id="rId180">
            <anchor moveWithCells="1">
              <from>
                <xdr:col>175</xdr:col>
                <xdr:colOff>200025</xdr:colOff>
                <xdr:row>15</xdr:row>
                <xdr:rowOff>114300</xdr:rowOff>
              </from>
              <to>
                <xdr:col>175</xdr:col>
                <xdr:colOff>800100</xdr:colOff>
                <xdr:row>16</xdr:row>
                <xdr:rowOff>142875</xdr:rowOff>
              </to>
            </anchor>
          </objectPr>
        </oleObject>
      </mc:Choice>
      <mc:Fallback>
        <oleObject progId="Equation.DSMT4" shapeId="2278" r:id="rId256"/>
      </mc:Fallback>
    </mc:AlternateContent>
    <mc:AlternateContent xmlns:mc="http://schemas.openxmlformats.org/markup-compatibility/2006">
      <mc:Choice Requires="x14">
        <oleObject progId="Equation.DSMT4" shapeId="2279" r:id="rId257">
          <objectPr defaultSize="0" r:id="rId90">
            <anchor moveWithCells="1">
              <from>
                <xdr:col>186</xdr:col>
                <xdr:colOff>76200</xdr:colOff>
                <xdr:row>15</xdr:row>
                <xdr:rowOff>123825</xdr:rowOff>
              </from>
              <to>
                <xdr:col>186</xdr:col>
                <xdr:colOff>923925</xdr:colOff>
                <xdr:row>16</xdr:row>
                <xdr:rowOff>200025</xdr:rowOff>
              </to>
            </anchor>
          </objectPr>
        </oleObject>
      </mc:Choice>
      <mc:Fallback>
        <oleObject progId="Equation.DSMT4" shapeId="2279" r:id="rId257"/>
      </mc:Fallback>
    </mc:AlternateContent>
    <mc:AlternateContent xmlns:mc="http://schemas.openxmlformats.org/markup-compatibility/2006">
      <mc:Choice Requires="x14">
        <oleObject progId="Equation.DSMT4" shapeId="2280" r:id="rId258">
          <objectPr defaultSize="0" r:id="rId92">
            <anchor moveWithCells="1">
              <from>
                <xdr:col>185</xdr:col>
                <xdr:colOff>219075</xdr:colOff>
                <xdr:row>12</xdr:row>
                <xdr:rowOff>85725</xdr:rowOff>
              </from>
              <to>
                <xdr:col>185</xdr:col>
                <xdr:colOff>876300</xdr:colOff>
                <xdr:row>13</xdr:row>
                <xdr:rowOff>180975</xdr:rowOff>
              </to>
            </anchor>
          </objectPr>
        </oleObject>
      </mc:Choice>
      <mc:Fallback>
        <oleObject progId="Equation.DSMT4" shapeId="2280" r:id="rId258"/>
      </mc:Fallback>
    </mc:AlternateContent>
    <mc:AlternateContent xmlns:mc="http://schemas.openxmlformats.org/markup-compatibility/2006">
      <mc:Choice Requires="x14">
        <oleObject progId="Equation.DSMT4" shapeId="2281" r:id="rId259">
          <objectPr defaultSize="0" autoPict="0" r:id="rId94">
            <anchor moveWithCells="1">
              <from>
                <xdr:col>187</xdr:col>
                <xdr:colOff>390525</xdr:colOff>
                <xdr:row>12</xdr:row>
                <xdr:rowOff>28575</xdr:rowOff>
              </from>
              <to>
                <xdr:col>187</xdr:col>
                <xdr:colOff>619125</xdr:colOff>
                <xdr:row>13</xdr:row>
                <xdr:rowOff>200025</xdr:rowOff>
              </to>
            </anchor>
          </objectPr>
        </oleObject>
      </mc:Choice>
      <mc:Fallback>
        <oleObject progId="Equation.DSMT4" shapeId="2281" r:id="rId259"/>
      </mc:Fallback>
    </mc:AlternateContent>
    <mc:AlternateContent xmlns:mc="http://schemas.openxmlformats.org/markup-compatibility/2006">
      <mc:Choice Requires="x14">
        <oleObject progId="Equation.DSMT4" shapeId="2282" r:id="rId260">
          <objectPr defaultSize="0" r:id="rId96">
            <anchor moveWithCells="1">
              <from>
                <xdr:col>188</xdr:col>
                <xdr:colOff>104775</xdr:colOff>
                <xdr:row>12</xdr:row>
                <xdr:rowOff>66675</xdr:rowOff>
              </from>
              <to>
                <xdr:col>188</xdr:col>
                <xdr:colOff>923925</xdr:colOff>
                <xdr:row>13</xdr:row>
                <xdr:rowOff>114300</xdr:rowOff>
              </to>
            </anchor>
          </objectPr>
        </oleObject>
      </mc:Choice>
      <mc:Fallback>
        <oleObject progId="Equation.DSMT4" shapeId="2282" r:id="rId260"/>
      </mc:Fallback>
    </mc:AlternateContent>
    <mc:AlternateContent xmlns:mc="http://schemas.openxmlformats.org/markup-compatibility/2006">
      <mc:Choice Requires="x14">
        <oleObject progId="Equation.DSMT4" shapeId="2283" r:id="rId261">
          <objectPr defaultSize="0" r:id="rId98">
            <anchor moveWithCells="1">
              <from>
                <xdr:col>190</xdr:col>
                <xdr:colOff>428625</xdr:colOff>
                <xdr:row>15</xdr:row>
                <xdr:rowOff>161925</xdr:rowOff>
              </from>
              <to>
                <xdr:col>190</xdr:col>
                <xdr:colOff>600075</xdr:colOff>
                <xdr:row>16</xdr:row>
                <xdr:rowOff>114300</xdr:rowOff>
              </to>
            </anchor>
          </objectPr>
        </oleObject>
      </mc:Choice>
      <mc:Fallback>
        <oleObject progId="Equation.DSMT4" shapeId="2283" r:id="rId261"/>
      </mc:Fallback>
    </mc:AlternateContent>
    <mc:AlternateContent xmlns:mc="http://schemas.openxmlformats.org/markup-compatibility/2006">
      <mc:Choice Requires="x14">
        <oleObject progId="Equation.DSMT4" shapeId="2284" r:id="rId262">
          <objectPr defaultSize="0" r:id="rId100">
            <anchor moveWithCells="1">
              <from>
                <xdr:col>192</xdr:col>
                <xdr:colOff>142875</xdr:colOff>
                <xdr:row>15</xdr:row>
                <xdr:rowOff>142875</xdr:rowOff>
              </from>
              <to>
                <xdr:col>192</xdr:col>
                <xdr:colOff>809625</xdr:colOff>
                <xdr:row>16</xdr:row>
                <xdr:rowOff>180975</xdr:rowOff>
              </to>
            </anchor>
          </objectPr>
        </oleObject>
      </mc:Choice>
      <mc:Fallback>
        <oleObject progId="Equation.DSMT4" shapeId="2284" r:id="rId262"/>
      </mc:Fallback>
    </mc:AlternateContent>
    <mc:AlternateContent xmlns:mc="http://schemas.openxmlformats.org/markup-compatibility/2006">
      <mc:Choice Requires="x14">
        <oleObject progId="Equation.DSMT4" shapeId="2285" r:id="rId263">
          <objectPr defaultSize="0" r:id="rId132">
            <anchor moveWithCells="1">
              <from>
                <xdr:col>199</xdr:col>
                <xdr:colOff>123825</xdr:colOff>
                <xdr:row>15</xdr:row>
                <xdr:rowOff>114300</xdr:rowOff>
              </from>
              <to>
                <xdr:col>199</xdr:col>
                <xdr:colOff>923925</xdr:colOff>
                <xdr:row>16</xdr:row>
                <xdr:rowOff>142875</xdr:rowOff>
              </to>
            </anchor>
          </objectPr>
        </oleObject>
      </mc:Choice>
      <mc:Fallback>
        <oleObject progId="Equation.DSMT4" shapeId="2285" r:id="rId263"/>
      </mc:Fallback>
    </mc:AlternateContent>
    <mc:AlternateContent xmlns:mc="http://schemas.openxmlformats.org/markup-compatibility/2006">
      <mc:Choice Requires="x14">
        <oleObject progId="Equation.DSMT4" shapeId="2286" r:id="rId264">
          <objectPr defaultSize="0" r:id="rId134">
            <anchor moveWithCells="1">
              <from>
                <xdr:col>200</xdr:col>
                <xdr:colOff>257175</xdr:colOff>
                <xdr:row>15</xdr:row>
                <xdr:rowOff>114300</xdr:rowOff>
              </from>
              <to>
                <xdr:col>200</xdr:col>
                <xdr:colOff>762000</xdr:colOff>
                <xdr:row>16</xdr:row>
                <xdr:rowOff>142875</xdr:rowOff>
              </to>
            </anchor>
          </objectPr>
        </oleObject>
      </mc:Choice>
      <mc:Fallback>
        <oleObject progId="Equation.DSMT4" shapeId="2286" r:id="rId264"/>
      </mc:Fallback>
    </mc:AlternateContent>
    <mc:AlternateContent xmlns:mc="http://schemas.openxmlformats.org/markup-compatibility/2006">
      <mc:Choice Requires="x14">
        <oleObject progId="Equation.DSMT4" shapeId="2287" r:id="rId265">
          <objectPr defaultSize="0" r:id="rId136">
            <anchor moveWithCells="1">
              <from>
                <xdr:col>205</xdr:col>
                <xdr:colOff>123825</xdr:colOff>
                <xdr:row>15</xdr:row>
                <xdr:rowOff>114300</xdr:rowOff>
              </from>
              <to>
                <xdr:col>205</xdr:col>
                <xdr:colOff>923925</xdr:colOff>
                <xdr:row>16</xdr:row>
                <xdr:rowOff>142875</xdr:rowOff>
              </to>
            </anchor>
          </objectPr>
        </oleObject>
      </mc:Choice>
      <mc:Fallback>
        <oleObject progId="Equation.DSMT4" shapeId="2287" r:id="rId265"/>
      </mc:Fallback>
    </mc:AlternateContent>
    <mc:AlternateContent xmlns:mc="http://schemas.openxmlformats.org/markup-compatibility/2006">
      <mc:Choice Requires="x14">
        <oleObject progId="Equation.DSMT4" shapeId="2288" r:id="rId266">
          <objectPr defaultSize="0" r:id="rId138">
            <anchor moveWithCells="1">
              <from>
                <xdr:col>206</xdr:col>
                <xdr:colOff>257175</xdr:colOff>
                <xdr:row>15</xdr:row>
                <xdr:rowOff>114300</xdr:rowOff>
              </from>
              <to>
                <xdr:col>206</xdr:col>
                <xdr:colOff>762000</xdr:colOff>
                <xdr:row>16</xdr:row>
                <xdr:rowOff>142875</xdr:rowOff>
              </to>
            </anchor>
          </objectPr>
        </oleObject>
      </mc:Choice>
      <mc:Fallback>
        <oleObject progId="Equation.DSMT4" shapeId="2288" r:id="rId266"/>
      </mc:Fallback>
    </mc:AlternateContent>
    <mc:AlternateContent xmlns:mc="http://schemas.openxmlformats.org/markup-compatibility/2006">
      <mc:Choice Requires="x14">
        <oleObject progId="Equation.DSMT4" shapeId="2289" r:id="rId267">
          <objectPr defaultSize="0" r:id="rId140">
            <anchor moveWithCells="1">
              <from>
                <xdr:col>207</xdr:col>
                <xdr:colOff>257175</xdr:colOff>
                <xdr:row>15</xdr:row>
                <xdr:rowOff>114300</xdr:rowOff>
              </from>
              <to>
                <xdr:col>207</xdr:col>
                <xdr:colOff>752475</xdr:colOff>
                <xdr:row>16</xdr:row>
                <xdr:rowOff>142875</xdr:rowOff>
              </to>
            </anchor>
          </objectPr>
        </oleObject>
      </mc:Choice>
      <mc:Fallback>
        <oleObject progId="Equation.DSMT4" shapeId="2289" r:id="rId267"/>
      </mc:Fallback>
    </mc:AlternateContent>
    <mc:AlternateContent xmlns:mc="http://schemas.openxmlformats.org/markup-compatibility/2006">
      <mc:Choice Requires="x14">
        <oleObject progId="Equation.DSMT4" shapeId="2290" r:id="rId268">
          <objectPr defaultSize="0" r:id="rId142">
            <anchor moveWithCells="1">
              <from>
                <xdr:col>208</xdr:col>
                <xdr:colOff>123825</xdr:colOff>
                <xdr:row>15</xdr:row>
                <xdr:rowOff>114300</xdr:rowOff>
              </from>
              <to>
                <xdr:col>208</xdr:col>
                <xdr:colOff>904875</xdr:colOff>
                <xdr:row>16</xdr:row>
                <xdr:rowOff>142875</xdr:rowOff>
              </to>
            </anchor>
          </objectPr>
        </oleObject>
      </mc:Choice>
      <mc:Fallback>
        <oleObject progId="Equation.DSMT4" shapeId="2290" r:id="rId268"/>
      </mc:Fallback>
    </mc:AlternateContent>
    <mc:AlternateContent xmlns:mc="http://schemas.openxmlformats.org/markup-compatibility/2006">
      <mc:Choice Requires="x14">
        <oleObject progId="Equation.DSMT4" shapeId="2291" r:id="rId269">
          <objectPr defaultSize="0" r:id="rId144">
            <anchor moveWithCells="1">
              <from>
                <xdr:col>189</xdr:col>
                <xdr:colOff>304800</xdr:colOff>
                <xdr:row>12</xdr:row>
                <xdr:rowOff>85725</xdr:rowOff>
              </from>
              <to>
                <xdr:col>189</xdr:col>
                <xdr:colOff>876300</xdr:colOff>
                <xdr:row>13</xdr:row>
                <xdr:rowOff>180975</xdr:rowOff>
              </to>
            </anchor>
          </objectPr>
        </oleObject>
      </mc:Choice>
      <mc:Fallback>
        <oleObject progId="Equation.DSMT4" shapeId="2291" r:id="rId269"/>
      </mc:Fallback>
    </mc:AlternateContent>
    <mc:AlternateContent xmlns:mc="http://schemas.openxmlformats.org/markup-compatibility/2006">
      <mc:Choice Requires="x14">
        <oleObject progId="Equation.DSMT4" shapeId="2292" r:id="rId270">
          <objectPr defaultSize="0" r:id="rId146">
            <anchor moveWithCells="1">
              <from>
                <xdr:col>190</xdr:col>
                <xdr:colOff>295275</xdr:colOff>
                <xdr:row>12</xdr:row>
                <xdr:rowOff>104775</xdr:rowOff>
              </from>
              <to>
                <xdr:col>190</xdr:col>
                <xdr:colOff>752475</xdr:colOff>
                <xdr:row>13</xdr:row>
                <xdr:rowOff>200025</xdr:rowOff>
              </to>
            </anchor>
          </objectPr>
        </oleObject>
      </mc:Choice>
      <mc:Fallback>
        <oleObject progId="Equation.DSMT4" shapeId="2292" r:id="rId270"/>
      </mc:Fallback>
    </mc:AlternateContent>
    <mc:AlternateContent xmlns:mc="http://schemas.openxmlformats.org/markup-compatibility/2006">
      <mc:Choice Requires="x14">
        <oleObject progId="Equation.DSMT4" shapeId="2293" r:id="rId271">
          <objectPr defaultSize="0" r:id="rId148">
            <anchor moveWithCells="1">
              <from>
                <xdr:col>209</xdr:col>
                <xdr:colOff>314325</xdr:colOff>
                <xdr:row>15</xdr:row>
                <xdr:rowOff>142875</xdr:rowOff>
              </from>
              <to>
                <xdr:col>209</xdr:col>
                <xdr:colOff>723900</xdr:colOff>
                <xdr:row>16</xdr:row>
                <xdr:rowOff>85725</xdr:rowOff>
              </to>
            </anchor>
          </objectPr>
        </oleObject>
      </mc:Choice>
      <mc:Fallback>
        <oleObject progId="Equation.DSMT4" shapeId="2293" r:id="rId271"/>
      </mc:Fallback>
    </mc:AlternateContent>
    <mc:AlternateContent xmlns:mc="http://schemas.openxmlformats.org/markup-compatibility/2006">
      <mc:Choice Requires="x14">
        <oleObject progId="Equation.DSMT4" shapeId="2294" r:id="rId272">
          <objectPr defaultSize="0" r:id="rId114">
            <anchor moveWithCells="1">
              <from>
                <xdr:col>212</xdr:col>
                <xdr:colOff>381000</xdr:colOff>
                <xdr:row>15</xdr:row>
                <xdr:rowOff>142875</xdr:rowOff>
              </from>
              <to>
                <xdr:col>212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294" r:id="rId272"/>
      </mc:Fallback>
    </mc:AlternateContent>
    <mc:AlternateContent xmlns:mc="http://schemas.openxmlformats.org/markup-compatibility/2006">
      <mc:Choice Requires="x14">
        <oleObject progId="Equation.DSMT4" shapeId="2295" r:id="rId273">
          <objectPr defaultSize="0" r:id="rId124">
            <anchor moveWithCells="1">
              <from>
                <xdr:col>213</xdr:col>
                <xdr:colOff>381000</xdr:colOff>
                <xdr:row>15</xdr:row>
                <xdr:rowOff>142875</xdr:rowOff>
              </from>
              <to>
                <xdr:col>213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295" r:id="rId273"/>
      </mc:Fallback>
    </mc:AlternateContent>
    <mc:AlternateContent xmlns:mc="http://schemas.openxmlformats.org/markup-compatibility/2006">
      <mc:Choice Requires="x14">
        <oleObject progId="Equation.DSMT4" shapeId="2296" r:id="rId274">
          <objectPr defaultSize="0" r:id="rId116">
            <anchor moveWithCells="1">
              <from>
                <xdr:col>214</xdr:col>
                <xdr:colOff>381000</xdr:colOff>
                <xdr:row>15</xdr:row>
                <xdr:rowOff>142875</xdr:rowOff>
              </from>
              <to>
                <xdr:col>214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296" r:id="rId274"/>
      </mc:Fallback>
    </mc:AlternateContent>
    <mc:AlternateContent xmlns:mc="http://schemas.openxmlformats.org/markup-compatibility/2006">
      <mc:Choice Requires="x14">
        <oleObject progId="Equation.DSMT4" shapeId="2297" r:id="rId275">
          <objectPr defaultSize="0" r:id="rId118">
            <anchor moveWithCells="1">
              <from>
                <xdr:col>215</xdr:col>
                <xdr:colOff>390525</xdr:colOff>
                <xdr:row>15</xdr:row>
                <xdr:rowOff>142875</xdr:rowOff>
              </from>
              <to>
                <xdr:col>215</xdr:col>
                <xdr:colOff>647700</xdr:colOff>
                <xdr:row>16</xdr:row>
                <xdr:rowOff>142875</xdr:rowOff>
              </to>
            </anchor>
          </objectPr>
        </oleObject>
      </mc:Choice>
      <mc:Fallback>
        <oleObject progId="Equation.DSMT4" shapeId="2297" r:id="rId275"/>
      </mc:Fallback>
    </mc:AlternateContent>
    <mc:AlternateContent xmlns:mc="http://schemas.openxmlformats.org/markup-compatibility/2006">
      <mc:Choice Requires="x14">
        <oleObject progId="Equation.DSMT4" shapeId="2298" r:id="rId276">
          <objectPr defaultSize="0" r:id="rId120">
            <anchor moveWithCells="1">
              <from>
                <xdr:col>216</xdr:col>
                <xdr:colOff>381000</xdr:colOff>
                <xdr:row>15</xdr:row>
                <xdr:rowOff>142875</xdr:rowOff>
              </from>
              <to>
                <xdr:col>216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298" r:id="rId276"/>
      </mc:Fallback>
    </mc:AlternateContent>
    <mc:AlternateContent xmlns:mc="http://schemas.openxmlformats.org/markup-compatibility/2006">
      <mc:Choice Requires="x14">
        <oleObject progId="Equation.DSMT4" shapeId="2299" r:id="rId277">
          <objectPr defaultSize="0" r:id="rId122">
            <anchor moveWithCells="1">
              <from>
                <xdr:col>217</xdr:col>
                <xdr:colOff>352425</xdr:colOff>
                <xdr:row>15</xdr:row>
                <xdr:rowOff>142875</xdr:rowOff>
              </from>
              <to>
                <xdr:col>217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299" r:id="rId277"/>
      </mc:Fallback>
    </mc:AlternateContent>
    <mc:AlternateContent xmlns:mc="http://schemas.openxmlformats.org/markup-compatibility/2006">
      <mc:Choice Requires="x14">
        <oleObject progId="Equation.DSMT4" shapeId="2300" r:id="rId278">
          <objectPr defaultSize="0" r:id="rId156">
            <anchor moveWithCells="1">
              <from>
                <xdr:col>218</xdr:col>
                <xdr:colOff>428625</xdr:colOff>
                <xdr:row>15</xdr:row>
                <xdr:rowOff>142875</xdr:rowOff>
              </from>
              <to>
                <xdr:col>218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300" r:id="rId278"/>
      </mc:Fallback>
    </mc:AlternateContent>
    <mc:AlternateContent xmlns:mc="http://schemas.openxmlformats.org/markup-compatibility/2006">
      <mc:Choice Requires="x14">
        <oleObject progId="Equation.DSMT4" shapeId="2301" r:id="rId279">
          <objectPr defaultSize="0" r:id="rId158">
            <anchor moveWithCells="1">
              <from>
                <xdr:col>219</xdr:col>
                <xdr:colOff>390525</xdr:colOff>
                <xdr:row>15</xdr:row>
                <xdr:rowOff>142875</xdr:rowOff>
              </from>
              <to>
                <xdr:col>219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301" r:id="rId279"/>
      </mc:Fallback>
    </mc:AlternateContent>
    <mc:AlternateContent xmlns:mc="http://schemas.openxmlformats.org/markup-compatibility/2006">
      <mc:Choice Requires="x14">
        <oleObject progId="Equation.DSMT4" shapeId="2302" r:id="rId280">
          <objectPr defaultSize="0" r:id="rId160">
            <anchor moveWithCells="1">
              <from>
                <xdr:col>220</xdr:col>
                <xdr:colOff>219075</xdr:colOff>
                <xdr:row>15</xdr:row>
                <xdr:rowOff>114300</xdr:rowOff>
              </from>
              <to>
                <xdr:col>220</xdr:col>
                <xdr:colOff>838200</xdr:colOff>
                <xdr:row>16</xdr:row>
                <xdr:rowOff>142875</xdr:rowOff>
              </to>
            </anchor>
          </objectPr>
        </oleObject>
      </mc:Choice>
      <mc:Fallback>
        <oleObject progId="Equation.DSMT4" shapeId="2302" r:id="rId280"/>
      </mc:Fallback>
    </mc:AlternateContent>
    <mc:AlternateContent xmlns:mc="http://schemas.openxmlformats.org/markup-compatibility/2006">
      <mc:Choice Requires="x14">
        <oleObject progId="Equation.DSMT4" shapeId="2303" r:id="rId281">
          <objectPr defaultSize="0" r:id="rId114">
            <anchor moveWithCells="1">
              <from>
                <xdr:col>221</xdr:col>
                <xdr:colOff>381000</xdr:colOff>
                <xdr:row>15</xdr:row>
                <xdr:rowOff>142875</xdr:rowOff>
              </from>
              <to>
                <xdr:col>221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303" r:id="rId281"/>
      </mc:Fallback>
    </mc:AlternateContent>
    <mc:AlternateContent xmlns:mc="http://schemas.openxmlformats.org/markup-compatibility/2006">
      <mc:Choice Requires="x14">
        <oleObject progId="Equation.DSMT4" shapeId="2304" r:id="rId282">
          <objectPr defaultSize="0" r:id="rId124">
            <anchor moveWithCells="1">
              <from>
                <xdr:col>222</xdr:col>
                <xdr:colOff>381000</xdr:colOff>
                <xdr:row>15</xdr:row>
                <xdr:rowOff>142875</xdr:rowOff>
              </from>
              <to>
                <xdr:col>222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304" r:id="rId282"/>
      </mc:Fallback>
    </mc:AlternateContent>
    <mc:AlternateContent xmlns:mc="http://schemas.openxmlformats.org/markup-compatibility/2006">
      <mc:Choice Requires="x14">
        <oleObject progId="Equation.DSMT4" shapeId="2305" r:id="rId283">
          <objectPr defaultSize="0" r:id="rId116">
            <anchor moveWithCells="1">
              <from>
                <xdr:col>223</xdr:col>
                <xdr:colOff>381000</xdr:colOff>
                <xdr:row>15</xdr:row>
                <xdr:rowOff>142875</xdr:rowOff>
              </from>
              <to>
                <xdr:col>223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305" r:id="rId283"/>
      </mc:Fallback>
    </mc:AlternateContent>
    <mc:AlternateContent xmlns:mc="http://schemas.openxmlformats.org/markup-compatibility/2006">
      <mc:Choice Requires="x14">
        <oleObject progId="Equation.DSMT4" shapeId="2306" r:id="rId284">
          <objectPr defaultSize="0" r:id="rId118">
            <anchor moveWithCells="1">
              <from>
                <xdr:col>224</xdr:col>
                <xdr:colOff>390525</xdr:colOff>
                <xdr:row>15</xdr:row>
                <xdr:rowOff>142875</xdr:rowOff>
              </from>
              <to>
                <xdr:col>224</xdr:col>
                <xdr:colOff>647700</xdr:colOff>
                <xdr:row>16</xdr:row>
                <xdr:rowOff>142875</xdr:rowOff>
              </to>
            </anchor>
          </objectPr>
        </oleObject>
      </mc:Choice>
      <mc:Fallback>
        <oleObject progId="Equation.DSMT4" shapeId="2306" r:id="rId284"/>
      </mc:Fallback>
    </mc:AlternateContent>
    <mc:AlternateContent xmlns:mc="http://schemas.openxmlformats.org/markup-compatibility/2006">
      <mc:Choice Requires="x14">
        <oleObject progId="Equation.DSMT4" shapeId="2307" r:id="rId285">
          <objectPr defaultSize="0" r:id="rId120">
            <anchor moveWithCells="1">
              <from>
                <xdr:col>225</xdr:col>
                <xdr:colOff>381000</xdr:colOff>
                <xdr:row>15</xdr:row>
                <xdr:rowOff>142875</xdr:rowOff>
              </from>
              <to>
                <xdr:col>225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307" r:id="rId285"/>
      </mc:Fallback>
    </mc:AlternateContent>
    <mc:AlternateContent xmlns:mc="http://schemas.openxmlformats.org/markup-compatibility/2006">
      <mc:Choice Requires="x14">
        <oleObject progId="Equation.DSMT4" shapeId="2308" r:id="rId286">
          <objectPr defaultSize="0" r:id="rId122">
            <anchor moveWithCells="1">
              <from>
                <xdr:col>226</xdr:col>
                <xdr:colOff>352425</xdr:colOff>
                <xdr:row>15</xdr:row>
                <xdr:rowOff>142875</xdr:rowOff>
              </from>
              <to>
                <xdr:col>226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308" r:id="rId286"/>
      </mc:Fallback>
    </mc:AlternateContent>
    <mc:AlternateContent xmlns:mc="http://schemas.openxmlformats.org/markup-compatibility/2006">
      <mc:Choice Requires="x14">
        <oleObject progId="Equation.DSMT4" shapeId="2309" r:id="rId287">
          <objectPr defaultSize="0" r:id="rId156">
            <anchor moveWithCells="1">
              <from>
                <xdr:col>227</xdr:col>
                <xdr:colOff>428625</xdr:colOff>
                <xdr:row>15</xdr:row>
                <xdr:rowOff>142875</xdr:rowOff>
              </from>
              <to>
                <xdr:col>227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309" r:id="rId287"/>
      </mc:Fallback>
    </mc:AlternateContent>
    <mc:AlternateContent xmlns:mc="http://schemas.openxmlformats.org/markup-compatibility/2006">
      <mc:Choice Requires="x14">
        <oleObject progId="Equation.DSMT4" shapeId="2310" r:id="rId288">
          <objectPr defaultSize="0" r:id="rId158">
            <anchor moveWithCells="1">
              <from>
                <xdr:col>228</xdr:col>
                <xdr:colOff>390525</xdr:colOff>
                <xdr:row>15</xdr:row>
                <xdr:rowOff>142875</xdr:rowOff>
              </from>
              <to>
                <xdr:col>228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310" r:id="rId288"/>
      </mc:Fallback>
    </mc:AlternateContent>
    <mc:AlternateContent xmlns:mc="http://schemas.openxmlformats.org/markup-compatibility/2006">
      <mc:Choice Requires="x14">
        <oleObject progId="Equation.DSMT4" shapeId="2311" r:id="rId289">
          <objectPr defaultSize="0" r:id="rId170">
            <anchor moveWithCells="1">
              <from>
                <xdr:col>229</xdr:col>
                <xdr:colOff>76200</xdr:colOff>
                <xdr:row>15</xdr:row>
                <xdr:rowOff>114300</xdr:rowOff>
              </from>
              <to>
                <xdr:col>229</xdr:col>
                <xdr:colOff>1000125</xdr:colOff>
                <xdr:row>16</xdr:row>
                <xdr:rowOff>180975</xdr:rowOff>
              </to>
            </anchor>
          </objectPr>
        </oleObject>
      </mc:Choice>
      <mc:Fallback>
        <oleObject progId="Equation.DSMT4" shapeId="2311" r:id="rId289"/>
      </mc:Fallback>
    </mc:AlternateContent>
    <mc:AlternateContent xmlns:mc="http://schemas.openxmlformats.org/markup-compatibility/2006">
      <mc:Choice Requires="x14">
        <oleObject progId="Equation.DSMT4" shapeId="2312" r:id="rId290">
          <objectPr defaultSize="0" r:id="rId172">
            <anchor moveWithCells="1">
              <from>
                <xdr:col>230</xdr:col>
                <xdr:colOff>390525</xdr:colOff>
                <xdr:row>15</xdr:row>
                <xdr:rowOff>142875</xdr:rowOff>
              </from>
              <to>
                <xdr:col>230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312" r:id="rId290"/>
      </mc:Fallback>
    </mc:AlternateContent>
    <mc:AlternateContent xmlns:mc="http://schemas.openxmlformats.org/markup-compatibility/2006">
      <mc:Choice Requires="x14">
        <oleObject progId="Equation.DSMT4" shapeId="2313" r:id="rId291">
          <objectPr defaultSize="0" r:id="rId174">
            <anchor moveWithCells="1">
              <from>
                <xdr:col>231</xdr:col>
                <xdr:colOff>76200</xdr:colOff>
                <xdr:row>15</xdr:row>
                <xdr:rowOff>114300</xdr:rowOff>
              </from>
              <to>
                <xdr:col>231</xdr:col>
                <xdr:colOff>1000125</xdr:colOff>
                <xdr:row>16</xdr:row>
                <xdr:rowOff>180975</xdr:rowOff>
              </to>
            </anchor>
          </objectPr>
        </oleObject>
      </mc:Choice>
      <mc:Fallback>
        <oleObject progId="Equation.DSMT4" shapeId="2313" r:id="rId291"/>
      </mc:Fallback>
    </mc:AlternateContent>
    <mc:AlternateContent xmlns:mc="http://schemas.openxmlformats.org/markup-compatibility/2006">
      <mc:Choice Requires="x14">
        <oleObject progId="Equation.DSMT4" shapeId="2314" r:id="rId292">
          <objectPr defaultSize="0" r:id="rId176">
            <anchor moveWithCells="1">
              <from>
                <xdr:col>232</xdr:col>
                <xdr:colOff>76200</xdr:colOff>
                <xdr:row>15</xdr:row>
                <xdr:rowOff>114300</xdr:rowOff>
              </from>
              <to>
                <xdr:col>232</xdr:col>
                <xdr:colOff>1000125</xdr:colOff>
                <xdr:row>16</xdr:row>
                <xdr:rowOff>180975</xdr:rowOff>
              </to>
            </anchor>
          </objectPr>
        </oleObject>
      </mc:Choice>
      <mc:Fallback>
        <oleObject progId="Equation.DSMT4" shapeId="2314" r:id="rId292"/>
      </mc:Fallback>
    </mc:AlternateContent>
    <mc:AlternateContent xmlns:mc="http://schemas.openxmlformats.org/markup-compatibility/2006">
      <mc:Choice Requires="x14">
        <oleObject progId="Equation.DSMT4" shapeId="2315" r:id="rId293">
          <objectPr defaultSize="0" r:id="rId178">
            <anchor moveWithCells="1">
              <from>
                <xdr:col>233</xdr:col>
                <xdr:colOff>200025</xdr:colOff>
                <xdr:row>15</xdr:row>
                <xdr:rowOff>114300</xdr:rowOff>
              </from>
              <to>
                <xdr:col>233</xdr:col>
                <xdr:colOff>809625</xdr:colOff>
                <xdr:row>16</xdr:row>
                <xdr:rowOff>142875</xdr:rowOff>
              </to>
            </anchor>
          </objectPr>
        </oleObject>
      </mc:Choice>
      <mc:Fallback>
        <oleObject progId="Equation.DSMT4" shapeId="2315" r:id="rId293"/>
      </mc:Fallback>
    </mc:AlternateContent>
    <mc:AlternateContent xmlns:mc="http://schemas.openxmlformats.org/markup-compatibility/2006">
      <mc:Choice Requires="x14">
        <oleObject progId="Equation.DSMT4" shapeId="2316" r:id="rId294">
          <objectPr defaultSize="0" r:id="rId180">
            <anchor moveWithCells="1">
              <from>
                <xdr:col>234</xdr:col>
                <xdr:colOff>200025</xdr:colOff>
                <xdr:row>15</xdr:row>
                <xdr:rowOff>114300</xdr:rowOff>
              </from>
              <to>
                <xdr:col>234</xdr:col>
                <xdr:colOff>800100</xdr:colOff>
                <xdr:row>16</xdr:row>
                <xdr:rowOff>142875</xdr:rowOff>
              </to>
            </anchor>
          </objectPr>
        </oleObject>
      </mc:Choice>
      <mc:Fallback>
        <oleObject progId="Equation.DSMT4" shapeId="2316" r:id="rId294"/>
      </mc:Fallback>
    </mc:AlternateContent>
    <mc:AlternateContent xmlns:mc="http://schemas.openxmlformats.org/markup-compatibility/2006">
      <mc:Choice Requires="x14">
        <oleObject progId="Equation.DSMT4" shapeId="2317" r:id="rId295">
          <objectPr defaultSize="0" r:id="rId90">
            <anchor moveWithCells="1">
              <from>
                <xdr:col>245</xdr:col>
                <xdr:colOff>76200</xdr:colOff>
                <xdr:row>15</xdr:row>
                <xdr:rowOff>123825</xdr:rowOff>
              </from>
              <to>
                <xdr:col>245</xdr:col>
                <xdr:colOff>923925</xdr:colOff>
                <xdr:row>16</xdr:row>
                <xdr:rowOff>219075</xdr:rowOff>
              </to>
            </anchor>
          </objectPr>
        </oleObject>
      </mc:Choice>
      <mc:Fallback>
        <oleObject progId="Equation.DSMT4" shapeId="2317" r:id="rId295"/>
      </mc:Fallback>
    </mc:AlternateContent>
    <mc:AlternateContent xmlns:mc="http://schemas.openxmlformats.org/markup-compatibility/2006">
      <mc:Choice Requires="x14">
        <oleObject progId="Equation.DSMT4" shapeId="2318" r:id="rId296">
          <objectPr defaultSize="0" r:id="rId92">
            <anchor moveWithCells="1">
              <from>
                <xdr:col>244</xdr:col>
                <xdr:colOff>219075</xdr:colOff>
                <xdr:row>12</xdr:row>
                <xdr:rowOff>85725</xdr:rowOff>
              </from>
              <to>
                <xdr:col>244</xdr:col>
                <xdr:colOff>876300</xdr:colOff>
                <xdr:row>13</xdr:row>
                <xdr:rowOff>161925</xdr:rowOff>
              </to>
            </anchor>
          </objectPr>
        </oleObject>
      </mc:Choice>
      <mc:Fallback>
        <oleObject progId="Equation.DSMT4" shapeId="2318" r:id="rId296"/>
      </mc:Fallback>
    </mc:AlternateContent>
    <mc:AlternateContent xmlns:mc="http://schemas.openxmlformats.org/markup-compatibility/2006">
      <mc:Choice Requires="x14">
        <oleObject progId="Equation.DSMT4" shapeId="2319" r:id="rId297">
          <objectPr defaultSize="0" autoPict="0" r:id="rId94">
            <anchor moveWithCells="1">
              <from>
                <xdr:col>246</xdr:col>
                <xdr:colOff>390525</xdr:colOff>
                <xdr:row>12</xdr:row>
                <xdr:rowOff>28575</xdr:rowOff>
              </from>
              <to>
                <xdr:col>246</xdr:col>
                <xdr:colOff>619125</xdr:colOff>
                <xdr:row>13</xdr:row>
                <xdr:rowOff>219075</xdr:rowOff>
              </to>
            </anchor>
          </objectPr>
        </oleObject>
      </mc:Choice>
      <mc:Fallback>
        <oleObject progId="Equation.DSMT4" shapeId="2319" r:id="rId297"/>
      </mc:Fallback>
    </mc:AlternateContent>
    <mc:AlternateContent xmlns:mc="http://schemas.openxmlformats.org/markup-compatibility/2006">
      <mc:Choice Requires="x14">
        <oleObject progId="Equation.DSMT4" shapeId="2320" r:id="rId298">
          <objectPr defaultSize="0" r:id="rId96">
            <anchor moveWithCells="1">
              <from>
                <xdr:col>247</xdr:col>
                <xdr:colOff>104775</xdr:colOff>
                <xdr:row>12</xdr:row>
                <xdr:rowOff>66675</xdr:rowOff>
              </from>
              <to>
                <xdr:col>247</xdr:col>
                <xdr:colOff>923925</xdr:colOff>
                <xdr:row>13</xdr:row>
                <xdr:rowOff>114300</xdr:rowOff>
              </to>
            </anchor>
          </objectPr>
        </oleObject>
      </mc:Choice>
      <mc:Fallback>
        <oleObject progId="Equation.DSMT4" shapeId="2320" r:id="rId298"/>
      </mc:Fallback>
    </mc:AlternateContent>
    <mc:AlternateContent xmlns:mc="http://schemas.openxmlformats.org/markup-compatibility/2006">
      <mc:Choice Requires="x14">
        <oleObject progId="Equation.DSMT4" shapeId="2321" r:id="rId299">
          <objectPr defaultSize="0" r:id="rId98">
            <anchor moveWithCells="1">
              <from>
                <xdr:col>249</xdr:col>
                <xdr:colOff>428625</xdr:colOff>
                <xdr:row>15</xdr:row>
                <xdr:rowOff>161925</xdr:rowOff>
              </from>
              <to>
                <xdr:col>249</xdr:col>
                <xdr:colOff>600075</xdr:colOff>
                <xdr:row>16</xdr:row>
                <xdr:rowOff>114300</xdr:rowOff>
              </to>
            </anchor>
          </objectPr>
        </oleObject>
      </mc:Choice>
      <mc:Fallback>
        <oleObject progId="Equation.DSMT4" shapeId="2321" r:id="rId299"/>
      </mc:Fallback>
    </mc:AlternateContent>
    <mc:AlternateContent xmlns:mc="http://schemas.openxmlformats.org/markup-compatibility/2006">
      <mc:Choice Requires="x14">
        <oleObject progId="Equation.DSMT4" shapeId="2322" r:id="rId300">
          <objectPr defaultSize="0" r:id="rId100">
            <anchor moveWithCells="1">
              <from>
                <xdr:col>251</xdr:col>
                <xdr:colOff>142875</xdr:colOff>
                <xdr:row>15</xdr:row>
                <xdr:rowOff>142875</xdr:rowOff>
              </from>
              <to>
                <xdr:col>251</xdr:col>
                <xdr:colOff>800100</xdr:colOff>
                <xdr:row>16</xdr:row>
                <xdr:rowOff>161925</xdr:rowOff>
              </to>
            </anchor>
          </objectPr>
        </oleObject>
      </mc:Choice>
      <mc:Fallback>
        <oleObject progId="Equation.DSMT4" shapeId="2322" r:id="rId300"/>
      </mc:Fallback>
    </mc:AlternateContent>
    <mc:AlternateContent xmlns:mc="http://schemas.openxmlformats.org/markup-compatibility/2006">
      <mc:Choice Requires="x14">
        <oleObject progId="Equation.DSMT4" shapeId="2323" r:id="rId301">
          <objectPr defaultSize="0" r:id="rId132">
            <anchor moveWithCells="1">
              <from>
                <xdr:col>258</xdr:col>
                <xdr:colOff>123825</xdr:colOff>
                <xdr:row>15</xdr:row>
                <xdr:rowOff>114300</xdr:rowOff>
              </from>
              <to>
                <xdr:col>258</xdr:col>
                <xdr:colOff>923925</xdr:colOff>
                <xdr:row>16</xdr:row>
                <xdr:rowOff>142875</xdr:rowOff>
              </to>
            </anchor>
          </objectPr>
        </oleObject>
      </mc:Choice>
      <mc:Fallback>
        <oleObject progId="Equation.DSMT4" shapeId="2323" r:id="rId301"/>
      </mc:Fallback>
    </mc:AlternateContent>
    <mc:AlternateContent xmlns:mc="http://schemas.openxmlformats.org/markup-compatibility/2006">
      <mc:Choice Requires="x14">
        <oleObject progId="Equation.DSMT4" shapeId="2324" r:id="rId302">
          <objectPr defaultSize="0" r:id="rId134">
            <anchor moveWithCells="1">
              <from>
                <xdr:col>259</xdr:col>
                <xdr:colOff>257175</xdr:colOff>
                <xdr:row>15</xdr:row>
                <xdr:rowOff>114300</xdr:rowOff>
              </from>
              <to>
                <xdr:col>259</xdr:col>
                <xdr:colOff>762000</xdr:colOff>
                <xdr:row>16</xdr:row>
                <xdr:rowOff>142875</xdr:rowOff>
              </to>
            </anchor>
          </objectPr>
        </oleObject>
      </mc:Choice>
      <mc:Fallback>
        <oleObject progId="Equation.DSMT4" shapeId="2324" r:id="rId302"/>
      </mc:Fallback>
    </mc:AlternateContent>
    <mc:AlternateContent xmlns:mc="http://schemas.openxmlformats.org/markup-compatibility/2006">
      <mc:Choice Requires="x14">
        <oleObject progId="Equation.DSMT4" shapeId="2325" r:id="rId303">
          <objectPr defaultSize="0" r:id="rId136">
            <anchor moveWithCells="1">
              <from>
                <xdr:col>264</xdr:col>
                <xdr:colOff>123825</xdr:colOff>
                <xdr:row>15</xdr:row>
                <xdr:rowOff>114300</xdr:rowOff>
              </from>
              <to>
                <xdr:col>264</xdr:col>
                <xdr:colOff>923925</xdr:colOff>
                <xdr:row>16</xdr:row>
                <xdr:rowOff>142875</xdr:rowOff>
              </to>
            </anchor>
          </objectPr>
        </oleObject>
      </mc:Choice>
      <mc:Fallback>
        <oleObject progId="Equation.DSMT4" shapeId="2325" r:id="rId303"/>
      </mc:Fallback>
    </mc:AlternateContent>
    <mc:AlternateContent xmlns:mc="http://schemas.openxmlformats.org/markup-compatibility/2006">
      <mc:Choice Requires="x14">
        <oleObject progId="Equation.DSMT4" shapeId="2326" r:id="rId304">
          <objectPr defaultSize="0" r:id="rId138">
            <anchor moveWithCells="1">
              <from>
                <xdr:col>265</xdr:col>
                <xdr:colOff>257175</xdr:colOff>
                <xdr:row>15</xdr:row>
                <xdr:rowOff>114300</xdr:rowOff>
              </from>
              <to>
                <xdr:col>265</xdr:col>
                <xdr:colOff>762000</xdr:colOff>
                <xdr:row>16</xdr:row>
                <xdr:rowOff>142875</xdr:rowOff>
              </to>
            </anchor>
          </objectPr>
        </oleObject>
      </mc:Choice>
      <mc:Fallback>
        <oleObject progId="Equation.DSMT4" shapeId="2326" r:id="rId304"/>
      </mc:Fallback>
    </mc:AlternateContent>
    <mc:AlternateContent xmlns:mc="http://schemas.openxmlformats.org/markup-compatibility/2006">
      <mc:Choice Requires="x14">
        <oleObject progId="Equation.DSMT4" shapeId="2327" r:id="rId305">
          <objectPr defaultSize="0" r:id="rId140">
            <anchor moveWithCells="1">
              <from>
                <xdr:col>266</xdr:col>
                <xdr:colOff>257175</xdr:colOff>
                <xdr:row>15</xdr:row>
                <xdr:rowOff>114300</xdr:rowOff>
              </from>
              <to>
                <xdr:col>266</xdr:col>
                <xdr:colOff>752475</xdr:colOff>
                <xdr:row>16</xdr:row>
                <xdr:rowOff>142875</xdr:rowOff>
              </to>
            </anchor>
          </objectPr>
        </oleObject>
      </mc:Choice>
      <mc:Fallback>
        <oleObject progId="Equation.DSMT4" shapeId="2327" r:id="rId305"/>
      </mc:Fallback>
    </mc:AlternateContent>
    <mc:AlternateContent xmlns:mc="http://schemas.openxmlformats.org/markup-compatibility/2006">
      <mc:Choice Requires="x14">
        <oleObject progId="Equation.DSMT4" shapeId="2328" r:id="rId306">
          <objectPr defaultSize="0" r:id="rId142">
            <anchor moveWithCells="1">
              <from>
                <xdr:col>267</xdr:col>
                <xdr:colOff>123825</xdr:colOff>
                <xdr:row>15</xdr:row>
                <xdr:rowOff>114300</xdr:rowOff>
              </from>
              <to>
                <xdr:col>267</xdr:col>
                <xdr:colOff>904875</xdr:colOff>
                <xdr:row>16</xdr:row>
                <xdr:rowOff>142875</xdr:rowOff>
              </to>
            </anchor>
          </objectPr>
        </oleObject>
      </mc:Choice>
      <mc:Fallback>
        <oleObject progId="Equation.DSMT4" shapeId="2328" r:id="rId306"/>
      </mc:Fallback>
    </mc:AlternateContent>
    <mc:AlternateContent xmlns:mc="http://schemas.openxmlformats.org/markup-compatibility/2006">
      <mc:Choice Requires="x14">
        <oleObject progId="Equation.DSMT4" shapeId="2329" r:id="rId307">
          <objectPr defaultSize="0" r:id="rId144">
            <anchor moveWithCells="1">
              <from>
                <xdr:col>248</xdr:col>
                <xdr:colOff>304800</xdr:colOff>
                <xdr:row>12</xdr:row>
                <xdr:rowOff>85725</xdr:rowOff>
              </from>
              <to>
                <xdr:col>248</xdr:col>
                <xdr:colOff>876300</xdr:colOff>
                <xdr:row>13</xdr:row>
                <xdr:rowOff>161925</xdr:rowOff>
              </to>
            </anchor>
          </objectPr>
        </oleObject>
      </mc:Choice>
      <mc:Fallback>
        <oleObject progId="Equation.DSMT4" shapeId="2329" r:id="rId307"/>
      </mc:Fallback>
    </mc:AlternateContent>
    <mc:AlternateContent xmlns:mc="http://schemas.openxmlformats.org/markup-compatibility/2006">
      <mc:Choice Requires="x14">
        <oleObject progId="Equation.DSMT4" shapeId="2330" r:id="rId308">
          <objectPr defaultSize="0" r:id="rId146">
            <anchor moveWithCells="1">
              <from>
                <xdr:col>249</xdr:col>
                <xdr:colOff>295275</xdr:colOff>
                <xdr:row>12</xdr:row>
                <xdr:rowOff>104775</xdr:rowOff>
              </from>
              <to>
                <xdr:col>249</xdr:col>
                <xdr:colOff>752475</xdr:colOff>
                <xdr:row>13</xdr:row>
                <xdr:rowOff>200025</xdr:rowOff>
              </to>
            </anchor>
          </objectPr>
        </oleObject>
      </mc:Choice>
      <mc:Fallback>
        <oleObject progId="Equation.DSMT4" shapeId="2330" r:id="rId308"/>
      </mc:Fallback>
    </mc:AlternateContent>
    <mc:AlternateContent xmlns:mc="http://schemas.openxmlformats.org/markup-compatibility/2006">
      <mc:Choice Requires="x14">
        <oleObject progId="Equation.DSMT4" shapeId="2331" r:id="rId309">
          <objectPr defaultSize="0" r:id="rId148">
            <anchor moveWithCells="1">
              <from>
                <xdr:col>268</xdr:col>
                <xdr:colOff>314325</xdr:colOff>
                <xdr:row>15</xdr:row>
                <xdr:rowOff>142875</xdr:rowOff>
              </from>
              <to>
                <xdr:col>268</xdr:col>
                <xdr:colOff>723900</xdr:colOff>
                <xdr:row>16</xdr:row>
                <xdr:rowOff>85725</xdr:rowOff>
              </to>
            </anchor>
          </objectPr>
        </oleObject>
      </mc:Choice>
      <mc:Fallback>
        <oleObject progId="Equation.DSMT4" shapeId="2331" r:id="rId309"/>
      </mc:Fallback>
    </mc:AlternateContent>
    <mc:AlternateContent xmlns:mc="http://schemas.openxmlformats.org/markup-compatibility/2006">
      <mc:Choice Requires="x14">
        <oleObject progId="Equation.DSMT4" shapeId="2332" r:id="rId310">
          <objectPr defaultSize="0" r:id="rId114">
            <anchor moveWithCells="1">
              <from>
                <xdr:col>271</xdr:col>
                <xdr:colOff>381000</xdr:colOff>
                <xdr:row>15</xdr:row>
                <xdr:rowOff>142875</xdr:rowOff>
              </from>
              <to>
                <xdr:col>271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332" r:id="rId310"/>
      </mc:Fallback>
    </mc:AlternateContent>
    <mc:AlternateContent xmlns:mc="http://schemas.openxmlformats.org/markup-compatibility/2006">
      <mc:Choice Requires="x14">
        <oleObject progId="Equation.DSMT4" shapeId="2333" r:id="rId311">
          <objectPr defaultSize="0" r:id="rId124">
            <anchor moveWithCells="1">
              <from>
                <xdr:col>272</xdr:col>
                <xdr:colOff>381000</xdr:colOff>
                <xdr:row>15</xdr:row>
                <xdr:rowOff>142875</xdr:rowOff>
              </from>
              <to>
                <xdr:col>272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333" r:id="rId311"/>
      </mc:Fallback>
    </mc:AlternateContent>
    <mc:AlternateContent xmlns:mc="http://schemas.openxmlformats.org/markup-compatibility/2006">
      <mc:Choice Requires="x14">
        <oleObject progId="Equation.DSMT4" shapeId="2334" r:id="rId312">
          <objectPr defaultSize="0" r:id="rId116">
            <anchor moveWithCells="1">
              <from>
                <xdr:col>273</xdr:col>
                <xdr:colOff>381000</xdr:colOff>
                <xdr:row>15</xdr:row>
                <xdr:rowOff>142875</xdr:rowOff>
              </from>
              <to>
                <xdr:col>273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334" r:id="rId312"/>
      </mc:Fallback>
    </mc:AlternateContent>
    <mc:AlternateContent xmlns:mc="http://schemas.openxmlformats.org/markup-compatibility/2006">
      <mc:Choice Requires="x14">
        <oleObject progId="Equation.DSMT4" shapeId="2335" r:id="rId313">
          <objectPr defaultSize="0" r:id="rId118">
            <anchor moveWithCells="1">
              <from>
                <xdr:col>274</xdr:col>
                <xdr:colOff>390525</xdr:colOff>
                <xdr:row>15</xdr:row>
                <xdr:rowOff>142875</xdr:rowOff>
              </from>
              <to>
                <xdr:col>274</xdr:col>
                <xdr:colOff>647700</xdr:colOff>
                <xdr:row>16</xdr:row>
                <xdr:rowOff>142875</xdr:rowOff>
              </to>
            </anchor>
          </objectPr>
        </oleObject>
      </mc:Choice>
      <mc:Fallback>
        <oleObject progId="Equation.DSMT4" shapeId="2335" r:id="rId313"/>
      </mc:Fallback>
    </mc:AlternateContent>
    <mc:AlternateContent xmlns:mc="http://schemas.openxmlformats.org/markup-compatibility/2006">
      <mc:Choice Requires="x14">
        <oleObject progId="Equation.DSMT4" shapeId="2336" r:id="rId314">
          <objectPr defaultSize="0" r:id="rId120">
            <anchor moveWithCells="1">
              <from>
                <xdr:col>275</xdr:col>
                <xdr:colOff>381000</xdr:colOff>
                <xdr:row>15</xdr:row>
                <xdr:rowOff>142875</xdr:rowOff>
              </from>
              <to>
                <xdr:col>275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336" r:id="rId314"/>
      </mc:Fallback>
    </mc:AlternateContent>
    <mc:AlternateContent xmlns:mc="http://schemas.openxmlformats.org/markup-compatibility/2006">
      <mc:Choice Requires="x14">
        <oleObject progId="Equation.DSMT4" shapeId="2337" r:id="rId315">
          <objectPr defaultSize="0" r:id="rId122">
            <anchor moveWithCells="1">
              <from>
                <xdr:col>276</xdr:col>
                <xdr:colOff>352425</xdr:colOff>
                <xdr:row>15</xdr:row>
                <xdr:rowOff>142875</xdr:rowOff>
              </from>
              <to>
                <xdr:col>276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337" r:id="rId315"/>
      </mc:Fallback>
    </mc:AlternateContent>
    <mc:AlternateContent xmlns:mc="http://schemas.openxmlformats.org/markup-compatibility/2006">
      <mc:Choice Requires="x14">
        <oleObject progId="Equation.DSMT4" shapeId="2338" r:id="rId316">
          <objectPr defaultSize="0" r:id="rId156">
            <anchor moveWithCells="1">
              <from>
                <xdr:col>277</xdr:col>
                <xdr:colOff>428625</xdr:colOff>
                <xdr:row>15</xdr:row>
                <xdr:rowOff>142875</xdr:rowOff>
              </from>
              <to>
                <xdr:col>277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338" r:id="rId316"/>
      </mc:Fallback>
    </mc:AlternateContent>
    <mc:AlternateContent xmlns:mc="http://schemas.openxmlformats.org/markup-compatibility/2006">
      <mc:Choice Requires="x14">
        <oleObject progId="Equation.DSMT4" shapeId="2339" r:id="rId317">
          <objectPr defaultSize="0" r:id="rId158">
            <anchor moveWithCells="1">
              <from>
                <xdr:col>278</xdr:col>
                <xdr:colOff>390525</xdr:colOff>
                <xdr:row>15</xdr:row>
                <xdr:rowOff>142875</xdr:rowOff>
              </from>
              <to>
                <xdr:col>278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339" r:id="rId317"/>
      </mc:Fallback>
    </mc:AlternateContent>
    <mc:AlternateContent xmlns:mc="http://schemas.openxmlformats.org/markup-compatibility/2006">
      <mc:Choice Requires="x14">
        <oleObject progId="Equation.DSMT4" shapeId="2340" r:id="rId318">
          <objectPr defaultSize="0" r:id="rId160">
            <anchor moveWithCells="1">
              <from>
                <xdr:col>279</xdr:col>
                <xdr:colOff>219075</xdr:colOff>
                <xdr:row>15</xdr:row>
                <xdr:rowOff>114300</xdr:rowOff>
              </from>
              <to>
                <xdr:col>279</xdr:col>
                <xdr:colOff>838200</xdr:colOff>
                <xdr:row>16</xdr:row>
                <xdr:rowOff>142875</xdr:rowOff>
              </to>
            </anchor>
          </objectPr>
        </oleObject>
      </mc:Choice>
      <mc:Fallback>
        <oleObject progId="Equation.DSMT4" shapeId="2340" r:id="rId318"/>
      </mc:Fallback>
    </mc:AlternateContent>
    <mc:AlternateContent xmlns:mc="http://schemas.openxmlformats.org/markup-compatibility/2006">
      <mc:Choice Requires="x14">
        <oleObject progId="Equation.DSMT4" shapeId="2341" r:id="rId319">
          <objectPr defaultSize="0" r:id="rId114">
            <anchor moveWithCells="1">
              <from>
                <xdr:col>280</xdr:col>
                <xdr:colOff>381000</xdr:colOff>
                <xdr:row>15</xdr:row>
                <xdr:rowOff>142875</xdr:rowOff>
              </from>
              <to>
                <xdr:col>280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341" r:id="rId319"/>
      </mc:Fallback>
    </mc:AlternateContent>
    <mc:AlternateContent xmlns:mc="http://schemas.openxmlformats.org/markup-compatibility/2006">
      <mc:Choice Requires="x14">
        <oleObject progId="Equation.DSMT4" shapeId="2342" r:id="rId320">
          <objectPr defaultSize="0" r:id="rId124">
            <anchor moveWithCells="1">
              <from>
                <xdr:col>281</xdr:col>
                <xdr:colOff>381000</xdr:colOff>
                <xdr:row>15</xdr:row>
                <xdr:rowOff>142875</xdr:rowOff>
              </from>
              <to>
                <xdr:col>281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342" r:id="rId320"/>
      </mc:Fallback>
    </mc:AlternateContent>
    <mc:AlternateContent xmlns:mc="http://schemas.openxmlformats.org/markup-compatibility/2006">
      <mc:Choice Requires="x14">
        <oleObject progId="Equation.DSMT4" shapeId="2343" r:id="rId321">
          <objectPr defaultSize="0" r:id="rId116">
            <anchor moveWithCells="1">
              <from>
                <xdr:col>282</xdr:col>
                <xdr:colOff>381000</xdr:colOff>
                <xdr:row>15</xdr:row>
                <xdr:rowOff>142875</xdr:rowOff>
              </from>
              <to>
                <xdr:col>282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343" r:id="rId321"/>
      </mc:Fallback>
    </mc:AlternateContent>
    <mc:AlternateContent xmlns:mc="http://schemas.openxmlformats.org/markup-compatibility/2006">
      <mc:Choice Requires="x14">
        <oleObject progId="Equation.DSMT4" shapeId="2344" r:id="rId322">
          <objectPr defaultSize="0" r:id="rId118">
            <anchor moveWithCells="1">
              <from>
                <xdr:col>283</xdr:col>
                <xdr:colOff>390525</xdr:colOff>
                <xdr:row>15</xdr:row>
                <xdr:rowOff>142875</xdr:rowOff>
              </from>
              <to>
                <xdr:col>283</xdr:col>
                <xdr:colOff>647700</xdr:colOff>
                <xdr:row>16</xdr:row>
                <xdr:rowOff>142875</xdr:rowOff>
              </to>
            </anchor>
          </objectPr>
        </oleObject>
      </mc:Choice>
      <mc:Fallback>
        <oleObject progId="Equation.DSMT4" shapeId="2344" r:id="rId322"/>
      </mc:Fallback>
    </mc:AlternateContent>
    <mc:AlternateContent xmlns:mc="http://schemas.openxmlformats.org/markup-compatibility/2006">
      <mc:Choice Requires="x14">
        <oleObject progId="Equation.DSMT4" shapeId="2345" r:id="rId323">
          <objectPr defaultSize="0" r:id="rId120">
            <anchor moveWithCells="1">
              <from>
                <xdr:col>284</xdr:col>
                <xdr:colOff>381000</xdr:colOff>
                <xdr:row>15</xdr:row>
                <xdr:rowOff>142875</xdr:rowOff>
              </from>
              <to>
                <xdr:col>284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345" r:id="rId323"/>
      </mc:Fallback>
    </mc:AlternateContent>
    <mc:AlternateContent xmlns:mc="http://schemas.openxmlformats.org/markup-compatibility/2006">
      <mc:Choice Requires="x14">
        <oleObject progId="Equation.DSMT4" shapeId="2346" r:id="rId324">
          <objectPr defaultSize="0" r:id="rId122">
            <anchor moveWithCells="1">
              <from>
                <xdr:col>285</xdr:col>
                <xdr:colOff>352425</xdr:colOff>
                <xdr:row>15</xdr:row>
                <xdr:rowOff>142875</xdr:rowOff>
              </from>
              <to>
                <xdr:col>285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346" r:id="rId324"/>
      </mc:Fallback>
    </mc:AlternateContent>
    <mc:AlternateContent xmlns:mc="http://schemas.openxmlformats.org/markup-compatibility/2006">
      <mc:Choice Requires="x14">
        <oleObject progId="Equation.DSMT4" shapeId="2347" r:id="rId325">
          <objectPr defaultSize="0" r:id="rId156">
            <anchor moveWithCells="1">
              <from>
                <xdr:col>286</xdr:col>
                <xdr:colOff>428625</xdr:colOff>
                <xdr:row>15</xdr:row>
                <xdr:rowOff>142875</xdr:rowOff>
              </from>
              <to>
                <xdr:col>286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347" r:id="rId325"/>
      </mc:Fallback>
    </mc:AlternateContent>
    <mc:AlternateContent xmlns:mc="http://schemas.openxmlformats.org/markup-compatibility/2006">
      <mc:Choice Requires="x14">
        <oleObject progId="Equation.DSMT4" shapeId="2348" r:id="rId326">
          <objectPr defaultSize="0" r:id="rId158">
            <anchor moveWithCells="1">
              <from>
                <xdr:col>287</xdr:col>
                <xdr:colOff>390525</xdr:colOff>
                <xdr:row>15</xdr:row>
                <xdr:rowOff>142875</xdr:rowOff>
              </from>
              <to>
                <xdr:col>287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348" r:id="rId326"/>
      </mc:Fallback>
    </mc:AlternateContent>
    <mc:AlternateContent xmlns:mc="http://schemas.openxmlformats.org/markup-compatibility/2006">
      <mc:Choice Requires="x14">
        <oleObject progId="Equation.DSMT4" shapeId="2349" r:id="rId327">
          <objectPr defaultSize="0" r:id="rId170">
            <anchor moveWithCells="1">
              <from>
                <xdr:col>288</xdr:col>
                <xdr:colOff>76200</xdr:colOff>
                <xdr:row>15</xdr:row>
                <xdr:rowOff>114300</xdr:rowOff>
              </from>
              <to>
                <xdr:col>288</xdr:col>
                <xdr:colOff>1000125</xdr:colOff>
                <xdr:row>16</xdr:row>
                <xdr:rowOff>161925</xdr:rowOff>
              </to>
            </anchor>
          </objectPr>
        </oleObject>
      </mc:Choice>
      <mc:Fallback>
        <oleObject progId="Equation.DSMT4" shapeId="2349" r:id="rId327"/>
      </mc:Fallback>
    </mc:AlternateContent>
    <mc:AlternateContent xmlns:mc="http://schemas.openxmlformats.org/markup-compatibility/2006">
      <mc:Choice Requires="x14">
        <oleObject progId="Equation.DSMT4" shapeId="2350" r:id="rId328">
          <objectPr defaultSize="0" r:id="rId172">
            <anchor moveWithCells="1">
              <from>
                <xdr:col>289</xdr:col>
                <xdr:colOff>390525</xdr:colOff>
                <xdr:row>15</xdr:row>
                <xdr:rowOff>142875</xdr:rowOff>
              </from>
              <to>
                <xdr:col>289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350" r:id="rId328"/>
      </mc:Fallback>
    </mc:AlternateContent>
    <mc:AlternateContent xmlns:mc="http://schemas.openxmlformats.org/markup-compatibility/2006">
      <mc:Choice Requires="x14">
        <oleObject progId="Equation.DSMT4" shapeId="2351" r:id="rId329">
          <objectPr defaultSize="0" r:id="rId174">
            <anchor moveWithCells="1">
              <from>
                <xdr:col>290</xdr:col>
                <xdr:colOff>76200</xdr:colOff>
                <xdr:row>15</xdr:row>
                <xdr:rowOff>114300</xdr:rowOff>
              </from>
              <to>
                <xdr:col>290</xdr:col>
                <xdr:colOff>1000125</xdr:colOff>
                <xdr:row>16</xdr:row>
                <xdr:rowOff>161925</xdr:rowOff>
              </to>
            </anchor>
          </objectPr>
        </oleObject>
      </mc:Choice>
      <mc:Fallback>
        <oleObject progId="Equation.DSMT4" shapeId="2351" r:id="rId329"/>
      </mc:Fallback>
    </mc:AlternateContent>
    <mc:AlternateContent xmlns:mc="http://schemas.openxmlformats.org/markup-compatibility/2006">
      <mc:Choice Requires="x14">
        <oleObject progId="Equation.DSMT4" shapeId="2352" r:id="rId330">
          <objectPr defaultSize="0" r:id="rId176">
            <anchor moveWithCells="1">
              <from>
                <xdr:col>291</xdr:col>
                <xdr:colOff>76200</xdr:colOff>
                <xdr:row>15</xdr:row>
                <xdr:rowOff>114300</xdr:rowOff>
              </from>
              <to>
                <xdr:col>291</xdr:col>
                <xdr:colOff>1000125</xdr:colOff>
                <xdr:row>16</xdr:row>
                <xdr:rowOff>161925</xdr:rowOff>
              </to>
            </anchor>
          </objectPr>
        </oleObject>
      </mc:Choice>
      <mc:Fallback>
        <oleObject progId="Equation.DSMT4" shapeId="2352" r:id="rId330"/>
      </mc:Fallback>
    </mc:AlternateContent>
    <mc:AlternateContent xmlns:mc="http://schemas.openxmlformats.org/markup-compatibility/2006">
      <mc:Choice Requires="x14">
        <oleObject progId="Equation.DSMT4" shapeId="2353" r:id="rId331">
          <objectPr defaultSize="0" r:id="rId178">
            <anchor moveWithCells="1">
              <from>
                <xdr:col>292</xdr:col>
                <xdr:colOff>200025</xdr:colOff>
                <xdr:row>15</xdr:row>
                <xdr:rowOff>114300</xdr:rowOff>
              </from>
              <to>
                <xdr:col>292</xdr:col>
                <xdr:colOff>800100</xdr:colOff>
                <xdr:row>16</xdr:row>
                <xdr:rowOff>142875</xdr:rowOff>
              </to>
            </anchor>
          </objectPr>
        </oleObject>
      </mc:Choice>
      <mc:Fallback>
        <oleObject progId="Equation.DSMT4" shapeId="2353" r:id="rId331"/>
      </mc:Fallback>
    </mc:AlternateContent>
    <mc:AlternateContent xmlns:mc="http://schemas.openxmlformats.org/markup-compatibility/2006">
      <mc:Choice Requires="x14">
        <oleObject progId="Equation.DSMT4" shapeId="2354" r:id="rId332">
          <objectPr defaultSize="0" r:id="rId180">
            <anchor moveWithCells="1">
              <from>
                <xdr:col>293</xdr:col>
                <xdr:colOff>200025</xdr:colOff>
                <xdr:row>15</xdr:row>
                <xdr:rowOff>114300</xdr:rowOff>
              </from>
              <to>
                <xdr:col>293</xdr:col>
                <xdr:colOff>800100</xdr:colOff>
                <xdr:row>16</xdr:row>
                <xdr:rowOff>142875</xdr:rowOff>
              </to>
            </anchor>
          </objectPr>
        </oleObject>
      </mc:Choice>
      <mc:Fallback>
        <oleObject progId="Equation.DSMT4" shapeId="2354" r:id="rId332"/>
      </mc:Fallback>
    </mc:AlternateContent>
    <mc:AlternateContent xmlns:mc="http://schemas.openxmlformats.org/markup-compatibility/2006">
      <mc:Choice Requires="x14">
        <oleObject progId="Equation.DSMT4" shapeId="2355" r:id="rId333">
          <objectPr defaultSize="0" r:id="rId90">
            <anchor moveWithCells="1">
              <from>
                <xdr:col>304</xdr:col>
                <xdr:colOff>76200</xdr:colOff>
                <xdr:row>15</xdr:row>
                <xdr:rowOff>123825</xdr:rowOff>
              </from>
              <to>
                <xdr:col>304</xdr:col>
                <xdr:colOff>923925</xdr:colOff>
                <xdr:row>16</xdr:row>
                <xdr:rowOff>219075</xdr:rowOff>
              </to>
            </anchor>
          </objectPr>
        </oleObject>
      </mc:Choice>
      <mc:Fallback>
        <oleObject progId="Equation.DSMT4" shapeId="2355" r:id="rId333"/>
      </mc:Fallback>
    </mc:AlternateContent>
    <mc:AlternateContent xmlns:mc="http://schemas.openxmlformats.org/markup-compatibility/2006">
      <mc:Choice Requires="x14">
        <oleObject progId="Equation.DSMT4" shapeId="2356" r:id="rId334">
          <objectPr defaultSize="0" r:id="rId92">
            <anchor moveWithCells="1">
              <from>
                <xdr:col>303</xdr:col>
                <xdr:colOff>219075</xdr:colOff>
                <xdr:row>12</xdr:row>
                <xdr:rowOff>85725</xdr:rowOff>
              </from>
              <to>
                <xdr:col>303</xdr:col>
                <xdr:colOff>876300</xdr:colOff>
                <xdr:row>13</xdr:row>
                <xdr:rowOff>161925</xdr:rowOff>
              </to>
            </anchor>
          </objectPr>
        </oleObject>
      </mc:Choice>
      <mc:Fallback>
        <oleObject progId="Equation.DSMT4" shapeId="2356" r:id="rId334"/>
      </mc:Fallback>
    </mc:AlternateContent>
    <mc:AlternateContent xmlns:mc="http://schemas.openxmlformats.org/markup-compatibility/2006">
      <mc:Choice Requires="x14">
        <oleObject progId="Equation.DSMT4" shapeId="2357" r:id="rId335">
          <objectPr defaultSize="0" autoPict="0" r:id="rId94">
            <anchor moveWithCells="1">
              <from>
                <xdr:col>305</xdr:col>
                <xdr:colOff>390525</xdr:colOff>
                <xdr:row>12</xdr:row>
                <xdr:rowOff>28575</xdr:rowOff>
              </from>
              <to>
                <xdr:col>305</xdr:col>
                <xdr:colOff>619125</xdr:colOff>
                <xdr:row>13</xdr:row>
                <xdr:rowOff>219075</xdr:rowOff>
              </to>
            </anchor>
          </objectPr>
        </oleObject>
      </mc:Choice>
      <mc:Fallback>
        <oleObject progId="Equation.DSMT4" shapeId="2357" r:id="rId335"/>
      </mc:Fallback>
    </mc:AlternateContent>
    <mc:AlternateContent xmlns:mc="http://schemas.openxmlformats.org/markup-compatibility/2006">
      <mc:Choice Requires="x14">
        <oleObject progId="Equation.DSMT4" shapeId="2358" r:id="rId336">
          <objectPr defaultSize="0" r:id="rId96">
            <anchor moveWithCells="1">
              <from>
                <xdr:col>306</xdr:col>
                <xdr:colOff>104775</xdr:colOff>
                <xdr:row>12</xdr:row>
                <xdr:rowOff>66675</xdr:rowOff>
              </from>
              <to>
                <xdr:col>306</xdr:col>
                <xdr:colOff>923925</xdr:colOff>
                <xdr:row>13</xdr:row>
                <xdr:rowOff>114300</xdr:rowOff>
              </to>
            </anchor>
          </objectPr>
        </oleObject>
      </mc:Choice>
      <mc:Fallback>
        <oleObject progId="Equation.DSMT4" shapeId="2358" r:id="rId336"/>
      </mc:Fallback>
    </mc:AlternateContent>
    <mc:AlternateContent xmlns:mc="http://schemas.openxmlformats.org/markup-compatibility/2006">
      <mc:Choice Requires="x14">
        <oleObject progId="Equation.DSMT4" shapeId="2359" r:id="rId337">
          <objectPr defaultSize="0" r:id="rId98">
            <anchor moveWithCells="1">
              <from>
                <xdr:col>308</xdr:col>
                <xdr:colOff>428625</xdr:colOff>
                <xdr:row>15</xdr:row>
                <xdr:rowOff>161925</xdr:rowOff>
              </from>
              <to>
                <xdr:col>308</xdr:col>
                <xdr:colOff>600075</xdr:colOff>
                <xdr:row>16</xdr:row>
                <xdr:rowOff>114300</xdr:rowOff>
              </to>
            </anchor>
          </objectPr>
        </oleObject>
      </mc:Choice>
      <mc:Fallback>
        <oleObject progId="Equation.DSMT4" shapeId="2359" r:id="rId337"/>
      </mc:Fallback>
    </mc:AlternateContent>
    <mc:AlternateContent xmlns:mc="http://schemas.openxmlformats.org/markup-compatibility/2006">
      <mc:Choice Requires="x14">
        <oleObject progId="Equation.DSMT4" shapeId="2360" r:id="rId338">
          <objectPr defaultSize="0" r:id="rId100">
            <anchor moveWithCells="1">
              <from>
                <xdr:col>310</xdr:col>
                <xdr:colOff>142875</xdr:colOff>
                <xdr:row>15</xdr:row>
                <xdr:rowOff>142875</xdr:rowOff>
              </from>
              <to>
                <xdr:col>310</xdr:col>
                <xdr:colOff>800100</xdr:colOff>
                <xdr:row>16</xdr:row>
                <xdr:rowOff>161925</xdr:rowOff>
              </to>
            </anchor>
          </objectPr>
        </oleObject>
      </mc:Choice>
      <mc:Fallback>
        <oleObject progId="Equation.DSMT4" shapeId="2360" r:id="rId338"/>
      </mc:Fallback>
    </mc:AlternateContent>
    <mc:AlternateContent xmlns:mc="http://schemas.openxmlformats.org/markup-compatibility/2006">
      <mc:Choice Requires="x14">
        <oleObject progId="Equation.DSMT4" shapeId="2361" r:id="rId339">
          <objectPr defaultSize="0" r:id="rId132">
            <anchor moveWithCells="1">
              <from>
                <xdr:col>317</xdr:col>
                <xdr:colOff>123825</xdr:colOff>
                <xdr:row>15</xdr:row>
                <xdr:rowOff>114300</xdr:rowOff>
              </from>
              <to>
                <xdr:col>317</xdr:col>
                <xdr:colOff>923925</xdr:colOff>
                <xdr:row>16</xdr:row>
                <xdr:rowOff>142875</xdr:rowOff>
              </to>
            </anchor>
          </objectPr>
        </oleObject>
      </mc:Choice>
      <mc:Fallback>
        <oleObject progId="Equation.DSMT4" shapeId="2361" r:id="rId339"/>
      </mc:Fallback>
    </mc:AlternateContent>
    <mc:AlternateContent xmlns:mc="http://schemas.openxmlformats.org/markup-compatibility/2006">
      <mc:Choice Requires="x14">
        <oleObject progId="Equation.DSMT4" shapeId="2362" r:id="rId340">
          <objectPr defaultSize="0" r:id="rId134">
            <anchor moveWithCells="1">
              <from>
                <xdr:col>318</xdr:col>
                <xdr:colOff>257175</xdr:colOff>
                <xdr:row>15</xdr:row>
                <xdr:rowOff>114300</xdr:rowOff>
              </from>
              <to>
                <xdr:col>318</xdr:col>
                <xdr:colOff>762000</xdr:colOff>
                <xdr:row>16</xdr:row>
                <xdr:rowOff>142875</xdr:rowOff>
              </to>
            </anchor>
          </objectPr>
        </oleObject>
      </mc:Choice>
      <mc:Fallback>
        <oleObject progId="Equation.DSMT4" shapeId="2362" r:id="rId340"/>
      </mc:Fallback>
    </mc:AlternateContent>
    <mc:AlternateContent xmlns:mc="http://schemas.openxmlformats.org/markup-compatibility/2006">
      <mc:Choice Requires="x14">
        <oleObject progId="Equation.DSMT4" shapeId="2363" r:id="rId341">
          <objectPr defaultSize="0" r:id="rId136">
            <anchor moveWithCells="1">
              <from>
                <xdr:col>323</xdr:col>
                <xdr:colOff>123825</xdr:colOff>
                <xdr:row>15</xdr:row>
                <xdr:rowOff>114300</xdr:rowOff>
              </from>
              <to>
                <xdr:col>323</xdr:col>
                <xdr:colOff>923925</xdr:colOff>
                <xdr:row>16</xdr:row>
                <xdr:rowOff>142875</xdr:rowOff>
              </to>
            </anchor>
          </objectPr>
        </oleObject>
      </mc:Choice>
      <mc:Fallback>
        <oleObject progId="Equation.DSMT4" shapeId="2363" r:id="rId341"/>
      </mc:Fallback>
    </mc:AlternateContent>
    <mc:AlternateContent xmlns:mc="http://schemas.openxmlformats.org/markup-compatibility/2006">
      <mc:Choice Requires="x14">
        <oleObject progId="Equation.DSMT4" shapeId="2364" r:id="rId342">
          <objectPr defaultSize="0" r:id="rId138">
            <anchor moveWithCells="1">
              <from>
                <xdr:col>324</xdr:col>
                <xdr:colOff>257175</xdr:colOff>
                <xdr:row>15</xdr:row>
                <xdr:rowOff>114300</xdr:rowOff>
              </from>
              <to>
                <xdr:col>324</xdr:col>
                <xdr:colOff>762000</xdr:colOff>
                <xdr:row>16</xdr:row>
                <xdr:rowOff>142875</xdr:rowOff>
              </to>
            </anchor>
          </objectPr>
        </oleObject>
      </mc:Choice>
      <mc:Fallback>
        <oleObject progId="Equation.DSMT4" shapeId="2364" r:id="rId342"/>
      </mc:Fallback>
    </mc:AlternateContent>
    <mc:AlternateContent xmlns:mc="http://schemas.openxmlformats.org/markup-compatibility/2006">
      <mc:Choice Requires="x14">
        <oleObject progId="Equation.DSMT4" shapeId="2365" r:id="rId343">
          <objectPr defaultSize="0" r:id="rId140">
            <anchor moveWithCells="1">
              <from>
                <xdr:col>325</xdr:col>
                <xdr:colOff>257175</xdr:colOff>
                <xdr:row>15</xdr:row>
                <xdr:rowOff>114300</xdr:rowOff>
              </from>
              <to>
                <xdr:col>325</xdr:col>
                <xdr:colOff>752475</xdr:colOff>
                <xdr:row>16</xdr:row>
                <xdr:rowOff>142875</xdr:rowOff>
              </to>
            </anchor>
          </objectPr>
        </oleObject>
      </mc:Choice>
      <mc:Fallback>
        <oleObject progId="Equation.DSMT4" shapeId="2365" r:id="rId343"/>
      </mc:Fallback>
    </mc:AlternateContent>
    <mc:AlternateContent xmlns:mc="http://schemas.openxmlformats.org/markup-compatibility/2006">
      <mc:Choice Requires="x14">
        <oleObject progId="Equation.DSMT4" shapeId="2366" r:id="rId344">
          <objectPr defaultSize="0" r:id="rId142">
            <anchor moveWithCells="1">
              <from>
                <xdr:col>326</xdr:col>
                <xdr:colOff>123825</xdr:colOff>
                <xdr:row>15</xdr:row>
                <xdr:rowOff>114300</xdr:rowOff>
              </from>
              <to>
                <xdr:col>326</xdr:col>
                <xdr:colOff>904875</xdr:colOff>
                <xdr:row>16</xdr:row>
                <xdr:rowOff>142875</xdr:rowOff>
              </to>
            </anchor>
          </objectPr>
        </oleObject>
      </mc:Choice>
      <mc:Fallback>
        <oleObject progId="Equation.DSMT4" shapeId="2366" r:id="rId344"/>
      </mc:Fallback>
    </mc:AlternateContent>
    <mc:AlternateContent xmlns:mc="http://schemas.openxmlformats.org/markup-compatibility/2006">
      <mc:Choice Requires="x14">
        <oleObject progId="Equation.DSMT4" shapeId="2367" r:id="rId345">
          <objectPr defaultSize="0" r:id="rId144">
            <anchor moveWithCells="1">
              <from>
                <xdr:col>307</xdr:col>
                <xdr:colOff>304800</xdr:colOff>
                <xdr:row>12</xdr:row>
                <xdr:rowOff>85725</xdr:rowOff>
              </from>
              <to>
                <xdr:col>307</xdr:col>
                <xdr:colOff>876300</xdr:colOff>
                <xdr:row>13</xdr:row>
                <xdr:rowOff>161925</xdr:rowOff>
              </to>
            </anchor>
          </objectPr>
        </oleObject>
      </mc:Choice>
      <mc:Fallback>
        <oleObject progId="Equation.DSMT4" shapeId="2367" r:id="rId345"/>
      </mc:Fallback>
    </mc:AlternateContent>
    <mc:AlternateContent xmlns:mc="http://schemas.openxmlformats.org/markup-compatibility/2006">
      <mc:Choice Requires="x14">
        <oleObject progId="Equation.DSMT4" shapeId="2368" r:id="rId346">
          <objectPr defaultSize="0" r:id="rId146">
            <anchor moveWithCells="1">
              <from>
                <xdr:col>308</xdr:col>
                <xdr:colOff>295275</xdr:colOff>
                <xdr:row>12</xdr:row>
                <xdr:rowOff>104775</xdr:rowOff>
              </from>
              <to>
                <xdr:col>308</xdr:col>
                <xdr:colOff>752475</xdr:colOff>
                <xdr:row>13</xdr:row>
                <xdr:rowOff>200025</xdr:rowOff>
              </to>
            </anchor>
          </objectPr>
        </oleObject>
      </mc:Choice>
      <mc:Fallback>
        <oleObject progId="Equation.DSMT4" shapeId="2368" r:id="rId346"/>
      </mc:Fallback>
    </mc:AlternateContent>
    <mc:AlternateContent xmlns:mc="http://schemas.openxmlformats.org/markup-compatibility/2006">
      <mc:Choice Requires="x14">
        <oleObject progId="Equation.DSMT4" shapeId="2369" r:id="rId347">
          <objectPr defaultSize="0" r:id="rId148">
            <anchor moveWithCells="1">
              <from>
                <xdr:col>327</xdr:col>
                <xdr:colOff>314325</xdr:colOff>
                <xdr:row>15</xdr:row>
                <xdr:rowOff>142875</xdr:rowOff>
              </from>
              <to>
                <xdr:col>327</xdr:col>
                <xdr:colOff>723900</xdr:colOff>
                <xdr:row>16</xdr:row>
                <xdr:rowOff>85725</xdr:rowOff>
              </to>
            </anchor>
          </objectPr>
        </oleObject>
      </mc:Choice>
      <mc:Fallback>
        <oleObject progId="Equation.DSMT4" shapeId="2369" r:id="rId347"/>
      </mc:Fallback>
    </mc:AlternateContent>
    <mc:AlternateContent xmlns:mc="http://schemas.openxmlformats.org/markup-compatibility/2006">
      <mc:Choice Requires="x14">
        <oleObject progId="Equation.DSMT4" shapeId="2370" r:id="rId348">
          <objectPr defaultSize="0" r:id="rId114">
            <anchor moveWithCells="1">
              <from>
                <xdr:col>330</xdr:col>
                <xdr:colOff>381000</xdr:colOff>
                <xdr:row>15</xdr:row>
                <xdr:rowOff>142875</xdr:rowOff>
              </from>
              <to>
                <xdr:col>330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370" r:id="rId348"/>
      </mc:Fallback>
    </mc:AlternateContent>
    <mc:AlternateContent xmlns:mc="http://schemas.openxmlformats.org/markup-compatibility/2006">
      <mc:Choice Requires="x14">
        <oleObject progId="Equation.DSMT4" shapeId="2371" r:id="rId349">
          <objectPr defaultSize="0" r:id="rId124">
            <anchor moveWithCells="1">
              <from>
                <xdr:col>331</xdr:col>
                <xdr:colOff>381000</xdr:colOff>
                <xdr:row>15</xdr:row>
                <xdr:rowOff>142875</xdr:rowOff>
              </from>
              <to>
                <xdr:col>331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371" r:id="rId349"/>
      </mc:Fallback>
    </mc:AlternateContent>
    <mc:AlternateContent xmlns:mc="http://schemas.openxmlformats.org/markup-compatibility/2006">
      <mc:Choice Requires="x14">
        <oleObject progId="Equation.DSMT4" shapeId="2372" r:id="rId350">
          <objectPr defaultSize="0" r:id="rId116">
            <anchor moveWithCells="1">
              <from>
                <xdr:col>332</xdr:col>
                <xdr:colOff>381000</xdr:colOff>
                <xdr:row>15</xdr:row>
                <xdr:rowOff>142875</xdr:rowOff>
              </from>
              <to>
                <xdr:col>332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372" r:id="rId350"/>
      </mc:Fallback>
    </mc:AlternateContent>
    <mc:AlternateContent xmlns:mc="http://schemas.openxmlformats.org/markup-compatibility/2006">
      <mc:Choice Requires="x14">
        <oleObject progId="Equation.DSMT4" shapeId="2373" r:id="rId351">
          <objectPr defaultSize="0" r:id="rId118">
            <anchor moveWithCells="1">
              <from>
                <xdr:col>333</xdr:col>
                <xdr:colOff>390525</xdr:colOff>
                <xdr:row>15</xdr:row>
                <xdr:rowOff>142875</xdr:rowOff>
              </from>
              <to>
                <xdr:col>333</xdr:col>
                <xdr:colOff>647700</xdr:colOff>
                <xdr:row>16</xdr:row>
                <xdr:rowOff>142875</xdr:rowOff>
              </to>
            </anchor>
          </objectPr>
        </oleObject>
      </mc:Choice>
      <mc:Fallback>
        <oleObject progId="Equation.DSMT4" shapeId="2373" r:id="rId351"/>
      </mc:Fallback>
    </mc:AlternateContent>
    <mc:AlternateContent xmlns:mc="http://schemas.openxmlformats.org/markup-compatibility/2006">
      <mc:Choice Requires="x14">
        <oleObject progId="Equation.DSMT4" shapeId="2374" r:id="rId352">
          <objectPr defaultSize="0" r:id="rId120">
            <anchor moveWithCells="1">
              <from>
                <xdr:col>334</xdr:col>
                <xdr:colOff>381000</xdr:colOff>
                <xdr:row>15</xdr:row>
                <xdr:rowOff>142875</xdr:rowOff>
              </from>
              <to>
                <xdr:col>334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374" r:id="rId352"/>
      </mc:Fallback>
    </mc:AlternateContent>
    <mc:AlternateContent xmlns:mc="http://schemas.openxmlformats.org/markup-compatibility/2006">
      <mc:Choice Requires="x14">
        <oleObject progId="Equation.DSMT4" shapeId="2375" r:id="rId353">
          <objectPr defaultSize="0" r:id="rId122">
            <anchor moveWithCells="1">
              <from>
                <xdr:col>335</xdr:col>
                <xdr:colOff>352425</xdr:colOff>
                <xdr:row>15</xdr:row>
                <xdr:rowOff>142875</xdr:rowOff>
              </from>
              <to>
                <xdr:col>335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375" r:id="rId353"/>
      </mc:Fallback>
    </mc:AlternateContent>
    <mc:AlternateContent xmlns:mc="http://schemas.openxmlformats.org/markup-compatibility/2006">
      <mc:Choice Requires="x14">
        <oleObject progId="Equation.DSMT4" shapeId="2376" r:id="rId354">
          <objectPr defaultSize="0" r:id="rId156">
            <anchor moveWithCells="1">
              <from>
                <xdr:col>336</xdr:col>
                <xdr:colOff>428625</xdr:colOff>
                <xdr:row>15</xdr:row>
                <xdr:rowOff>142875</xdr:rowOff>
              </from>
              <to>
                <xdr:col>336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376" r:id="rId354"/>
      </mc:Fallback>
    </mc:AlternateContent>
    <mc:AlternateContent xmlns:mc="http://schemas.openxmlformats.org/markup-compatibility/2006">
      <mc:Choice Requires="x14">
        <oleObject progId="Equation.DSMT4" shapeId="2377" r:id="rId355">
          <objectPr defaultSize="0" r:id="rId158">
            <anchor moveWithCells="1">
              <from>
                <xdr:col>337</xdr:col>
                <xdr:colOff>390525</xdr:colOff>
                <xdr:row>15</xdr:row>
                <xdr:rowOff>142875</xdr:rowOff>
              </from>
              <to>
                <xdr:col>337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377" r:id="rId355"/>
      </mc:Fallback>
    </mc:AlternateContent>
    <mc:AlternateContent xmlns:mc="http://schemas.openxmlformats.org/markup-compatibility/2006">
      <mc:Choice Requires="x14">
        <oleObject progId="Equation.DSMT4" shapeId="2378" r:id="rId356">
          <objectPr defaultSize="0" r:id="rId160">
            <anchor moveWithCells="1">
              <from>
                <xdr:col>338</xdr:col>
                <xdr:colOff>219075</xdr:colOff>
                <xdr:row>15</xdr:row>
                <xdr:rowOff>114300</xdr:rowOff>
              </from>
              <to>
                <xdr:col>338</xdr:col>
                <xdr:colOff>838200</xdr:colOff>
                <xdr:row>16</xdr:row>
                <xdr:rowOff>142875</xdr:rowOff>
              </to>
            </anchor>
          </objectPr>
        </oleObject>
      </mc:Choice>
      <mc:Fallback>
        <oleObject progId="Equation.DSMT4" shapeId="2378" r:id="rId356"/>
      </mc:Fallback>
    </mc:AlternateContent>
    <mc:AlternateContent xmlns:mc="http://schemas.openxmlformats.org/markup-compatibility/2006">
      <mc:Choice Requires="x14">
        <oleObject progId="Equation.DSMT4" shapeId="2379" r:id="rId357">
          <objectPr defaultSize="0" r:id="rId114">
            <anchor moveWithCells="1">
              <from>
                <xdr:col>339</xdr:col>
                <xdr:colOff>381000</xdr:colOff>
                <xdr:row>15</xdr:row>
                <xdr:rowOff>142875</xdr:rowOff>
              </from>
              <to>
                <xdr:col>339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379" r:id="rId357"/>
      </mc:Fallback>
    </mc:AlternateContent>
    <mc:AlternateContent xmlns:mc="http://schemas.openxmlformats.org/markup-compatibility/2006">
      <mc:Choice Requires="x14">
        <oleObject progId="Equation.DSMT4" shapeId="2380" r:id="rId358">
          <objectPr defaultSize="0" r:id="rId124">
            <anchor moveWithCells="1">
              <from>
                <xdr:col>340</xdr:col>
                <xdr:colOff>381000</xdr:colOff>
                <xdr:row>15</xdr:row>
                <xdr:rowOff>142875</xdr:rowOff>
              </from>
              <to>
                <xdr:col>340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380" r:id="rId358"/>
      </mc:Fallback>
    </mc:AlternateContent>
    <mc:AlternateContent xmlns:mc="http://schemas.openxmlformats.org/markup-compatibility/2006">
      <mc:Choice Requires="x14">
        <oleObject progId="Equation.DSMT4" shapeId="2381" r:id="rId359">
          <objectPr defaultSize="0" r:id="rId116">
            <anchor moveWithCells="1">
              <from>
                <xdr:col>341</xdr:col>
                <xdr:colOff>381000</xdr:colOff>
                <xdr:row>15</xdr:row>
                <xdr:rowOff>142875</xdr:rowOff>
              </from>
              <to>
                <xdr:col>341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381" r:id="rId359"/>
      </mc:Fallback>
    </mc:AlternateContent>
    <mc:AlternateContent xmlns:mc="http://schemas.openxmlformats.org/markup-compatibility/2006">
      <mc:Choice Requires="x14">
        <oleObject progId="Equation.DSMT4" shapeId="2382" r:id="rId360">
          <objectPr defaultSize="0" r:id="rId118">
            <anchor moveWithCells="1">
              <from>
                <xdr:col>342</xdr:col>
                <xdr:colOff>390525</xdr:colOff>
                <xdr:row>15</xdr:row>
                <xdr:rowOff>142875</xdr:rowOff>
              </from>
              <to>
                <xdr:col>342</xdr:col>
                <xdr:colOff>647700</xdr:colOff>
                <xdr:row>16</xdr:row>
                <xdr:rowOff>142875</xdr:rowOff>
              </to>
            </anchor>
          </objectPr>
        </oleObject>
      </mc:Choice>
      <mc:Fallback>
        <oleObject progId="Equation.DSMT4" shapeId="2382" r:id="rId360"/>
      </mc:Fallback>
    </mc:AlternateContent>
    <mc:AlternateContent xmlns:mc="http://schemas.openxmlformats.org/markup-compatibility/2006">
      <mc:Choice Requires="x14">
        <oleObject progId="Equation.DSMT4" shapeId="2383" r:id="rId361">
          <objectPr defaultSize="0" r:id="rId120">
            <anchor moveWithCells="1">
              <from>
                <xdr:col>343</xdr:col>
                <xdr:colOff>381000</xdr:colOff>
                <xdr:row>15</xdr:row>
                <xdr:rowOff>142875</xdr:rowOff>
              </from>
              <to>
                <xdr:col>343</xdr:col>
                <xdr:colOff>638175</xdr:colOff>
                <xdr:row>16</xdr:row>
                <xdr:rowOff>142875</xdr:rowOff>
              </to>
            </anchor>
          </objectPr>
        </oleObject>
      </mc:Choice>
      <mc:Fallback>
        <oleObject progId="Equation.DSMT4" shapeId="2383" r:id="rId361"/>
      </mc:Fallback>
    </mc:AlternateContent>
    <mc:AlternateContent xmlns:mc="http://schemas.openxmlformats.org/markup-compatibility/2006">
      <mc:Choice Requires="x14">
        <oleObject progId="Equation.DSMT4" shapeId="2384" r:id="rId362">
          <objectPr defaultSize="0" r:id="rId122">
            <anchor moveWithCells="1">
              <from>
                <xdr:col>344</xdr:col>
                <xdr:colOff>352425</xdr:colOff>
                <xdr:row>15</xdr:row>
                <xdr:rowOff>142875</xdr:rowOff>
              </from>
              <to>
                <xdr:col>344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384" r:id="rId362"/>
      </mc:Fallback>
    </mc:AlternateContent>
    <mc:AlternateContent xmlns:mc="http://schemas.openxmlformats.org/markup-compatibility/2006">
      <mc:Choice Requires="x14">
        <oleObject progId="Equation.DSMT4" shapeId="2385" r:id="rId363">
          <objectPr defaultSize="0" r:id="rId156">
            <anchor moveWithCells="1">
              <from>
                <xdr:col>345</xdr:col>
                <xdr:colOff>428625</xdr:colOff>
                <xdr:row>15</xdr:row>
                <xdr:rowOff>142875</xdr:rowOff>
              </from>
              <to>
                <xdr:col>345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385" r:id="rId363"/>
      </mc:Fallback>
    </mc:AlternateContent>
    <mc:AlternateContent xmlns:mc="http://schemas.openxmlformats.org/markup-compatibility/2006">
      <mc:Choice Requires="x14">
        <oleObject progId="Equation.DSMT4" shapeId="2386" r:id="rId364">
          <objectPr defaultSize="0" r:id="rId158">
            <anchor moveWithCells="1">
              <from>
                <xdr:col>346</xdr:col>
                <xdr:colOff>390525</xdr:colOff>
                <xdr:row>15</xdr:row>
                <xdr:rowOff>142875</xdr:rowOff>
              </from>
              <to>
                <xdr:col>346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386" r:id="rId364"/>
      </mc:Fallback>
    </mc:AlternateContent>
    <mc:AlternateContent xmlns:mc="http://schemas.openxmlformats.org/markup-compatibility/2006">
      <mc:Choice Requires="x14">
        <oleObject progId="Equation.DSMT4" shapeId="2387" r:id="rId365">
          <objectPr defaultSize="0" r:id="rId170">
            <anchor moveWithCells="1">
              <from>
                <xdr:col>347</xdr:col>
                <xdr:colOff>76200</xdr:colOff>
                <xdr:row>15</xdr:row>
                <xdr:rowOff>114300</xdr:rowOff>
              </from>
              <to>
                <xdr:col>347</xdr:col>
                <xdr:colOff>1000125</xdr:colOff>
                <xdr:row>16</xdr:row>
                <xdr:rowOff>161925</xdr:rowOff>
              </to>
            </anchor>
          </objectPr>
        </oleObject>
      </mc:Choice>
      <mc:Fallback>
        <oleObject progId="Equation.DSMT4" shapeId="2387" r:id="rId365"/>
      </mc:Fallback>
    </mc:AlternateContent>
    <mc:AlternateContent xmlns:mc="http://schemas.openxmlformats.org/markup-compatibility/2006">
      <mc:Choice Requires="x14">
        <oleObject progId="Equation.DSMT4" shapeId="2388" r:id="rId366">
          <objectPr defaultSize="0" r:id="rId172">
            <anchor moveWithCells="1">
              <from>
                <xdr:col>348</xdr:col>
                <xdr:colOff>390525</xdr:colOff>
                <xdr:row>15</xdr:row>
                <xdr:rowOff>142875</xdr:rowOff>
              </from>
              <to>
                <xdr:col>348</xdr:col>
                <xdr:colOff>619125</xdr:colOff>
                <xdr:row>16</xdr:row>
                <xdr:rowOff>142875</xdr:rowOff>
              </to>
            </anchor>
          </objectPr>
        </oleObject>
      </mc:Choice>
      <mc:Fallback>
        <oleObject progId="Equation.DSMT4" shapeId="2388" r:id="rId366"/>
      </mc:Fallback>
    </mc:AlternateContent>
    <mc:AlternateContent xmlns:mc="http://schemas.openxmlformats.org/markup-compatibility/2006">
      <mc:Choice Requires="x14">
        <oleObject progId="Equation.DSMT4" shapeId="2389" r:id="rId367">
          <objectPr defaultSize="0" r:id="rId174">
            <anchor moveWithCells="1">
              <from>
                <xdr:col>349</xdr:col>
                <xdr:colOff>76200</xdr:colOff>
                <xdr:row>15</xdr:row>
                <xdr:rowOff>114300</xdr:rowOff>
              </from>
              <to>
                <xdr:col>349</xdr:col>
                <xdr:colOff>1000125</xdr:colOff>
                <xdr:row>16</xdr:row>
                <xdr:rowOff>161925</xdr:rowOff>
              </to>
            </anchor>
          </objectPr>
        </oleObject>
      </mc:Choice>
      <mc:Fallback>
        <oleObject progId="Equation.DSMT4" shapeId="2389" r:id="rId367"/>
      </mc:Fallback>
    </mc:AlternateContent>
    <mc:AlternateContent xmlns:mc="http://schemas.openxmlformats.org/markup-compatibility/2006">
      <mc:Choice Requires="x14">
        <oleObject progId="Equation.DSMT4" shapeId="2390" r:id="rId368">
          <objectPr defaultSize="0" r:id="rId176">
            <anchor moveWithCells="1">
              <from>
                <xdr:col>350</xdr:col>
                <xdr:colOff>76200</xdr:colOff>
                <xdr:row>15</xdr:row>
                <xdr:rowOff>114300</xdr:rowOff>
              </from>
              <to>
                <xdr:col>350</xdr:col>
                <xdr:colOff>1000125</xdr:colOff>
                <xdr:row>16</xdr:row>
                <xdr:rowOff>161925</xdr:rowOff>
              </to>
            </anchor>
          </objectPr>
        </oleObject>
      </mc:Choice>
      <mc:Fallback>
        <oleObject progId="Equation.DSMT4" shapeId="2390" r:id="rId368"/>
      </mc:Fallback>
    </mc:AlternateContent>
    <mc:AlternateContent xmlns:mc="http://schemas.openxmlformats.org/markup-compatibility/2006">
      <mc:Choice Requires="x14">
        <oleObject progId="Equation.DSMT4" shapeId="2391" r:id="rId369">
          <objectPr defaultSize="0" r:id="rId178">
            <anchor moveWithCells="1">
              <from>
                <xdr:col>351</xdr:col>
                <xdr:colOff>200025</xdr:colOff>
                <xdr:row>15</xdr:row>
                <xdr:rowOff>114300</xdr:rowOff>
              </from>
              <to>
                <xdr:col>351</xdr:col>
                <xdr:colOff>800100</xdr:colOff>
                <xdr:row>16</xdr:row>
                <xdr:rowOff>142875</xdr:rowOff>
              </to>
            </anchor>
          </objectPr>
        </oleObject>
      </mc:Choice>
      <mc:Fallback>
        <oleObject progId="Equation.DSMT4" shapeId="2391" r:id="rId369"/>
      </mc:Fallback>
    </mc:AlternateContent>
    <mc:AlternateContent xmlns:mc="http://schemas.openxmlformats.org/markup-compatibility/2006">
      <mc:Choice Requires="x14">
        <oleObject progId="Equation.DSMT4" shapeId="2392" r:id="rId370">
          <objectPr defaultSize="0" r:id="rId180">
            <anchor moveWithCells="1">
              <from>
                <xdr:col>352</xdr:col>
                <xdr:colOff>200025</xdr:colOff>
                <xdr:row>15</xdr:row>
                <xdr:rowOff>114300</xdr:rowOff>
              </from>
              <to>
                <xdr:col>352</xdr:col>
                <xdr:colOff>800100</xdr:colOff>
                <xdr:row>16</xdr:row>
                <xdr:rowOff>142875</xdr:rowOff>
              </to>
            </anchor>
          </objectPr>
        </oleObject>
      </mc:Choice>
      <mc:Fallback>
        <oleObject progId="Equation.DSMT4" shapeId="2392" r:id="rId370"/>
      </mc:Fallback>
    </mc:AlternateContent>
    <mc:AlternateContent xmlns:mc="http://schemas.openxmlformats.org/markup-compatibility/2006">
      <mc:Choice Requires="x14">
        <oleObject progId="Equation.DSMT4" shapeId="2393" r:id="rId371">
          <objectPr defaultSize="0" r:id="rId90">
            <anchor moveWithCells="1">
              <from>
                <xdr:col>9</xdr:col>
                <xdr:colOff>76200</xdr:colOff>
                <xdr:row>46</xdr:row>
                <xdr:rowOff>123825</xdr:rowOff>
              </from>
              <to>
                <xdr:col>9</xdr:col>
                <xdr:colOff>923925</xdr:colOff>
                <xdr:row>47</xdr:row>
                <xdr:rowOff>219075</xdr:rowOff>
              </to>
            </anchor>
          </objectPr>
        </oleObject>
      </mc:Choice>
      <mc:Fallback>
        <oleObject progId="Equation.DSMT4" shapeId="2393" r:id="rId371"/>
      </mc:Fallback>
    </mc:AlternateContent>
    <mc:AlternateContent xmlns:mc="http://schemas.openxmlformats.org/markup-compatibility/2006">
      <mc:Choice Requires="x14">
        <oleObject progId="Equation.DSMT4" shapeId="2394" r:id="rId372">
          <objectPr defaultSize="0" r:id="rId92">
            <anchor moveWithCells="1">
              <from>
                <xdr:col>8</xdr:col>
                <xdr:colOff>219075</xdr:colOff>
                <xdr:row>43</xdr:row>
                <xdr:rowOff>85725</xdr:rowOff>
              </from>
              <to>
                <xdr:col>8</xdr:col>
                <xdr:colOff>876300</xdr:colOff>
                <xdr:row>44</xdr:row>
                <xdr:rowOff>161925</xdr:rowOff>
              </to>
            </anchor>
          </objectPr>
        </oleObject>
      </mc:Choice>
      <mc:Fallback>
        <oleObject progId="Equation.DSMT4" shapeId="2394" r:id="rId372"/>
      </mc:Fallback>
    </mc:AlternateContent>
    <mc:AlternateContent xmlns:mc="http://schemas.openxmlformats.org/markup-compatibility/2006">
      <mc:Choice Requires="x14">
        <oleObject progId="Equation.DSMT4" shapeId="2395" r:id="rId373">
          <objectPr defaultSize="0" autoPict="0" r:id="rId94">
            <anchor moveWithCells="1">
              <from>
                <xdr:col>10</xdr:col>
                <xdr:colOff>390525</xdr:colOff>
                <xdr:row>43</xdr:row>
                <xdr:rowOff>28575</xdr:rowOff>
              </from>
              <to>
                <xdr:col>10</xdr:col>
                <xdr:colOff>619125</xdr:colOff>
                <xdr:row>44</xdr:row>
                <xdr:rowOff>219075</xdr:rowOff>
              </to>
            </anchor>
          </objectPr>
        </oleObject>
      </mc:Choice>
      <mc:Fallback>
        <oleObject progId="Equation.DSMT4" shapeId="2395" r:id="rId373"/>
      </mc:Fallback>
    </mc:AlternateContent>
    <mc:AlternateContent xmlns:mc="http://schemas.openxmlformats.org/markup-compatibility/2006">
      <mc:Choice Requires="x14">
        <oleObject progId="Equation.DSMT4" shapeId="2396" r:id="rId374">
          <objectPr defaultSize="0" r:id="rId96">
            <anchor moveWithCells="1">
              <from>
                <xdr:col>11</xdr:col>
                <xdr:colOff>104775</xdr:colOff>
                <xdr:row>43</xdr:row>
                <xdr:rowOff>66675</xdr:rowOff>
              </from>
              <to>
                <xdr:col>11</xdr:col>
                <xdr:colOff>923925</xdr:colOff>
                <xdr:row>44</xdr:row>
                <xdr:rowOff>114300</xdr:rowOff>
              </to>
            </anchor>
          </objectPr>
        </oleObject>
      </mc:Choice>
      <mc:Fallback>
        <oleObject progId="Equation.DSMT4" shapeId="2396" r:id="rId374"/>
      </mc:Fallback>
    </mc:AlternateContent>
    <mc:AlternateContent xmlns:mc="http://schemas.openxmlformats.org/markup-compatibility/2006">
      <mc:Choice Requires="x14">
        <oleObject progId="Equation.DSMT4" shapeId="2397" r:id="rId375">
          <objectPr defaultSize="0" r:id="rId98">
            <anchor moveWithCells="1">
              <from>
                <xdr:col>13</xdr:col>
                <xdr:colOff>428625</xdr:colOff>
                <xdr:row>46</xdr:row>
                <xdr:rowOff>161925</xdr:rowOff>
              </from>
              <to>
                <xdr:col>13</xdr:col>
                <xdr:colOff>600075</xdr:colOff>
                <xdr:row>47</xdr:row>
                <xdr:rowOff>114300</xdr:rowOff>
              </to>
            </anchor>
          </objectPr>
        </oleObject>
      </mc:Choice>
      <mc:Fallback>
        <oleObject progId="Equation.DSMT4" shapeId="2397" r:id="rId375"/>
      </mc:Fallback>
    </mc:AlternateContent>
    <mc:AlternateContent xmlns:mc="http://schemas.openxmlformats.org/markup-compatibility/2006">
      <mc:Choice Requires="x14">
        <oleObject progId="Equation.DSMT4" shapeId="2398" r:id="rId376">
          <objectPr defaultSize="0" r:id="rId100">
            <anchor moveWithCells="1">
              <from>
                <xdr:col>15</xdr:col>
                <xdr:colOff>142875</xdr:colOff>
                <xdr:row>46</xdr:row>
                <xdr:rowOff>142875</xdr:rowOff>
              </from>
              <to>
                <xdr:col>15</xdr:col>
                <xdr:colOff>800100</xdr:colOff>
                <xdr:row>47</xdr:row>
                <xdr:rowOff>161925</xdr:rowOff>
              </to>
            </anchor>
          </objectPr>
        </oleObject>
      </mc:Choice>
      <mc:Fallback>
        <oleObject progId="Equation.DSMT4" shapeId="2398" r:id="rId376"/>
      </mc:Fallback>
    </mc:AlternateContent>
    <mc:AlternateContent xmlns:mc="http://schemas.openxmlformats.org/markup-compatibility/2006">
      <mc:Choice Requires="x14">
        <oleObject progId="Equation.DSMT4" shapeId="2399" r:id="rId377">
          <objectPr defaultSize="0" r:id="rId132">
            <anchor moveWithCells="1">
              <from>
                <xdr:col>22</xdr:col>
                <xdr:colOff>123825</xdr:colOff>
                <xdr:row>46</xdr:row>
                <xdr:rowOff>114300</xdr:rowOff>
              </from>
              <to>
                <xdr:col>22</xdr:col>
                <xdr:colOff>923925</xdr:colOff>
                <xdr:row>47</xdr:row>
                <xdr:rowOff>142875</xdr:rowOff>
              </to>
            </anchor>
          </objectPr>
        </oleObject>
      </mc:Choice>
      <mc:Fallback>
        <oleObject progId="Equation.DSMT4" shapeId="2399" r:id="rId377"/>
      </mc:Fallback>
    </mc:AlternateContent>
    <mc:AlternateContent xmlns:mc="http://schemas.openxmlformats.org/markup-compatibility/2006">
      <mc:Choice Requires="x14">
        <oleObject progId="Equation.DSMT4" shapeId="2400" r:id="rId378">
          <objectPr defaultSize="0" r:id="rId134">
            <anchor moveWithCells="1">
              <from>
                <xdr:col>23</xdr:col>
                <xdr:colOff>257175</xdr:colOff>
                <xdr:row>46</xdr:row>
                <xdr:rowOff>114300</xdr:rowOff>
              </from>
              <to>
                <xdr:col>23</xdr:col>
                <xdr:colOff>762000</xdr:colOff>
                <xdr:row>47</xdr:row>
                <xdr:rowOff>142875</xdr:rowOff>
              </to>
            </anchor>
          </objectPr>
        </oleObject>
      </mc:Choice>
      <mc:Fallback>
        <oleObject progId="Equation.DSMT4" shapeId="2400" r:id="rId378"/>
      </mc:Fallback>
    </mc:AlternateContent>
    <mc:AlternateContent xmlns:mc="http://schemas.openxmlformats.org/markup-compatibility/2006">
      <mc:Choice Requires="x14">
        <oleObject progId="Equation.DSMT4" shapeId="2401" r:id="rId379">
          <objectPr defaultSize="0" r:id="rId136">
            <anchor moveWithCells="1">
              <from>
                <xdr:col>28</xdr:col>
                <xdr:colOff>123825</xdr:colOff>
                <xdr:row>46</xdr:row>
                <xdr:rowOff>114300</xdr:rowOff>
              </from>
              <to>
                <xdr:col>28</xdr:col>
                <xdr:colOff>923925</xdr:colOff>
                <xdr:row>47</xdr:row>
                <xdr:rowOff>142875</xdr:rowOff>
              </to>
            </anchor>
          </objectPr>
        </oleObject>
      </mc:Choice>
      <mc:Fallback>
        <oleObject progId="Equation.DSMT4" shapeId="2401" r:id="rId379"/>
      </mc:Fallback>
    </mc:AlternateContent>
    <mc:AlternateContent xmlns:mc="http://schemas.openxmlformats.org/markup-compatibility/2006">
      <mc:Choice Requires="x14">
        <oleObject progId="Equation.DSMT4" shapeId="2402" r:id="rId380">
          <objectPr defaultSize="0" r:id="rId138">
            <anchor moveWithCells="1">
              <from>
                <xdr:col>29</xdr:col>
                <xdr:colOff>257175</xdr:colOff>
                <xdr:row>46</xdr:row>
                <xdr:rowOff>114300</xdr:rowOff>
              </from>
              <to>
                <xdr:col>29</xdr:col>
                <xdr:colOff>762000</xdr:colOff>
                <xdr:row>47</xdr:row>
                <xdr:rowOff>142875</xdr:rowOff>
              </to>
            </anchor>
          </objectPr>
        </oleObject>
      </mc:Choice>
      <mc:Fallback>
        <oleObject progId="Equation.DSMT4" shapeId="2402" r:id="rId380"/>
      </mc:Fallback>
    </mc:AlternateContent>
    <mc:AlternateContent xmlns:mc="http://schemas.openxmlformats.org/markup-compatibility/2006">
      <mc:Choice Requires="x14">
        <oleObject progId="Equation.DSMT4" shapeId="2403" r:id="rId381">
          <objectPr defaultSize="0" r:id="rId140">
            <anchor moveWithCells="1">
              <from>
                <xdr:col>30</xdr:col>
                <xdr:colOff>257175</xdr:colOff>
                <xdr:row>46</xdr:row>
                <xdr:rowOff>114300</xdr:rowOff>
              </from>
              <to>
                <xdr:col>30</xdr:col>
                <xdr:colOff>752475</xdr:colOff>
                <xdr:row>47</xdr:row>
                <xdr:rowOff>142875</xdr:rowOff>
              </to>
            </anchor>
          </objectPr>
        </oleObject>
      </mc:Choice>
      <mc:Fallback>
        <oleObject progId="Equation.DSMT4" shapeId="2403" r:id="rId381"/>
      </mc:Fallback>
    </mc:AlternateContent>
    <mc:AlternateContent xmlns:mc="http://schemas.openxmlformats.org/markup-compatibility/2006">
      <mc:Choice Requires="x14">
        <oleObject progId="Equation.DSMT4" shapeId="2404" r:id="rId382">
          <objectPr defaultSize="0" r:id="rId142">
            <anchor moveWithCells="1">
              <from>
                <xdr:col>31</xdr:col>
                <xdr:colOff>123825</xdr:colOff>
                <xdr:row>46</xdr:row>
                <xdr:rowOff>114300</xdr:rowOff>
              </from>
              <to>
                <xdr:col>31</xdr:col>
                <xdr:colOff>904875</xdr:colOff>
                <xdr:row>47</xdr:row>
                <xdr:rowOff>142875</xdr:rowOff>
              </to>
            </anchor>
          </objectPr>
        </oleObject>
      </mc:Choice>
      <mc:Fallback>
        <oleObject progId="Equation.DSMT4" shapeId="2404" r:id="rId382"/>
      </mc:Fallback>
    </mc:AlternateContent>
    <mc:AlternateContent xmlns:mc="http://schemas.openxmlformats.org/markup-compatibility/2006">
      <mc:Choice Requires="x14">
        <oleObject progId="Equation.DSMT4" shapeId="2405" r:id="rId383">
          <objectPr defaultSize="0" r:id="rId144">
            <anchor moveWithCells="1">
              <from>
                <xdr:col>12</xdr:col>
                <xdr:colOff>304800</xdr:colOff>
                <xdr:row>43</xdr:row>
                <xdr:rowOff>85725</xdr:rowOff>
              </from>
              <to>
                <xdr:col>12</xdr:col>
                <xdr:colOff>876300</xdr:colOff>
                <xdr:row>44</xdr:row>
                <xdr:rowOff>161925</xdr:rowOff>
              </to>
            </anchor>
          </objectPr>
        </oleObject>
      </mc:Choice>
      <mc:Fallback>
        <oleObject progId="Equation.DSMT4" shapeId="2405" r:id="rId383"/>
      </mc:Fallback>
    </mc:AlternateContent>
    <mc:AlternateContent xmlns:mc="http://schemas.openxmlformats.org/markup-compatibility/2006">
      <mc:Choice Requires="x14">
        <oleObject progId="Equation.DSMT4" shapeId="2406" r:id="rId384">
          <objectPr defaultSize="0" r:id="rId146">
            <anchor moveWithCells="1">
              <from>
                <xdr:col>13</xdr:col>
                <xdr:colOff>295275</xdr:colOff>
                <xdr:row>43</xdr:row>
                <xdr:rowOff>104775</xdr:rowOff>
              </from>
              <to>
                <xdr:col>13</xdr:col>
                <xdr:colOff>752475</xdr:colOff>
                <xdr:row>44</xdr:row>
                <xdr:rowOff>200025</xdr:rowOff>
              </to>
            </anchor>
          </objectPr>
        </oleObject>
      </mc:Choice>
      <mc:Fallback>
        <oleObject progId="Equation.DSMT4" shapeId="2406" r:id="rId384"/>
      </mc:Fallback>
    </mc:AlternateContent>
    <mc:AlternateContent xmlns:mc="http://schemas.openxmlformats.org/markup-compatibility/2006">
      <mc:Choice Requires="x14">
        <oleObject progId="Equation.DSMT4" shapeId="2407" r:id="rId385">
          <objectPr defaultSize="0" r:id="rId148">
            <anchor moveWithCells="1">
              <from>
                <xdr:col>32</xdr:col>
                <xdr:colOff>314325</xdr:colOff>
                <xdr:row>46</xdr:row>
                <xdr:rowOff>142875</xdr:rowOff>
              </from>
              <to>
                <xdr:col>32</xdr:col>
                <xdr:colOff>723900</xdr:colOff>
                <xdr:row>47</xdr:row>
                <xdr:rowOff>85725</xdr:rowOff>
              </to>
            </anchor>
          </objectPr>
        </oleObject>
      </mc:Choice>
      <mc:Fallback>
        <oleObject progId="Equation.DSMT4" shapeId="2407" r:id="rId385"/>
      </mc:Fallback>
    </mc:AlternateContent>
    <mc:AlternateContent xmlns:mc="http://schemas.openxmlformats.org/markup-compatibility/2006">
      <mc:Choice Requires="x14">
        <oleObject progId="Equation.DSMT4" shapeId="2408" r:id="rId386">
          <objectPr defaultSize="0" r:id="rId114">
            <anchor moveWithCells="1">
              <from>
                <xdr:col>35</xdr:col>
                <xdr:colOff>381000</xdr:colOff>
                <xdr:row>46</xdr:row>
                <xdr:rowOff>142875</xdr:rowOff>
              </from>
              <to>
                <xdr:col>35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408" r:id="rId386"/>
      </mc:Fallback>
    </mc:AlternateContent>
    <mc:AlternateContent xmlns:mc="http://schemas.openxmlformats.org/markup-compatibility/2006">
      <mc:Choice Requires="x14">
        <oleObject progId="Equation.DSMT4" shapeId="2409" r:id="rId387">
          <objectPr defaultSize="0" r:id="rId124">
            <anchor moveWithCells="1">
              <from>
                <xdr:col>36</xdr:col>
                <xdr:colOff>381000</xdr:colOff>
                <xdr:row>46</xdr:row>
                <xdr:rowOff>142875</xdr:rowOff>
              </from>
              <to>
                <xdr:col>36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409" r:id="rId387"/>
      </mc:Fallback>
    </mc:AlternateContent>
    <mc:AlternateContent xmlns:mc="http://schemas.openxmlformats.org/markup-compatibility/2006">
      <mc:Choice Requires="x14">
        <oleObject progId="Equation.DSMT4" shapeId="2410" r:id="rId388">
          <objectPr defaultSize="0" r:id="rId116">
            <anchor moveWithCells="1">
              <from>
                <xdr:col>37</xdr:col>
                <xdr:colOff>381000</xdr:colOff>
                <xdr:row>46</xdr:row>
                <xdr:rowOff>142875</xdr:rowOff>
              </from>
              <to>
                <xdr:col>37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410" r:id="rId388"/>
      </mc:Fallback>
    </mc:AlternateContent>
    <mc:AlternateContent xmlns:mc="http://schemas.openxmlformats.org/markup-compatibility/2006">
      <mc:Choice Requires="x14">
        <oleObject progId="Equation.DSMT4" shapeId="2411" r:id="rId389">
          <objectPr defaultSize="0" r:id="rId118">
            <anchor moveWithCells="1">
              <from>
                <xdr:col>38</xdr:col>
                <xdr:colOff>390525</xdr:colOff>
                <xdr:row>46</xdr:row>
                <xdr:rowOff>142875</xdr:rowOff>
              </from>
              <to>
                <xdr:col>38</xdr:col>
                <xdr:colOff>647700</xdr:colOff>
                <xdr:row>47</xdr:row>
                <xdr:rowOff>142875</xdr:rowOff>
              </to>
            </anchor>
          </objectPr>
        </oleObject>
      </mc:Choice>
      <mc:Fallback>
        <oleObject progId="Equation.DSMT4" shapeId="2411" r:id="rId389"/>
      </mc:Fallback>
    </mc:AlternateContent>
    <mc:AlternateContent xmlns:mc="http://schemas.openxmlformats.org/markup-compatibility/2006">
      <mc:Choice Requires="x14">
        <oleObject progId="Equation.DSMT4" shapeId="2412" r:id="rId390">
          <objectPr defaultSize="0" r:id="rId120">
            <anchor moveWithCells="1">
              <from>
                <xdr:col>39</xdr:col>
                <xdr:colOff>381000</xdr:colOff>
                <xdr:row>46</xdr:row>
                <xdr:rowOff>142875</xdr:rowOff>
              </from>
              <to>
                <xdr:col>39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412" r:id="rId390"/>
      </mc:Fallback>
    </mc:AlternateContent>
    <mc:AlternateContent xmlns:mc="http://schemas.openxmlformats.org/markup-compatibility/2006">
      <mc:Choice Requires="x14">
        <oleObject progId="Equation.DSMT4" shapeId="2413" r:id="rId391">
          <objectPr defaultSize="0" r:id="rId122">
            <anchor moveWithCells="1">
              <from>
                <xdr:col>40</xdr:col>
                <xdr:colOff>352425</xdr:colOff>
                <xdr:row>46</xdr:row>
                <xdr:rowOff>142875</xdr:rowOff>
              </from>
              <to>
                <xdr:col>40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413" r:id="rId391"/>
      </mc:Fallback>
    </mc:AlternateContent>
    <mc:AlternateContent xmlns:mc="http://schemas.openxmlformats.org/markup-compatibility/2006">
      <mc:Choice Requires="x14">
        <oleObject progId="Equation.DSMT4" shapeId="2414" r:id="rId392">
          <objectPr defaultSize="0" r:id="rId156">
            <anchor moveWithCells="1">
              <from>
                <xdr:col>41</xdr:col>
                <xdr:colOff>428625</xdr:colOff>
                <xdr:row>46</xdr:row>
                <xdr:rowOff>142875</xdr:rowOff>
              </from>
              <to>
                <xdr:col>41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414" r:id="rId392"/>
      </mc:Fallback>
    </mc:AlternateContent>
    <mc:AlternateContent xmlns:mc="http://schemas.openxmlformats.org/markup-compatibility/2006">
      <mc:Choice Requires="x14">
        <oleObject progId="Equation.DSMT4" shapeId="2415" r:id="rId393">
          <objectPr defaultSize="0" r:id="rId158">
            <anchor moveWithCells="1">
              <from>
                <xdr:col>42</xdr:col>
                <xdr:colOff>390525</xdr:colOff>
                <xdr:row>46</xdr:row>
                <xdr:rowOff>142875</xdr:rowOff>
              </from>
              <to>
                <xdr:col>42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415" r:id="rId393"/>
      </mc:Fallback>
    </mc:AlternateContent>
    <mc:AlternateContent xmlns:mc="http://schemas.openxmlformats.org/markup-compatibility/2006">
      <mc:Choice Requires="x14">
        <oleObject progId="Equation.DSMT4" shapeId="2416" r:id="rId394">
          <objectPr defaultSize="0" r:id="rId160">
            <anchor moveWithCells="1">
              <from>
                <xdr:col>43</xdr:col>
                <xdr:colOff>219075</xdr:colOff>
                <xdr:row>46</xdr:row>
                <xdr:rowOff>114300</xdr:rowOff>
              </from>
              <to>
                <xdr:col>43</xdr:col>
                <xdr:colOff>838200</xdr:colOff>
                <xdr:row>47</xdr:row>
                <xdr:rowOff>142875</xdr:rowOff>
              </to>
            </anchor>
          </objectPr>
        </oleObject>
      </mc:Choice>
      <mc:Fallback>
        <oleObject progId="Equation.DSMT4" shapeId="2416" r:id="rId394"/>
      </mc:Fallback>
    </mc:AlternateContent>
    <mc:AlternateContent xmlns:mc="http://schemas.openxmlformats.org/markup-compatibility/2006">
      <mc:Choice Requires="x14">
        <oleObject progId="Equation.DSMT4" shapeId="2417" r:id="rId395">
          <objectPr defaultSize="0" r:id="rId114">
            <anchor moveWithCells="1">
              <from>
                <xdr:col>44</xdr:col>
                <xdr:colOff>381000</xdr:colOff>
                <xdr:row>46</xdr:row>
                <xdr:rowOff>142875</xdr:rowOff>
              </from>
              <to>
                <xdr:col>44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417" r:id="rId395"/>
      </mc:Fallback>
    </mc:AlternateContent>
    <mc:AlternateContent xmlns:mc="http://schemas.openxmlformats.org/markup-compatibility/2006">
      <mc:Choice Requires="x14">
        <oleObject progId="Equation.DSMT4" shapeId="2418" r:id="rId396">
          <objectPr defaultSize="0" r:id="rId124">
            <anchor moveWithCells="1">
              <from>
                <xdr:col>45</xdr:col>
                <xdr:colOff>381000</xdr:colOff>
                <xdr:row>46</xdr:row>
                <xdr:rowOff>142875</xdr:rowOff>
              </from>
              <to>
                <xdr:col>45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418" r:id="rId396"/>
      </mc:Fallback>
    </mc:AlternateContent>
    <mc:AlternateContent xmlns:mc="http://schemas.openxmlformats.org/markup-compatibility/2006">
      <mc:Choice Requires="x14">
        <oleObject progId="Equation.DSMT4" shapeId="2419" r:id="rId397">
          <objectPr defaultSize="0" r:id="rId116">
            <anchor moveWithCells="1">
              <from>
                <xdr:col>46</xdr:col>
                <xdr:colOff>381000</xdr:colOff>
                <xdr:row>46</xdr:row>
                <xdr:rowOff>142875</xdr:rowOff>
              </from>
              <to>
                <xdr:col>46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419" r:id="rId397"/>
      </mc:Fallback>
    </mc:AlternateContent>
    <mc:AlternateContent xmlns:mc="http://schemas.openxmlformats.org/markup-compatibility/2006">
      <mc:Choice Requires="x14">
        <oleObject progId="Equation.DSMT4" shapeId="2420" r:id="rId398">
          <objectPr defaultSize="0" r:id="rId118">
            <anchor moveWithCells="1">
              <from>
                <xdr:col>47</xdr:col>
                <xdr:colOff>390525</xdr:colOff>
                <xdr:row>46</xdr:row>
                <xdr:rowOff>142875</xdr:rowOff>
              </from>
              <to>
                <xdr:col>47</xdr:col>
                <xdr:colOff>647700</xdr:colOff>
                <xdr:row>47</xdr:row>
                <xdr:rowOff>142875</xdr:rowOff>
              </to>
            </anchor>
          </objectPr>
        </oleObject>
      </mc:Choice>
      <mc:Fallback>
        <oleObject progId="Equation.DSMT4" shapeId="2420" r:id="rId398"/>
      </mc:Fallback>
    </mc:AlternateContent>
    <mc:AlternateContent xmlns:mc="http://schemas.openxmlformats.org/markup-compatibility/2006">
      <mc:Choice Requires="x14">
        <oleObject progId="Equation.DSMT4" shapeId="2421" r:id="rId399">
          <objectPr defaultSize="0" r:id="rId120">
            <anchor moveWithCells="1">
              <from>
                <xdr:col>48</xdr:col>
                <xdr:colOff>381000</xdr:colOff>
                <xdr:row>46</xdr:row>
                <xdr:rowOff>142875</xdr:rowOff>
              </from>
              <to>
                <xdr:col>48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421" r:id="rId399"/>
      </mc:Fallback>
    </mc:AlternateContent>
    <mc:AlternateContent xmlns:mc="http://schemas.openxmlformats.org/markup-compatibility/2006">
      <mc:Choice Requires="x14">
        <oleObject progId="Equation.DSMT4" shapeId="2422" r:id="rId400">
          <objectPr defaultSize="0" r:id="rId122">
            <anchor moveWithCells="1">
              <from>
                <xdr:col>49</xdr:col>
                <xdr:colOff>352425</xdr:colOff>
                <xdr:row>46</xdr:row>
                <xdr:rowOff>142875</xdr:rowOff>
              </from>
              <to>
                <xdr:col>49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422" r:id="rId400"/>
      </mc:Fallback>
    </mc:AlternateContent>
    <mc:AlternateContent xmlns:mc="http://schemas.openxmlformats.org/markup-compatibility/2006">
      <mc:Choice Requires="x14">
        <oleObject progId="Equation.DSMT4" shapeId="2423" r:id="rId401">
          <objectPr defaultSize="0" r:id="rId156">
            <anchor moveWithCells="1">
              <from>
                <xdr:col>50</xdr:col>
                <xdr:colOff>428625</xdr:colOff>
                <xdr:row>46</xdr:row>
                <xdr:rowOff>142875</xdr:rowOff>
              </from>
              <to>
                <xdr:col>50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423" r:id="rId401"/>
      </mc:Fallback>
    </mc:AlternateContent>
    <mc:AlternateContent xmlns:mc="http://schemas.openxmlformats.org/markup-compatibility/2006">
      <mc:Choice Requires="x14">
        <oleObject progId="Equation.DSMT4" shapeId="2424" r:id="rId402">
          <objectPr defaultSize="0" r:id="rId158">
            <anchor moveWithCells="1">
              <from>
                <xdr:col>51</xdr:col>
                <xdr:colOff>390525</xdr:colOff>
                <xdr:row>46</xdr:row>
                <xdr:rowOff>142875</xdr:rowOff>
              </from>
              <to>
                <xdr:col>51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424" r:id="rId402"/>
      </mc:Fallback>
    </mc:AlternateContent>
    <mc:AlternateContent xmlns:mc="http://schemas.openxmlformats.org/markup-compatibility/2006">
      <mc:Choice Requires="x14">
        <oleObject progId="Equation.DSMT4" shapeId="2425" r:id="rId403">
          <objectPr defaultSize="0" r:id="rId170">
            <anchor moveWithCells="1">
              <from>
                <xdr:col>52</xdr:col>
                <xdr:colOff>76200</xdr:colOff>
                <xdr:row>46</xdr:row>
                <xdr:rowOff>114300</xdr:rowOff>
              </from>
              <to>
                <xdr:col>52</xdr:col>
                <xdr:colOff>1000125</xdr:colOff>
                <xdr:row>47</xdr:row>
                <xdr:rowOff>161925</xdr:rowOff>
              </to>
            </anchor>
          </objectPr>
        </oleObject>
      </mc:Choice>
      <mc:Fallback>
        <oleObject progId="Equation.DSMT4" shapeId="2425" r:id="rId403"/>
      </mc:Fallback>
    </mc:AlternateContent>
    <mc:AlternateContent xmlns:mc="http://schemas.openxmlformats.org/markup-compatibility/2006">
      <mc:Choice Requires="x14">
        <oleObject progId="Equation.DSMT4" shapeId="2426" r:id="rId404">
          <objectPr defaultSize="0" r:id="rId172">
            <anchor moveWithCells="1">
              <from>
                <xdr:col>53</xdr:col>
                <xdr:colOff>390525</xdr:colOff>
                <xdr:row>46</xdr:row>
                <xdr:rowOff>142875</xdr:rowOff>
              </from>
              <to>
                <xdr:col>53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426" r:id="rId404"/>
      </mc:Fallback>
    </mc:AlternateContent>
    <mc:AlternateContent xmlns:mc="http://schemas.openxmlformats.org/markup-compatibility/2006">
      <mc:Choice Requires="x14">
        <oleObject progId="Equation.DSMT4" shapeId="2427" r:id="rId405">
          <objectPr defaultSize="0" r:id="rId174">
            <anchor moveWithCells="1">
              <from>
                <xdr:col>54</xdr:col>
                <xdr:colOff>76200</xdr:colOff>
                <xdr:row>46</xdr:row>
                <xdr:rowOff>114300</xdr:rowOff>
              </from>
              <to>
                <xdr:col>54</xdr:col>
                <xdr:colOff>1000125</xdr:colOff>
                <xdr:row>47</xdr:row>
                <xdr:rowOff>161925</xdr:rowOff>
              </to>
            </anchor>
          </objectPr>
        </oleObject>
      </mc:Choice>
      <mc:Fallback>
        <oleObject progId="Equation.DSMT4" shapeId="2427" r:id="rId405"/>
      </mc:Fallback>
    </mc:AlternateContent>
    <mc:AlternateContent xmlns:mc="http://schemas.openxmlformats.org/markup-compatibility/2006">
      <mc:Choice Requires="x14">
        <oleObject progId="Equation.DSMT4" shapeId="2428" r:id="rId406">
          <objectPr defaultSize="0" r:id="rId176">
            <anchor moveWithCells="1">
              <from>
                <xdr:col>55</xdr:col>
                <xdr:colOff>76200</xdr:colOff>
                <xdr:row>46</xdr:row>
                <xdr:rowOff>114300</xdr:rowOff>
              </from>
              <to>
                <xdr:col>55</xdr:col>
                <xdr:colOff>1000125</xdr:colOff>
                <xdr:row>47</xdr:row>
                <xdr:rowOff>161925</xdr:rowOff>
              </to>
            </anchor>
          </objectPr>
        </oleObject>
      </mc:Choice>
      <mc:Fallback>
        <oleObject progId="Equation.DSMT4" shapeId="2428" r:id="rId406"/>
      </mc:Fallback>
    </mc:AlternateContent>
    <mc:AlternateContent xmlns:mc="http://schemas.openxmlformats.org/markup-compatibility/2006">
      <mc:Choice Requires="x14">
        <oleObject progId="Equation.DSMT4" shapeId="2429" r:id="rId407">
          <objectPr defaultSize="0" r:id="rId178">
            <anchor moveWithCells="1">
              <from>
                <xdr:col>56</xdr:col>
                <xdr:colOff>200025</xdr:colOff>
                <xdr:row>46</xdr:row>
                <xdr:rowOff>114300</xdr:rowOff>
              </from>
              <to>
                <xdr:col>56</xdr:col>
                <xdr:colOff>800100</xdr:colOff>
                <xdr:row>47</xdr:row>
                <xdr:rowOff>142875</xdr:rowOff>
              </to>
            </anchor>
          </objectPr>
        </oleObject>
      </mc:Choice>
      <mc:Fallback>
        <oleObject progId="Equation.DSMT4" shapeId="2429" r:id="rId407"/>
      </mc:Fallback>
    </mc:AlternateContent>
    <mc:AlternateContent xmlns:mc="http://schemas.openxmlformats.org/markup-compatibility/2006">
      <mc:Choice Requires="x14">
        <oleObject progId="Equation.DSMT4" shapeId="2430" r:id="rId408">
          <objectPr defaultSize="0" r:id="rId180">
            <anchor moveWithCells="1">
              <from>
                <xdr:col>57</xdr:col>
                <xdr:colOff>200025</xdr:colOff>
                <xdr:row>46</xdr:row>
                <xdr:rowOff>114300</xdr:rowOff>
              </from>
              <to>
                <xdr:col>57</xdr:col>
                <xdr:colOff>800100</xdr:colOff>
                <xdr:row>47</xdr:row>
                <xdr:rowOff>142875</xdr:rowOff>
              </to>
            </anchor>
          </objectPr>
        </oleObject>
      </mc:Choice>
      <mc:Fallback>
        <oleObject progId="Equation.DSMT4" shapeId="2430" r:id="rId408"/>
      </mc:Fallback>
    </mc:AlternateContent>
    <mc:AlternateContent xmlns:mc="http://schemas.openxmlformats.org/markup-compatibility/2006">
      <mc:Choice Requires="x14">
        <oleObject progId="Equation.DSMT4" shapeId="2431" r:id="rId409">
          <objectPr defaultSize="0" r:id="rId90">
            <anchor moveWithCells="1">
              <from>
                <xdr:col>68</xdr:col>
                <xdr:colOff>76200</xdr:colOff>
                <xdr:row>46</xdr:row>
                <xdr:rowOff>123825</xdr:rowOff>
              </from>
              <to>
                <xdr:col>68</xdr:col>
                <xdr:colOff>923925</xdr:colOff>
                <xdr:row>47</xdr:row>
                <xdr:rowOff>219075</xdr:rowOff>
              </to>
            </anchor>
          </objectPr>
        </oleObject>
      </mc:Choice>
      <mc:Fallback>
        <oleObject progId="Equation.DSMT4" shapeId="2431" r:id="rId409"/>
      </mc:Fallback>
    </mc:AlternateContent>
    <mc:AlternateContent xmlns:mc="http://schemas.openxmlformats.org/markup-compatibility/2006">
      <mc:Choice Requires="x14">
        <oleObject progId="Equation.DSMT4" shapeId="2432" r:id="rId410">
          <objectPr defaultSize="0" r:id="rId92">
            <anchor moveWithCells="1">
              <from>
                <xdr:col>67</xdr:col>
                <xdr:colOff>219075</xdr:colOff>
                <xdr:row>43</xdr:row>
                <xdr:rowOff>85725</xdr:rowOff>
              </from>
              <to>
                <xdr:col>67</xdr:col>
                <xdr:colOff>876300</xdr:colOff>
                <xdr:row>44</xdr:row>
                <xdr:rowOff>161925</xdr:rowOff>
              </to>
            </anchor>
          </objectPr>
        </oleObject>
      </mc:Choice>
      <mc:Fallback>
        <oleObject progId="Equation.DSMT4" shapeId="2432" r:id="rId410"/>
      </mc:Fallback>
    </mc:AlternateContent>
    <mc:AlternateContent xmlns:mc="http://schemas.openxmlformats.org/markup-compatibility/2006">
      <mc:Choice Requires="x14">
        <oleObject progId="Equation.DSMT4" shapeId="2433" r:id="rId411">
          <objectPr defaultSize="0" autoPict="0" r:id="rId94">
            <anchor moveWithCells="1">
              <from>
                <xdr:col>69</xdr:col>
                <xdr:colOff>390525</xdr:colOff>
                <xdr:row>43</xdr:row>
                <xdr:rowOff>28575</xdr:rowOff>
              </from>
              <to>
                <xdr:col>69</xdr:col>
                <xdr:colOff>619125</xdr:colOff>
                <xdr:row>44</xdr:row>
                <xdr:rowOff>219075</xdr:rowOff>
              </to>
            </anchor>
          </objectPr>
        </oleObject>
      </mc:Choice>
      <mc:Fallback>
        <oleObject progId="Equation.DSMT4" shapeId="2433" r:id="rId411"/>
      </mc:Fallback>
    </mc:AlternateContent>
    <mc:AlternateContent xmlns:mc="http://schemas.openxmlformats.org/markup-compatibility/2006">
      <mc:Choice Requires="x14">
        <oleObject progId="Equation.DSMT4" shapeId="2434" r:id="rId412">
          <objectPr defaultSize="0" r:id="rId96">
            <anchor moveWithCells="1">
              <from>
                <xdr:col>70</xdr:col>
                <xdr:colOff>104775</xdr:colOff>
                <xdr:row>43</xdr:row>
                <xdr:rowOff>66675</xdr:rowOff>
              </from>
              <to>
                <xdr:col>70</xdr:col>
                <xdr:colOff>923925</xdr:colOff>
                <xdr:row>44</xdr:row>
                <xdr:rowOff>114300</xdr:rowOff>
              </to>
            </anchor>
          </objectPr>
        </oleObject>
      </mc:Choice>
      <mc:Fallback>
        <oleObject progId="Equation.DSMT4" shapeId="2434" r:id="rId412"/>
      </mc:Fallback>
    </mc:AlternateContent>
    <mc:AlternateContent xmlns:mc="http://schemas.openxmlformats.org/markup-compatibility/2006">
      <mc:Choice Requires="x14">
        <oleObject progId="Equation.DSMT4" shapeId="2435" r:id="rId413">
          <objectPr defaultSize="0" r:id="rId98">
            <anchor moveWithCells="1">
              <from>
                <xdr:col>72</xdr:col>
                <xdr:colOff>428625</xdr:colOff>
                <xdr:row>46</xdr:row>
                <xdr:rowOff>161925</xdr:rowOff>
              </from>
              <to>
                <xdr:col>72</xdr:col>
                <xdr:colOff>600075</xdr:colOff>
                <xdr:row>47</xdr:row>
                <xdr:rowOff>114300</xdr:rowOff>
              </to>
            </anchor>
          </objectPr>
        </oleObject>
      </mc:Choice>
      <mc:Fallback>
        <oleObject progId="Equation.DSMT4" shapeId="2435" r:id="rId413"/>
      </mc:Fallback>
    </mc:AlternateContent>
    <mc:AlternateContent xmlns:mc="http://schemas.openxmlformats.org/markup-compatibility/2006">
      <mc:Choice Requires="x14">
        <oleObject progId="Equation.DSMT4" shapeId="2436" r:id="rId414">
          <objectPr defaultSize="0" r:id="rId100">
            <anchor moveWithCells="1">
              <from>
                <xdr:col>74</xdr:col>
                <xdr:colOff>142875</xdr:colOff>
                <xdr:row>46</xdr:row>
                <xdr:rowOff>142875</xdr:rowOff>
              </from>
              <to>
                <xdr:col>74</xdr:col>
                <xdr:colOff>800100</xdr:colOff>
                <xdr:row>47</xdr:row>
                <xdr:rowOff>161925</xdr:rowOff>
              </to>
            </anchor>
          </objectPr>
        </oleObject>
      </mc:Choice>
      <mc:Fallback>
        <oleObject progId="Equation.DSMT4" shapeId="2436" r:id="rId414"/>
      </mc:Fallback>
    </mc:AlternateContent>
    <mc:AlternateContent xmlns:mc="http://schemas.openxmlformats.org/markup-compatibility/2006">
      <mc:Choice Requires="x14">
        <oleObject progId="Equation.DSMT4" shapeId="2437" r:id="rId415">
          <objectPr defaultSize="0" r:id="rId132">
            <anchor moveWithCells="1">
              <from>
                <xdr:col>81</xdr:col>
                <xdr:colOff>123825</xdr:colOff>
                <xdr:row>46</xdr:row>
                <xdr:rowOff>114300</xdr:rowOff>
              </from>
              <to>
                <xdr:col>81</xdr:col>
                <xdr:colOff>923925</xdr:colOff>
                <xdr:row>47</xdr:row>
                <xdr:rowOff>142875</xdr:rowOff>
              </to>
            </anchor>
          </objectPr>
        </oleObject>
      </mc:Choice>
      <mc:Fallback>
        <oleObject progId="Equation.DSMT4" shapeId="2437" r:id="rId415"/>
      </mc:Fallback>
    </mc:AlternateContent>
    <mc:AlternateContent xmlns:mc="http://schemas.openxmlformats.org/markup-compatibility/2006">
      <mc:Choice Requires="x14">
        <oleObject progId="Equation.DSMT4" shapeId="2438" r:id="rId416">
          <objectPr defaultSize="0" r:id="rId134">
            <anchor moveWithCells="1">
              <from>
                <xdr:col>82</xdr:col>
                <xdr:colOff>257175</xdr:colOff>
                <xdr:row>46</xdr:row>
                <xdr:rowOff>114300</xdr:rowOff>
              </from>
              <to>
                <xdr:col>82</xdr:col>
                <xdr:colOff>762000</xdr:colOff>
                <xdr:row>47</xdr:row>
                <xdr:rowOff>142875</xdr:rowOff>
              </to>
            </anchor>
          </objectPr>
        </oleObject>
      </mc:Choice>
      <mc:Fallback>
        <oleObject progId="Equation.DSMT4" shapeId="2438" r:id="rId416"/>
      </mc:Fallback>
    </mc:AlternateContent>
    <mc:AlternateContent xmlns:mc="http://schemas.openxmlformats.org/markup-compatibility/2006">
      <mc:Choice Requires="x14">
        <oleObject progId="Equation.DSMT4" shapeId="2439" r:id="rId417">
          <objectPr defaultSize="0" r:id="rId136">
            <anchor moveWithCells="1">
              <from>
                <xdr:col>87</xdr:col>
                <xdr:colOff>123825</xdr:colOff>
                <xdr:row>46</xdr:row>
                <xdr:rowOff>114300</xdr:rowOff>
              </from>
              <to>
                <xdr:col>87</xdr:col>
                <xdr:colOff>923925</xdr:colOff>
                <xdr:row>47</xdr:row>
                <xdr:rowOff>142875</xdr:rowOff>
              </to>
            </anchor>
          </objectPr>
        </oleObject>
      </mc:Choice>
      <mc:Fallback>
        <oleObject progId="Equation.DSMT4" shapeId="2439" r:id="rId417"/>
      </mc:Fallback>
    </mc:AlternateContent>
    <mc:AlternateContent xmlns:mc="http://schemas.openxmlformats.org/markup-compatibility/2006">
      <mc:Choice Requires="x14">
        <oleObject progId="Equation.DSMT4" shapeId="2440" r:id="rId418">
          <objectPr defaultSize="0" r:id="rId138">
            <anchor moveWithCells="1">
              <from>
                <xdr:col>88</xdr:col>
                <xdr:colOff>257175</xdr:colOff>
                <xdr:row>46</xdr:row>
                <xdr:rowOff>114300</xdr:rowOff>
              </from>
              <to>
                <xdr:col>88</xdr:col>
                <xdr:colOff>762000</xdr:colOff>
                <xdr:row>47</xdr:row>
                <xdr:rowOff>142875</xdr:rowOff>
              </to>
            </anchor>
          </objectPr>
        </oleObject>
      </mc:Choice>
      <mc:Fallback>
        <oleObject progId="Equation.DSMT4" shapeId="2440" r:id="rId418"/>
      </mc:Fallback>
    </mc:AlternateContent>
    <mc:AlternateContent xmlns:mc="http://schemas.openxmlformats.org/markup-compatibility/2006">
      <mc:Choice Requires="x14">
        <oleObject progId="Equation.DSMT4" shapeId="2441" r:id="rId419">
          <objectPr defaultSize="0" r:id="rId140">
            <anchor moveWithCells="1">
              <from>
                <xdr:col>89</xdr:col>
                <xdr:colOff>257175</xdr:colOff>
                <xdr:row>46</xdr:row>
                <xdr:rowOff>114300</xdr:rowOff>
              </from>
              <to>
                <xdr:col>89</xdr:col>
                <xdr:colOff>752475</xdr:colOff>
                <xdr:row>47</xdr:row>
                <xdr:rowOff>142875</xdr:rowOff>
              </to>
            </anchor>
          </objectPr>
        </oleObject>
      </mc:Choice>
      <mc:Fallback>
        <oleObject progId="Equation.DSMT4" shapeId="2441" r:id="rId419"/>
      </mc:Fallback>
    </mc:AlternateContent>
    <mc:AlternateContent xmlns:mc="http://schemas.openxmlformats.org/markup-compatibility/2006">
      <mc:Choice Requires="x14">
        <oleObject progId="Equation.DSMT4" shapeId="2442" r:id="rId420">
          <objectPr defaultSize="0" r:id="rId142">
            <anchor moveWithCells="1">
              <from>
                <xdr:col>90</xdr:col>
                <xdr:colOff>123825</xdr:colOff>
                <xdr:row>46</xdr:row>
                <xdr:rowOff>114300</xdr:rowOff>
              </from>
              <to>
                <xdr:col>90</xdr:col>
                <xdr:colOff>904875</xdr:colOff>
                <xdr:row>47</xdr:row>
                <xdr:rowOff>142875</xdr:rowOff>
              </to>
            </anchor>
          </objectPr>
        </oleObject>
      </mc:Choice>
      <mc:Fallback>
        <oleObject progId="Equation.DSMT4" shapeId="2442" r:id="rId420"/>
      </mc:Fallback>
    </mc:AlternateContent>
    <mc:AlternateContent xmlns:mc="http://schemas.openxmlformats.org/markup-compatibility/2006">
      <mc:Choice Requires="x14">
        <oleObject progId="Equation.DSMT4" shapeId="2443" r:id="rId421">
          <objectPr defaultSize="0" r:id="rId144">
            <anchor moveWithCells="1">
              <from>
                <xdr:col>71</xdr:col>
                <xdr:colOff>304800</xdr:colOff>
                <xdr:row>43</xdr:row>
                <xdr:rowOff>85725</xdr:rowOff>
              </from>
              <to>
                <xdr:col>71</xdr:col>
                <xdr:colOff>876300</xdr:colOff>
                <xdr:row>44</xdr:row>
                <xdr:rowOff>161925</xdr:rowOff>
              </to>
            </anchor>
          </objectPr>
        </oleObject>
      </mc:Choice>
      <mc:Fallback>
        <oleObject progId="Equation.DSMT4" shapeId="2443" r:id="rId421"/>
      </mc:Fallback>
    </mc:AlternateContent>
    <mc:AlternateContent xmlns:mc="http://schemas.openxmlformats.org/markup-compatibility/2006">
      <mc:Choice Requires="x14">
        <oleObject progId="Equation.DSMT4" shapeId="2444" r:id="rId422">
          <objectPr defaultSize="0" r:id="rId146">
            <anchor moveWithCells="1">
              <from>
                <xdr:col>72</xdr:col>
                <xdr:colOff>295275</xdr:colOff>
                <xdr:row>43</xdr:row>
                <xdr:rowOff>104775</xdr:rowOff>
              </from>
              <to>
                <xdr:col>72</xdr:col>
                <xdr:colOff>752475</xdr:colOff>
                <xdr:row>44</xdr:row>
                <xdr:rowOff>200025</xdr:rowOff>
              </to>
            </anchor>
          </objectPr>
        </oleObject>
      </mc:Choice>
      <mc:Fallback>
        <oleObject progId="Equation.DSMT4" shapeId="2444" r:id="rId422"/>
      </mc:Fallback>
    </mc:AlternateContent>
    <mc:AlternateContent xmlns:mc="http://schemas.openxmlformats.org/markup-compatibility/2006">
      <mc:Choice Requires="x14">
        <oleObject progId="Equation.DSMT4" shapeId="2445" r:id="rId423">
          <objectPr defaultSize="0" r:id="rId148">
            <anchor moveWithCells="1">
              <from>
                <xdr:col>91</xdr:col>
                <xdr:colOff>314325</xdr:colOff>
                <xdr:row>46</xdr:row>
                <xdr:rowOff>142875</xdr:rowOff>
              </from>
              <to>
                <xdr:col>91</xdr:col>
                <xdr:colOff>723900</xdr:colOff>
                <xdr:row>47</xdr:row>
                <xdr:rowOff>85725</xdr:rowOff>
              </to>
            </anchor>
          </objectPr>
        </oleObject>
      </mc:Choice>
      <mc:Fallback>
        <oleObject progId="Equation.DSMT4" shapeId="2445" r:id="rId423"/>
      </mc:Fallback>
    </mc:AlternateContent>
    <mc:AlternateContent xmlns:mc="http://schemas.openxmlformats.org/markup-compatibility/2006">
      <mc:Choice Requires="x14">
        <oleObject progId="Equation.DSMT4" shapeId="2446" r:id="rId424">
          <objectPr defaultSize="0" r:id="rId114">
            <anchor moveWithCells="1">
              <from>
                <xdr:col>94</xdr:col>
                <xdr:colOff>381000</xdr:colOff>
                <xdr:row>46</xdr:row>
                <xdr:rowOff>142875</xdr:rowOff>
              </from>
              <to>
                <xdr:col>94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446" r:id="rId424"/>
      </mc:Fallback>
    </mc:AlternateContent>
    <mc:AlternateContent xmlns:mc="http://schemas.openxmlformats.org/markup-compatibility/2006">
      <mc:Choice Requires="x14">
        <oleObject progId="Equation.DSMT4" shapeId="2447" r:id="rId425">
          <objectPr defaultSize="0" r:id="rId124">
            <anchor moveWithCells="1">
              <from>
                <xdr:col>95</xdr:col>
                <xdr:colOff>381000</xdr:colOff>
                <xdr:row>46</xdr:row>
                <xdr:rowOff>142875</xdr:rowOff>
              </from>
              <to>
                <xdr:col>95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447" r:id="rId425"/>
      </mc:Fallback>
    </mc:AlternateContent>
    <mc:AlternateContent xmlns:mc="http://schemas.openxmlformats.org/markup-compatibility/2006">
      <mc:Choice Requires="x14">
        <oleObject progId="Equation.DSMT4" shapeId="2448" r:id="rId426">
          <objectPr defaultSize="0" r:id="rId116">
            <anchor moveWithCells="1">
              <from>
                <xdr:col>96</xdr:col>
                <xdr:colOff>381000</xdr:colOff>
                <xdr:row>46</xdr:row>
                <xdr:rowOff>142875</xdr:rowOff>
              </from>
              <to>
                <xdr:col>96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448" r:id="rId426"/>
      </mc:Fallback>
    </mc:AlternateContent>
    <mc:AlternateContent xmlns:mc="http://schemas.openxmlformats.org/markup-compatibility/2006">
      <mc:Choice Requires="x14">
        <oleObject progId="Equation.DSMT4" shapeId="2449" r:id="rId427">
          <objectPr defaultSize="0" r:id="rId118">
            <anchor moveWithCells="1">
              <from>
                <xdr:col>97</xdr:col>
                <xdr:colOff>390525</xdr:colOff>
                <xdr:row>46</xdr:row>
                <xdr:rowOff>142875</xdr:rowOff>
              </from>
              <to>
                <xdr:col>97</xdr:col>
                <xdr:colOff>647700</xdr:colOff>
                <xdr:row>47</xdr:row>
                <xdr:rowOff>142875</xdr:rowOff>
              </to>
            </anchor>
          </objectPr>
        </oleObject>
      </mc:Choice>
      <mc:Fallback>
        <oleObject progId="Equation.DSMT4" shapeId="2449" r:id="rId427"/>
      </mc:Fallback>
    </mc:AlternateContent>
    <mc:AlternateContent xmlns:mc="http://schemas.openxmlformats.org/markup-compatibility/2006">
      <mc:Choice Requires="x14">
        <oleObject progId="Equation.DSMT4" shapeId="2450" r:id="rId428">
          <objectPr defaultSize="0" r:id="rId120">
            <anchor moveWithCells="1">
              <from>
                <xdr:col>98</xdr:col>
                <xdr:colOff>381000</xdr:colOff>
                <xdr:row>46</xdr:row>
                <xdr:rowOff>142875</xdr:rowOff>
              </from>
              <to>
                <xdr:col>98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450" r:id="rId428"/>
      </mc:Fallback>
    </mc:AlternateContent>
    <mc:AlternateContent xmlns:mc="http://schemas.openxmlformats.org/markup-compatibility/2006">
      <mc:Choice Requires="x14">
        <oleObject progId="Equation.DSMT4" shapeId="2451" r:id="rId429">
          <objectPr defaultSize="0" r:id="rId122">
            <anchor moveWithCells="1">
              <from>
                <xdr:col>99</xdr:col>
                <xdr:colOff>352425</xdr:colOff>
                <xdr:row>46</xdr:row>
                <xdr:rowOff>142875</xdr:rowOff>
              </from>
              <to>
                <xdr:col>99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451" r:id="rId429"/>
      </mc:Fallback>
    </mc:AlternateContent>
    <mc:AlternateContent xmlns:mc="http://schemas.openxmlformats.org/markup-compatibility/2006">
      <mc:Choice Requires="x14">
        <oleObject progId="Equation.DSMT4" shapeId="2452" r:id="rId430">
          <objectPr defaultSize="0" r:id="rId156">
            <anchor moveWithCells="1">
              <from>
                <xdr:col>100</xdr:col>
                <xdr:colOff>428625</xdr:colOff>
                <xdr:row>46</xdr:row>
                <xdr:rowOff>142875</xdr:rowOff>
              </from>
              <to>
                <xdr:col>100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452" r:id="rId430"/>
      </mc:Fallback>
    </mc:AlternateContent>
    <mc:AlternateContent xmlns:mc="http://schemas.openxmlformats.org/markup-compatibility/2006">
      <mc:Choice Requires="x14">
        <oleObject progId="Equation.DSMT4" shapeId="2453" r:id="rId431">
          <objectPr defaultSize="0" r:id="rId158">
            <anchor moveWithCells="1">
              <from>
                <xdr:col>101</xdr:col>
                <xdr:colOff>390525</xdr:colOff>
                <xdr:row>46</xdr:row>
                <xdr:rowOff>142875</xdr:rowOff>
              </from>
              <to>
                <xdr:col>101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453" r:id="rId431"/>
      </mc:Fallback>
    </mc:AlternateContent>
    <mc:AlternateContent xmlns:mc="http://schemas.openxmlformats.org/markup-compatibility/2006">
      <mc:Choice Requires="x14">
        <oleObject progId="Equation.DSMT4" shapeId="2454" r:id="rId432">
          <objectPr defaultSize="0" r:id="rId160">
            <anchor moveWithCells="1">
              <from>
                <xdr:col>102</xdr:col>
                <xdr:colOff>219075</xdr:colOff>
                <xdr:row>46</xdr:row>
                <xdr:rowOff>114300</xdr:rowOff>
              </from>
              <to>
                <xdr:col>102</xdr:col>
                <xdr:colOff>838200</xdr:colOff>
                <xdr:row>47</xdr:row>
                <xdr:rowOff>142875</xdr:rowOff>
              </to>
            </anchor>
          </objectPr>
        </oleObject>
      </mc:Choice>
      <mc:Fallback>
        <oleObject progId="Equation.DSMT4" shapeId="2454" r:id="rId432"/>
      </mc:Fallback>
    </mc:AlternateContent>
    <mc:AlternateContent xmlns:mc="http://schemas.openxmlformats.org/markup-compatibility/2006">
      <mc:Choice Requires="x14">
        <oleObject progId="Equation.DSMT4" shapeId="2455" r:id="rId433">
          <objectPr defaultSize="0" r:id="rId114">
            <anchor moveWithCells="1">
              <from>
                <xdr:col>103</xdr:col>
                <xdr:colOff>381000</xdr:colOff>
                <xdr:row>46</xdr:row>
                <xdr:rowOff>142875</xdr:rowOff>
              </from>
              <to>
                <xdr:col>103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455" r:id="rId433"/>
      </mc:Fallback>
    </mc:AlternateContent>
    <mc:AlternateContent xmlns:mc="http://schemas.openxmlformats.org/markup-compatibility/2006">
      <mc:Choice Requires="x14">
        <oleObject progId="Equation.DSMT4" shapeId="2456" r:id="rId434">
          <objectPr defaultSize="0" r:id="rId124">
            <anchor moveWithCells="1">
              <from>
                <xdr:col>104</xdr:col>
                <xdr:colOff>381000</xdr:colOff>
                <xdr:row>46</xdr:row>
                <xdr:rowOff>142875</xdr:rowOff>
              </from>
              <to>
                <xdr:col>104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456" r:id="rId434"/>
      </mc:Fallback>
    </mc:AlternateContent>
    <mc:AlternateContent xmlns:mc="http://schemas.openxmlformats.org/markup-compatibility/2006">
      <mc:Choice Requires="x14">
        <oleObject progId="Equation.DSMT4" shapeId="2457" r:id="rId435">
          <objectPr defaultSize="0" r:id="rId116">
            <anchor moveWithCells="1">
              <from>
                <xdr:col>105</xdr:col>
                <xdr:colOff>381000</xdr:colOff>
                <xdr:row>46</xdr:row>
                <xdr:rowOff>142875</xdr:rowOff>
              </from>
              <to>
                <xdr:col>105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457" r:id="rId435"/>
      </mc:Fallback>
    </mc:AlternateContent>
    <mc:AlternateContent xmlns:mc="http://schemas.openxmlformats.org/markup-compatibility/2006">
      <mc:Choice Requires="x14">
        <oleObject progId="Equation.DSMT4" shapeId="2458" r:id="rId436">
          <objectPr defaultSize="0" r:id="rId118">
            <anchor moveWithCells="1">
              <from>
                <xdr:col>106</xdr:col>
                <xdr:colOff>390525</xdr:colOff>
                <xdr:row>46</xdr:row>
                <xdr:rowOff>142875</xdr:rowOff>
              </from>
              <to>
                <xdr:col>106</xdr:col>
                <xdr:colOff>647700</xdr:colOff>
                <xdr:row>47</xdr:row>
                <xdr:rowOff>142875</xdr:rowOff>
              </to>
            </anchor>
          </objectPr>
        </oleObject>
      </mc:Choice>
      <mc:Fallback>
        <oleObject progId="Equation.DSMT4" shapeId="2458" r:id="rId436"/>
      </mc:Fallback>
    </mc:AlternateContent>
    <mc:AlternateContent xmlns:mc="http://schemas.openxmlformats.org/markup-compatibility/2006">
      <mc:Choice Requires="x14">
        <oleObject progId="Equation.DSMT4" shapeId="2459" r:id="rId437">
          <objectPr defaultSize="0" r:id="rId120">
            <anchor moveWithCells="1">
              <from>
                <xdr:col>107</xdr:col>
                <xdr:colOff>381000</xdr:colOff>
                <xdr:row>46</xdr:row>
                <xdr:rowOff>142875</xdr:rowOff>
              </from>
              <to>
                <xdr:col>107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459" r:id="rId437"/>
      </mc:Fallback>
    </mc:AlternateContent>
    <mc:AlternateContent xmlns:mc="http://schemas.openxmlformats.org/markup-compatibility/2006">
      <mc:Choice Requires="x14">
        <oleObject progId="Equation.DSMT4" shapeId="2460" r:id="rId438">
          <objectPr defaultSize="0" r:id="rId122">
            <anchor moveWithCells="1">
              <from>
                <xdr:col>108</xdr:col>
                <xdr:colOff>352425</xdr:colOff>
                <xdr:row>46</xdr:row>
                <xdr:rowOff>142875</xdr:rowOff>
              </from>
              <to>
                <xdr:col>108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460" r:id="rId438"/>
      </mc:Fallback>
    </mc:AlternateContent>
    <mc:AlternateContent xmlns:mc="http://schemas.openxmlformats.org/markup-compatibility/2006">
      <mc:Choice Requires="x14">
        <oleObject progId="Equation.DSMT4" shapeId="2461" r:id="rId439">
          <objectPr defaultSize="0" r:id="rId156">
            <anchor moveWithCells="1">
              <from>
                <xdr:col>109</xdr:col>
                <xdr:colOff>428625</xdr:colOff>
                <xdr:row>46</xdr:row>
                <xdr:rowOff>142875</xdr:rowOff>
              </from>
              <to>
                <xdr:col>109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461" r:id="rId439"/>
      </mc:Fallback>
    </mc:AlternateContent>
    <mc:AlternateContent xmlns:mc="http://schemas.openxmlformats.org/markup-compatibility/2006">
      <mc:Choice Requires="x14">
        <oleObject progId="Equation.DSMT4" shapeId="2462" r:id="rId440">
          <objectPr defaultSize="0" r:id="rId158">
            <anchor moveWithCells="1">
              <from>
                <xdr:col>110</xdr:col>
                <xdr:colOff>390525</xdr:colOff>
                <xdr:row>46</xdr:row>
                <xdr:rowOff>142875</xdr:rowOff>
              </from>
              <to>
                <xdr:col>110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462" r:id="rId440"/>
      </mc:Fallback>
    </mc:AlternateContent>
    <mc:AlternateContent xmlns:mc="http://schemas.openxmlformats.org/markup-compatibility/2006">
      <mc:Choice Requires="x14">
        <oleObject progId="Equation.DSMT4" shapeId="2463" r:id="rId441">
          <objectPr defaultSize="0" r:id="rId170">
            <anchor moveWithCells="1">
              <from>
                <xdr:col>111</xdr:col>
                <xdr:colOff>76200</xdr:colOff>
                <xdr:row>46</xdr:row>
                <xdr:rowOff>114300</xdr:rowOff>
              </from>
              <to>
                <xdr:col>111</xdr:col>
                <xdr:colOff>1000125</xdr:colOff>
                <xdr:row>47</xdr:row>
                <xdr:rowOff>161925</xdr:rowOff>
              </to>
            </anchor>
          </objectPr>
        </oleObject>
      </mc:Choice>
      <mc:Fallback>
        <oleObject progId="Equation.DSMT4" shapeId="2463" r:id="rId441"/>
      </mc:Fallback>
    </mc:AlternateContent>
    <mc:AlternateContent xmlns:mc="http://schemas.openxmlformats.org/markup-compatibility/2006">
      <mc:Choice Requires="x14">
        <oleObject progId="Equation.DSMT4" shapeId="2464" r:id="rId442">
          <objectPr defaultSize="0" r:id="rId172">
            <anchor moveWithCells="1">
              <from>
                <xdr:col>112</xdr:col>
                <xdr:colOff>390525</xdr:colOff>
                <xdr:row>46</xdr:row>
                <xdr:rowOff>142875</xdr:rowOff>
              </from>
              <to>
                <xdr:col>112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464" r:id="rId442"/>
      </mc:Fallback>
    </mc:AlternateContent>
    <mc:AlternateContent xmlns:mc="http://schemas.openxmlformats.org/markup-compatibility/2006">
      <mc:Choice Requires="x14">
        <oleObject progId="Equation.DSMT4" shapeId="2465" r:id="rId443">
          <objectPr defaultSize="0" r:id="rId174">
            <anchor moveWithCells="1">
              <from>
                <xdr:col>113</xdr:col>
                <xdr:colOff>76200</xdr:colOff>
                <xdr:row>46</xdr:row>
                <xdr:rowOff>114300</xdr:rowOff>
              </from>
              <to>
                <xdr:col>113</xdr:col>
                <xdr:colOff>1000125</xdr:colOff>
                <xdr:row>47</xdr:row>
                <xdr:rowOff>161925</xdr:rowOff>
              </to>
            </anchor>
          </objectPr>
        </oleObject>
      </mc:Choice>
      <mc:Fallback>
        <oleObject progId="Equation.DSMT4" shapeId="2465" r:id="rId443"/>
      </mc:Fallback>
    </mc:AlternateContent>
    <mc:AlternateContent xmlns:mc="http://schemas.openxmlformats.org/markup-compatibility/2006">
      <mc:Choice Requires="x14">
        <oleObject progId="Equation.DSMT4" shapeId="2466" r:id="rId444">
          <objectPr defaultSize="0" r:id="rId176">
            <anchor moveWithCells="1">
              <from>
                <xdr:col>114</xdr:col>
                <xdr:colOff>76200</xdr:colOff>
                <xdr:row>46</xdr:row>
                <xdr:rowOff>114300</xdr:rowOff>
              </from>
              <to>
                <xdr:col>114</xdr:col>
                <xdr:colOff>1000125</xdr:colOff>
                <xdr:row>47</xdr:row>
                <xdr:rowOff>161925</xdr:rowOff>
              </to>
            </anchor>
          </objectPr>
        </oleObject>
      </mc:Choice>
      <mc:Fallback>
        <oleObject progId="Equation.DSMT4" shapeId="2466" r:id="rId444"/>
      </mc:Fallback>
    </mc:AlternateContent>
    <mc:AlternateContent xmlns:mc="http://schemas.openxmlformats.org/markup-compatibility/2006">
      <mc:Choice Requires="x14">
        <oleObject progId="Equation.DSMT4" shapeId="2467" r:id="rId445">
          <objectPr defaultSize="0" r:id="rId178">
            <anchor moveWithCells="1">
              <from>
                <xdr:col>115</xdr:col>
                <xdr:colOff>200025</xdr:colOff>
                <xdr:row>46</xdr:row>
                <xdr:rowOff>114300</xdr:rowOff>
              </from>
              <to>
                <xdr:col>115</xdr:col>
                <xdr:colOff>800100</xdr:colOff>
                <xdr:row>47</xdr:row>
                <xdr:rowOff>142875</xdr:rowOff>
              </to>
            </anchor>
          </objectPr>
        </oleObject>
      </mc:Choice>
      <mc:Fallback>
        <oleObject progId="Equation.DSMT4" shapeId="2467" r:id="rId445"/>
      </mc:Fallback>
    </mc:AlternateContent>
    <mc:AlternateContent xmlns:mc="http://schemas.openxmlformats.org/markup-compatibility/2006">
      <mc:Choice Requires="x14">
        <oleObject progId="Equation.DSMT4" shapeId="2468" r:id="rId446">
          <objectPr defaultSize="0" r:id="rId180">
            <anchor moveWithCells="1">
              <from>
                <xdr:col>116</xdr:col>
                <xdr:colOff>200025</xdr:colOff>
                <xdr:row>46</xdr:row>
                <xdr:rowOff>114300</xdr:rowOff>
              </from>
              <to>
                <xdr:col>116</xdr:col>
                <xdr:colOff>800100</xdr:colOff>
                <xdr:row>47</xdr:row>
                <xdr:rowOff>142875</xdr:rowOff>
              </to>
            </anchor>
          </objectPr>
        </oleObject>
      </mc:Choice>
      <mc:Fallback>
        <oleObject progId="Equation.DSMT4" shapeId="2468" r:id="rId446"/>
      </mc:Fallback>
    </mc:AlternateContent>
    <mc:AlternateContent xmlns:mc="http://schemas.openxmlformats.org/markup-compatibility/2006">
      <mc:Choice Requires="x14">
        <oleObject progId="Equation.DSMT4" shapeId="2469" r:id="rId447">
          <objectPr defaultSize="0" r:id="rId90">
            <anchor moveWithCells="1">
              <from>
                <xdr:col>127</xdr:col>
                <xdr:colOff>76200</xdr:colOff>
                <xdr:row>46</xdr:row>
                <xdr:rowOff>123825</xdr:rowOff>
              </from>
              <to>
                <xdr:col>127</xdr:col>
                <xdr:colOff>923925</xdr:colOff>
                <xdr:row>47</xdr:row>
                <xdr:rowOff>219075</xdr:rowOff>
              </to>
            </anchor>
          </objectPr>
        </oleObject>
      </mc:Choice>
      <mc:Fallback>
        <oleObject progId="Equation.DSMT4" shapeId="2469" r:id="rId447"/>
      </mc:Fallback>
    </mc:AlternateContent>
    <mc:AlternateContent xmlns:mc="http://schemas.openxmlformats.org/markup-compatibility/2006">
      <mc:Choice Requires="x14">
        <oleObject progId="Equation.DSMT4" shapeId="2470" r:id="rId448">
          <objectPr defaultSize="0" r:id="rId92">
            <anchor moveWithCells="1">
              <from>
                <xdr:col>126</xdr:col>
                <xdr:colOff>219075</xdr:colOff>
                <xdr:row>43</xdr:row>
                <xdr:rowOff>85725</xdr:rowOff>
              </from>
              <to>
                <xdr:col>126</xdr:col>
                <xdr:colOff>876300</xdr:colOff>
                <xdr:row>44</xdr:row>
                <xdr:rowOff>161925</xdr:rowOff>
              </to>
            </anchor>
          </objectPr>
        </oleObject>
      </mc:Choice>
      <mc:Fallback>
        <oleObject progId="Equation.DSMT4" shapeId="2470" r:id="rId448"/>
      </mc:Fallback>
    </mc:AlternateContent>
    <mc:AlternateContent xmlns:mc="http://schemas.openxmlformats.org/markup-compatibility/2006">
      <mc:Choice Requires="x14">
        <oleObject progId="Equation.DSMT4" shapeId="2471" r:id="rId449">
          <objectPr defaultSize="0" autoPict="0" r:id="rId94">
            <anchor moveWithCells="1">
              <from>
                <xdr:col>128</xdr:col>
                <xdr:colOff>390525</xdr:colOff>
                <xdr:row>43</xdr:row>
                <xdr:rowOff>28575</xdr:rowOff>
              </from>
              <to>
                <xdr:col>128</xdr:col>
                <xdr:colOff>619125</xdr:colOff>
                <xdr:row>44</xdr:row>
                <xdr:rowOff>219075</xdr:rowOff>
              </to>
            </anchor>
          </objectPr>
        </oleObject>
      </mc:Choice>
      <mc:Fallback>
        <oleObject progId="Equation.DSMT4" shapeId="2471" r:id="rId449"/>
      </mc:Fallback>
    </mc:AlternateContent>
    <mc:AlternateContent xmlns:mc="http://schemas.openxmlformats.org/markup-compatibility/2006">
      <mc:Choice Requires="x14">
        <oleObject progId="Equation.DSMT4" shapeId="2472" r:id="rId450">
          <objectPr defaultSize="0" r:id="rId96">
            <anchor moveWithCells="1">
              <from>
                <xdr:col>129</xdr:col>
                <xdr:colOff>104775</xdr:colOff>
                <xdr:row>43</xdr:row>
                <xdr:rowOff>66675</xdr:rowOff>
              </from>
              <to>
                <xdr:col>129</xdr:col>
                <xdr:colOff>923925</xdr:colOff>
                <xdr:row>44</xdr:row>
                <xdr:rowOff>114300</xdr:rowOff>
              </to>
            </anchor>
          </objectPr>
        </oleObject>
      </mc:Choice>
      <mc:Fallback>
        <oleObject progId="Equation.DSMT4" shapeId="2472" r:id="rId450"/>
      </mc:Fallback>
    </mc:AlternateContent>
    <mc:AlternateContent xmlns:mc="http://schemas.openxmlformats.org/markup-compatibility/2006">
      <mc:Choice Requires="x14">
        <oleObject progId="Equation.DSMT4" shapeId="2473" r:id="rId451">
          <objectPr defaultSize="0" r:id="rId98">
            <anchor moveWithCells="1">
              <from>
                <xdr:col>131</xdr:col>
                <xdr:colOff>428625</xdr:colOff>
                <xdr:row>46</xdr:row>
                <xdr:rowOff>161925</xdr:rowOff>
              </from>
              <to>
                <xdr:col>131</xdr:col>
                <xdr:colOff>600075</xdr:colOff>
                <xdr:row>47</xdr:row>
                <xdr:rowOff>114300</xdr:rowOff>
              </to>
            </anchor>
          </objectPr>
        </oleObject>
      </mc:Choice>
      <mc:Fallback>
        <oleObject progId="Equation.DSMT4" shapeId="2473" r:id="rId451"/>
      </mc:Fallback>
    </mc:AlternateContent>
    <mc:AlternateContent xmlns:mc="http://schemas.openxmlformats.org/markup-compatibility/2006">
      <mc:Choice Requires="x14">
        <oleObject progId="Equation.DSMT4" shapeId="2474" r:id="rId452">
          <objectPr defaultSize="0" r:id="rId100">
            <anchor moveWithCells="1">
              <from>
                <xdr:col>133</xdr:col>
                <xdr:colOff>142875</xdr:colOff>
                <xdr:row>46</xdr:row>
                <xdr:rowOff>142875</xdr:rowOff>
              </from>
              <to>
                <xdr:col>133</xdr:col>
                <xdr:colOff>800100</xdr:colOff>
                <xdr:row>47</xdr:row>
                <xdr:rowOff>161925</xdr:rowOff>
              </to>
            </anchor>
          </objectPr>
        </oleObject>
      </mc:Choice>
      <mc:Fallback>
        <oleObject progId="Equation.DSMT4" shapeId="2474" r:id="rId452"/>
      </mc:Fallback>
    </mc:AlternateContent>
    <mc:AlternateContent xmlns:mc="http://schemas.openxmlformats.org/markup-compatibility/2006">
      <mc:Choice Requires="x14">
        <oleObject progId="Equation.DSMT4" shapeId="2475" r:id="rId453">
          <objectPr defaultSize="0" r:id="rId132">
            <anchor moveWithCells="1">
              <from>
                <xdr:col>140</xdr:col>
                <xdr:colOff>123825</xdr:colOff>
                <xdr:row>46</xdr:row>
                <xdr:rowOff>114300</xdr:rowOff>
              </from>
              <to>
                <xdr:col>140</xdr:col>
                <xdr:colOff>923925</xdr:colOff>
                <xdr:row>47</xdr:row>
                <xdr:rowOff>142875</xdr:rowOff>
              </to>
            </anchor>
          </objectPr>
        </oleObject>
      </mc:Choice>
      <mc:Fallback>
        <oleObject progId="Equation.DSMT4" shapeId="2475" r:id="rId453"/>
      </mc:Fallback>
    </mc:AlternateContent>
    <mc:AlternateContent xmlns:mc="http://schemas.openxmlformats.org/markup-compatibility/2006">
      <mc:Choice Requires="x14">
        <oleObject progId="Equation.DSMT4" shapeId="2476" r:id="rId454">
          <objectPr defaultSize="0" r:id="rId134">
            <anchor moveWithCells="1">
              <from>
                <xdr:col>141</xdr:col>
                <xdr:colOff>257175</xdr:colOff>
                <xdr:row>46</xdr:row>
                <xdr:rowOff>114300</xdr:rowOff>
              </from>
              <to>
                <xdr:col>141</xdr:col>
                <xdr:colOff>762000</xdr:colOff>
                <xdr:row>47</xdr:row>
                <xdr:rowOff>142875</xdr:rowOff>
              </to>
            </anchor>
          </objectPr>
        </oleObject>
      </mc:Choice>
      <mc:Fallback>
        <oleObject progId="Equation.DSMT4" shapeId="2476" r:id="rId454"/>
      </mc:Fallback>
    </mc:AlternateContent>
    <mc:AlternateContent xmlns:mc="http://schemas.openxmlformats.org/markup-compatibility/2006">
      <mc:Choice Requires="x14">
        <oleObject progId="Equation.DSMT4" shapeId="2477" r:id="rId455">
          <objectPr defaultSize="0" r:id="rId136">
            <anchor moveWithCells="1">
              <from>
                <xdr:col>146</xdr:col>
                <xdr:colOff>123825</xdr:colOff>
                <xdr:row>46</xdr:row>
                <xdr:rowOff>114300</xdr:rowOff>
              </from>
              <to>
                <xdr:col>146</xdr:col>
                <xdr:colOff>923925</xdr:colOff>
                <xdr:row>47</xdr:row>
                <xdr:rowOff>142875</xdr:rowOff>
              </to>
            </anchor>
          </objectPr>
        </oleObject>
      </mc:Choice>
      <mc:Fallback>
        <oleObject progId="Equation.DSMT4" shapeId="2477" r:id="rId455"/>
      </mc:Fallback>
    </mc:AlternateContent>
    <mc:AlternateContent xmlns:mc="http://schemas.openxmlformats.org/markup-compatibility/2006">
      <mc:Choice Requires="x14">
        <oleObject progId="Equation.DSMT4" shapeId="2478" r:id="rId456">
          <objectPr defaultSize="0" r:id="rId138">
            <anchor moveWithCells="1">
              <from>
                <xdr:col>147</xdr:col>
                <xdr:colOff>257175</xdr:colOff>
                <xdr:row>46</xdr:row>
                <xdr:rowOff>114300</xdr:rowOff>
              </from>
              <to>
                <xdr:col>147</xdr:col>
                <xdr:colOff>762000</xdr:colOff>
                <xdr:row>47</xdr:row>
                <xdr:rowOff>142875</xdr:rowOff>
              </to>
            </anchor>
          </objectPr>
        </oleObject>
      </mc:Choice>
      <mc:Fallback>
        <oleObject progId="Equation.DSMT4" shapeId="2478" r:id="rId456"/>
      </mc:Fallback>
    </mc:AlternateContent>
    <mc:AlternateContent xmlns:mc="http://schemas.openxmlformats.org/markup-compatibility/2006">
      <mc:Choice Requires="x14">
        <oleObject progId="Equation.DSMT4" shapeId="2479" r:id="rId457">
          <objectPr defaultSize="0" r:id="rId140">
            <anchor moveWithCells="1">
              <from>
                <xdr:col>148</xdr:col>
                <xdr:colOff>257175</xdr:colOff>
                <xdr:row>46</xdr:row>
                <xdr:rowOff>114300</xdr:rowOff>
              </from>
              <to>
                <xdr:col>148</xdr:col>
                <xdr:colOff>752475</xdr:colOff>
                <xdr:row>47</xdr:row>
                <xdr:rowOff>142875</xdr:rowOff>
              </to>
            </anchor>
          </objectPr>
        </oleObject>
      </mc:Choice>
      <mc:Fallback>
        <oleObject progId="Equation.DSMT4" shapeId="2479" r:id="rId457"/>
      </mc:Fallback>
    </mc:AlternateContent>
    <mc:AlternateContent xmlns:mc="http://schemas.openxmlformats.org/markup-compatibility/2006">
      <mc:Choice Requires="x14">
        <oleObject progId="Equation.DSMT4" shapeId="2480" r:id="rId458">
          <objectPr defaultSize="0" r:id="rId142">
            <anchor moveWithCells="1">
              <from>
                <xdr:col>149</xdr:col>
                <xdr:colOff>123825</xdr:colOff>
                <xdr:row>46</xdr:row>
                <xdr:rowOff>114300</xdr:rowOff>
              </from>
              <to>
                <xdr:col>149</xdr:col>
                <xdr:colOff>904875</xdr:colOff>
                <xdr:row>47</xdr:row>
                <xdr:rowOff>142875</xdr:rowOff>
              </to>
            </anchor>
          </objectPr>
        </oleObject>
      </mc:Choice>
      <mc:Fallback>
        <oleObject progId="Equation.DSMT4" shapeId="2480" r:id="rId458"/>
      </mc:Fallback>
    </mc:AlternateContent>
    <mc:AlternateContent xmlns:mc="http://schemas.openxmlformats.org/markup-compatibility/2006">
      <mc:Choice Requires="x14">
        <oleObject progId="Equation.DSMT4" shapeId="2481" r:id="rId459">
          <objectPr defaultSize="0" r:id="rId144">
            <anchor moveWithCells="1">
              <from>
                <xdr:col>130</xdr:col>
                <xdr:colOff>304800</xdr:colOff>
                <xdr:row>43</xdr:row>
                <xdr:rowOff>85725</xdr:rowOff>
              </from>
              <to>
                <xdr:col>130</xdr:col>
                <xdr:colOff>876300</xdr:colOff>
                <xdr:row>44</xdr:row>
                <xdr:rowOff>161925</xdr:rowOff>
              </to>
            </anchor>
          </objectPr>
        </oleObject>
      </mc:Choice>
      <mc:Fallback>
        <oleObject progId="Equation.DSMT4" shapeId="2481" r:id="rId459"/>
      </mc:Fallback>
    </mc:AlternateContent>
    <mc:AlternateContent xmlns:mc="http://schemas.openxmlformats.org/markup-compatibility/2006">
      <mc:Choice Requires="x14">
        <oleObject progId="Equation.DSMT4" shapeId="2482" r:id="rId460">
          <objectPr defaultSize="0" r:id="rId146">
            <anchor moveWithCells="1">
              <from>
                <xdr:col>131</xdr:col>
                <xdr:colOff>295275</xdr:colOff>
                <xdr:row>43</xdr:row>
                <xdr:rowOff>104775</xdr:rowOff>
              </from>
              <to>
                <xdr:col>131</xdr:col>
                <xdr:colOff>752475</xdr:colOff>
                <xdr:row>44</xdr:row>
                <xdr:rowOff>200025</xdr:rowOff>
              </to>
            </anchor>
          </objectPr>
        </oleObject>
      </mc:Choice>
      <mc:Fallback>
        <oleObject progId="Equation.DSMT4" shapeId="2482" r:id="rId460"/>
      </mc:Fallback>
    </mc:AlternateContent>
    <mc:AlternateContent xmlns:mc="http://schemas.openxmlformats.org/markup-compatibility/2006">
      <mc:Choice Requires="x14">
        <oleObject progId="Equation.DSMT4" shapeId="2483" r:id="rId461">
          <objectPr defaultSize="0" r:id="rId148">
            <anchor moveWithCells="1">
              <from>
                <xdr:col>150</xdr:col>
                <xdr:colOff>314325</xdr:colOff>
                <xdr:row>46</xdr:row>
                <xdr:rowOff>142875</xdr:rowOff>
              </from>
              <to>
                <xdr:col>150</xdr:col>
                <xdr:colOff>723900</xdr:colOff>
                <xdr:row>47</xdr:row>
                <xdr:rowOff>85725</xdr:rowOff>
              </to>
            </anchor>
          </objectPr>
        </oleObject>
      </mc:Choice>
      <mc:Fallback>
        <oleObject progId="Equation.DSMT4" shapeId="2483" r:id="rId461"/>
      </mc:Fallback>
    </mc:AlternateContent>
    <mc:AlternateContent xmlns:mc="http://schemas.openxmlformats.org/markup-compatibility/2006">
      <mc:Choice Requires="x14">
        <oleObject progId="Equation.DSMT4" shapeId="2484" r:id="rId462">
          <objectPr defaultSize="0" r:id="rId114">
            <anchor moveWithCells="1">
              <from>
                <xdr:col>153</xdr:col>
                <xdr:colOff>381000</xdr:colOff>
                <xdr:row>46</xdr:row>
                <xdr:rowOff>142875</xdr:rowOff>
              </from>
              <to>
                <xdr:col>153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484" r:id="rId462"/>
      </mc:Fallback>
    </mc:AlternateContent>
    <mc:AlternateContent xmlns:mc="http://schemas.openxmlformats.org/markup-compatibility/2006">
      <mc:Choice Requires="x14">
        <oleObject progId="Equation.DSMT4" shapeId="2485" r:id="rId463">
          <objectPr defaultSize="0" r:id="rId124">
            <anchor moveWithCells="1">
              <from>
                <xdr:col>154</xdr:col>
                <xdr:colOff>381000</xdr:colOff>
                <xdr:row>46</xdr:row>
                <xdr:rowOff>142875</xdr:rowOff>
              </from>
              <to>
                <xdr:col>154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485" r:id="rId463"/>
      </mc:Fallback>
    </mc:AlternateContent>
    <mc:AlternateContent xmlns:mc="http://schemas.openxmlformats.org/markup-compatibility/2006">
      <mc:Choice Requires="x14">
        <oleObject progId="Equation.DSMT4" shapeId="2486" r:id="rId464">
          <objectPr defaultSize="0" r:id="rId116">
            <anchor moveWithCells="1">
              <from>
                <xdr:col>155</xdr:col>
                <xdr:colOff>381000</xdr:colOff>
                <xdr:row>46</xdr:row>
                <xdr:rowOff>142875</xdr:rowOff>
              </from>
              <to>
                <xdr:col>155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486" r:id="rId464"/>
      </mc:Fallback>
    </mc:AlternateContent>
    <mc:AlternateContent xmlns:mc="http://schemas.openxmlformats.org/markup-compatibility/2006">
      <mc:Choice Requires="x14">
        <oleObject progId="Equation.DSMT4" shapeId="2487" r:id="rId465">
          <objectPr defaultSize="0" r:id="rId118">
            <anchor moveWithCells="1">
              <from>
                <xdr:col>156</xdr:col>
                <xdr:colOff>390525</xdr:colOff>
                <xdr:row>46</xdr:row>
                <xdr:rowOff>142875</xdr:rowOff>
              </from>
              <to>
                <xdr:col>156</xdr:col>
                <xdr:colOff>647700</xdr:colOff>
                <xdr:row>47</xdr:row>
                <xdr:rowOff>142875</xdr:rowOff>
              </to>
            </anchor>
          </objectPr>
        </oleObject>
      </mc:Choice>
      <mc:Fallback>
        <oleObject progId="Equation.DSMT4" shapeId="2487" r:id="rId465"/>
      </mc:Fallback>
    </mc:AlternateContent>
    <mc:AlternateContent xmlns:mc="http://schemas.openxmlformats.org/markup-compatibility/2006">
      <mc:Choice Requires="x14">
        <oleObject progId="Equation.DSMT4" shapeId="2488" r:id="rId466">
          <objectPr defaultSize="0" r:id="rId120">
            <anchor moveWithCells="1">
              <from>
                <xdr:col>157</xdr:col>
                <xdr:colOff>381000</xdr:colOff>
                <xdr:row>46</xdr:row>
                <xdr:rowOff>142875</xdr:rowOff>
              </from>
              <to>
                <xdr:col>157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488" r:id="rId466"/>
      </mc:Fallback>
    </mc:AlternateContent>
    <mc:AlternateContent xmlns:mc="http://schemas.openxmlformats.org/markup-compatibility/2006">
      <mc:Choice Requires="x14">
        <oleObject progId="Equation.DSMT4" shapeId="2489" r:id="rId467">
          <objectPr defaultSize="0" r:id="rId122">
            <anchor moveWithCells="1">
              <from>
                <xdr:col>158</xdr:col>
                <xdr:colOff>352425</xdr:colOff>
                <xdr:row>46</xdr:row>
                <xdr:rowOff>142875</xdr:rowOff>
              </from>
              <to>
                <xdr:col>158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489" r:id="rId467"/>
      </mc:Fallback>
    </mc:AlternateContent>
    <mc:AlternateContent xmlns:mc="http://schemas.openxmlformats.org/markup-compatibility/2006">
      <mc:Choice Requires="x14">
        <oleObject progId="Equation.DSMT4" shapeId="2490" r:id="rId468">
          <objectPr defaultSize="0" r:id="rId156">
            <anchor moveWithCells="1">
              <from>
                <xdr:col>159</xdr:col>
                <xdr:colOff>428625</xdr:colOff>
                <xdr:row>46</xdr:row>
                <xdr:rowOff>142875</xdr:rowOff>
              </from>
              <to>
                <xdr:col>159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490" r:id="rId468"/>
      </mc:Fallback>
    </mc:AlternateContent>
    <mc:AlternateContent xmlns:mc="http://schemas.openxmlformats.org/markup-compatibility/2006">
      <mc:Choice Requires="x14">
        <oleObject progId="Equation.DSMT4" shapeId="2491" r:id="rId469">
          <objectPr defaultSize="0" r:id="rId158">
            <anchor moveWithCells="1">
              <from>
                <xdr:col>160</xdr:col>
                <xdr:colOff>390525</xdr:colOff>
                <xdr:row>46</xdr:row>
                <xdr:rowOff>142875</xdr:rowOff>
              </from>
              <to>
                <xdr:col>160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491" r:id="rId469"/>
      </mc:Fallback>
    </mc:AlternateContent>
    <mc:AlternateContent xmlns:mc="http://schemas.openxmlformats.org/markup-compatibility/2006">
      <mc:Choice Requires="x14">
        <oleObject progId="Equation.DSMT4" shapeId="2492" r:id="rId470">
          <objectPr defaultSize="0" r:id="rId160">
            <anchor moveWithCells="1">
              <from>
                <xdr:col>161</xdr:col>
                <xdr:colOff>219075</xdr:colOff>
                <xdr:row>46</xdr:row>
                <xdr:rowOff>114300</xdr:rowOff>
              </from>
              <to>
                <xdr:col>161</xdr:col>
                <xdr:colOff>838200</xdr:colOff>
                <xdr:row>47</xdr:row>
                <xdr:rowOff>142875</xdr:rowOff>
              </to>
            </anchor>
          </objectPr>
        </oleObject>
      </mc:Choice>
      <mc:Fallback>
        <oleObject progId="Equation.DSMT4" shapeId="2492" r:id="rId470"/>
      </mc:Fallback>
    </mc:AlternateContent>
    <mc:AlternateContent xmlns:mc="http://schemas.openxmlformats.org/markup-compatibility/2006">
      <mc:Choice Requires="x14">
        <oleObject progId="Equation.DSMT4" shapeId="2493" r:id="rId471">
          <objectPr defaultSize="0" r:id="rId114">
            <anchor moveWithCells="1">
              <from>
                <xdr:col>162</xdr:col>
                <xdr:colOff>381000</xdr:colOff>
                <xdr:row>46</xdr:row>
                <xdr:rowOff>142875</xdr:rowOff>
              </from>
              <to>
                <xdr:col>162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493" r:id="rId471"/>
      </mc:Fallback>
    </mc:AlternateContent>
    <mc:AlternateContent xmlns:mc="http://schemas.openxmlformats.org/markup-compatibility/2006">
      <mc:Choice Requires="x14">
        <oleObject progId="Equation.DSMT4" shapeId="2494" r:id="rId472">
          <objectPr defaultSize="0" r:id="rId124">
            <anchor moveWithCells="1">
              <from>
                <xdr:col>163</xdr:col>
                <xdr:colOff>381000</xdr:colOff>
                <xdr:row>46</xdr:row>
                <xdr:rowOff>142875</xdr:rowOff>
              </from>
              <to>
                <xdr:col>163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494" r:id="rId472"/>
      </mc:Fallback>
    </mc:AlternateContent>
    <mc:AlternateContent xmlns:mc="http://schemas.openxmlformats.org/markup-compatibility/2006">
      <mc:Choice Requires="x14">
        <oleObject progId="Equation.DSMT4" shapeId="2495" r:id="rId473">
          <objectPr defaultSize="0" r:id="rId116">
            <anchor moveWithCells="1">
              <from>
                <xdr:col>164</xdr:col>
                <xdr:colOff>381000</xdr:colOff>
                <xdr:row>46</xdr:row>
                <xdr:rowOff>142875</xdr:rowOff>
              </from>
              <to>
                <xdr:col>164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495" r:id="rId473"/>
      </mc:Fallback>
    </mc:AlternateContent>
    <mc:AlternateContent xmlns:mc="http://schemas.openxmlformats.org/markup-compatibility/2006">
      <mc:Choice Requires="x14">
        <oleObject progId="Equation.DSMT4" shapeId="2496" r:id="rId474">
          <objectPr defaultSize="0" r:id="rId118">
            <anchor moveWithCells="1">
              <from>
                <xdr:col>165</xdr:col>
                <xdr:colOff>390525</xdr:colOff>
                <xdr:row>46</xdr:row>
                <xdr:rowOff>142875</xdr:rowOff>
              </from>
              <to>
                <xdr:col>165</xdr:col>
                <xdr:colOff>647700</xdr:colOff>
                <xdr:row>47</xdr:row>
                <xdr:rowOff>142875</xdr:rowOff>
              </to>
            </anchor>
          </objectPr>
        </oleObject>
      </mc:Choice>
      <mc:Fallback>
        <oleObject progId="Equation.DSMT4" shapeId="2496" r:id="rId474"/>
      </mc:Fallback>
    </mc:AlternateContent>
    <mc:AlternateContent xmlns:mc="http://schemas.openxmlformats.org/markup-compatibility/2006">
      <mc:Choice Requires="x14">
        <oleObject progId="Equation.DSMT4" shapeId="2497" r:id="rId475">
          <objectPr defaultSize="0" r:id="rId120">
            <anchor moveWithCells="1">
              <from>
                <xdr:col>166</xdr:col>
                <xdr:colOff>381000</xdr:colOff>
                <xdr:row>46</xdr:row>
                <xdr:rowOff>142875</xdr:rowOff>
              </from>
              <to>
                <xdr:col>166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497" r:id="rId475"/>
      </mc:Fallback>
    </mc:AlternateContent>
    <mc:AlternateContent xmlns:mc="http://schemas.openxmlformats.org/markup-compatibility/2006">
      <mc:Choice Requires="x14">
        <oleObject progId="Equation.DSMT4" shapeId="2498" r:id="rId476">
          <objectPr defaultSize="0" r:id="rId122">
            <anchor moveWithCells="1">
              <from>
                <xdr:col>167</xdr:col>
                <xdr:colOff>352425</xdr:colOff>
                <xdr:row>46</xdr:row>
                <xdr:rowOff>142875</xdr:rowOff>
              </from>
              <to>
                <xdr:col>167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498" r:id="rId476"/>
      </mc:Fallback>
    </mc:AlternateContent>
    <mc:AlternateContent xmlns:mc="http://schemas.openxmlformats.org/markup-compatibility/2006">
      <mc:Choice Requires="x14">
        <oleObject progId="Equation.DSMT4" shapeId="2499" r:id="rId477">
          <objectPr defaultSize="0" r:id="rId156">
            <anchor moveWithCells="1">
              <from>
                <xdr:col>168</xdr:col>
                <xdr:colOff>428625</xdr:colOff>
                <xdr:row>46</xdr:row>
                <xdr:rowOff>142875</xdr:rowOff>
              </from>
              <to>
                <xdr:col>168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499" r:id="rId477"/>
      </mc:Fallback>
    </mc:AlternateContent>
    <mc:AlternateContent xmlns:mc="http://schemas.openxmlformats.org/markup-compatibility/2006">
      <mc:Choice Requires="x14">
        <oleObject progId="Equation.DSMT4" shapeId="2500" r:id="rId478">
          <objectPr defaultSize="0" r:id="rId158">
            <anchor moveWithCells="1">
              <from>
                <xdr:col>169</xdr:col>
                <xdr:colOff>390525</xdr:colOff>
                <xdr:row>46</xdr:row>
                <xdr:rowOff>142875</xdr:rowOff>
              </from>
              <to>
                <xdr:col>169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500" r:id="rId478"/>
      </mc:Fallback>
    </mc:AlternateContent>
    <mc:AlternateContent xmlns:mc="http://schemas.openxmlformats.org/markup-compatibility/2006">
      <mc:Choice Requires="x14">
        <oleObject progId="Equation.DSMT4" shapeId="2501" r:id="rId479">
          <objectPr defaultSize="0" r:id="rId170">
            <anchor moveWithCells="1">
              <from>
                <xdr:col>170</xdr:col>
                <xdr:colOff>76200</xdr:colOff>
                <xdr:row>46</xdr:row>
                <xdr:rowOff>114300</xdr:rowOff>
              </from>
              <to>
                <xdr:col>170</xdr:col>
                <xdr:colOff>1000125</xdr:colOff>
                <xdr:row>47</xdr:row>
                <xdr:rowOff>161925</xdr:rowOff>
              </to>
            </anchor>
          </objectPr>
        </oleObject>
      </mc:Choice>
      <mc:Fallback>
        <oleObject progId="Equation.DSMT4" shapeId="2501" r:id="rId479"/>
      </mc:Fallback>
    </mc:AlternateContent>
    <mc:AlternateContent xmlns:mc="http://schemas.openxmlformats.org/markup-compatibility/2006">
      <mc:Choice Requires="x14">
        <oleObject progId="Equation.DSMT4" shapeId="2502" r:id="rId480">
          <objectPr defaultSize="0" r:id="rId172">
            <anchor moveWithCells="1">
              <from>
                <xdr:col>171</xdr:col>
                <xdr:colOff>390525</xdr:colOff>
                <xdr:row>46</xdr:row>
                <xdr:rowOff>142875</xdr:rowOff>
              </from>
              <to>
                <xdr:col>171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502" r:id="rId480"/>
      </mc:Fallback>
    </mc:AlternateContent>
    <mc:AlternateContent xmlns:mc="http://schemas.openxmlformats.org/markup-compatibility/2006">
      <mc:Choice Requires="x14">
        <oleObject progId="Equation.DSMT4" shapeId="2503" r:id="rId481">
          <objectPr defaultSize="0" r:id="rId174">
            <anchor moveWithCells="1">
              <from>
                <xdr:col>172</xdr:col>
                <xdr:colOff>76200</xdr:colOff>
                <xdr:row>46</xdr:row>
                <xdr:rowOff>114300</xdr:rowOff>
              </from>
              <to>
                <xdr:col>172</xdr:col>
                <xdr:colOff>1000125</xdr:colOff>
                <xdr:row>47</xdr:row>
                <xdr:rowOff>161925</xdr:rowOff>
              </to>
            </anchor>
          </objectPr>
        </oleObject>
      </mc:Choice>
      <mc:Fallback>
        <oleObject progId="Equation.DSMT4" shapeId="2503" r:id="rId481"/>
      </mc:Fallback>
    </mc:AlternateContent>
    <mc:AlternateContent xmlns:mc="http://schemas.openxmlformats.org/markup-compatibility/2006">
      <mc:Choice Requires="x14">
        <oleObject progId="Equation.DSMT4" shapeId="2504" r:id="rId482">
          <objectPr defaultSize="0" r:id="rId176">
            <anchor moveWithCells="1">
              <from>
                <xdr:col>173</xdr:col>
                <xdr:colOff>76200</xdr:colOff>
                <xdr:row>46</xdr:row>
                <xdr:rowOff>114300</xdr:rowOff>
              </from>
              <to>
                <xdr:col>173</xdr:col>
                <xdr:colOff>1000125</xdr:colOff>
                <xdr:row>47</xdr:row>
                <xdr:rowOff>161925</xdr:rowOff>
              </to>
            </anchor>
          </objectPr>
        </oleObject>
      </mc:Choice>
      <mc:Fallback>
        <oleObject progId="Equation.DSMT4" shapeId="2504" r:id="rId482"/>
      </mc:Fallback>
    </mc:AlternateContent>
    <mc:AlternateContent xmlns:mc="http://schemas.openxmlformats.org/markup-compatibility/2006">
      <mc:Choice Requires="x14">
        <oleObject progId="Equation.DSMT4" shapeId="2505" r:id="rId483">
          <objectPr defaultSize="0" r:id="rId178">
            <anchor moveWithCells="1">
              <from>
                <xdr:col>174</xdr:col>
                <xdr:colOff>200025</xdr:colOff>
                <xdr:row>46</xdr:row>
                <xdr:rowOff>114300</xdr:rowOff>
              </from>
              <to>
                <xdr:col>174</xdr:col>
                <xdr:colOff>800100</xdr:colOff>
                <xdr:row>47</xdr:row>
                <xdr:rowOff>142875</xdr:rowOff>
              </to>
            </anchor>
          </objectPr>
        </oleObject>
      </mc:Choice>
      <mc:Fallback>
        <oleObject progId="Equation.DSMT4" shapeId="2505" r:id="rId483"/>
      </mc:Fallback>
    </mc:AlternateContent>
    <mc:AlternateContent xmlns:mc="http://schemas.openxmlformats.org/markup-compatibility/2006">
      <mc:Choice Requires="x14">
        <oleObject progId="Equation.DSMT4" shapeId="2506" r:id="rId484">
          <objectPr defaultSize="0" r:id="rId180">
            <anchor moveWithCells="1">
              <from>
                <xdr:col>175</xdr:col>
                <xdr:colOff>200025</xdr:colOff>
                <xdr:row>46</xdr:row>
                <xdr:rowOff>114300</xdr:rowOff>
              </from>
              <to>
                <xdr:col>175</xdr:col>
                <xdr:colOff>800100</xdr:colOff>
                <xdr:row>47</xdr:row>
                <xdr:rowOff>142875</xdr:rowOff>
              </to>
            </anchor>
          </objectPr>
        </oleObject>
      </mc:Choice>
      <mc:Fallback>
        <oleObject progId="Equation.DSMT4" shapeId="2506" r:id="rId484"/>
      </mc:Fallback>
    </mc:AlternateContent>
    <mc:AlternateContent xmlns:mc="http://schemas.openxmlformats.org/markup-compatibility/2006">
      <mc:Choice Requires="x14">
        <oleObject progId="Equation.DSMT4" shapeId="2507" r:id="rId485">
          <objectPr defaultSize="0" r:id="rId90">
            <anchor moveWithCells="1">
              <from>
                <xdr:col>186</xdr:col>
                <xdr:colOff>76200</xdr:colOff>
                <xdr:row>46</xdr:row>
                <xdr:rowOff>123825</xdr:rowOff>
              </from>
              <to>
                <xdr:col>186</xdr:col>
                <xdr:colOff>923925</xdr:colOff>
                <xdr:row>47</xdr:row>
                <xdr:rowOff>219075</xdr:rowOff>
              </to>
            </anchor>
          </objectPr>
        </oleObject>
      </mc:Choice>
      <mc:Fallback>
        <oleObject progId="Equation.DSMT4" shapeId="2507" r:id="rId485"/>
      </mc:Fallback>
    </mc:AlternateContent>
    <mc:AlternateContent xmlns:mc="http://schemas.openxmlformats.org/markup-compatibility/2006">
      <mc:Choice Requires="x14">
        <oleObject progId="Equation.DSMT4" shapeId="2508" r:id="rId486">
          <objectPr defaultSize="0" r:id="rId92">
            <anchor moveWithCells="1">
              <from>
                <xdr:col>185</xdr:col>
                <xdr:colOff>219075</xdr:colOff>
                <xdr:row>43</xdr:row>
                <xdr:rowOff>85725</xdr:rowOff>
              </from>
              <to>
                <xdr:col>185</xdr:col>
                <xdr:colOff>876300</xdr:colOff>
                <xdr:row>44</xdr:row>
                <xdr:rowOff>161925</xdr:rowOff>
              </to>
            </anchor>
          </objectPr>
        </oleObject>
      </mc:Choice>
      <mc:Fallback>
        <oleObject progId="Equation.DSMT4" shapeId="2508" r:id="rId486"/>
      </mc:Fallback>
    </mc:AlternateContent>
    <mc:AlternateContent xmlns:mc="http://schemas.openxmlformats.org/markup-compatibility/2006">
      <mc:Choice Requires="x14">
        <oleObject progId="Equation.DSMT4" shapeId="2509" r:id="rId487">
          <objectPr defaultSize="0" autoPict="0" r:id="rId94">
            <anchor moveWithCells="1">
              <from>
                <xdr:col>187</xdr:col>
                <xdr:colOff>390525</xdr:colOff>
                <xdr:row>43</xdr:row>
                <xdr:rowOff>28575</xdr:rowOff>
              </from>
              <to>
                <xdr:col>187</xdr:col>
                <xdr:colOff>619125</xdr:colOff>
                <xdr:row>44</xdr:row>
                <xdr:rowOff>219075</xdr:rowOff>
              </to>
            </anchor>
          </objectPr>
        </oleObject>
      </mc:Choice>
      <mc:Fallback>
        <oleObject progId="Equation.DSMT4" shapeId="2509" r:id="rId487"/>
      </mc:Fallback>
    </mc:AlternateContent>
    <mc:AlternateContent xmlns:mc="http://schemas.openxmlformats.org/markup-compatibility/2006">
      <mc:Choice Requires="x14">
        <oleObject progId="Equation.DSMT4" shapeId="2510" r:id="rId488">
          <objectPr defaultSize="0" r:id="rId96">
            <anchor moveWithCells="1">
              <from>
                <xdr:col>188</xdr:col>
                <xdr:colOff>104775</xdr:colOff>
                <xdr:row>43</xdr:row>
                <xdr:rowOff>66675</xdr:rowOff>
              </from>
              <to>
                <xdr:col>188</xdr:col>
                <xdr:colOff>923925</xdr:colOff>
                <xdr:row>44</xdr:row>
                <xdr:rowOff>114300</xdr:rowOff>
              </to>
            </anchor>
          </objectPr>
        </oleObject>
      </mc:Choice>
      <mc:Fallback>
        <oleObject progId="Equation.DSMT4" shapeId="2510" r:id="rId488"/>
      </mc:Fallback>
    </mc:AlternateContent>
    <mc:AlternateContent xmlns:mc="http://schemas.openxmlformats.org/markup-compatibility/2006">
      <mc:Choice Requires="x14">
        <oleObject progId="Equation.DSMT4" shapeId="2511" r:id="rId489">
          <objectPr defaultSize="0" r:id="rId98">
            <anchor moveWithCells="1">
              <from>
                <xdr:col>190</xdr:col>
                <xdr:colOff>428625</xdr:colOff>
                <xdr:row>46</xdr:row>
                <xdr:rowOff>161925</xdr:rowOff>
              </from>
              <to>
                <xdr:col>190</xdr:col>
                <xdr:colOff>600075</xdr:colOff>
                <xdr:row>47</xdr:row>
                <xdr:rowOff>114300</xdr:rowOff>
              </to>
            </anchor>
          </objectPr>
        </oleObject>
      </mc:Choice>
      <mc:Fallback>
        <oleObject progId="Equation.DSMT4" shapeId="2511" r:id="rId489"/>
      </mc:Fallback>
    </mc:AlternateContent>
    <mc:AlternateContent xmlns:mc="http://schemas.openxmlformats.org/markup-compatibility/2006">
      <mc:Choice Requires="x14">
        <oleObject progId="Equation.DSMT4" shapeId="2512" r:id="rId490">
          <objectPr defaultSize="0" r:id="rId100">
            <anchor moveWithCells="1">
              <from>
                <xdr:col>192</xdr:col>
                <xdr:colOff>142875</xdr:colOff>
                <xdr:row>46</xdr:row>
                <xdr:rowOff>142875</xdr:rowOff>
              </from>
              <to>
                <xdr:col>192</xdr:col>
                <xdr:colOff>800100</xdr:colOff>
                <xdr:row>47</xdr:row>
                <xdr:rowOff>161925</xdr:rowOff>
              </to>
            </anchor>
          </objectPr>
        </oleObject>
      </mc:Choice>
      <mc:Fallback>
        <oleObject progId="Equation.DSMT4" shapeId="2512" r:id="rId490"/>
      </mc:Fallback>
    </mc:AlternateContent>
    <mc:AlternateContent xmlns:mc="http://schemas.openxmlformats.org/markup-compatibility/2006">
      <mc:Choice Requires="x14">
        <oleObject progId="Equation.DSMT4" shapeId="2513" r:id="rId491">
          <objectPr defaultSize="0" r:id="rId132">
            <anchor moveWithCells="1">
              <from>
                <xdr:col>199</xdr:col>
                <xdr:colOff>123825</xdr:colOff>
                <xdr:row>46</xdr:row>
                <xdr:rowOff>114300</xdr:rowOff>
              </from>
              <to>
                <xdr:col>199</xdr:col>
                <xdr:colOff>923925</xdr:colOff>
                <xdr:row>47</xdr:row>
                <xdr:rowOff>142875</xdr:rowOff>
              </to>
            </anchor>
          </objectPr>
        </oleObject>
      </mc:Choice>
      <mc:Fallback>
        <oleObject progId="Equation.DSMT4" shapeId="2513" r:id="rId491"/>
      </mc:Fallback>
    </mc:AlternateContent>
    <mc:AlternateContent xmlns:mc="http://schemas.openxmlformats.org/markup-compatibility/2006">
      <mc:Choice Requires="x14">
        <oleObject progId="Equation.DSMT4" shapeId="2514" r:id="rId492">
          <objectPr defaultSize="0" r:id="rId134">
            <anchor moveWithCells="1">
              <from>
                <xdr:col>200</xdr:col>
                <xdr:colOff>257175</xdr:colOff>
                <xdr:row>46</xdr:row>
                <xdr:rowOff>114300</xdr:rowOff>
              </from>
              <to>
                <xdr:col>200</xdr:col>
                <xdr:colOff>762000</xdr:colOff>
                <xdr:row>47</xdr:row>
                <xdr:rowOff>142875</xdr:rowOff>
              </to>
            </anchor>
          </objectPr>
        </oleObject>
      </mc:Choice>
      <mc:Fallback>
        <oleObject progId="Equation.DSMT4" shapeId="2514" r:id="rId492"/>
      </mc:Fallback>
    </mc:AlternateContent>
    <mc:AlternateContent xmlns:mc="http://schemas.openxmlformats.org/markup-compatibility/2006">
      <mc:Choice Requires="x14">
        <oleObject progId="Equation.DSMT4" shapeId="2515" r:id="rId493">
          <objectPr defaultSize="0" r:id="rId136">
            <anchor moveWithCells="1">
              <from>
                <xdr:col>205</xdr:col>
                <xdr:colOff>123825</xdr:colOff>
                <xdr:row>46</xdr:row>
                <xdr:rowOff>114300</xdr:rowOff>
              </from>
              <to>
                <xdr:col>205</xdr:col>
                <xdr:colOff>923925</xdr:colOff>
                <xdr:row>47</xdr:row>
                <xdr:rowOff>142875</xdr:rowOff>
              </to>
            </anchor>
          </objectPr>
        </oleObject>
      </mc:Choice>
      <mc:Fallback>
        <oleObject progId="Equation.DSMT4" shapeId="2515" r:id="rId493"/>
      </mc:Fallback>
    </mc:AlternateContent>
    <mc:AlternateContent xmlns:mc="http://schemas.openxmlformats.org/markup-compatibility/2006">
      <mc:Choice Requires="x14">
        <oleObject progId="Equation.DSMT4" shapeId="2516" r:id="rId494">
          <objectPr defaultSize="0" r:id="rId138">
            <anchor moveWithCells="1">
              <from>
                <xdr:col>206</xdr:col>
                <xdr:colOff>257175</xdr:colOff>
                <xdr:row>46</xdr:row>
                <xdr:rowOff>114300</xdr:rowOff>
              </from>
              <to>
                <xdr:col>206</xdr:col>
                <xdr:colOff>762000</xdr:colOff>
                <xdr:row>47</xdr:row>
                <xdr:rowOff>142875</xdr:rowOff>
              </to>
            </anchor>
          </objectPr>
        </oleObject>
      </mc:Choice>
      <mc:Fallback>
        <oleObject progId="Equation.DSMT4" shapeId="2516" r:id="rId494"/>
      </mc:Fallback>
    </mc:AlternateContent>
    <mc:AlternateContent xmlns:mc="http://schemas.openxmlformats.org/markup-compatibility/2006">
      <mc:Choice Requires="x14">
        <oleObject progId="Equation.DSMT4" shapeId="2517" r:id="rId495">
          <objectPr defaultSize="0" r:id="rId140">
            <anchor moveWithCells="1">
              <from>
                <xdr:col>207</xdr:col>
                <xdr:colOff>257175</xdr:colOff>
                <xdr:row>46</xdr:row>
                <xdr:rowOff>114300</xdr:rowOff>
              </from>
              <to>
                <xdr:col>207</xdr:col>
                <xdr:colOff>752475</xdr:colOff>
                <xdr:row>47</xdr:row>
                <xdr:rowOff>142875</xdr:rowOff>
              </to>
            </anchor>
          </objectPr>
        </oleObject>
      </mc:Choice>
      <mc:Fallback>
        <oleObject progId="Equation.DSMT4" shapeId="2517" r:id="rId495"/>
      </mc:Fallback>
    </mc:AlternateContent>
    <mc:AlternateContent xmlns:mc="http://schemas.openxmlformats.org/markup-compatibility/2006">
      <mc:Choice Requires="x14">
        <oleObject progId="Equation.DSMT4" shapeId="2518" r:id="rId496">
          <objectPr defaultSize="0" r:id="rId142">
            <anchor moveWithCells="1">
              <from>
                <xdr:col>208</xdr:col>
                <xdr:colOff>123825</xdr:colOff>
                <xdr:row>46</xdr:row>
                <xdr:rowOff>114300</xdr:rowOff>
              </from>
              <to>
                <xdr:col>208</xdr:col>
                <xdr:colOff>904875</xdr:colOff>
                <xdr:row>47</xdr:row>
                <xdr:rowOff>142875</xdr:rowOff>
              </to>
            </anchor>
          </objectPr>
        </oleObject>
      </mc:Choice>
      <mc:Fallback>
        <oleObject progId="Equation.DSMT4" shapeId="2518" r:id="rId496"/>
      </mc:Fallback>
    </mc:AlternateContent>
    <mc:AlternateContent xmlns:mc="http://schemas.openxmlformats.org/markup-compatibility/2006">
      <mc:Choice Requires="x14">
        <oleObject progId="Equation.DSMT4" shapeId="2519" r:id="rId497">
          <objectPr defaultSize="0" r:id="rId144">
            <anchor moveWithCells="1">
              <from>
                <xdr:col>189</xdr:col>
                <xdr:colOff>304800</xdr:colOff>
                <xdr:row>43</xdr:row>
                <xdr:rowOff>85725</xdr:rowOff>
              </from>
              <to>
                <xdr:col>189</xdr:col>
                <xdr:colOff>876300</xdr:colOff>
                <xdr:row>44</xdr:row>
                <xdr:rowOff>161925</xdr:rowOff>
              </to>
            </anchor>
          </objectPr>
        </oleObject>
      </mc:Choice>
      <mc:Fallback>
        <oleObject progId="Equation.DSMT4" shapeId="2519" r:id="rId497"/>
      </mc:Fallback>
    </mc:AlternateContent>
    <mc:AlternateContent xmlns:mc="http://schemas.openxmlformats.org/markup-compatibility/2006">
      <mc:Choice Requires="x14">
        <oleObject progId="Equation.DSMT4" shapeId="2520" r:id="rId498">
          <objectPr defaultSize="0" r:id="rId146">
            <anchor moveWithCells="1">
              <from>
                <xdr:col>190</xdr:col>
                <xdr:colOff>295275</xdr:colOff>
                <xdr:row>43</xdr:row>
                <xdr:rowOff>104775</xdr:rowOff>
              </from>
              <to>
                <xdr:col>190</xdr:col>
                <xdr:colOff>752475</xdr:colOff>
                <xdr:row>44</xdr:row>
                <xdr:rowOff>200025</xdr:rowOff>
              </to>
            </anchor>
          </objectPr>
        </oleObject>
      </mc:Choice>
      <mc:Fallback>
        <oleObject progId="Equation.DSMT4" shapeId="2520" r:id="rId498"/>
      </mc:Fallback>
    </mc:AlternateContent>
    <mc:AlternateContent xmlns:mc="http://schemas.openxmlformats.org/markup-compatibility/2006">
      <mc:Choice Requires="x14">
        <oleObject progId="Equation.DSMT4" shapeId="2521" r:id="rId499">
          <objectPr defaultSize="0" r:id="rId148">
            <anchor moveWithCells="1">
              <from>
                <xdr:col>209</xdr:col>
                <xdr:colOff>314325</xdr:colOff>
                <xdr:row>46</xdr:row>
                <xdr:rowOff>142875</xdr:rowOff>
              </from>
              <to>
                <xdr:col>209</xdr:col>
                <xdr:colOff>723900</xdr:colOff>
                <xdr:row>47</xdr:row>
                <xdr:rowOff>85725</xdr:rowOff>
              </to>
            </anchor>
          </objectPr>
        </oleObject>
      </mc:Choice>
      <mc:Fallback>
        <oleObject progId="Equation.DSMT4" shapeId="2521" r:id="rId499"/>
      </mc:Fallback>
    </mc:AlternateContent>
    <mc:AlternateContent xmlns:mc="http://schemas.openxmlformats.org/markup-compatibility/2006">
      <mc:Choice Requires="x14">
        <oleObject progId="Equation.DSMT4" shapeId="2522" r:id="rId500">
          <objectPr defaultSize="0" r:id="rId114">
            <anchor moveWithCells="1">
              <from>
                <xdr:col>212</xdr:col>
                <xdr:colOff>381000</xdr:colOff>
                <xdr:row>46</xdr:row>
                <xdr:rowOff>142875</xdr:rowOff>
              </from>
              <to>
                <xdr:col>212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522" r:id="rId500"/>
      </mc:Fallback>
    </mc:AlternateContent>
    <mc:AlternateContent xmlns:mc="http://schemas.openxmlformats.org/markup-compatibility/2006">
      <mc:Choice Requires="x14">
        <oleObject progId="Equation.DSMT4" shapeId="2523" r:id="rId501">
          <objectPr defaultSize="0" r:id="rId124">
            <anchor moveWithCells="1">
              <from>
                <xdr:col>213</xdr:col>
                <xdr:colOff>381000</xdr:colOff>
                <xdr:row>46</xdr:row>
                <xdr:rowOff>142875</xdr:rowOff>
              </from>
              <to>
                <xdr:col>213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523" r:id="rId501"/>
      </mc:Fallback>
    </mc:AlternateContent>
    <mc:AlternateContent xmlns:mc="http://schemas.openxmlformats.org/markup-compatibility/2006">
      <mc:Choice Requires="x14">
        <oleObject progId="Equation.DSMT4" shapeId="2524" r:id="rId502">
          <objectPr defaultSize="0" r:id="rId116">
            <anchor moveWithCells="1">
              <from>
                <xdr:col>214</xdr:col>
                <xdr:colOff>381000</xdr:colOff>
                <xdr:row>46</xdr:row>
                <xdr:rowOff>142875</xdr:rowOff>
              </from>
              <to>
                <xdr:col>214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524" r:id="rId502"/>
      </mc:Fallback>
    </mc:AlternateContent>
    <mc:AlternateContent xmlns:mc="http://schemas.openxmlformats.org/markup-compatibility/2006">
      <mc:Choice Requires="x14">
        <oleObject progId="Equation.DSMT4" shapeId="2525" r:id="rId503">
          <objectPr defaultSize="0" r:id="rId118">
            <anchor moveWithCells="1">
              <from>
                <xdr:col>215</xdr:col>
                <xdr:colOff>390525</xdr:colOff>
                <xdr:row>46</xdr:row>
                <xdr:rowOff>142875</xdr:rowOff>
              </from>
              <to>
                <xdr:col>215</xdr:col>
                <xdr:colOff>647700</xdr:colOff>
                <xdr:row>47</xdr:row>
                <xdr:rowOff>142875</xdr:rowOff>
              </to>
            </anchor>
          </objectPr>
        </oleObject>
      </mc:Choice>
      <mc:Fallback>
        <oleObject progId="Equation.DSMT4" shapeId="2525" r:id="rId503"/>
      </mc:Fallback>
    </mc:AlternateContent>
    <mc:AlternateContent xmlns:mc="http://schemas.openxmlformats.org/markup-compatibility/2006">
      <mc:Choice Requires="x14">
        <oleObject progId="Equation.DSMT4" shapeId="2526" r:id="rId504">
          <objectPr defaultSize="0" r:id="rId120">
            <anchor moveWithCells="1">
              <from>
                <xdr:col>216</xdr:col>
                <xdr:colOff>381000</xdr:colOff>
                <xdr:row>46</xdr:row>
                <xdr:rowOff>142875</xdr:rowOff>
              </from>
              <to>
                <xdr:col>216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526" r:id="rId504"/>
      </mc:Fallback>
    </mc:AlternateContent>
    <mc:AlternateContent xmlns:mc="http://schemas.openxmlformats.org/markup-compatibility/2006">
      <mc:Choice Requires="x14">
        <oleObject progId="Equation.DSMT4" shapeId="2527" r:id="rId505">
          <objectPr defaultSize="0" r:id="rId122">
            <anchor moveWithCells="1">
              <from>
                <xdr:col>217</xdr:col>
                <xdr:colOff>352425</xdr:colOff>
                <xdr:row>46</xdr:row>
                <xdr:rowOff>142875</xdr:rowOff>
              </from>
              <to>
                <xdr:col>217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527" r:id="rId505"/>
      </mc:Fallback>
    </mc:AlternateContent>
    <mc:AlternateContent xmlns:mc="http://schemas.openxmlformats.org/markup-compatibility/2006">
      <mc:Choice Requires="x14">
        <oleObject progId="Equation.DSMT4" shapeId="2528" r:id="rId506">
          <objectPr defaultSize="0" r:id="rId156">
            <anchor moveWithCells="1">
              <from>
                <xdr:col>218</xdr:col>
                <xdr:colOff>428625</xdr:colOff>
                <xdr:row>46</xdr:row>
                <xdr:rowOff>142875</xdr:rowOff>
              </from>
              <to>
                <xdr:col>218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528" r:id="rId506"/>
      </mc:Fallback>
    </mc:AlternateContent>
    <mc:AlternateContent xmlns:mc="http://schemas.openxmlformats.org/markup-compatibility/2006">
      <mc:Choice Requires="x14">
        <oleObject progId="Equation.DSMT4" shapeId="2529" r:id="rId507">
          <objectPr defaultSize="0" r:id="rId158">
            <anchor moveWithCells="1">
              <from>
                <xdr:col>219</xdr:col>
                <xdr:colOff>390525</xdr:colOff>
                <xdr:row>46</xdr:row>
                <xdr:rowOff>142875</xdr:rowOff>
              </from>
              <to>
                <xdr:col>219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529" r:id="rId507"/>
      </mc:Fallback>
    </mc:AlternateContent>
    <mc:AlternateContent xmlns:mc="http://schemas.openxmlformats.org/markup-compatibility/2006">
      <mc:Choice Requires="x14">
        <oleObject progId="Equation.DSMT4" shapeId="2530" r:id="rId508">
          <objectPr defaultSize="0" r:id="rId160">
            <anchor moveWithCells="1">
              <from>
                <xdr:col>220</xdr:col>
                <xdr:colOff>219075</xdr:colOff>
                <xdr:row>46</xdr:row>
                <xdr:rowOff>114300</xdr:rowOff>
              </from>
              <to>
                <xdr:col>220</xdr:col>
                <xdr:colOff>838200</xdr:colOff>
                <xdr:row>47</xdr:row>
                <xdr:rowOff>142875</xdr:rowOff>
              </to>
            </anchor>
          </objectPr>
        </oleObject>
      </mc:Choice>
      <mc:Fallback>
        <oleObject progId="Equation.DSMT4" shapeId="2530" r:id="rId508"/>
      </mc:Fallback>
    </mc:AlternateContent>
    <mc:AlternateContent xmlns:mc="http://schemas.openxmlformats.org/markup-compatibility/2006">
      <mc:Choice Requires="x14">
        <oleObject progId="Equation.DSMT4" shapeId="2531" r:id="rId509">
          <objectPr defaultSize="0" r:id="rId114">
            <anchor moveWithCells="1">
              <from>
                <xdr:col>221</xdr:col>
                <xdr:colOff>381000</xdr:colOff>
                <xdr:row>46</xdr:row>
                <xdr:rowOff>142875</xdr:rowOff>
              </from>
              <to>
                <xdr:col>221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531" r:id="rId509"/>
      </mc:Fallback>
    </mc:AlternateContent>
    <mc:AlternateContent xmlns:mc="http://schemas.openxmlformats.org/markup-compatibility/2006">
      <mc:Choice Requires="x14">
        <oleObject progId="Equation.DSMT4" shapeId="2532" r:id="rId510">
          <objectPr defaultSize="0" r:id="rId124">
            <anchor moveWithCells="1">
              <from>
                <xdr:col>222</xdr:col>
                <xdr:colOff>381000</xdr:colOff>
                <xdr:row>46</xdr:row>
                <xdr:rowOff>142875</xdr:rowOff>
              </from>
              <to>
                <xdr:col>222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532" r:id="rId510"/>
      </mc:Fallback>
    </mc:AlternateContent>
    <mc:AlternateContent xmlns:mc="http://schemas.openxmlformats.org/markup-compatibility/2006">
      <mc:Choice Requires="x14">
        <oleObject progId="Equation.DSMT4" shapeId="2533" r:id="rId511">
          <objectPr defaultSize="0" r:id="rId116">
            <anchor moveWithCells="1">
              <from>
                <xdr:col>223</xdr:col>
                <xdr:colOff>381000</xdr:colOff>
                <xdr:row>46</xdr:row>
                <xdr:rowOff>142875</xdr:rowOff>
              </from>
              <to>
                <xdr:col>223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533" r:id="rId511"/>
      </mc:Fallback>
    </mc:AlternateContent>
    <mc:AlternateContent xmlns:mc="http://schemas.openxmlformats.org/markup-compatibility/2006">
      <mc:Choice Requires="x14">
        <oleObject progId="Equation.DSMT4" shapeId="2534" r:id="rId512">
          <objectPr defaultSize="0" r:id="rId118">
            <anchor moveWithCells="1">
              <from>
                <xdr:col>224</xdr:col>
                <xdr:colOff>390525</xdr:colOff>
                <xdr:row>46</xdr:row>
                <xdr:rowOff>142875</xdr:rowOff>
              </from>
              <to>
                <xdr:col>224</xdr:col>
                <xdr:colOff>647700</xdr:colOff>
                <xdr:row>47</xdr:row>
                <xdr:rowOff>142875</xdr:rowOff>
              </to>
            </anchor>
          </objectPr>
        </oleObject>
      </mc:Choice>
      <mc:Fallback>
        <oleObject progId="Equation.DSMT4" shapeId="2534" r:id="rId512"/>
      </mc:Fallback>
    </mc:AlternateContent>
    <mc:AlternateContent xmlns:mc="http://schemas.openxmlformats.org/markup-compatibility/2006">
      <mc:Choice Requires="x14">
        <oleObject progId="Equation.DSMT4" shapeId="2535" r:id="rId513">
          <objectPr defaultSize="0" r:id="rId120">
            <anchor moveWithCells="1">
              <from>
                <xdr:col>225</xdr:col>
                <xdr:colOff>381000</xdr:colOff>
                <xdr:row>46</xdr:row>
                <xdr:rowOff>142875</xdr:rowOff>
              </from>
              <to>
                <xdr:col>225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535" r:id="rId513"/>
      </mc:Fallback>
    </mc:AlternateContent>
    <mc:AlternateContent xmlns:mc="http://schemas.openxmlformats.org/markup-compatibility/2006">
      <mc:Choice Requires="x14">
        <oleObject progId="Equation.DSMT4" shapeId="2536" r:id="rId514">
          <objectPr defaultSize="0" r:id="rId122">
            <anchor moveWithCells="1">
              <from>
                <xdr:col>226</xdr:col>
                <xdr:colOff>352425</xdr:colOff>
                <xdr:row>46</xdr:row>
                <xdr:rowOff>142875</xdr:rowOff>
              </from>
              <to>
                <xdr:col>226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536" r:id="rId514"/>
      </mc:Fallback>
    </mc:AlternateContent>
    <mc:AlternateContent xmlns:mc="http://schemas.openxmlformats.org/markup-compatibility/2006">
      <mc:Choice Requires="x14">
        <oleObject progId="Equation.DSMT4" shapeId="2537" r:id="rId515">
          <objectPr defaultSize="0" r:id="rId156">
            <anchor moveWithCells="1">
              <from>
                <xdr:col>227</xdr:col>
                <xdr:colOff>428625</xdr:colOff>
                <xdr:row>46</xdr:row>
                <xdr:rowOff>142875</xdr:rowOff>
              </from>
              <to>
                <xdr:col>227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537" r:id="rId515"/>
      </mc:Fallback>
    </mc:AlternateContent>
    <mc:AlternateContent xmlns:mc="http://schemas.openxmlformats.org/markup-compatibility/2006">
      <mc:Choice Requires="x14">
        <oleObject progId="Equation.DSMT4" shapeId="2538" r:id="rId516">
          <objectPr defaultSize="0" r:id="rId158">
            <anchor moveWithCells="1">
              <from>
                <xdr:col>228</xdr:col>
                <xdr:colOff>390525</xdr:colOff>
                <xdr:row>46</xdr:row>
                <xdr:rowOff>142875</xdr:rowOff>
              </from>
              <to>
                <xdr:col>228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538" r:id="rId516"/>
      </mc:Fallback>
    </mc:AlternateContent>
    <mc:AlternateContent xmlns:mc="http://schemas.openxmlformats.org/markup-compatibility/2006">
      <mc:Choice Requires="x14">
        <oleObject progId="Equation.DSMT4" shapeId="2539" r:id="rId517">
          <objectPr defaultSize="0" r:id="rId170">
            <anchor moveWithCells="1">
              <from>
                <xdr:col>229</xdr:col>
                <xdr:colOff>76200</xdr:colOff>
                <xdr:row>46</xdr:row>
                <xdr:rowOff>114300</xdr:rowOff>
              </from>
              <to>
                <xdr:col>229</xdr:col>
                <xdr:colOff>1000125</xdr:colOff>
                <xdr:row>47</xdr:row>
                <xdr:rowOff>161925</xdr:rowOff>
              </to>
            </anchor>
          </objectPr>
        </oleObject>
      </mc:Choice>
      <mc:Fallback>
        <oleObject progId="Equation.DSMT4" shapeId="2539" r:id="rId517"/>
      </mc:Fallback>
    </mc:AlternateContent>
    <mc:AlternateContent xmlns:mc="http://schemas.openxmlformats.org/markup-compatibility/2006">
      <mc:Choice Requires="x14">
        <oleObject progId="Equation.DSMT4" shapeId="2540" r:id="rId518">
          <objectPr defaultSize="0" r:id="rId172">
            <anchor moveWithCells="1">
              <from>
                <xdr:col>230</xdr:col>
                <xdr:colOff>390525</xdr:colOff>
                <xdr:row>46</xdr:row>
                <xdr:rowOff>142875</xdr:rowOff>
              </from>
              <to>
                <xdr:col>230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540" r:id="rId518"/>
      </mc:Fallback>
    </mc:AlternateContent>
    <mc:AlternateContent xmlns:mc="http://schemas.openxmlformats.org/markup-compatibility/2006">
      <mc:Choice Requires="x14">
        <oleObject progId="Equation.DSMT4" shapeId="2541" r:id="rId519">
          <objectPr defaultSize="0" r:id="rId174">
            <anchor moveWithCells="1">
              <from>
                <xdr:col>231</xdr:col>
                <xdr:colOff>76200</xdr:colOff>
                <xdr:row>46</xdr:row>
                <xdr:rowOff>114300</xdr:rowOff>
              </from>
              <to>
                <xdr:col>231</xdr:col>
                <xdr:colOff>1000125</xdr:colOff>
                <xdr:row>47</xdr:row>
                <xdr:rowOff>161925</xdr:rowOff>
              </to>
            </anchor>
          </objectPr>
        </oleObject>
      </mc:Choice>
      <mc:Fallback>
        <oleObject progId="Equation.DSMT4" shapeId="2541" r:id="rId519"/>
      </mc:Fallback>
    </mc:AlternateContent>
    <mc:AlternateContent xmlns:mc="http://schemas.openxmlformats.org/markup-compatibility/2006">
      <mc:Choice Requires="x14">
        <oleObject progId="Equation.DSMT4" shapeId="2542" r:id="rId520">
          <objectPr defaultSize="0" r:id="rId176">
            <anchor moveWithCells="1">
              <from>
                <xdr:col>232</xdr:col>
                <xdr:colOff>76200</xdr:colOff>
                <xdr:row>46</xdr:row>
                <xdr:rowOff>114300</xdr:rowOff>
              </from>
              <to>
                <xdr:col>232</xdr:col>
                <xdr:colOff>1000125</xdr:colOff>
                <xdr:row>47</xdr:row>
                <xdr:rowOff>161925</xdr:rowOff>
              </to>
            </anchor>
          </objectPr>
        </oleObject>
      </mc:Choice>
      <mc:Fallback>
        <oleObject progId="Equation.DSMT4" shapeId="2542" r:id="rId520"/>
      </mc:Fallback>
    </mc:AlternateContent>
    <mc:AlternateContent xmlns:mc="http://schemas.openxmlformats.org/markup-compatibility/2006">
      <mc:Choice Requires="x14">
        <oleObject progId="Equation.DSMT4" shapeId="2543" r:id="rId521">
          <objectPr defaultSize="0" r:id="rId178">
            <anchor moveWithCells="1">
              <from>
                <xdr:col>233</xdr:col>
                <xdr:colOff>200025</xdr:colOff>
                <xdr:row>46</xdr:row>
                <xdr:rowOff>114300</xdr:rowOff>
              </from>
              <to>
                <xdr:col>233</xdr:col>
                <xdr:colOff>800100</xdr:colOff>
                <xdr:row>47</xdr:row>
                <xdr:rowOff>142875</xdr:rowOff>
              </to>
            </anchor>
          </objectPr>
        </oleObject>
      </mc:Choice>
      <mc:Fallback>
        <oleObject progId="Equation.DSMT4" shapeId="2543" r:id="rId521"/>
      </mc:Fallback>
    </mc:AlternateContent>
    <mc:AlternateContent xmlns:mc="http://schemas.openxmlformats.org/markup-compatibility/2006">
      <mc:Choice Requires="x14">
        <oleObject progId="Equation.DSMT4" shapeId="2544" r:id="rId522">
          <objectPr defaultSize="0" r:id="rId180">
            <anchor moveWithCells="1">
              <from>
                <xdr:col>234</xdr:col>
                <xdr:colOff>200025</xdr:colOff>
                <xdr:row>46</xdr:row>
                <xdr:rowOff>114300</xdr:rowOff>
              </from>
              <to>
                <xdr:col>234</xdr:col>
                <xdr:colOff>800100</xdr:colOff>
                <xdr:row>47</xdr:row>
                <xdr:rowOff>142875</xdr:rowOff>
              </to>
            </anchor>
          </objectPr>
        </oleObject>
      </mc:Choice>
      <mc:Fallback>
        <oleObject progId="Equation.DSMT4" shapeId="2544" r:id="rId522"/>
      </mc:Fallback>
    </mc:AlternateContent>
    <mc:AlternateContent xmlns:mc="http://schemas.openxmlformats.org/markup-compatibility/2006">
      <mc:Choice Requires="x14">
        <oleObject progId="Equation.DSMT4" shapeId="2545" r:id="rId523">
          <objectPr defaultSize="0" r:id="rId90">
            <anchor moveWithCells="1">
              <from>
                <xdr:col>245</xdr:col>
                <xdr:colOff>76200</xdr:colOff>
                <xdr:row>46</xdr:row>
                <xdr:rowOff>123825</xdr:rowOff>
              </from>
              <to>
                <xdr:col>245</xdr:col>
                <xdr:colOff>923925</xdr:colOff>
                <xdr:row>47</xdr:row>
                <xdr:rowOff>219075</xdr:rowOff>
              </to>
            </anchor>
          </objectPr>
        </oleObject>
      </mc:Choice>
      <mc:Fallback>
        <oleObject progId="Equation.DSMT4" shapeId="2545" r:id="rId523"/>
      </mc:Fallback>
    </mc:AlternateContent>
    <mc:AlternateContent xmlns:mc="http://schemas.openxmlformats.org/markup-compatibility/2006">
      <mc:Choice Requires="x14">
        <oleObject progId="Equation.DSMT4" shapeId="2546" r:id="rId524">
          <objectPr defaultSize="0" r:id="rId92">
            <anchor moveWithCells="1">
              <from>
                <xdr:col>244</xdr:col>
                <xdr:colOff>219075</xdr:colOff>
                <xdr:row>43</xdr:row>
                <xdr:rowOff>85725</xdr:rowOff>
              </from>
              <to>
                <xdr:col>244</xdr:col>
                <xdr:colOff>876300</xdr:colOff>
                <xdr:row>44</xdr:row>
                <xdr:rowOff>161925</xdr:rowOff>
              </to>
            </anchor>
          </objectPr>
        </oleObject>
      </mc:Choice>
      <mc:Fallback>
        <oleObject progId="Equation.DSMT4" shapeId="2546" r:id="rId524"/>
      </mc:Fallback>
    </mc:AlternateContent>
    <mc:AlternateContent xmlns:mc="http://schemas.openxmlformats.org/markup-compatibility/2006">
      <mc:Choice Requires="x14">
        <oleObject progId="Equation.DSMT4" shapeId="2547" r:id="rId525">
          <objectPr defaultSize="0" autoPict="0" r:id="rId94">
            <anchor moveWithCells="1">
              <from>
                <xdr:col>246</xdr:col>
                <xdr:colOff>390525</xdr:colOff>
                <xdr:row>43</xdr:row>
                <xdr:rowOff>28575</xdr:rowOff>
              </from>
              <to>
                <xdr:col>246</xdr:col>
                <xdr:colOff>619125</xdr:colOff>
                <xdr:row>44</xdr:row>
                <xdr:rowOff>219075</xdr:rowOff>
              </to>
            </anchor>
          </objectPr>
        </oleObject>
      </mc:Choice>
      <mc:Fallback>
        <oleObject progId="Equation.DSMT4" shapeId="2547" r:id="rId525"/>
      </mc:Fallback>
    </mc:AlternateContent>
    <mc:AlternateContent xmlns:mc="http://schemas.openxmlformats.org/markup-compatibility/2006">
      <mc:Choice Requires="x14">
        <oleObject progId="Equation.DSMT4" shapeId="2548" r:id="rId526">
          <objectPr defaultSize="0" r:id="rId96">
            <anchor moveWithCells="1">
              <from>
                <xdr:col>247</xdr:col>
                <xdr:colOff>104775</xdr:colOff>
                <xdr:row>43</xdr:row>
                <xdr:rowOff>66675</xdr:rowOff>
              </from>
              <to>
                <xdr:col>247</xdr:col>
                <xdr:colOff>923925</xdr:colOff>
                <xdr:row>44</xdr:row>
                <xdr:rowOff>114300</xdr:rowOff>
              </to>
            </anchor>
          </objectPr>
        </oleObject>
      </mc:Choice>
      <mc:Fallback>
        <oleObject progId="Equation.DSMT4" shapeId="2548" r:id="rId526"/>
      </mc:Fallback>
    </mc:AlternateContent>
    <mc:AlternateContent xmlns:mc="http://schemas.openxmlformats.org/markup-compatibility/2006">
      <mc:Choice Requires="x14">
        <oleObject progId="Equation.DSMT4" shapeId="2549" r:id="rId527">
          <objectPr defaultSize="0" r:id="rId98">
            <anchor moveWithCells="1">
              <from>
                <xdr:col>249</xdr:col>
                <xdr:colOff>428625</xdr:colOff>
                <xdr:row>46</xdr:row>
                <xdr:rowOff>161925</xdr:rowOff>
              </from>
              <to>
                <xdr:col>249</xdr:col>
                <xdr:colOff>600075</xdr:colOff>
                <xdr:row>47</xdr:row>
                <xdr:rowOff>114300</xdr:rowOff>
              </to>
            </anchor>
          </objectPr>
        </oleObject>
      </mc:Choice>
      <mc:Fallback>
        <oleObject progId="Equation.DSMT4" shapeId="2549" r:id="rId527"/>
      </mc:Fallback>
    </mc:AlternateContent>
    <mc:AlternateContent xmlns:mc="http://schemas.openxmlformats.org/markup-compatibility/2006">
      <mc:Choice Requires="x14">
        <oleObject progId="Equation.DSMT4" shapeId="2550" r:id="rId528">
          <objectPr defaultSize="0" r:id="rId100">
            <anchor moveWithCells="1">
              <from>
                <xdr:col>251</xdr:col>
                <xdr:colOff>142875</xdr:colOff>
                <xdr:row>46</xdr:row>
                <xdr:rowOff>142875</xdr:rowOff>
              </from>
              <to>
                <xdr:col>251</xdr:col>
                <xdr:colOff>800100</xdr:colOff>
                <xdr:row>47</xdr:row>
                <xdr:rowOff>161925</xdr:rowOff>
              </to>
            </anchor>
          </objectPr>
        </oleObject>
      </mc:Choice>
      <mc:Fallback>
        <oleObject progId="Equation.DSMT4" shapeId="2550" r:id="rId528"/>
      </mc:Fallback>
    </mc:AlternateContent>
    <mc:AlternateContent xmlns:mc="http://schemas.openxmlformats.org/markup-compatibility/2006">
      <mc:Choice Requires="x14">
        <oleObject progId="Equation.DSMT4" shapeId="2551" r:id="rId529">
          <objectPr defaultSize="0" r:id="rId132">
            <anchor moveWithCells="1">
              <from>
                <xdr:col>258</xdr:col>
                <xdr:colOff>123825</xdr:colOff>
                <xdr:row>46</xdr:row>
                <xdr:rowOff>114300</xdr:rowOff>
              </from>
              <to>
                <xdr:col>258</xdr:col>
                <xdr:colOff>923925</xdr:colOff>
                <xdr:row>47</xdr:row>
                <xdr:rowOff>142875</xdr:rowOff>
              </to>
            </anchor>
          </objectPr>
        </oleObject>
      </mc:Choice>
      <mc:Fallback>
        <oleObject progId="Equation.DSMT4" shapeId="2551" r:id="rId529"/>
      </mc:Fallback>
    </mc:AlternateContent>
    <mc:AlternateContent xmlns:mc="http://schemas.openxmlformats.org/markup-compatibility/2006">
      <mc:Choice Requires="x14">
        <oleObject progId="Equation.DSMT4" shapeId="2552" r:id="rId530">
          <objectPr defaultSize="0" r:id="rId134">
            <anchor moveWithCells="1">
              <from>
                <xdr:col>259</xdr:col>
                <xdr:colOff>257175</xdr:colOff>
                <xdr:row>46</xdr:row>
                <xdr:rowOff>114300</xdr:rowOff>
              </from>
              <to>
                <xdr:col>259</xdr:col>
                <xdr:colOff>762000</xdr:colOff>
                <xdr:row>47</xdr:row>
                <xdr:rowOff>142875</xdr:rowOff>
              </to>
            </anchor>
          </objectPr>
        </oleObject>
      </mc:Choice>
      <mc:Fallback>
        <oleObject progId="Equation.DSMT4" shapeId="2552" r:id="rId530"/>
      </mc:Fallback>
    </mc:AlternateContent>
    <mc:AlternateContent xmlns:mc="http://schemas.openxmlformats.org/markup-compatibility/2006">
      <mc:Choice Requires="x14">
        <oleObject progId="Equation.DSMT4" shapeId="2553" r:id="rId531">
          <objectPr defaultSize="0" r:id="rId136">
            <anchor moveWithCells="1">
              <from>
                <xdr:col>264</xdr:col>
                <xdr:colOff>123825</xdr:colOff>
                <xdr:row>46</xdr:row>
                <xdr:rowOff>114300</xdr:rowOff>
              </from>
              <to>
                <xdr:col>264</xdr:col>
                <xdr:colOff>923925</xdr:colOff>
                <xdr:row>47</xdr:row>
                <xdr:rowOff>142875</xdr:rowOff>
              </to>
            </anchor>
          </objectPr>
        </oleObject>
      </mc:Choice>
      <mc:Fallback>
        <oleObject progId="Equation.DSMT4" shapeId="2553" r:id="rId531"/>
      </mc:Fallback>
    </mc:AlternateContent>
    <mc:AlternateContent xmlns:mc="http://schemas.openxmlformats.org/markup-compatibility/2006">
      <mc:Choice Requires="x14">
        <oleObject progId="Equation.DSMT4" shapeId="2554" r:id="rId532">
          <objectPr defaultSize="0" r:id="rId138">
            <anchor moveWithCells="1">
              <from>
                <xdr:col>265</xdr:col>
                <xdr:colOff>257175</xdr:colOff>
                <xdr:row>46</xdr:row>
                <xdr:rowOff>114300</xdr:rowOff>
              </from>
              <to>
                <xdr:col>265</xdr:col>
                <xdr:colOff>762000</xdr:colOff>
                <xdr:row>47</xdr:row>
                <xdr:rowOff>142875</xdr:rowOff>
              </to>
            </anchor>
          </objectPr>
        </oleObject>
      </mc:Choice>
      <mc:Fallback>
        <oleObject progId="Equation.DSMT4" shapeId="2554" r:id="rId532"/>
      </mc:Fallback>
    </mc:AlternateContent>
    <mc:AlternateContent xmlns:mc="http://schemas.openxmlformats.org/markup-compatibility/2006">
      <mc:Choice Requires="x14">
        <oleObject progId="Equation.DSMT4" shapeId="2555" r:id="rId533">
          <objectPr defaultSize="0" r:id="rId140">
            <anchor moveWithCells="1">
              <from>
                <xdr:col>266</xdr:col>
                <xdr:colOff>257175</xdr:colOff>
                <xdr:row>46</xdr:row>
                <xdr:rowOff>114300</xdr:rowOff>
              </from>
              <to>
                <xdr:col>266</xdr:col>
                <xdr:colOff>752475</xdr:colOff>
                <xdr:row>47</xdr:row>
                <xdr:rowOff>142875</xdr:rowOff>
              </to>
            </anchor>
          </objectPr>
        </oleObject>
      </mc:Choice>
      <mc:Fallback>
        <oleObject progId="Equation.DSMT4" shapeId="2555" r:id="rId533"/>
      </mc:Fallback>
    </mc:AlternateContent>
    <mc:AlternateContent xmlns:mc="http://schemas.openxmlformats.org/markup-compatibility/2006">
      <mc:Choice Requires="x14">
        <oleObject progId="Equation.DSMT4" shapeId="2556" r:id="rId534">
          <objectPr defaultSize="0" r:id="rId142">
            <anchor moveWithCells="1">
              <from>
                <xdr:col>267</xdr:col>
                <xdr:colOff>123825</xdr:colOff>
                <xdr:row>46</xdr:row>
                <xdr:rowOff>114300</xdr:rowOff>
              </from>
              <to>
                <xdr:col>267</xdr:col>
                <xdr:colOff>904875</xdr:colOff>
                <xdr:row>47</xdr:row>
                <xdr:rowOff>142875</xdr:rowOff>
              </to>
            </anchor>
          </objectPr>
        </oleObject>
      </mc:Choice>
      <mc:Fallback>
        <oleObject progId="Equation.DSMT4" shapeId="2556" r:id="rId534"/>
      </mc:Fallback>
    </mc:AlternateContent>
    <mc:AlternateContent xmlns:mc="http://schemas.openxmlformats.org/markup-compatibility/2006">
      <mc:Choice Requires="x14">
        <oleObject progId="Equation.DSMT4" shapeId="2557" r:id="rId535">
          <objectPr defaultSize="0" r:id="rId144">
            <anchor moveWithCells="1">
              <from>
                <xdr:col>248</xdr:col>
                <xdr:colOff>304800</xdr:colOff>
                <xdr:row>43</xdr:row>
                <xdr:rowOff>85725</xdr:rowOff>
              </from>
              <to>
                <xdr:col>248</xdr:col>
                <xdr:colOff>876300</xdr:colOff>
                <xdr:row>44</xdr:row>
                <xdr:rowOff>161925</xdr:rowOff>
              </to>
            </anchor>
          </objectPr>
        </oleObject>
      </mc:Choice>
      <mc:Fallback>
        <oleObject progId="Equation.DSMT4" shapeId="2557" r:id="rId535"/>
      </mc:Fallback>
    </mc:AlternateContent>
    <mc:AlternateContent xmlns:mc="http://schemas.openxmlformats.org/markup-compatibility/2006">
      <mc:Choice Requires="x14">
        <oleObject progId="Equation.DSMT4" shapeId="2558" r:id="rId536">
          <objectPr defaultSize="0" r:id="rId146">
            <anchor moveWithCells="1">
              <from>
                <xdr:col>249</xdr:col>
                <xdr:colOff>295275</xdr:colOff>
                <xdr:row>43</xdr:row>
                <xdr:rowOff>104775</xdr:rowOff>
              </from>
              <to>
                <xdr:col>249</xdr:col>
                <xdr:colOff>752475</xdr:colOff>
                <xdr:row>44</xdr:row>
                <xdr:rowOff>200025</xdr:rowOff>
              </to>
            </anchor>
          </objectPr>
        </oleObject>
      </mc:Choice>
      <mc:Fallback>
        <oleObject progId="Equation.DSMT4" shapeId="2558" r:id="rId536"/>
      </mc:Fallback>
    </mc:AlternateContent>
    <mc:AlternateContent xmlns:mc="http://schemas.openxmlformats.org/markup-compatibility/2006">
      <mc:Choice Requires="x14">
        <oleObject progId="Equation.DSMT4" shapeId="2559" r:id="rId537">
          <objectPr defaultSize="0" r:id="rId148">
            <anchor moveWithCells="1">
              <from>
                <xdr:col>268</xdr:col>
                <xdr:colOff>314325</xdr:colOff>
                <xdr:row>46</xdr:row>
                <xdr:rowOff>142875</xdr:rowOff>
              </from>
              <to>
                <xdr:col>268</xdr:col>
                <xdr:colOff>723900</xdr:colOff>
                <xdr:row>47</xdr:row>
                <xdr:rowOff>85725</xdr:rowOff>
              </to>
            </anchor>
          </objectPr>
        </oleObject>
      </mc:Choice>
      <mc:Fallback>
        <oleObject progId="Equation.DSMT4" shapeId="2559" r:id="rId537"/>
      </mc:Fallback>
    </mc:AlternateContent>
    <mc:AlternateContent xmlns:mc="http://schemas.openxmlformats.org/markup-compatibility/2006">
      <mc:Choice Requires="x14">
        <oleObject progId="Equation.DSMT4" shapeId="2560" r:id="rId538">
          <objectPr defaultSize="0" r:id="rId114">
            <anchor moveWithCells="1">
              <from>
                <xdr:col>271</xdr:col>
                <xdr:colOff>381000</xdr:colOff>
                <xdr:row>46</xdr:row>
                <xdr:rowOff>142875</xdr:rowOff>
              </from>
              <to>
                <xdr:col>271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560" r:id="rId538"/>
      </mc:Fallback>
    </mc:AlternateContent>
    <mc:AlternateContent xmlns:mc="http://schemas.openxmlformats.org/markup-compatibility/2006">
      <mc:Choice Requires="x14">
        <oleObject progId="Equation.DSMT4" shapeId="2561" r:id="rId539">
          <objectPr defaultSize="0" r:id="rId124">
            <anchor moveWithCells="1">
              <from>
                <xdr:col>272</xdr:col>
                <xdr:colOff>381000</xdr:colOff>
                <xdr:row>46</xdr:row>
                <xdr:rowOff>142875</xdr:rowOff>
              </from>
              <to>
                <xdr:col>272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561" r:id="rId539"/>
      </mc:Fallback>
    </mc:AlternateContent>
    <mc:AlternateContent xmlns:mc="http://schemas.openxmlformats.org/markup-compatibility/2006">
      <mc:Choice Requires="x14">
        <oleObject progId="Equation.DSMT4" shapeId="2562" r:id="rId540">
          <objectPr defaultSize="0" r:id="rId116">
            <anchor moveWithCells="1">
              <from>
                <xdr:col>273</xdr:col>
                <xdr:colOff>381000</xdr:colOff>
                <xdr:row>46</xdr:row>
                <xdr:rowOff>142875</xdr:rowOff>
              </from>
              <to>
                <xdr:col>273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562" r:id="rId540"/>
      </mc:Fallback>
    </mc:AlternateContent>
    <mc:AlternateContent xmlns:mc="http://schemas.openxmlformats.org/markup-compatibility/2006">
      <mc:Choice Requires="x14">
        <oleObject progId="Equation.DSMT4" shapeId="2563" r:id="rId541">
          <objectPr defaultSize="0" r:id="rId118">
            <anchor moveWithCells="1">
              <from>
                <xdr:col>274</xdr:col>
                <xdr:colOff>390525</xdr:colOff>
                <xdr:row>46</xdr:row>
                <xdr:rowOff>142875</xdr:rowOff>
              </from>
              <to>
                <xdr:col>274</xdr:col>
                <xdr:colOff>647700</xdr:colOff>
                <xdr:row>47</xdr:row>
                <xdr:rowOff>142875</xdr:rowOff>
              </to>
            </anchor>
          </objectPr>
        </oleObject>
      </mc:Choice>
      <mc:Fallback>
        <oleObject progId="Equation.DSMT4" shapeId="2563" r:id="rId541"/>
      </mc:Fallback>
    </mc:AlternateContent>
    <mc:AlternateContent xmlns:mc="http://schemas.openxmlformats.org/markup-compatibility/2006">
      <mc:Choice Requires="x14">
        <oleObject progId="Equation.DSMT4" shapeId="2564" r:id="rId542">
          <objectPr defaultSize="0" r:id="rId120">
            <anchor moveWithCells="1">
              <from>
                <xdr:col>275</xdr:col>
                <xdr:colOff>381000</xdr:colOff>
                <xdr:row>46</xdr:row>
                <xdr:rowOff>142875</xdr:rowOff>
              </from>
              <to>
                <xdr:col>275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564" r:id="rId542"/>
      </mc:Fallback>
    </mc:AlternateContent>
    <mc:AlternateContent xmlns:mc="http://schemas.openxmlformats.org/markup-compatibility/2006">
      <mc:Choice Requires="x14">
        <oleObject progId="Equation.DSMT4" shapeId="2565" r:id="rId543">
          <objectPr defaultSize="0" r:id="rId122">
            <anchor moveWithCells="1">
              <from>
                <xdr:col>276</xdr:col>
                <xdr:colOff>352425</xdr:colOff>
                <xdr:row>46</xdr:row>
                <xdr:rowOff>142875</xdr:rowOff>
              </from>
              <to>
                <xdr:col>276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565" r:id="rId543"/>
      </mc:Fallback>
    </mc:AlternateContent>
    <mc:AlternateContent xmlns:mc="http://schemas.openxmlformats.org/markup-compatibility/2006">
      <mc:Choice Requires="x14">
        <oleObject progId="Equation.DSMT4" shapeId="2566" r:id="rId544">
          <objectPr defaultSize="0" r:id="rId156">
            <anchor moveWithCells="1">
              <from>
                <xdr:col>277</xdr:col>
                <xdr:colOff>428625</xdr:colOff>
                <xdr:row>46</xdr:row>
                <xdr:rowOff>142875</xdr:rowOff>
              </from>
              <to>
                <xdr:col>277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566" r:id="rId544"/>
      </mc:Fallback>
    </mc:AlternateContent>
    <mc:AlternateContent xmlns:mc="http://schemas.openxmlformats.org/markup-compatibility/2006">
      <mc:Choice Requires="x14">
        <oleObject progId="Equation.DSMT4" shapeId="2567" r:id="rId545">
          <objectPr defaultSize="0" r:id="rId158">
            <anchor moveWithCells="1">
              <from>
                <xdr:col>278</xdr:col>
                <xdr:colOff>390525</xdr:colOff>
                <xdr:row>46</xdr:row>
                <xdr:rowOff>142875</xdr:rowOff>
              </from>
              <to>
                <xdr:col>278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567" r:id="rId545"/>
      </mc:Fallback>
    </mc:AlternateContent>
    <mc:AlternateContent xmlns:mc="http://schemas.openxmlformats.org/markup-compatibility/2006">
      <mc:Choice Requires="x14">
        <oleObject progId="Equation.DSMT4" shapeId="2568" r:id="rId546">
          <objectPr defaultSize="0" r:id="rId160">
            <anchor moveWithCells="1">
              <from>
                <xdr:col>279</xdr:col>
                <xdr:colOff>219075</xdr:colOff>
                <xdr:row>46</xdr:row>
                <xdr:rowOff>114300</xdr:rowOff>
              </from>
              <to>
                <xdr:col>279</xdr:col>
                <xdr:colOff>838200</xdr:colOff>
                <xdr:row>47</xdr:row>
                <xdr:rowOff>142875</xdr:rowOff>
              </to>
            </anchor>
          </objectPr>
        </oleObject>
      </mc:Choice>
      <mc:Fallback>
        <oleObject progId="Equation.DSMT4" shapeId="2568" r:id="rId546"/>
      </mc:Fallback>
    </mc:AlternateContent>
    <mc:AlternateContent xmlns:mc="http://schemas.openxmlformats.org/markup-compatibility/2006">
      <mc:Choice Requires="x14">
        <oleObject progId="Equation.DSMT4" shapeId="2569" r:id="rId547">
          <objectPr defaultSize="0" r:id="rId114">
            <anchor moveWithCells="1">
              <from>
                <xdr:col>280</xdr:col>
                <xdr:colOff>381000</xdr:colOff>
                <xdr:row>46</xdr:row>
                <xdr:rowOff>142875</xdr:rowOff>
              </from>
              <to>
                <xdr:col>280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569" r:id="rId547"/>
      </mc:Fallback>
    </mc:AlternateContent>
    <mc:AlternateContent xmlns:mc="http://schemas.openxmlformats.org/markup-compatibility/2006">
      <mc:Choice Requires="x14">
        <oleObject progId="Equation.DSMT4" shapeId="2570" r:id="rId548">
          <objectPr defaultSize="0" r:id="rId124">
            <anchor moveWithCells="1">
              <from>
                <xdr:col>281</xdr:col>
                <xdr:colOff>381000</xdr:colOff>
                <xdr:row>46</xdr:row>
                <xdr:rowOff>142875</xdr:rowOff>
              </from>
              <to>
                <xdr:col>281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570" r:id="rId548"/>
      </mc:Fallback>
    </mc:AlternateContent>
    <mc:AlternateContent xmlns:mc="http://schemas.openxmlformats.org/markup-compatibility/2006">
      <mc:Choice Requires="x14">
        <oleObject progId="Equation.DSMT4" shapeId="2571" r:id="rId549">
          <objectPr defaultSize="0" r:id="rId116">
            <anchor moveWithCells="1">
              <from>
                <xdr:col>282</xdr:col>
                <xdr:colOff>381000</xdr:colOff>
                <xdr:row>46</xdr:row>
                <xdr:rowOff>142875</xdr:rowOff>
              </from>
              <to>
                <xdr:col>282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571" r:id="rId549"/>
      </mc:Fallback>
    </mc:AlternateContent>
    <mc:AlternateContent xmlns:mc="http://schemas.openxmlformats.org/markup-compatibility/2006">
      <mc:Choice Requires="x14">
        <oleObject progId="Equation.DSMT4" shapeId="2572" r:id="rId550">
          <objectPr defaultSize="0" r:id="rId118">
            <anchor moveWithCells="1">
              <from>
                <xdr:col>283</xdr:col>
                <xdr:colOff>390525</xdr:colOff>
                <xdr:row>46</xdr:row>
                <xdr:rowOff>142875</xdr:rowOff>
              </from>
              <to>
                <xdr:col>283</xdr:col>
                <xdr:colOff>647700</xdr:colOff>
                <xdr:row>47</xdr:row>
                <xdr:rowOff>142875</xdr:rowOff>
              </to>
            </anchor>
          </objectPr>
        </oleObject>
      </mc:Choice>
      <mc:Fallback>
        <oleObject progId="Equation.DSMT4" shapeId="2572" r:id="rId550"/>
      </mc:Fallback>
    </mc:AlternateContent>
    <mc:AlternateContent xmlns:mc="http://schemas.openxmlformats.org/markup-compatibility/2006">
      <mc:Choice Requires="x14">
        <oleObject progId="Equation.DSMT4" shapeId="2573" r:id="rId551">
          <objectPr defaultSize="0" r:id="rId120">
            <anchor moveWithCells="1">
              <from>
                <xdr:col>284</xdr:col>
                <xdr:colOff>381000</xdr:colOff>
                <xdr:row>46</xdr:row>
                <xdr:rowOff>142875</xdr:rowOff>
              </from>
              <to>
                <xdr:col>284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573" r:id="rId551"/>
      </mc:Fallback>
    </mc:AlternateContent>
    <mc:AlternateContent xmlns:mc="http://schemas.openxmlformats.org/markup-compatibility/2006">
      <mc:Choice Requires="x14">
        <oleObject progId="Equation.DSMT4" shapeId="2574" r:id="rId552">
          <objectPr defaultSize="0" r:id="rId122">
            <anchor moveWithCells="1">
              <from>
                <xdr:col>285</xdr:col>
                <xdr:colOff>352425</xdr:colOff>
                <xdr:row>46</xdr:row>
                <xdr:rowOff>142875</xdr:rowOff>
              </from>
              <to>
                <xdr:col>285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574" r:id="rId552"/>
      </mc:Fallback>
    </mc:AlternateContent>
    <mc:AlternateContent xmlns:mc="http://schemas.openxmlformats.org/markup-compatibility/2006">
      <mc:Choice Requires="x14">
        <oleObject progId="Equation.DSMT4" shapeId="2575" r:id="rId553">
          <objectPr defaultSize="0" r:id="rId156">
            <anchor moveWithCells="1">
              <from>
                <xdr:col>286</xdr:col>
                <xdr:colOff>428625</xdr:colOff>
                <xdr:row>46</xdr:row>
                <xdr:rowOff>142875</xdr:rowOff>
              </from>
              <to>
                <xdr:col>286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575" r:id="rId553"/>
      </mc:Fallback>
    </mc:AlternateContent>
    <mc:AlternateContent xmlns:mc="http://schemas.openxmlformats.org/markup-compatibility/2006">
      <mc:Choice Requires="x14">
        <oleObject progId="Equation.DSMT4" shapeId="2576" r:id="rId554">
          <objectPr defaultSize="0" r:id="rId158">
            <anchor moveWithCells="1">
              <from>
                <xdr:col>287</xdr:col>
                <xdr:colOff>390525</xdr:colOff>
                <xdr:row>46</xdr:row>
                <xdr:rowOff>142875</xdr:rowOff>
              </from>
              <to>
                <xdr:col>287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576" r:id="rId554"/>
      </mc:Fallback>
    </mc:AlternateContent>
    <mc:AlternateContent xmlns:mc="http://schemas.openxmlformats.org/markup-compatibility/2006">
      <mc:Choice Requires="x14">
        <oleObject progId="Equation.DSMT4" shapeId="2577" r:id="rId555">
          <objectPr defaultSize="0" r:id="rId170">
            <anchor moveWithCells="1">
              <from>
                <xdr:col>288</xdr:col>
                <xdr:colOff>76200</xdr:colOff>
                <xdr:row>46</xdr:row>
                <xdr:rowOff>114300</xdr:rowOff>
              </from>
              <to>
                <xdr:col>288</xdr:col>
                <xdr:colOff>1000125</xdr:colOff>
                <xdr:row>47</xdr:row>
                <xdr:rowOff>161925</xdr:rowOff>
              </to>
            </anchor>
          </objectPr>
        </oleObject>
      </mc:Choice>
      <mc:Fallback>
        <oleObject progId="Equation.DSMT4" shapeId="2577" r:id="rId555"/>
      </mc:Fallback>
    </mc:AlternateContent>
    <mc:AlternateContent xmlns:mc="http://schemas.openxmlformats.org/markup-compatibility/2006">
      <mc:Choice Requires="x14">
        <oleObject progId="Equation.DSMT4" shapeId="2578" r:id="rId556">
          <objectPr defaultSize="0" r:id="rId172">
            <anchor moveWithCells="1">
              <from>
                <xdr:col>289</xdr:col>
                <xdr:colOff>390525</xdr:colOff>
                <xdr:row>46</xdr:row>
                <xdr:rowOff>142875</xdr:rowOff>
              </from>
              <to>
                <xdr:col>289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578" r:id="rId556"/>
      </mc:Fallback>
    </mc:AlternateContent>
    <mc:AlternateContent xmlns:mc="http://schemas.openxmlformats.org/markup-compatibility/2006">
      <mc:Choice Requires="x14">
        <oleObject progId="Equation.DSMT4" shapeId="2579" r:id="rId557">
          <objectPr defaultSize="0" r:id="rId174">
            <anchor moveWithCells="1">
              <from>
                <xdr:col>290</xdr:col>
                <xdr:colOff>76200</xdr:colOff>
                <xdr:row>46</xdr:row>
                <xdr:rowOff>114300</xdr:rowOff>
              </from>
              <to>
                <xdr:col>290</xdr:col>
                <xdr:colOff>1000125</xdr:colOff>
                <xdr:row>47</xdr:row>
                <xdr:rowOff>161925</xdr:rowOff>
              </to>
            </anchor>
          </objectPr>
        </oleObject>
      </mc:Choice>
      <mc:Fallback>
        <oleObject progId="Equation.DSMT4" shapeId="2579" r:id="rId557"/>
      </mc:Fallback>
    </mc:AlternateContent>
    <mc:AlternateContent xmlns:mc="http://schemas.openxmlformats.org/markup-compatibility/2006">
      <mc:Choice Requires="x14">
        <oleObject progId="Equation.DSMT4" shapeId="2580" r:id="rId558">
          <objectPr defaultSize="0" r:id="rId176">
            <anchor moveWithCells="1">
              <from>
                <xdr:col>291</xdr:col>
                <xdr:colOff>76200</xdr:colOff>
                <xdr:row>46</xdr:row>
                <xdr:rowOff>114300</xdr:rowOff>
              </from>
              <to>
                <xdr:col>291</xdr:col>
                <xdr:colOff>1000125</xdr:colOff>
                <xdr:row>47</xdr:row>
                <xdr:rowOff>161925</xdr:rowOff>
              </to>
            </anchor>
          </objectPr>
        </oleObject>
      </mc:Choice>
      <mc:Fallback>
        <oleObject progId="Equation.DSMT4" shapeId="2580" r:id="rId558"/>
      </mc:Fallback>
    </mc:AlternateContent>
    <mc:AlternateContent xmlns:mc="http://schemas.openxmlformats.org/markup-compatibility/2006">
      <mc:Choice Requires="x14">
        <oleObject progId="Equation.DSMT4" shapeId="2581" r:id="rId559">
          <objectPr defaultSize="0" r:id="rId178">
            <anchor moveWithCells="1">
              <from>
                <xdr:col>292</xdr:col>
                <xdr:colOff>200025</xdr:colOff>
                <xdr:row>46</xdr:row>
                <xdr:rowOff>114300</xdr:rowOff>
              </from>
              <to>
                <xdr:col>292</xdr:col>
                <xdr:colOff>800100</xdr:colOff>
                <xdr:row>47</xdr:row>
                <xdr:rowOff>142875</xdr:rowOff>
              </to>
            </anchor>
          </objectPr>
        </oleObject>
      </mc:Choice>
      <mc:Fallback>
        <oleObject progId="Equation.DSMT4" shapeId="2581" r:id="rId559"/>
      </mc:Fallback>
    </mc:AlternateContent>
    <mc:AlternateContent xmlns:mc="http://schemas.openxmlformats.org/markup-compatibility/2006">
      <mc:Choice Requires="x14">
        <oleObject progId="Equation.DSMT4" shapeId="2582" r:id="rId560">
          <objectPr defaultSize="0" r:id="rId180">
            <anchor moveWithCells="1">
              <from>
                <xdr:col>293</xdr:col>
                <xdr:colOff>200025</xdr:colOff>
                <xdr:row>46</xdr:row>
                <xdr:rowOff>114300</xdr:rowOff>
              </from>
              <to>
                <xdr:col>293</xdr:col>
                <xdr:colOff>800100</xdr:colOff>
                <xdr:row>47</xdr:row>
                <xdr:rowOff>142875</xdr:rowOff>
              </to>
            </anchor>
          </objectPr>
        </oleObject>
      </mc:Choice>
      <mc:Fallback>
        <oleObject progId="Equation.DSMT4" shapeId="2582" r:id="rId560"/>
      </mc:Fallback>
    </mc:AlternateContent>
    <mc:AlternateContent xmlns:mc="http://schemas.openxmlformats.org/markup-compatibility/2006">
      <mc:Choice Requires="x14">
        <oleObject progId="Equation.DSMT4" shapeId="2583" r:id="rId561">
          <objectPr defaultSize="0" r:id="rId90">
            <anchor moveWithCells="1">
              <from>
                <xdr:col>304</xdr:col>
                <xdr:colOff>76200</xdr:colOff>
                <xdr:row>46</xdr:row>
                <xdr:rowOff>123825</xdr:rowOff>
              </from>
              <to>
                <xdr:col>304</xdr:col>
                <xdr:colOff>923925</xdr:colOff>
                <xdr:row>47</xdr:row>
                <xdr:rowOff>219075</xdr:rowOff>
              </to>
            </anchor>
          </objectPr>
        </oleObject>
      </mc:Choice>
      <mc:Fallback>
        <oleObject progId="Equation.DSMT4" shapeId="2583" r:id="rId561"/>
      </mc:Fallback>
    </mc:AlternateContent>
    <mc:AlternateContent xmlns:mc="http://schemas.openxmlformats.org/markup-compatibility/2006">
      <mc:Choice Requires="x14">
        <oleObject progId="Equation.DSMT4" shapeId="2584" r:id="rId562">
          <objectPr defaultSize="0" r:id="rId92">
            <anchor moveWithCells="1">
              <from>
                <xdr:col>303</xdr:col>
                <xdr:colOff>219075</xdr:colOff>
                <xdr:row>43</xdr:row>
                <xdr:rowOff>85725</xdr:rowOff>
              </from>
              <to>
                <xdr:col>303</xdr:col>
                <xdr:colOff>876300</xdr:colOff>
                <xdr:row>44</xdr:row>
                <xdr:rowOff>161925</xdr:rowOff>
              </to>
            </anchor>
          </objectPr>
        </oleObject>
      </mc:Choice>
      <mc:Fallback>
        <oleObject progId="Equation.DSMT4" shapeId="2584" r:id="rId562"/>
      </mc:Fallback>
    </mc:AlternateContent>
    <mc:AlternateContent xmlns:mc="http://schemas.openxmlformats.org/markup-compatibility/2006">
      <mc:Choice Requires="x14">
        <oleObject progId="Equation.DSMT4" shapeId="2585" r:id="rId563">
          <objectPr defaultSize="0" autoPict="0" r:id="rId94">
            <anchor moveWithCells="1">
              <from>
                <xdr:col>305</xdr:col>
                <xdr:colOff>390525</xdr:colOff>
                <xdr:row>43</xdr:row>
                <xdr:rowOff>28575</xdr:rowOff>
              </from>
              <to>
                <xdr:col>305</xdr:col>
                <xdr:colOff>619125</xdr:colOff>
                <xdr:row>44</xdr:row>
                <xdr:rowOff>219075</xdr:rowOff>
              </to>
            </anchor>
          </objectPr>
        </oleObject>
      </mc:Choice>
      <mc:Fallback>
        <oleObject progId="Equation.DSMT4" shapeId="2585" r:id="rId563"/>
      </mc:Fallback>
    </mc:AlternateContent>
    <mc:AlternateContent xmlns:mc="http://schemas.openxmlformats.org/markup-compatibility/2006">
      <mc:Choice Requires="x14">
        <oleObject progId="Equation.DSMT4" shapeId="2586" r:id="rId564">
          <objectPr defaultSize="0" r:id="rId96">
            <anchor moveWithCells="1">
              <from>
                <xdr:col>306</xdr:col>
                <xdr:colOff>104775</xdr:colOff>
                <xdr:row>43</xdr:row>
                <xdr:rowOff>66675</xdr:rowOff>
              </from>
              <to>
                <xdr:col>306</xdr:col>
                <xdr:colOff>923925</xdr:colOff>
                <xdr:row>44</xdr:row>
                <xdr:rowOff>114300</xdr:rowOff>
              </to>
            </anchor>
          </objectPr>
        </oleObject>
      </mc:Choice>
      <mc:Fallback>
        <oleObject progId="Equation.DSMT4" shapeId="2586" r:id="rId564"/>
      </mc:Fallback>
    </mc:AlternateContent>
    <mc:AlternateContent xmlns:mc="http://schemas.openxmlformats.org/markup-compatibility/2006">
      <mc:Choice Requires="x14">
        <oleObject progId="Equation.DSMT4" shapeId="2587" r:id="rId565">
          <objectPr defaultSize="0" r:id="rId98">
            <anchor moveWithCells="1">
              <from>
                <xdr:col>308</xdr:col>
                <xdr:colOff>428625</xdr:colOff>
                <xdr:row>46</xdr:row>
                <xdr:rowOff>161925</xdr:rowOff>
              </from>
              <to>
                <xdr:col>308</xdr:col>
                <xdr:colOff>600075</xdr:colOff>
                <xdr:row>47</xdr:row>
                <xdr:rowOff>114300</xdr:rowOff>
              </to>
            </anchor>
          </objectPr>
        </oleObject>
      </mc:Choice>
      <mc:Fallback>
        <oleObject progId="Equation.DSMT4" shapeId="2587" r:id="rId565"/>
      </mc:Fallback>
    </mc:AlternateContent>
    <mc:AlternateContent xmlns:mc="http://schemas.openxmlformats.org/markup-compatibility/2006">
      <mc:Choice Requires="x14">
        <oleObject progId="Equation.DSMT4" shapeId="2588" r:id="rId566">
          <objectPr defaultSize="0" r:id="rId100">
            <anchor moveWithCells="1">
              <from>
                <xdr:col>310</xdr:col>
                <xdr:colOff>142875</xdr:colOff>
                <xdr:row>46</xdr:row>
                <xdr:rowOff>142875</xdr:rowOff>
              </from>
              <to>
                <xdr:col>310</xdr:col>
                <xdr:colOff>800100</xdr:colOff>
                <xdr:row>47</xdr:row>
                <xdr:rowOff>161925</xdr:rowOff>
              </to>
            </anchor>
          </objectPr>
        </oleObject>
      </mc:Choice>
      <mc:Fallback>
        <oleObject progId="Equation.DSMT4" shapeId="2588" r:id="rId566"/>
      </mc:Fallback>
    </mc:AlternateContent>
    <mc:AlternateContent xmlns:mc="http://schemas.openxmlformats.org/markup-compatibility/2006">
      <mc:Choice Requires="x14">
        <oleObject progId="Equation.DSMT4" shapeId="2589" r:id="rId567">
          <objectPr defaultSize="0" r:id="rId132">
            <anchor moveWithCells="1">
              <from>
                <xdr:col>317</xdr:col>
                <xdr:colOff>123825</xdr:colOff>
                <xdr:row>46</xdr:row>
                <xdr:rowOff>114300</xdr:rowOff>
              </from>
              <to>
                <xdr:col>317</xdr:col>
                <xdr:colOff>923925</xdr:colOff>
                <xdr:row>47</xdr:row>
                <xdr:rowOff>142875</xdr:rowOff>
              </to>
            </anchor>
          </objectPr>
        </oleObject>
      </mc:Choice>
      <mc:Fallback>
        <oleObject progId="Equation.DSMT4" shapeId="2589" r:id="rId567"/>
      </mc:Fallback>
    </mc:AlternateContent>
    <mc:AlternateContent xmlns:mc="http://schemas.openxmlformats.org/markup-compatibility/2006">
      <mc:Choice Requires="x14">
        <oleObject progId="Equation.DSMT4" shapeId="2590" r:id="rId568">
          <objectPr defaultSize="0" r:id="rId134">
            <anchor moveWithCells="1">
              <from>
                <xdr:col>318</xdr:col>
                <xdr:colOff>257175</xdr:colOff>
                <xdr:row>46</xdr:row>
                <xdr:rowOff>114300</xdr:rowOff>
              </from>
              <to>
                <xdr:col>318</xdr:col>
                <xdr:colOff>762000</xdr:colOff>
                <xdr:row>47</xdr:row>
                <xdr:rowOff>142875</xdr:rowOff>
              </to>
            </anchor>
          </objectPr>
        </oleObject>
      </mc:Choice>
      <mc:Fallback>
        <oleObject progId="Equation.DSMT4" shapeId="2590" r:id="rId568"/>
      </mc:Fallback>
    </mc:AlternateContent>
    <mc:AlternateContent xmlns:mc="http://schemas.openxmlformats.org/markup-compatibility/2006">
      <mc:Choice Requires="x14">
        <oleObject progId="Equation.DSMT4" shapeId="2591" r:id="rId569">
          <objectPr defaultSize="0" r:id="rId136">
            <anchor moveWithCells="1">
              <from>
                <xdr:col>323</xdr:col>
                <xdr:colOff>123825</xdr:colOff>
                <xdr:row>46</xdr:row>
                <xdr:rowOff>114300</xdr:rowOff>
              </from>
              <to>
                <xdr:col>323</xdr:col>
                <xdr:colOff>923925</xdr:colOff>
                <xdr:row>47</xdr:row>
                <xdr:rowOff>142875</xdr:rowOff>
              </to>
            </anchor>
          </objectPr>
        </oleObject>
      </mc:Choice>
      <mc:Fallback>
        <oleObject progId="Equation.DSMT4" shapeId="2591" r:id="rId569"/>
      </mc:Fallback>
    </mc:AlternateContent>
    <mc:AlternateContent xmlns:mc="http://schemas.openxmlformats.org/markup-compatibility/2006">
      <mc:Choice Requires="x14">
        <oleObject progId="Equation.DSMT4" shapeId="2592" r:id="rId570">
          <objectPr defaultSize="0" r:id="rId138">
            <anchor moveWithCells="1">
              <from>
                <xdr:col>324</xdr:col>
                <xdr:colOff>257175</xdr:colOff>
                <xdr:row>46</xdr:row>
                <xdr:rowOff>114300</xdr:rowOff>
              </from>
              <to>
                <xdr:col>324</xdr:col>
                <xdr:colOff>762000</xdr:colOff>
                <xdr:row>47</xdr:row>
                <xdr:rowOff>142875</xdr:rowOff>
              </to>
            </anchor>
          </objectPr>
        </oleObject>
      </mc:Choice>
      <mc:Fallback>
        <oleObject progId="Equation.DSMT4" shapeId="2592" r:id="rId570"/>
      </mc:Fallback>
    </mc:AlternateContent>
    <mc:AlternateContent xmlns:mc="http://schemas.openxmlformats.org/markup-compatibility/2006">
      <mc:Choice Requires="x14">
        <oleObject progId="Equation.DSMT4" shapeId="2593" r:id="rId571">
          <objectPr defaultSize="0" r:id="rId140">
            <anchor moveWithCells="1">
              <from>
                <xdr:col>325</xdr:col>
                <xdr:colOff>257175</xdr:colOff>
                <xdr:row>46</xdr:row>
                <xdr:rowOff>114300</xdr:rowOff>
              </from>
              <to>
                <xdr:col>325</xdr:col>
                <xdr:colOff>752475</xdr:colOff>
                <xdr:row>47</xdr:row>
                <xdr:rowOff>142875</xdr:rowOff>
              </to>
            </anchor>
          </objectPr>
        </oleObject>
      </mc:Choice>
      <mc:Fallback>
        <oleObject progId="Equation.DSMT4" shapeId="2593" r:id="rId571"/>
      </mc:Fallback>
    </mc:AlternateContent>
    <mc:AlternateContent xmlns:mc="http://schemas.openxmlformats.org/markup-compatibility/2006">
      <mc:Choice Requires="x14">
        <oleObject progId="Equation.DSMT4" shapeId="2594" r:id="rId572">
          <objectPr defaultSize="0" r:id="rId142">
            <anchor moveWithCells="1">
              <from>
                <xdr:col>326</xdr:col>
                <xdr:colOff>123825</xdr:colOff>
                <xdr:row>46</xdr:row>
                <xdr:rowOff>114300</xdr:rowOff>
              </from>
              <to>
                <xdr:col>326</xdr:col>
                <xdr:colOff>904875</xdr:colOff>
                <xdr:row>47</xdr:row>
                <xdr:rowOff>142875</xdr:rowOff>
              </to>
            </anchor>
          </objectPr>
        </oleObject>
      </mc:Choice>
      <mc:Fallback>
        <oleObject progId="Equation.DSMT4" shapeId="2594" r:id="rId572"/>
      </mc:Fallback>
    </mc:AlternateContent>
    <mc:AlternateContent xmlns:mc="http://schemas.openxmlformats.org/markup-compatibility/2006">
      <mc:Choice Requires="x14">
        <oleObject progId="Equation.DSMT4" shapeId="2595" r:id="rId573">
          <objectPr defaultSize="0" r:id="rId144">
            <anchor moveWithCells="1">
              <from>
                <xdr:col>307</xdr:col>
                <xdr:colOff>304800</xdr:colOff>
                <xdr:row>43</xdr:row>
                <xdr:rowOff>85725</xdr:rowOff>
              </from>
              <to>
                <xdr:col>307</xdr:col>
                <xdr:colOff>876300</xdr:colOff>
                <xdr:row>44</xdr:row>
                <xdr:rowOff>161925</xdr:rowOff>
              </to>
            </anchor>
          </objectPr>
        </oleObject>
      </mc:Choice>
      <mc:Fallback>
        <oleObject progId="Equation.DSMT4" shapeId="2595" r:id="rId573"/>
      </mc:Fallback>
    </mc:AlternateContent>
    <mc:AlternateContent xmlns:mc="http://schemas.openxmlformats.org/markup-compatibility/2006">
      <mc:Choice Requires="x14">
        <oleObject progId="Equation.DSMT4" shapeId="2596" r:id="rId574">
          <objectPr defaultSize="0" r:id="rId146">
            <anchor moveWithCells="1">
              <from>
                <xdr:col>308</xdr:col>
                <xdr:colOff>295275</xdr:colOff>
                <xdr:row>43</xdr:row>
                <xdr:rowOff>104775</xdr:rowOff>
              </from>
              <to>
                <xdr:col>308</xdr:col>
                <xdr:colOff>752475</xdr:colOff>
                <xdr:row>44</xdr:row>
                <xdr:rowOff>200025</xdr:rowOff>
              </to>
            </anchor>
          </objectPr>
        </oleObject>
      </mc:Choice>
      <mc:Fallback>
        <oleObject progId="Equation.DSMT4" shapeId="2596" r:id="rId574"/>
      </mc:Fallback>
    </mc:AlternateContent>
    <mc:AlternateContent xmlns:mc="http://schemas.openxmlformats.org/markup-compatibility/2006">
      <mc:Choice Requires="x14">
        <oleObject progId="Equation.DSMT4" shapeId="2597" r:id="rId575">
          <objectPr defaultSize="0" r:id="rId148">
            <anchor moveWithCells="1">
              <from>
                <xdr:col>327</xdr:col>
                <xdr:colOff>314325</xdr:colOff>
                <xdr:row>46</xdr:row>
                <xdr:rowOff>142875</xdr:rowOff>
              </from>
              <to>
                <xdr:col>327</xdr:col>
                <xdr:colOff>723900</xdr:colOff>
                <xdr:row>47</xdr:row>
                <xdr:rowOff>85725</xdr:rowOff>
              </to>
            </anchor>
          </objectPr>
        </oleObject>
      </mc:Choice>
      <mc:Fallback>
        <oleObject progId="Equation.DSMT4" shapeId="2597" r:id="rId575"/>
      </mc:Fallback>
    </mc:AlternateContent>
    <mc:AlternateContent xmlns:mc="http://schemas.openxmlformats.org/markup-compatibility/2006">
      <mc:Choice Requires="x14">
        <oleObject progId="Equation.DSMT4" shapeId="2598" r:id="rId576">
          <objectPr defaultSize="0" r:id="rId114">
            <anchor moveWithCells="1">
              <from>
                <xdr:col>330</xdr:col>
                <xdr:colOff>381000</xdr:colOff>
                <xdr:row>46</xdr:row>
                <xdr:rowOff>142875</xdr:rowOff>
              </from>
              <to>
                <xdr:col>330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598" r:id="rId576"/>
      </mc:Fallback>
    </mc:AlternateContent>
    <mc:AlternateContent xmlns:mc="http://schemas.openxmlformats.org/markup-compatibility/2006">
      <mc:Choice Requires="x14">
        <oleObject progId="Equation.DSMT4" shapeId="2599" r:id="rId577">
          <objectPr defaultSize="0" r:id="rId124">
            <anchor moveWithCells="1">
              <from>
                <xdr:col>331</xdr:col>
                <xdr:colOff>381000</xdr:colOff>
                <xdr:row>46</xdr:row>
                <xdr:rowOff>142875</xdr:rowOff>
              </from>
              <to>
                <xdr:col>331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599" r:id="rId577"/>
      </mc:Fallback>
    </mc:AlternateContent>
    <mc:AlternateContent xmlns:mc="http://schemas.openxmlformats.org/markup-compatibility/2006">
      <mc:Choice Requires="x14">
        <oleObject progId="Equation.DSMT4" shapeId="2600" r:id="rId578">
          <objectPr defaultSize="0" r:id="rId116">
            <anchor moveWithCells="1">
              <from>
                <xdr:col>332</xdr:col>
                <xdr:colOff>381000</xdr:colOff>
                <xdr:row>46</xdr:row>
                <xdr:rowOff>142875</xdr:rowOff>
              </from>
              <to>
                <xdr:col>332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600" r:id="rId578"/>
      </mc:Fallback>
    </mc:AlternateContent>
    <mc:AlternateContent xmlns:mc="http://schemas.openxmlformats.org/markup-compatibility/2006">
      <mc:Choice Requires="x14">
        <oleObject progId="Equation.DSMT4" shapeId="2601" r:id="rId579">
          <objectPr defaultSize="0" r:id="rId118">
            <anchor moveWithCells="1">
              <from>
                <xdr:col>333</xdr:col>
                <xdr:colOff>390525</xdr:colOff>
                <xdr:row>46</xdr:row>
                <xdr:rowOff>142875</xdr:rowOff>
              </from>
              <to>
                <xdr:col>333</xdr:col>
                <xdr:colOff>647700</xdr:colOff>
                <xdr:row>47</xdr:row>
                <xdr:rowOff>142875</xdr:rowOff>
              </to>
            </anchor>
          </objectPr>
        </oleObject>
      </mc:Choice>
      <mc:Fallback>
        <oleObject progId="Equation.DSMT4" shapeId="2601" r:id="rId579"/>
      </mc:Fallback>
    </mc:AlternateContent>
    <mc:AlternateContent xmlns:mc="http://schemas.openxmlformats.org/markup-compatibility/2006">
      <mc:Choice Requires="x14">
        <oleObject progId="Equation.DSMT4" shapeId="2602" r:id="rId580">
          <objectPr defaultSize="0" r:id="rId120">
            <anchor moveWithCells="1">
              <from>
                <xdr:col>334</xdr:col>
                <xdr:colOff>381000</xdr:colOff>
                <xdr:row>46</xdr:row>
                <xdr:rowOff>142875</xdr:rowOff>
              </from>
              <to>
                <xdr:col>334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602" r:id="rId580"/>
      </mc:Fallback>
    </mc:AlternateContent>
    <mc:AlternateContent xmlns:mc="http://schemas.openxmlformats.org/markup-compatibility/2006">
      <mc:Choice Requires="x14">
        <oleObject progId="Equation.DSMT4" shapeId="2603" r:id="rId581">
          <objectPr defaultSize="0" r:id="rId122">
            <anchor moveWithCells="1">
              <from>
                <xdr:col>335</xdr:col>
                <xdr:colOff>352425</xdr:colOff>
                <xdr:row>46</xdr:row>
                <xdr:rowOff>142875</xdr:rowOff>
              </from>
              <to>
                <xdr:col>335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603" r:id="rId581"/>
      </mc:Fallback>
    </mc:AlternateContent>
    <mc:AlternateContent xmlns:mc="http://schemas.openxmlformats.org/markup-compatibility/2006">
      <mc:Choice Requires="x14">
        <oleObject progId="Equation.DSMT4" shapeId="2604" r:id="rId582">
          <objectPr defaultSize="0" r:id="rId156">
            <anchor moveWithCells="1">
              <from>
                <xdr:col>336</xdr:col>
                <xdr:colOff>428625</xdr:colOff>
                <xdr:row>46</xdr:row>
                <xdr:rowOff>142875</xdr:rowOff>
              </from>
              <to>
                <xdr:col>336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604" r:id="rId582"/>
      </mc:Fallback>
    </mc:AlternateContent>
    <mc:AlternateContent xmlns:mc="http://schemas.openxmlformats.org/markup-compatibility/2006">
      <mc:Choice Requires="x14">
        <oleObject progId="Equation.DSMT4" shapeId="2605" r:id="rId583">
          <objectPr defaultSize="0" r:id="rId158">
            <anchor moveWithCells="1">
              <from>
                <xdr:col>337</xdr:col>
                <xdr:colOff>390525</xdr:colOff>
                <xdr:row>46</xdr:row>
                <xdr:rowOff>142875</xdr:rowOff>
              </from>
              <to>
                <xdr:col>337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605" r:id="rId583"/>
      </mc:Fallback>
    </mc:AlternateContent>
    <mc:AlternateContent xmlns:mc="http://schemas.openxmlformats.org/markup-compatibility/2006">
      <mc:Choice Requires="x14">
        <oleObject progId="Equation.DSMT4" shapeId="2606" r:id="rId584">
          <objectPr defaultSize="0" r:id="rId160">
            <anchor moveWithCells="1">
              <from>
                <xdr:col>338</xdr:col>
                <xdr:colOff>219075</xdr:colOff>
                <xdr:row>46</xdr:row>
                <xdr:rowOff>114300</xdr:rowOff>
              </from>
              <to>
                <xdr:col>338</xdr:col>
                <xdr:colOff>838200</xdr:colOff>
                <xdr:row>47</xdr:row>
                <xdr:rowOff>142875</xdr:rowOff>
              </to>
            </anchor>
          </objectPr>
        </oleObject>
      </mc:Choice>
      <mc:Fallback>
        <oleObject progId="Equation.DSMT4" shapeId="2606" r:id="rId584"/>
      </mc:Fallback>
    </mc:AlternateContent>
    <mc:AlternateContent xmlns:mc="http://schemas.openxmlformats.org/markup-compatibility/2006">
      <mc:Choice Requires="x14">
        <oleObject progId="Equation.DSMT4" shapeId="2607" r:id="rId585">
          <objectPr defaultSize="0" r:id="rId114">
            <anchor moveWithCells="1">
              <from>
                <xdr:col>339</xdr:col>
                <xdr:colOff>381000</xdr:colOff>
                <xdr:row>46</xdr:row>
                <xdr:rowOff>142875</xdr:rowOff>
              </from>
              <to>
                <xdr:col>339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607" r:id="rId585"/>
      </mc:Fallback>
    </mc:AlternateContent>
    <mc:AlternateContent xmlns:mc="http://schemas.openxmlformats.org/markup-compatibility/2006">
      <mc:Choice Requires="x14">
        <oleObject progId="Equation.DSMT4" shapeId="2608" r:id="rId586">
          <objectPr defaultSize="0" r:id="rId124">
            <anchor moveWithCells="1">
              <from>
                <xdr:col>340</xdr:col>
                <xdr:colOff>381000</xdr:colOff>
                <xdr:row>46</xdr:row>
                <xdr:rowOff>142875</xdr:rowOff>
              </from>
              <to>
                <xdr:col>340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608" r:id="rId586"/>
      </mc:Fallback>
    </mc:AlternateContent>
    <mc:AlternateContent xmlns:mc="http://schemas.openxmlformats.org/markup-compatibility/2006">
      <mc:Choice Requires="x14">
        <oleObject progId="Equation.DSMT4" shapeId="2609" r:id="rId587">
          <objectPr defaultSize="0" r:id="rId116">
            <anchor moveWithCells="1">
              <from>
                <xdr:col>341</xdr:col>
                <xdr:colOff>381000</xdr:colOff>
                <xdr:row>46</xdr:row>
                <xdr:rowOff>142875</xdr:rowOff>
              </from>
              <to>
                <xdr:col>341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609" r:id="rId587"/>
      </mc:Fallback>
    </mc:AlternateContent>
    <mc:AlternateContent xmlns:mc="http://schemas.openxmlformats.org/markup-compatibility/2006">
      <mc:Choice Requires="x14">
        <oleObject progId="Equation.DSMT4" shapeId="2610" r:id="rId588">
          <objectPr defaultSize="0" r:id="rId118">
            <anchor moveWithCells="1">
              <from>
                <xdr:col>342</xdr:col>
                <xdr:colOff>390525</xdr:colOff>
                <xdr:row>46</xdr:row>
                <xdr:rowOff>142875</xdr:rowOff>
              </from>
              <to>
                <xdr:col>342</xdr:col>
                <xdr:colOff>647700</xdr:colOff>
                <xdr:row>47</xdr:row>
                <xdr:rowOff>142875</xdr:rowOff>
              </to>
            </anchor>
          </objectPr>
        </oleObject>
      </mc:Choice>
      <mc:Fallback>
        <oleObject progId="Equation.DSMT4" shapeId="2610" r:id="rId588"/>
      </mc:Fallback>
    </mc:AlternateContent>
    <mc:AlternateContent xmlns:mc="http://schemas.openxmlformats.org/markup-compatibility/2006">
      <mc:Choice Requires="x14">
        <oleObject progId="Equation.DSMT4" shapeId="2611" r:id="rId589">
          <objectPr defaultSize="0" r:id="rId120">
            <anchor moveWithCells="1">
              <from>
                <xdr:col>343</xdr:col>
                <xdr:colOff>381000</xdr:colOff>
                <xdr:row>46</xdr:row>
                <xdr:rowOff>142875</xdr:rowOff>
              </from>
              <to>
                <xdr:col>343</xdr:col>
                <xdr:colOff>638175</xdr:colOff>
                <xdr:row>47</xdr:row>
                <xdr:rowOff>142875</xdr:rowOff>
              </to>
            </anchor>
          </objectPr>
        </oleObject>
      </mc:Choice>
      <mc:Fallback>
        <oleObject progId="Equation.DSMT4" shapeId="2611" r:id="rId589"/>
      </mc:Fallback>
    </mc:AlternateContent>
    <mc:AlternateContent xmlns:mc="http://schemas.openxmlformats.org/markup-compatibility/2006">
      <mc:Choice Requires="x14">
        <oleObject progId="Equation.DSMT4" shapeId="2612" r:id="rId590">
          <objectPr defaultSize="0" r:id="rId122">
            <anchor moveWithCells="1">
              <from>
                <xdr:col>344</xdr:col>
                <xdr:colOff>352425</xdr:colOff>
                <xdr:row>46</xdr:row>
                <xdr:rowOff>142875</xdr:rowOff>
              </from>
              <to>
                <xdr:col>344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612" r:id="rId590"/>
      </mc:Fallback>
    </mc:AlternateContent>
    <mc:AlternateContent xmlns:mc="http://schemas.openxmlformats.org/markup-compatibility/2006">
      <mc:Choice Requires="x14">
        <oleObject progId="Equation.DSMT4" shapeId="2613" r:id="rId591">
          <objectPr defaultSize="0" r:id="rId156">
            <anchor moveWithCells="1">
              <from>
                <xdr:col>345</xdr:col>
                <xdr:colOff>428625</xdr:colOff>
                <xdr:row>46</xdr:row>
                <xdr:rowOff>142875</xdr:rowOff>
              </from>
              <to>
                <xdr:col>345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613" r:id="rId591"/>
      </mc:Fallback>
    </mc:AlternateContent>
    <mc:AlternateContent xmlns:mc="http://schemas.openxmlformats.org/markup-compatibility/2006">
      <mc:Choice Requires="x14">
        <oleObject progId="Equation.DSMT4" shapeId="2614" r:id="rId592">
          <objectPr defaultSize="0" r:id="rId158">
            <anchor moveWithCells="1">
              <from>
                <xdr:col>346</xdr:col>
                <xdr:colOff>390525</xdr:colOff>
                <xdr:row>46</xdr:row>
                <xdr:rowOff>142875</xdr:rowOff>
              </from>
              <to>
                <xdr:col>346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614" r:id="rId592"/>
      </mc:Fallback>
    </mc:AlternateContent>
    <mc:AlternateContent xmlns:mc="http://schemas.openxmlformats.org/markup-compatibility/2006">
      <mc:Choice Requires="x14">
        <oleObject progId="Equation.DSMT4" shapeId="2615" r:id="rId593">
          <objectPr defaultSize="0" r:id="rId170">
            <anchor moveWithCells="1">
              <from>
                <xdr:col>347</xdr:col>
                <xdr:colOff>76200</xdr:colOff>
                <xdr:row>46</xdr:row>
                <xdr:rowOff>114300</xdr:rowOff>
              </from>
              <to>
                <xdr:col>347</xdr:col>
                <xdr:colOff>1000125</xdr:colOff>
                <xdr:row>47</xdr:row>
                <xdr:rowOff>161925</xdr:rowOff>
              </to>
            </anchor>
          </objectPr>
        </oleObject>
      </mc:Choice>
      <mc:Fallback>
        <oleObject progId="Equation.DSMT4" shapeId="2615" r:id="rId593"/>
      </mc:Fallback>
    </mc:AlternateContent>
    <mc:AlternateContent xmlns:mc="http://schemas.openxmlformats.org/markup-compatibility/2006">
      <mc:Choice Requires="x14">
        <oleObject progId="Equation.DSMT4" shapeId="2616" r:id="rId594">
          <objectPr defaultSize="0" r:id="rId172">
            <anchor moveWithCells="1">
              <from>
                <xdr:col>348</xdr:col>
                <xdr:colOff>390525</xdr:colOff>
                <xdr:row>46</xdr:row>
                <xdr:rowOff>142875</xdr:rowOff>
              </from>
              <to>
                <xdr:col>348</xdr:col>
                <xdr:colOff>619125</xdr:colOff>
                <xdr:row>47</xdr:row>
                <xdr:rowOff>142875</xdr:rowOff>
              </to>
            </anchor>
          </objectPr>
        </oleObject>
      </mc:Choice>
      <mc:Fallback>
        <oleObject progId="Equation.DSMT4" shapeId="2616" r:id="rId594"/>
      </mc:Fallback>
    </mc:AlternateContent>
    <mc:AlternateContent xmlns:mc="http://schemas.openxmlformats.org/markup-compatibility/2006">
      <mc:Choice Requires="x14">
        <oleObject progId="Equation.DSMT4" shapeId="2617" r:id="rId595">
          <objectPr defaultSize="0" r:id="rId174">
            <anchor moveWithCells="1">
              <from>
                <xdr:col>349</xdr:col>
                <xdr:colOff>76200</xdr:colOff>
                <xdr:row>46</xdr:row>
                <xdr:rowOff>114300</xdr:rowOff>
              </from>
              <to>
                <xdr:col>349</xdr:col>
                <xdr:colOff>1000125</xdr:colOff>
                <xdr:row>47</xdr:row>
                <xdr:rowOff>161925</xdr:rowOff>
              </to>
            </anchor>
          </objectPr>
        </oleObject>
      </mc:Choice>
      <mc:Fallback>
        <oleObject progId="Equation.DSMT4" shapeId="2617" r:id="rId595"/>
      </mc:Fallback>
    </mc:AlternateContent>
    <mc:AlternateContent xmlns:mc="http://schemas.openxmlformats.org/markup-compatibility/2006">
      <mc:Choice Requires="x14">
        <oleObject progId="Equation.DSMT4" shapeId="2618" r:id="rId596">
          <objectPr defaultSize="0" r:id="rId176">
            <anchor moveWithCells="1">
              <from>
                <xdr:col>350</xdr:col>
                <xdr:colOff>76200</xdr:colOff>
                <xdr:row>46</xdr:row>
                <xdr:rowOff>114300</xdr:rowOff>
              </from>
              <to>
                <xdr:col>350</xdr:col>
                <xdr:colOff>1000125</xdr:colOff>
                <xdr:row>47</xdr:row>
                <xdr:rowOff>161925</xdr:rowOff>
              </to>
            </anchor>
          </objectPr>
        </oleObject>
      </mc:Choice>
      <mc:Fallback>
        <oleObject progId="Equation.DSMT4" shapeId="2618" r:id="rId596"/>
      </mc:Fallback>
    </mc:AlternateContent>
    <mc:AlternateContent xmlns:mc="http://schemas.openxmlformats.org/markup-compatibility/2006">
      <mc:Choice Requires="x14">
        <oleObject progId="Equation.DSMT4" shapeId="2619" r:id="rId597">
          <objectPr defaultSize="0" r:id="rId178">
            <anchor moveWithCells="1">
              <from>
                <xdr:col>351</xdr:col>
                <xdr:colOff>200025</xdr:colOff>
                <xdr:row>46</xdr:row>
                <xdr:rowOff>114300</xdr:rowOff>
              </from>
              <to>
                <xdr:col>351</xdr:col>
                <xdr:colOff>800100</xdr:colOff>
                <xdr:row>47</xdr:row>
                <xdr:rowOff>142875</xdr:rowOff>
              </to>
            </anchor>
          </objectPr>
        </oleObject>
      </mc:Choice>
      <mc:Fallback>
        <oleObject progId="Equation.DSMT4" shapeId="2619" r:id="rId597"/>
      </mc:Fallback>
    </mc:AlternateContent>
    <mc:AlternateContent xmlns:mc="http://schemas.openxmlformats.org/markup-compatibility/2006">
      <mc:Choice Requires="x14">
        <oleObject progId="Equation.DSMT4" shapeId="2620" r:id="rId598">
          <objectPr defaultSize="0" r:id="rId180">
            <anchor moveWithCells="1">
              <from>
                <xdr:col>352</xdr:col>
                <xdr:colOff>200025</xdr:colOff>
                <xdr:row>46</xdr:row>
                <xdr:rowOff>114300</xdr:rowOff>
              </from>
              <to>
                <xdr:col>352</xdr:col>
                <xdr:colOff>800100</xdr:colOff>
                <xdr:row>47</xdr:row>
                <xdr:rowOff>142875</xdr:rowOff>
              </to>
            </anchor>
          </objectPr>
        </oleObject>
      </mc:Choice>
      <mc:Fallback>
        <oleObject progId="Equation.DSMT4" shapeId="2620" r:id="rId598"/>
      </mc:Fallback>
    </mc:AlternateContent>
    <mc:AlternateContent xmlns:mc="http://schemas.openxmlformats.org/markup-compatibility/2006">
      <mc:Choice Requires="x14">
        <oleObject progId="Equation.DSMT4" shapeId="2621" r:id="rId599">
          <objectPr defaultSize="0" r:id="rId144">
            <anchor moveWithCells="1">
              <from>
                <xdr:col>0</xdr:col>
                <xdr:colOff>304800</xdr:colOff>
                <xdr:row>5</xdr:row>
                <xdr:rowOff>85725</xdr:rowOff>
              </from>
              <to>
                <xdr:col>0</xdr:col>
                <xdr:colOff>876300</xdr:colOff>
                <xdr:row>6</xdr:row>
                <xdr:rowOff>161925</xdr:rowOff>
              </to>
            </anchor>
          </objectPr>
        </oleObject>
      </mc:Choice>
      <mc:Fallback>
        <oleObject progId="Equation.DSMT4" shapeId="2621" r:id="rId599"/>
      </mc:Fallback>
    </mc:AlternateContent>
    <mc:AlternateContent xmlns:mc="http://schemas.openxmlformats.org/markup-compatibility/2006">
      <mc:Choice Requires="x14">
        <oleObject progId="Equation.DSMT4" shapeId="2622" r:id="rId600">
          <objectPr defaultSize="0" r:id="rId146">
            <anchor moveWithCells="1">
              <from>
                <xdr:col>1</xdr:col>
                <xdr:colOff>295275</xdr:colOff>
                <xdr:row>5</xdr:row>
                <xdr:rowOff>104775</xdr:rowOff>
              </from>
              <to>
                <xdr:col>1</xdr:col>
                <xdr:colOff>752475</xdr:colOff>
                <xdr:row>6</xdr:row>
                <xdr:rowOff>200025</xdr:rowOff>
              </to>
            </anchor>
          </objectPr>
        </oleObject>
      </mc:Choice>
      <mc:Fallback>
        <oleObject progId="Equation.DSMT4" shapeId="2622" r:id="rId600"/>
      </mc:Fallback>
    </mc:AlternateContent>
    <mc:AlternateContent xmlns:mc="http://schemas.openxmlformats.org/markup-compatibility/2006">
      <mc:Choice Requires="x14">
        <oleObject progId="Equation.DSMT4" shapeId="2646" r:id="rId601">
          <objectPr defaultSize="0" r:id="rId602">
            <anchor moveWithCells="1">
              <from>
                <xdr:col>58</xdr:col>
                <xdr:colOff>200025</xdr:colOff>
                <xdr:row>15</xdr:row>
                <xdr:rowOff>114300</xdr:rowOff>
              </from>
              <to>
                <xdr:col>58</xdr:col>
                <xdr:colOff>752475</xdr:colOff>
                <xdr:row>16</xdr:row>
                <xdr:rowOff>152400</xdr:rowOff>
              </to>
            </anchor>
          </objectPr>
        </oleObject>
      </mc:Choice>
      <mc:Fallback>
        <oleObject progId="Equation.DSMT4" shapeId="2646" r:id="rId601"/>
      </mc:Fallback>
    </mc:AlternateContent>
    <mc:AlternateContent xmlns:mc="http://schemas.openxmlformats.org/markup-compatibility/2006">
      <mc:Choice Requires="x14">
        <oleObject progId="Equation.DSMT4" shapeId="2647" r:id="rId603">
          <objectPr defaultSize="0" r:id="rId180">
            <anchor moveWithCells="1">
              <from>
                <xdr:col>59</xdr:col>
                <xdr:colOff>200025</xdr:colOff>
                <xdr:row>15</xdr:row>
                <xdr:rowOff>114300</xdr:rowOff>
              </from>
              <to>
                <xdr:col>59</xdr:col>
                <xdr:colOff>800100</xdr:colOff>
                <xdr:row>16</xdr:row>
                <xdr:rowOff>142875</xdr:rowOff>
              </to>
            </anchor>
          </objectPr>
        </oleObject>
      </mc:Choice>
      <mc:Fallback>
        <oleObject progId="Equation.DSMT4" shapeId="2647" r:id="rId603"/>
      </mc:Fallback>
    </mc:AlternateContent>
    <mc:AlternateContent xmlns:mc="http://schemas.openxmlformats.org/markup-compatibility/2006">
      <mc:Choice Requires="x14">
        <oleObject progId="Equation.DSMT4" shapeId="2648" r:id="rId604">
          <objectPr defaultSize="0" r:id="rId178">
            <anchor moveWithCells="1">
              <from>
                <xdr:col>60</xdr:col>
                <xdr:colOff>200025</xdr:colOff>
                <xdr:row>15</xdr:row>
                <xdr:rowOff>114300</xdr:rowOff>
              </from>
              <to>
                <xdr:col>60</xdr:col>
                <xdr:colOff>809625</xdr:colOff>
                <xdr:row>16</xdr:row>
                <xdr:rowOff>142875</xdr:rowOff>
              </to>
            </anchor>
          </objectPr>
        </oleObject>
      </mc:Choice>
      <mc:Fallback>
        <oleObject progId="Equation.DSMT4" shapeId="2648" r:id="rId604"/>
      </mc:Fallback>
    </mc:AlternateContent>
    <mc:AlternateContent xmlns:mc="http://schemas.openxmlformats.org/markup-compatibility/2006">
      <mc:Choice Requires="x14">
        <oleObject progId="Equation.DSMT4" shapeId="2649" r:id="rId605">
          <objectPr defaultSize="0" r:id="rId602">
            <anchor moveWithCells="1">
              <from>
                <xdr:col>117</xdr:col>
                <xdr:colOff>200025</xdr:colOff>
                <xdr:row>15</xdr:row>
                <xdr:rowOff>114300</xdr:rowOff>
              </from>
              <to>
                <xdr:col>117</xdr:col>
                <xdr:colOff>752475</xdr:colOff>
                <xdr:row>16</xdr:row>
                <xdr:rowOff>161925</xdr:rowOff>
              </to>
            </anchor>
          </objectPr>
        </oleObject>
      </mc:Choice>
      <mc:Fallback>
        <oleObject progId="Equation.DSMT4" shapeId="2649" r:id="rId605"/>
      </mc:Fallback>
    </mc:AlternateContent>
    <mc:AlternateContent xmlns:mc="http://schemas.openxmlformats.org/markup-compatibility/2006">
      <mc:Choice Requires="x14">
        <oleObject progId="Equation.DSMT4" shapeId="2650" r:id="rId606">
          <objectPr defaultSize="0" r:id="rId180">
            <anchor moveWithCells="1">
              <from>
                <xdr:col>118</xdr:col>
                <xdr:colOff>200025</xdr:colOff>
                <xdr:row>15</xdr:row>
                <xdr:rowOff>114300</xdr:rowOff>
              </from>
              <to>
                <xdr:col>118</xdr:col>
                <xdr:colOff>800100</xdr:colOff>
                <xdr:row>16</xdr:row>
                <xdr:rowOff>142875</xdr:rowOff>
              </to>
            </anchor>
          </objectPr>
        </oleObject>
      </mc:Choice>
      <mc:Fallback>
        <oleObject progId="Equation.DSMT4" shapeId="2650" r:id="rId606"/>
      </mc:Fallback>
    </mc:AlternateContent>
    <mc:AlternateContent xmlns:mc="http://schemas.openxmlformats.org/markup-compatibility/2006">
      <mc:Choice Requires="x14">
        <oleObject progId="Equation.DSMT4" shapeId="2651" r:id="rId607">
          <objectPr defaultSize="0" r:id="rId178">
            <anchor moveWithCells="1">
              <from>
                <xdr:col>119</xdr:col>
                <xdr:colOff>200025</xdr:colOff>
                <xdr:row>15</xdr:row>
                <xdr:rowOff>114300</xdr:rowOff>
              </from>
              <to>
                <xdr:col>119</xdr:col>
                <xdr:colOff>809625</xdr:colOff>
                <xdr:row>16</xdr:row>
                <xdr:rowOff>142875</xdr:rowOff>
              </to>
            </anchor>
          </objectPr>
        </oleObject>
      </mc:Choice>
      <mc:Fallback>
        <oleObject progId="Equation.DSMT4" shapeId="2651" r:id="rId607"/>
      </mc:Fallback>
    </mc:AlternateContent>
    <mc:AlternateContent xmlns:mc="http://schemas.openxmlformats.org/markup-compatibility/2006">
      <mc:Choice Requires="x14">
        <oleObject progId="Equation.DSMT4" shapeId="2652" r:id="rId608">
          <objectPr defaultSize="0" r:id="rId602">
            <anchor moveWithCells="1">
              <from>
                <xdr:col>176</xdr:col>
                <xdr:colOff>200025</xdr:colOff>
                <xdr:row>15</xdr:row>
                <xdr:rowOff>114300</xdr:rowOff>
              </from>
              <to>
                <xdr:col>176</xdr:col>
                <xdr:colOff>752475</xdr:colOff>
                <xdr:row>16</xdr:row>
                <xdr:rowOff>161925</xdr:rowOff>
              </to>
            </anchor>
          </objectPr>
        </oleObject>
      </mc:Choice>
      <mc:Fallback>
        <oleObject progId="Equation.DSMT4" shapeId="2652" r:id="rId608"/>
      </mc:Fallback>
    </mc:AlternateContent>
    <mc:AlternateContent xmlns:mc="http://schemas.openxmlformats.org/markup-compatibility/2006">
      <mc:Choice Requires="x14">
        <oleObject progId="Equation.DSMT4" shapeId="2653" r:id="rId609">
          <objectPr defaultSize="0" r:id="rId180">
            <anchor moveWithCells="1">
              <from>
                <xdr:col>177</xdr:col>
                <xdr:colOff>200025</xdr:colOff>
                <xdr:row>15</xdr:row>
                <xdr:rowOff>114300</xdr:rowOff>
              </from>
              <to>
                <xdr:col>177</xdr:col>
                <xdr:colOff>800100</xdr:colOff>
                <xdr:row>16</xdr:row>
                <xdr:rowOff>142875</xdr:rowOff>
              </to>
            </anchor>
          </objectPr>
        </oleObject>
      </mc:Choice>
      <mc:Fallback>
        <oleObject progId="Equation.DSMT4" shapeId="2653" r:id="rId609"/>
      </mc:Fallback>
    </mc:AlternateContent>
    <mc:AlternateContent xmlns:mc="http://schemas.openxmlformats.org/markup-compatibility/2006">
      <mc:Choice Requires="x14">
        <oleObject progId="Equation.DSMT4" shapeId="2654" r:id="rId610">
          <objectPr defaultSize="0" r:id="rId178">
            <anchor moveWithCells="1">
              <from>
                <xdr:col>178</xdr:col>
                <xdr:colOff>200025</xdr:colOff>
                <xdr:row>15</xdr:row>
                <xdr:rowOff>114300</xdr:rowOff>
              </from>
              <to>
                <xdr:col>178</xdr:col>
                <xdr:colOff>809625</xdr:colOff>
                <xdr:row>16</xdr:row>
                <xdr:rowOff>142875</xdr:rowOff>
              </to>
            </anchor>
          </objectPr>
        </oleObject>
      </mc:Choice>
      <mc:Fallback>
        <oleObject progId="Equation.DSMT4" shapeId="2654" r:id="rId610"/>
      </mc:Fallback>
    </mc:AlternateContent>
    <mc:AlternateContent xmlns:mc="http://schemas.openxmlformats.org/markup-compatibility/2006">
      <mc:Choice Requires="x14">
        <oleObject progId="Equation.DSMT4" shapeId="2655" r:id="rId611">
          <objectPr defaultSize="0" r:id="rId602">
            <anchor moveWithCells="1">
              <from>
                <xdr:col>235</xdr:col>
                <xdr:colOff>200025</xdr:colOff>
                <xdr:row>15</xdr:row>
                <xdr:rowOff>114300</xdr:rowOff>
              </from>
              <to>
                <xdr:col>235</xdr:col>
                <xdr:colOff>752475</xdr:colOff>
                <xdr:row>16</xdr:row>
                <xdr:rowOff>161925</xdr:rowOff>
              </to>
            </anchor>
          </objectPr>
        </oleObject>
      </mc:Choice>
      <mc:Fallback>
        <oleObject progId="Equation.DSMT4" shapeId="2655" r:id="rId611"/>
      </mc:Fallback>
    </mc:AlternateContent>
    <mc:AlternateContent xmlns:mc="http://schemas.openxmlformats.org/markup-compatibility/2006">
      <mc:Choice Requires="x14">
        <oleObject progId="Equation.DSMT4" shapeId="2656" r:id="rId612">
          <objectPr defaultSize="0" r:id="rId180">
            <anchor moveWithCells="1">
              <from>
                <xdr:col>236</xdr:col>
                <xdr:colOff>200025</xdr:colOff>
                <xdr:row>15</xdr:row>
                <xdr:rowOff>114300</xdr:rowOff>
              </from>
              <to>
                <xdr:col>236</xdr:col>
                <xdr:colOff>800100</xdr:colOff>
                <xdr:row>16</xdr:row>
                <xdr:rowOff>142875</xdr:rowOff>
              </to>
            </anchor>
          </objectPr>
        </oleObject>
      </mc:Choice>
      <mc:Fallback>
        <oleObject progId="Equation.DSMT4" shapeId="2656" r:id="rId612"/>
      </mc:Fallback>
    </mc:AlternateContent>
    <mc:AlternateContent xmlns:mc="http://schemas.openxmlformats.org/markup-compatibility/2006">
      <mc:Choice Requires="x14">
        <oleObject progId="Equation.DSMT4" shapeId="2657" r:id="rId613">
          <objectPr defaultSize="0" r:id="rId178">
            <anchor moveWithCells="1">
              <from>
                <xdr:col>237</xdr:col>
                <xdr:colOff>200025</xdr:colOff>
                <xdr:row>15</xdr:row>
                <xdr:rowOff>114300</xdr:rowOff>
              </from>
              <to>
                <xdr:col>237</xdr:col>
                <xdr:colOff>809625</xdr:colOff>
                <xdr:row>16</xdr:row>
                <xdr:rowOff>142875</xdr:rowOff>
              </to>
            </anchor>
          </objectPr>
        </oleObject>
      </mc:Choice>
      <mc:Fallback>
        <oleObject progId="Equation.DSMT4" shapeId="2657" r:id="rId613"/>
      </mc:Fallback>
    </mc:AlternateContent>
    <mc:AlternateContent xmlns:mc="http://schemas.openxmlformats.org/markup-compatibility/2006">
      <mc:Choice Requires="x14">
        <oleObject progId="Equation.DSMT4" shapeId="2658" r:id="rId614">
          <objectPr defaultSize="0" r:id="rId602">
            <anchor moveWithCells="1">
              <from>
                <xdr:col>294</xdr:col>
                <xdr:colOff>200025</xdr:colOff>
                <xdr:row>15</xdr:row>
                <xdr:rowOff>114300</xdr:rowOff>
              </from>
              <to>
                <xdr:col>294</xdr:col>
                <xdr:colOff>752475</xdr:colOff>
                <xdr:row>16</xdr:row>
                <xdr:rowOff>161925</xdr:rowOff>
              </to>
            </anchor>
          </objectPr>
        </oleObject>
      </mc:Choice>
      <mc:Fallback>
        <oleObject progId="Equation.DSMT4" shapeId="2658" r:id="rId614"/>
      </mc:Fallback>
    </mc:AlternateContent>
    <mc:AlternateContent xmlns:mc="http://schemas.openxmlformats.org/markup-compatibility/2006">
      <mc:Choice Requires="x14">
        <oleObject progId="Equation.DSMT4" shapeId="2659" r:id="rId615">
          <objectPr defaultSize="0" r:id="rId180">
            <anchor moveWithCells="1">
              <from>
                <xdr:col>295</xdr:col>
                <xdr:colOff>200025</xdr:colOff>
                <xdr:row>15</xdr:row>
                <xdr:rowOff>114300</xdr:rowOff>
              </from>
              <to>
                <xdr:col>295</xdr:col>
                <xdr:colOff>800100</xdr:colOff>
                <xdr:row>16</xdr:row>
                <xdr:rowOff>142875</xdr:rowOff>
              </to>
            </anchor>
          </objectPr>
        </oleObject>
      </mc:Choice>
      <mc:Fallback>
        <oleObject progId="Equation.DSMT4" shapeId="2659" r:id="rId615"/>
      </mc:Fallback>
    </mc:AlternateContent>
    <mc:AlternateContent xmlns:mc="http://schemas.openxmlformats.org/markup-compatibility/2006">
      <mc:Choice Requires="x14">
        <oleObject progId="Equation.DSMT4" shapeId="2660" r:id="rId616">
          <objectPr defaultSize="0" r:id="rId178">
            <anchor moveWithCells="1">
              <from>
                <xdr:col>296</xdr:col>
                <xdr:colOff>200025</xdr:colOff>
                <xdr:row>15</xdr:row>
                <xdr:rowOff>114300</xdr:rowOff>
              </from>
              <to>
                <xdr:col>296</xdr:col>
                <xdr:colOff>809625</xdr:colOff>
                <xdr:row>16</xdr:row>
                <xdr:rowOff>142875</xdr:rowOff>
              </to>
            </anchor>
          </objectPr>
        </oleObject>
      </mc:Choice>
      <mc:Fallback>
        <oleObject progId="Equation.DSMT4" shapeId="2660" r:id="rId616"/>
      </mc:Fallback>
    </mc:AlternateContent>
    <mc:AlternateContent xmlns:mc="http://schemas.openxmlformats.org/markup-compatibility/2006">
      <mc:Choice Requires="x14">
        <oleObject progId="Equation.DSMT4" shapeId="2661" r:id="rId617">
          <objectPr defaultSize="0" r:id="rId602">
            <anchor moveWithCells="1">
              <from>
                <xdr:col>353</xdr:col>
                <xdr:colOff>200025</xdr:colOff>
                <xdr:row>15</xdr:row>
                <xdr:rowOff>114300</xdr:rowOff>
              </from>
              <to>
                <xdr:col>353</xdr:col>
                <xdr:colOff>752475</xdr:colOff>
                <xdr:row>16</xdr:row>
                <xdr:rowOff>161925</xdr:rowOff>
              </to>
            </anchor>
          </objectPr>
        </oleObject>
      </mc:Choice>
      <mc:Fallback>
        <oleObject progId="Equation.DSMT4" shapeId="2661" r:id="rId617"/>
      </mc:Fallback>
    </mc:AlternateContent>
    <mc:AlternateContent xmlns:mc="http://schemas.openxmlformats.org/markup-compatibility/2006">
      <mc:Choice Requires="x14">
        <oleObject progId="Equation.DSMT4" shapeId="2662" r:id="rId618">
          <objectPr defaultSize="0" r:id="rId180">
            <anchor moveWithCells="1">
              <from>
                <xdr:col>354</xdr:col>
                <xdr:colOff>200025</xdr:colOff>
                <xdr:row>15</xdr:row>
                <xdr:rowOff>114300</xdr:rowOff>
              </from>
              <to>
                <xdr:col>354</xdr:col>
                <xdr:colOff>800100</xdr:colOff>
                <xdr:row>16</xdr:row>
                <xdr:rowOff>142875</xdr:rowOff>
              </to>
            </anchor>
          </objectPr>
        </oleObject>
      </mc:Choice>
      <mc:Fallback>
        <oleObject progId="Equation.DSMT4" shapeId="2662" r:id="rId618"/>
      </mc:Fallback>
    </mc:AlternateContent>
    <mc:AlternateContent xmlns:mc="http://schemas.openxmlformats.org/markup-compatibility/2006">
      <mc:Choice Requires="x14">
        <oleObject progId="Equation.DSMT4" shapeId="2663" r:id="rId619">
          <objectPr defaultSize="0" r:id="rId178">
            <anchor moveWithCells="1">
              <from>
                <xdr:col>355</xdr:col>
                <xdr:colOff>200025</xdr:colOff>
                <xdr:row>15</xdr:row>
                <xdr:rowOff>114300</xdr:rowOff>
              </from>
              <to>
                <xdr:col>355</xdr:col>
                <xdr:colOff>809625</xdr:colOff>
                <xdr:row>16</xdr:row>
                <xdr:rowOff>142875</xdr:rowOff>
              </to>
            </anchor>
          </objectPr>
        </oleObject>
      </mc:Choice>
      <mc:Fallback>
        <oleObject progId="Equation.DSMT4" shapeId="2663" r:id="rId619"/>
      </mc:Fallback>
    </mc:AlternateContent>
    <mc:AlternateContent xmlns:mc="http://schemas.openxmlformats.org/markup-compatibility/2006">
      <mc:Choice Requires="x14">
        <oleObject progId="Equation.DSMT4" shapeId="2664" r:id="rId620">
          <objectPr defaultSize="0" r:id="rId602">
            <anchor moveWithCells="1">
              <from>
                <xdr:col>353</xdr:col>
                <xdr:colOff>200025</xdr:colOff>
                <xdr:row>46</xdr:row>
                <xdr:rowOff>114300</xdr:rowOff>
              </from>
              <to>
                <xdr:col>353</xdr:col>
                <xdr:colOff>752475</xdr:colOff>
                <xdr:row>47</xdr:row>
                <xdr:rowOff>161925</xdr:rowOff>
              </to>
            </anchor>
          </objectPr>
        </oleObject>
      </mc:Choice>
      <mc:Fallback>
        <oleObject progId="Equation.DSMT4" shapeId="2664" r:id="rId620"/>
      </mc:Fallback>
    </mc:AlternateContent>
    <mc:AlternateContent xmlns:mc="http://schemas.openxmlformats.org/markup-compatibility/2006">
      <mc:Choice Requires="x14">
        <oleObject progId="Equation.DSMT4" shapeId="2665" r:id="rId621">
          <objectPr defaultSize="0" r:id="rId180">
            <anchor moveWithCells="1">
              <from>
                <xdr:col>354</xdr:col>
                <xdr:colOff>200025</xdr:colOff>
                <xdr:row>46</xdr:row>
                <xdr:rowOff>114300</xdr:rowOff>
              </from>
              <to>
                <xdr:col>354</xdr:col>
                <xdr:colOff>800100</xdr:colOff>
                <xdr:row>47</xdr:row>
                <xdr:rowOff>142875</xdr:rowOff>
              </to>
            </anchor>
          </objectPr>
        </oleObject>
      </mc:Choice>
      <mc:Fallback>
        <oleObject progId="Equation.DSMT4" shapeId="2665" r:id="rId621"/>
      </mc:Fallback>
    </mc:AlternateContent>
    <mc:AlternateContent xmlns:mc="http://schemas.openxmlformats.org/markup-compatibility/2006">
      <mc:Choice Requires="x14">
        <oleObject progId="Equation.DSMT4" shapeId="2666" r:id="rId622">
          <objectPr defaultSize="0" r:id="rId178">
            <anchor moveWithCells="1">
              <from>
                <xdr:col>355</xdr:col>
                <xdr:colOff>200025</xdr:colOff>
                <xdr:row>46</xdr:row>
                <xdr:rowOff>114300</xdr:rowOff>
              </from>
              <to>
                <xdr:col>355</xdr:col>
                <xdr:colOff>809625</xdr:colOff>
                <xdr:row>47</xdr:row>
                <xdr:rowOff>142875</xdr:rowOff>
              </to>
            </anchor>
          </objectPr>
        </oleObject>
      </mc:Choice>
      <mc:Fallback>
        <oleObject progId="Equation.DSMT4" shapeId="2666" r:id="rId622"/>
      </mc:Fallback>
    </mc:AlternateContent>
    <mc:AlternateContent xmlns:mc="http://schemas.openxmlformats.org/markup-compatibility/2006">
      <mc:Choice Requires="x14">
        <oleObject progId="Equation.DSMT4" shapeId="2667" r:id="rId623">
          <objectPr defaultSize="0" r:id="rId602">
            <anchor moveWithCells="1">
              <from>
                <xdr:col>294</xdr:col>
                <xdr:colOff>200025</xdr:colOff>
                <xdr:row>46</xdr:row>
                <xdr:rowOff>114300</xdr:rowOff>
              </from>
              <to>
                <xdr:col>294</xdr:col>
                <xdr:colOff>752475</xdr:colOff>
                <xdr:row>47</xdr:row>
                <xdr:rowOff>161925</xdr:rowOff>
              </to>
            </anchor>
          </objectPr>
        </oleObject>
      </mc:Choice>
      <mc:Fallback>
        <oleObject progId="Equation.DSMT4" shapeId="2667" r:id="rId623"/>
      </mc:Fallback>
    </mc:AlternateContent>
    <mc:AlternateContent xmlns:mc="http://schemas.openxmlformats.org/markup-compatibility/2006">
      <mc:Choice Requires="x14">
        <oleObject progId="Equation.DSMT4" shapeId="2668" r:id="rId624">
          <objectPr defaultSize="0" r:id="rId180">
            <anchor moveWithCells="1">
              <from>
                <xdr:col>295</xdr:col>
                <xdr:colOff>200025</xdr:colOff>
                <xdr:row>46</xdr:row>
                <xdr:rowOff>114300</xdr:rowOff>
              </from>
              <to>
                <xdr:col>295</xdr:col>
                <xdr:colOff>800100</xdr:colOff>
                <xdr:row>47</xdr:row>
                <xdr:rowOff>142875</xdr:rowOff>
              </to>
            </anchor>
          </objectPr>
        </oleObject>
      </mc:Choice>
      <mc:Fallback>
        <oleObject progId="Equation.DSMT4" shapeId="2668" r:id="rId624"/>
      </mc:Fallback>
    </mc:AlternateContent>
    <mc:AlternateContent xmlns:mc="http://schemas.openxmlformats.org/markup-compatibility/2006">
      <mc:Choice Requires="x14">
        <oleObject progId="Equation.DSMT4" shapeId="2669" r:id="rId625">
          <objectPr defaultSize="0" r:id="rId178">
            <anchor moveWithCells="1">
              <from>
                <xdr:col>296</xdr:col>
                <xdr:colOff>200025</xdr:colOff>
                <xdr:row>46</xdr:row>
                <xdr:rowOff>114300</xdr:rowOff>
              </from>
              <to>
                <xdr:col>296</xdr:col>
                <xdr:colOff>809625</xdr:colOff>
                <xdr:row>47</xdr:row>
                <xdr:rowOff>142875</xdr:rowOff>
              </to>
            </anchor>
          </objectPr>
        </oleObject>
      </mc:Choice>
      <mc:Fallback>
        <oleObject progId="Equation.DSMT4" shapeId="2669" r:id="rId625"/>
      </mc:Fallback>
    </mc:AlternateContent>
    <mc:AlternateContent xmlns:mc="http://schemas.openxmlformats.org/markup-compatibility/2006">
      <mc:Choice Requires="x14">
        <oleObject progId="Equation.DSMT4" shapeId="2670" r:id="rId626">
          <objectPr defaultSize="0" r:id="rId602">
            <anchor moveWithCells="1">
              <from>
                <xdr:col>235</xdr:col>
                <xdr:colOff>200025</xdr:colOff>
                <xdr:row>46</xdr:row>
                <xdr:rowOff>114300</xdr:rowOff>
              </from>
              <to>
                <xdr:col>235</xdr:col>
                <xdr:colOff>752475</xdr:colOff>
                <xdr:row>47</xdr:row>
                <xdr:rowOff>161925</xdr:rowOff>
              </to>
            </anchor>
          </objectPr>
        </oleObject>
      </mc:Choice>
      <mc:Fallback>
        <oleObject progId="Equation.DSMT4" shapeId="2670" r:id="rId626"/>
      </mc:Fallback>
    </mc:AlternateContent>
    <mc:AlternateContent xmlns:mc="http://schemas.openxmlformats.org/markup-compatibility/2006">
      <mc:Choice Requires="x14">
        <oleObject progId="Equation.DSMT4" shapeId="2671" r:id="rId627">
          <objectPr defaultSize="0" r:id="rId180">
            <anchor moveWithCells="1">
              <from>
                <xdr:col>236</xdr:col>
                <xdr:colOff>200025</xdr:colOff>
                <xdr:row>46</xdr:row>
                <xdr:rowOff>114300</xdr:rowOff>
              </from>
              <to>
                <xdr:col>236</xdr:col>
                <xdr:colOff>800100</xdr:colOff>
                <xdr:row>47</xdr:row>
                <xdr:rowOff>142875</xdr:rowOff>
              </to>
            </anchor>
          </objectPr>
        </oleObject>
      </mc:Choice>
      <mc:Fallback>
        <oleObject progId="Equation.DSMT4" shapeId="2671" r:id="rId627"/>
      </mc:Fallback>
    </mc:AlternateContent>
    <mc:AlternateContent xmlns:mc="http://schemas.openxmlformats.org/markup-compatibility/2006">
      <mc:Choice Requires="x14">
        <oleObject progId="Equation.DSMT4" shapeId="2672" r:id="rId628">
          <objectPr defaultSize="0" r:id="rId178">
            <anchor moveWithCells="1">
              <from>
                <xdr:col>237</xdr:col>
                <xdr:colOff>200025</xdr:colOff>
                <xdr:row>46</xdr:row>
                <xdr:rowOff>114300</xdr:rowOff>
              </from>
              <to>
                <xdr:col>237</xdr:col>
                <xdr:colOff>809625</xdr:colOff>
                <xdr:row>47</xdr:row>
                <xdr:rowOff>142875</xdr:rowOff>
              </to>
            </anchor>
          </objectPr>
        </oleObject>
      </mc:Choice>
      <mc:Fallback>
        <oleObject progId="Equation.DSMT4" shapeId="2672" r:id="rId628"/>
      </mc:Fallback>
    </mc:AlternateContent>
    <mc:AlternateContent xmlns:mc="http://schemas.openxmlformats.org/markup-compatibility/2006">
      <mc:Choice Requires="x14">
        <oleObject progId="Equation.DSMT4" shapeId="2673" r:id="rId629">
          <objectPr defaultSize="0" r:id="rId602">
            <anchor moveWithCells="1">
              <from>
                <xdr:col>176</xdr:col>
                <xdr:colOff>200025</xdr:colOff>
                <xdr:row>46</xdr:row>
                <xdr:rowOff>114300</xdr:rowOff>
              </from>
              <to>
                <xdr:col>176</xdr:col>
                <xdr:colOff>752475</xdr:colOff>
                <xdr:row>47</xdr:row>
                <xdr:rowOff>161925</xdr:rowOff>
              </to>
            </anchor>
          </objectPr>
        </oleObject>
      </mc:Choice>
      <mc:Fallback>
        <oleObject progId="Equation.DSMT4" shapeId="2673" r:id="rId629"/>
      </mc:Fallback>
    </mc:AlternateContent>
    <mc:AlternateContent xmlns:mc="http://schemas.openxmlformats.org/markup-compatibility/2006">
      <mc:Choice Requires="x14">
        <oleObject progId="Equation.DSMT4" shapeId="2674" r:id="rId630">
          <objectPr defaultSize="0" r:id="rId180">
            <anchor moveWithCells="1">
              <from>
                <xdr:col>177</xdr:col>
                <xdr:colOff>200025</xdr:colOff>
                <xdr:row>46</xdr:row>
                <xdr:rowOff>114300</xdr:rowOff>
              </from>
              <to>
                <xdr:col>177</xdr:col>
                <xdr:colOff>800100</xdr:colOff>
                <xdr:row>47</xdr:row>
                <xdr:rowOff>142875</xdr:rowOff>
              </to>
            </anchor>
          </objectPr>
        </oleObject>
      </mc:Choice>
      <mc:Fallback>
        <oleObject progId="Equation.DSMT4" shapeId="2674" r:id="rId630"/>
      </mc:Fallback>
    </mc:AlternateContent>
    <mc:AlternateContent xmlns:mc="http://schemas.openxmlformats.org/markup-compatibility/2006">
      <mc:Choice Requires="x14">
        <oleObject progId="Equation.DSMT4" shapeId="2675" r:id="rId631">
          <objectPr defaultSize="0" r:id="rId178">
            <anchor moveWithCells="1">
              <from>
                <xdr:col>178</xdr:col>
                <xdr:colOff>200025</xdr:colOff>
                <xdr:row>46</xdr:row>
                <xdr:rowOff>114300</xdr:rowOff>
              </from>
              <to>
                <xdr:col>178</xdr:col>
                <xdr:colOff>809625</xdr:colOff>
                <xdr:row>47</xdr:row>
                <xdr:rowOff>142875</xdr:rowOff>
              </to>
            </anchor>
          </objectPr>
        </oleObject>
      </mc:Choice>
      <mc:Fallback>
        <oleObject progId="Equation.DSMT4" shapeId="2675" r:id="rId631"/>
      </mc:Fallback>
    </mc:AlternateContent>
    <mc:AlternateContent xmlns:mc="http://schemas.openxmlformats.org/markup-compatibility/2006">
      <mc:Choice Requires="x14">
        <oleObject progId="Equation.DSMT4" shapeId="2676" r:id="rId632">
          <objectPr defaultSize="0" r:id="rId602">
            <anchor moveWithCells="1">
              <from>
                <xdr:col>117</xdr:col>
                <xdr:colOff>200025</xdr:colOff>
                <xdr:row>46</xdr:row>
                <xdr:rowOff>114300</xdr:rowOff>
              </from>
              <to>
                <xdr:col>117</xdr:col>
                <xdr:colOff>752475</xdr:colOff>
                <xdr:row>47</xdr:row>
                <xdr:rowOff>161925</xdr:rowOff>
              </to>
            </anchor>
          </objectPr>
        </oleObject>
      </mc:Choice>
      <mc:Fallback>
        <oleObject progId="Equation.DSMT4" shapeId="2676" r:id="rId632"/>
      </mc:Fallback>
    </mc:AlternateContent>
    <mc:AlternateContent xmlns:mc="http://schemas.openxmlformats.org/markup-compatibility/2006">
      <mc:Choice Requires="x14">
        <oleObject progId="Equation.DSMT4" shapeId="2677" r:id="rId633">
          <objectPr defaultSize="0" r:id="rId180">
            <anchor moveWithCells="1">
              <from>
                <xdr:col>118</xdr:col>
                <xdr:colOff>200025</xdr:colOff>
                <xdr:row>46</xdr:row>
                <xdr:rowOff>114300</xdr:rowOff>
              </from>
              <to>
                <xdr:col>118</xdr:col>
                <xdr:colOff>800100</xdr:colOff>
                <xdr:row>47</xdr:row>
                <xdr:rowOff>142875</xdr:rowOff>
              </to>
            </anchor>
          </objectPr>
        </oleObject>
      </mc:Choice>
      <mc:Fallback>
        <oleObject progId="Equation.DSMT4" shapeId="2677" r:id="rId633"/>
      </mc:Fallback>
    </mc:AlternateContent>
    <mc:AlternateContent xmlns:mc="http://schemas.openxmlformats.org/markup-compatibility/2006">
      <mc:Choice Requires="x14">
        <oleObject progId="Equation.DSMT4" shapeId="2678" r:id="rId634">
          <objectPr defaultSize="0" r:id="rId178">
            <anchor moveWithCells="1">
              <from>
                <xdr:col>119</xdr:col>
                <xdr:colOff>200025</xdr:colOff>
                <xdr:row>46</xdr:row>
                <xdr:rowOff>114300</xdr:rowOff>
              </from>
              <to>
                <xdr:col>119</xdr:col>
                <xdr:colOff>809625</xdr:colOff>
                <xdr:row>47</xdr:row>
                <xdr:rowOff>142875</xdr:rowOff>
              </to>
            </anchor>
          </objectPr>
        </oleObject>
      </mc:Choice>
      <mc:Fallback>
        <oleObject progId="Equation.DSMT4" shapeId="2678" r:id="rId634"/>
      </mc:Fallback>
    </mc:AlternateContent>
    <mc:AlternateContent xmlns:mc="http://schemas.openxmlformats.org/markup-compatibility/2006">
      <mc:Choice Requires="x14">
        <oleObject progId="Equation.DSMT4" shapeId="2679" r:id="rId635">
          <objectPr defaultSize="0" r:id="rId602">
            <anchor moveWithCells="1">
              <from>
                <xdr:col>58</xdr:col>
                <xdr:colOff>200025</xdr:colOff>
                <xdr:row>46</xdr:row>
                <xdr:rowOff>114300</xdr:rowOff>
              </from>
              <to>
                <xdr:col>58</xdr:col>
                <xdr:colOff>752475</xdr:colOff>
                <xdr:row>47</xdr:row>
                <xdr:rowOff>161925</xdr:rowOff>
              </to>
            </anchor>
          </objectPr>
        </oleObject>
      </mc:Choice>
      <mc:Fallback>
        <oleObject progId="Equation.DSMT4" shapeId="2679" r:id="rId635"/>
      </mc:Fallback>
    </mc:AlternateContent>
    <mc:AlternateContent xmlns:mc="http://schemas.openxmlformats.org/markup-compatibility/2006">
      <mc:Choice Requires="x14">
        <oleObject progId="Equation.DSMT4" shapeId="2680" r:id="rId636">
          <objectPr defaultSize="0" r:id="rId180">
            <anchor moveWithCells="1">
              <from>
                <xdr:col>59</xdr:col>
                <xdr:colOff>200025</xdr:colOff>
                <xdr:row>46</xdr:row>
                <xdr:rowOff>114300</xdr:rowOff>
              </from>
              <to>
                <xdr:col>59</xdr:col>
                <xdr:colOff>800100</xdr:colOff>
                <xdr:row>47</xdr:row>
                <xdr:rowOff>142875</xdr:rowOff>
              </to>
            </anchor>
          </objectPr>
        </oleObject>
      </mc:Choice>
      <mc:Fallback>
        <oleObject progId="Equation.DSMT4" shapeId="2680" r:id="rId636"/>
      </mc:Fallback>
    </mc:AlternateContent>
    <mc:AlternateContent xmlns:mc="http://schemas.openxmlformats.org/markup-compatibility/2006">
      <mc:Choice Requires="x14">
        <oleObject progId="Equation.DSMT4" shapeId="2681" r:id="rId637">
          <objectPr defaultSize="0" r:id="rId178">
            <anchor moveWithCells="1">
              <from>
                <xdr:col>60</xdr:col>
                <xdr:colOff>200025</xdr:colOff>
                <xdr:row>46</xdr:row>
                <xdr:rowOff>114300</xdr:rowOff>
              </from>
              <to>
                <xdr:col>60</xdr:col>
                <xdr:colOff>809625</xdr:colOff>
                <xdr:row>47</xdr:row>
                <xdr:rowOff>142875</xdr:rowOff>
              </to>
            </anchor>
          </objectPr>
        </oleObject>
      </mc:Choice>
      <mc:Fallback>
        <oleObject progId="Equation.DSMT4" shapeId="2681" r:id="rId637"/>
      </mc:Fallback>
    </mc:AlternateContent>
  </oleObjects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87"/>
  <sheetViews>
    <sheetView showGridLines="0" showRowColHeaders="0" workbookViewId="0">
      <selection activeCell="J7" sqref="J7"/>
    </sheetView>
  </sheetViews>
  <sheetFormatPr baseColWidth="10" defaultRowHeight="15" x14ac:dyDescent="0.25"/>
  <cols>
    <col min="1" max="1" width="3" customWidth="1"/>
  </cols>
  <sheetData>
    <row r="2" spans="2:14" x14ac:dyDescent="0.25">
      <c r="B2" s="297" t="s">
        <v>214</v>
      </c>
      <c r="C2" s="297"/>
      <c r="D2" s="297"/>
      <c r="E2" s="297"/>
      <c r="F2" s="297"/>
      <c r="G2" s="297"/>
      <c r="H2" s="297"/>
      <c r="I2" s="297"/>
      <c r="J2" s="297"/>
      <c r="K2" s="297"/>
      <c r="L2" s="297"/>
      <c r="M2" s="297"/>
      <c r="N2" s="297"/>
    </row>
    <row r="3" spans="2:14" x14ac:dyDescent="0.25">
      <c r="B3" s="298" t="s">
        <v>1</v>
      </c>
      <c r="C3" s="299"/>
      <c r="D3" s="213" t="str">
        <f>'Datos Entrada'!D8</f>
        <v>Hermosillo, Son.</v>
      </c>
      <c r="E3" s="214"/>
      <c r="F3" s="298" t="s">
        <v>170</v>
      </c>
      <c r="G3" s="299"/>
      <c r="H3" s="216">
        <f>'Datos Entrada'!H8</f>
        <v>29.08</v>
      </c>
      <c r="I3" s="298" t="s">
        <v>202</v>
      </c>
      <c r="J3" s="299"/>
      <c r="K3" s="215">
        <f>'Datos Entrada'!K8</f>
        <v>-110.93</v>
      </c>
      <c r="L3" s="298" t="s">
        <v>201</v>
      </c>
      <c r="M3" s="299"/>
      <c r="N3" s="215">
        <f>'Datos Entrada'!N8</f>
        <v>211</v>
      </c>
    </row>
    <row r="4" spans="2:14" x14ac:dyDescent="0.25">
      <c r="B4" s="208"/>
      <c r="C4" s="338" t="s">
        <v>166</v>
      </c>
      <c r="D4" s="339"/>
      <c r="E4" s="339"/>
      <c r="F4" s="339"/>
      <c r="G4" s="339"/>
      <c r="H4" s="339"/>
      <c r="I4" s="339"/>
      <c r="J4" s="339"/>
      <c r="K4" s="339"/>
      <c r="L4" s="339"/>
      <c r="M4" s="339"/>
      <c r="N4" s="340"/>
    </row>
    <row r="5" spans="2:14" ht="15.75" thickBot="1" x14ac:dyDescent="0.3">
      <c r="B5" s="210" t="s">
        <v>195</v>
      </c>
      <c r="C5" s="211" t="s">
        <v>5</v>
      </c>
      <c r="D5" s="211" t="s">
        <v>6</v>
      </c>
      <c r="E5" s="211" t="s">
        <v>7</v>
      </c>
      <c r="F5" s="211" t="s">
        <v>8</v>
      </c>
      <c r="G5" s="211" t="s">
        <v>9</v>
      </c>
      <c r="H5" s="211" t="s">
        <v>10</v>
      </c>
      <c r="I5" s="211" t="s">
        <v>11</v>
      </c>
      <c r="J5" s="211" t="s">
        <v>12</v>
      </c>
      <c r="K5" s="211" t="s">
        <v>13</v>
      </c>
      <c r="L5" s="211" t="s">
        <v>14</v>
      </c>
      <c r="M5" s="211" t="s">
        <v>15</v>
      </c>
      <c r="N5" s="211" t="s">
        <v>16</v>
      </c>
    </row>
    <row r="6" spans="2:14" x14ac:dyDescent="0.25">
      <c r="B6" s="228">
        <v>4.1666666666666699E-2</v>
      </c>
      <c r="C6" s="156">
        <f>'Cálculos iluminancia'!W18</f>
        <v>0</v>
      </c>
      <c r="D6" s="157">
        <f>'Cálculos iluminancia'!CD18</f>
        <v>0</v>
      </c>
      <c r="E6" s="157">
        <f>'Cálculos iluminancia'!EK18</f>
        <v>0</v>
      </c>
      <c r="F6" s="157">
        <f>'Cálculos iluminancia'!GR18</f>
        <v>0</v>
      </c>
      <c r="G6" s="157">
        <f>'Cálculos iluminancia'!IY18</f>
        <v>0</v>
      </c>
      <c r="H6" s="157">
        <f>'Cálculos iluminancia'!LF18</f>
        <v>0</v>
      </c>
      <c r="I6" s="157">
        <f>'Cálculos iluminancia'!W49</f>
        <v>0</v>
      </c>
      <c r="J6" s="157">
        <f>'Cálculos iluminancia'!CD49</f>
        <v>0</v>
      </c>
      <c r="K6" s="157">
        <f>'Cálculos iluminancia'!EK49</f>
        <v>0</v>
      </c>
      <c r="L6" s="157">
        <f>'Cálculos iluminancia'!GR49</f>
        <v>0</v>
      </c>
      <c r="M6" s="157">
        <f>'Cálculos iluminancia'!IY49</f>
        <v>0</v>
      </c>
      <c r="N6" s="158">
        <f>'Cálculos iluminancia'!LF49</f>
        <v>0</v>
      </c>
    </row>
    <row r="7" spans="2:14" x14ac:dyDescent="0.25">
      <c r="B7" s="228">
        <v>8.3333333333333301E-2</v>
      </c>
      <c r="C7" s="159">
        <f>'Cálculos iluminancia'!W19</f>
        <v>0</v>
      </c>
      <c r="D7" s="160">
        <f>'Cálculos iluminancia'!CD19</f>
        <v>0</v>
      </c>
      <c r="E7" s="160">
        <f>'Cálculos iluminancia'!EK19</f>
        <v>0</v>
      </c>
      <c r="F7" s="160">
        <f>'Cálculos iluminancia'!GR19</f>
        <v>0</v>
      </c>
      <c r="G7" s="160">
        <f>'Cálculos iluminancia'!IY19</f>
        <v>0</v>
      </c>
      <c r="H7" s="160">
        <f>'Cálculos iluminancia'!LF19</f>
        <v>0</v>
      </c>
      <c r="I7" s="160">
        <f>'Cálculos iluminancia'!W50</f>
        <v>0</v>
      </c>
      <c r="J7" s="160">
        <f>'Cálculos iluminancia'!CD50</f>
        <v>0</v>
      </c>
      <c r="K7" s="160">
        <f>'Cálculos iluminancia'!EK50</f>
        <v>0</v>
      </c>
      <c r="L7" s="160">
        <f>'Cálculos iluminancia'!GR50</f>
        <v>0</v>
      </c>
      <c r="M7" s="160">
        <f>'Cálculos iluminancia'!IY50</f>
        <v>0</v>
      </c>
      <c r="N7" s="161">
        <f>'Cálculos iluminancia'!LF50</f>
        <v>0</v>
      </c>
    </row>
    <row r="8" spans="2:14" x14ac:dyDescent="0.25">
      <c r="B8" s="228">
        <v>0.125</v>
      </c>
      <c r="C8" s="159">
        <f>'Cálculos iluminancia'!W20</f>
        <v>0</v>
      </c>
      <c r="D8" s="160">
        <f>'Cálculos iluminancia'!CD20</f>
        <v>0</v>
      </c>
      <c r="E8" s="160">
        <f>'Cálculos iluminancia'!EK20</f>
        <v>0</v>
      </c>
      <c r="F8" s="160">
        <f>'Cálculos iluminancia'!GR20</f>
        <v>0</v>
      </c>
      <c r="G8" s="160">
        <f>'Cálculos iluminancia'!IY20</f>
        <v>0</v>
      </c>
      <c r="H8" s="160">
        <f>'Cálculos iluminancia'!LF20</f>
        <v>0</v>
      </c>
      <c r="I8" s="160">
        <f>'Cálculos iluminancia'!W51</f>
        <v>0</v>
      </c>
      <c r="J8" s="160">
        <f>'Cálculos iluminancia'!CD51</f>
        <v>0</v>
      </c>
      <c r="K8" s="160">
        <f>'Cálculos iluminancia'!EK51</f>
        <v>0</v>
      </c>
      <c r="L8" s="160">
        <f>'Cálculos iluminancia'!GR51</f>
        <v>0</v>
      </c>
      <c r="M8" s="160">
        <f>'Cálculos iluminancia'!IY51</f>
        <v>0</v>
      </c>
      <c r="N8" s="161">
        <f>'Cálculos iluminancia'!LF51</f>
        <v>0</v>
      </c>
    </row>
    <row r="9" spans="2:14" x14ac:dyDescent="0.25">
      <c r="B9" s="228">
        <v>0.16666666666666699</v>
      </c>
      <c r="C9" s="159">
        <f>'Cálculos iluminancia'!W21</f>
        <v>0</v>
      </c>
      <c r="D9" s="160">
        <f>'Cálculos iluminancia'!CD21</f>
        <v>0</v>
      </c>
      <c r="E9" s="160">
        <f>'Cálculos iluminancia'!EK21</f>
        <v>0</v>
      </c>
      <c r="F9" s="160">
        <f>'Cálculos iluminancia'!GR21</f>
        <v>0</v>
      </c>
      <c r="G9" s="160">
        <f>'Cálculos iluminancia'!IY21</f>
        <v>0</v>
      </c>
      <c r="H9" s="160">
        <f>'Cálculos iluminancia'!LF21</f>
        <v>0</v>
      </c>
      <c r="I9" s="160">
        <f>'Cálculos iluminancia'!W52</f>
        <v>0</v>
      </c>
      <c r="J9" s="160">
        <f>'Cálculos iluminancia'!CD52</f>
        <v>0</v>
      </c>
      <c r="K9" s="160">
        <f>'Cálculos iluminancia'!EK52</f>
        <v>0</v>
      </c>
      <c r="L9" s="160">
        <f>'Cálculos iluminancia'!GR52</f>
        <v>0</v>
      </c>
      <c r="M9" s="160">
        <f>'Cálculos iluminancia'!IY52</f>
        <v>0</v>
      </c>
      <c r="N9" s="161">
        <f>'Cálculos iluminancia'!LF52</f>
        <v>0</v>
      </c>
    </row>
    <row r="10" spans="2:14" x14ac:dyDescent="0.25">
      <c r="B10" s="228">
        <v>0.20833333333333301</v>
      </c>
      <c r="C10" s="159">
        <f>'Cálculos iluminancia'!W22</f>
        <v>0</v>
      </c>
      <c r="D10" s="160">
        <f>'Cálculos iluminancia'!CD22</f>
        <v>0</v>
      </c>
      <c r="E10" s="160">
        <f>'Cálculos iluminancia'!EK22</f>
        <v>0</v>
      </c>
      <c r="F10" s="160">
        <f>'Cálculos iluminancia'!GR22</f>
        <v>0</v>
      </c>
      <c r="G10" s="160">
        <f>'Cálculos iluminancia'!IY22</f>
        <v>0</v>
      </c>
      <c r="H10" s="160">
        <f>'Cálculos iluminancia'!LF22</f>
        <v>0</v>
      </c>
      <c r="I10" s="160">
        <f>'Cálculos iluminancia'!W53</f>
        <v>0</v>
      </c>
      <c r="J10" s="160">
        <f>'Cálculos iluminancia'!CD53</f>
        <v>0</v>
      </c>
      <c r="K10" s="160">
        <f>'Cálculos iluminancia'!EK53</f>
        <v>0</v>
      </c>
      <c r="L10" s="160">
        <f>'Cálculos iluminancia'!GR53</f>
        <v>0</v>
      </c>
      <c r="M10" s="160">
        <f>'Cálculos iluminancia'!IY53</f>
        <v>0</v>
      </c>
      <c r="N10" s="161">
        <f>'Cálculos iluminancia'!LF53</f>
        <v>0</v>
      </c>
    </row>
    <row r="11" spans="2:14" x14ac:dyDescent="0.25">
      <c r="B11" s="228">
        <v>0.25</v>
      </c>
      <c r="C11" s="159">
        <f>'Cálculos iluminancia'!W23</f>
        <v>0</v>
      </c>
      <c r="D11" s="160">
        <f>'Cálculos iluminancia'!CD23</f>
        <v>0</v>
      </c>
      <c r="E11" s="160">
        <f>'Cálculos iluminancia'!EK23</f>
        <v>0</v>
      </c>
      <c r="F11" s="160">
        <f>'Cálculos iluminancia'!GR23</f>
        <v>103.92610632527523</v>
      </c>
      <c r="G11" s="160">
        <f>'Cálculos iluminancia'!IY23</f>
        <v>110.2066255420185</v>
      </c>
      <c r="H11" s="160">
        <f>'Cálculos iluminancia'!LF23</f>
        <v>111.5872505822275</v>
      </c>
      <c r="I11" s="160">
        <f>'Cálculos iluminancia'!W54</f>
        <v>107.87294705947301</v>
      </c>
      <c r="J11" s="160">
        <f>'Cálculos iluminancia'!CD54</f>
        <v>106.30470220897678</v>
      </c>
      <c r="K11" s="160">
        <f>'Cálculos iluminancia'!EK54</f>
        <v>0</v>
      </c>
      <c r="L11" s="160">
        <f>'Cálculos iluminancia'!GR54</f>
        <v>0</v>
      </c>
      <c r="M11" s="160">
        <f>'Cálculos iluminancia'!IY54</f>
        <v>0</v>
      </c>
      <c r="N11" s="161">
        <f>'Cálculos iluminancia'!LF54</f>
        <v>0</v>
      </c>
    </row>
    <row r="12" spans="2:14" x14ac:dyDescent="0.25">
      <c r="B12" s="228">
        <v>0.29166666666666702</v>
      </c>
      <c r="C12" s="159">
        <f>'Cálculos iluminancia'!W24</f>
        <v>108.77844510546764</v>
      </c>
      <c r="D12" s="160">
        <f>'Cálculos iluminancia'!CD24</f>
        <v>105.38061480268728</v>
      </c>
      <c r="E12" s="160">
        <f>'Cálculos iluminancia'!EK24</f>
        <v>105.27538718285857</v>
      </c>
      <c r="F12" s="160">
        <f>'Cálculos iluminancia'!GR24</f>
        <v>106.93206609577118</v>
      </c>
      <c r="G12" s="160">
        <f>'Cálculos iluminancia'!IY24</f>
        <v>109.31652847164708</v>
      </c>
      <c r="H12" s="160">
        <f>'Cálculos iluminancia'!LF24</f>
        <v>110.82519953283672</v>
      </c>
      <c r="I12" s="160">
        <f>'Cálculos iluminancia'!W55</f>
        <v>109.0988771168858</v>
      </c>
      <c r="J12" s="160">
        <f>'Cálculos iluminancia'!CD55</f>
        <v>109.58456116527412</v>
      </c>
      <c r="K12" s="160">
        <f>'Cálculos iluminancia'!EK55</f>
        <v>109.28273830651119</v>
      </c>
      <c r="L12" s="160">
        <f>'Cálculos iluminancia'!GR55</f>
        <v>111.04367400780453</v>
      </c>
      <c r="M12" s="160">
        <f>'Cálculos iluminancia'!IY55</f>
        <v>110.50249378611753</v>
      </c>
      <c r="N12" s="161">
        <f>'Cálculos iluminancia'!LF55</f>
        <v>110.99177035727293</v>
      </c>
    </row>
    <row r="13" spans="2:14" x14ac:dyDescent="0.25">
      <c r="B13" s="228">
        <v>0.33333333333333298</v>
      </c>
      <c r="C13" s="159">
        <f>'Cálculos iluminancia'!W25</f>
        <v>106.38538598169865</v>
      </c>
      <c r="D13" s="160">
        <f>'Cálculos iluminancia'!CD25</f>
        <v>106.31159413211266</v>
      </c>
      <c r="E13" s="160">
        <f>'Cálculos iluminancia'!EK25</f>
        <v>106.53069375688909</v>
      </c>
      <c r="F13" s="160">
        <f>'Cálculos iluminancia'!GR25</f>
        <v>108.29381097014262</v>
      </c>
      <c r="G13" s="160">
        <f>'Cálculos iluminancia'!IY25</f>
        <v>108.74222476668261</v>
      </c>
      <c r="H13" s="160">
        <f>'Cálculos iluminancia'!LF25</f>
        <v>110.37642363391359</v>
      </c>
      <c r="I13" s="160">
        <f>'Cálculos iluminancia'!W56</f>
        <v>110.54625007013877</v>
      </c>
      <c r="J13" s="160">
        <f>'Cálculos iluminancia'!CD56</f>
        <v>111.04131122648535</v>
      </c>
      <c r="K13" s="160">
        <f>'Cálculos iluminancia'!EK56</f>
        <v>110.33807373570455</v>
      </c>
      <c r="L13" s="160">
        <f>'Cálculos iluminancia'!GR56</f>
        <v>110.07741024366705</v>
      </c>
      <c r="M13" s="160">
        <f>'Cálculos iluminancia'!IY56</f>
        <v>108.74266742256432</v>
      </c>
      <c r="N13" s="161">
        <f>'Cálculos iluminancia'!LF56</f>
        <v>104.00590058188743</v>
      </c>
    </row>
    <row r="14" spans="2:14" x14ac:dyDescent="0.25">
      <c r="B14" s="228">
        <v>0.375</v>
      </c>
      <c r="C14" s="159">
        <f>'Cálculos iluminancia'!W26</f>
        <v>107.41375736526851</v>
      </c>
      <c r="D14" s="160">
        <f>'Cálculos iluminancia'!CD26</f>
        <v>107.46783479424464</v>
      </c>
      <c r="E14" s="160">
        <f>'Cálculos iluminancia'!EK26</f>
        <v>107.77452988859825</v>
      </c>
      <c r="F14" s="160">
        <f>'Cálculos iluminancia'!GR26</f>
        <v>109.5761849299241</v>
      </c>
      <c r="G14" s="160">
        <f>'Cálculos iluminancia'!IY26</f>
        <v>108.34891733955408</v>
      </c>
      <c r="H14" s="160">
        <f>'Cálculos iluminancia'!LF26</f>
        <v>110.06521837419757</v>
      </c>
      <c r="I14" s="160">
        <f>'Cálculos iluminancia'!W57</f>
        <v>111.85150179626038</v>
      </c>
      <c r="J14" s="160">
        <f>'Cálculos iluminancia'!CD57</f>
        <v>112.40731840171161</v>
      </c>
      <c r="K14" s="160">
        <f>'Cálculos iluminancia'!EK57</f>
        <v>111.48473784301908</v>
      </c>
      <c r="L14" s="160">
        <f>'Cálculos iluminancia'!GR57</f>
        <v>109.54824349172499</v>
      </c>
      <c r="M14" s="160">
        <f>'Cálculos iluminancia'!IY57</f>
        <v>108.11525432771694</v>
      </c>
      <c r="N14" s="161">
        <f>'Cálculos iluminancia'!LF57</f>
        <v>107.3446685131287</v>
      </c>
    </row>
    <row r="15" spans="2:14" x14ac:dyDescent="0.25">
      <c r="B15" s="228">
        <v>0.41666666666666702</v>
      </c>
      <c r="C15" s="159">
        <f>'Cálculos iluminancia'!W27</f>
        <v>108.30889785100091</v>
      </c>
      <c r="D15" s="160">
        <f>'Cálculos iluminancia'!CD27</f>
        <v>108.43177203265996</v>
      </c>
      <c r="E15" s="160">
        <f>'Cálculos iluminancia'!EK27</f>
        <v>108.7803712661202</v>
      </c>
      <c r="F15" s="160">
        <f>'Cálculos iluminancia'!GR27</f>
        <v>110.57230308455652</v>
      </c>
      <c r="G15" s="160">
        <f>'Cálculos iluminancia'!IY27</f>
        <v>108.00194089912972</v>
      </c>
      <c r="H15" s="160">
        <f>'Cálculos iluminancia'!LF27</f>
        <v>109.73396478201869</v>
      </c>
      <c r="I15" s="160">
        <f>'Cálculos iluminancia'!W58</f>
        <v>112.79790094841962</v>
      </c>
      <c r="J15" s="160">
        <f>'Cálculos iluminancia'!CD58</f>
        <v>113.43492189227976</v>
      </c>
      <c r="K15" s="160">
        <f>'Cálculos iluminancia'!EK58</f>
        <v>110.32703669806203</v>
      </c>
      <c r="L15" s="160">
        <f>'Cálculos iluminancia'!GR58</f>
        <v>109.25937325543539</v>
      </c>
      <c r="M15" s="160">
        <f>'Cálculos iluminancia'!IY58</f>
        <v>107.76644424103213</v>
      </c>
      <c r="N15" s="161">
        <f>'Cálculos iluminancia'!LF58</f>
        <v>105.43440852199207</v>
      </c>
    </row>
    <row r="16" spans="2:14" x14ac:dyDescent="0.25">
      <c r="B16" s="228">
        <v>0.45833333333333298</v>
      </c>
      <c r="C16" s="159">
        <f>'Cálculos iluminancia'!W28</f>
        <v>108.90417854381042</v>
      </c>
      <c r="D16" s="160">
        <f>'Cálculos iluminancia'!CD28</f>
        <v>109.05206485173969</v>
      </c>
      <c r="E16" s="160">
        <f>'Cálculos iluminancia'!EK28</f>
        <v>109.39888510919468</v>
      </c>
      <c r="F16" s="160">
        <f>'Cálculos iluminancia'!GR28</f>
        <v>107.68696429616435</v>
      </c>
      <c r="G16" s="160">
        <f>'Cálculos iluminancia'!IY28</f>
        <v>107.66396675731707</v>
      </c>
      <c r="H16" s="160">
        <f>'Cálculos iluminancia'!LF28</f>
        <v>109.37585947334622</v>
      </c>
      <c r="I16" s="160">
        <f>'Cálculos iluminancia'!W59</f>
        <v>113.30133575562928</v>
      </c>
      <c r="J16" s="160">
        <f>'Cálculos iluminancia'!CD59</f>
        <v>114.00100286260887</v>
      </c>
      <c r="K16" s="160">
        <f>'Cálculos iluminancia'!EK59</f>
        <v>110.07664404530614</v>
      </c>
      <c r="L16" s="160">
        <f>'Cálculos iluminancia'!GR59</f>
        <v>109.08471980064702</v>
      </c>
      <c r="M16" s="160">
        <f>'Cálculos iluminancia'!IY59</f>
        <v>107.59465793736423</v>
      </c>
      <c r="N16" s="161">
        <f>'Cálculos iluminancia'!LF59</f>
        <v>105.92431092895762</v>
      </c>
    </row>
    <row r="17" spans="2:14" x14ac:dyDescent="0.25">
      <c r="B17" s="228">
        <v>0.5</v>
      </c>
      <c r="C17" s="159">
        <f>'Cálculos iluminancia'!W29</f>
        <v>109.11197404498697</v>
      </c>
      <c r="D17" s="160">
        <f>'Cálculos iluminancia'!CD29</f>
        <v>109.25017240992486</v>
      </c>
      <c r="E17" s="160">
        <f>'Cálculos iluminancia'!EK29</f>
        <v>109.57204220937987</v>
      </c>
      <c r="F17" s="160">
        <f>'Cálculos iluminancia'!GR29</f>
        <v>107.78550150794474</v>
      </c>
      <c r="G17" s="160">
        <f>'Cálculos iluminancia'!IY29</f>
        <v>107.44305257127498</v>
      </c>
      <c r="H17" s="160">
        <f>'Cálculos iluminancia'!LF29</f>
        <v>109.14091086818864</v>
      </c>
      <c r="I17" s="160">
        <f>'Cálculos iluminancia'!W60</f>
        <v>113.40425504824248</v>
      </c>
      <c r="J17" s="160">
        <f>'Cálculos iluminancia'!CD60</f>
        <v>114.12340892247573</v>
      </c>
      <c r="K17" s="160">
        <f>'Cálculos iluminancia'!EK60</f>
        <v>109.91632446774288</v>
      </c>
      <c r="L17" s="160">
        <f>'Cálculos iluminancia'!GR60</f>
        <v>108.98474770423627</v>
      </c>
      <c r="M17" s="160">
        <f>'Cálculos iluminancia'!IY60</f>
        <v>107.53716246625837</v>
      </c>
      <c r="N17" s="161">
        <f>'Cálculos iluminancia'!LF60</f>
        <v>106.10092131484774</v>
      </c>
    </row>
    <row r="18" spans="2:14" x14ac:dyDescent="0.25">
      <c r="B18" s="228">
        <v>0.54166666666666696</v>
      </c>
      <c r="C18" s="159">
        <f>'Cálculos iluminancia'!W30</f>
        <v>108.92455117696571</v>
      </c>
      <c r="D18" s="160">
        <f>'Cálculos iluminancia'!CD30</f>
        <v>109.03778528670243</v>
      </c>
      <c r="E18" s="160">
        <f>'Cálculos iluminancia'!EK30</f>
        <v>109.33888132090499</v>
      </c>
      <c r="F18" s="160">
        <f>'Cálculos iluminancia'!GR30</f>
        <v>107.57793977997548</v>
      </c>
      <c r="G18" s="160">
        <f>'Cálculos iluminancia'!IY30</f>
        <v>107.48672674977732</v>
      </c>
      <c r="H18" s="160">
        <f>'Cálculos iluminancia'!LF30</f>
        <v>109.18938533676791</v>
      </c>
      <c r="I18" s="160">
        <f>'Cálculos iluminancia'!W61</f>
        <v>113.18834553943745</v>
      </c>
      <c r="J18" s="160">
        <f>'Cálculos iluminancia'!CD61</f>
        <v>113.88725165140183</v>
      </c>
      <c r="K18" s="160">
        <f>'Cálculos iluminancia'!EK61</f>
        <v>109.9647629738222</v>
      </c>
      <c r="L18" s="160">
        <f>'Cálculos iluminancia'!GR61</f>
        <v>109.03704838171134</v>
      </c>
      <c r="M18" s="160">
        <f>'Cálculos iluminancia'!IY61</f>
        <v>107.61915094841713</v>
      </c>
      <c r="N18" s="161">
        <f>'Cálculos iluminancia'!LF61</f>
        <v>105.95345107783844</v>
      </c>
    </row>
    <row r="19" spans="2:14" x14ac:dyDescent="0.25">
      <c r="B19" s="228">
        <v>0.58333333333333304</v>
      </c>
      <c r="C19" s="159">
        <f>'Cálculos iluminancia'!W31</f>
        <v>108.39723357053801</v>
      </c>
      <c r="D19" s="160">
        <f>'Cálculos iluminancia'!CD31</f>
        <v>108.48295653273917</v>
      </c>
      <c r="E19" s="160">
        <f>'Cálculos iluminancia'!EK31</f>
        <v>108.77708373517584</v>
      </c>
      <c r="F19" s="160">
        <f>'Cálculos iluminancia'!GR31</f>
        <v>110.5087048425562</v>
      </c>
      <c r="G19" s="160">
        <f>'Cálculos iluminancia'!IY31</f>
        <v>107.85769512084933</v>
      </c>
      <c r="H19" s="160">
        <f>'Cálculos iluminancia'!LF31</f>
        <v>109.57118958419217</v>
      </c>
      <c r="I19" s="160">
        <f>'Cálculos iluminancia'!W62</f>
        <v>112.70378050111987</v>
      </c>
      <c r="J19" s="160">
        <f>'Cálculos iluminancia'!CD62</f>
        <v>113.36228249568533</v>
      </c>
      <c r="K19" s="160">
        <f>'Cálculos iluminancia'!EK62</f>
        <v>110.312847769157</v>
      </c>
      <c r="L19" s="160">
        <f>'Cálculos iluminancia'!GR62</f>
        <v>109.3483141123648</v>
      </c>
      <c r="M19" s="160">
        <f>'Cálculos iluminancia'!IY62</f>
        <v>107.91800489028084</v>
      </c>
      <c r="N19" s="161">
        <f>'Cálculos iluminancia'!LF62</f>
        <v>105.53347207801644</v>
      </c>
    </row>
    <row r="20" spans="2:14" x14ac:dyDescent="0.25">
      <c r="B20" s="228">
        <v>0.625</v>
      </c>
      <c r="C20" s="159">
        <f>'Cálculos iluminancia'!W32</f>
        <v>107.6087299560799</v>
      </c>
      <c r="D20" s="160">
        <f>'Cálculos iluminancia'!CD32</f>
        <v>107.66031079581077</v>
      </c>
      <c r="E20" s="160">
        <f>'Cálculos iluminancia'!EK32</f>
        <v>107.95065628899589</v>
      </c>
      <c r="F20" s="160">
        <f>'Cálculos iluminancia'!GR32</f>
        <v>109.71950856686728</v>
      </c>
      <c r="G20" s="160">
        <f>'Cálculos iluminancia'!IY32</f>
        <v>108.5116292223544</v>
      </c>
      <c r="H20" s="160">
        <f>'Cálculos iluminancia'!LF32</f>
        <v>110.22597157816328</v>
      </c>
      <c r="I20" s="160">
        <f>'Cálculos iluminancia'!W63</f>
        <v>111.96704702243532</v>
      </c>
      <c r="J20" s="160">
        <f>'Cálculos iluminancia'!CD63</f>
        <v>112.58181309536289</v>
      </c>
      <c r="K20" s="160">
        <f>'Cálculos iluminancia'!EK63</f>
        <v>111.74391674615768</v>
      </c>
      <c r="L20" s="160">
        <f>'Cálculos iluminancia'!GR63</f>
        <v>109.95664323671259</v>
      </c>
      <c r="M20" s="160">
        <f>'Cálculos iluminancia'!IY63</f>
        <v>108.48124748017952</v>
      </c>
      <c r="N20" s="161">
        <f>'Cálculos iluminancia'!LF63</f>
        <v>107.53342053079346</v>
      </c>
    </row>
    <row r="21" spans="2:14" x14ac:dyDescent="0.25">
      <c r="B21" s="228">
        <v>0.66666666666666696</v>
      </c>
      <c r="C21" s="159">
        <f>'Cálculos iluminancia'!W33</f>
        <v>106.6730214558573</v>
      </c>
      <c r="D21" s="160">
        <f>'Cálculos iluminancia'!CD33</f>
        <v>106.64569618062028</v>
      </c>
      <c r="E21" s="160">
        <f>'Cálculos iluminancia'!EK33</f>
        <v>106.91069341439986</v>
      </c>
      <c r="F21" s="160">
        <f>'Cálculos iluminancia'!GR33</f>
        <v>108.70521282678341</v>
      </c>
      <c r="G21" s="160">
        <f>'Cálculos iluminancia'!IY33</f>
        <v>109.35008896412131</v>
      </c>
      <c r="H21" s="160">
        <f>'Cálculos iluminancia'!LF33</f>
        <v>111.04776267256901</v>
      </c>
      <c r="I21" s="160">
        <f>'Cálculos iluminancia'!W64</f>
        <v>110.9951636293705</v>
      </c>
      <c r="J21" s="160">
        <f>'Cálculos iluminancia'!CD64</f>
        <v>111.570604913704</v>
      </c>
      <c r="K21" s="160">
        <f>'Cálculos iluminancia'!EK64</f>
        <v>110.92917643977333</v>
      </c>
      <c r="L21" s="160">
        <f>'Cálculos iluminancia'!GR64</f>
        <v>110.81838495071385</v>
      </c>
      <c r="M21" s="160">
        <f>'Cálculos iluminancia'!IY64</f>
        <v>109.30250418692664</v>
      </c>
      <c r="N21" s="161">
        <f>'Cálculos iluminancia'!LF64</f>
        <v>104.28863119593665</v>
      </c>
    </row>
    <row r="22" spans="2:14" x14ac:dyDescent="0.25">
      <c r="B22" s="228">
        <v>0.70833333333333304</v>
      </c>
      <c r="C22" s="159">
        <f>'Cálculos iluminancia'!W34</f>
        <v>109.22473603095843</v>
      </c>
      <c r="D22" s="160">
        <f>'Cálculos iluminancia'!CD34</f>
        <v>105.7909464888218</v>
      </c>
      <c r="E22" s="160">
        <f>'Cálculos iluminancia'!EK34</f>
        <v>105.77939826592028</v>
      </c>
      <c r="F22" s="160">
        <f>'Cálculos iluminancia'!GR34</f>
        <v>107.5321096440853</v>
      </c>
      <c r="G22" s="160">
        <f>'Cálculos iluminancia'!IY34</f>
        <v>110.27891072477658</v>
      </c>
      <c r="H22" s="160">
        <f>'Cálculos iluminancia'!LF34</f>
        <v>111.94230257646439</v>
      </c>
      <c r="I22" s="160">
        <f>'Cálculos iluminancia'!W65</f>
        <v>109.84209017370026</v>
      </c>
      <c r="J22" s="160">
        <f>'Cálculos iluminancia'!CD65</f>
        <v>110.39349610626601</v>
      </c>
      <c r="K22" s="160">
        <f>'Cálculos iluminancia'!EK65</f>
        <v>110.09137418490181</v>
      </c>
      <c r="L22" s="160">
        <f>'Cálculos iluminancia'!GR65</f>
        <v>111.96785796910666</v>
      </c>
      <c r="M22" s="160">
        <f>'Cálculos iluminancia'!IY65</f>
        <v>111.15994921732356</v>
      </c>
      <c r="N22" s="161">
        <f>'Cálculos iluminancia'!LF65</f>
        <v>111.40079938636327</v>
      </c>
    </row>
    <row r="23" spans="2:14" x14ac:dyDescent="0.25">
      <c r="B23" s="228">
        <v>0.75</v>
      </c>
      <c r="C23" s="159">
        <f>'Cálculos iluminancia'!W35</f>
        <v>0</v>
      </c>
      <c r="D23" s="160">
        <f>'Cálculos iluminancia'!CD35</f>
        <v>0</v>
      </c>
      <c r="E23" s="160">
        <f>'Cálculos iluminancia'!EK35</f>
        <v>0</v>
      </c>
      <c r="F23" s="160">
        <f>'Cálculos iluminancia'!GR35</f>
        <v>104.61012107185712</v>
      </c>
      <c r="G23" s="160">
        <f>'Cálculos iluminancia'!IY35</f>
        <v>111.28657575647529</v>
      </c>
      <c r="H23" s="160">
        <f>'Cálculos iluminancia'!LF35</f>
        <v>112.88220424502312</v>
      </c>
      <c r="I23" s="160">
        <f>'Cálculos iluminancia'!W66</f>
        <v>108.73276933910535</v>
      </c>
      <c r="J23" s="160">
        <f>'Cálculos iluminancia'!CD66</f>
        <v>107.2496246238708</v>
      </c>
      <c r="K23" s="160">
        <f>'Cálculos iluminancia'!EK66</f>
        <v>0</v>
      </c>
      <c r="L23" s="160">
        <f>'Cálculos iluminancia'!GR66</f>
        <v>0</v>
      </c>
      <c r="M23" s="160">
        <f>'Cálculos iluminancia'!IY66</f>
        <v>0</v>
      </c>
      <c r="N23" s="161">
        <f>'Cálculos iluminancia'!LF66</f>
        <v>0</v>
      </c>
    </row>
    <row r="24" spans="2:14" x14ac:dyDescent="0.25">
      <c r="B24" s="228">
        <v>0.79166666666666696</v>
      </c>
      <c r="C24" s="159">
        <f>'Cálculos iluminancia'!W36</f>
        <v>0</v>
      </c>
      <c r="D24" s="160">
        <f>'Cálculos iluminancia'!CD36</f>
        <v>0</v>
      </c>
      <c r="E24" s="160">
        <f>'Cálculos iluminancia'!EK36</f>
        <v>0</v>
      </c>
      <c r="F24" s="160">
        <f>'Cálculos iluminancia'!GR36</f>
        <v>0</v>
      </c>
      <c r="G24" s="160">
        <f>'Cálculos iluminancia'!IY36</f>
        <v>0</v>
      </c>
      <c r="H24" s="160">
        <f>'Cálculos iluminancia'!LF36</f>
        <v>0</v>
      </c>
      <c r="I24" s="160">
        <f>'Cálculos iluminancia'!W67</f>
        <v>0</v>
      </c>
      <c r="J24" s="160">
        <f>'Cálculos iluminancia'!CD67</f>
        <v>0</v>
      </c>
      <c r="K24" s="160">
        <f>'Cálculos iluminancia'!EK67</f>
        <v>0</v>
      </c>
      <c r="L24" s="160">
        <f>'Cálculos iluminancia'!GR67</f>
        <v>0</v>
      </c>
      <c r="M24" s="160">
        <f>'Cálculos iluminancia'!IY67</f>
        <v>0</v>
      </c>
      <c r="N24" s="161">
        <f>'Cálculos iluminancia'!LF67</f>
        <v>0</v>
      </c>
    </row>
    <row r="25" spans="2:14" x14ac:dyDescent="0.25">
      <c r="B25" s="228">
        <v>0.83333333333333304</v>
      </c>
      <c r="C25" s="159">
        <f>'Cálculos iluminancia'!W37</f>
        <v>0</v>
      </c>
      <c r="D25" s="160">
        <f>'Cálculos iluminancia'!CD37</f>
        <v>0</v>
      </c>
      <c r="E25" s="160">
        <f>'Cálculos iluminancia'!EK37</f>
        <v>0</v>
      </c>
      <c r="F25" s="160">
        <f>'Cálculos iluminancia'!GR37</f>
        <v>0</v>
      </c>
      <c r="G25" s="160">
        <f>'Cálculos iluminancia'!IY37</f>
        <v>0</v>
      </c>
      <c r="H25" s="160">
        <f>'Cálculos iluminancia'!LF37</f>
        <v>0</v>
      </c>
      <c r="I25" s="160">
        <f>'Cálculos iluminancia'!W68</f>
        <v>0</v>
      </c>
      <c r="J25" s="160">
        <f>'Cálculos iluminancia'!CD68</f>
        <v>0</v>
      </c>
      <c r="K25" s="160">
        <f>'Cálculos iluminancia'!EK68</f>
        <v>0</v>
      </c>
      <c r="L25" s="160">
        <f>'Cálculos iluminancia'!GR68</f>
        <v>0</v>
      </c>
      <c r="M25" s="160">
        <f>'Cálculos iluminancia'!IY68</f>
        <v>0</v>
      </c>
      <c r="N25" s="161">
        <f>'Cálculos iluminancia'!LF68</f>
        <v>0</v>
      </c>
    </row>
    <row r="26" spans="2:14" x14ac:dyDescent="0.25">
      <c r="B26" s="228">
        <v>0.875</v>
      </c>
      <c r="C26" s="159">
        <f>'Cálculos iluminancia'!W38</f>
        <v>0</v>
      </c>
      <c r="D26" s="160">
        <f>'Cálculos iluminancia'!CD38</f>
        <v>0</v>
      </c>
      <c r="E26" s="160">
        <f>'Cálculos iluminancia'!EK38</f>
        <v>0</v>
      </c>
      <c r="F26" s="160">
        <f>'Cálculos iluminancia'!GR38</f>
        <v>0</v>
      </c>
      <c r="G26" s="160">
        <f>'Cálculos iluminancia'!IY38</f>
        <v>0</v>
      </c>
      <c r="H26" s="160">
        <f>'Cálculos iluminancia'!LF38</f>
        <v>0</v>
      </c>
      <c r="I26" s="160">
        <f>'Cálculos iluminancia'!W69</f>
        <v>0</v>
      </c>
      <c r="J26" s="160">
        <f>'Cálculos iluminancia'!CD69</f>
        <v>0</v>
      </c>
      <c r="K26" s="160">
        <f>'Cálculos iluminancia'!EK69</f>
        <v>0</v>
      </c>
      <c r="L26" s="160">
        <f>'Cálculos iluminancia'!GR69</f>
        <v>0</v>
      </c>
      <c r="M26" s="160">
        <f>'Cálculos iluminancia'!IY69</f>
        <v>0</v>
      </c>
      <c r="N26" s="161">
        <f>'Cálculos iluminancia'!LF69</f>
        <v>0</v>
      </c>
    </row>
    <row r="27" spans="2:14" x14ac:dyDescent="0.25">
      <c r="B27" s="228">
        <v>0.91666666666666696</v>
      </c>
      <c r="C27" s="159">
        <f>'Cálculos iluminancia'!W39</f>
        <v>0</v>
      </c>
      <c r="D27" s="160">
        <f>'Cálculos iluminancia'!CD39</f>
        <v>0</v>
      </c>
      <c r="E27" s="160">
        <f>'Cálculos iluminancia'!EK39</f>
        <v>0</v>
      </c>
      <c r="F27" s="160">
        <f>'Cálculos iluminancia'!GR39</f>
        <v>0</v>
      </c>
      <c r="G27" s="160">
        <f>'Cálculos iluminancia'!IY39</f>
        <v>0</v>
      </c>
      <c r="H27" s="160">
        <f>'Cálculos iluminancia'!LF39</f>
        <v>0</v>
      </c>
      <c r="I27" s="160">
        <f>'Cálculos iluminancia'!W70</f>
        <v>0</v>
      </c>
      <c r="J27" s="160">
        <f>'Cálculos iluminancia'!CD70</f>
        <v>0</v>
      </c>
      <c r="K27" s="160">
        <f>'Cálculos iluminancia'!EK70</f>
        <v>0</v>
      </c>
      <c r="L27" s="160">
        <f>'Cálculos iluminancia'!GR70</f>
        <v>0</v>
      </c>
      <c r="M27" s="160">
        <f>'Cálculos iluminancia'!IY70</f>
        <v>0</v>
      </c>
      <c r="N27" s="161">
        <f>'Cálculos iluminancia'!LF70</f>
        <v>0</v>
      </c>
    </row>
    <row r="28" spans="2:14" x14ac:dyDescent="0.25">
      <c r="B28" s="228">
        <v>0.95833333333333304</v>
      </c>
      <c r="C28" s="159">
        <f>'Cálculos iluminancia'!W40</f>
        <v>0</v>
      </c>
      <c r="D28" s="160">
        <f>'Cálculos iluminancia'!CD40</f>
        <v>0</v>
      </c>
      <c r="E28" s="160">
        <f>'Cálculos iluminancia'!EK40</f>
        <v>0</v>
      </c>
      <c r="F28" s="160">
        <f>'Cálculos iluminancia'!GR40</f>
        <v>0</v>
      </c>
      <c r="G28" s="160">
        <f>'Cálculos iluminancia'!IY40</f>
        <v>0</v>
      </c>
      <c r="H28" s="160">
        <f>'Cálculos iluminancia'!LF40</f>
        <v>0</v>
      </c>
      <c r="I28" s="160">
        <f>'Cálculos iluminancia'!W71</f>
        <v>0</v>
      </c>
      <c r="J28" s="160">
        <f>'Cálculos iluminancia'!CD71</f>
        <v>0</v>
      </c>
      <c r="K28" s="160">
        <f>'Cálculos iluminancia'!EK71</f>
        <v>0</v>
      </c>
      <c r="L28" s="160">
        <f>'Cálculos iluminancia'!GR71</f>
        <v>0</v>
      </c>
      <c r="M28" s="160">
        <f>'Cálculos iluminancia'!IY71</f>
        <v>0</v>
      </c>
      <c r="N28" s="161">
        <f>'Cálculos iluminancia'!LF71</f>
        <v>0</v>
      </c>
    </row>
    <row r="29" spans="2:14" ht="15.75" thickBot="1" x14ac:dyDescent="0.3">
      <c r="B29" s="228">
        <v>1</v>
      </c>
      <c r="C29" s="162">
        <f>'Cálculos iluminancia'!W41</f>
        <v>0</v>
      </c>
      <c r="D29" s="163">
        <f>'Cálculos iluminancia'!CD41</f>
        <v>0</v>
      </c>
      <c r="E29" s="163">
        <f>'Cálculos iluminancia'!EK41</f>
        <v>0</v>
      </c>
      <c r="F29" s="163">
        <f>'Cálculos iluminancia'!GR41</f>
        <v>0</v>
      </c>
      <c r="G29" s="163">
        <f>'Cálculos iluminancia'!IY41</f>
        <v>0</v>
      </c>
      <c r="H29" s="163">
        <f>'Cálculos iluminancia'!LF41</f>
        <v>0</v>
      </c>
      <c r="I29" s="163">
        <f>'Cálculos iluminancia'!W72</f>
        <v>0</v>
      </c>
      <c r="J29" s="163">
        <f>'Cálculos iluminancia'!CD72</f>
        <v>0</v>
      </c>
      <c r="K29" s="163">
        <f>'Cálculos iluminancia'!EK72</f>
        <v>0</v>
      </c>
      <c r="L29" s="163">
        <f>'Cálculos iluminancia'!GR72</f>
        <v>0</v>
      </c>
      <c r="M29" s="163">
        <f>'Cálculos iluminancia'!IY72</f>
        <v>0</v>
      </c>
      <c r="N29" s="164">
        <f>'Cálculos iluminancia'!LF72</f>
        <v>0</v>
      </c>
    </row>
    <row r="30" spans="2:14" x14ac:dyDescent="0.25">
      <c r="C30" s="104"/>
      <c r="D30" s="104"/>
      <c r="E30" s="104"/>
      <c r="F30" s="104"/>
      <c r="G30" s="104"/>
      <c r="H30" s="104"/>
      <c r="I30" s="104"/>
      <c r="J30" s="104"/>
      <c r="K30" s="104"/>
      <c r="L30" s="104"/>
      <c r="M30" s="104"/>
      <c r="N30" s="104"/>
    </row>
    <row r="31" spans="2:14" x14ac:dyDescent="0.25">
      <c r="B31" s="297" t="s">
        <v>214</v>
      </c>
      <c r="C31" s="297"/>
      <c r="D31" s="297"/>
      <c r="E31" s="297"/>
      <c r="F31" s="297"/>
      <c r="G31" s="297"/>
      <c r="H31" s="297"/>
      <c r="I31" s="297"/>
      <c r="J31" s="297"/>
      <c r="K31" s="297"/>
      <c r="L31" s="297"/>
      <c r="M31" s="297"/>
      <c r="N31" s="297"/>
    </row>
    <row r="32" spans="2:14" x14ac:dyDescent="0.25">
      <c r="B32" s="298" t="s">
        <v>1</v>
      </c>
      <c r="C32" s="299"/>
      <c r="D32" s="213" t="str">
        <f>D3</f>
        <v>Hermosillo, Son.</v>
      </c>
      <c r="E32" s="214"/>
      <c r="F32" s="298" t="s">
        <v>170</v>
      </c>
      <c r="G32" s="299"/>
      <c r="H32" s="216">
        <f>H3</f>
        <v>29.08</v>
      </c>
      <c r="I32" s="298" t="s">
        <v>202</v>
      </c>
      <c r="J32" s="299"/>
      <c r="K32" s="215">
        <f>K3</f>
        <v>-110.93</v>
      </c>
      <c r="L32" s="298" t="s">
        <v>201</v>
      </c>
      <c r="M32" s="299"/>
      <c r="N32" s="215">
        <f>N3</f>
        <v>211</v>
      </c>
    </row>
    <row r="33" spans="2:14" x14ac:dyDescent="0.25">
      <c r="B33" s="208"/>
      <c r="C33" s="338" t="s">
        <v>167</v>
      </c>
      <c r="D33" s="339"/>
      <c r="E33" s="339"/>
      <c r="F33" s="339"/>
      <c r="G33" s="339"/>
      <c r="H33" s="339"/>
      <c r="I33" s="339"/>
      <c r="J33" s="339"/>
      <c r="K33" s="339"/>
      <c r="L33" s="339"/>
      <c r="M33" s="339"/>
      <c r="N33" s="340"/>
    </row>
    <row r="34" spans="2:14" ht="15.75" thickBot="1" x14ac:dyDescent="0.3">
      <c r="B34" s="210" t="s">
        <v>195</v>
      </c>
      <c r="C34" s="211" t="s">
        <v>5</v>
      </c>
      <c r="D34" s="211" t="s">
        <v>6</v>
      </c>
      <c r="E34" s="211" t="s">
        <v>7</v>
      </c>
      <c r="F34" s="211" t="s">
        <v>8</v>
      </c>
      <c r="G34" s="211" t="s">
        <v>9</v>
      </c>
      <c r="H34" s="211" t="s">
        <v>10</v>
      </c>
      <c r="I34" s="211" t="s">
        <v>11</v>
      </c>
      <c r="J34" s="211" t="s">
        <v>12</v>
      </c>
      <c r="K34" s="211" t="s">
        <v>13</v>
      </c>
      <c r="L34" s="211" t="s">
        <v>14</v>
      </c>
      <c r="M34" s="211" t="s">
        <v>15</v>
      </c>
      <c r="N34" s="211" t="s">
        <v>16</v>
      </c>
    </row>
    <row r="35" spans="2:14" x14ac:dyDescent="0.25">
      <c r="B35" s="228">
        <v>4.1666666666666699E-2</v>
      </c>
      <c r="C35" s="156">
        <f>'Cálculos iluminancia'!AC18</f>
        <v>0</v>
      </c>
      <c r="D35" s="157">
        <f>'Cálculos iluminancia'!CJ18</f>
        <v>0</v>
      </c>
      <c r="E35" s="157">
        <f>'Cálculos iluminancia'!EQ18</f>
        <v>0</v>
      </c>
      <c r="F35" s="157">
        <f>'Cálculos iluminancia'!GX18</f>
        <v>0</v>
      </c>
      <c r="G35" s="157">
        <f>'Cálculos iluminancia'!JE18</f>
        <v>0</v>
      </c>
      <c r="H35" s="157">
        <f>'Cálculos iluminancia'!LL18</f>
        <v>0</v>
      </c>
      <c r="I35" s="157">
        <f>'Cálculos iluminancia'!AC49</f>
        <v>0</v>
      </c>
      <c r="J35" s="157">
        <f>'Cálculos iluminancia'!CJ49</f>
        <v>0</v>
      </c>
      <c r="K35" s="157">
        <f>'Cálculos iluminancia'!EQ49</f>
        <v>0</v>
      </c>
      <c r="L35" s="157">
        <f>'Cálculos iluminancia'!GX49</f>
        <v>0</v>
      </c>
      <c r="M35" s="157">
        <f>'Cálculos iluminancia'!JE49</f>
        <v>0</v>
      </c>
      <c r="N35" s="158">
        <f>'Cálculos iluminancia'!LL49</f>
        <v>0</v>
      </c>
    </row>
    <row r="36" spans="2:14" x14ac:dyDescent="0.25">
      <c r="B36" s="228">
        <v>8.3333333333333301E-2</v>
      </c>
      <c r="C36" s="159">
        <f>'Cálculos iluminancia'!AC19</f>
        <v>0</v>
      </c>
      <c r="D36" s="160">
        <f>'Cálculos iluminancia'!CJ19</f>
        <v>0</v>
      </c>
      <c r="E36" s="160">
        <f>'Cálculos iluminancia'!EQ19</f>
        <v>0</v>
      </c>
      <c r="F36" s="160">
        <f>'Cálculos iluminancia'!GX19</f>
        <v>0</v>
      </c>
      <c r="G36" s="160">
        <f>'Cálculos iluminancia'!JE19</f>
        <v>0</v>
      </c>
      <c r="H36" s="160">
        <f>'Cálculos iluminancia'!LL19</f>
        <v>0</v>
      </c>
      <c r="I36" s="160">
        <f>'Cálculos iluminancia'!AC50</f>
        <v>0</v>
      </c>
      <c r="J36" s="160">
        <f>'Cálculos iluminancia'!CJ50</f>
        <v>0</v>
      </c>
      <c r="K36" s="160">
        <f>'Cálculos iluminancia'!EQ50</f>
        <v>0</v>
      </c>
      <c r="L36" s="160">
        <f>'Cálculos iluminancia'!GX50</f>
        <v>0</v>
      </c>
      <c r="M36" s="160">
        <f>'Cálculos iluminancia'!JE50</f>
        <v>0</v>
      </c>
      <c r="N36" s="161">
        <f>'Cálculos iluminancia'!LL50</f>
        <v>0</v>
      </c>
    </row>
    <row r="37" spans="2:14" x14ac:dyDescent="0.25">
      <c r="B37" s="228">
        <v>0.125</v>
      </c>
      <c r="C37" s="159">
        <f>'Cálculos iluminancia'!AC20</f>
        <v>0</v>
      </c>
      <c r="D37" s="160">
        <f>'Cálculos iluminancia'!CJ20</f>
        <v>0</v>
      </c>
      <c r="E37" s="160">
        <f>'Cálculos iluminancia'!EQ20</f>
        <v>0</v>
      </c>
      <c r="F37" s="160">
        <f>'Cálculos iluminancia'!GX20</f>
        <v>0</v>
      </c>
      <c r="G37" s="160">
        <f>'Cálculos iluminancia'!JE20</f>
        <v>0</v>
      </c>
      <c r="H37" s="160">
        <f>'Cálculos iluminancia'!LL20</f>
        <v>0</v>
      </c>
      <c r="I37" s="160">
        <f>'Cálculos iluminancia'!AC51</f>
        <v>0</v>
      </c>
      <c r="J37" s="160">
        <f>'Cálculos iluminancia'!CJ51</f>
        <v>0</v>
      </c>
      <c r="K37" s="160">
        <f>'Cálculos iluminancia'!EQ51</f>
        <v>0</v>
      </c>
      <c r="L37" s="160">
        <f>'Cálculos iluminancia'!GX51</f>
        <v>0</v>
      </c>
      <c r="M37" s="160">
        <f>'Cálculos iluminancia'!JE51</f>
        <v>0</v>
      </c>
      <c r="N37" s="161">
        <f>'Cálculos iluminancia'!LL51</f>
        <v>0</v>
      </c>
    </row>
    <row r="38" spans="2:14" x14ac:dyDescent="0.25">
      <c r="B38" s="228">
        <v>0.16666666666666699</v>
      </c>
      <c r="C38" s="159">
        <f>'Cálculos iluminancia'!AC21</f>
        <v>0</v>
      </c>
      <c r="D38" s="160">
        <f>'Cálculos iluminancia'!CJ21</f>
        <v>0</v>
      </c>
      <c r="E38" s="160">
        <f>'Cálculos iluminancia'!EQ21</f>
        <v>0</v>
      </c>
      <c r="F38" s="160">
        <f>'Cálculos iluminancia'!GX21</f>
        <v>0</v>
      </c>
      <c r="G38" s="160">
        <f>'Cálculos iluminancia'!JE21</f>
        <v>0</v>
      </c>
      <c r="H38" s="160">
        <f>'Cálculos iluminancia'!LL21</f>
        <v>0</v>
      </c>
      <c r="I38" s="160">
        <f>'Cálculos iluminancia'!AC52</f>
        <v>0</v>
      </c>
      <c r="J38" s="160">
        <f>'Cálculos iluminancia'!CJ52</f>
        <v>0</v>
      </c>
      <c r="K38" s="160">
        <f>'Cálculos iluminancia'!EQ52</f>
        <v>0</v>
      </c>
      <c r="L38" s="160">
        <f>'Cálculos iluminancia'!GX52</f>
        <v>0</v>
      </c>
      <c r="M38" s="160">
        <f>'Cálculos iluminancia'!JE52</f>
        <v>0</v>
      </c>
      <c r="N38" s="161">
        <f>'Cálculos iluminancia'!LL52</f>
        <v>0</v>
      </c>
    </row>
    <row r="39" spans="2:14" x14ac:dyDescent="0.25">
      <c r="B39" s="228">
        <v>0.20833333333333301</v>
      </c>
      <c r="C39" s="159">
        <f>'Cálculos iluminancia'!AC22</f>
        <v>0</v>
      </c>
      <c r="D39" s="160">
        <f>'Cálculos iluminancia'!CJ22</f>
        <v>0</v>
      </c>
      <c r="E39" s="160">
        <f>'Cálculos iluminancia'!EQ22</f>
        <v>0</v>
      </c>
      <c r="F39" s="160">
        <f>'Cálculos iluminancia'!GX22</f>
        <v>0</v>
      </c>
      <c r="G39" s="160">
        <f>'Cálculos iluminancia'!JE22</f>
        <v>0</v>
      </c>
      <c r="H39" s="160">
        <f>'Cálculos iluminancia'!LL22</f>
        <v>0</v>
      </c>
      <c r="I39" s="160">
        <f>'Cálculos iluminancia'!AC53</f>
        <v>0</v>
      </c>
      <c r="J39" s="160">
        <f>'Cálculos iluminancia'!CJ53</f>
        <v>0</v>
      </c>
      <c r="K39" s="160">
        <f>'Cálculos iluminancia'!EQ53</f>
        <v>0</v>
      </c>
      <c r="L39" s="160">
        <f>'Cálculos iluminancia'!GX53</f>
        <v>0</v>
      </c>
      <c r="M39" s="160">
        <f>'Cálculos iluminancia'!JE53</f>
        <v>0</v>
      </c>
      <c r="N39" s="161">
        <f>'Cálculos iluminancia'!LL53</f>
        <v>0</v>
      </c>
    </row>
    <row r="40" spans="2:14" x14ac:dyDescent="0.25">
      <c r="B40" s="228">
        <v>0.25</v>
      </c>
      <c r="C40" s="159">
        <f>'Cálculos iluminancia'!AC23</f>
        <v>0</v>
      </c>
      <c r="D40" s="160">
        <f>'Cálculos iluminancia'!CJ23</f>
        <v>0</v>
      </c>
      <c r="E40" s="160">
        <f>'Cálculos iluminancia'!EQ23</f>
        <v>0</v>
      </c>
      <c r="F40" s="160">
        <f>'Cálculos iluminancia'!GX23</f>
        <v>167.44137727822198</v>
      </c>
      <c r="G40" s="160">
        <f>'Cálculos iluminancia'!JE23</f>
        <v>165.14768224392196</v>
      </c>
      <c r="H40" s="160">
        <f>'Cálculos iluminancia'!LL23</f>
        <v>164.48625874598824</v>
      </c>
      <c r="I40" s="160">
        <f>'Cálculos iluminancia'!AC54</f>
        <v>165.69402425717743</v>
      </c>
      <c r="J40" s="160">
        <f>'Cálculos iluminancia'!CJ54</f>
        <v>170.50029911533193</v>
      </c>
      <c r="K40" s="160">
        <f>'Cálculos iluminancia'!EQ54</f>
        <v>0</v>
      </c>
      <c r="L40" s="160">
        <f>'Cálculos iluminancia'!GX54</f>
        <v>0</v>
      </c>
      <c r="M40" s="160">
        <f>'Cálculos iluminancia'!JE54</f>
        <v>0</v>
      </c>
      <c r="N40" s="161">
        <f>'Cálculos iluminancia'!LL54</f>
        <v>0</v>
      </c>
    </row>
    <row r="41" spans="2:14" x14ac:dyDescent="0.25">
      <c r="B41" s="228">
        <v>0.29166666666666702</v>
      </c>
      <c r="C41" s="159">
        <f>'Cálculos iluminancia'!AC24</f>
        <v>168.31688190017502</v>
      </c>
      <c r="D41" s="160">
        <f>'Cálculos iluminancia'!CJ24</f>
        <v>161.62651202743973</v>
      </c>
      <c r="E41" s="160">
        <f>'Cálculos iluminancia'!EQ24</f>
        <v>155.49483995980322</v>
      </c>
      <c r="F41" s="160">
        <f>'Cálculos iluminancia'!GX24</f>
        <v>155.77027767240114</v>
      </c>
      <c r="G41" s="160">
        <f>'Cálculos iluminancia'!JE24</f>
        <v>155.3435715047556</v>
      </c>
      <c r="H41" s="160">
        <f>'Cálculos iluminancia'!LL24</f>
        <v>154.97820557564748</v>
      </c>
      <c r="I41" s="160">
        <f>'Cálculos iluminancia'!AC55</f>
        <v>157.66287239618981</v>
      </c>
      <c r="J41" s="160">
        <f>'Cálculos iluminancia'!CJ55</f>
        <v>162.18228770422184</v>
      </c>
      <c r="K41" s="160">
        <f>'Cálculos iluminancia'!EQ55</f>
        <v>166.68462899774559</v>
      </c>
      <c r="L41" s="160">
        <f>'Cálculos iluminancia'!GX55</f>
        <v>167.09013724669768</v>
      </c>
      <c r="M41" s="160">
        <f>'Cálculos iluminancia'!JE55</f>
        <v>171.18038079571951</v>
      </c>
      <c r="N41" s="161">
        <f>'Cálculos iluminancia'!LL55</f>
        <v>175.04736745160434</v>
      </c>
    </row>
    <row r="42" spans="2:14" x14ac:dyDescent="0.25">
      <c r="B42" s="228">
        <v>0.33333333333333298</v>
      </c>
      <c r="C42" s="159">
        <f>'Cálculos iluminancia'!AC25</f>
        <v>158.66660541156804</v>
      </c>
      <c r="D42" s="160">
        <f>'Cálculos iluminancia'!CJ25</f>
        <v>152.88793479592567</v>
      </c>
      <c r="E42" s="160">
        <f>'Cálculos iluminancia'!EQ25</f>
        <v>147.70282854748058</v>
      </c>
      <c r="F42" s="160">
        <f>'Cálculos iluminancia'!GX25</f>
        <v>148.5643399213493</v>
      </c>
      <c r="G42" s="160">
        <f>'Cálculos iluminancia'!JE25</f>
        <v>146.41653000010012</v>
      </c>
      <c r="H42" s="160">
        <f>'Cálculos iluminancia'!LL25</f>
        <v>146.2796323825973</v>
      </c>
      <c r="I42" s="160">
        <f>'Cálculos iluminancia'!AC56</f>
        <v>151.18542291109054</v>
      </c>
      <c r="J42" s="160">
        <f>'Cálculos iluminancia'!CJ56</f>
        <v>155.24550578973563</v>
      </c>
      <c r="K42" s="160">
        <f>'Cálculos iluminancia'!EQ56</f>
        <v>155.49310136170854</v>
      </c>
      <c r="L42" s="160">
        <f>'Cálculos iluminancia'!GX56</f>
        <v>157.357951558031</v>
      </c>
      <c r="M42" s="160">
        <f>'Cálculos iluminancia'!JE56</f>
        <v>159.91117924015836</v>
      </c>
      <c r="N42" s="161">
        <f>'Cálculos iluminancia'!LL56</f>
        <v>160.99300392927626</v>
      </c>
    </row>
    <row r="43" spans="2:14" x14ac:dyDescent="0.25">
      <c r="B43" s="228">
        <v>0.375</v>
      </c>
      <c r="C43" s="159">
        <f>'Cálculos iluminancia'!AC26</f>
        <v>152.43579369779533</v>
      </c>
      <c r="D43" s="160">
        <f>'Cálculos iluminancia'!CJ26</f>
        <v>146.65368610173587</v>
      </c>
      <c r="E43" s="160">
        <f>'Cálculos iluminancia'!EQ26</f>
        <v>141.54620082298197</v>
      </c>
      <c r="F43" s="160">
        <f>'Cálculos iluminancia'!GX26</f>
        <v>142.71636138503931</v>
      </c>
      <c r="G43" s="160">
        <f>'Cálculos iluminancia'!JE26</f>
        <v>138.7848064791585</v>
      </c>
      <c r="H43" s="160">
        <f>'Cálculos iluminancia'!LL26</f>
        <v>138.83660934115971</v>
      </c>
      <c r="I43" s="160">
        <f>'Cálculos iluminancia'!AC57</f>
        <v>145.81100870754958</v>
      </c>
      <c r="J43" s="160">
        <f>'Cálculos iluminancia'!CJ57</f>
        <v>149.63395403735362</v>
      </c>
      <c r="K43" s="160">
        <f>'Cálculos iluminancia'!EQ57</f>
        <v>146.18706472538261</v>
      </c>
      <c r="L43" s="160">
        <f>'Cálculos iluminancia'!GX57</f>
        <v>149.34823300158348</v>
      </c>
      <c r="M43" s="160">
        <f>'Cálculos iluminancia'!JE57</f>
        <v>152.17660695203719</v>
      </c>
      <c r="N43" s="161">
        <f>'Cálculos iluminancia'!LL57</f>
        <v>154.54053786351585</v>
      </c>
    </row>
    <row r="44" spans="2:14" x14ac:dyDescent="0.25">
      <c r="B44" s="228">
        <v>0.41666666666666702</v>
      </c>
      <c r="C44" s="159">
        <f>'Cálculos iluminancia'!AC27</f>
        <v>147.99348783239839</v>
      </c>
      <c r="D44" s="160">
        <f>'Cálculos iluminancia'!CJ27</f>
        <v>142.10059093790096</v>
      </c>
      <c r="E44" s="160">
        <f>'Cálculos iluminancia'!EQ27</f>
        <v>136.97234155419204</v>
      </c>
      <c r="F44" s="160">
        <f>'Cálculos iluminancia'!GX27</f>
        <v>138.26684953728838</v>
      </c>
      <c r="G44" s="160">
        <f>'Cálculos iluminancia'!JE27</f>
        <v>132.9230820091413</v>
      </c>
      <c r="H44" s="160">
        <f>'Cálculos iluminancia'!LL27</f>
        <v>133.11043279112462</v>
      </c>
      <c r="I44" s="160">
        <f>'Cálculos iluminancia'!AC58</f>
        <v>141.53805756717813</v>
      </c>
      <c r="J44" s="160">
        <f>'Cálculos iluminancia'!CJ58</f>
        <v>145.27575090388922</v>
      </c>
      <c r="K44" s="160">
        <f>'Cálculos iluminancia'!EQ58</f>
        <v>136.45737481349201</v>
      </c>
      <c r="L44" s="160">
        <f>'Cálculos iluminancia'!GX58</f>
        <v>143.24303744550335</v>
      </c>
      <c r="M44" s="160">
        <f>'Cálculos iluminancia'!JE58</f>
        <v>146.3117943705933</v>
      </c>
      <c r="N44" s="161">
        <f>'Cálculos iluminancia'!LL58</f>
        <v>145.35749906187635</v>
      </c>
    </row>
    <row r="45" spans="2:14" x14ac:dyDescent="0.25">
      <c r="B45" s="228">
        <v>0.45833333333333298</v>
      </c>
      <c r="C45" s="159">
        <f>'Cálculos iluminancia'!AC28</f>
        <v>145.29619464097357</v>
      </c>
      <c r="D45" s="160">
        <f>'Cálculos iluminancia'!CJ28</f>
        <v>139.28066438406069</v>
      </c>
      <c r="E45" s="160">
        <f>'Cálculos iluminancia'!EQ28</f>
        <v>134.06055415509536</v>
      </c>
      <c r="F45" s="160">
        <f>'Cálculos iluminancia'!GX28</f>
        <v>123.06296411214868</v>
      </c>
      <c r="G45" s="160">
        <f>'Cálculos iluminancia'!JE28</f>
        <v>129.21619006137493</v>
      </c>
      <c r="H45" s="160">
        <f>'Cálculos iluminancia'!LL28</f>
        <v>129.48302917547656</v>
      </c>
      <c r="I45" s="160">
        <f>'Cálculos iluminancia'!AC59</f>
        <v>138.60038046904327</v>
      </c>
      <c r="J45" s="160">
        <f>'Cálculos iluminancia'!CJ59</f>
        <v>142.31671033974328</v>
      </c>
      <c r="K45" s="160">
        <f>'Cálculos iluminancia'!EQ59</f>
        <v>132.52914093174732</v>
      </c>
      <c r="L45" s="160">
        <f>'Cálculos iluminancia'!GX59</f>
        <v>139.40914212867136</v>
      </c>
      <c r="M45" s="160">
        <f>'Cálculos iluminancia'!JE59</f>
        <v>142.63925286982774</v>
      </c>
      <c r="N45" s="161">
        <f>'Cálculos iluminancia'!LL59</f>
        <v>141.21658735302265</v>
      </c>
    </row>
    <row r="46" spans="2:14" x14ac:dyDescent="0.25">
      <c r="B46" s="228">
        <v>0.5</v>
      </c>
      <c r="C46" s="159">
        <f>'Cálculos iluminancia'!AC29</f>
        <v>144.3898081240639</v>
      </c>
      <c r="D46" s="160">
        <f>'Cálculos iluminancia'!CJ29</f>
        <v>138.2820157689558</v>
      </c>
      <c r="E46" s="160">
        <f>'Cálculos iluminancia'!EQ29</f>
        <v>132.96337069285059</v>
      </c>
      <c r="F46" s="160">
        <f>'Cálculos iluminancia'!GX29</f>
        <v>121.45131309929198</v>
      </c>
      <c r="G46" s="160">
        <f>'Cálculos iluminancia'!JE29</f>
        <v>127.93193322326344</v>
      </c>
      <c r="H46" s="160">
        <f>'Cálculos iluminancia'!LL29</f>
        <v>128.22448044322883</v>
      </c>
      <c r="I46" s="160">
        <f>'Cálculos iluminancia'!AC60</f>
        <v>137.4088083530421</v>
      </c>
      <c r="J46" s="160">
        <f>'Cálculos iluminancia'!CJ60</f>
        <v>141.11276053827405</v>
      </c>
      <c r="K46" s="160">
        <f>'Cálculos iluminancia'!EQ60</f>
        <v>131.17533053064844</v>
      </c>
      <c r="L46" s="160">
        <f>'Cálculos iluminancia'!GX60</f>
        <v>138.0941318876493</v>
      </c>
      <c r="M46" s="160">
        <f>'Cálculos iluminancia'!JE60</f>
        <v>141.38730757494636</v>
      </c>
      <c r="N46" s="161">
        <f>'Cálculos iluminancia'!LL60</f>
        <v>139.81644033865041</v>
      </c>
    </row>
    <row r="47" spans="2:14" x14ac:dyDescent="0.25">
      <c r="B47" s="228">
        <v>0.54166666666666696</v>
      </c>
      <c r="C47" s="159">
        <f>'Cálculos iluminancia'!AC30</f>
        <v>145.35232930643022</v>
      </c>
      <c r="D47" s="160">
        <f>'Cálculos iluminancia'!CJ30</f>
        <v>139.24131853219541</v>
      </c>
      <c r="E47" s="160">
        <f>'Cálculos iluminancia'!EQ30</f>
        <v>133.89521997585109</v>
      </c>
      <c r="F47" s="160">
        <f>'Cálculos iluminancia'!GX30</f>
        <v>122.92204807081612</v>
      </c>
      <c r="G47" s="160">
        <f>'Cálculos iluminancia'!JE30</f>
        <v>129.18283844705294</v>
      </c>
      <c r="H47" s="160">
        <f>'Cálculos iluminancia'!LL30</f>
        <v>129.44793995622797</v>
      </c>
      <c r="I47" s="160">
        <f>'Cálculos iluminancia'!AC61</f>
        <v>138.28904771507587</v>
      </c>
      <c r="J47" s="160">
        <f>'Cálculos iluminancia'!CJ61</f>
        <v>142.00328074339583</v>
      </c>
      <c r="K47" s="160">
        <f>'Cálculos iluminancia'!EQ61</f>
        <v>132.50808804195196</v>
      </c>
      <c r="L47" s="160">
        <f>'Cálculos iluminancia'!GX61</f>
        <v>139.40017170037703</v>
      </c>
      <c r="M47" s="160">
        <f>'Cálculos iluminancia'!JE61</f>
        <v>142.64386176975705</v>
      </c>
      <c r="N47" s="161">
        <f>'Cálculos iluminancia'!LL61</f>
        <v>141.25425149103185</v>
      </c>
    </row>
    <row r="48" spans="2:14" x14ac:dyDescent="0.25">
      <c r="B48" s="228">
        <v>0.58333333333333304</v>
      </c>
      <c r="C48" s="159">
        <f>'Cálculos iluminancia'!AC31</f>
        <v>148.23688769270569</v>
      </c>
      <c r="D48" s="160">
        <f>'Cálculos iluminancia'!CJ31</f>
        <v>142.24162448847892</v>
      </c>
      <c r="E48" s="160">
        <f>'Cálculos iluminancia'!EQ31</f>
        <v>136.96328310561873</v>
      </c>
      <c r="F48" s="160">
        <f>'Cálculos iluminancia'!GX31</f>
        <v>138.09161121580553</v>
      </c>
      <c r="G48" s="160">
        <f>'Cálculos iluminancia'!JE31</f>
        <v>132.89593898634661</v>
      </c>
      <c r="H48" s="160">
        <f>'Cálculos iluminancia'!LL31</f>
        <v>133.07980304959813</v>
      </c>
      <c r="I48" s="160">
        <f>'Cálculos iluminancia'!AC62</f>
        <v>141.27871849296369</v>
      </c>
      <c r="J48" s="160">
        <f>'Cálculos iluminancia'!CJ62</f>
        <v>145.07560062406429</v>
      </c>
      <c r="K48" s="160">
        <f>'Cálculos iluminancia'!EQ62</f>
        <v>136.45470485375182</v>
      </c>
      <c r="L48" s="160">
        <f>'Cálculos iluminancia'!GX62</f>
        <v>143.25977362825887</v>
      </c>
      <c r="M48" s="160">
        <f>'Cálculos iluminancia'!JE62</f>
        <v>146.34031384760246</v>
      </c>
      <c r="N48" s="161">
        <f>'Cálculos iluminancia'!LL62</f>
        <v>145.48554039279222</v>
      </c>
    </row>
    <row r="49" spans="2:14" x14ac:dyDescent="0.25">
      <c r="B49" s="228">
        <v>0.625</v>
      </c>
      <c r="C49" s="159">
        <f>'Cálculos iluminancia'!AC32</f>
        <v>152.9730203329087</v>
      </c>
      <c r="D49" s="160">
        <f>'Cálculos iluminancia'!CJ32</f>
        <v>147.18403364561954</v>
      </c>
      <c r="E49" s="160">
        <f>'Cálculos iluminancia'!EQ32</f>
        <v>142.03149874637978</v>
      </c>
      <c r="F49" s="160">
        <f>'Cálculos iluminancia'!GX32</f>
        <v>143.11127471560937</v>
      </c>
      <c r="G49" s="160">
        <f>'Cálculos iluminancia'!JE32</f>
        <v>138.81542430656717</v>
      </c>
      <c r="H49" s="160">
        <f>'Cálculos iluminancia'!LL32</f>
        <v>138.86685859997047</v>
      </c>
      <c r="I49" s="160">
        <f>'Cálculos iluminancia'!AC63</f>
        <v>146.12938152499561</v>
      </c>
      <c r="J49" s="160">
        <f>'Cálculos iluminancia'!CJ63</f>
        <v>150.11475596302586</v>
      </c>
      <c r="K49" s="160">
        <f>'Cálculos iluminancia'!EQ63</f>
        <v>146.52205786549374</v>
      </c>
      <c r="L49" s="160">
        <f>'Cálculos iluminancia'!GX63</f>
        <v>149.42508241596283</v>
      </c>
      <c r="M49" s="160">
        <f>'Cálculos iluminancia'!JE63</f>
        <v>152.24547663126401</v>
      </c>
      <c r="N49" s="161">
        <f>'Cálculos iluminancia'!LL63</f>
        <v>155.06062435823247</v>
      </c>
    </row>
    <row r="50" spans="2:14" x14ac:dyDescent="0.25">
      <c r="B50" s="228">
        <v>0.66666666666666696</v>
      </c>
      <c r="C50" s="159">
        <f>'Cálculos iluminancia'!AC33</f>
        <v>159.4591549554728</v>
      </c>
      <c r="D50" s="160">
        <f>'Cálculos iluminancia'!CJ33</f>
        <v>153.80851813821644</v>
      </c>
      <c r="E50" s="160">
        <f>'Cálculos iluminancia'!EQ33</f>
        <v>148.74987796349947</v>
      </c>
      <c r="F50" s="160">
        <f>'Cálculos iluminancia'!GX33</f>
        <v>149.69791482130194</v>
      </c>
      <c r="G50" s="160">
        <f>'Cálculos iluminancia'!JE33</f>
        <v>146.53091304800526</v>
      </c>
      <c r="H50" s="160">
        <f>'Cálculos iluminancia'!LL33</f>
        <v>146.40595962105397</v>
      </c>
      <c r="I50" s="160">
        <f>'Cálculos iluminancia'!AC64</f>
        <v>152.42235739444129</v>
      </c>
      <c r="J50" s="160">
        <f>'Cálculos iluminancia'!CJ64</f>
        <v>156.70391933077701</v>
      </c>
      <c r="K50" s="160">
        <f>'Cálculos iluminancia'!EQ64</f>
        <v>156.25711165948451</v>
      </c>
      <c r="L50" s="160">
        <f>'Cálculos iluminancia'!GX64</f>
        <v>157.49738228247529</v>
      </c>
      <c r="M50" s="160">
        <f>'Cálculos iluminancia'!JE64</f>
        <v>160.01652486786094</v>
      </c>
      <c r="N50" s="161">
        <f>'Cálculos iluminancia'!LL64</f>
        <v>161.35843805627866</v>
      </c>
    </row>
    <row r="51" spans="2:14" x14ac:dyDescent="0.25">
      <c r="B51" s="228">
        <v>0.70833333333333304</v>
      </c>
      <c r="C51" s="159">
        <f>'Cálculos iluminancia'!AC34</f>
        <v>168.40086137540175</v>
      </c>
      <c r="D51" s="160">
        <f>'Cálculos iluminancia'!CJ34</f>
        <v>162.75713818419888</v>
      </c>
      <c r="E51" s="160">
        <f>'Cálculos iluminancia'!EQ34</f>
        <v>156.88358992248402</v>
      </c>
      <c r="F51" s="160">
        <f>'Cálculos iluminancia'!GX34</f>
        <v>157.42363507530985</v>
      </c>
      <c r="G51" s="160">
        <f>'Cálculos iluminancia'!JE34</f>
        <v>155.5246649394843</v>
      </c>
      <c r="H51" s="160">
        <f>'Cálculos iluminancia'!LL34</f>
        <v>155.18841313762044</v>
      </c>
      <c r="I51" s="160">
        <f>'Cálculos iluminancia'!AC65</f>
        <v>159.71071844482242</v>
      </c>
      <c r="J51" s="160">
        <f>'Cálculos iluminancia'!CJ65</f>
        <v>164.41122354882538</v>
      </c>
      <c r="K51" s="160">
        <f>'Cálculos iluminancia'!EQ65</f>
        <v>167.72980462287634</v>
      </c>
      <c r="L51" s="160">
        <f>'Cálculos iluminancia'!GX65</f>
        <v>167.26404283081368</v>
      </c>
      <c r="M51" s="160">
        <f>'Cálculos iluminancia'!JE65</f>
        <v>171.30409552739806</v>
      </c>
      <c r="N51" s="161">
        <f>'Cálculos iluminancia'!LL65</f>
        <v>175.12433527965899</v>
      </c>
    </row>
    <row r="52" spans="2:14" x14ac:dyDescent="0.25">
      <c r="B52" s="228">
        <v>0.75</v>
      </c>
      <c r="C52" s="159">
        <f>'Cálculos iluminancia'!AC35</f>
        <v>0</v>
      </c>
      <c r="D52" s="160">
        <f>'Cálculos iluminancia'!CJ35</f>
        <v>0</v>
      </c>
      <c r="E52" s="160">
        <f>'Cálculos iluminancia'!EQ35</f>
        <v>0</v>
      </c>
      <c r="F52" s="160">
        <f>'Cálculos iluminancia'!GX35</f>
        <v>168.32547797108293</v>
      </c>
      <c r="G52" s="160">
        <f>'Cálculos iluminancia'!JE35</f>
        <v>165.3508986821262</v>
      </c>
      <c r="H52" s="160">
        <f>'Cálculos iluminancia'!LL35</f>
        <v>164.72993282232073</v>
      </c>
      <c r="I52" s="160">
        <f>'Cálculos iluminancia'!AC66</f>
        <v>168.0631748550133</v>
      </c>
      <c r="J52" s="160">
        <f>'Cálculos iluminancia'!CJ66</f>
        <v>171.72162740669154</v>
      </c>
      <c r="K52" s="160">
        <f>'Cálculos iluminancia'!EQ66</f>
        <v>0</v>
      </c>
      <c r="L52" s="160">
        <f>'Cálculos iluminancia'!GX66</f>
        <v>0</v>
      </c>
      <c r="M52" s="160">
        <f>'Cálculos iluminancia'!JE66</f>
        <v>0</v>
      </c>
      <c r="N52" s="161">
        <f>'Cálculos iluminancia'!LL66</f>
        <v>0</v>
      </c>
    </row>
    <row r="53" spans="2:14" x14ac:dyDescent="0.25">
      <c r="B53" s="228">
        <v>0.79166666666666696</v>
      </c>
      <c r="C53" s="159">
        <f>'Cálculos iluminancia'!AC36</f>
        <v>0</v>
      </c>
      <c r="D53" s="160">
        <f>'Cálculos iluminancia'!CJ36</f>
        <v>0</v>
      </c>
      <c r="E53" s="160">
        <f>'Cálculos iluminancia'!EQ36</f>
        <v>0</v>
      </c>
      <c r="F53" s="160">
        <f>'Cálculos iluminancia'!GX36</f>
        <v>0</v>
      </c>
      <c r="G53" s="160">
        <f>'Cálculos iluminancia'!JE36</f>
        <v>0</v>
      </c>
      <c r="H53" s="160">
        <f>'Cálculos iluminancia'!LL36</f>
        <v>0</v>
      </c>
      <c r="I53" s="160">
        <f>'Cálculos iluminancia'!AC67</f>
        <v>0</v>
      </c>
      <c r="J53" s="160">
        <f>'Cálculos iluminancia'!CJ67</f>
        <v>0</v>
      </c>
      <c r="K53" s="160">
        <f>'Cálculos iluminancia'!EQ67</f>
        <v>0</v>
      </c>
      <c r="L53" s="160">
        <f>'Cálculos iluminancia'!GX67</f>
        <v>0</v>
      </c>
      <c r="M53" s="160">
        <f>'Cálculos iluminancia'!JE67</f>
        <v>0</v>
      </c>
      <c r="N53" s="161">
        <f>'Cálculos iluminancia'!LL67</f>
        <v>0</v>
      </c>
    </row>
    <row r="54" spans="2:14" x14ac:dyDescent="0.25">
      <c r="B54" s="228">
        <v>0.83333333333333304</v>
      </c>
      <c r="C54" s="159">
        <f>'Cálculos iluminancia'!AC37</f>
        <v>0</v>
      </c>
      <c r="D54" s="160">
        <f>'Cálculos iluminancia'!CJ37</f>
        <v>0</v>
      </c>
      <c r="E54" s="160">
        <f>'Cálculos iluminancia'!EQ37</f>
        <v>0</v>
      </c>
      <c r="F54" s="160">
        <f>'Cálculos iluminancia'!GX37</f>
        <v>0</v>
      </c>
      <c r="G54" s="160">
        <f>'Cálculos iluminancia'!JE37</f>
        <v>0</v>
      </c>
      <c r="H54" s="160">
        <f>'Cálculos iluminancia'!LL37</f>
        <v>0</v>
      </c>
      <c r="I54" s="160">
        <f>'Cálculos iluminancia'!AC68</f>
        <v>0</v>
      </c>
      <c r="J54" s="160">
        <f>'Cálculos iluminancia'!CJ68</f>
        <v>0</v>
      </c>
      <c r="K54" s="160">
        <f>'Cálculos iluminancia'!EQ68</f>
        <v>0</v>
      </c>
      <c r="L54" s="160">
        <f>'Cálculos iluminancia'!GX68</f>
        <v>0</v>
      </c>
      <c r="M54" s="160">
        <f>'Cálculos iluminancia'!JE68</f>
        <v>0</v>
      </c>
      <c r="N54" s="161">
        <f>'Cálculos iluminancia'!LL68</f>
        <v>0</v>
      </c>
    </row>
    <row r="55" spans="2:14" x14ac:dyDescent="0.25">
      <c r="B55" s="228">
        <v>0.875</v>
      </c>
      <c r="C55" s="159">
        <f>'Cálculos iluminancia'!AC38</f>
        <v>0</v>
      </c>
      <c r="D55" s="160">
        <f>'Cálculos iluminancia'!CJ38</f>
        <v>0</v>
      </c>
      <c r="E55" s="160">
        <f>'Cálculos iluminancia'!EQ38</f>
        <v>0</v>
      </c>
      <c r="F55" s="160">
        <f>'Cálculos iluminancia'!GX38</f>
        <v>0</v>
      </c>
      <c r="G55" s="160">
        <f>'Cálculos iluminancia'!JE38</f>
        <v>0</v>
      </c>
      <c r="H55" s="160">
        <f>'Cálculos iluminancia'!LL38</f>
        <v>0</v>
      </c>
      <c r="I55" s="160">
        <f>'Cálculos iluminancia'!AC69</f>
        <v>0</v>
      </c>
      <c r="J55" s="160">
        <f>'Cálculos iluminancia'!CJ69</f>
        <v>0</v>
      </c>
      <c r="K55" s="160">
        <f>'Cálculos iluminancia'!EQ69</f>
        <v>0</v>
      </c>
      <c r="L55" s="160">
        <f>'Cálculos iluminancia'!GX69</f>
        <v>0</v>
      </c>
      <c r="M55" s="160">
        <f>'Cálculos iluminancia'!JE69</f>
        <v>0</v>
      </c>
      <c r="N55" s="161">
        <f>'Cálculos iluminancia'!LL69</f>
        <v>0</v>
      </c>
    </row>
    <row r="56" spans="2:14" x14ac:dyDescent="0.25">
      <c r="B56" s="228">
        <v>0.91666666666666696</v>
      </c>
      <c r="C56" s="159">
        <f>'Cálculos iluminancia'!AC39</f>
        <v>0</v>
      </c>
      <c r="D56" s="160">
        <f>'Cálculos iluminancia'!CJ39</f>
        <v>0</v>
      </c>
      <c r="E56" s="160">
        <f>'Cálculos iluminancia'!EQ39</f>
        <v>0</v>
      </c>
      <c r="F56" s="160">
        <f>'Cálculos iluminancia'!GX39</f>
        <v>0</v>
      </c>
      <c r="G56" s="160">
        <f>'Cálculos iluminancia'!JE39</f>
        <v>0</v>
      </c>
      <c r="H56" s="160">
        <f>'Cálculos iluminancia'!LL39</f>
        <v>0</v>
      </c>
      <c r="I56" s="160">
        <f>'Cálculos iluminancia'!AC70</f>
        <v>0</v>
      </c>
      <c r="J56" s="160">
        <f>'Cálculos iluminancia'!CJ70</f>
        <v>0</v>
      </c>
      <c r="K56" s="160">
        <f>'Cálculos iluminancia'!EQ70</f>
        <v>0</v>
      </c>
      <c r="L56" s="160">
        <f>'Cálculos iluminancia'!GX70</f>
        <v>0</v>
      </c>
      <c r="M56" s="160">
        <f>'Cálculos iluminancia'!JE70</f>
        <v>0</v>
      </c>
      <c r="N56" s="161">
        <f>'Cálculos iluminancia'!LL70</f>
        <v>0</v>
      </c>
    </row>
    <row r="57" spans="2:14" x14ac:dyDescent="0.25">
      <c r="B57" s="228">
        <v>0.95833333333333304</v>
      </c>
      <c r="C57" s="159">
        <f>'Cálculos iluminancia'!AC40</f>
        <v>0</v>
      </c>
      <c r="D57" s="160">
        <f>'Cálculos iluminancia'!CJ40</f>
        <v>0</v>
      </c>
      <c r="E57" s="160">
        <f>'Cálculos iluminancia'!EQ40</f>
        <v>0</v>
      </c>
      <c r="F57" s="160">
        <f>'Cálculos iluminancia'!GX40</f>
        <v>0</v>
      </c>
      <c r="G57" s="160">
        <f>'Cálculos iluminancia'!JE40</f>
        <v>0</v>
      </c>
      <c r="H57" s="160">
        <f>'Cálculos iluminancia'!LL40</f>
        <v>0</v>
      </c>
      <c r="I57" s="160">
        <f>'Cálculos iluminancia'!AC71</f>
        <v>0</v>
      </c>
      <c r="J57" s="160">
        <f>'Cálculos iluminancia'!CJ71</f>
        <v>0</v>
      </c>
      <c r="K57" s="160">
        <f>'Cálculos iluminancia'!EQ71</f>
        <v>0</v>
      </c>
      <c r="L57" s="160">
        <f>'Cálculos iluminancia'!GX71</f>
        <v>0</v>
      </c>
      <c r="M57" s="160">
        <f>'Cálculos iluminancia'!JE71</f>
        <v>0</v>
      </c>
      <c r="N57" s="161">
        <f>'Cálculos iluminancia'!LL71</f>
        <v>0</v>
      </c>
    </row>
    <row r="58" spans="2:14" ht="15.75" thickBot="1" x14ac:dyDescent="0.3">
      <c r="B58" s="228">
        <v>1</v>
      </c>
      <c r="C58" s="162">
        <f>'Cálculos iluminancia'!AC41</f>
        <v>0</v>
      </c>
      <c r="D58" s="163">
        <f>'Cálculos iluminancia'!CJ41</f>
        <v>0</v>
      </c>
      <c r="E58" s="163">
        <f>'Cálculos iluminancia'!EQ41</f>
        <v>0</v>
      </c>
      <c r="F58" s="163">
        <f>'Cálculos iluminancia'!GX41</f>
        <v>0</v>
      </c>
      <c r="G58" s="163">
        <f>'Cálculos iluminancia'!JE41</f>
        <v>0</v>
      </c>
      <c r="H58" s="163">
        <f>'Cálculos iluminancia'!LL41</f>
        <v>0</v>
      </c>
      <c r="I58" s="163">
        <f>'Cálculos iluminancia'!AC72</f>
        <v>0</v>
      </c>
      <c r="J58" s="163">
        <f>'Cálculos iluminancia'!CJ72</f>
        <v>0</v>
      </c>
      <c r="K58" s="163">
        <f>'Cálculos iluminancia'!EQ72</f>
        <v>0</v>
      </c>
      <c r="L58" s="163">
        <f>'Cálculos iluminancia'!GX72</f>
        <v>0</v>
      </c>
      <c r="M58" s="163">
        <f>'Cálculos iluminancia'!JE72</f>
        <v>0</v>
      </c>
      <c r="N58" s="164">
        <f>'Cálculos iluminancia'!LL72</f>
        <v>0</v>
      </c>
    </row>
    <row r="60" spans="2:14" x14ac:dyDescent="0.25">
      <c r="B60" s="297" t="s">
        <v>214</v>
      </c>
      <c r="C60" s="297"/>
      <c r="D60" s="297"/>
      <c r="E60" s="297"/>
      <c r="F60" s="297"/>
      <c r="G60" s="297"/>
      <c r="H60" s="297"/>
      <c r="I60" s="297"/>
      <c r="J60" s="297"/>
      <c r="K60" s="297"/>
      <c r="L60" s="297"/>
      <c r="M60" s="297"/>
      <c r="N60" s="297"/>
    </row>
    <row r="61" spans="2:14" x14ac:dyDescent="0.25">
      <c r="B61" s="298" t="s">
        <v>1</v>
      </c>
      <c r="C61" s="299"/>
      <c r="D61" s="213" t="str">
        <f>D32</f>
        <v>Hermosillo, Son.</v>
      </c>
      <c r="E61" s="214"/>
      <c r="F61" s="298" t="s">
        <v>170</v>
      </c>
      <c r="G61" s="299"/>
      <c r="H61" s="216">
        <f>H32</f>
        <v>29.08</v>
      </c>
      <c r="I61" s="298" t="s">
        <v>202</v>
      </c>
      <c r="J61" s="299"/>
      <c r="K61" s="215">
        <f>K32</f>
        <v>-110.93</v>
      </c>
      <c r="L61" s="298" t="s">
        <v>201</v>
      </c>
      <c r="M61" s="299"/>
      <c r="N61" s="215">
        <f>N32</f>
        <v>211</v>
      </c>
    </row>
    <row r="62" spans="2:14" x14ac:dyDescent="0.25">
      <c r="B62" s="208"/>
      <c r="C62" s="338" t="s">
        <v>215</v>
      </c>
      <c r="D62" s="339"/>
      <c r="E62" s="339"/>
      <c r="F62" s="339"/>
      <c r="G62" s="339"/>
      <c r="H62" s="339"/>
      <c r="I62" s="339"/>
      <c r="J62" s="339"/>
      <c r="K62" s="339"/>
      <c r="L62" s="339"/>
      <c r="M62" s="339"/>
      <c r="N62" s="340"/>
    </row>
    <row r="63" spans="2:14" ht="15.75" thickBot="1" x14ac:dyDescent="0.3">
      <c r="B63" s="210" t="s">
        <v>195</v>
      </c>
      <c r="C63" s="240" t="s">
        <v>5</v>
      </c>
      <c r="D63" s="240" t="s">
        <v>6</v>
      </c>
      <c r="E63" s="240" t="s">
        <v>7</v>
      </c>
      <c r="F63" s="240" t="s">
        <v>8</v>
      </c>
      <c r="G63" s="240" t="s">
        <v>9</v>
      </c>
      <c r="H63" s="240" t="s">
        <v>10</v>
      </c>
      <c r="I63" s="240" t="s">
        <v>11</v>
      </c>
      <c r="J63" s="240" t="s">
        <v>12</v>
      </c>
      <c r="K63" s="240" t="s">
        <v>13</v>
      </c>
      <c r="L63" s="240" t="s">
        <v>14</v>
      </c>
      <c r="M63" s="240" t="s">
        <v>15</v>
      </c>
      <c r="N63" s="240" t="s">
        <v>16</v>
      </c>
    </row>
    <row r="64" spans="2:14" x14ac:dyDescent="0.25">
      <c r="B64" s="228">
        <v>4.1666666666666699E-2</v>
      </c>
      <c r="C64" s="156">
        <f>IF('Irradiancia Horizontal'!C70=0,0,1000*'Iluminancia Horizontal'!C64/'Irradiancia Horizontal'!C70)</f>
        <v>0</v>
      </c>
      <c r="D64" s="157">
        <f>IF('Irradiancia Horizontal'!D70=0,0,1000*'Iluminancia Horizontal'!D64/'Irradiancia Horizontal'!D70)</f>
        <v>0</v>
      </c>
      <c r="E64" s="157">
        <f>IF('Irradiancia Horizontal'!E70=0,0,1000*'Iluminancia Horizontal'!E64/'Irradiancia Horizontal'!E70)</f>
        <v>0</v>
      </c>
      <c r="F64" s="157">
        <f>IF('Irradiancia Horizontal'!F70=0,0,1000*'Iluminancia Horizontal'!F64/'Irradiancia Horizontal'!F70)</f>
        <v>0</v>
      </c>
      <c r="G64" s="157">
        <f>IF('Irradiancia Horizontal'!G70=0,0,1000*'Iluminancia Horizontal'!G64/'Irradiancia Horizontal'!G70)</f>
        <v>0</v>
      </c>
      <c r="H64" s="157">
        <f>IF('Irradiancia Horizontal'!H70=0,0,1000*'Iluminancia Horizontal'!H64/'Irradiancia Horizontal'!H70)</f>
        <v>0</v>
      </c>
      <c r="I64" s="157">
        <f>IF('Irradiancia Horizontal'!I70=0,0,1000*'Iluminancia Horizontal'!I64/'Irradiancia Horizontal'!I70)</f>
        <v>0</v>
      </c>
      <c r="J64" s="157">
        <f>IF('Irradiancia Horizontal'!J70=0,0,1000*'Iluminancia Horizontal'!J64/'Irradiancia Horizontal'!J70)</f>
        <v>0</v>
      </c>
      <c r="K64" s="157">
        <f>IF('Irradiancia Horizontal'!K70=0,0,1000*'Iluminancia Horizontal'!K64/'Irradiancia Horizontal'!K70)</f>
        <v>0</v>
      </c>
      <c r="L64" s="157">
        <f>IF('Irradiancia Horizontal'!L70=0,0,1000*'Iluminancia Horizontal'!L64/'Irradiancia Horizontal'!L70)</f>
        <v>0</v>
      </c>
      <c r="M64" s="157">
        <f>IF('Irradiancia Horizontal'!M70=0,0,1000*'Iluminancia Horizontal'!M64/'Irradiancia Horizontal'!M70)</f>
        <v>0</v>
      </c>
      <c r="N64" s="158">
        <f>IF('Irradiancia Horizontal'!N70=0,0,1000*'Iluminancia Horizontal'!N64/'Irradiancia Horizontal'!N70)</f>
        <v>0</v>
      </c>
    </row>
    <row r="65" spans="2:14" x14ac:dyDescent="0.25">
      <c r="B65" s="228">
        <v>8.3333333333333301E-2</v>
      </c>
      <c r="C65" s="159">
        <f>IF('Irradiancia Horizontal'!C71=0,0,1000*'Iluminancia Horizontal'!C65/'Irradiancia Horizontal'!C71)</f>
        <v>0</v>
      </c>
      <c r="D65" s="160">
        <f>IF('Irradiancia Horizontal'!D71=0,0,1000*'Iluminancia Horizontal'!D65/'Irradiancia Horizontal'!D71)</f>
        <v>0</v>
      </c>
      <c r="E65" s="160">
        <f>IF('Irradiancia Horizontal'!E71=0,0,1000*'Iluminancia Horizontal'!E65/'Irradiancia Horizontal'!E71)</f>
        <v>0</v>
      </c>
      <c r="F65" s="160">
        <f>IF('Irradiancia Horizontal'!F71=0,0,1000*'Iluminancia Horizontal'!F65/'Irradiancia Horizontal'!F71)</f>
        <v>0</v>
      </c>
      <c r="G65" s="160">
        <f>IF('Irradiancia Horizontal'!G71=0,0,1000*'Iluminancia Horizontal'!G65/'Irradiancia Horizontal'!G71)</f>
        <v>0</v>
      </c>
      <c r="H65" s="160">
        <f>IF('Irradiancia Horizontal'!H71=0,0,1000*'Iluminancia Horizontal'!H65/'Irradiancia Horizontal'!H71)</f>
        <v>0</v>
      </c>
      <c r="I65" s="160">
        <f>IF('Irradiancia Horizontal'!I71=0,0,1000*'Iluminancia Horizontal'!I65/'Irradiancia Horizontal'!I71)</f>
        <v>0</v>
      </c>
      <c r="J65" s="160">
        <f>IF('Irradiancia Horizontal'!J71=0,0,1000*'Iluminancia Horizontal'!J65/'Irradiancia Horizontal'!J71)</f>
        <v>0</v>
      </c>
      <c r="K65" s="160">
        <f>IF('Irradiancia Horizontal'!K71=0,0,1000*'Iluminancia Horizontal'!K65/'Irradiancia Horizontal'!K71)</f>
        <v>0</v>
      </c>
      <c r="L65" s="160">
        <f>IF('Irradiancia Horizontal'!L71=0,0,1000*'Iluminancia Horizontal'!L65/'Irradiancia Horizontal'!L71)</f>
        <v>0</v>
      </c>
      <c r="M65" s="160">
        <f>IF('Irradiancia Horizontal'!M71=0,0,1000*'Iluminancia Horizontal'!M65/'Irradiancia Horizontal'!M71)</f>
        <v>0</v>
      </c>
      <c r="N65" s="161">
        <f>IF('Irradiancia Horizontal'!N71=0,0,1000*'Iluminancia Horizontal'!N65/'Irradiancia Horizontal'!N71)</f>
        <v>0</v>
      </c>
    </row>
    <row r="66" spans="2:14" x14ac:dyDescent="0.25">
      <c r="B66" s="228">
        <v>0.125</v>
      </c>
      <c r="C66" s="159">
        <f>IF('Irradiancia Horizontal'!C72=0,0,1000*'Iluminancia Horizontal'!C66/'Irradiancia Horizontal'!C72)</f>
        <v>0</v>
      </c>
      <c r="D66" s="160">
        <f>IF('Irradiancia Horizontal'!D72=0,0,1000*'Iluminancia Horizontal'!D66/'Irradiancia Horizontal'!D72)</f>
        <v>0</v>
      </c>
      <c r="E66" s="160">
        <f>IF('Irradiancia Horizontal'!E72=0,0,1000*'Iluminancia Horizontal'!E66/'Irradiancia Horizontal'!E72)</f>
        <v>0</v>
      </c>
      <c r="F66" s="160">
        <f>IF('Irradiancia Horizontal'!F72=0,0,1000*'Iluminancia Horizontal'!F66/'Irradiancia Horizontal'!F72)</f>
        <v>0</v>
      </c>
      <c r="G66" s="160">
        <f>IF('Irradiancia Horizontal'!G72=0,0,1000*'Iluminancia Horizontal'!G66/'Irradiancia Horizontal'!G72)</f>
        <v>0</v>
      </c>
      <c r="H66" s="160">
        <f>IF('Irradiancia Horizontal'!H72=0,0,1000*'Iluminancia Horizontal'!H66/'Irradiancia Horizontal'!H72)</f>
        <v>0</v>
      </c>
      <c r="I66" s="160">
        <f>IF('Irradiancia Horizontal'!I72=0,0,1000*'Iluminancia Horizontal'!I66/'Irradiancia Horizontal'!I72)</f>
        <v>0</v>
      </c>
      <c r="J66" s="160">
        <f>IF('Irradiancia Horizontal'!J72=0,0,1000*'Iluminancia Horizontal'!J66/'Irradiancia Horizontal'!J72)</f>
        <v>0</v>
      </c>
      <c r="K66" s="160">
        <f>IF('Irradiancia Horizontal'!K72=0,0,1000*'Iluminancia Horizontal'!K66/'Irradiancia Horizontal'!K72)</f>
        <v>0</v>
      </c>
      <c r="L66" s="160">
        <f>IF('Irradiancia Horizontal'!L72=0,0,1000*'Iluminancia Horizontal'!L66/'Irradiancia Horizontal'!L72)</f>
        <v>0</v>
      </c>
      <c r="M66" s="160">
        <f>IF('Irradiancia Horizontal'!M72=0,0,1000*'Iluminancia Horizontal'!M66/'Irradiancia Horizontal'!M72)</f>
        <v>0</v>
      </c>
      <c r="N66" s="161">
        <f>IF('Irradiancia Horizontal'!N72=0,0,1000*'Iluminancia Horizontal'!N66/'Irradiancia Horizontal'!N72)</f>
        <v>0</v>
      </c>
    </row>
    <row r="67" spans="2:14" x14ac:dyDescent="0.25">
      <c r="B67" s="228">
        <v>0.16666666666666699</v>
      </c>
      <c r="C67" s="159">
        <f>IF('Irradiancia Horizontal'!C73=0,0,1000*'Iluminancia Horizontal'!C67/'Irradiancia Horizontal'!C73)</f>
        <v>0</v>
      </c>
      <c r="D67" s="160">
        <f>IF('Irradiancia Horizontal'!D73=0,0,1000*'Iluminancia Horizontal'!D67/'Irradiancia Horizontal'!D73)</f>
        <v>0</v>
      </c>
      <c r="E67" s="160">
        <f>IF('Irradiancia Horizontal'!E73=0,0,1000*'Iluminancia Horizontal'!E67/'Irradiancia Horizontal'!E73)</f>
        <v>0</v>
      </c>
      <c r="F67" s="160">
        <f>IF('Irradiancia Horizontal'!F73=0,0,1000*'Iluminancia Horizontal'!F67/'Irradiancia Horizontal'!F73)</f>
        <v>0</v>
      </c>
      <c r="G67" s="160">
        <f>IF('Irradiancia Horizontal'!G73=0,0,1000*'Iluminancia Horizontal'!G67/'Irradiancia Horizontal'!G73)</f>
        <v>0</v>
      </c>
      <c r="H67" s="160">
        <f>IF('Irradiancia Horizontal'!H73=0,0,1000*'Iluminancia Horizontal'!H67/'Irradiancia Horizontal'!H73)</f>
        <v>0</v>
      </c>
      <c r="I67" s="160">
        <f>IF('Irradiancia Horizontal'!I73=0,0,1000*'Iluminancia Horizontal'!I67/'Irradiancia Horizontal'!I73)</f>
        <v>0</v>
      </c>
      <c r="J67" s="160">
        <f>IF('Irradiancia Horizontal'!J73=0,0,1000*'Iluminancia Horizontal'!J67/'Irradiancia Horizontal'!J73)</f>
        <v>0</v>
      </c>
      <c r="K67" s="160">
        <f>IF('Irradiancia Horizontal'!K73=0,0,1000*'Iluminancia Horizontal'!K67/'Irradiancia Horizontal'!K73)</f>
        <v>0</v>
      </c>
      <c r="L67" s="160">
        <f>IF('Irradiancia Horizontal'!L73=0,0,1000*'Iluminancia Horizontal'!L67/'Irradiancia Horizontal'!L73)</f>
        <v>0</v>
      </c>
      <c r="M67" s="160">
        <f>IF('Irradiancia Horizontal'!M73=0,0,1000*'Iluminancia Horizontal'!M67/'Irradiancia Horizontal'!M73)</f>
        <v>0</v>
      </c>
      <c r="N67" s="161">
        <f>IF('Irradiancia Horizontal'!N73=0,0,1000*'Iluminancia Horizontal'!N67/'Irradiancia Horizontal'!N73)</f>
        <v>0</v>
      </c>
    </row>
    <row r="68" spans="2:14" x14ac:dyDescent="0.25">
      <c r="B68" s="228">
        <v>0.20833333333333301</v>
      </c>
      <c r="C68" s="159">
        <f>IF('Irradiancia Horizontal'!C74=0,0,1000*'Iluminancia Horizontal'!C68/'Irradiancia Horizontal'!C74)</f>
        <v>0</v>
      </c>
      <c r="D68" s="160">
        <f>IF('Irradiancia Horizontal'!D74=0,0,1000*'Iluminancia Horizontal'!D68/'Irradiancia Horizontal'!D74)</f>
        <v>0</v>
      </c>
      <c r="E68" s="160">
        <f>IF('Irradiancia Horizontal'!E74=0,0,1000*'Iluminancia Horizontal'!E68/'Irradiancia Horizontal'!E74)</f>
        <v>0</v>
      </c>
      <c r="F68" s="160">
        <f>IF('Irradiancia Horizontal'!F74=0,0,1000*'Iluminancia Horizontal'!F68/'Irradiancia Horizontal'!F74)</f>
        <v>0</v>
      </c>
      <c r="G68" s="160">
        <f>IF('Irradiancia Horizontal'!G74=0,0,1000*'Iluminancia Horizontal'!G68/'Irradiancia Horizontal'!G74)</f>
        <v>0</v>
      </c>
      <c r="H68" s="160">
        <f>IF('Irradiancia Horizontal'!H74=0,0,1000*'Iluminancia Horizontal'!H68/'Irradiancia Horizontal'!H74)</f>
        <v>0</v>
      </c>
      <c r="I68" s="160">
        <f>IF('Irradiancia Horizontal'!I74=0,0,1000*'Iluminancia Horizontal'!I68/'Irradiancia Horizontal'!I74)</f>
        <v>0</v>
      </c>
      <c r="J68" s="160">
        <f>IF('Irradiancia Horizontal'!J74=0,0,1000*'Iluminancia Horizontal'!J68/'Irradiancia Horizontal'!J74)</f>
        <v>0</v>
      </c>
      <c r="K68" s="160">
        <f>IF('Irradiancia Horizontal'!K74=0,0,1000*'Iluminancia Horizontal'!K68/'Irradiancia Horizontal'!K74)</f>
        <v>0</v>
      </c>
      <c r="L68" s="160">
        <f>IF('Irradiancia Horizontal'!L74=0,0,1000*'Iluminancia Horizontal'!L68/'Irradiancia Horizontal'!L74)</f>
        <v>0</v>
      </c>
      <c r="M68" s="160">
        <f>IF('Irradiancia Horizontal'!M74=0,0,1000*'Iluminancia Horizontal'!M68/'Irradiancia Horizontal'!M74)</f>
        <v>0</v>
      </c>
      <c r="N68" s="161">
        <f>IF('Irradiancia Horizontal'!N74=0,0,1000*'Iluminancia Horizontal'!N68/'Irradiancia Horizontal'!N74)</f>
        <v>0</v>
      </c>
    </row>
    <row r="69" spans="2:14" x14ac:dyDescent="0.25">
      <c r="B69" s="228">
        <v>0.25</v>
      </c>
      <c r="C69" s="159">
        <f>IF('Irradiancia Horizontal'!C75=0,0,1000*'Iluminancia Horizontal'!C69/'Irradiancia Horizontal'!C75)</f>
        <v>0</v>
      </c>
      <c r="D69" s="160">
        <f>IF('Irradiancia Horizontal'!D75=0,0,1000*'Iluminancia Horizontal'!D69/'Irradiancia Horizontal'!D75)</f>
        <v>0</v>
      </c>
      <c r="E69" s="160">
        <f>IF('Irradiancia Horizontal'!E75=0,0,1000*'Iluminancia Horizontal'!E69/'Irradiancia Horizontal'!E75)</f>
        <v>0</v>
      </c>
      <c r="F69" s="160">
        <f>IF('Irradiancia Horizontal'!F75=0,0,1000*'Iluminancia Horizontal'!F69/'Irradiancia Horizontal'!F75)</f>
        <v>72.119331419301915</v>
      </c>
      <c r="G69" s="160">
        <f>IF('Irradiancia Horizontal'!G75=0,0,1000*'Iluminancia Horizontal'!G69/'Irradiancia Horizontal'!G75)</f>
        <v>100.12193680635637</v>
      </c>
      <c r="H69" s="160">
        <f>IF('Irradiancia Horizontal'!H75=0,0,1000*'Iluminancia Horizontal'!H69/'Irradiancia Horizontal'!H75)</f>
        <v>102.68150232302115</v>
      </c>
      <c r="I69" s="160">
        <f>IF('Irradiancia Horizontal'!I75=0,0,1000*'Iluminancia Horizontal'!I69/'Irradiancia Horizontal'!I75)</f>
        <v>76.528975999335159</v>
      </c>
      <c r="J69" s="160">
        <f>IF('Irradiancia Horizontal'!J75=0,0,1000*'Iluminancia Horizontal'!J69/'Irradiancia Horizontal'!J75)</f>
        <v>68.919066294352064</v>
      </c>
      <c r="K69" s="160">
        <f>IF('Irradiancia Horizontal'!K75=0,0,1000*'Iluminancia Horizontal'!K69/'Irradiancia Horizontal'!K75)</f>
        <v>0</v>
      </c>
      <c r="L69" s="160">
        <f>IF('Irradiancia Horizontal'!L75=0,0,1000*'Iluminancia Horizontal'!L69/'Irradiancia Horizontal'!L75)</f>
        <v>0</v>
      </c>
      <c r="M69" s="160">
        <f>IF('Irradiancia Horizontal'!M75=0,0,1000*'Iluminancia Horizontal'!M69/'Irradiancia Horizontal'!M75)</f>
        <v>0</v>
      </c>
      <c r="N69" s="161">
        <f>IF('Irradiancia Horizontal'!N75=0,0,1000*'Iluminancia Horizontal'!N69/'Irradiancia Horizontal'!N75)</f>
        <v>0</v>
      </c>
    </row>
    <row r="70" spans="2:14" x14ac:dyDescent="0.25">
      <c r="B70" s="228">
        <v>0.29166666666666702</v>
      </c>
      <c r="C70" s="159">
        <f>IF('Irradiancia Horizontal'!C76=0,0,1000*'Iluminancia Horizontal'!C70/'Irradiancia Horizontal'!C76)</f>
        <v>80.19816559023235</v>
      </c>
      <c r="D70" s="160">
        <f>IF('Irradiancia Horizontal'!D76=0,0,1000*'Iluminancia Horizontal'!D70/'Irradiancia Horizontal'!D76)</f>
        <v>74.53676978651896</v>
      </c>
      <c r="E70" s="160">
        <f>IF('Irradiancia Horizontal'!E76=0,0,1000*'Iluminancia Horizontal'!E70/'Irradiancia Horizontal'!E76)</f>
        <v>76.10810999507359</v>
      </c>
      <c r="F70" s="160">
        <f>IF('Irradiancia Horizontal'!F76=0,0,1000*'Iluminancia Horizontal'!F70/'Irradiancia Horizontal'!F76)</f>
        <v>86.668928770140681</v>
      </c>
      <c r="G70" s="160">
        <f>IF('Irradiancia Horizontal'!G76=0,0,1000*'Iluminancia Horizontal'!G70/'Irradiancia Horizontal'!G76)</f>
        <v>101.91559317188437</v>
      </c>
      <c r="H70" s="160">
        <f>IF('Irradiancia Horizontal'!H76=0,0,1000*'Iluminancia Horizontal'!H70/'Irradiancia Horizontal'!H76)</f>
        <v>104.25743666478455</v>
      </c>
      <c r="I70" s="160">
        <f>IF('Irradiancia Horizontal'!I76=0,0,1000*'Iluminancia Horizontal'!I70/'Irradiancia Horizontal'!I76)</f>
        <v>86.853903406181516</v>
      </c>
      <c r="J70" s="160">
        <f>IF('Irradiancia Horizontal'!J76=0,0,1000*'Iluminancia Horizontal'!J70/'Irradiancia Horizontal'!J76)</f>
        <v>84.427414030191073</v>
      </c>
      <c r="K70" s="160">
        <f>IF('Irradiancia Horizontal'!K76=0,0,1000*'Iluminancia Horizontal'!K70/'Irradiancia Horizontal'!K76)</f>
        <v>94.483306238287199</v>
      </c>
      <c r="L70" s="160">
        <f>IF('Irradiancia Horizontal'!L76=0,0,1000*'Iluminancia Horizontal'!L70/'Irradiancia Horizontal'!L76)</f>
        <v>100.79696414478552</v>
      </c>
      <c r="M70" s="160">
        <f>IF('Irradiancia Horizontal'!M76=0,0,1000*'Iluminancia Horizontal'!M70/'Irradiancia Horizontal'!M76)</f>
        <v>95.442302661761289</v>
      </c>
      <c r="N70" s="161">
        <f>IF('Irradiancia Horizontal'!N76=0,0,1000*'Iluminancia Horizontal'!N70/'Irradiancia Horizontal'!N76)</f>
        <v>83.119164228101326</v>
      </c>
    </row>
    <row r="71" spans="2:14" x14ac:dyDescent="0.25">
      <c r="B71" s="228">
        <v>0.33333333333333298</v>
      </c>
      <c r="C71" s="159">
        <f>IF('Irradiancia Horizontal'!C77=0,0,1000*'Iluminancia Horizontal'!C71/'Irradiancia Horizontal'!C77)</f>
        <v>86.492105978092766</v>
      </c>
      <c r="D71" s="160">
        <f>IF('Irradiancia Horizontal'!D77=0,0,1000*'Iluminancia Horizontal'!D71/'Irradiancia Horizontal'!D77)</f>
        <v>85.707262973099404</v>
      </c>
      <c r="E71" s="160">
        <f>IF('Irradiancia Horizontal'!E77=0,0,1000*'Iluminancia Horizontal'!E71/'Irradiancia Horizontal'!E77)</f>
        <v>86.778041609805868</v>
      </c>
      <c r="F71" s="160">
        <f>IF('Irradiancia Horizontal'!F77=0,0,1000*'Iluminancia Horizontal'!F71/'Irradiancia Horizontal'!F77)</f>
        <v>93.887423925536098</v>
      </c>
      <c r="G71" s="160">
        <f>IF('Irradiancia Horizontal'!G77=0,0,1000*'Iluminancia Horizontal'!G71/'Irradiancia Horizontal'!G77)</f>
        <v>103.31181279100173</v>
      </c>
      <c r="H71" s="160">
        <f>IF('Irradiancia Horizontal'!H77=0,0,1000*'Iluminancia Horizontal'!H71/'Irradiancia Horizontal'!H77)</f>
        <v>105.5585924862835</v>
      </c>
      <c r="I71" s="160">
        <f>IF('Irradiancia Horizontal'!I77=0,0,1000*'Iluminancia Horizontal'!I71/'Irradiancia Horizontal'!I77)</f>
        <v>94.280818211920305</v>
      </c>
      <c r="J71" s="160">
        <f>IF('Irradiancia Horizontal'!J77=0,0,1000*'Iluminancia Horizontal'!J71/'Irradiancia Horizontal'!J77)</f>
        <v>92.917044081171994</v>
      </c>
      <c r="K71" s="160">
        <f>IF('Irradiancia Horizontal'!K77=0,0,1000*'Iluminancia Horizontal'!K71/'Irradiancia Horizontal'!K77)</f>
        <v>100.36310800164438</v>
      </c>
      <c r="L71" s="160">
        <f>IF('Irradiancia Horizontal'!L77=0,0,1000*'Iluminancia Horizontal'!L71/'Irradiancia Horizontal'!L77)</f>
        <v>102.77928460560919</v>
      </c>
      <c r="M71" s="160">
        <f>IF('Irradiancia Horizontal'!M77=0,0,1000*'Iluminancia Horizontal'!M71/'Irradiancia Horizontal'!M77)</f>
        <v>98.346903140365583</v>
      </c>
      <c r="N71" s="161">
        <f>IF('Irradiancia Horizontal'!N77=0,0,1000*'Iluminancia Horizontal'!N71/'Irradiancia Horizontal'!N77)</f>
        <v>84.44324388708894</v>
      </c>
    </row>
    <row r="72" spans="2:14" x14ac:dyDescent="0.25">
      <c r="B72" s="228">
        <v>0.375</v>
      </c>
      <c r="C72" s="159">
        <f>IF('Irradiancia Horizontal'!C78=0,0,1000*'Iluminancia Horizontal'!C72/'Irradiancia Horizontal'!C78)</f>
        <v>92.87169650869086</v>
      </c>
      <c r="D72" s="160">
        <f>IF('Irradiancia Horizontal'!D78=0,0,1000*'Iluminancia Horizontal'!D72/'Irradiancia Horizontal'!D78)</f>
        <v>92.600624559203894</v>
      </c>
      <c r="E72" s="160">
        <f>IF('Irradiancia Horizontal'!E78=0,0,1000*'Iluminancia Horizontal'!E72/'Irradiancia Horizontal'!E78)</f>
        <v>93.678135469316445</v>
      </c>
      <c r="F72" s="160">
        <f>IF('Irradiancia Horizontal'!F78=0,0,1000*'Iluminancia Horizontal'!F72/'Irradiancia Horizontal'!F78)</f>
        <v>98.974852469041096</v>
      </c>
      <c r="G72" s="160">
        <f>IF('Irradiancia Horizontal'!G78=0,0,1000*'Iluminancia Horizontal'!G72/'Irradiancia Horizontal'!G78)</f>
        <v>104.32018098639523</v>
      </c>
      <c r="H72" s="160">
        <f>IF('Irradiancia Horizontal'!H78=0,0,1000*'Iluminancia Horizontal'!H72/'Irradiancia Horizontal'!H78)</f>
        <v>106.50376722009524</v>
      </c>
      <c r="I72" s="160">
        <f>IF('Irradiancia Horizontal'!I78=0,0,1000*'Iluminancia Horizontal'!I72/'Irradiancia Horizontal'!I78)</f>
        <v>99.588656599185697</v>
      </c>
      <c r="J72" s="160">
        <f>IF('Irradiancia Horizontal'!J78=0,0,1000*'Iluminancia Horizontal'!J72/'Irradiancia Horizontal'!J78)</f>
        <v>98.810748160680888</v>
      </c>
      <c r="K72" s="160">
        <f>IF('Irradiancia Horizontal'!K78=0,0,1000*'Iluminancia Horizontal'!K72/'Irradiancia Horizontal'!K78)</f>
        <v>104.65819448752231</v>
      </c>
      <c r="L72" s="160">
        <f>IF('Irradiancia Horizontal'!L78=0,0,1000*'Iluminancia Horizontal'!L72/'Irradiancia Horizontal'!L78)</f>
        <v>104.12935684089034</v>
      </c>
      <c r="M72" s="160">
        <f>IF('Irradiancia Horizontal'!M78=0,0,1000*'Iluminancia Horizontal'!M72/'Irradiancia Horizontal'!M78)</f>
        <v>100.3701303982477</v>
      </c>
      <c r="N72" s="161">
        <f>IF('Irradiancia Horizontal'!N78=0,0,1000*'Iluminancia Horizontal'!N72/'Irradiancia Horizontal'!N78)</f>
        <v>93.629251202561193</v>
      </c>
    </row>
    <row r="73" spans="2:14" x14ac:dyDescent="0.25">
      <c r="B73" s="228">
        <v>0.41666666666666702</v>
      </c>
      <c r="C73" s="159">
        <f>IF('Irradiancia Horizontal'!C79=0,0,1000*'Iluminancia Horizontal'!C73/'Irradiancia Horizontal'!C79)</f>
        <v>96.822837434755613</v>
      </c>
      <c r="D73" s="160">
        <f>IF('Irradiancia Horizontal'!D79=0,0,1000*'Iluminancia Horizontal'!D73/'Irradiancia Horizontal'!D79)</f>
        <v>96.91568195184982</v>
      </c>
      <c r="E73" s="160">
        <f>IF('Irradiancia Horizontal'!E79=0,0,1000*'Iluminancia Horizontal'!E73/'Irradiancia Horizontal'!E79)</f>
        <v>98.0801049052574</v>
      </c>
      <c r="F73" s="160">
        <f>IF('Irradiancia Horizontal'!F79=0,0,1000*'Iluminancia Horizontal'!F73/'Irradiancia Horizontal'!F79)</f>
        <v>102.37817672773927</v>
      </c>
      <c r="G73" s="160">
        <f>IF('Irradiancia Horizontal'!G79=0,0,1000*'Iluminancia Horizontal'!G73/'Irradiancia Horizontal'!G79)</f>
        <v>104.89773116366213</v>
      </c>
      <c r="H73" s="160">
        <f>IF('Irradiancia Horizontal'!H79=0,0,1000*'Iluminancia Horizontal'!H73/'Irradiancia Horizontal'!H79)</f>
        <v>107.00281918072729</v>
      </c>
      <c r="I73" s="160">
        <f>IF('Irradiancia Horizontal'!I79=0,0,1000*'Iluminancia Horizontal'!I73/'Irradiancia Horizontal'!I79)</f>
        <v>103.14413890856333</v>
      </c>
      <c r="J73" s="160">
        <f>IF('Irradiancia Horizontal'!J79=0,0,1000*'Iluminancia Horizontal'!J73/'Irradiancia Horizontal'!J79)</f>
        <v>102.70459491594451</v>
      </c>
      <c r="K73" s="160">
        <f>IF('Irradiancia Horizontal'!K79=0,0,1000*'Iluminancia Horizontal'!K73/'Irradiancia Horizontal'!K79)</f>
        <v>105.58515211812795</v>
      </c>
      <c r="L73" s="160">
        <f>IF('Irradiancia Horizontal'!L79=0,0,1000*'Iluminancia Horizontal'!L73/'Irradiancia Horizontal'!L79)</f>
        <v>105.01638064304247</v>
      </c>
      <c r="M73" s="160">
        <f>IF('Irradiancia Horizontal'!M79=0,0,1000*'Iluminancia Horizontal'!M73/'Irradiancia Horizontal'!M79)</f>
        <v>101.62605703398543</v>
      </c>
      <c r="N73" s="161">
        <f>IF('Irradiancia Horizontal'!N79=0,0,1000*'Iluminancia Horizontal'!N73/'Irradiancia Horizontal'!N79)</f>
        <v>95.054665087572488</v>
      </c>
    </row>
    <row r="74" spans="2:14" x14ac:dyDescent="0.25">
      <c r="B74" s="228">
        <v>0.45833333333333298</v>
      </c>
      <c r="C74" s="159">
        <f>IF('Irradiancia Horizontal'!C80=0,0,1000*'Iluminancia Horizontal'!C74/'Irradiancia Horizontal'!C80)</f>
        <v>99.016979304533351</v>
      </c>
      <c r="D74" s="160">
        <f>IF('Irradiancia Horizontal'!D80=0,0,1000*'Iluminancia Horizontal'!D74/'Irradiancia Horizontal'!D80)</f>
        <v>99.315415577920348</v>
      </c>
      <c r="E74" s="160">
        <f>IF('Irradiancia Horizontal'!E80=0,0,1000*'Iluminancia Horizontal'!E74/'Irradiancia Horizontal'!E80)</f>
        <v>100.54337874963535</v>
      </c>
      <c r="F74" s="160">
        <f>IF('Irradiancia Horizontal'!F80=0,0,1000*'Iluminancia Horizontal'!F74/'Irradiancia Horizontal'!F80)</f>
        <v>103.34263752330078</v>
      </c>
      <c r="G74" s="160">
        <f>IF('Irradiancia Horizontal'!G80=0,0,1000*'Iluminancia Horizontal'!G74/'Irradiancia Horizontal'!G80)</f>
        <v>105.07536476613616</v>
      </c>
      <c r="H74" s="160">
        <f>IF('Irradiancia Horizontal'!H80=0,0,1000*'Iluminancia Horizontal'!H74/'Irradiancia Horizontal'!H80)</f>
        <v>107.10677853673579</v>
      </c>
      <c r="I74" s="160">
        <f>IF('Irradiancia Horizontal'!I80=0,0,1000*'Iluminancia Horizontal'!I74/'Irradiancia Horizontal'!I80)</f>
        <v>105.16062186529392</v>
      </c>
      <c r="J74" s="160">
        <f>IF('Irradiancia Horizontal'!J80=0,0,1000*'Iluminancia Horizontal'!J74/'Irradiancia Horizontal'!J80)</f>
        <v>104.90092780108489</v>
      </c>
      <c r="K74" s="160">
        <f>IF('Irradiancia Horizontal'!K80=0,0,1000*'Iluminancia Horizontal'!K74/'Irradiancia Horizontal'!K80)</f>
        <v>106.19147279033488</v>
      </c>
      <c r="L74" s="160">
        <f>IF('Irradiancia Horizontal'!L80=0,0,1000*'Iluminancia Horizontal'!L74/'Irradiancia Horizontal'!L80)</f>
        <v>105.48632088052902</v>
      </c>
      <c r="M74" s="160">
        <f>IF('Irradiancia Horizontal'!M80=0,0,1000*'Iluminancia Horizontal'!M74/'Irradiancia Horizontal'!M80)</f>
        <v>102.32261633487353</v>
      </c>
      <c r="N74" s="161">
        <f>IF('Irradiancia Horizontal'!N80=0,0,1000*'Iluminancia Horizontal'!N74/'Irradiancia Horizontal'!N80)</f>
        <v>97.31843248622468</v>
      </c>
    </row>
    <row r="75" spans="2:14" x14ac:dyDescent="0.25">
      <c r="B75" s="228">
        <v>0.5</v>
      </c>
      <c r="C75" s="159">
        <f>IF('Irradiancia Horizontal'!C81=0,0,1000*'Iluminancia Horizontal'!C75/'Irradiancia Horizontal'!C81)</f>
        <v>99.723833576818379</v>
      </c>
      <c r="D75" s="160">
        <f>IF('Irradiancia Horizontal'!D81=0,0,1000*'Iluminancia Horizontal'!D75/'Irradiancia Horizontal'!D81)</f>
        <v>100.08131029987008</v>
      </c>
      <c r="E75" s="160">
        <f>IF('Irradiancia Horizontal'!E81=0,0,1000*'Iluminancia Horizontal'!E75/'Irradiancia Horizontal'!E81)</f>
        <v>101.3244098427954</v>
      </c>
      <c r="F75" s="160">
        <f>IF('Irradiancia Horizontal'!F81=0,0,1000*'Iluminancia Horizontal'!F75/'Irradiancia Horizontal'!F81)</f>
        <v>103.98282945239822</v>
      </c>
      <c r="G75" s="160">
        <f>IF('Irradiancia Horizontal'!G81=0,0,1000*'Iluminancia Horizontal'!G75/'Irradiancia Horizontal'!G81)</f>
        <v>105.01181185434673</v>
      </c>
      <c r="H75" s="160">
        <f>IF('Irradiancia Horizontal'!H81=0,0,1000*'Iluminancia Horizontal'!H75/'Irradiancia Horizontal'!H81)</f>
        <v>107.01210097560761</v>
      </c>
      <c r="I75" s="160">
        <f>IF('Irradiancia Horizontal'!I81=0,0,1000*'Iluminancia Horizontal'!I75/'Irradiancia Horizontal'!I81)</f>
        <v>105.78925367252339</v>
      </c>
      <c r="J75" s="160">
        <f>IF('Irradiancia Horizontal'!J81=0,0,1000*'Iluminancia Horizontal'!J75/'Irradiancia Horizontal'!J81)</f>
        <v>105.58458838536538</v>
      </c>
      <c r="K75" s="160">
        <f>IF('Irradiancia Horizontal'!K81=0,0,1000*'Iluminancia Horizontal'!K75/'Irradiancia Horizontal'!K81)</f>
        <v>106.2950575324021</v>
      </c>
      <c r="L75" s="160">
        <f>IF('Irradiancia Horizontal'!L81=0,0,1000*'Iluminancia Horizontal'!L75/'Irradiancia Horizontal'!L81)</f>
        <v>105.5879737501707</v>
      </c>
      <c r="M75" s="160">
        <f>IF('Irradiancia Horizontal'!M81=0,0,1000*'Iluminancia Horizontal'!M75/'Irradiancia Horizontal'!M81)</f>
        <v>102.53966613255221</v>
      </c>
      <c r="N75" s="161">
        <f>IF('Irradiancia Horizontal'!N81=0,0,1000*'Iluminancia Horizontal'!N75/'Irradiancia Horizontal'!N81)</f>
        <v>98.050075521286431</v>
      </c>
    </row>
    <row r="76" spans="2:14" x14ac:dyDescent="0.25">
      <c r="B76" s="228">
        <v>0.54166666666666696</v>
      </c>
      <c r="C76" s="159">
        <f>IF('Irradiancia Horizontal'!C82=0,0,1000*'Iluminancia Horizontal'!C76/'Irradiancia Horizontal'!C82)</f>
        <v>99.027635896191484</v>
      </c>
      <c r="D76" s="160">
        <f>IF('Irradiancia Horizontal'!D82=0,0,1000*'Iluminancia Horizontal'!D76/'Irradiancia Horizontal'!D82)</f>
        <v>99.309209878269442</v>
      </c>
      <c r="E76" s="160">
        <f>IF('Irradiancia Horizontal'!E82=0,0,1000*'Iluminancia Horizontal'!E76/'Irradiancia Horizontal'!E82)</f>
        <v>100.52119697352242</v>
      </c>
      <c r="F76" s="160">
        <f>IF('Irradiancia Horizontal'!F82=0,0,1000*'Iluminancia Horizontal'!F76/'Irradiancia Horizontal'!F82)</f>
        <v>103.2426236215869</v>
      </c>
      <c r="G76" s="160">
        <f>IF('Irradiancia Horizontal'!G82=0,0,1000*'Iluminancia Horizontal'!G76/'Irradiancia Horizontal'!G82)</f>
        <v>104.88084256102745</v>
      </c>
      <c r="H76" s="160">
        <f>IF('Irradiancia Horizontal'!H82=0,0,1000*'Iluminancia Horizontal'!H76/'Irradiancia Horizontal'!H82)</f>
        <v>106.90322071134938</v>
      </c>
      <c r="I76" s="160">
        <f>IF('Irradiancia Horizontal'!I82=0,0,1000*'Iluminancia Horizontal'!I76/'Irradiancia Horizontal'!I82)</f>
        <v>105.11145421120295</v>
      </c>
      <c r="J76" s="160">
        <f>IF('Irradiancia Horizontal'!J82=0,0,1000*'Iluminancia Horizontal'!J76/'Irradiancia Horizontal'!J82)</f>
        <v>104.85134903884133</v>
      </c>
      <c r="K76" s="160">
        <f>IF('Irradiancia Horizontal'!K82=0,0,1000*'Iluminancia Horizontal'!K76/'Irradiancia Horizontal'!K82)</f>
        <v>106.06387484591595</v>
      </c>
      <c r="L76" s="160">
        <f>IF('Irradiancia Horizontal'!L82=0,0,1000*'Iluminancia Horizontal'!L76/'Irradiancia Horizontal'!L82)</f>
        <v>105.43405707063449</v>
      </c>
      <c r="M76" s="160">
        <f>IF('Irradiancia Horizontal'!M82=0,0,1000*'Iluminancia Horizontal'!M76/'Irradiancia Horizontal'!M82)</f>
        <v>102.35010067344139</v>
      </c>
      <c r="N76" s="161">
        <f>IF('Irradiancia Horizontal'!N82=0,0,1000*'Iluminancia Horizontal'!N76/'Irradiancia Horizontal'!N82)</f>
        <v>97.345494094934139</v>
      </c>
    </row>
    <row r="77" spans="2:14" x14ac:dyDescent="0.25">
      <c r="B77" s="228">
        <v>0.58333333333333304</v>
      </c>
      <c r="C77" s="159">
        <f>IF('Irradiancia Horizontal'!C83=0,0,1000*'Iluminancia Horizontal'!C77/'Irradiancia Horizontal'!C83)</f>
        <v>96.866292355722919</v>
      </c>
      <c r="D77" s="160">
        <f>IF('Irradiancia Horizontal'!D83=0,0,1000*'Iluminancia Horizontal'!D77/'Irradiancia Horizontal'!D83)</f>
        <v>96.93613446331571</v>
      </c>
      <c r="E77" s="160">
        <f>IF('Irradiancia Horizontal'!E83=0,0,1000*'Iluminancia Horizontal'!E77/'Irradiancia Horizontal'!E83)</f>
        <v>98.079007726925695</v>
      </c>
      <c r="F77" s="160">
        <f>IF('Irradiancia Horizontal'!F83=0,0,1000*'Iluminancia Horizontal'!F77/'Irradiancia Horizontal'!F83)</f>
        <v>102.34761000403178</v>
      </c>
      <c r="G77" s="160">
        <f>IF('Irradiancia Horizontal'!G83=0,0,1000*'Iluminancia Horizontal'!G77/'Irradiancia Horizontal'!G83)</f>
        <v>104.73889891391863</v>
      </c>
      <c r="H77" s="160">
        <f>IF('Irradiancia Horizontal'!H83=0,0,1000*'Iluminancia Horizontal'!H77/'Irradiancia Horizontal'!H83)</f>
        <v>106.82460501746063</v>
      </c>
      <c r="I77" s="160">
        <f>IF('Irradiancia Horizontal'!I83=0,0,1000*'Iluminancia Horizontal'!I77/'Irradiancia Horizontal'!I83)</f>
        <v>103.10551507284937</v>
      </c>
      <c r="J77" s="160">
        <f>IF('Irradiancia Horizontal'!J83=0,0,1000*'Iluminancia Horizontal'!J77/'Irradiancia Horizontal'!J83)</f>
        <v>102.67492655724631</v>
      </c>
      <c r="K77" s="160">
        <f>IF('Irradiancia Horizontal'!K83=0,0,1000*'Iluminancia Horizontal'!K77/'Irradiancia Horizontal'!K83)</f>
        <v>105.56887283654481</v>
      </c>
      <c r="L77" s="160">
        <f>IF('Irradiancia Horizontal'!L83=0,0,1000*'Iluminancia Horizontal'!L77/'Irradiancia Horizontal'!L83)</f>
        <v>105.11433653429503</v>
      </c>
      <c r="M77" s="160">
        <f>IF('Irradiancia Horizontal'!M83=0,0,1000*'Iluminancia Horizontal'!M77/'Irradiancia Horizontal'!M83)</f>
        <v>101.79721850246187</v>
      </c>
      <c r="N77" s="161">
        <f>IF('Irradiancia Horizontal'!N83=0,0,1000*'Iluminancia Horizontal'!N77/'Irradiancia Horizontal'!N83)</f>
        <v>95.146194610920375</v>
      </c>
    </row>
    <row r="78" spans="2:14" x14ac:dyDescent="0.25">
      <c r="B78" s="228">
        <v>0.625</v>
      </c>
      <c r="C78" s="159">
        <f>IF('Irradiancia Horizontal'!C84=0,0,1000*'Iluminancia Horizontal'!C78/'Irradiancia Horizontal'!C84)</f>
        <v>92.956121475581185</v>
      </c>
      <c r="D78" s="160">
        <f>IF('Irradiancia Horizontal'!D84=0,0,1000*'Iluminancia Horizontal'!D78/'Irradiancia Horizontal'!D84)</f>
        <v>92.664911250484153</v>
      </c>
      <c r="E78" s="160">
        <f>IF('Irradiancia Horizontal'!E84=0,0,1000*'Iluminancia Horizontal'!E78/'Irradiancia Horizontal'!E84)</f>
        <v>93.725212769955633</v>
      </c>
      <c r="F78" s="160">
        <f>IF('Irradiancia Horizontal'!F84=0,0,1000*'Iluminancia Horizontal'!F78/'Irradiancia Horizontal'!F84)</f>
        <v>99.037694157148479</v>
      </c>
      <c r="G78" s="160">
        <f>IF('Irradiancia Horizontal'!G84=0,0,1000*'Iluminancia Horizontal'!G78/'Irradiancia Horizontal'!G84)</f>
        <v>104.50037788895467</v>
      </c>
      <c r="H78" s="160">
        <f>IF('Irradiancia Horizontal'!H84=0,0,1000*'Iluminancia Horizontal'!H78/'Irradiancia Horizontal'!H84)</f>
        <v>106.6806747847111</v>
      </c>
      <c r="I78" s="160">
        <f>IF('Irradiancia Horizontal'!I84=0,0,1000*'Iluminancia Horizontal'!I78/'Irradiancia Horizontal'!I84)</f>
        <v>99.630960380484851</v>
      </c>
      <c r="J78" s="160">
        <f>IF('Irradiancia Horizontal'!J84=0,0,1000*'Iluminancia Horizontal'!J78/'Irradiancia Horizontal'!J84)</f>
        <v>98.87336790983619</v>
      </c>
      <c r="K78" s="160">
        <f>IF('Irradiancia Horizontal'!K84=0,0,1000*'Iluminancia Horizontal'!K78/'Irradiancia Horizontal'!K84)</f>
        <v>104.90245942891387</v>
      </c>
      <c r="L78" s="160">
        <f>IF('Irradiancia Horizontal'!L84=0,0,1000*'Iluminancia Horizontal'!L78/'Irradiancia Horizontal'!L84)</f>
        <v>104.58289814703761</v>
      </c>
      <c r="M78" s="160">
        <f>IF('Irradiancia Horizontal'!M84=0,0,1000*'Iluminancia Horizontal'!M78/'Irradiancia Horizontal'!M84)</f>
        <v>100.78835204542281</v>
      </c>
      <c r="N78" s="161">
        <f>IF('Irradiancia Horizontal'!N84=0,0,1000*'Iluminancia Horizontal'!N78/'Irradiancia Horizontal'!N84)</f>
        <v>93.721715331376913</v>
      </c>
    </row>
    <row r="79" spans="2:14" x14ac:dyDescent="0.25">
      <c r="B79" s="228">
        <v>0.66666666666666696</v>
      </c>
      <c r="C79" s="159">
        <f>IF('Irradiancia Horizontal'!C85=0,0,1000*'Iluminancia Horizontal'!C79/'Irradiancia Horizontal'!C85)</f>
        <v>86.587618983097968</v>
      </c>
      <c r="D79" s="160">
        <f>IF('Irradiancia Horizontal'!D85=0,0,1000*'Iluminancia Horizontal'!D79/'Irradiancia Horizontal'!D85)</f>
        <v>85.781918817301317</v>
      </c>
      <c r="E79" s="160">
        <f>IF('Irradiancia Horizontal'!E85=0,0,1000*'Iluminancia Horizontal'!E79/'Irradiancia Horizontal'!E85)</f>
        <v>86.838018953399171</v>
      </c>
      <c r="F79" s="160">
        <f>IF('Irradiancia Horizontal'!F85=0,0,1000*'Iluminancia Horizontal'!F79/'Irradiancia Horizontal'!F85)</f>
        <v>94.040475453882522</v>
      </c>
      <c r="G79" s="160">
        <f>IF('Irradiancia Horizontal'!G85=0,0,1000*'Iluminancia Horizontal'!G79/'Irradiancia Horizontal'!G85)</f>
        <v>103.99080785409532</v>
      </c>
      <c r="H79" s="160">
        <f>IF('Irradiancia Horizontal'!H85=0,0,1000*'Iluminancia Horizontal'!H79/'Irradiancia Horizontal'!H85)</f>
        <v>106.30306634821346</v>
      </c>
      <c r="I79" s="160">
        <f>IF('Irradiancia Horizontal'!I85=0,0,1000*'Iluminancia Horizontal'!I79/'Irradiancia Horizontal'!I85)</f>
        <v>94.414334095754668</v>
      </c>
      <c r="J79" s="160">
        <f>IF('Irradiancia Horizontal'!J85=0,0,1000*'Iluminancia Horizontal'!J79/'Irradiancia Horizontal'!J85)</f>
        <v>93.065387123161642</v>
      </c>
      <c r="K79" s="160">
        <f>IF('Irradiancia Horizontal'!K85=0,0,1000*'Iluminancia Horizontal'!K79/'Irradiancia Horizontal'!K85)</f>
        <v>100.91601457533596</v>
      </c>
      <c r="L79" s="160">
        <f>IF('Irradiancia Horizontal'!L85=0,0,1000*'Iluminancia Horizontal'!L79/'Irradiancia Horizontal'!L85)</f>
        <v>103.61311238581904</v>
      </c>
      <c r="M79" s="160">
        <f>IF('Irradiancia Horizontal'!M85=0,0,1000*'Iluminancia Horizontal'!M79/'Irradiancia Horizontal'!M85)</f>
        <v>98.999077605341654</v>
      </c>
      <c r="N79" s="161">
        <f>IF('Irradiancia Horizontal'!N85=0,0,1000*'Iluminancia Horizontal'!N79/'Irradiancia Horizontal'!N85)</f>
        <v>84.697583859460948</v>
      </c>
    </row>
    <row r="80" spans="2:14" x14ac:dyDescent="0.25">
      <c r="B80" s="228">
        <v>0.70833333333333304</v>
      </c>
      <c r="C80" s="159">
        <f>IF('Irradiancia Horizontal'!C86=0,0,1000*'Iluminancia Horizontal'!C80/'Irradiancia Horizontal'!C86)</f>
        <v>80.818377147126711</v>
      </c>
      <c r="D80" s="160">
        <f>IF('Irradiancia Horizontal'!D86=0,0,1000*'Iluminancia Horizontal'!D80/'Irradiancia Horizontal'!D86)</f>
        <v>74.552109977910803</v>
      </c>
      <c r="E80" s="160">
        <f>IF('Irradiancia Horizontal'!E86=0,0,1000*'Iluminancia Horizontal'!E80/'Irradiancia Horizontal'!E86)</f>
        <v>76.098267925348495</v>
      </c>
      <c r="F80" s="160">
        <f>IF('Irradiancia Horizontal'!F86=0,0,1000*'Iluminancia Horizontal'!F80/'Irradiancia Horizontal'!F86)</f>
        <v>86.831948877308704</v>
      </c>
      <c r="G80" s="160">
        <f>IF('Irradiancia Horizontal'!G86=0,0,1000*'Iluminancia Horizontal'!G80/'Irradiancia Horizontal'!G86)</f>
        <v>103.00360304769762</v>
      </c>
      <c r="H80" s="160">
        <f>IF('Irradiancia Horizontal'!H86=0,0,1000*'Iluminancia Horizontal'!H80/'Irradiancia Horizontal'!H86)</f>
        <v>105.50944047742985</v>
      </c>
      <c r="I80" s="160">
        <f>IF('Irradiancia Horizontal'!I86=0,0,1000*'Iluminancia Horizontal'!I80/'Irradiancia Horizontal'!I86)</f>
        <v>86.999522989926007</v>
      </c>
      <c r="J80" s="160">
        <f>IF('Irradiancia Horizontal'!J86=0,0,1000*'Iluminancia Horizontal'!J80/'Irradiancia Horizontal'!J86)</f>
        <v>84.557171865730353</v>
      </c>
      <c r="K80" s="160">
        <f>IF('Irradiancia Horizontal'!K86=0,0,1000*'Iluminancia Horizontal'!K80/'Irradiancia Horizontal'!K86)</f>
        <v>95.23095712348055</v>
      </c>
      <c r="L80" s="160">
        <f>IF('Irradiancia Horizontal'!L86=0,0,1000*'Iluminancia Horizontal'!L80/'Irradiancia Horizontal'!L86)</f>
        <v>101.85831795416094</v>
      </c>
      <c r="M80" s="160">
        <f>IF('Irradiancia Horizontal'!M86=0,0,1000*'Iluminancia Horizontal'!M80/'Irradiancia Horizontal'!M86)</f>
        <v>96.232232003017302</v>
      </c>
      <c r="N80" s="161">
        <f>IF('Irradiancia Horizontal'!N86=0,0,1000*'Iluminancia Horizontal'!N80/'Irradiancia Horizontal'!N86)</f>
        <v>83.672683535747936</v>
      </c>
    </row>
    <row r="81" spans="2:14" x14ac:dyDescent="0.25">
      <c r="B81" s="228">
        <v>0.75</v>
      </c>
      <c r="C81" s="159">
        <f>IF('Irradiancia Horizontal'!C87=0,0,1000*'Iluminancia Horizontal'!C81/'Irradiancia Horizontal'!C87)</f>
        <v>0</v>
      </c>
      <c r="D81" s="160">
        <f>IF('Irradiancia Horizontal'!D87=0,0,1000*'Iluminancia Horizontal'!D81/'Irradiancia Horizontal'!D87)</f>
        <v>0</v>
      </c>
      <c r="E81" s="160">
        <f>IF('Irradiancia Horizontal'!E87=0,0,1000*'Iluminancia Horizontal'!E81/'Irradiancia Horizontal'!E87)</f>
        <v>0</v>
      </c>
      <c r="F81" s="160">
        <f>IF('Irradiancia Horizontal'!F87=0,0,1000*'Iluminancia Horizontal'!F81/'Irradiancia Horizontal'!F87)</f>
        <v>72.703148393605346</v>
      </c>
      <c r="G81" s="160">
        <f>IF('Irradiancia Horizontal'!G87=0,0,1000*'Iluminancia Horizontal'!G81/'Irradiancia Horizontal'!G87)</f>
        <v>101.36281561899287</v>
      </c>
      <c r="H81" s="160">
        <f>IF('Irradiancia Horizontal'!H87=0,0,1000*'Iluminancia Horizontal'!H81/'Irradiancia Horizontal'!H87)</f>
        <v>104.15344288353135</v>
      </c>
      <c r="I81" s="160">
        <f>IF('Irradiancia Horizontal'!I87=0,0,1000*'Iluminancia Horizontal'!I81/'Irradiancia Horizontal'!I87)</f>
        <v>76.570613191127308</v>
      </c>
      <c r="J81" s="160">
        <f>IF('Irradiancia Horizontal'!J87=0,0,1000*'Iluminancia Horizontal'!J81/'Irradiancia Horizontal'!J87)</f>
        <v>69.703018020286237</v>
      </c>
      <c r="K81" s="160">
        <f>IF('Irradiancia Horizontal'!K87=0,0,1000*'Iluminancia Horizontal'!K81/'Irradiancia Horizontal'!K87)</f>
        <v>0</v>
      </c>
      <c r="L81" s="160">
        <f>IF('Irradiancia Horizontal'!L87=0,0,1000*'Iluminancia Horizontal'!L81/'Irradiancia Horizontal'!L87)</f>
        <v>0</v>
      </c>
      <c r="M81" s="160">
        <f>IF('Irradiancia Horizontal'!M87=0,0,1000*'Iluminancia Horizontal'!M81/'Irradiancia Horizontal'!M87)</f>
        <v>0</v>
      </c>
      <c r="N81" s="161">
        <f>IF('Irradiancia Horizontal'!N87=0,0,1000*'Iluminancia Horizontal'!N81/'Irradiancia Horizontal'!N87)</f>
        <v>0</v>
      </c>
    </row>
    <row r="82" spans="2:14" x14ac:dyDescent="0.25">
      <c r="B82" s="228">
        <v>0.79166666666666696</v>
      </c>
      <c r="C82" s="159">
        <f>IF('Irradiancia Horizontal'!C88=0,0,1000*'Iluminancia Horizontal'!C82/'Irradiancia Horizontal'!C88)</f>
        <v>0</v>
      </c>
      <c r="D82" s="160">
        <f>IF('Irradiancia Horizontal'!D88=0,0,1000*'Iluminancia Horizontal'!D82/'Irradiancia Horizontal'!D88)</f>
        <v>0</v>
      </c>
      <c r="E82" s="160">
        <f>IF('Irradiancia Horizontal'!E88=0,0,1000*'Iluminancia Horizontal'!E82/'Irradiancia Horizontal'!E88)</f>
        <v>0</v>
      </c>
      <c r="F82" s="160">
        <f>IF('Irradiancia Horizontal'!F88=0,0,1000*'Iluminancia Horizontal'!F82/'Irradiancia Horizontal'!F88)</f>
        <v>0</v>
      </c>
      <c r="G82" s="160">
        <f>IF('Irradiancia Horizontal'!G88=0,0,1000*'Iluminancia Horizontal'!G82/'Irradiancia Horizontal'!G88)</f>
        <v>0</v>
      </c>
      <c r="H82" s="160">
        <f>IF('Irradiancia Horizontal'!H88=0,0,1000*'Iluminancia Horizontal'!H82/'Irradiancia Horizontal'!H88)</f>
        <v>0</v>
      </c>
      <c r="I82" s="160">
        <f>IF('Irradiancia Horizontal'!I88=0,0,1000*'Iluminancia Horizontal'!I82/'Irradiancia Horizontal'!I88)</f>
        <v>0</v>
      </c>
      <c r="J82" s="160">
        <f>IF('Irradiancia Horizontal'!J88=0,0,1000*'Iluminancia Horizontal'!J82/'Irradiancia Horizontal'!J88)</f>
        <v>0</v>
      </c>
      <c r="K82" s="160">
        <f>IF('Irradiancia Horizontal'!K88=0,0,1000*'Iluminancia Horizontal'!K82/'Irradiancia Horizontal'!K88)</f>
        <v>0</v>
      </c>
      <c r="L82" s="160">
        <f>IF('Irradiancia Horizontal'!L88=0,0,1000*'Iluminancia Horizontal'!L82/'Irradiancia Horizontal'!L88)</f>
        <v>0</v>
      </c>
      <c r="M82" s="160">
        <f>IF('Irradiancia Horizontal'!M88=0,0,1000*'Iluminancia Horizontal'!M82/'Irradiancia Horizontal'!M88)</f>
        <v>0</v>
      </c>
      <c r="N82" s="161">
        <f>IF('Irradiancia Horizontal'!N88=0,0,1000*'Iluminancia Horizontal'!N82/'Irradiancia Horizontal'!N88)</f>
        <v>0</v>
      </c>
    </row>
    <row r="83" spans="2:14" x14ac:dyDescent="0.25">
      <c r="B83" s="228">
        <v>0.83333333333333304</v>
      </c>
      <c r="C83" s="159">
        <f>IF('Irradiancia Horizontal'!C89=0,0,1000*'Iluminancia Horizontal'!C83/'Irradiancia Horizontal'!C89)</f>
        <v>0</v>
      </c>
      <c r="D83" s="160">
        <f>IF('Irradiancia Horizontal'!D89=0,0,1000*'Iluminancia Horizontal'!D83/'Irradiancia Horizontal'!D89)</f>
        <v>0</v>
      </c>
      <c r="E83" s="160">
        <f>IF('Irradiancia Horizontal'!E89=0,0,1000*'Iluminancia Horizontal'!E83/'Irradiancia Horizontal'!E89)</f>
        <v>0</v>
      </c>
      <c r="F83" s="160">
        <f>IF('Irradiancia Horizontal'!F89=0,0,1000*'Iluminancia Horizontal'!F83/'Irradiancia Horizontal'!F89)</f>
        <v>0</v>
      </c>
      <c r="G83" s="160">
        <f>IF('Irradiancia Horizontal'!G89=0,0,1000*'Iluminancia Horizontal'!G83/'Irradiancia Horizontal'!G89)</f>
        <v>0</v>
      </c>
      <c r="H83" s="160">
        <f>IF('Irradiancia Horizontal'!H89=0,0,1000*'Iluminancia Horizontal'!H83/'Irradiancia Horizontal'!H89)</f>
        <v>0</v>
      </c>
      <c r="I83" s="160">
        <f>IF('Irradiancia Horizontal'!I89=0,0,1000*'Iluminancia Horizontal'!I83/'Irradiancia Horizontal'!I89)</f>
        <v>0</v>
      </c>
      <c r="J83" s="160">
        <f>IF('Irradiancia Horizontal'!J89=0,0,1000*'Iluminancia Horizontal'!J83/'Irradiancia Horizontal'!J89)</f>
        <v>0</v>
      </c>
      <c r="K83" s="160">
        <f>IF('Irradiancia Horizontal'!K89=0,0,1000*'Iluminancia Horizontal'!K83/'Irradiancia Horizontal'!K89)</f>
        <v>0</v>
      </c>
      <c r="L83" s="160">
        <f>IF('Irradiancia Horizontal'!L89=0,0,1000*'Iluminancia Horizontal'!L83/'Irradiancia Horizontal'!L89)</f>
        <v>0</v>
      </c>
      <c r="M83" s="160">
        <f>IF('Irradiancia Horizontal'!M89=0,0,1000*'Iluminancia Horizontal'!M83/'Irradiancia Horizontal'!M89)</f>
        <v>0</v>
      </c>
      <c r="N83" s="161">
        <f>IF('Irradiancia Horizontal'!N89=0,0,1000*'Iluminancia Horizontal'!N83/'Irradiancia Horizontal'!N89)</f>
        <v>0</v>
      </c>
    </row>
    <row r="84" spans="2:14" x14ac:dyDescent="0.25">
      <c r="B84" s="228">
        <v>0.875</v>
      </c>
      <c r="C84" s="159">
        <f>IF('Irradiancia Horizontal'!C90=0,0,1000*'Iluminancia Horizontal'!C84/'Irradiancia Horizontal'!C90)</f>
        <v>0</v>
      </c>
      <c r="D84" s="160">
        <f>IF('Irradiancia Horizontal'!D90=0,0,1000*'Iluminancia Horizontal'!D84/'Irradiancia Horizontal'!D90)</f>
        <v>0</v>
      </c>
      <c r="E84" s="160">
        <f>IF('Irradiancia Horizontal'!E90=0,0,1000*'Iluminancia Horizontal'!E84/'Irradiancia Horizontal'!E90)</f>
        <v>0</v>
      </c>
      <c r="F84" s="160">
        <f>IF('Irradiancia Horizontal'!F90=0,0,1000*'Iluminancia Horizontal'!F84/'Irradiancia Horizontal'!F90)</f>
        <v>0</v>
      </c>
      <c r="G84" s="160">
        <f>IF('Irradiancia Horizontal'!G90=0,0,1000*'Iluminancia Horizontal'!G84/'Irradiancia Horizontal'!G90)</f>
        <v>0</v>
      </c>
      <c r="H84" s="160">
        <f>IF('Irradiancia Horizontal'!H90=0,0,1000*'Iluminancia Horizontal'!H84/'Irradiancia Horizontal'!H90)</f>
        <v>0</v>
      </c>
      <c r="I84" s="160">
        <f>IF('Irradiancia Horizontal'!I90=0,0,1000*'Iluminancia Horizontal'!I84/'Irradiancia Horizontal'!I90)</f>
        <v>0</v>
      </c>
      <c r="J84" s="160">
        <f>IF('Irradiancia Horizontal'!J90=0,0,1000*'Iluminancia Horizontal'!J84/'Irradiancia Horizontal'!J90)</f>
        <v>0</v>
      </c>
      <c r="K84" s="160">
        <f>IF('Irradiancia Horizontal'!K90=0,0,1000*'Iluminancia Horizontal'!K84/'Irradiancia Horizontal'!K90)</f>
        <v>0</v>
      </c>
      <c r="L84" s="160">
        <f>IF('Irradiancia Horizontal'!L90=0,0,1000*'Iluminancia Horizontal'!L84/'Irradiancia Horizontal'!L90)</f>
        <v>0</v>
      </c>
      <c r="M84" s="160">
        <f>IF('Irradiancia Horizontal'!M90=0,0,1000*'Iluminancia Horizontal'!M84/'Irradiancia Horizontal'!M90)</f>
        <v>0</v>
      </c>
      <c r="N84" s="161">
        <f>IF('Irradiancia Horizontal'!N90=0,0,1000*'Iluminancia Horizontal'!N84/'Irradiancia Horizontal'!N90)</f>
        <v>0</v>
      </c>
    </row>
    <row r="85" spans="2:14" x14ac:dyDescent="0.25">
      <c r="B85" s="228">
        <v>0.91666666666666696</v>
      </c>
      <c r="C85" s="159">
        <f>IF('Irradiancia Horizontal'!C91=0,0,1000*'Iluminancia Horizontal'!C85/'Irradiancia Horizontal'!C91)</f>
        <v>0</v>
      </c>
      <c r="D85" s="160">
        <f>IF('Irradiancia Horizontal'!D91=0,0,1000*'Iluminancia Horizontal'!D85/'Irradiancia Horizontal'!D91)</f>
        <v>0</v>
      </c>
      <c r="E85" s="160">
        <f>IF('Irradiancia Horizontal'!E91=0,0,1000*'Iluminancia Horizontal'!E85/'Irradiancia Horizontal'!E91)</f>
        <v>0</v>
      </c>
      <c r="F85" s="160">
        <f>IF('Irradiancia Horizontal'!F91=0,0,1000*'Iluminancia Horizontal'!F85/'Irradiancia Horizontal'!F91)</f>
        <v>0</v>
      </c>
      <c r="G85" s="160">
        <f>IF('Irradiancia Horizontal'!G91=0,0,1000*'Iluminancia Horizontal'!G85/'Irradiancia Horizontal'!G91)</f>
        <v>0</v>
      </c>
      <c r="H85" s="160">
        <f>IF('Irradiancia Horizontal'!H91=0,0,1000*'Iluminancia Horizontal'!H85/'Irradiancia Horizontal'!H91)</f>
        <v>0</v>
      </c>
      <c r="I85" s="160">
        <f>IF('Irradiancia Horizontal'!I91=0,0,1000*'Iluminancia Horizontal'!I85/'Irradiancia Horizontal'!I91)</f>
        <v>0</v>
      </c>
      <c r="J85" s="160">
        <f>IF('Irradiancia Horizontal'!J91=0,0,1000*'Iluminancia Horizontal'!J85/'Irradiancia Horizontal'!J91)</f>
        <v>0</v>
      </c>
      <c r="K85" s="160">
        <f>IF('Irradiancia Horizontal'!K91=0,0,1000*'Iluminancia Horizontal'!K85/'Irradiancia Horizontal'!K91)</f>
        <v>0</v>
      </c>
      <c r="L85" s="160">
        <f>IF('Irradiancia Horizontal'!L91=0,0,1000*'Iluminancia Horizontal'!L85/'Irradiancia Horizontal'!L91)</f>
        <v>0</v>
      </c>
      <c r="M85" s="160">
        <f>IF('Irradiancia Horizontal'!M91=0,0,1000*'Iluminancia Horizontal'!M85/'Irradiancia Horizontal'!M91)</f>
        <v>0</v>
      </c>
      <c r="N85" s="161">
        <f>IF('Irradiancia Horizontal'!N91=0,0,1000*'Iluminancia Horizontal'!N85/'Irradiancia Horizontal'!N91)</f>
        <v>0</v>
      </c>
    </row>
    <row r="86" spans="2:14" x14ac:dyDescent="0.25">
      <c r="B86" s="228">
        <v>0.95833333333333304</v>
      </c>
      <c r="C86" s="159">
        <f>IF('Irradiancia Horizontal'!C92=0,0,1000*'Iluminancia Horizontal'!C86/'Irradiancia Horizontal'!C92)</f>
        <v>0</v>
      </c>
      <c r="D86" s="160">
        <f>IF('Irradiancia Horizontal'!D92=0,0,1000*'Iluminancia Horizontal'!D86/'Irradiancia Horizontal'!D92)</f>
        <v>0</v>
      </c>
      <c r="E86" s="160">
        <f>IF('Irradiancia Horizontal'!E92=0,0,1000*'Iluminancia Horizontal'!E86/'Irradiancia Horizontal'!E92)</f>
        <v>0</v>
      </c>
      <c r="F86" s="160">
        <f>IF('Irradiancia Horizontal'!F92=0,0,1000*'Iluminancia Horizontal'!F86/'Irradiancia Horizontal'!F92)</f>
        <v>0</v>
      </c>
      <c r="G86" s="160">
        <f>IF('Irradiancia Horizontal'!G92=0,0,1000*'Iluminancia Horizontal'!G86/'Irradiancia Horizontal'!G92)</f>
        <v>0</v>
      </c>
      <c r="H86" s="160">
        <f>IF('Irradiancia Horizontal'!H92=0,0,1000*'Iluminancia Horizontal'!H86/'Irradiancia Horizontal'!H92)</f>
        <v>0</v>
      </c>
      <c r="I86" s="160">
        <f>IF('Irradiancia Horizontal'!I92=0,0,1000*'Iluminancia Horizontal'!I86/'Irradiancia Horizontal'!I92)</f>
        <v>0</v>
      </c>
      <c r="J86" s="160">
        <f>IF('Irradiancia Horizontal'!J92=0,0,1000*'Iluminancia Horizontal'!J86/'Irradiancia Horizontal'!J92)</f>
        <v>0</v>
      </c>
      <c r="K86" s="160">
        <f>IF('Irradiancia Horizontal'!K92=0,0,1000*'Iluminancia Horizontal'!K86/'Irradiancia Horizontal'!K92)</f>
        <v>0</v>
      </c>
      <c r="L86" s="160">
        <f>IF('Irradiancia Horizontal'!L92=0,0,1000*'Iluminancia Horizontal'!L86/'Irradiancia Horizontal'!L92)</f>
        <v>0</v>
      </c>
      <c r="M86" s="160">
        <f>IF('Irradiancia Horizontal'!M92=0,0,1000*'Iluminancia Horizontal'!M86/'Irradiancia Horizontal'!M92)</f>
        <v>0</v>
      </c>
      <c r="N86" s="161">
        <f>IF('Irradiancia Horizontal'!N92=0,0,1000*'Iluminancia Horizontal'!N86/'Irradiancia Horizontal'!N92)</f>
        <v>0</v>
      </c>
    </row>
    <row r="87" spans="2:14" ht="15.75" thickBot="1" x14ac:dyDescent="0.3">
      <c r="B87" s="228">
        <v>1</v>
      </c>
      <c r="C87" s="162">
        <f>IF('Irradiancia Horizontal'!C93=0,0,1000*'Iluminancia Horizontal'!C87/'Irradiancia Horizontal'!C93)</f>
        <v>0</v>
      </c>
      <c r="D87" s="163">
        <f>IF('Irradiancia Horizontal'!D93=0,0,1000*'Iluminancia Horizontal'!D87/'Irradiancia Horizontal'!D93)</f>
        <v>0</v>
      </c>
      <c r="E87" s="163">
        <f>IF('Irradiancia Horizontal'!E93=0,0,1000*'Iluminancia Horizontal'!E87/'Irradiancia Horizontal'!E93)</f>
        <v>0</v>
      </c>
      <c r="F87" s="163">
        <f>IF('Irradiancia Horizontal'!F93=0,0,1000*'Iluminancia Horizontal'!F87/'Irradiancia Horizontal'!F93)</f>
        <v>0</v>
      </c>
      <c r="G87" s="163">
        <f>IF('Irradiancia Horizontal'!G93=0,0,1000*'Iluminancia Horizontal'!G87/'Irradiancia Horizontal'!G93)</f>
        <v>0</v>
      </c>
      <c r="H87" s="163">
        <f>IF('Irradiancia Horizontal'!H93=0,0,1000*'Iluminancia Horizontal'!H87/'Irradiancia Horizontal'!H93)</f>
        <v>0</v>
      </c>
      <c r="I87" s="163">
        <f>IF('Irradiancia Horizontal'!I93=0,0,1000*'Iluminancia Horizontal'!I87/'Irradiancia Horizontal'!I93)</f>
        <v>0</v>
      </c>
      <c r="J87" s="163">
        <f>IF('Irradiancia Horizontal'!J93=0,0,1000*'Iluminancia Horizontal'!J87/'Irradiancia Horizontal'!J93)</f>
        <v>0</v>
      </c>
      <c r="K87" s="163">
        <f>IF('Irradiancia Horizontal'!K93=0,0,1000*'Iluminancia Horizontal'!K87/'Irradiancia Horizontal'!K93)</f>
        <v>0</v>
      </c>
      <c r="L87" s="163">
        <f>IF('Irradiancia Horizontal'!L93=0,0,1000*'Iluminancia Horizontal'!L87/'Irradiancia Horizontal'!L93)</f>
        <v>0</v>
      </c>
      <c r="M87" s="163">
        <f>IF('Irradiancia Horizontal'!M93=0,0,1000*'Iluminancia Horizontal'!M87/'Irradiancia Horizontal'!M93)</f>
        <v>0</v>
      </c>
      <c r="N87" s="164">
        <f>IF('Irradiancia Horizontal'!N93=0,0,1000*'Iluminancia Horizontal'!N87/'Irradiancia Horizontal'!N93)</f>
        <v>0</v>
      </c>
    </row>
  </sheetData>
  <sheetProtection password="E6CB" sheet="1" objects="1" scenarios="1"/>
  <mergeCells count="18">
    <mergeCell ref="C4:N4"/>
    <mergeCell ref="B31:N31"/>
    <mergeCell ref="B32:C32"/>
    <mergeCell ref="F32:G32"/>
    <mergeCell ref="B2:N2"/>
    <mergeCell ref="B3:C3"/>
    <mergeCell ref="F3:G3"/>
    <mergeCell ref="I3:J3"/>
    <mergeCell ref="L3:M3"/>
    <mergeCell ref="C62:N62"/>
    <mergeCell ref="I32:J32"/>
    <mergeCell ref="L32:M32"/>
    <mergeCell ref="C33:N33"/>
    <mergeCell ref="B60:N60"/>
    <mergeCell ref="B61:C61"/>
    <mergeCell ref="F61:G61"/>
    <mergeCell ref="I61:J61"/>
    <mergeCell ref="L61:M61"/>
  </mergeCells>
  <conditionalFormatting sqref="C6:N29">
    <cfRule type="colorScale" priority="3">
      <colorScale>
        <cfvo type="min"/>
        <cfvo type="percentile" val="50"/>
        <cfvo type="max"/>
        <color rgb="FF5A8AC6"/>
        <color rgb="FFFFEB84"/>
        <color rgb="FFF8696B"/>
      </colorScale>
    </cfRule>
  </conditionalFormatting>
  <conditionalFormatting sqref="C35:N58">
    <cfRule type="colorScale" priority="2">
      <colorScale>
        <cfvo type="min"/>
        <cfvo type="percentile" val="50"/>
        <cfvo type="max"/>
        <color rgb="FF5A8AC6"/>
        <color rgb="FFFFEB84"/>
        <color rgb="FFF8696B"/>
      </colorScale>
    </cfRule>
  </conditionalFormatting>
  <conditionalFormatting sqref="C64:N87">
    <cfRule type="colorScale" priority="1">
      <colorScale>
        <cfvo type="min"/>
        <cfvo type="percentile" val="50"/>
        <cfvo type="max"/>
        <color rgb="FF5A8AC6"/>
        <color rgb="FFFFEB84"/>
        <color rgb="FFF8696B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87"/>
  <sheetViews>
    <sheetView showGridLines="0" showRowColHeaders="0" workbookViewId="0">
      <selection activeCell="N3" sqref="N3"/>
    </sheetView>
  </sheetViews>
  <sheetFormatPr baseColWidth="10" defaultRowHeight="15" x14ac:dyDescent="0.25"/>
  <cols>
    <col min="1" max="1" width="3" customWidth="1"/>
  </cols>
  <sheetData>
    <row r="2" spans="2:14" x14ac:dyDescent="0.25">
      <c r="B2" s="297" t="s">
        <v>216</v>
      </c>
      <c r="C2" s="297"/>
      <c r="D2" s="297"/>
      <c r="E2" s="297"/>
      <c r="F2" s="297"/>
      <c r="G2" s="297"/>
      <c r="H2" s="297"/>
      <c r="I2" s="297"/>
      <c r="J2" s="297"/>
      <c r="K2" s="297"/>
      <c r="L2" s="297"/>
      <c r="M2" s="297"/>
      <c r="N2" s="297"/>
    </row>
    <row r="3" spans="2:14" x14ac:dyDescent="0.25">
      <c r="B3" s="298" t="s">
        <v>1</v>
      </c>
      <c r="C3" s="299"/>
      <c r="D3" s="213" t="str">
        <f>'Datos Entrada'!D8</f>
        <v>Hermosillo, Son.</v>
      </c>
      <c r="E3" s="214"/>
      <c r="F3" s="298" t="s">
        <v>170</v>
      </c>
      <c r="G3" s="299"/>
      <c r="H3" s="216">
        <f>'Datos Entrada'!H8</f>
        <v>29.08</v>
      </c>
      <c r="I3" s="298" t="s">
        <v>202</v>
      </c>
      <c r="J3" s="299"/>
      <c r="K3" s="215">
        <f>'Datos Entrada'!K8</f>
        <v>-110.93</v>
      </c>
      <c r="L3" s="298" t="s">
        <v>201</v>
      </c>
      <c r="M3" s="299"/>
      <c r="N3" s="215">
        <f>'Datos Entrada'!N8</f>
        <v>211</v>
      </c>
    </row>
    <row r="4" spans="2:14" x14ac:dyDescent="0.25">
      <c r="B4" s="208"/>
      <c r="C4" s="338" t="s">
        <v>218</v>
      </c>
      <c r="D4" s="339"/>
      <c r="E4" s="339"/>
      <c r="F4" s="339"/>
      <c r="G4" s="339"/>
      <c r="H4" s="339"/>
      <c r="I4" s="339"/>
      <c r="J4" s="339"/>
      <c r="K4" s="339"/>
      <c r="L4" s="339"/>
      <c r="M4" s="339"/>
      <c r="N4" s="340"/>
    </row>
    <row r="5" spans="2:14" ht="15.75" thickBot="1" x14ac:dyDescent="0.3">
      <c r="B5" s="210" t="s">
        <v>195</v>
      </c>
      <c r="C5" s="211" t="s">
        <v>5</v>
      </c>
      <c r="D5" s="211" t="s">
        <v>6</v>
      </c>
      <c r="E5" s="211" t="s">
        <v>7</v>
      </c>
      <c r="F5" s="211" t="s">
        <v>8</v>
      </c>
      <c r="G5" s="211" t="s">
        <v>9</v>
      </c>
      <c r="H5" s="211" t="s">
        <v>10</v>
      </c>
      <c r="I5" s="211" t="s">
        <v>11</v>
      </c>
      <c r="J5" s="211" t="s">
        <v>12</v>
      </c>
      <c r="K5" s="211" t="s">
        <v>13</v>
      </c>
      <c r="L5" s="211" t="s">
        <v>14</v>
      </c>
      <c r="M5" s="211" t="s">
        <v>15</v>
      </c>
      <c r="N5" s="211" t="s">
        <v>16</v>
      </c>
    </row>
    <row r="6" spans="2:14" x14ac:dyDescent="0.25">
      <c r="B6" s="228">
        <v>4.1666666666666699E-2</v>
      </c>
      <c r="C6" s="176">
        <f>'Cálculos iluminancia'!X18/1000</f>
        <v>0</v>
      </c>
      <c r="D6" s="177">
        <f>'Cálculos iluminancia'!CE18/1000</f>
        <v>0</v>
      </c>
      <c r="E6" s="177">
        <f>'Cálculos iluminancia'!EL18/1000</f>
        <v>0</v>
      </c>
      <c r="F6" s="177">
        <f>'Cálculos iluminancia'!GS18/1000</f>
        <v>0</v>
      </c>
      <c r="G6" s="177">
        <f>'Cálculos iluminancia'!IZ18/1000</f>
        <v>0</v>
      </c>
      <c r="H6" s="177">
        <f>'Cálculos iluminancia'!LG18/1000</f>
        <v>0</v>
      </c>
      <c r="I6" s="177">
        <f>'Cálculos iluminancia'!X49/1000</f>
        <v>0</v>
      </c>
      <c r="J6" s="177">
        <f>'Cálculos iluminancia'!CE49/1000</f>
        <v>0</v>
      </c>
      <c r="K6" s="177">
        <f>'Cálculos iluminancia'!EL49/1000</f>
        <v>0</v>
      </c>
      <c r="L6" s="177">
        <f>'Cálculos iluminancia'!GS49/1000</f>
        <v>0</v>
      </c>
      <c r="M6" s="177">
        <f>'Cálculos iluminancia'!IZ49/1000</f>
        <v>0</v>
      </c>
      <c r="N6" s="178">
        <f>'Cálculos iluminancia'!LG49/1000</f>
        <v>0</v>
      </c>
    </row>
    <row r="7" spans="2:14" x14ac:dyDescent="0.25">
      <c r="B7" s="228">
        <v>8.3333333333333301E-2</v>
      </c>
      <c r="C7" s="179">
        <f>'Cálculos iluminancia'!X19/1000</f>
        <v>0</v>
      </c>
      <c r="D7" s="166">
        <f>'Cálculos iluminancia'!CE19/1000</f>
        <v>0</v>
      </c>
      <c r="E7" s="166">
        <f>'Cálculos iluminancia'!EL19/1000</f>
        <v>0</v>
      </c>
      <c r="F7" s="166">
        <f>'Cálculos iluminancia'!GS19/1000</f>
        <v>0</v>
      </c>
      <c r="G7" s="166">
        <f>'Cálculos iluminancia'!IZ19/1000</f>
        <v>0</v>
      </c>
      <c r="H7" s="166">
        <f>'Cálculos iluminancia'!LG19/1000</f>
        <v>0</v>
      </c>
      <c r="I7" s="166">
        <f>'Cálculos iluminancia'!X50/1000</f>
        <v>0</v>
      </c>
      <c r="J7" s="166">
        <f>'Cálculos iluminancia'!CE50/1000</f>
        <v>0</v>
      </c>
      <c r="K7" s="166">
        <f>'Cálculos iluminancia'!EL50/1000</f>
        <v>0</v>
      </c>
      <c r="L7" s="166">
        <f>'Cálculos iluminancia'!GS50/1000</f>
        <v>0</v>
      </c>
      <c r="M7" s="166">
        <f>'Cálculos iluminancia'!IZ50/1000</f>
        <v>0</v>
      </c>
      <c r="N7" s="180">
        <f>'Cálculos iluminancia'!LG50/1000</f>
        <v>0</v>
      </c>
    </row>
    <row r="8" spans="2:14" x14ac:dyDescent="0.25">
      <c r="B8" s="228">
        <v>0.125</v>
      </c>
      <c r="C8" s="179">
        <f>'Cálculos iluminancia'!X20/1000</f>
        <v>0</v>
      </c>
      <c r="D8" s="166">
        <f>'Cálculos iluminancia'!CE20/1000</f>
        <v>0</v>
      </c>
      <c r="E8" s="166">
        <f>'Cálculos iluminancia'!EL20/1000</f>
        <v>0</v>
      </c>
      <c r="F8" s="166">
        <f>'Cálculos iluminancia'!GS20/1000</f>
        <v>0</v>
      </c>
      <c r="G8" s="166">
        <f>'Cálculos iluminancia'!IZ20/1000</f>
        <v>0</v>
      </c>
      <c r="H8" s="166">
        <f>'Cálculos iluminancia'!LG20/1000</f>
        <v>0</v>
      </c>
      <c r="I8" s="166">
        <f>'Cálculos iluminancia'!X51/1000</f>
        <v>0</v>
      </c>
      <c r="J8" s="166">
        <f>'Cálculos iluminancia'!CE51/1000</f>
        <v>0</v>
      </c>
      <c r="K8" s="166">
        <f>'Cálculos iluminancia'!EL51/1000</f>
        <v>0</v>
      </c>
      <c r="L8" s="166">
        <f>'Cálculos iluminancia'!GS51/1000</f>
        <v>0</v>
      </c>
      <c r="M8" s="166">
        <f>'Cálculos iluminancia'!IZ51/1000</f>
        <v>0</v>
      </c>
      <c r="N8" s="180">
        <f>'Cálculos iluminancia'!LG51/1000</f>
        <v>0</v>
      </c>
    </row>
    <row r="9" spans="2:14" x14ac:dyDescent="0.25">
      <c r="B9" s="228">
        <v>0.16666666666666699</v>
      </c>
      <c r="C9" s="179">
        <f>'Cálculos iluminancia'!X21/1000</f>
        <v>0</v>
      </c>
      <c r="D9" s="166">
        <f>'Cálculos iluminancia'!CE21/1000</f>
        <v>0</v>
      </c>
      <c r="E9" s="166">
        <f>'Cálculos iluminancia'!EL21/1000</f>
        <v>0</v>
      </c>
      <c r="F9" s="166">
        <f>'Cálculos iluminancia'!GS21/1000</f>
        <v>0</v>
      </c>
      <c r="G9" s="166">
        <f>'Cálculos iluminancia'!IZ21/1000</f>
        <v>0</v>
      </c>
      <c r="H9" s="166">
        <f>'Cálculos iluminancia'!LG21/1000</f>
        <v>0</v>
      </c>
      <c r="I9" s="166">
        <f>'Cálculos iluminancia'!X52/1000</f>
        <v>0</v>
      </c>
      <c r="J9" s="166">
        <f>'Cálculos iluminancia'!CE52/1000</f>
        <v>0</v>
      </c>
      <c r="K9" s="166">
        <f>'Cálculos iluminancia'!EL52/1000</f>
        <v>0</v>
      </c>
      <c r="L9" s="166">
        <f>'Cálculos iluminancia'!GS52/1000</f>
        <v>0</v>
      </c>
      <c r="M9" s="166">
        <f>'Cálculos iluminancia'!IZ52/1000</f>
        <v>0</v>
      </c>
      <c r="N9" s="180">
        <f>'Cálculos iluminancia'!LG52/1000</f>
        <v>0</v>
      </c>
    </row>
    <row r="10" spans="2:14" x14ac:dyDescent="0.25">
      <c r="B10" s="228">
        <v>0.20833333333333301</v>
      </c>
      <c r="C10" s="179">
        <f>'Cálculos iluminancia'!X22/1000</f>
        <v>0</v>
      </c>
      <c r="D10" s="166">
        <f>'Cálculos iluminancia'!CE22/1000</f>
        <v>0</v>
      </c>
      <c r="E10" s="166">
        <f>'Cálculos iluminancia'!EL22/1000</f>
        <v>0</v>
      </c>
      <c r="F10" s="166">
        <f>'Cálculos iluminancia'!GS22/1000</f>
        <v>0</v>
      </c>
      <c r="G10" s="166">
        <f>'Cálculos iluminancia'!IZ22/1000</f>
        <v>0</v>
      </c>
      <c r="H10" s="166">
        <f>'Cálculos iluminancia'!LG22/1000</f>
        <v>0</v>
      </c>
      <c r="I10" s="166">
        <f>'Cálculos iluminancia'!X53/1000</f>
        <v>0</v>
      </c>
      <c r="J10" s="166">
        <f>'Cálculos iluminancia'!CE53/1000</f>
        <v>0</v>
      </c>
      <c r="K10" s="166">
        <f>'Cálculos iluminancia'!EL53/1000</f>
        <v>0</v>
      </c>
      <c r="L10" s="166">
        <f>'Cálculos iluminancia'!GS53/1000</f>
        <v>0</v>
      </c>
      <c r="M10" s="166">
        <f>'Cálculos iluminancia'!IZ53/1000</f>
        <v>0</v>
      </c>
      <c r="N10" s="180">
        <f>'Cálculos iluminancia'!LG53/1000</f>
        <v>0</v>
      </c>
    </row>
    <row r="11" spans="2:14" x14ac:dyDescent="0.25">
      <c r="B11" s="228">
        <v>0.25</v>
      </c>
      <c r="C11" s="179">
        <f>'Cálculos iluminancia'!X23/1000</f>
        <v>0</v>
      </c>
      <c r="D11" s="166">
        <f>'Cálculos iluminancia'!CE23/1000</f>
        <v>0</v>
      </c>
      <c r="E11" s="166">
        <f>'Cálculos iluminancia'!EL23/1000</f>
        <v>0</v>
      </c>
      <c r="F11" s="166">
        <f>'Cálculos iluminancia'!GS23/1000</f>
        <v>6.4514987567182143</v>
      </c>
      <c r="G11" s="166">
        <f>'Cálculos iluminancia'!IZ23/1000</f>
        <v>14.18651256568106</v>
      </c>
      <c r="H11" s="166">
        <f>'Cálculos iluminancia'!LG23/1000</f>
        <v>17.019436510125196</v>
      </c>
      <c r="I11" s="166">
        <f>'Cálculos iluminancia'!X54/1000</f>
        <v>11.892751346647968</v>
      </c>
      <c r="J11" s="166">
        <f>'Cálculos iluminancia'!CE54/1000</f>
        <v>6.6527380132404526</v>
      </c>
      <c r="K11" s="166">
        <f>'Cálculos iluminancia'!EL54/1000</f>
        <v>0</v>
      </c>
      <c r="L11" s="166">
        <f>'Cálculos iluminancia'!GS54/1000</f>
        <v>0</v>
      </c>
      <c r="M11" s="166">
        <f>'Cálculos iluminancia'!IZ54/1000</f>
        <v>0</v>
      </c>
      <c r="N11" s="180">
        <f>'Cálculos iluminancia'!LG54/1000</f>
        <v>0</v>
      </c>
    </row>
    <row r="12" spans="2:14" x14ac:dyDescent="0.25">
      <c r="B12" s="228">
        <v>0.29166666666666702</v>
      </c>
      <c r="C12" s="179">
        <f>'Cálculos iluminancia'!X24/1000</f>
        <v>3.2146139589507046</v>
      </c>
      <c r="D12" s="166">
        <f>'Cálculos iluminancia'!CE24/1000</f>
        <v>8.7193788754559414</v>
      </c>
      <c r="E12" s="166">
        <f>'Cálculos iluminancia'!EL24/1000</f>
        <v>15.433808364167451</v>
      </c>
      <c r="F12" s="166">
        <f>'Cálculos iluminancia'!GS24/1000</f>
        <v>24.710726130726975</v>
      </c>
      <c r="G12" s="166">
        <f>'Cálculos iluminancia'!IZ24/1000</f>
        <v>35.749599763842681</v>
      </c>
      <c r="H12" s="166">
        <f>'Cálculos iluminancia'!LG24/1000</f>
        <v>38.990814673382602</v>
      </c>
      <c r="I12" s="166">
        <f>'Cálculos iluminancia'!X55/1000</f>
        <v>30.26371094261712</v>
      </c>
      <c r="J12" s="166">
        <f>'Cálculos iluminancia'!CE55/1000</f>
        <v>25.249243591869064</v>
      </c>
      <c r="K12" s="166">
        <f>'Cálculos iluminancia'!EL55/1000</f>
        <v>19.986926845412615</v>
      </c>
      <c r="L12" s="166">
        <f>'Cálculos iluminancia'!GS55/1000</f>
        <v>11.473833528236542</v>
      </c>
      <c r="M12" s="166">
        <f>'Cálculos iluminancia'!IZ55/1000</f>
        <v>3.6615346573217171</v>
      </c>
      <c r="N12" s="180">
        <f>'Cálculos iluminancia'!LG55/1000</f>
        <v>1.0708497747720978</v>
      </c>
    </row>
    <row r="13" spans="2:14" x14ac:dyDescent="0.25">
      <c r="B13" s="228">
        <v>0.33333333333333298</v>
      </c>
      <c r="C13" s="179">
        <f>'Cálculos iluminancia'!X25/1000</f>
        <v>19.956594725397277</v>
      </c>
      <c r="D13" s="166">
        <f>'Cálculos iluminancia'!CE25/1000</f>
        <v>26.661939426906738</v>
      </c>
      <c r="E13" s="166">
        <f>'Cálculos iluminancia'!EL25/1000</f>
        <v>34.444470537962324</v>
      </c>
      <c r="F13" s="166">
        <f>'Cálculos iluminancia'!GS25/1000</f>
        <v>45.871734925929644</v>
      </c>
      <c r="G13" s="166">
        <f>'Cálculos iluminancia'!IZ25/1000</f>
        <v>59.480649015487025</v>
      </c>
      <c r="H13" s="166">
        <f>'Cálculos iluminancia'!LG25/1000</f>
        <v>62.999616005473499</v>
      </c>
      <c r="I13" s="166">
        <f>'Cálculos iluminancia'!X56/1000</f>
        <v>51.142658689806822</v>
      </c>
      <c r="J13" s="166">
        <f>'Cálculos iluminancia'!CE56/1000</f>
        <v>46.798325782620815</v>
      </c>
      <c r="K13" s="166">
        <f>'Cálculos iluminancia'!EL56/1000</f>
        <v>44.326648022234224</v>
      </c>
      <c r="L13" s="166">
        <f>'Cálculos iluminancia'!GS56/1000</f>
        <v>35.305927587591356</v>
      </c>
      <c r="M13" s="166">
        <f>'Cálculos iluminancia'!IZ56/1000</f>
        <v>24.100286372514702</v>
      </c>
      <c r="N13" s="180">
        <f>'Cálculos iluminancia'!LG56/1000</f>
        <v>17.520043638952203</v>
      </c>
    </row>
    <row r="14" spans="2:14" x14ac:dyDescent="0.25">
      <c r="B14" s="228">
        <v>0.375</v>
      </c>
      <c r="C14" s="179">
        <f>'Cálculos iluminancia'!X26/1000</f>
        <v>38.661168233844947</v>
      </c>
      <c r="D14" s="166">
        <f>'Cálculos iluminancia'!CE26/1000</f>
        <v>46.028851661391641</v>
      </c>
      <c r="E14" s="166">
        <f>'Cálculos iluminancia'!EL26/1000</f>
        <v>54.381177884013475</v>
      </c>
      <c r="F14" s="166">
        <f>'Cálculos iluminancia'!GS26/1000</f>
        <v>67.481222001509124</v>
      </c>
      <c r="G14" s="166">
        <f>'Cálculos iluminancia'!IZ26/1000</f>
        <v>82.664767888541718</v>
      </c>
      <c r="H14" s="166">
        <f>'Cálculos iluminancia'!LG26/1000</f>
        <v>86.331683749163176</v>
      </c>
      <c r="I14" s="166">
        <f>'Cálculos iluminancia'!X57/1000</f>
        <v>72.077235122191297</v>
      </c>
      <c r="J14" s="166">
        <f>'Cálculos iluminancia'!CE57/1000</f>
        <v>68.813325277726506</v>
      </c>
      <c r="K14" s="166">
        <f>'Cálculos iluminancia'!EL57/1000</f>
        <v>69.797957950283788</v>
      </c>
      <c r="L14" s="166">
        <f>'Cálculos iluminancia'!GS57/1000</f>
        <v>60.335933984585388</v>
      </c>
      <c r="M14" s="166">
        <f>'Cálculos iluminancia'!IZ57/1000</f>
        <v>46.212770412743964</v>
      </c>
      <c r="N14" s="180">
        <f>'Cálculos iluminancia'!LG57/1000</f>
        <v>36.948052958684634</v>
      </c>
    </row>
    <row r="15" spans="2:14" x14ac:dyDescent="0.25">
      <c r="B15" s="228">
        <v>0.41666666666666702</v>
      </c>
      <c r="C15" s="179">
        <f>'Cálculos iluminancia'!X27/1000</f>
        <v>55.791946175112486</v>
      </c>
      <c r="D15" s="166">
        <f>'Cálculos iluminancia'!CE27/1000</f>
        <v>63.467114219877935</v>
      </c>
      <c r="E15" s="166">
        <f>'Cálculos iluminancia'!EL27/1000</f>
        <v>72.028265928852846</v>
      </c>
      <c r="F15" s="166">
        <f>'Cálculos iluminancia'!GS27/1000</f>
        <v>86.273389246483333</v>
      </c>
      <c r="G15" s="166">
        <f>'Cálculos iluminancia'!IZ27/1000</f>
        <v>102.12971299237137</v>
      </c>
      <c r="H15" s="166">
        <f>'Cálculos iluminancia'!LG27/1000</f>
        <v>105.81603360065223</v>
      </c>
      <c r="I15" s="166">
        <f>'Cálculos iluminancia'!X58/1000</f>
        <v>90.023414272440675</v>
      </c>
      <c r="J15" s="166">
        <f>'Cálculos iluminancia'!CE58/1000</f>
        <v>87.939735157239255</v>
      </c>
      <c r="K15" s="166">
        <f>'Cálculos iluminancia'!EL58/1000</f>
        <v>90.582414986820339</v>
      </c>
      <c r="L15" s="166">
        <f>'Cálculos iluminancia'!GS58/1000</f>
        <v>82.428963865583881</v>
      </c>
      <c r="M15" s="166">
        <f>'Cálculos iluminancia'!IZ58/1000</f>
        <v>66.050323216543418</v>
      </c>
      <c r="N15" s="180">
        <f>'Cálculos iluminancia'!LG58/1000</f>
        <v>53.11027595080612</v>
      </c>
    </row>
    <row r="16" spans="2:14" x14ac:dyDescent="0.25">
      <c r="B16" s="228">
        <v>0.45833333333333298</v>
      </c>
      <c r="C16" s="179">
        <f>'Cálculos iluminancia'!X28/1000</f>
        <v>67.833972713890844</v>
      </c>
      <c r="D16" s="166">
        <f>'Cálculos iluminancia'!CE28/1000</f>
        <v>75.602503189402256</v>
      </c>
      <c r="E16" s="166">
        <f>'Cálculos iluminancia'!EL28/1000</f>
        <v>84.172114131686584</v>
      </c>
      <c r="F16" s="166">
        <f>'Cálculos iluminancia'!GS28/1000</f>
        <v>95.95979541772175</v>
      </c>
      <c r="G16" s="166">
        <f>'Cálculos iluminancia'!IZ28/1000</f>
        <v>114.98580802238136</v>
      </c>
      <c r="H16" s="166">
        <f>'Cálculos iluminancia'!LG28/1000</f>
        <v>118.62118195161156</v>
      </c>
      <c r="I16" s="166">
        <f>'Cálculos iluminancia'!X59/1000</f>
        <v>102.08808252329361</v>
      </c>
      <c r="J16" s="166">
        <f>'Cálculos iluminancia'!CE59/1000</f>
        <v>100.91150850694783</v>
      </c>
      <c r="K16" s="166">
        <f>'Cálculos iluminancia'!EL59/1000</f>
        <v>104.98381019573523</v>
      </c>
      <c r="L16" s="166">
        <f>'Cálculos iluminancia'!GS59/1000</f>
        <v>97.579715071278613</v>
      </c>
      <c r="M16" s="166">
        <f>'Cálculos iluminancia'!IZ59/1000</f>
        <v>79.806121375409575</v>
      </c>
      <c r="N16" s="180">
        <f>'Cálculos iluminancia'!LG59/1000</f>
        <v>65.141163282541129</v>
      </c>
    </row>
    <row r="17" spans="2:29" x14ac:dyDescent="0.25">
      <c r="B17" s="228">
        <v>0.5</v>
      </c>
      <c r="C17" s="179">
        <f>'Cálculos iluminancia'!X29/1000</f>
        <v>72.170289943445567</v>
      </c>
      <c r="D17" s="166">
        <f>'Cálculos iluminancia'!CE29/1000</f>
        <v>79.940835736737156</v>
      </c>
      <c r="E17" s="166">
        <f>'Cálculos iluminancia'!EL29/1000</f>
        <v>88.472945747482257</v>
      </c>
      <c r="F17" s="166">
        <f>'Cálculos iluminancia'!GS29/1000</f>
        <v>100.26587928117866</v>
      </c>
      <c r="G17" s="166">
        <f>'Cálculos iluminancia'!IZ29/1000</f>
        <v>119.37768760703111</v>
      </c>
      <c r="H17" s="166">
        <f>'Cálculos iluminancia'!LG29/1000</f>
        <v>122.97940728428745</v>
      </c>
      <c r="I17" s="166">
        <f>'Cálculos iluminancia'!X60/1000</f>
        <v>106.28898082116773</v>
      </c>
      <c r="J17" s="166">
        <f>'Cálculos iluminancia'!CE60/1000</f>
        <v>105.44889789859232</v>
      </c>
      <c r="K17" s="166">
        <f>'Cálculos iluminancia'!EL60/1000</f>
        <v>110.00263563844463</v>
      </c>
      <c r="L17" s="166">
        <f>'Cálculos iluminancia'!GS60/1000</f>
        <v>102.93033310438655</v>
      </c>
      <c r="M17" s="166">
        <f>'Cálculos iluminancia'!IZ60/1000</f>
        <v>84.72110514805226</v>
      </c>
      <c r="N17" s="180">
        <f>'Cálculos iluminancia'!LG60/1000</f>
        <v>69.481256431435341</v>
      </c>
    </row>
    <row r="18" spans="2:29" x14ac:dyDescent="0.25">
      <c r="B18" s="228">
        <v>0.54166666666666696</v>
      </c>
      <c r="C18" s="179">
        <f>'Cálculos iluminancia'!X30/1000</f>
        <v>67.846662370615178</v>
      </c>
      <c r="D18" s="166">
        <f>'Cálculos iluminancia'!CE30/1000</f>
        <v>75.592603598204789</v>
      </c>
      <c r="E18" s="166">
        <f>'Cálculos iluminancia'!EL30/1000</f>
        <v>84.125946881342003</v>
      </c>
      <c r="F18" s="166">
        <f>'Cálculos iluminancia'!GS30/1000</f>
        <v>95.862643730538636</v>
      </c>
      <c r="G18" s="166">
        <f>'Cálculos iluminancia'!IZ30/1000</f>
        <v>114.7965145559165</v>
      </c>
      <c r="H18" s="166">
        <f>'Cálculos iluminancia'!LG30/1000</f>
        <v>118.4189455295086</v>
      </c>
      <c r="I18" s="166">
        <f>'Cálculos iluminancia'!X61/1000</f>
        <v>101.98627476932505</v>
      </c>
      <c r="J18" s="166">
        <f>'Cálculos iluminancia'!CE61/1000</f>
        <v>100.81081810923941</v>
      </c>
      <c r="K18" s="166">
        <f>'Cálculos iluminancia'!EL61/1000</f>
        <v>104.87710544219705</v>
      </c>
      <c r="L18" s="166">
        <f>'Cálculos iluminancia'!GS61/1000</f>
        <v>97.537071486684098</v>
      </c>
      <c r="M18" s="166">
        <f>'Cálculos iluminancia'!IZ61/1000</f>
        <v>79.824288561870404</v>
      </c>
      <c r="N18" s="180">
        <f>'Cálculos iluminancia'!LG61/1000</f>
        <v>65.159083844682868</v>
      </c>
    </row>
    <row r="19" spans="2:29" x14ac:dyDescent="0.25">
      <c r="B19" s="228">
        <v>0.58333333333333304</v>
      </c>
      <c r="C19" s="179">
        <f>'Cálculos iluminancia'!X31/1000</f>
        <v>55.83744956225371</v>
      </c>
      <c r="D19" s="166">
        <f>'Cálculos iluminancia'!CE31/1000</f>
        <v>63.497073450940164</v>
      </c>
      <c r="E19" s="166">
        <f>'Cálculos iluminancia'!EL31/1000</f>
        <v>72.026089110090851</v>
      </c>
      <c r="F19" s="166">
        <f>'Cálculos iluminancia'!GS31/1000</f>
        <v>86.223767092160557</v>
      </c>
      <c r="G19" s="166">
        <f>'Cálculos iluminancia'!IZ31/1000</f>
        <v>101.99331007392847</v>
      </c>
      <c r="H19" s="166">
        <f>'Cálculos iluminancia'!LG31/1000</f>
        <v>105.6590701132144</v>
      </c>
      <c r="I19" s="166">
        <f>'Cálculos iluminancia'!X62/1000</f>
        <v>89.948297236152484</v>
      </c>
      <c r="J19" s="166">
        <f>'Cálculos iluminancia'!CE62/1000</f>
        <v>87.883421905623834</v>
      </c>
      <c r="K19" s="166">
        <f>'Cálculos iluminancia'!EL62/1000</f>
        <v>90.570765372321844</v>
      </c>
      <c r="L19" s="166">
        <f>'Cálculos iluminancia'!GS62/1000</f>
        <v>82.496063854020278</v>
      </c>
      <c r="M19" s="166">
        <f>'Cálculos iluminancia'!IZ62/1000</f>
        <v>66.143215117545509</v>
      </c>
      <c r="N19" s="180">
        <f>'Cálculos iluminancia'!LG62/1000</f>
        <v>53.160177049231933</v>
      </c>
    </row>
    <row r="20" spans="2:29" x14ac:dyDescent="0.25">
      <c r="B20" s="228">
        <v>0.625</v>
      </c>
      <c r="C20" s="179">
        <f>'Cálculos iluminancia'!X32/1000</f>
        <v>38.731344236614454</v>
      </c>
      <c r="D20" s="166">
        <f>'Cálculos iluminancia'!CE32/1000</f>
        <v>46.111289809898381</v>
      </c>
      <c r="E20" s="166">
        <f>'Cálculos iluminancia'!EL32/1000</f>
        <v>54.470048242529494</v>
      </c>
      <c r="F20" s="166">
        <f>'Cálculos iluminancia'!GS32/1000</f>
        <v>67.569486200238188</v>
      </c>
      <c r="G20" s="166">
        <f>'Cálculos iluminancia'!IZ32/1000</f>
        <v>82.788908861563556</v>
      </c>
      <c r="H20" s="166">
        <f>'Cálculos iluminancia'!LG32/1000</f>
        <v>86.457773489150341</v>
      </c>
      <c r="I20" s="166">
        <f>'Cálculos iluminancia'!X63/1000</f>
        <v>72.15169259750914</v>
      </c>
      <c r="J20" s="166">
        <f>'Cálculos iluminancia'!CE63/1000</f>
        <v>68.920147149150836</v>
      </c>
      <c r="K20" s="166">
        <f>'Cálculos iluminancia'!EL63/1000</f>
        <v>69.960223732424666</v>
      </c>
      <c r="L20" s="166">
        <f>'Cálculos iluminancia'!GS63/1000</f>
        <v>60.560868490767184</v>
      </c>
      <c r="M20" s="166">
        <f>'Cálculos iluminancia'!IZ63/1000</f>
        <v>46.369210478787942</v>
      </c>
      <c r="N20" s="180">
        <f>'Cálculos iluminancia'!LG63/1000</f>
        <v>37.013021434914862</v>
      </c>
    </row>
    <row r="21" spans="2:29" x14ac:dyDescent="0.25">
      <c r="B21" s="228">
        <v>0.66666666666666696</v>
      </c>
      <c r="C21" s="179">
        <f>'Cálculos iluminancia'!X33/1000</f>
        <v>20.010551615560921</v>
      </c>
      <c r="D21" s="166">
        <f>'Cálculos iluminancia'!CE33/1000</f>
        <v>26.74572905166437</v>
      </c>
      <c r="E21" s="166">
        <f>'Cálculos iluminancia'!EL33/1000</f>
        <v>34.56733547524918</v>
      </c>
      <c r="F21" s="166">
        <f>'Cálculos iluminancia'!GS33/1000</f>
        <v>46.045998965091265</v>
      </c>
      <c r="G21" s="166">
        <f>'Cálculos iluminancia'!IZ33/1000</f>
        <v>59.813143196606724</v>
      </c>
      <c r="H21" s="166">
        <f>'Cálculos iluminancia'!LG33/1000</f>
        <v>63.382796582016297</v>
      </c>
      <c r="I21" s="166">
        <f>'Cálculos iluminancia'!X64/1000</f>
        <v>51.350342197175436</v>
      </c>
      <c r="J21" s="166">
        <f>'Cálculos iluminancia'!CE64/1000</f>
        <v>47.021396441059103</v>
      </c>
      <c r="K21" s="166">
        <f>'Cálculos iluminancia'!EL64/1000</f>
        <v>44.564114570463154</v>
      </c>
      <c r="L21" s="166">
        <f>'Cálculos iluminancia'!GS64/1000</f>
        <v>35.543585789154434</v>
      </c>
      <c r="M21" s="166">
        <f>'Cálculos iluminancia'!IZ64/1000</f>
        <v>24.224361187514084</v>
      </c>
      <c r="N21" s="180">
        <f>'Cálculos iluminancia'!LG64/1000</f>
        <v>17.567670289637373</v>
      </c>
    </row>
    <row r="22" spans="2:29" x14ac:dyDescent="0.25">
      <c r="B22" s="228">
        <v>0.70833333333333304</v>
      </c>
      <c r="C22" s="179">
        <f>'Cálculos iluminancia'!X34/1000</f>
        <v>3.227802721094204</v>
      </c>
      <c r="D22" s="166">
        <f>'Cálculos iluminancia'!CE34/1000</f>
        <v>8.7533304465557169</v>
      </c>
      <c r="E22" s="166">
        <f>'Cálculos iluminancia'!EL34/1000</f>
        <v>15.507698479203356</v>
      </c>
      <c r="F22" s="166">
        <f>'Cálculos iluminancia'!GS34/1000</f>
        <v>24.849389043829394</v>
      </c>
      <c r="G22" s="166">
        <f>'Cálculos iluminancia'!IZ34/1000</f>
        <v>36.064326007442048</v>
      </c>
      <c r="H22" s="166">
        <f>'Cálculos iluminancia'!LG34/1000</f>
        <v>39.383836819327414</v>
      </c>
      <c r="I22" s="166">
        <f>'Cálculos iluminancia'!X65/1000</f>
        <v>30.46987608120158</v>
      </c>
      <c r="J22" s="166">
        <f>'Cálculos iluminancia'!CE65/1000</f>
        <v>25.435629293996151</v>
      </c>
      <c r="K22" s="166">
        <f>'Cálculos iluminancia'!EL65/1000</f>
        <v>20.134819791695115</v>
      </c>
      <c r="L22" s="166">
        <f>'Cálculos iluminancia'!GS65/1000</f>
        <v>11.569326882686449</v>
      </c>
      <c r="M22" s="166">
        <f>'Cálculos iluminancia'!IZ65/1000</f>
        <v>3.6833196484520054</v>
      </c>
      <c r="N22" s="180">
        <f>'Cálculos iluminancia'!LG65/1000</f>
        <v>1.0747960911725547</v>
      </c>
    </row>
    <row r="23" spans="2:29" x14ac:dyDescent="0.25">
      <c r="B23" s="228">
        <v>0.75</v>
      </c>
      <c r="C23" s="179">
        <f>'Cálculos iluminancia'!X35/1000</f>
        <v>0</v>
      </c>
      <c r="D23" s="166">
        <f>'Cálculos iluminancia'!CE35/1000</f>
        <v>0</v>
      </c>
      <c r="E23" s="166">
        <f>'Cálculos iluminancia'!EL35/1000</f>
        <v>0</v>
      </c>
      <c r="F23" s="166">
        <f>'Cálculos iluminancia'!GS35/1000</f>
        <v>6.493960852559062</v>
      </c>
      <c r="G23" s="166">
        <f>'Cálculos iluminancia'!IZ35/1000</f>
        <v>14.325530770914645</v>
      </c>
      <c r="H23" s="166">
        <f>'Cálculos iluminancia'!LG35/1000</f>
        <v>17.216944572493517</v>
      </c>
      <c r="I23" s="166">
        <f>'Cálculos iluminancia'!X66/1000</f>
        <v>11.987544831508799</v>
      </c>
      <c r="J23" s="166">
        <f>'Cálculos iluminancia'!CE66/1000</f>
        <v>6.711872944607558</v>
      </c>
      <c r="K23" s="166">
        <f>'Cálculos iluminancia'!EL66/1000</f>
        <v>0</v>
      </c>
      <c r="L23" s="166">
        <f>'Cálculos iluminancia'!GS66/1000</f>
        <v>0</v>
      </c>
      <c r="M23" s="166">
        <f>'Cálculos iluminancia'!IZ66/1000</f>
        <v>0</v>
      </c>
      <c r="N23" s="180">
        <f>'Cálculos iluminancia'!LG66/1000</f>
        <v>0</v>
      </c>
    </row>
    <row r="24" spans="2:29" x14ac:dyDescent="0.25">
      <c r="B24" s="228">
        <v>0.79166666666666696</v>
      </c>
      <c r="C24" s="179">
        <f>'Cálculos iluminancia'!X36/1000</f>
        <v>0</v>
      </c>
      <c r="D24" s="166">
        <f>'Cálculos iluminancia'!CE36/1000</f>
        <v>0</v>
      </c>
      <c r="E24" s="166">
        <f>'Cálculos iluminancia'!EL36/1000</f>
        <v>0</v>
      </c>
      <c r="F24" s="166">
        <f>'Cálculos iluminancia'!GS36/1000</f>
        <v>0</v>
      </c>
      <c r="G24" s="166">
        <f>'Cálculos iluminancia'!IZ36/1000</f>
        <v>0</v>
      </c>
      <c r="H24" s="166">
        <f>'Cálculos iluminancia'!LG36/1000</f>
        <v>0</v>
      </c>
      <c r="I24" s="166">
        <f>'Cálculos iluminancia'!X67/1000</f>
        <v>0</v>
      </c>
      <c r="J24" s="166">
        <f>'Cálculos iluminancia'!CE67/1000</f>
        <v>0</v>
      </c>
      <c r="K24" s="166">
        <f>'Cálculos iluminancia'!EL67/1000</f>
        <v>0</v>
      </c>
      <c r="L24" s="166">
        <f>'Cálculos iluminancia'!GS67/1000</f>
        <v>0</v>
      </c>
      <c r="M24" s="166">
        <f>'Cálculos iluminancia'!IZ67/1000</f>
        <v>0</v>
      </c>
      <c r="N24" s="180">
        <f>'Cálculos iluminancia'!LG67/1000</f>
        <v>0</v>
      </c>
    </row>
    <row r="25" spans="2:29" x14ac:dyDescent="0.25">
      <c r="B25" s="228">
        <v>0.83333333333333304</v>
      </c>
      <c r="C25" s="179">
        <f>'Cálculos iluminancia'!X37/1000</f>
        <v>0</v>
      </c>
      <c r="D25" s="166">
        <f>'Cálculos iluminancia'!CE37/1000</f>
        <v>0</v>
      </c>
      <c r="E25" s="166">
        <f>'Cálculos iluminancia'!EL37/1000</f>
        <v>0</v>
      </c>
      <c r="F25" s="166">
        <f>'Cálculos iluminancia'!GS37/1000</f>
        <v>0</v>
      </c>
      <c r="G25" s="166">
        <f>'Cálculos iluminancia'!IZ37/1000</f>
        <v>0</v>
      </c>
      <c r="H25" s="166">
        <f>'Cálculos iluminancia'!LG37/1000</f>
        <v>0</v>
      </c>
      <c r="I25" s="166">
        <f>'Cálculos iluminancia'!X68/1000</f>
        <v>0</v>
      </c>
      <c r="J25" s="166">
        <f>'Cálculos iluminancia'!CE68/1000</f>
        <v>0</v>
      </c>
      <c r="K25" s="166">
        <f>'Cálculos iluminancia'!EL68/1000</f>
        <v>0</v>
      </c>
      <c r="L25" s="166">
        <f>'Cálculos iluminancia'!GS68/1000</f>
        <v>0</v>
      </c>
      <c r="M25" s="166">
        <f>'Cálculos iluminancia'!IZ68/1000</f>
        <v>0</v>
      </c>
      <c r="N25" s="180">
        <f>'Cálculos iluminancia'!LG68/1000</f>
        <v>0</v>
      </c>
    </row>
    <row r="26" spans="2:29" x14ac:dyDescent="0.25">
      <c r="B26" s="228">
        <v>0.875</v>
      </c>
      <c r="C26" s="179">
        <f>'Cálculos iluminancia'!X38/1000</f>
        <v>0</v>
      </c>
      <c r="D26" s="166">
        <f>'Cálculos iluminancia'!CE38/1000</f>
        <v>0</v>
      </c>
      <c r="E26" s="166">
        <f>'Cálculos iluminancia'!EL38/1000</f>
        <v>0</v>
      </c>
      <c r="F26" s="166">
        <f>'Cálculos iluminancia'!GS38/1000</f>
        <v>0</v>
      </c>
      <c r="G26" s="166">
        <f>'Cálculos iluminancia'!IZ38/1000</f>
        <v>0</v>
      </c>
      <c r="H26" s="166">
        <f>'Cálculos iluminancia'!LG38/1000</f>
        <v>0</v>
      </c>
      <c r="I26" s="166">
        <f>'Cálculos iluminancia'!X69/1000</f>
        <v>0</v>
      </c>
      <c r="J26" s="166">
        <f>'Cálculos iluminancia'!CE69/1000</f>
        <v>0</v>
      </c>
      <c r="K26" s="166">
        <f>'Cálculos iluminancia'!EL69/1000</f>
        <v>0</v>
      </c>
      <c r="L26" s="166">
        <f>'Cálculos iluminancia'!GS69/1000</f>
        <v>0</v>
      </c>
      <c r="M26" s="166">
        <f>'Cálculos iluminancia'!IZ69/1000</f>
        <v>0</v>
      </c>
      <c r="N26" s="180">
        <f>'Cálculos iluminancia'!LG69/1000</f>
        <v>0</v>
      </c>
    </row>
    <row r="27" spans="2:29" x14ac:dyDescent="0.25">
      <c r="B27" s="228">
        <v>0.91666666666666696</v>
      </c>
      <c r="C27" s="179">
        <f>'Cálculos iluminancia'!X39/1000</f>
        <v>0</v>
      </c>
      <c r="D27" s="166">
        <f>'Cálculos iluminancia'!CE39/1000</f>
        <v>0</v>
      </c>
      <c r="E27" s="166">
        <f>'Cálculos iluminancia'!EL39/1000</f>
        <v>0</v>
      </c>
      <c r="F27" s="166">
        <f>'Cálculos iluminancia'!GS39/1000</f>
        <v>0</v>
      </c>
      <c r="G27" s="166">
        <f>'Cálculos iluminancia'!IZ39/1000</f>
        <v>0</v>
      </c>
      <c r="H27" s="166">
        <f>'Cálculos iluminancia'!LG39/1000</f>
        <v>0</v>
      </c>
      <c r="I27" s="166">
        <f>'Cálculos iluminancia'!X70/1000</f>
        <v>0</v>
      </c>
      <c r="J27" s="166">
        <f>'Cálculos iluminancia'!CE70/1000</f>
        <v>0</v>
      </c>
      <c r="K27" s="166">
        <f>'Cálculos iluminancia'!EL70/1000</f>
        <v>0</v>
      </c>
      <c r="L27" s="166">
        <f>'Cálculos iluminancia'!GS70/1000</f>
        <v>0</v>
      </c>
      <c r="M27" s="166">
        <f>'Cálculos iluminancia'!IZ70/1000</f>
        <v>0</v>
      </c>
      <c r="N27" s="180">
        <f>'Cálculos iluminancia'!LG70/1000</f>
        <v>0</v>
      </c>
    </row>
    <row r="28" spans="2:29" x14ac:dyDescent="0.25">
      <c r="B28" s="228">
        <v>0.95833333333333304</v>
      </c>
      <c r="C28" s="179">
        <f>'Cálculos iluminancia'!X40/1000</f>
        <v>0</v>
      </c>
      <c r="D28" s="166">
        <f>'Cálculos iluminancia'!CE40/1000</f>
        <v>0</v>
      </c>
      <c r="E28" s="166">
        <f>'Cálculos iluminancia'!EL40/1000</f>
        <v>0</v>
      </c>
      <c r="F28" s="166">
        <f>'Cálculos iluminancia'!GS40/1000</f>
        <v>0</v>
      </c>
      <c r="G28" s="166">
        <f>'Cálculos iluminancia'!IZ40/1000</f>
        <v>0</v>
      </c>
      <c r="H28" s="166">
        <f>'Cálculos iluminancia'!LG40/1000</f>
        <v>0</v>
      </c>
      <c r="I28" s="166">
        <f>'Cálculos iluminancia'!X71/1000</f>
        <v>0</v>
      </c>
      <c r="J28" s="166">
        <f>'Cálculos iluminancia'!CE71/1000</f>
        <v>0</v>
      </c>
      <c r="K28" s="166">
        <f>'Cálculos iluminancia'!EL71/1000</f>
        <v>0</v>
      </c>
      <c r="L28" s="166">
        <f>'Cálculos iluminancia'!GS71/1000</f>
        <v>0</v>
      </c>
      <c r="M28" s="166">
        <f>'Cálculos iluminancia'!IZ71/1000</f>
        <v>0</v>
      </c>
      <c r="N28" s="180">
        <f>'Cálculos iluminancia'!LG71/1000</f>
        <v>0</v>
      </c>
    </row>
    <row r="29" spans="2:29" ht="15.75" thickBot="1" x14ac:dyDescent="0.3">
      <c r="B29" s="228">
        <v>1</v>
      </c>
      <c r="C29" s="181">
        <f>'Cálculos iluminancia'!X41/1000</f>
        <v>0</v>
      </c>
      <c r="D29" s="182">
        <f>'Cálculos iluminancia'!CE41/1000</f>
        <v>0</v>
      </c>
      <c r="E29" s="182">
        <f>'Cálculos iluminancia'!EL41/1000</f>
        <v>0</v>
      </c>
      <c r="F29" s="182">
        <f>'Cálculos iluminancia'!GS41/1000</f>
        <v>0</v>
      </c>
      <c r="G29" s="182">
        <f>'Cálculos iluminancia'!IZ41/1000</f>
        <v>0</v>
      </c>
      <c r="H29" s="182">
        <f>'Cálculos iluminancia'!LG41/1000</f>
        <v>0</v>
      </c>
      <c r="I29" s="182">
        <f>'Cálculos iluminancia'!X72/1000</f>
        <v>0</v>
      </c>
      <c r="J29" s="182">
        <f>'Cálculos iluminancia'!CE72/1000</f>
        <v>0</v>
      </c>
      <c r="K29" s="182">
        <f>'Cálculos iluminancia'!EL72/1000</f>
        <v>0</v>
      </c>
      <c r="L29" s="182">
        <f>'Cálculos iluminancia'!GS72/1000</f>
        <v>0</v>
      </c>
      <c r="M29" s="182">
        <f>'Cálculos iluminancia'!IZ72/1000</f>
        <v>0</v>
      </c>
      <c r="N29" s="183">
        <f>'Cálculos iluminancia'!LG72/1000</f>
        <v>0</v>
      </c>
    </row>
    <row r="30" spans="2:29" x14ac:dyDescent="0.25">
      <c r="AC30" s="104"/>
    </row>
    <row r="31" spans="2:29" x14ac:dyDescent="0.25">
      <c r="B31" s="297" t="s">
        <v>216</v>
      </c>
      <c r="C31" s="297"/>
      <c r="D31" s="297"/>
      <c r="E31" s="297"/>
      <c r="F31" s="297"/>
      <c r="G31" s="297"/>
      <c r="H31" s="297"/>
      <c r="I31" s="297"/>
      <c r="J31" s="297"/>
      <c r="K31" s="297"/>
      <c r="L31" s="297"/>
      <c r="M31" s="297"/>
      <c r="N31" s="297"/>
    </row>
    <row r="32" spans="2:29" x14ac:dyDescent="0.25">
      <c r="B32" s="298" t="s">
        <v>1</v>
      </c>
      <c r="C32" s="299"/>
      <c r="D32" s="213" t="str">
        <f>D3</f>
        <v>Hermosillo, Son.</v>
      </c>
      <c r="E32" s="214"/>
      <c r="F32" s="298" t="s">
        <v>170</v>
      </c>
      <c r="G32" s="299"/>
      <c r="H32" s="216">
        <f>H3</f>
        <v>29.08</v>
      </c>
      <c r="I32" s="298" t="s">
        <v>202</v>
      </c>
      <c r="J32" s="299"/>
      <c r="K32" s="215">
        <f>K3</f>
        <v>-110.93</v>
      </c>
      <c r="L32" s="298" t="s">
        <v>201</v>
      </c>
      <c r="M32" s="299"/>
      <c r="N32" s="215">
        <f>N3</f>
        <v>211</v>
      </c>
    </row>
    <row r="33" spans="2:14" x14ac:dyDescent="0.25">
      <c r="B33" s="208"/>
      <c r="C33" s="338" t="s">
        <v>219</v>
      </c>
      <c r="D33" s="339"/>
      <c r="E33" s="339"/>
      <c r="F33" s="339"/>
      <c r="G33" s="339"/>
      <c r="H33" s="339"/>
      <c r="I33" s="339"/>
      <c r="J33" s="339"/>
      <c r="K33" s="339"/>
      <c r="L33" s="339"/>
      <c r="M33" s="339"/>
      <c r="N33" s="340"/>
    </row>
    <row r="34" spans="2:14" ht="15.75" thickBot="1" x14ac:dyDescent="0.3">
      <c r="B34" s="210" t="s">
        <v>195</v>
      </c>
      <c r="C34" s="211" t="s">
        <v>5</v>
      </c>
      <c r="D34" s="211" t="s">
        <v>6</v>
      </c>
      <c r="E34" s="211" t="s">
        <v>7</v>
      </c>
      <c r="F34" s="211" t="s">
        <v>8</v>
      </c>
      <c r="G34" s="211" t="s">
        <v>9</v>
      </c>
      <c r="H34" s="211" t="s">
        <v>10</v>
      </c>
      <c r="I34" s="211" t="s">
        <v>11</v>
      </c>
      <c r="J34" s="211" t="s">
        <v>12</v>
      </c>
      <c r="K34" s="211" t="s">
        <v>13</v>
      </c>
      <c r="L34" s="211" t="s">
        <v>14</v>
      </c>
      <c r="M34" s="211" t="s">
        <v>15</v>
      </c>
      <c r="N34" s="211" t="s">
        <v>16</v>
      </c>
    </row>
    <row r="35" spans="2:14" x14ac:dyDescent="0.25">
      <c r="B35" s="228">
        <v>4.1666666666666699E-2</v>
      </c>
      <c r="C35" s="176">
        <f>'Cálculos iluminancia'!AD18/1000</f>
        <v>0</v>
      </c>
      <c r="D35" s="177">
        <f>'Cálculos iluminancia'!CK18/1000</f>
        <v>0</v>
      </c>
      <c r="E35" s="177">
        <f>'Cálculos iluminancia'!ER18/1000</f>
        <v>0</v>
      </c>
      <c r="F35" s="177">
        <f>'Cálculos iluminancia'!GY18/1000</f>
        <v>0</v>
      </c>
      <c r="G35" s="177">
        <f>'Cálculos iluminancia'!JF18/1000</f>
        <v>0</v>
      </c>
      <c r="H35" s="177">
        <f>'Cálculos iluminancia'!LM18/1000</f>
        <v>0</v>
      </c>
      <c r="I35" s="177">
        <f>'Cálculos iluminancia'!AD49/1000</f>
        <v>0</v>
      </c>
      <c r="J35" s="177">
        <f>'Cálculos iluminancia'!CK49/1000</f>
        <v>0</v>
      </c>
      <c r="K35" s="177">
        <f>'Cálculos iluminancia'!ER49/1000</f>
        <v>0</v>
      </c>
      <c r="L35" s="177">
        <f>'Cálculos iluminancia'!GY49/1000</f>
        <v>0</v>
      </c>
      <c r="M35" s="177">
        <f>'Cálculos iluminancia'!JF49/1000</f>
        <v>0</v>
      </c>
      <c r="N35" s="178">
        <f>'Cálculos iluminancia'!LM49/1000</f>
        <v>0</v>
      </c>
    </row>
    <row r="36" spans="2:14" x14ac:dyDescent="0.25">
      <c r="B36" s="228">
        <v>8.3333333333333301E-2</v>
      </c>
      <c r="C36" s="179">
        <f>'Cálculos iluminancia'!AD19/1000</f>
        <v>0</v>
      </c>
      <c r="D36" s="166">
        <f>'Cálculos iluminancia'!CK19/1000</f>
        <v>0</v>
      </c>
      <c r="E36" s="166">
        <f>'Cálculos iluminancia'!ER19/1000</f>
        <v>0</v>
      </c>
      <c r="F36" s="166">
        <f>'Cálculos iluminancia'!GY19/1000</f>
        <v>0</v>
      </c>
      <c r="G36" s="166">
        <f>'Cálculos iluminancia'!JF19/1000</f>
        <v>0</v>
      </c>
      <c r="H36" s="166">
        <f>'Cálculos iluminancia'!LM19/1000</f>
        <v>0</v>
      </c>
      <c r="I36" s="166">
        <f>'Cálculos iluminancia'!AD50/1000</f>
        <v>0</v>
      </c>
      <c r="J36" s="166">
        <f>'Cálculos iluminancia'!CK50/1000</f>
        <v>0</v>
      </c>
      <c r="K36" s="166">
        <f>'Cálculos iluminancia'!ER50/1000</f>
        <v>0</v>
      </c>
      <c r="L36" s="166">
        <f>'Cálculos iluminancia'!GY50/1000</f>
        <v>0</v>
      </c>
      <c r="M36" s="166">
        <f>'Cálculos iluminancia'!JF50/1000</f>
        <v>0</v>
      </c>
      <c r="N36" s="180">
        <f>'Cálculos iluminancia'!LM50/1000</f>
        <v>0</v>
      </c>
    </row>
    <row r="37" spans="2:14" x14ac:dyDescent="0.25">
      <c r="B37" s="228">
        <v>0.125</v>
      </c>
      <c r="C37" s="179">
        <f>'Cálculos iluminancia'!AD20/1000</f>
        <v>0</v>
      </c>
      <c r="D37" s="166">
        <f>'Cálculos iluminancia'!CK20/1000</f>
        <v>0</v>
      </c>
      <c r="E37" s="166">
        <f>'Cálculos iluminancia'!ER20/1000</f>
        <v>0</v>
      </c>
      <c r="F37" s="166">
        <f>'Cálculos iluminancia'!GY20/1000</f>
        <v>0</v>
      </c>
      <c r="G37" s="166">
        <f>'Cálculos iluminancia'!JF20/1000</f>
        <v>0</v>
      </c>
      <c r="H37" s="166">
        <f>'Cálculos iluminancia'!LM20/1000</f>
        <v>0</v>
      </c>
      <c r="I37" s="166">
        <f>'Cálculos iluminancia'!AD51/1000</f>
        <v>0</v>
      </c>
      <c r="J37" s="166">
        <f>'Cálculos iluminancia'!CK51/1000</f>
        <v>0</v>
      </c>
      <c r="K37" s="166">
        <f>'Cálculos iluminancia'!ER51/1000</f>
        <v>0</v>
      </c>
      <c r="L37" s="166">
        <f>'Cálculos iluminancia'!GY51/1000</f>
        <v>0</v>
      </c>
      <c r="M37" s="166">
        <f>'Cálculos iluminancia'!JF51/1000</f>
        <v>0</v>
      </c>
      <c r="N37" s="180">
        <f>'Cálculos iluminancia'!LM51/1000</f>
        <v>0</v>
      </c>
    </row>
    <row r="38" spans="2:14" x14ac:dyDescent="0.25">
      <c r="B38" s="228">
        <v>0.16666666666666699</v>
      </c>
      <c r="C38" s="179">
        <f>'Cálculos iluminancia'!AD21/1000</f>
        <v>0</v>
      </c>
      <c r="D38" s="166">
        <f>'Cálculos iluminancia'!CK21/1000</f>
        <v>0</v>
      </c>
      <c r="E38" s="166">
        <f>'Cálculos iluminancia'!ER21/1000</f>
        <v>0</v>
      </c>
      <c r="F38" s="166">
        <f>'Cálculos iluminancia'!GY21/1000</f>
        <v>0</v>
      </c>
      <c r="G38" s="166">
        <f>'Cálculos iluminancia'!JF21/1000</f>
        <v>0</v>
      </c>
      <c r="H38" s="166">
        <f>'Cálculos iluminancia'!LM21/1000</f>
        <v>0</v>
      </c>
      <c r="I38" s="166">
        <f>'Cálculos iluminancia'!AD52/1000</f>
        <v>0</v>
      </c>
      <c r="J38" s="166">
        <f>'Cálculos iluminancia'!CK52/1000</f>
        <v>0</v>
      </c>
      <c r="K38" s="166">
        <f>'Cálculos iluminancia'!ER52/1000</f>
        <v>0</v>
      </c>
      <c r="L38" s="166">
        <f>'Cálculos iluminancia'!GY52/1000</f>
        <v>0</v>
      </c>
      <c r="M38" s="166">
        <f>'Cálculos iluminancia'!JF52/1000</f>
        <v>0</v>
      </c>
      <c r="N38" s="180">
        <f>'Cálculos iluminancia'!LM52/1000</f>
        <v>0</v>
      </c>
    </row>
    <row r="39" spans="2:14" x14ac:dyDescent="0.25">
      <c r="B39" s="228">
        <v>0.20833333333333301</v>
      </c>
      <c r="C39" s="179">
        <f>'Cálculos iluminancia'!AD22/1000</f>
        <v>0</v>
      </c>
      <c r="D39" s="166">
        <f>'Cálculos iluminancia'!CK22/1000</f>
        <v>0</v>
      </c>
      <c r="E39" s="166">
        <f>'Cálculos iluminancia'!ER22/1000</f>
        <v>0</v>
      </c>
      <c r="F39" s="166">
        <f>'Cálculos iluminancia'!GY22/1000</f>
        <v>0</v>
      </c>
      <c r="G39" s="166">
        <f>'Cálculos iluminancia'!JF22/1000</f>
        <v>0</v>
      </c>
      <c r="H39" s="166">
        <f>'Cálculos iluminancia'!LM22/1000</f>
        <v>0</v>
      </c>
      <c r="I39" s="166">
        <f>'Cálculos iluminancia'!AD53/1000</f>
        <v>0</v>
      </c>
      <c r="J39" s="166">
        <f>'Cálculos iluminancia'!CK53/1000</f>
        <v>0</v>
      </c>
      <c r="K39" s="166">
        <f>'Cálculos iluminancia'!ER53/1000</f>
        <v>0</v>
      </c>
      <c r="L39" s="166">
        <f>'Cálculos iluminancia'!GY53/1000</f>
        <v>0</v>
      </c>
      <c r="M39" s="166">
        <f>'Cálculos iluminancia'!JF53/1000</f>
        <v>0</v>
      </c>
      <c r="N39" s="180">
        <f>'Cálculos iluminancia'!LM53/1000</f>
        <v>0</v>
      </c>
    </row>
    <row r="40" spans="2:14" x14ac:dyDescent="0.25">
      <c r="B40" s="228">
        <v>0.25</v>
      </c>
      <c r="C40" s="179">
        <f>'Cálculos iluminancia'!AD23/1000</f>
        <v>0</v>
      </c>
      <c r="D40" s="166">
        <f>'Cálculos iluminancia'!CK23/1000</f>
        <v>0</v>
      </c>
      <c r="E40" s="166">
        <f>'Cálculos iluminancia'!ER23/1000</f>
        <v>0</v>
      </c>
      <c r="F40" s="166">
        <f>'Cálculos iluminancia'!GY23/1000</f>
        <v>3.4683668740714202</v>
      </c>
      <c r="G40" s="166">
        <f>'Cálculos iluminancia'!JF23/1000</f>
        <v>3.2969896515205983</v>
      </c>
      <c r="H40" s="166">
        <f>'Cálculos iluminancia'!LM23/1000</f>
        <v>3.6150036338099656</v>
      </c>
      <c r="I40" s="166">
        <f>'Cálculos iluminancia'!AD54/1000</f>
        <v>6.4214929438384178</v>
      </c>
      <c r="J40" s="166">
        <f>'Cálculos iluminancia'!CK54/1000</f>
        <v>3.92703149276478</v>
      </c>
      <c r="K40" s="166">
        <f>'Cálculos iluminancia'!ER54/1000</f>
        <v>0</v>
      </c>
      <c r="L40" s="166">
        <f>'Cálculos iluminancia'!GY54/1000</f>
        <v>0</v>
      </c>
      <c r="M40" s="166">
        <f>'Cálculos iluminancia'!JF54/1000</f>
        <v>0</v>
      </c>
      <c r="N40" s="180">
        <f>'Cálculos iluminancia'!LM54/1000</f>
        <v>0</v>
      </c>
    </row>
    <row r="41" spans="2:14" x14ac:dyDescent="0.25">
      <c r="B41" s="228">
        <v>0.29166666666666702</v>
      </c>
      <c r="C41" s="179">
        <f>'Cálculos iluminancia'!AD24/1000</f>
        <v>1.6132882352961984</v>
      </c>
      <c r="D41" s="166">
        <f>'Cálculos iluminancia'!CK24/1000</f>
        <v>4.7362970104832076</v>
      </c>
      <c r="E41" s="166">
        <f>'Cálculos iluminancia'!ER24/1000</f>
        <v>8.3754897901168999</v>
      </c>
      <c r="F41" s="166">
        <f>'Cálculos iluminancia'!GY24/1000</f>
        <v>10.555584965720096</v>
      </c>
      <c r="G41" s="166">
        <f>'Cálculos iluminancia'!JF24/1000</f>
        <v>7.0371450801171314</v>
      </c>
      <c r="H41" s="166">
        <f>'Cálculos iluminancia'!LM24/1000</f>
        <v>7.0603470774851154</v>
      </c>
      <c r="I41" s="166">
        <f>'Cálculos iluminancia'!AD55/1000</f>
        <v>13.739627544766188</v>
      </c>
      <c r="J41" s="166">
        <f>'Cálculos iluminancia'!CK55/1000</f>
        <v>12.090275334051526</v>
      </c>
      <c r="K41" s="166">
        <f>'Cálculos iluminancia'!ER55/1000</f>
        <v>6.2487032772263413</v>
      </c>
      <c r="L41" s="166">
        <f>'Cálculos iluminancia'!GY55/1000</f>
        <v>2.6685857963632591</v>
      </c>
      <c r="M41" s="166">
        <f>'Cálculos iluminancia'!JF55/1000</f>
        <v>1.1278757546344444</v>
      </c>
      <c r="N41" s="180">
        <f>'Cálculos iluminancia'!LM55/1000</f>
        <v>0.51206154340921994</v>
      </c>
    </row>
    <row r="42" spans="2:14" x14ac:dyDescent="0.25">
      <c r="B42" s="228">
        <v>0.33333333333333298</v>
      </c>
      <c r="C42" s="179">
        <f>'Cálculos iluminancia'!AD25/1000</f>
        <v>8.2037536324341449</v>
      </c>
      <c r="D42" s="166">
        <f>'Cálculos iluminancia'!CK25/1000</f>
        <v>11.759761125977706</v>
      </c>
      <c r="E42" s="166">
        <f>'Cálculos iluminancia'!ER25/1000</f>
        <v>15.483351279263992</v>
      </c>
      <c r="F42" s="166">
        <f>'Cálculos iluminancia'!GY25/1000</f>
        <v>16.580864655397061</v>
      </c>
      <c r="G42" s="166">
        <f>'Cálculos iluminancia'!JF25/1000</f>
        <v>10.089637723691038</v>
      </c>
      <c r="H42" s="166">
        <f>'Cálculos iluminancia'!LM25/1000</f>
        <v>9.8782078358672738</v>
      </c>
      <c r="I42" s="166">
        <f>'Cálculos iluminancia'!AD56/1000</f>
        <v>19.992513282845255</v>
      </c>
      <c r="J42" s="166">
        <f>'Cálculos iluminancia'!CK56/1000</f>
        <v>19.025619985255062</v>
      </c>
      <c r="K42" s="166">
        <f>'Cálculos iluminancia'!ER56/1000</f>
        <v>11.302488959462167</v>
      </c>
      <c r="L42" s="166">
        <f>'Cálculos iluminancia'!GY56/1000</f>
        <v>6.7487995246442125</v>
      </c>
      <c r="M42" s="166">
        <f>'Cálculos iluminancia'!JF56/1000</f>
        <v>5.9845113297400436</v>
      </c>
      <c r="N42" s="180">
        <f>'Cálculos iluminancia'!LM56/1000</f>
        <v>6.9305580966304836</v>
      </c>
    </row>
    <row r="43" spans="2:14" x14ac:dyDescent="0.25">
      <c r="B43" s="228">
        <v>0.375</v>
      </c>
      <c r="C43" s="179">
        <f>'Cálculos iluminancia'!AD26/1000</f>
        <v>13.395021500616647</v>
      </c>
      <c r="D43" s="166">
        <f>'Cálculos iluminancia'!CK26/1000</f>
        <v>17.276422248261369</v>
      </c>
      <c r="E43" s="166">
        <f>'Cálculos iluminancia'!ER26/1000</f>
        <v>21.032594924735779</v>
      </c>
      <c r="F43" s="166">
        <f>'Cálculos iluminancia'!GY26/1000</f>
        <v>21.301354563899604</v>
      </c>
      <c r="G43" s="166">
        <f>'Cálculos iluminancia'!JF26/1000</f>
        <v>12.377504204495651</v>
      </c>
      <c r="H43" s="166">
        <f>'Cálculos iluminancia'!LM26/1000</f>
        <v>11.995192474808395</v>
      </c>
      <c r="I43" s="166">
        <f>'Cálculos iluminancia'!AD57/1000</f>
        <v>24.92790712144949</v>
      </c>
      <c r="J43" s="166">
        <f>'Cálculos iluminancia'!CK57/1000</f>
        <v>24.506168982332984</v>
      </c>
      <c r="K43" s="166">
        <f>'Cálculos iluminancia'!ER57/1000</f>
        <v>15.044819515089854</v>
      </c>
      <c r="L43" s="166">
        <f>'Cálculos iluminancia'!GY57/1000</f>
        <v>9.8573689594709979</v>
      </c>
      <c r="M43" s="166">
        <f>'Cálculos iluminancia'!JF57/1000</f>
        <v>9.7244991382498078</v>
      </c>
      <c r="N43" s="180">
        <f>'Cálculos iluminancia'!LM57/1000</f>
        <v>11.977460585438147</v>
      </c>
    </row>
    <row r="44" spans="2:14" x14ac:dyDescent="0.25">
      <c r="B44" s="228">
        <v>0.41666666666666702</v>
      </c>
      <c r="C44" s="179">
        <f>'Cálculos iluminancia'!AD27/1000</f>
        <v>17.111975090229244</v>
      </c>
      <c r="D44" s="166">
        <f>'Cálculos iluminancia'!CK27/1000</f>
        <v>21.19823596474237</v>
      </c>
      <c r="E44" s="166">
        <f>'Cálculos iluminancia'!ER27/1000</f>
        <v>24.952667050815897</v>
      </c>
      <c r="F44" s="166">
        <f>'Cálculos iluminancia'!GY27/1000</f>
        <v>24.631668443563903</v>
      </c>
      <c r="G44" s="166">
        <f>'Cálculos iluminancia'!JF27/1000</f>
        <v>13.922619432687148</v>
      </c>
      <c r="H44" s="166">
        <f>'Cálculos iluminancia'!LM27/1000</f>
        <v>13.42765517894639</v>
      </c>
      <c r="I44" s="166">
        <f>'Cálculos iluminancia'!AD58/1000</f>
        <v>28.402844911066889</v>
      </c>
      <c r="J44" s="166">
        <f>'Cálculos iluminancia'!CK58/1000</f>
        <v>28.387622328017837</v>
      </c>
      <c r="K44" s="166">
        <f>'Cálculos iluminancia'!ER58/1000</f>
        <v>17.208461084274944</v>
      </c>
      <c r="L44" s="166">
        <f>'Cálculos iluminancia'!GY58/1000</f>
        <v>11.99501003241326</v>
      </c>
      <c r="M44" s="166">
        <f>'Cálculos iluminancia'!JF58/1000</f>
        <v>12.322464055293594</v>
      </c>
      <c r="N44" s="180">
        <f>'Cálculos iluminancia'!LM58/1000</f>
        <v>15.10872441561596</v>
      </c>
    </row>
    <row r="45" spans="2:14" x14ac:dyDescent="0.25">
      <c r="B45" s="228">
        <v>0.45833333333333298</v>
      </c>
      <c r="C45" s="179">
        <f>'Cálculos iluminancia'!AD28/1000</f>
        <v>19.335003183217154</v>
      </c>
      <c r="D45" s="166">
        <f>'Cálculos iluminancia'!CK28/1000</f>
        <v>23.524484598471275</v>
      </c>
      <c r="E45" s="166">
        <f>'Cálculos iluminancia'!ER28/1000</f>
        <v>27.252248264731271</v>
      </c>
      <c r="F45" s="166">
        <f>'Cálculos iluminancia'!GY28/1000</f>
        <v>24.158053131643719</v>
      </c>
      <c r="G45" s="166">
        <f>'Cálculos iluminancia'!JF28/1000</f>
        <v>14.798032065986211</v>
      </c>
      <c r="H45" s="166">
        <f>'Cálculos iluminancia'!LM28/1000</f>
        <v>14.24020654257555</v>
      </c>
      <c r="I45" s="166">
        <f>'Cálculos iluminancia'!AD59/1000</f>
        <v>30.402114970643982</v>
      </c>
      <c r="J45" s="166">
        <f>'Cálculos iluminancia'!CK59/1000</f>
        <v>30.639245385205335</v>
      </c>
      <c r="K45" s="166">
        <f>'Cálculos iluminancia'!ER59/1000</f>
        <v>18.645385998815279</v>
      </c>
      <c r="L45" s="166">
        <f>'Cálculos iluminancia'!GY59/1000</f>
        <v>13.228305733504961</v>
      </c>
      <c r="M45" s="166">
        <f>'Cálculos iluminancia'!JF59/1000</f>
        <v>13.834997526424953</v>
      </c>
      <c r="N45" s="180">
        <f>'Cálculos iluminancia'!LM59/1000</f>
        <v>17.025289899619441</v>
      </c>
    </row>
    <row r="46" spans="2:14" x14ac:dyDescent="0.25">
      <c r="B46" s="228">
        <v>0.5</v>
      </c>
      <c r="C46" s="179">
        <f>'Cálculos iluminancia'!AD29/1000</f>
        <v>20.073603482178818</v>
      </c>
      <c r="D46" s="166">
        <f>'Cálculos iluminancia'!CK29/1000</f>
        <v>24.286018031511322</v>
      </c>
      <c r="E46" s="166">
        <f>'Cálculos iluminancia'!ER29/1000</f>
        <v>27.986580031191099</v>
      </c>
      <c r="F46" s="166">
        <f>'Cálculos iluminancia'!GY29/1000</f>
        <v>24.593973467627496</v>
      </c>
      <c r="G46" s="166">
        <f>'Cálculos iluminancia'!JF29/1000</f>
        <v>15.077690826292086</v>
      </c>
      <c r="H46" s="166">
        <f>'Cálculos iluminancia'!LM29/1000</f>
        <v>14.499841726463609</v>
      </c>
      <c r="I46" s="166">
        <f>'Cálculos iluminancia'!AD60/1000</f>
        <v>31.016136759582007</v>
      </c>
      <c r="J46" s="166">
        <f>'Cálculos iluminancia'!CK60/1000</f>
        <v>31.337086658316231</v>
      </c>
      <c r="K46" s="166">
        <f>'Cálculos iluminancia'!ER60/1000</f>
        <v>19.107261993284254</v>
      </c>
      <c r="L46" s="166">
        <f>'Cálculos iluminancia'!GY60/1000</f>
        <v>13.62868275537668</v>
      </c>
      <c r="M46" s="166">
        <f>'Cálculos iluminancia'!JF60/1000</f>
        <v>14.329508402038604</v>
      </c>
      <c r="N46" s="180">
        <f>'Cálculos iluminancia'!LM60/1000</f>
        <v>17.649060008688469</v>
      </c>
    </row>
    <row r="47" spans="2:14" x14ac:dyDescent="0.25">
      <c r="B47" s="228">
        <v>0.54166666666666696</v>
      </c>
      <c r="C47" s="179">
        <f>'Cálculos iluminancia'!AD30/1000</f>
        <v>19.342473192586464</v>
      </c>
      <c r="D47" s="166">
        <f>'Cálculos iluminancia'!CK30/1000</f>
        <v>23.517839089632616</v>
      </c>
      <c r="E47" s="166">
        <f>'Cálculos iluminancia'!ER30/1000</f>
        <v>27.218638616257063</v>
      </c>
      <c r="F47" s="166">
        <f>'Cálculos iluminancia'!GY30/1000</f>
        <v>24.130390404370953</v>
      </c>
      <c r="G47" s="166">
        <f>'Cálculos iluminancia'!JF30/1000</f>
        <v>14.794212589046403</v>
      </c>
      <c r="H47" s="166">
        <f>'Cálculos iluminancia'!LM30/1000</f>
        <v>14.236347521569479</v>
      </c>
      <c r="I47" s="166">
        <f>'Cálculos iluminancia'!AD61/1000</f>
        <v>30.333823858107259</v>
      </c>
      <c r="J47" s="166">
        <f>'Cálculos iluminancia'!CK61/1000</f>
        <v>30.571767389890873</v>
      </c>
      <c r="K47" s="166">
        <f>'Cálculos iluminancia'!ER61/1000</f>
        <v>18.642424089805189</v>
      </c>
      <c r="L47" s="166">
        <f>'Cálculos iluminancia'!GY61/1000</f>
        <v>13.227454544219766</v>
      </c>
      <c r="M47" s="166">
        <f>'Cálculos iluminancia'!JF61/1000</f>
        <v>13.835444557083337</v>
      </c>
      <c r="N47" s="180">
        <f>'Cálculos iluminancia'!LM61/1000</f>
        <v>17.029830746275245</v>
      </c>
    </row>
    <row r="48" spans="2:14" x14ac:dyDescent="0.25">
      <c r="B48" s="228">
        <v>0.58333333333333304</v>
      </c>
      <c r="C48" s="179">
        <f>'Cálculos iluminancia'!AD31/1000</f>
        <v>17.140118574159164</v>
      </c>
      <c r="D48" s="166">
        <f>'Cálculos iluminancia'!CK31/1000</f>
        <v>21.219275022105638</v>
      </c>
      <c r="E48" s="166">
        <f>'Cálculos iluminancia'!ER31/1000</f>
        <v>24.951016845754918</v>
      </c>
      <c r="F48" s="166">
        <f>'Cálculos iluminancia'!GY31/1000</f>
        <v>24.600450460021086</v>
      </c>
      <c r="G48" s="166">
        <f>'Cálculos iluminancia'!JF31/1000</f>
        <v>13.919776420240318</v>
      </c>
      <c r="H48" s="166">
        <f>'Cálculos iluminancia'!LM31/1000</f>
        <v>13.424565371492429</v>
      </c>
      <c r="I48" s="166">
        <f>'Cálculos iluminancia'!AD62/1000</f>
        <v>28.350802600815481</v>
      </c>
      <c r="J48" s="166">
        <f>'Cálculos iluminancia'!CK62/1000</f>
        <v>28.348511942993731</v>
      </c>
      <c r="K48" s="166">
        <f>'Cálculos iluminancia'!ER62/1000</f>
        <v>17.208124379143769</v>
      </c>
      <c r="L48" s="166">
        <f>'Cálculos iluminancia'!GY62/1000</f>
        <v>11.996411501438468</v>
      </c>
      <c r="M48" s="166">
        <f>'Cálculos iluminancia'!JF62/1000</f>
        <v>12.324865982163761</v>
      </c>
      <c r="N48" s="180">
        <f>'Cálculos iluminancia'!LM62/1000</f>
        <v>15.122033265830787</v>
      </c>
    </row>
    <row r="49" spans="2:29" x14ac:dyDescent="0.25">
      <c r="B49" s="228">
        <v>0.625</v>
      </c>
      <c r="C49" s="179">
        <f>'Cálculos iluminancia'!AD32/1000</f>
        <v>13.442229325980248</v>
      </c>
      <c r="D49" s="166">
        <f>'Cálculos iluminancia'!CK32/1000</f>
        <v>17.338899423912487</v>
      </c>
      <c r="E49" s="166">
        <f>'Cálculos iluminancia'!ER32/1000</f>
        <v>21.104706182977225</v>
      </c>
      <c r="F49" s="166">
        <f>'Cálculos iluminancia'!GY32/1000</f>
        <v>21.36029797301433</v>
      </c>
      <c r="G49" s="166">
        <f>'Cálculos iluminancia'!JF32/1000</f>
        <v>12.38023485129408</v>
      </c>
      <c r="H49" s="166">
        <f>'Cálculos iluminancia'!LM32/1000</f>
        <v>11.997805947460723</v>
      </c>
      <c r="I49" s="166">
        <f>'Cálculos iluminancia'!AD63/1000</f>
        <v>24.982336262936375</v>
      </c>
      <c r="J49" s="166">
        <f>'Cálculos iluminancia'!CK63/1000</f>
        <v>24.584911894082904</v>
      </c>
      <c r="K49" s="166">
        <f>'Cálculos iluminancia'!ER63/1000</f>
        <v>15.079295283115108</v>
      </c>
      <c r="L49" s="166">
        <f>'Cálculos iluminancia'!GY63/1000</f>
        <v>9.8624412192268149</v>
      </c>
      <c r="M49" s="166">
        <f>'Cálculos iluminancia'!JF63/1000</f>
        <v>9.7289000980931544</v>
      </c>
      <c r="N49" s="180">
        <f>'Cálculos iluminancia'!LM63/1000</f>
        <v>12.017769203342587</v>
      </c>
    </row>
    <row r="50" spans="2:29" x14ac:dyDescent="0.25">
      <c r="B50" s="228">
        <v>0.66666666666666696</v>
      </c>
      <c r="C50" s="179">
        <f>'Cálculos iluminancia'!AD33/1000</f>
        <v>8.2447318911094811</v>
      </c>
      <c r="D50" s="166">
        <f>'Cálculos iluminancia'!CK33/1000</f>
        <v>11.83057011568866</v>
      </c>
      <c r="E50" s="166">
        <f>'Cálculos iluminancia'!ER33/1000</f>
        <v>15.593111085994824</v>
      </c>
      <c r="F50" s="166">
        <f>'Cálculos iluminancia'!GY33/1000</f>
        <v>16.707379887806265</v>
      </c>
      <c r="G50" s="166">
        <f>'Cálculos iluminancia'!JF33/1000</f>
        <v>10.097519917833282</v>
      </c>
      <c r="H50" s="166">
        <f>'Cálculos iluminancia'!LM33/1000</f>
        <v>9.8867386661440566</v>
      </c>
      <c r="I50" s="166">
        <f>'Cálculos iluminancia'!AD64/1000</f>
        <v>20.156083477724042</v>
      </c>
      <c r="J50" s="166">
        <f>'Cálculos iluminancia'!CK64/1000</f>
        <v>19.204351225634959</v>
      </c>
      <c r="K50" s="166">
        <f>'Cálculos iluminancia'!ER64/1000</f>
        <v>11.358023371470845</v>
      </c>
      <c r="L50" s="166">
        <f>'Cálculos iluminancia'!GY64/1000</f>
        <v>6.7547794576411366</v>
      </c>
      <c r="M50" s="166">
        <f>'Cálculos iluminancia'!JF64/1000</f>
        <v>5.9884537814530532</v>
      </c>
      <c r="N50" s="180">
        <f>'Cálculos iluminancia'!LM64/1000</f>
        <v>6.9462896028814898</v>
      </c>
    </row>
    <row r="51" spans="2:29" x14ac:dyDescent="0.25">
      <c r="B51" s="228">
        <v>0.70833333333333304</v>
      </c>
      <c r="C51" s="179">
        <f>'Cálculos iluminancia'!AD34/1000</f>
        <v>1.6140931640583054</v>
      </c>
      <c r="D51" s="166">
        <f>'Cálculos iluminancia'!CK34/1000</f>
        <v>4.7694288353246872</v>
      </c>
      <c r="E51" s="166">
        <f>'Cálculos iluminancia'!ER34/1000</f>
        <v>8.4502926654821877</v>
      </c>
      <c r="F51" s="166">
        <f>'Cálculos iluminancia'!GY34/1000</f>
        <v>10.667622735735558</v>
      </c>
      <c r="G51" s="166">
        <f>'Cálculos iluminancia'!JF34/1000</f>
        <v>7.0453487074761396</v>
      </c>
      <c r="H51" s="166">
        <f>'Cálculos iluminancia'!LM34/1000</f>
        <v>7.0699235101217468</v>
      </c>
      <c r="I51" s="166">
        <f>'Cálculos iluminancia'!AD65/1000</f>
        <v>13.918088342477198</v>
      </c>
      <c r="J51" s="166">
        <f>'Cálculos iluminancia'!CK65/1000</f>
        <v>12.256436808554467</v>
      </c>
      <c r="K51" s="166">
        <f>'Cálculos iluminancia'!ER65/1000</f>
        <v>6.2878850085791456</v>
      </c>
      <c r="L51" s="166">
        <f>'Cálculos iluminancia'!GY65/1000</f>
        <v>2.6713632312216378</v>
      </c>
      <c r="M51" s="166">
        <f>'Cálculos iluminancia'!JF65/1000</f>
        <v>1.1286908880375992</v>
      </c>
      <c r="N51" s="180">
        <f>'Cálculos iluminancia'!LM65/1000</f>
        <v>0.51228669540893468</v>
      </c>
    </row>
    <row r="52" spans="2:29" x14ac:dyDescent="0.25">
      <c r="B52" s="228">
        <v>0.75</v>
      </c>
      <c r="C52" s="179">
        <f>'Cálculos iluminancia'!AD35/1000</f>
        <v>0</v>
      </c>
      <c r="D52" s="166">
        <f>'Cálculos iluminancia'!CK35/1000</f>
        <v>0</v>
      </c>
      <c r="E52" s="166">
        <f>'Cálculos iluminancia'!ER35/1000</f>
        <v>0</v>
      </c>
      <c r="F52" s="166">
        <f>'Cálculos iluminancia'!GY35/1000</f>
        <v>3.4866800628799868</v>
      </c>
      <c r="G52" s="166">
        <f>'Cálculos iluminancia'!JF35/1000</f>
        <v>3.3010466415108586</v>
      </c>
      <c r="H52" s="166">
        <f>'Cálculos iluminancia'!LM35/1000</f>
        <v>3.6203589910180569</v>
      </c>
      <c r="I52" s="166">
        <f>'Cálculos iluminancia'!AD66/1000</f>
        <v>6.5133096760054165</v>
      </c>
      <c r="J52" s="166">
        <f>'Cálculos iluminancia'!CK66/1000</f>
        <v>3.9551616173924762</v>
      </c>
      <c r="K52" s="166">
        <f>'Cálculos iluminancia'!ER66/1000</f>
        <v>0</v>
      </c>
      <c r="L52" s="166">
        <f>'Cálculos iluminancia'!GY66/1000</f>
        <v>0</v>
      </c>
      <c r="M52" s="166">
        <f>'Cálculos iluminancia'!JF66/1000</f>
        <v>0</v>
      </c>
      <c r="N52" s="180">
        <f>'Cálculos iluminancia'!LM66/1000</f>
        <v>0</v>
      </c>
    </row>
    <row r="53" spans="2:29" x14ac:dyDescent="0.25">
      <c r="B53" s="228">
        <v>0.79166666666666696</v>
      </c>
      <c r="C53" s="179">
        <f>'Cálculos iluminancia'!AD36/1000</f>
        <v>0</v>
      </c>
      <c r="D53" s="166">
        <f>'Cálculos iluminancia'!CK36/1000</f>
        <v>0</v>
      </c>
      <c r="E53" s="166">
        <f>'Cálculos iluminancia'!ER36/1000</f>
        <v>0</v>
      </c>
      <c r="F53" s="166">
        <f>'Cálculos iluminancia'!GY36/1000</f>
        <v>0</v>
      </c>
      <c r="G53" s="166">
        <f>'Cálculos iluminancia'!JF36/1000</f>
        <v>0</v>
      </c>
      <c r="H53" s="166">
        <f>'Cálculos iluminancia'!LM36/1000</f>
        <v>0</v>
      </c>
      <c r="I53" s="166">
        <f>'Cálculos iluminancia'!AD67/1000</f>
        <v>0</v>
      </c>
      <c r="J53" s="166">
        <f>'Cálculos iluminancia'!CK67/1000</f>
        <v>0</v>
      </c>
      <c r="K53" s="166">
        <f>'Cálculos iluminancia'!ER67/1000</f>
        <v>0</v>
      </c>
      <c r="L53" s="166">
        <f>'Cálculos iluminancia'!GY67/1000</f>
        <v>0</v>
      </c>
      <c r="M53" s="166">
        <f>'Cálculos iluminancia'!JF67/1000</f>
        <v>0</v>
      </c>
      <c r="N53" s="180">
        <f>'Cálculos iluminancia'!LM67/1000</f>
        <v>0</v>
      </c>
    </row>
    <row r="54" spans="2:29" x14ac:dyDescent="0.25">
      <c r="B54" s="228">
        <v>0.83333333333333304</v>
      </c>
      <c r="C54" s="179">
        <f>'Cálculos iluminancia'!AD37/1000</f>
        <v>0</v>
      </c>
      <c r="D54" s="166">
        <f>'Cálculos iluminancia'!CK37/1000</f>
        <v>0</v>
      </c>
      <c r="E54" s="166">
        <f>'Cálculos iluminancia'!ER37/1000</f>
        <v>0</v>
      </c>
      <c r="F54" s="166">
        <f>'Cálculos iluminancia'!GY37/1000</f>
        <v>0</v>
      </c>
      <c r="G54" s="166">
        <f>'Cálculos iluminancia'!JF37/1000</f>
        <v>0</v>
      </c>
      <c r="H54" s="166">
        <f>'Cálculos iluminancia'!LM37/1000</f>
        <v>0</v>
      </c>
      <c r="I54" s="166">
        <f>'Cálculos iluminancia'!AD68/1000</f>
        <v>0</v>
      </c>
      <c r="J54" s="166">
        <f>'Cálculos iluminancia'!CK68/1000</f>
        <v>0</v>
      </c>
      <c r="K54" s="166">
        <f>'Cálculos iluminancia'!ER68/1000</f>
        <v>0</v>
      </c>
      <c r="L54" s="166">
        <f>'Cálculos iluminancia'!GY68/1000</f>
        <v>0</v>
      </c>
      <c r="M54" s="166">
        <f>'Cálculos iluminancia'!JF68/1000</f>
        <v>0</v>
      </c>
      <c r="N54" s="180">
        <f>'Cálculos iluminancia'!LM68/1000</f>
        <v>0</v>
      </c>
    </row>
    <row r="55" spans="2:29" x14ac:dyDescent="0.25">
      <c r="B55" s="228">
        <v>0.875</v>
      </c>
      <c r="C55" s="179">
        <f>'Cálculos iluminancia'!AD38/1000</f>
        <v>0</v>
      </c>
      <c r="D55" s="166">
        <f>'Cálculos iluminancia'!CK38/1000</f>
        <v>0</v>
      </c>
      <c r="E55" s="166">
        <f>'Cálculos iluminancia'!ER38/1000</f>
        <v>0</v>
      </c>
      <c r="F55" s="166">
        <f>'Cálculos iluminancia'!GY38/1000</f>
        <v>0</v>
      </c>
      <c r="G55" s="166">
        <f>'Cálculos iluminancia'!JF38/1000</f>
        <v>0</v>
      </c>
      <c r="H55" s="166">
        <f>'Cálculos iluminancia'!LM38/1000</f>
        <v>0</v>
      </c>
      <c r="I55" s="166">
        <f>'Cálculos iluminancia'!AD69/1000</f>
        <v>0</v>
      </c>
      <c r="J55" s="166">
        <f>'Cálculos iluminancia'!CK69/1000</f>
        <v>0</v>
      </c>
      <c r="K55" s="166">
        <f>'Cálculos iluminancia'!ER69/1000</f>
        <v>0</v>
      </c>
      <c r="L55" s="166">
        <f>'Cálculos iluminancia'!GY69/1000</f>
        <v>0</v>
      </c>
      <c r="M55" s="166">
        <f>'Cálculos iluminancia'!JF69/1000</f>
        <v>0</v>
      </c>
      <c r="N55" s="180">
        <f>'Cálculos iluminancia'!LM69/1000</f>
        <v>0</v>
      </c>
    </row>
    <row r="56" spans="2:29" x14ac:dyDescent="0.25">
      <c r="B56" s="228">
        <v>0.91666666666666696</v>
      </c>
      <c r="C56" s="179">
        <f>'Cálculos iluminancia'!AD39/1000</f>
        <v>0</v>
      </c>
      <c r="D56" s="166">
        <f>'Cálculos iluminancia'!CK39/1000</f>
        <v>0</v>
      </c>
      <c r="E56" s="166">
        <f>'Cálculos iluminancia'!ER39/1000</f>
        <v>0</v>
      </c>
      <c r="F56" s="166">
        <f>'Cálculos iluminancia'!GY39/1000</f>
        <v>0</v>
      </c>
      <c r="G56" s="166">
        <f>'Cálculos iluminancia'!JF39/1000</f>
        <v>0</v>
      </c>
      <c r="H56" s="166">
        <f>'Cálculos iluminancia'!LM39/1000</f>
        <v>0</v>
      </c>
      <c r="I56" s="166">
        <f>'Cálculos iluminancia'!AD70/1000</f>
        <v>0</v>
      </c>
      <c r="J56" s="166">
        <f>'Cálculos iluminancia'!CK70/1000</f>
        <v>0</v>
      </c>
      <c r="K56" s="166">
        <f>'Cálculos iluminancia'!ER70/1000</f>
        <v>0</v>
      </c>
      <c r="L56" s="166">
        <f>'Cálculos iluminancia'!GY70/1000</f>
        <v>0</v>
      </c>
      <c r="M56" s="166">
        <f>'Cálculos iluminancia'!JF70/1000</f>
        <v>0</v>
      </c>
      <c r="N56" s="180">
        <f>'Cálculos iluminancia'!LM70/1000</f>
        <v>0</v>
      </c>
    </row>
    <row r="57" spans="2:29" x14ac:dyDescent="0.25">
      <c r="B57" s="228">
        <v>0.95833333333333304</v>
      </c>
      <c r="C57" s="179">
        <f>'Cálculos iluminancia'!AD40/1000</f>
        <v>0</v>
      </c>
      <c r="D57" s="166">
        <f>'Cálculos iluminancia'!CK40/1000</f>
        <v>0</v>
      </c>
      <c r="E57" s="166">
        <f>'Cálculos iluminancia'!ER40/1000</f>
        <v>0</v>
      </c>
      <c r="F57" s="166">
        <f>'Cálculos iluminancia'!GY40/1000</f>
        <v>0</v>
      </c>
      <c r="G57" s="166">
        <f>'Cálculos iluminancia'!JF40/1000</f>
        <v>0</v>
      </c>
      <c r="H57" s="166">
        <f>'Cálculos iluminancia'!LM40/1000</f>
        <v>0</v>
      </c>
      <c r="I57" s="166">
        <f>'Cálculos iluminancia'!AD71/1000</f>
        <v>0</v>
      </c>
      <c r="J57" s="166">
        <f>'Cálculos iluminancia'!CK71/1000</f>
        <v>0</v>
      </c>
      <c r="K57" s="166">
        <f>'Cálculos iluminancia'!ER71/1000</f>
        <v>0</v>
      </c>
      <c r="L57" s="166">
        <f>'Cálculos iluminancia'!GY71/1000</f>
        <v>0</v>
      </c>
      <c r="M57" s="166">
        <f>'Cálculos iluminancia'!JF71/1000</f>
        <v>0</v>
      </c>
      <c r="N57" s="180">
        <f>'Cálculos iluminancia'!LM71/1000</f>
        <v>0</v>
      </c>
    </row>
    <row r="58" spans="2:29" ht="15.75" thickBot="1" x14ac:dyDescent="0.3">
      <c r="B58" s="228">
        <v>1</v>
      </c>
      <c r="C58" s="181">
        <f>'Cálculos iluminancia'!AD41/1000</f>
        <v>0</v>
      </c>
      <c r="D58" s="182">
        <f>'Cálculos iluminancia'!CK41/1000</f>
        <v>0</v>
      </c>
      <c r="E58" s="182">
        <f>'Cálculos iluminancia'!ER41/1000</f>
        <v>0</v>
      </c>
      <c r="F58" s="182">
        <f>'Cálculos iluminancia'!GY41/1000</f>
        <v>0</v>
      </c>
      <c r="G58" s="182">
        <f>'Cálculos iluminancia'!JF41/1000</f>
        <v>0</v>
      </c>
      <c r="H58" s="182">
        <f>'Cálculos iluminancia'!LM41/1000</f>
        <v>0</v>
      </c>
      <c r="I58" s="182">
        <f>'Cálculos iluminancia'!AD72/1000</f>
        <v>0</v>
      </c>
      <c r="J58" s="182">
        <f>'Cálculos iluminancia'!CK72/1000</f>
        <v>0</v>
      </c>
      <c r="K58" s="182">
        <f>'Cálculos iluminancia'!ER72/1000</f>
        <v>0</v>
      </c>
      <c r="L58" s="182">
        <f>'Cálculos iluminancia'!GY72/1000</f>
        <v>0</v>
      </c>
      <c r="M58" s="182">
        <f>'Cálculos iluminancia'!JF72/1000</f>
        <v>0</v>
      </c>
      <c r="N58" s="183">
        <f>'Cálculos iluminancia'!LM72/1000</f>
        <v>0</v>
      </c>
    </row>
    <row r="59" spans="2:29" x14ac:dyDescent="0.25"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 s="104"/>
      <c r="AB59" s="104"/>
      <c r="AC59" s="104"/>
    </row>
    <row r="60" spans="2:29" x14ac:dyDescent="0.25">
      <c r="B60" s="297" t="s">
        <v>216</v>
      </c>
      <c r="C60" s="297"/>
      <c r="D60" s="297"/>
      <c r="E60" s="297"/>
      <c r="F60" s="297"/>
      <c r="G60" s="297"/>
      <c r="H60" s="297"/>
      <c r="I60" s="297"/>
      <c r="J60" s="297"/>
      <c r="K60" s="297"/>
      <c r="L60" s="297"/>
      <c r="M60" s="297"/>
      <c r="N60" s="297"/>
      <c r="Q60" s="104"/>
      <c r="R60" s="104"/>
      <c r="S60" s="104"/>
      <c r="T60" s="104"/>
      <c r="U60" s="104"/>
      <c r="V60" s="104"/>
      <c r="W60" s="104"/>
      <c r="X60" s="104"/>
      <c r="Y60" s="104"/>
      <c r="Z60" s="104"/>
      <c r="AA60" s="104"/>
      <c r="AB60" s="104"/>
    </row>
    <row r="61" spans="2:29" x14ac:dyDescent="0.25">
      <c r="B61" s="298" t="s">
        <v>1</v>
      </c>
      <c r="C61" s="299"/>
      <c r="D61" s="213" t="str">
        <f>D32</f>
        <v>Hermosillo, Son.</v>
      </c>
      <c r="E61" s="214"/>
      <c r="F61" s="298" t="s">
        <v>170</v>
      </c>
      <c r="G61" s="299"/>
      <c r="H61" s="216">
        <f>H32</f>
        <v>29.08</v>
      </c>
      <c r="I61" s="298" t="s">
        <v>202</v>
      </c>
      <c r="J61" s="299"/>
      <c r="K61" s="215">
        <f>K32</f>
        <v>-110.93</v>
      </c>
      <c r="L61" s="298" t="s">
        <v>201</v>
      </c>
      <c r="M61" s="299"/>
      <c r="N61" s="215">
        <f>N32</f>
        <v>211</v>
      </c>
    </row>
    <row r="62" spans="2:29" x14ac:dyDescent="0.25">
      <c r="B62" s="208"/>
      <c r="C62" s="338" t="s">
        <v>220</v>
      </c>
      <c r="D62" s="339"/>
      <c r="E62" s="339"/>
      <c r="F62" s="339"/>
      <c r="G62" s="339"/>
      <c r="H62" s="339"/>
      <c r="I62" s="339"/>
      <c r="J62" s="339"/>
      <c r="K62" s="339"/>
      <c r="L62" s="339"/>
      <c r="M62" s="339"/>
      <c r="N62" s="340"/>
    </row>
    <row r="63" spans="2:29" ht="15.75" thickBot="1" x14ac:dyDescent="0.3">
      <c r="B63" s="210" t="s">
        <v>195</v>
      </c>
      <c r="C63" s="211" t="s">
        <v>5</v>
      </c>
      <c r="D63" s="211" t="s">
        <v>6</v>
      </c>
      <c r="E63" s="211" t="s">
        <v>7</v>
      </c>
      <c r="F63" s="211" t="s">
        <v>8</v>
      </c>
      <c r="G63" s="211" t="s">
        <v>9</v>
      </c>
      <c r="H63" s="211" t="s">
        <v>10</v>
      </c>
      <c r="I63" s="211" t="s">
        <v>11</v>
      </c>
      <c r="J63" s="211" t="s">
        <v>12</v>
      </c>
      <c r="K63" s="211" t="s">
        <v>13</v>
      </c>
      <c r="L63" s="211" t="s">
        <v>14</v>
      </c>
      <c r="M63" s="211" t="s">
        <v>15</v>
      </c>
      <c r="N63" s="211" t="s">
        <v>16</v>
      </c>
    </row>
    <row r="64" spans="2:29" x14ac:dyDescent="0.25">
      <c r="B64" s="228">
        <v>4.1666666666666699E-2</v>
      </c>
      <c r="C64" s="168">
        <f>'Cálculos iluminancia'!AE18/1000</f>
        <v>0</v>
      </c>
      <c r="D64" s="169">
        <f>'Cálculos iluminancia'!CL18/1000</f>
        <v>0</v>
      </c>
      <c r="E64" s="169">
        <f>'Cálculos iluminancia'!ES18/1000</f>
        <v>0</v>
      </c>
      <c r="F64" s="169">
        <f>'Cálculos iluminancia'!GZ18/1000</f>
        <v>0</v>
      </c>
      <c r="G64" s="169">
        <f>'Cálculos iluminancia'!JG18/1000</f>
        <v>0</v>
      </c>
      <c r="H64" s="169">
        <f>'Cálculos iluminancia'!LN18/1000</f>
        <v>0</v>
      </c>
      <c r="I64" s="169">
        <f>'Cálculos iluminancia'!AE49/1000</f>
        <v>0</v>
      </c>
      <c r="J64" s="169">
        <f>'Cálculos iluminancia'!CL49/1000</f>
        <v>0</v>
      </c>
      <c r="K64" s="169">
        <f>'Cálculos iluminancia'!ES49/1000</f>
        <v>0</v>
      </c>
      <c r="L64" s="169">
        <f>'Cálculos iluminancia'!GZ49/1000</f>
        <v>0</v>
      </c>
      <c r="M64" s="169">
        <f>'Cálculos iluminancia'!JG49/1000</f>
        <v>0</v>
      </c>
      <c r="N64" s="170">
        <f>'Cálculos iluminancia'!LN49/1000</f>
        <v>0</v>
      </c>
    </row>
    <row r="65" spans="2:14" x14ac:dyDescent="0.25">
      <c r="B65" s="228">
        <v>8.3333333333333301E-2</v>
      </c>
      <c r="C65" s="171">
        <f>'Cálculos iluminancia'!AE19/1000</f>
        <v>0</v>
      </c>
      <c r="D65" s="167">
        <f>'Cálculos iluminancia'!CL19/1000</f>
        <v>0</v>
      </c>
      <c r="E65" s="167">
        <f>'Cálculos iluminancia'!ES19/1000</f>
        <v>0</v>
      </c>
      <c r="F65" s="167">
        <f>'Cálculos iluminancia'!GZ19/1000</f>
        <v>0</v>
      </c>
      <c r="G65" s="167">
        <f>'Cálculos iluminancia'!JG19/1000</f>
        <v>0</v>
      </c>
      <c r="H65" s="167">
        <f>'Cálculos iluminancia'!LN19/1000</f>
        <v>0</v>
      </c>
      <c r="I65" s="167">
        <f>'Cálculos iluminancia'!AE50/1000</f>
        <v>0</v>
      </c>
      <c r="J65" s="167">
        <f>'Cálculos iluminancia'!CL50/1000</f>
        <v>0</v>
      </c>
      <c r="K65" s="167">
        <f>'Cálculos iluminancia'!ES50/1000</f>
        <v>0</v>
      </c>
      <c r="L65" s="167">
        <f>'Cálculos iluminancia'!GZ50/1000</f>
        <v>0</v>
      </c>
      <c r="M65" s="167">
        <f>'Cálculos iluminancia'!JG50/1000</f>
        <v>0</v>
      </c>
      <c r="N65" s="172">
        <f>'Cálculos iluminancia'!LN50/1000</f>
        <v>0</v>
      </c>
    </row>
    <row r="66" spans="2:14" x14ac:dyDescent="0.25">
      <c r="B66" s="228">
        <v>0.125</v>
      </c>
      <c r="C66" s="171">
        <f>'Cálculos iluminancia'!AE20/1000</f>
        <v>0</v>
      </c>
      <c r="D66" s="167">
        <f>'Cálculos iluminancia'!CL20/1000</f>
        <v>0</v>
      </c>
      <c r="E66" s="167">
        <f>'Cálculos iluminancia'!ES20/1000</f>
        <v>0</v>
      </c>
      <c r="F66" s="167">
        <f>'Cálculos iluminancia'!GZ20/1000</f>
        <v>0</v>
      </c>
      <c r="G66" s="167">
        <f>'Cálculos iluminancia'!JG20/1000</f>
        <v>0</v>
      </c>
      <c r="H66" s="167">
        <f>'Cálculos iluminancia'!LN20/1000</f>
        <v>0</v>
      </c>
      <c r="I66" s="167">
        <f>'Cálculos iluminancia'!AE51/1000</f>
        <v>0</v>
      </c>
      <c r="J66" s="167">
        <f>'Cálculos iluminancia'!CL51/1000</f>
        <v>0</v>
      </c>
      <c r="K66" s="167">
        <f>'Cálculos iluminancia'!ES51/1000</f>
        <v>0</v>
      </c>
      <c r="L66" s="167">
        <f>'Cálculos iluminancia'!GZ51/1000</f>
        <v>0</v>
      </c>
      <c r="M66" s="167">
        <f>'Cálculos iluminancia'!JG51/1000</f>
        <v>0</v>
      </c>
      <c r="N66" s="172">
        <f>'Cálculos iluminancia'!LN51/1000</f>
        <v>0</v>
      </c>
    </row>
    <row r="67" spans="2:14" x14ac:dyDescent="0.25">
      <c r="B67" s="228">
        <v>0.16666666666666699</v>
      </c>
      <c r="C67" s="171">
        <f>'Cálculos iluminancia'!AE21/1000</f>
        <v>0</v>
      </c>
      <c r="D67" s="167">
        <f>'Cálculos iluminancia'!CL21/1000</f>
        <v>0</v>
      </c>
      <c r="E67" s="167">
        <f>'Cálculos iluminancia'!ES21/1000</f>
        <v>0</v>
      </c>
      <c r="F67" s="167">
        <f>'Cálculos iluminancia'!GZ21/1000</f>
        <v>0</v>
      </c>
      <c r="G67" s="167">
        <f>'Cálculos iluminancia'!JG21/1000</f>
        <v>0</v>
      </c>
      <c r="H67" s="167">
        <f>'Cálculos iluminancia'!LN21/1000</f>
        <v>0</v>
      </c>
      <c r="I67" s="167">
        <f>'Cálculos iluminancia'!AE52/1000</f>
        <v>0</v>
      </c>
      <c r="J67" s="167">
        <f>'Cálculos iluminancia'!CL52/1000</f>
        <v>0</v>
      </c>
      <c r="K67" s="167">
        <f>'Cálculos iluminancia'!ES52/1000</f>
        <v>0</v>
      </c>
      <c r="L67" s="167">
        <f>'Cálculos iluminancia'!GZ52/1000</f>
        <v>0</v>
      </c>
      <c r="M67" s="167">
        <f>'Cálculos iluminancia'!JG52/1000</f>
        <v>0</v>
      </c>
      <c r="N67" s="172">
        <f>'Cálculos iluminancia'!LN52/1000</f>
        <v>0</v>
      </c>
    </row>
    <row r="68" spans="2:14" x14ac:dyDescent="0.25">
      <c r="B68" s="228">
        <v>0.20833333333333301</v>
      </c>
      <c r="C68" s="171">
        <f>'Cálculos iluminancia'!AE22/1000</f>
        <v>0</v>
      </c>
      <c r="D68" s="167">
        <f>'Cálculos iluminancia'!CL22/1000</f>
        <v>0</v>
      </c>
      <c r="E68" s="167">
        <f>'Cálculos iluminancia'!ES22/1000</f>
        <v>0</v>
      </c>
      <c r="F68" s="167">
        <f>'Cálculos iluminancia'!GZ22/1000</f>
        <v>0</v>
      </c>
      <c r="G68" s="167">
        <f>'Cálculos iluminancia'!JG22/1000</f>
        <v>0</v>
      </c>
      <c r="H68" s="167">
        <f>'Cálculos iluminancia'!LN22/1000</f>
        <v>0</v>
      </c>
      <c r="I68" s="167">
        <f>'Cálculos iluminancia'!AE53/1000</f>
        <v>0</v>
      </c>
      <c r="J68" s="167">
        <f>'Cálculos iluminancia'!CL53/1000</f>
        <v>0</v>
      </c>
      <c r="K68" s="167">
        <f>'Cálculos iluminancia'!ES53/1000</f>
        <v>0</v>
      </c>
      <c r="L68" s="167">
        <f>'Cálculos iluminancia'!GZ53/1000</f>
        <v>0</v>
      </c>
      <c r="M68" s="167">
        <f>'Cálculos iluminancia'!JG53/1000</f>
        <v>0</v>
      </c>
      <c r="N68" s="172">
        <f>'Cálculos iluminancia'!LN53/1000</f>
        <v>0</v>
      </c>
    </row>
    <row r="69" spans="2:14" x14ac:dyDescent="0.25">
      <c r="B69" s="228">
        <v>0.25</v>
      </c>
      <c r="C69" s="171">
        <f>'Cálculos iluminancia'!AE23/1000</f>
        <v>0</v>
      </c>
      <c r="D69" s="167">
        <f>'Cálculos iluminancia'!CL23/1000</f>
        <v>0</v>
      </c>
      <c r="E69" s="167">
        <f>'Cálculos iluminancia'!ES23/1000</f>
        <v>0</v>
      </c>
      <c r="F69" s="167">
        <f>'Cálculos iluminancia'!GZ23/1000</f>
        <v>2.9831318826467941</v>
      </c>
      <c r="G69" s="167">
        <f>'Cálculos iluminancia'!JG23/1000</f>
        <v>10.889522914160461</v>
      </c>
      <c r="H69" s="167">
        <f>'Cálculos iluminancia'!LN23/1000</f>
        <v>13.404432876315232</v>
      </c>
      <c r="I69" s="167">
        <f>'Cálculos iluminancia'!AE54/1000</f>
        <v>5.4712584028095508</v>
      </c>
      <c r="J69" s="167">
        <f>'Cálculos iluminancia'!CL54/1000</f>
        <v>2.7257065204756721</v>
      </c>
      <c r="K69" s="167">
        <f>'Cálculos iluminancia'!ES54/1000</f>
        <v>0</v>
      </c>
      <c r="L69" s="167">
        <f>'Cálculos iluminancia'!GZ54/1000</f>
        <v>0</v>
      </c>
      <c r="M69" s="167">
        <f>'Cálculos iluminancia'!JG54/1000</f>
        <v>0</v>
      </c>
      <c r="N69" s="172">
        <f>'Cálculos iluminancia'!LN54/1000</f>
        <v>0</v>
      </c>
    </row>
    <row r="70" spans="2:14" x14ac:dyDescent="0.25">
      <c r="B70" s="228">
        <v>0.29166666666666702</v>
      </c>
      <c r="C70" s="171">
        <f>'Cálculos iluminancia'!AE24/1000</f>
        <v>1.6013257236545064</v>
      </c>
      <c r="D70" s="167">
        <f>'Cálculos iluminancia'!CL24/1000</f>
        <v>3.9830818649727333</v>
      </c>
      <c r="E70" s="167">
        <f>'Cálculos iluminancia'!ES24/1000</f>
        <v>7.058318574050551</v>
      </c>
      <c r="F70" s="167">
        <f>'Cálculos iluminancia'!GZ24/1000</f>
        <v>14.15514116500688</v>
      </c>
      <c r="G70" s="167">
        <f>'Cálculos iluminancia'!JG24/1000</f>
        <v>28.712454683725547</v>
      </c>
      <c r="H70" s="167">
        <f>'Cálculos iluminancia'!LN24/1000</f>
        <v>31.930467595897483</v>
      </c>
      <c r="I70" s="167">
        <f>'Cálculos iluminancia'!AE55/1000</f>
        <v>16.524083397850934</v>
      </c>
      <c r="J70" s="167">
        <f>'Cálculos iluminancia'!CL55/1000</f>
        <v>13.158968257817538</v>
      </c>
      <c r="K70" s="167">
        <f>'Cálculos iluminancia'!ES55/1000</f>
        <v>13.738223568186273</v>
      </c>
      <c r="L70" s="167">
        <f>'Cálculos iluminancia'!GZ55/1000</f>
        <v>8.8052477318732834</v>
      </c>
      <c r="M70" s="167">
        <f>'Cálculos iluminancia'!JG55/1000</f>
        <v>2.5336589026872725</v>
      </c>
      <c r="N70" s="172">
        <f>'Cálculos iluminancia'!LN55/1000</f>
        <v>0.55878823136287792</v>
      </c>
    </row>
    <row r="71" spans="2:14" x14ac:dyDescent="0.25">
      <c r="B71" s="228">
        <v>0.33333333333333298</v>
      </c>
      <c r="C71" s="171">
        <f>'Cálculos iluminancia'!AE25/1000</f>
        <v>11.752841092963132</v>
      </c>
      <c r="D71" s="167">
        <f>'Cálculos iluminancia'!CL25/1000</f>
        <v>14.902178300929032</v>
      </c>
      <c r="E71" s="167">
        <f>'Cálculos iluminancia'!ES25/1000</f>
        <v>18.961119258698336</v>
      </c>
      <c r="F71" s="167">
        <f>'Cálculos iluminancia'!GZ25/1000</f>
        <v>29.290870270532587</v>
      </c>
      <c r="G71" s="167">
        <f>'Cálculos iluminancia'!JG25/1000</f>
        <v>49.391011291795991</v>
      </c>
      <c r="H71" s="167">
        <f>'Cálculos iluminancia'!LN25/1000</f>
        <v>53.121408169606227</v>
      </c>
      <c r="I71" s="167">
        <f>'Cálculos iluminancia'!AE56/1000</f>
        <v>31.150145406961563</v>
      </c>
      <c r="J71" s="167">
        <f>'Cálculos iluminancia'!CL56/1000</f>
        <v>27.772705797365749</v>
      </c>
      <c r="K71" s="167">
        <f>'Cálculos iluminancia'!ES56/1000</f>
        <v>33.024159062772057</v>
      </c>
      <c r="L71" s="167">
        <f>'Cálculos iluminancia'!GZ56/1000</f>
        <v>28.557128062947147</v>
      </c>
      <c r="M71" s="167">
        <f>'Cálculos iluminancia'!JG56/1000</f>
        <v>18.115775042774658</v>
      </c>
      <c r="N71" s="172">
        <f>'Cálculos iluminancia'!LN56/1000</f>
        <v>10.58948554232172</v>
      </c>
    </row>
    <row r="72" spans="2:14" x14ac:dyDescent="0.25">
      <c r="B72" s="228">
        <v>0.375</v>
      </c>
      <c r="C72" s="171">
        <f>'Cálculos iluminancia'!AE26/1000</f>
        <v>25.2661467332283</v>
      </c>
      <c r="D72" s="167">
        <f>'Cálculos iluminancia'!CL26/1000</f>
        <v>28.752429413130272</v>
      </c>
      <c r="E72" s="167">
        <f>'Cálculos iluminancia'!ES26/1000</f>
        <v>33.348582959277692</v>
      </c>
      <c r="F72" s="167">
        <f>'Cálculos iluminancia'!GZ26/1000</f>
        <v>46.179867437609531</v>
      </c>
      <c r="G72" s="167">
        <f>'Cálculos iluminancia'!JG26/1000</f>
        <v>70.287263684046067</v>
      </c>
      <c r="H72" s="167">
        <f>'Cálculos iluminancia'!LN26/1000</f>
        <v>74.336491274354771</v>
      </c>
      <c r="I72" s="167">
        <f>'Cálculos iluminancia'!AE57/1000</f>
        <v>47.149328000741804</v>
      </c>
      <c r="J72" s="167">
        <f>'Cálculos iluminancia'!CL57/1000</f>
        <v>44.307156295393519</v>
      </c>
      <c r="K72" s="167">
        <f>'Cálculos iluminancia'!ES57/1000</f>
        <v>54.753138435193932</v>
      </c>
      <c r="L72" s="167">
        <f>'Cálculos iluminancia'!GZ57/1000</f>
        <v>50.478565025114399</v>
      </c>
      <c r="M72" s="167">
        <f>'Cálculos iluminancia'!JG57/1000</f>
        <v>36.488271274494153</v>
      </c>
      <c r="N72" s="172">
        <f>'Cálculos iluminancia'!LN57/1000</f>
        <v>24.970592373246486</v>
      </c>
    </row>
    <row r="73" spans="2:14" x14ac:dyDescent="0.25">
      <c r="B73" s="228">
        <v>0.41666666666666702</v>
      </c>
      <c r="C73" s="171">
        <f>'Cálculos iluminancia'!AE27/1000</f>
        <v>38.679971084883242</v>
      </c>
      <c r="D73" s="167">
        <f>'Cálculos iluminancia'!CL27/1000</f>
        <v>42.268878255135569</v>
      </c>
      <c r="E73" s="167">
        <f>'Cálculos iluminancia'!ES27/1000</f>
        <v>47.075598878036949</v>
      </c>
      <c r="F73" s="167">
        <f>'Cálculos iluminancia'!GZ27/1000</f>
        <v>61.64172080291943</v>
      </c>
      <c r="G73" s="167">
        <f>'Cálculos iluminancia'!JG27/1000</f>
        <v>88.207093559684211</v>
      </c>
      <c r="H73" s="167">
        <f>'Cálculos iluminancia'!LN27/1000</f>
        <v>92.388378421705838</v>
      </c>
      <c r="I73" s="167">
        <f>'Cálculos iluminancia'!AE58/1000</f>
        <v>61.620569361373782</v>
      </c>
      <c r="J73" s="167">
        <f>'Cálculos iluminancia'!CL58/1000</f>
        <v>59.552112829221414</v>
      </c>
      <c r="K73" s="167">
        <f>'Cálculos iluminancia'!ES58/1000</f>
        <v>73.373953902545395</v>
      </c>
      <c r="L73" s="167">
        <f>'Cálculos iluminancia'!GZ58/1000</f>
        <v>70.433953833170619</v>
      </c>
      <c r="M73" s="167">
        <f>'Cálculos iluminancia'!JG58/1000</f>
        <v>53.727859161249818</v>
      </c>
      <c r="N73" s="172">
        <f>'Cálculos iluminancia'!LN58/1000</f>
        <v>38.00155153519016</v>
      </c>
    </row>
    <row r="74" spans="2:14" x14ac:dyDescent="0.25">
      <c r="B74" s="228">
        <v>0.45833333333333298</v>
      </c>
      <c r="C74" s="171">
        <f>'Cálculos iluminancia'!AE28/1000</f>
        <v>48.498969530673698</v>
      </c>
      <c r="D74" s="167">
        <f>'Cálculos iluminancia'!CL28/1000</f>
        <v>52.078018590930981</v>
      </c>
      <c r="E74" s="167">
        <f>'Cálculos iluminancia'!ES28/1000</f>
        <v>56.919865866955313</v>
      </c>
      <c r="F74" s="167">
        <f>'Cálculos iluminancia'!GZ28/1000</f>
        <v>71.801742286078024</v>
      </c>
      <c r="G74" s="167">
        <f>'Cálculos iluminancia'!JG28/1000</f>
        <v>100.18777595639514</v>
      </c>
      <c r="H74" s="167">
        <f>'Cálculos iluminancia'!LN28/1000</f>
        <v>104.38097540903601</v>
      </c>
      <c r="I74" s="167">
        <f>'Cálculos iluminancia'!AE59/1000</f>
        <v>71.685967552649615</v>
      </c>
      <c r="J74" s="167">
        <f>'Cálculos iluminancia'!CL59/1000</f>
        <v>70.272263121742498</v>
      </c>
      <c r="K74" s="167">
        <f>'Cálculos iluminancia'!ES59/1000</f>
        <v>86.338424196919945</v>
      </c>
      <c r="L74" s="167">
        <f>'Cálculos iluminancia'!GZ59/1000</f>
        <v>84.35140933777366</v>
      </c>
      <c r="M74" s="167">
        <f>'Cálculos iluminancia'!JG59/1000</f>
        <v>65.971123848984632</v>
      </c>
      <c r="N74" s="172">
        <f>'Cálculos iluminancia'!LN59/1000</f>
        <v>48.115873382921684</v>
      </c>
    </row>
    <row r="75" spans="2:14" x14ac:dyDescent="0.25">
      <c r="B75" s="228">
        <v>0.5</v>
      </c>
      <c r="C75" s="171">
        <f>'Cálculos iluminancia'!AE29/1000</f>
        <v>52.096686461266742</v>
      </c>
      <c r="D75" s="167">
        <f>'Cálculos iluminancia'!CL29/1000</f>
        <v>55.654817705225824</v>
      </c>
      <c r="E75" s="167">
        <f>'Cálculos iluminancia'!ES29/1000</f>
        <v>60.486365716291154</v>
      </c>
      <c r="F75" s="167">
        <f>'Cálculos iluminancia'!GZ29/1000</f>
        <v>75.671905813551163</v>
      </c>
      <c r="G75" s="167">
        <f>'Cálculos iluminancia'!JG29/1000</f>
        <v>104.29999678073902</v>
      </c>
      <c r="H75" s="167">
        <f>'Cálculos iluminancia'!LN29/1000</f>
        <v>108.47956555782383</v>
      </c>
      <c r="I75" s="167">
        <f>'Cálculos iluminancia'!AE60/1000</f>
        <v>75.272844061585729</v>
      </c>
      <c r="J75" s="167">
        <f>'Cálculos iluminancia'!CL60/1000</f>
        <v>74.111811240276083</v>
      </c>
      <c r="K75" s="167">
        <f>'Cálculos iluminancia'!ES60/1000</f>
        <v>90.895373645160376</v>
      </c>
      <c r="L75" s="167">
        <f>'Cálculos iluminancia'!GZ60/1000</f>
        <v>89.301650349009876</v>
      </c>
      <c r="M75" s="167">
        <f>'Cálculos iluminancia'!JG60/1000</f>
        <v>70.391596746013661</v>
      </c>
      <c r="N75" s="172">
        <f>'Cálculos iluminancia'!LN60/1000</f>
        <v>51.832196422746868</v>
      </c>
    </row>
    <row r="76" spans="2:14" x14ac:dyDescent="0.25">
      <c r="B76" s="228">
        <v>0.54166666666666696</v>
      </c>
      <c r="C76" s="171">
        <f>'Cálculos iluminancia'!AE30/1000</f>
        <v>48.50418917802871</v>
      </c>
      <c r="D76" s="167">
        <f>'Cálculos iluminancia'!CL30/1000</f>
        <v>52.074764508572173</v>
      </c>
      <c r="E76" s="167">
        <f>'Cálculos iluminancia'!ES30/1000</f>
        <v>56.90730826508495</v>
      </c>
      <c r="F76" s="167">
        <f>'Cálculos iluminancia'!GZ30/1000</f>
        <v>71.732253326167694</v>
      </c>
      <c r="G76" s="167">
        <f>'Cálculos iluminancia'!JG30/1000</f>
        <v>100.00230196687009</v>
      </c>
      <c r="H76" s="167">
        <f>'Cálculos iluminancia'!LN30/1000</f>
        <v>104.18259800793913</v>
      </c>
      <c r="I76" s="167">
        <f>'Cálculos iluminancia'!AE61/1000</f>
        <v>71.652450911217812</v>
      </c>
      <c r="J76" s="167">
        <f>'Cálculos iluminancia'!CL61/1000</f>
        <v>70.23905071934854</v>
      </c>
      <c r="K76" s="167">
        <f>'Cálculos iluminancia'!ES61/1000</f>
        <v>86.23468135239186</v>
      </c>
      <c r="L76" s="167">
        <f>'Cálculos iluminancia'!GZ61/1000</f>
        <v>84.309616942464331</v>
      </c>
      <c r="M76" s="167">
        <f>'Cálculos iluminancia'!JG61/1000</f>
        <v>65.988844004787069</v>
      </c>
      <c r="N76" s="172">
        <f>'Cálculos iluminancia'!LN61/1000</f>
        <v>48.129253098407617</v>
      </c>
    </row>
    <row r="77" spans="2:14" x14ac:dyDescent="0.25">
      <c r="B77" s="228">
        <v>0.58333333333333304</v>
      </c>
      <c r="C77" s="171">
        <f>'Cálculos iluminancia'!AE31/1000</f>
        <v>38.697330988094542</v>
      </c>
      <c r="D77" s="167">
        <f>'Cálculos iluminancia'!CL31/1000</f>
        <v>42.277798428834529</v>
      </c>
      <c r="E77" s="167">
        <f>'Cálculos iluminancia'!ES31/1000</f>
        <v>47.07507226433593</v>
      </c>
      <c r="F77" s="167">
        <f>'Cálculos iluminancia'!GZ31/1000</f>
        <v>61.623316632139478</v>
      </c>
      <c r="G77" s="167">
        <f>'Cálculos iluminancia'!JG31/1000</f>
        <v>88.073533653688145</v>
      </c>
      <c r="H77" s="167">
        <f>'Cálculos iluminancia'!LN31/1000</f>
        <v>92.234504741721977</v>
      </c>
      <c r="I77" s="167">
        <f>'Cálculos iluminancia'!AE62/1000</f>
        <v>61.597494635337</v>
      </c>
      <c r="J77" s="167">
        <f>'Cálculos iluminancia'!CL62/1000</f>
        <v>59.534909962630103</v>
      </c>
      <c r="K77" s="167">
        <f>'Cálculos iluminancia'!ES62/1000</f>
        <v>73.362640993178061</v>
      </c>
      <c r="L77" s="167">
        <f>'Cálculos iluminancia'!GZ62/1000</f>
        <v>70.499652352581805</v>
      </c>
      <c r="M77" s="167">
        <f>'Cálculos iluminancia'!JG62/1000</f>
        <v>53.818349135381744</v>
      </c>
      <c r="N77" s="172">
        <f>'Cálculos iluminancia'!LN62/1000</f>
        <v>38.038143783401146</v>
      </c>
    </row>
    <row r="78" spans="2:14" x14ac:dyDescent="0.25">
      <c r="B78" s="228">
        <v>0.625</v>
      </c>
      <c r="C78" s="171">
        <f>'Cálculos iluminancia'!AE32/1000</f>
        <v>25.289114910634204</v>
      </c>
      <c r="D78" s="167">
        <f>'Cálculos iluminancia'!CL32/1000</f>
        <v>28.77239038598589</v>
      </c>
      <c r="E78" s="167">
        <f>'Cálculos iluminancia'!ES32/1000</f>
        <v>33.365342059552262</v>
      </c>
      <c r="F78" s="167">
        <f>'Cálculos iluminancia'!GZ32/1000</f>
        <v>46.209188227223855</v>
      </c>
      <c r="G78" s="167">
        <f>'Cálculos iluminancia'!JG32/1000</f>
        <v>70.408674010269479</v>
      </c>
      <c r="H78" s="167">
        <f>'Cálculos iluminancia'!LN32/1000</f>
        <v>74.459967541689608</v>
      </c>
      <c r="I78" s="167">
        <f>'Cálculos iluminancia'!AE63/1000</f>
        <v>47.169356334572768</v>
      </c>
      <c r="J78" s="167">
        <f>'Cálculos iluminancia'!CL63/1000</f>
        <v>44.335235255067936</v>
      </c>
      <c r="K78" s="167">
        <f>'Cálculos iluminancia'!ES63/1000</f>
        <v>54.880928449309565</v>
      </c>
      <c r="L78" s="167">
        <f>'Cálculos iluminancia'!GZ63/1000</f>
        <v>50.698427271540375</v>
      </c>
      <c r="M78" s="167">
        <f>'Cálculos iluminancia'!JG63/1000</f>
        <v>36.640310380694793</v>
      </c>
      <c r="N78" s="172">
        <f>'Cálculos iluminancia'!LN63/1000</f>
        <v>24.995252231572273</v>
      </c>
    </row>
    <row r="79" spans="2:14" x14ac:dyDescent="0.25">
      <c r="B79" s="228">
        <v>0.66666666666666696</v>
      </c>
      <c r="C79" s="171">
        <f>'Cálculos iluminancia'!AE33/1000</f>
        <v>11.765819724451442</v>
      </c>
      <c r="D79" s="167">
        <f>'Cálculos iluminancia'!CL33/1000</f>
        <v>14.915158935975709</v>
      </c>
      <c r="E79" s="167">
        <f>'Cálculos iluminancia'!ES33/1000</f>
        <v>18.974224389254356</v>
      </c>
      <c r="F79" s="167">
        <f>'Cálculos iluminancia'!GZ33/1000</f>
        <v>29.338619077284996</v>
      </c>
      <c r="G79" s="167">
        <f>'Cálculos iluminancia'!JG33/1000</f>
        <v>49.715623278773442</v>
      </c>
      <c r="H79" s="167">
        <f>'Cálculos iluminancia'!LN33/1000</f>
        <v>53.49605791587225</v>
      </c>
      <c r="I79" s="167">
        <f>'Cálculos iluminancia'!AE64/1000</f>
        <v>31.194258719451394</v>
      </c>
      <c r="J79" s="167">
        <f>'Cálculos iluminancia'!CL64/1000</f>
        <v>27.817045215424141</v>
      </c>
      <c r="K79" s="167">
        <f>'Cálculos iluminancia'!ES64/1000</f>
        <v>33.206091198992311</v>
      </c>
      <c r="L79" s="167">
        <f>'Cálculos iluminancia'!GZ64/1000</f>
        <v>28.7888063315133</v>
      </c>
      <c r="M79" s="167">
        <f>'Cálculos iluminancia'!JG64/1000</f>
        <v>18.235907406061031</v>
      </c>
      <c r="N79" s="172">
        <f>'Cálculos iluminancia'!LN64/1000</f>
        <v>10.621380686755881</v>
      </c>
    </row>
    <row r="80" spans="2:14" x14ac:dyDescent="0.25">
      <c r="B80" s="228">
        <v>0.70833333333333304</v>
      </c>
      <c r="C80" s="171">
        <f>'Cálculos iluminancia'!AE34/1000</f>
        <v>1.6137095570358988</v>
      </c>
      <c r="D80" s="167">
        <f>'Cálculos iluminancia'!CL34/1000</f>
        <v>3.9839016112310301</v>
      </c>
      <c r="E80" s="167">
        <f>'Cálculos iluminancia'!ES34/1000</f>
        <v>7.0574058137211688</v>
      </c>
      <c r="F80" s="167">
        <f>'Cálculos iluminancia'!GZ34/1000</f>
        <v>14.181766308093835</v>
      </c>
      <c r="G80" s="167">
        <f>'Cálculos iluminancia'!JG34/1000</f>
        <v>29.018977299965908</v>
      </c>
      <c r="H80" s="167">
        <f>'Cálculos iluminancia'!LN34/1000</f>
        <v>32.313913309205667</v>
      </c>
      <c r="I80" s="167">
        <f>'Cálculos iluminancia'!AE65/1000</f>
        <v>16.551787738724379</v>
      </c>
      <c r="J80" s="167">
        <f>'Cálculos iluminancia'!CL65/1000</f>
        <v>13.179192485441684</v>
      </c>
      <c r="K80" s="167">
        <f>'Cálculos iluminancia'!ES65/1000</f>
        <v>13.846934783115968</v>
      </c>
      <c r="L80" s="167">
        <f>'Cálculos iluminancia'!GZ65/1000</f>
        <v>8.8979636514648099</v>
      </c>
      <c r="M80" s="167">
        <f>'Cálculos iluminancia'!JG65/1000</f>
        <v>2.5546287604144062</v>
      </c>
      <c r="N80" s="172">
        <f>'Cálculos iluminancia'!LN65/1000</f>
        <v>0.56250939576362013</v>
      </c>
    </row>
    <row r="81" spans="2:14" x14ac:dyDescent="0.25">
      <c r="B81" s="228">
        <v>0.75</v>
      </c>
      <c r="C81" s="171">
        <f>'Cálculos iluminancia'!AE35/1000</f>
        <v>0</v>
      </c>
      <c r="D81" s="167">
        <f>'Cálculos iluminancia'!CL35/1000</f>
        <v>0</v>
      </c>
      <c r="E81" s="167">
        <f>'Cálculos iluminancia'!ES35/1000</f>
        <v>0</v>
      </c>
      <c r="F81" s="167">
        <f>'Cálculos iluminancia'!GZ35/1000</f>
        <v>3.0072807896790752</v>
      </c>
      <c r="G81" s="167">
        <f>'Cálculos iluminancia'!JG35/1000</f>
        <v>11.024484129403787</v>
      </c>
      <c r="H81" s="167">
        <f>'Cálculos iluminancia'!LN35/1000</f>
        <v>13.596585581475461</v>
      </c>
      <c r="I81" s="167">
        <f>'Cálculos iluminancia'!AE66/1000</f>
        <v>5.4742351555033828</v>
      </c>
      <c r="J81" s="167">
        <f>'Cálculos iluminancia'!CL66/1000</f>
        <v>2.7567113272150814</v>
      </c>
      <c r="K81" s="167">
        <f>'Cálculos iluminancia'!ES66/1000</f>
        <v>0</v>
      </c>
      <c r="L81" s="167">
        <f>'Cálculos iluminancia'!GZ66/1000</f>
        <v>0</v>
      </c>
      <c r="M81" s="167">
        <f>'Cálculos iluminancia'!JG66/1000</f>
        <v>0</v>
      </c>
      <c r="N81" s="172">
        <f>'Cálculos iluminancia'!LN66/1000</f>
        <v>0</v>
      </c>
    </row>
    <row r="82" spans="2:14" x14ac:dyDescent="0.25">
      <c r="B82" s="228">
        <v>0.79166666666666696</v>
      </c>
      <c r="C82" s="171">
        <f>'Cálculos iluminancia'!AE36/1000</f>
        <v>0</v>
      </c>
      <c r="D82" s="167">
        <f>'Cálculos iluminancia'!CL36/1000</f>
        <v>0</v>
      </c>
      <c r="E82" s="167">
        <f>'Cálculos iluminancia'!ES36/1000</f>
        <v>0</v>
      </c>
      <c r="F82" s="167">
        <f>'Cálculos iluminancia'!GZ36/1000</f>
        <v>0</v>
      </c>
      <c r="G82" s="167">
        <f>'Cálculos iluminancia'!JG36/1000</f>
        <v>0</v>
      </c>
      <c r="H82" s="167">
        <f>'Cálculos iluminancia'!LN36/1000</f>
        <v>0</v>
      </c>
      <c r="I82" s="167">
        <f>'Cálculos iluminancia'!AE67/1000</f>
        <v>0</v>
      </c>
      <c r="J82" s="167">
        <f>'Cálculos iluminancia'!CL67/1000</f>
        <v>0</v>
      </c>
      <c r="K82" s="167">
        <f>'Cálculos iluminancia'!ES67/1000</f>
        <v>0</v>
      </c>
      <c r="L82" s="167">
        <f>'Cálculos iluminancia'!GZ67/1000</f>
        <v>0</v>
      </c>
      <c r="M82" s="167">
        <f>'Cálculos iluminancia'!JG67/1000</f>
        <v>0</v>
      </c>
      <c r="N82" s="172">
        <f>'Cálculos iluminancia'!LN67/1000</f>
        <v>0</v>
      </c>
    </row>
    <row r="83" spans="2:14" x14ac:dyDescent="0.25">
      <c r="B83" s="228">
        <v>0.83333333333333304</v>
      </c>
      <c r="C83" s="171">
        <f>'Cálculos iluminancia'!AE37/1000</f>
        <v>0</v>
      </c>
      <c r="D83" s="167">
        <f>'Cálculos iluminancia'!CL37/1000</f>
        <v>0</v>
      </c>
      <c r="E83" s="167">
        <f>'Cálculos iluminancia'!ES37/1000</f>
        <v>0</v>
      </c>
      <c r="F83" s="167">
        <f>'Cálculos iluminancia'!GZ37/1000</f>
        <v>0</v>
      </c>
      <c r="G83" s="167">
        <f>'Cálculos iluminancia'!JG37/1000</f>
        <v>0</v>
      </c>
      <c r="H83" s="167">
        <f>'Cálculos iluminancia'!LN37/1000</f>
        <v>0</v>
      </c>
      <c r="I83" s="167">
        <f>'Cálculos iluminancia'!AE68/1000</f>
        <v>0</v>
      </c>
      <c r="J83" s="167">
        <f>'Cálculos iluminancia'!CL68/1000</f>
        <v>0</v>
      </c>
      <c r="K83" s="167">
        <f>'Cálculos iluminancia'!ES68/1000</f>
        <v>0</v>
      </c>
      <c r="L83" s="167">
        <f>'Cálculos iluminancia'!GZ68/1000</f>
        <v>0</v>
      </c>
      <c r="M83" s="167">
        <f>'Cálculos iluminancia'!JG68/1000</f>
        <v>0</v>
      </c>
      <c r="N83" s="172">
        <f>'Cálculos iluminancia'!LN68/1000</f>
        <v>0</v>
      </c>
    </row>
    <row r="84" spans="2:14" x14ac:dyDescent="0.25">
      <c r="B84" s="228">
        <v>0.875</v>
      </c>
      <c r="C84" s="171">
        <f>'Cálculos iluminancia'!AE38/1000</f>
        <v>0</v>
      </c>
      <c r="D84" s="167">
        <f>'Cálculos iluminancia'!CL38/1000</f>
        <v>0</v>
      </c>
      <c r="E84" s="167">
        <f>'Cálculos iluminancia'!ES38/1000</f>
        <v>0</v>
      </c>
      <c r="F84" s="167">
        <f>'Cálculos iluminancia'!GZ38/1000</f>
        <v>0</v>
      </c>
      <c r="G84" s="167">
        <f>'Cálculos iluminancia'!JG38/1000</f>
        <v>0</v>
      </c>
      <c r="H84" s="167">
        <f>'Cálculos iluminancia'!LN38/1000</f>
        <v>0</v>
      </c>
      <c r="I84" s="167">
        <f>'Cálculos iluminancia'!AE69/1000</f>
        <v>0</v>
      </c>
      <c r="J84" s="167">
        <f>'Cálculos iluminancia'!CL69/1000</f>
        <v>0</v>
      </c>
      <c r="K84" s="167">
        <f>'Cálculos iluminancia'!ES69/1000</f>
        <v>0</v>
      </c>
      <c r="L84" s="167">
        <f>'Cálculos iluminancia'!GZ69/1000</f>
        <v>0</v>
      </c>
      <c r="M84" s="167">
        <f>'Cálculos iluminancia'!JG69/1000</f>
        <v>0</v>
      </c>
      <c r="N84" s="172">
        <f>'Cálculos iluminancia'!LN69/1000</f>
        <v>0</v>
      </c>
    </row>
    <row r="85" spans="2:14" x14ac:dyDescent="0.25">
      <c r="B85" s="228">
        <v>0.91666666666666696</v>
      </c>
      <c r="C85" s="171">
        <f>'Cálculos iluminancia'!AE39/1000</f>
        <v>0</v>
      </c>
      <c r="D85" s="167">
        <f>'Cálculos iluminancia'!CL39/1000</f>
        <v>0</v>
      </c>
      <c r="E85" s="167">
        <f>'Cálculos iluminancia'!ES39/1000</f>
        <v>0</v>
      </c>
      <c r="F85" s="167">
        <f>'Cálculos iluminancia'!GZ39/1000</f>
        <v>0</v>
      </c>
      <c r="G85" s="167">
        <f>'Cálculos iluminancia'!JG39/1000</f>
        <v>0</v>
      </c>
      <c r="H85" s="167">
        <f>'Cálculos iluminancia'!LN39/1000</f>
        <v>0</v>
      </c>
      <c r="I85" s="167">
        <f>'Cálculos iluminancia'!AE70/1000</f>
        <v>0</v>
      </c>
      <c r="J85" s="167">
        <f>'Cálculos iluminancia'!CL70/1000</f>
        <v>0</v>
      </c>
      <c r="K85" s="167">
        <f>'Cálculos iluminancia'!ES70/1000</f>
        <v>0</v>
      </c>
      <c r="L85" s="167">
        <f>'Cálculos iluminancia'!GZ70/1000</f>
        <v>0</v>
      </c>
      <c r="M85" s="167">
        <f>'Cálculos iluminancia'!JG70/1000</f>
        <v>0</v>
      </c>
      <c r="N85" s="172">
        <f>'Cálculos iluminancia'!LN70/1000</f>
        <v>0</v>
      </c>
    </row>
    <row r="86" spans="2:14" x14ac:dyDescent="0.25">
      <c r="B86" s="228">
        <v>0.95833333333333304</v>
      </c>
      <c r="C86" s="171">
        <f>'Cálculos iluminancia'!AE40/1000</f>
        <v>0</v>
      </c>
      <c r="D86" s="167">
        <f>'Cálculos iluminancia'!CL40/1000</f>
        <v>0</v>
      </c>
      <c r="E86" s="167">
        <f>'Cálculos iluminancia'!ES40/1000</f>
        <v>0</v>
      </c>
      <c r="F86" s="167">
        <f>'Cálculos iluminancia'!GZ40/1000</f>
        <v>0</v>
      </c>
      <c r="G86" s="167">
        <f>'Cálculos iluminancia'!JG40/1000</f>
        <v>0</v>
      </c>
      <c r="H86" s="167">
        <f>'Cálculos iluminancia'!LN40/1000</f>
        <v>0</v>
      </c>
      <c r="I86" s="167">
        <f>'Cálculos iluminancia'!AE71/1000</f>
        <v>0</v>
      </c>
      <c r="J86" s="167">
        <f>'Cálculos iluminancia'!CL71/1000</f>
        <v>0</v>
      </c>
      <c r="K86" s="167">
        <f>'Cálculos iluminancia'!ES71/1000</f>
        <v>0</v>
      </c>
      <c r="L86" s="167">
        <f>'Cálculos iluminancia'!GZ71/1000</f>
        <v>0</v>
      </c>
      <c r="M86" s="167">
        <f>'Cálculos iluminancia'!JG71/1000</f>
        <v>0</v>
      </c>
      <c r="N86" s="172">
        <f>'Cálculos iluminancia'!LN71/1000</f>
        <v>0</v>
      </c>
    </row>
    <row r="87" spans="2:14" ht="15.75" thickBot="1" x14ac:dyDescent="0.3">
      <c r="B87" s="228">
        <v>1</v>
      </c>
      <c r="C87" s="173">
        <f>'Cálculos iluminancia'!AE41/1000</f>
        <v>0</v>
      </c>
      <c r="D87" s="174">
        <f>'Cálculos iluminancia'!CL41/1000</f>
        <v>0</v>
      </c>
      <c r="E87" s="174">
        <f>'Cálculos iluminancia'!ES41/1000</f>
        <v>0</v>
      </c>
      <c r="F87" s="174">
        <f>'Cálculos iluminancia'!GZ41/1000</f>
        <v>0</v>
      </c>
      <c r="G87" s="174">
        <f>'Cálculos iluminancia'!JG41/1000</f>
        <v>0</v>
      </c>
      <c r="H87" s="174">
        <f>'Cálculos iluminancia'!LN41/1000</f>
        <v>0</v>
      </c>
      <c r="I87" s="174">
        <f>'Cálculos iluminancia'!AE72/1000</f>
        <v>0</v>
      </c>
      <c r="J87" s="174">
        <f>'Cálculos iluminancia'!CL72/1000</f>
        <v>0</v>
      </c>
      <c r="K87" s="174">
        <f>'Cálculos iluminancia'!ES72/1000</f>
        <v>0</v>
      </c>
      <c r="L87" s="174">
        <f>'Cálculos iluminancia'!GZ72/1000</f>
        <v>0</v>
      </c>
      <c r="M87" s="174">
        <f>'Cálculos iluminancia'!JG72/1000</f>
        <v>0</v>
      </c>
      <c r="N87" s="175">
        <f>'Cálculos iluminancia'!LN72/1000</f>
        <v>0</v>
      </c>
    </row>
  </sheetData>
  <sheetProtection password="E6CB" sheet="1" objects="1" scenarios="1"/>
  <mergeCells count="18">
    <mergeCell ref="C33:N33"/>
    <mergeCell ref="C4:N4"/>
    <mergeCell ref="B31:N31"/>
    <mergeCell ref="B32:C32"/>
    <mergeCell ref="F32:G32"/>
    <mergeCell ref="I32:J32"/>
    <mergeCell ref="L32:M32"/>
    <mergeCell ref="B2:N2"/>
    <mergeCell ref="B3:C3"/>
    <mergeCell ref="F3:G3"/>
    <mergeCell ref="I3:J3"/>
    <mergeCell ref="L3:M3"/>
    <mergeCell ref="C62:N62"/>
    <mergeCell ref="B60:N60"/>
    <mergeCell ref="B61:C61"/>
    <mergeCell ref="F61:G61"/>
    <mergeCell ref="I61:J61"/>
    <mergeCell ref="L61:M61"/>
  </mergeCells>
  <conditionalFormatting sqref="C6:N29">
    <cfRule type="colorScale" priority="3">
      <colorScale>
        <cfvo type="min"/>
        <cfvo type="percentile" val="50"/>
        <cfvo type="max"/>
        <color rgb="FF5A8AC6"/>
        <color rgb="FFFFEB84"/>
        <color rgb="FFF8696B"/>
      </colorScale>
    </cfRule>
  </conditionalFormatting>
  <conditionalFormatting sqref="C35:N58">
    <cfRule type="colorScale" priority="2">
      <colorScale>
        <cfvo type="min"/>
        <cfvo type="percentile" val="50"/>
        <cfvo type="max"/>
        <color rgb="FF5A8AC6"/>
        <color rgb="FFFFEB84"/>
        <color rgb="FFF8696B"/>
      </colorScale>
    </cfRule>
  </conditionalFormatting>
  <conditionalFormatting sqref="C64:N87">
    <cfRule type="colorScale" priority="1">
      <colorScale>
        <cfvo type="min"/>
        <cfvo type="percentile" val="50"/>
        <cfvo type="max"/>
        <color rgb="FF5A8AC6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90"/>
  <sheetViews>
    <sheetView showGridLines="0" showRowColHeaders="0" workbookViewId="0">
      <selection activeCell="K33" sqref="K33"/>
    </sheetView>
  </sheetViews>
  <sheetFormatPr baseColWidth="10" defaultRowHeight="15" x14ac:dyDescent="0.25"/>
  <cols>
    <col min="1" max="1" width="3" customWidth="1"/>
  </cols>
  <sheetData>
    <row r="2" spans="2:14" x14ac:dyDescent="0.25">
      <c r="B2" s="306" t="s">
        <v>217</v>
      </c>
      <c r="C2" s="307"/>
      <c r="D2" s="307"/>
      <c r="E2" s="307"/>
      <c r="F2" s="307"/>
      <c r="G2" s="307"/>
      <c r="H2" s="307"/>
      <c r="I2" s="307"/>
      <c r="J2" s="307"/>
      <c r="K2" s="307"/>
      <c r="L2" s="307"/>
      <c r="M2" s="307"/>
      <c r="N2" s="308"/>
    </row>
    <row r="3" spans="2:14" x14ac:dyDescent="0.25">
      <c r="B3" s="298" t="s">
        <v>1</v>
      </c>
      <c r="C3" s="299"/>
      <c r="D3" s="213" t="str">
        <f>'Datos Entrada'!D8</f>
        <v>Hermosillo, Son.</v>
      </c>
      <c r="E3" s="214"/>
      <c r="F3" s="298" t="s">
        <v>170</v>
      </c>
      <c r="G3" s="299"/>
      <c r="H3" s="216">
        <f>'Datos Entrada'!H8</f>
        <v>29.08</v>
      </c>
      <c r="I3" s="298" t="s">
        <v>202</v>
      </c>
      <c r="J3" s="299"/>
      <c r="K3" s="215">
        <f>'Datos Entrada'!K8</f>
        <v>-110.93</v>
      </c>
      <c r="L3" s="298" t="s">
        <v>201</v>
      </c>
      <c r="M3" s="299"/>
      <c r="N3" s="215">
        <f>'Datos Entrada'!N8</f>
        <v>211</v>
      </c>
    </row>
    <row r="4" spans="2:14" x14ac:dyDescent="0.25">
      <c r="B4" s="350"/>
      <c r="C4" s="338" t="s">
        <v>179</v>
      </c>
      <c r="D4" s="339"/>
      <c r="E4" s="339"/>
      <c r="F4" s="339"/>
      <c r="G4" s="339"/>
      <c r="H4" s="339"/>
      <c r="I4" s="339"/>
      <c r="J4" s="339"/>
      <c r="K4" s="339"/>
      <c r="L4" s="339"/>
      <c r="M4" s="339"/>
      <c r="N4" s="340"/>
    </row>
    <row r="5" spans="2:14" x14ac:dyDescent="0.25">
      <c r="B5" s="351"/>
      <c r="C5" s="347" t="s">
        <v>158</v>
      </c>
      <c r="D5" s="348"/>
      <c r="E5" s="348"/>
      <c r="F5" s="349"/>
      <c r="G5" s="309" t="str">
        <f>'Irradiancia Sup Inclinadas'!G9:H9</f>
        <v>Sur</v>
      </c>
      <c r="H5" s="309"/>
      <c r="I5" s="347" t="s">
        <v>213</v>
      </c>
      <c r="J5" s="348"/>
      <c r="K5" s="348"/>
      <c r="L5" s="349"/>
      <c r="M5" s="347" t="str">
        <f>'Irradiancia Sup Inclinadas'!M9:N9</f>
        <v>Vertical</v>
      </c>
      <c r="N5" s="349"/>
    </row>
    <row r="6" spans="2:14" ht="15.75" thickBot="1" x14ac:dyDescent="0.3">
      <c r="B6" s="210" t="s">
        <v>195</v>
      </c>
      <c r="C6" s="240" t="s">
        <v>5</v>
      </c>
      <c r="D6" s="240" t="s">
        <v>6</v>
      </c>
      <c r="E6" s="240" t="s">
        <v>7</v>
      </c>
      <c r="F6" s="240" t="s">
        <v>8</v>
      </c>
      <c r="G6" s="240" t="s">
        <v>9</v>
      </c>
      <c r="H6" s="240" t="s">
        <v>10</v>
      </c>
      <c r="I6" s="240" t="s">
        <v>11</v>
      </c>
      <c r="J6" s="240" t="s">
        <v>12</v>
      </c>
      <c r="K6" s="240" t="s">
        <v>13</v>
      </c>
      <c r="L6" s="240" t="s">
        <v>14</v>
      </c>
      <c r="M6" s="240" t="s">
        <v>15</v>
      </c>
      <c r="N6" s="240" t="s">
        <v>16</v>
      </c>
    </row>
    <row r="7" spans="2:14" x14ac:dyDescent="0.25">
      <c r="B7" s="228">
        <v>4.1666666666666699E-2</v>
      </c>
      <c r="C7" s="156">
        <f>'Cálculos iluminancia'!BI18/1000</f>
        <v>0</v>
      </c>
      <c r="D7" s="157">
        <f>'Cálculos iluminancia'!DP18/1000</f>
        <v>0</v>
      </c>
      <c r="E7" s="157">
        <f>'Cálculos iluminancia'!FW18/1000</f>
        <v>0</v>
      </c>
      <c r="F7" s="157">
        <f>'Cálculos iluminancia'!ID18/1000</f>
        <v>0</v>
      </c>
      <c r="G7" s="157">
        <f>'Cálculos iluminancia'!KK18/1000</f>
        <v>0</v>
      </c>
      <c r="H7" s="157">
        <f>'Cálculos iluminancia'!MR18/1000</f>
        <v>0</v>
      </c>
      <c r="I7" s="157">
        <f>'Cálculos iluminancia'!BI49/1000</f>
        <v>0</v>
      </c>
      <c r="J7" s="157">
        <f>'Cálculos iluminancia'!DP49/1000</f>
        <v>0</v>
      </c>
      <c r="K7" s="157">
        <f>'Cálculos iluminancia'!FW49/1000</f>
        <v>0</v>
      </c>
      <c r="L7" s="157">
        <f>'Cálculos iluminancia'!ID49/1000</f>
        <v>0</v>
      </c>
      <c r="M7" s="157">
        <f>'Cálculos iluminancia'!KK49/1000</f>
        <v>0</v>
      </c>
      <c r="N7" s="158">
        <f>'Cálculos iluminancia'!MR49/1000</f>
        <v>0</v>
      </c>
    </row>
    <row r="8" spans="2:14" x14ac:dyDescent="0.25">
      <c r="B8" s="228">
        <v>8.3333333333333301E-2</v>
      </c>
      <c r="C8" s="159">
        <f>'Cálculos iluminancia'!BI19/1000</f>
        <v>0</v>
      </c>
      <c r="D8" s="160">
        <f>'Cálculos iluminancia'!DP19/1000</f>
        <v>0</v>
      </c>
      <c r="E8" s="160">
        <f>'Cálculos iluminancia'!FW19/1000</f>
        <v>0</v>
      </c>
      <c r="F8" s="160">
        <f>'Cálculos iluminancia'!ID19/1000</f>
        <v>0</v>
      </c>
      <c r="G8" s="160">
        <f>'Cálculos iluminancia'!KK19/1000</f>
        <v>0</v>
      </c>
      <c r="H8" s="160">
        <f>'Cálculos iluminancia'!MR19/1000</f>
        <v>0</v>
      </c>
      <c r="I8" s="160">
        <f>'Cálculos iluminancia'!BI50/1000</f>
        <v>0</v>
      </c>
      <c r="J8" s="160">
        <f>'Cálculos iluminancia'!DP50/1000</f>
        <v>0</v>
      </c>
      <c r="K8" s="160">
        <f>'Cálculos iluminancia'!FW50/1000</f>
        <v>0</v>
      </c>
      <c r="L8" s="160">
        <f>'Cálculos iluminancia'!ID50/1000</f>
        <v>0</v>
      </c>
      <c r="M8" s="160">
        <f>'Cálculos iluminancia'!KK50/1000</f>
        <v>0</v>
      </c>
      <c r="N8" s="161">
        <f>'Cálculos iluminancia'!MR50/1000</f>
        <v>0</v>
      </c>
    </row>
    <row r="9" spans="2:14" x14ac:dyDescent="0.25">
      <c r="B9" s="228">
        <v>0.125</v>
      </c>
      <c r="C9" s="159">
        <f>'Cálculos iluminancia'!BI20/1000</f>
        <v>0</v>
      </c>
      <c r="D9" s="160">
        <f>'Cálculos iluminancia'!DP20/1000</f>
        <v>0</v>
      </c>
      <c r="E9" s="160">
        <f>'Cálculos iluminancia'!FW20/1000</f>
        <v>0</v>
      </c>
      <c r="F9" s="160">
        <f>'Cálculos iluminancia'!ID20/1000</f>
        <v>0</v>
      </c>
      <c r="G9" s="160">
        <f>'Cálculos iluminancia'!KK20/1000</f>
        <v>0</v>
      </c>
      <c r="H9" s="160">
        <f>'Cálculos iluminancia'!MR20/1000</f>
        <v>0</v>
      </c>
      <c r="I9" s="160">
        <f>'Cálculos iluminancia'!BI51/1000</f>
        <v>0</v>
      </c>
      <c r="J9" s="160">
        <f>'Cálculos iluminancia'!DP51/1000</f>
        <v>0</v>
      </c>
      <c r="K9" s="160">
        <f>'Cálculos iluminancia'!FW51/1000</f>
        <v>0</v>
      </c>
      <c r="L9" s="160">
        <f>'Cálculos iluminancia'!ID51/1000</f>
        <v>0</v>
      </c>
      <c r="M9" s="160">
        <f>'Cálculos iluminancia'!KK51/1000</f>
        <v>0</v>
      </c>
      <c r="N9" s="161">
        <f>'Cálculos iluminancia'!MR51/1000</f>
        <v>0</v>
      </c>
    </row>
    <row r="10" spans="2:14" x14ac:dyDescent="0.25">
      <c r="B10" s="228">
        <v>0.16666666666666699</v>
      </c>
      <c r="C10" s="159">
        <f>'Cálculos iluminancia'!BI21/1000</f>
        <v>0</v>
      </c>
      <c r="D10" s="160">
        <f>'Cálculos iluminancia'!DP21/1000</f>
        <v>0</v>
      </c>
      <c r="E10" s="160">
        <f>'Cálculos iluminancia'!FW21/1000</f>
        <v>0</v>
      </c>
      <c r="F10" s="160">
        <f>'Cálculos iluminancia'!ID21/1000</f>
        <v>0</v>
      </c>
      <c r="G10" s="160">
        <f>'Cálculos iluminancia'!KK21/1000</f>
        <v>0</v>
      </c>
      <c r="H10" s="160">
        <f>'Cálculos iluminancia'!MR21/1000</f>
        <v>0</v>
      </c>
      <c r="I10" s="160">
        <f>'Cálculos iluminancia'!BI52/1000</f>
        <v>0</v>
      </c>
      <c r="J10" s="160">
        <f>'Cálculos iluminancia'!DP52/1000</f>
        <v>0</v>
      </c>
      <c r="K10" s="160">
        <f>'Cálculos iluminancia'!FW52/1000</f>
        <v>0</v>
      </c>
      <c r="L10" s="160">
        <f>'Cálculos iluminancia'!ID52/1000</f>
        <v>0</v>
      </c>
      <c r="M10" s="160">
        <f>'Cálculos iluminancia'!KK52/1000</f>
        <v>0</v>
      </c>
      <c r="N10" s="161">
        <f>'Cálculos iluminancia'!MR52/1000</f>
        <v>0</v>
      </c>
    </row>
    <row r="11" spans="2:14" x14ac:dyDescent="0.25">
      <c r="B11" s="228">
        <v>0.20833333333333301</v>
      </c>
      <c r="C11" s="159">
        <f>'Cálculos iluminancia'!BI22/1000</f>
        <v>0</v>
      </c>
      <c r="D11" s="160">
        <f>'Cálculos iluminancia'!DP22/1000</f>
        <v>0</v>
      </c>
      <c r="E11" s="160">
        <f>'Cálculos iluminancia'!FW22/1000</f>
        <v>0</v>
      </c>
      <c r="F11" s="160">
        <f>'Cálculos iluminancia'!ID22/1000</f>
        <v>0</v>
      </c>
      <c r="G11" s="160">
        <f>'Cálculos iluminancia'!KK22/1000</f>
        <v>0</v>
      </c>
      <c r="H11" s="160">
        <f>'Cálculos iluminancia'!MR22/1000</f>
        <v>0</v>
      </c>
      <c r="I11" s="160">
        <f>'Cálculos iluminancia'!BI53/1000</f>
        <v>0</v>
      </c>
      <c r="J11" s="160">
        <f>'Cálculos iluminancia'!DP53/1000</f>
        <v>0</v>
      </c>
      <c r="K11" s="160">
        <f>'Cálculos iluminancia'!FW53/1000</f>
        <v>0</v>
      </c>
      <c r="L11" s="160">
        <f>'Cálculos iluminancia'!ID53/1000</f>
        <v>0</v>
      </c>
      <c r="M11" s="160">
        <f>'Cálculos iluminancia'!KK53/1000</f>
        <v>0</v>
      </c>
      <c r="N11" s="161">
        <f>'Cálculos iluminancia'!MR53/1000</f>
        <v>0</v>
      </c>
    </row>
    <row r="12" spans="2:14" x14ac:dyDescent="0.25">
      <c r="B12" s="228">
        <v>0.25</v>
      </c>
      <c r="C12" s="159">
        <f>'Cálculos iluminancia'!BI23/1000</f>
        <v>0</v>
      </c>
      <c r="D12" s="160">
        <f>'Cálculos iluminancia'!DP23/1000</f>
        <v>0</v>
      </c>
      <c r="E12" s="160">
        <f>'Cálculos iluminancia'!FW23/1000</f>
        <v>0</v>
      </c>
      <c r="F12" s="160">
        <f>'Cálculos iluminancia'!ID23/1000</f>
        <v>2.1577403965720272</v>
      </c>
      <c r="G12" s="160">
        <f>'Cálculos iluminancia'!KK23/1000</f>
        <v>2.1172942417642671</v>
      </c>
      <c r="H12" s="160">
        <f>'Cálculos iluminancia'!MR23/1000</f>
        <v>2.3139047055049784</v>
      </c>
      <c r="I12" s="160">
        <f>'Cálculos iluminancia'!BI54/1000</f>
        <v>3.5182941232040741</v>
      </c>
      <c r="J12" s="160">
        <f>'Cálculos iluminancia'!DP54/1000</f>
        <v>2.4399588731027548</v>
      </c>
      <c r="K12" s="160">
        <f>'Cálculos iluminancia'!FW54/1000</f>
        <v>0</v>
      </c>
      <c r="L12" s="160">
        <f>'Cálculos iluminancia'!ID54/1000</f>
        <v>0</v>
      </c>
      <c r="M12" s="160">
        <f>'Cálculos iluminancia'!KK54/1000</f>
        <v>0</v>
      </c>
      <c r="N12" s="161">
        <f>'Cálculos iluminancia'!MR54/1000</f>
        <v>0</v>
      </c>
    </row>
    <row r="13" spans="2:14" x14ac:dyDescent="0.25">
      <c r="B13" s="228">
        <v>0.29166666666666702</v>
      </c>
      <c r="C13" s="159">
        <f>'Cálculos iluminancia'!BI24/1000</f>
        <v>17.458115599193672</v>
      </c>
      <c r="D13" s="160">
        <f>'Cálculos iluminancia'!DP24/1000</f>
        <v>14.094706767310869</v>
      </c>
      <c r="E13" s="160">
        <f>'Cálculos iluminancia'!FW24/1000</f>
        <v>9.9535592924139458</v>
      </c>
      <c r="F13" s="160">
        <f>'Cálculos iluminancia'!ID24/1000</f>
        <v>5.360739596616396</v>
      </c>
      <c r="G13" s="160">
        <f>'Cálculos iluminancia'!KK24/1000</f>
        <v>4.0977256210811994</v>
      </c>
      <c r="H13" s="160">
        <f>'Cálculos iluminancia'!MR24/1000</f>
        <v>4.1111618424797509</v>
      </c>
      <c r="I13" s="160">
        <f>'Cálculos iluminancia'!BI55/1000</f>
        <v>6.6124071496419647</v>
      </c>
      <c r="J13" s="160">
        <f>'Cálculos iluminancia'!DP55/1000</f>
        <v>6.0435668558335625</v>
      </c>
      <c r="K13" s="160">
        <f>'Cálculos iluminancia'!FW55/1000</f>
        <v>12.56785617923005</v>
      </c>
      <c r="L13" s="160">
        <f>'Cálculos iluminancia'!ID55/1000</f>
        <v>25.05901064740198</v>
      </c>
      <c r="M13" s="160">
        <f>'Cálculos iluminancia'!KK55/1000</f>
        <v>27.301758036286923</v>
      </c>
      <c r="N13" s="161">
        <f>'Cálculos iluminancia'!MR55/1000</f>
        <v>19.266010347340014</v>
      </c>
    </row>
    <row r="14" spans="2:14" x14ac:dyDescent="0.25">
      <c r="B14" s="228">
        <v>0.33333333333333298</v>
      </c>
      <c r="C14" s="159">
        <f>'Cálculos iluminancia'!BI25/1000</f>
        <v>35.344403512634386</v>
      </c>
      <c r="D14" s="160">
        <f>'Cálculos iluminancia'!DP25/1000</f>
        <v>29.35501727005796</v>
      </c>
      <c r="E14" s="160">
        <f>'Cálculos iluminancia'!FW25/1000</f>
        <v>22.003179307569049</v>
      </c>
      <c r="F14" s="160">
        <f>'Cálculos iluminancia'!ID25/1000</f>
        <v>11.854399217268707</v>
      </c>
      <c r="G14" s="160">
        <f>'Cálculos iluminancia'!KK25/1000</f>
        <v>5.2932564561767013</v>
      </c>
      <c r="H14" s="160">
        <f>'Cálculos iluminancia'!MR25/1000</f>
        <v>5.1892775504473656</v>
      </c>
      <c r="I14" s="160">
        <f>'Cálculos iluminancia'!BI56/1000</f>
        <v>8.2940642804810505</v>
      </c>
      <c r="J14" s="160">
        <f>'Cálculos iluminancia'!DP56/1000</f>
        <v>12.523229563708444</v>
      </c>
      <c r="K14" s="160">
        <f>'Cálculos iluminancia'!FW56/1000</f>
        <v>27.434068919175079</v>
      </c>
      <c r="L14" s="160">
        <f>'Cálculos iluminancia'!ID56/1000</f>
        <v>43.364334578080737</v>
      </c>
      <c r="M14" s="160">
        <f>'Cálculos iluminancia'!KK56/1000</f>
        <v>48.050374833488334</v>
      </c>
      <c r="N14" s="161">
        <f>'Cálculos iluminancia'!MR56/1000</f>
        <v>37.962777028541296</v>
      </c>
    </row>
    <row r="15" spans="2:14" x14ac:dyDescent="0.25">
      <c r="B15" s="228">
        <v>0.375</v>
      </c>
      <c r="C15" s="159">
        <f>'Cálculos iluminancia'!BI26/1000</f>
        <v>53.497298325224548</v>
      </c>
      <c r="D15" s="160">
        <f>'Cálculos iluminancia'!DP26/1000</f>
        <v>45.014376473107035</v>
      </c>
      <c r="E15" s="160">
        <f>'Cálculos iluminancia'!FW26/1000</f>
        <v>34.689290001388812</v>
      </c>
      <c r="F15" s="160">
        <f>'Cálculos iluminancia'!ID26/1000</f>
        <v>22.044188363856268</v>
      </c>
      <c r="G15" s="160">
        <f>'Cálculos iluminancia'!KK26/1000</f>
        <v>8.0770060224520588</v>
      </c>
      <c r="H15" s="160">
        <f>'Cálculos iluminancia'!MR26/1000</f>
        <v>5.6109018134155093</v>
      </c>
      <c r="I15" s="160">
        <f>'Cálculos iluminancia'!BI57/1000</f>
        <v>10.153483635285644</v>
      </c>
      <c r="J15" s="160">
        <f>'Cálculos iluminancia'!DP57/1000</f>
        <v>22.816414265546147</v>
      </c>
      <c r="K15" s="160">
        <f>'Cálculos iluminancia'!FW57/1000</f>
        <v>42.871525550144781</v>
      </c>
      <c r="L15" s="160">
        <f>'Cálculos iluminancia'!ID57/1000</f>
        <v>61.670025855993153</v>
      </c>
      <c r="M15" s="160">
        <f>'Cálculos iluminancia'!KK57/1000</f>
        <v>67.572464761866996</v>
      </c>
      <c r="N15" s="161">
        <f>'Cálculos iluminancia'!MR57/1000</f>
        <v>58.954015841892158</v>
      </c>
    </row>
    <row r="16" spans="2:14" x14ac:dyDescent="0.25">
      <c r="B16" s="228">
        <v>0.41666666666666702</v>
      </c>
      <c r="C16" s="159">
        <f>'Cálculos iluminancia'!BI27/1000</f>
        <v>69.218718463513099</v>
      </c>
      <c r="D16" s="160">
        <f>'Cálculos iluminancia'!DP27/1000</f>
        <v>58.735785174227672</v>
      </c>
      <c r="E16" s="160">
        <f>'Cálculos iluminancia'!FW27/1000</f>
        <v>45.989690434735039</v>
      </c>
      <c r="F16" s="160">
        <f>'Cálculos iluminancia'!ID27/1000</f>
        <v>31.188836340572269</v>
      </c>
      <c r="G16" s="160">
        <f>'Cálculos iluminancia'!KK27/1000</f>
        <v>16.425602644575235</v>
      </c>
      <c r="H16" s="160">
        <f>'Cálculos iluminancia'!MR27/1000</f>
        <v>9.9921934679389199</v>
      </c>
      <c r="I16" s="160">
        <f>'Cálculos iluminancia'!BI58/1000</f>
        <v>16.926737157635397</v>
      </c>
      <c r="J16" s="160">
        <f>'Cálculos iluminancia'!DP58/1000</f>
        <v>32.076246076495956</v>
      </c>
      <c r="K16" s="160">
        <f>'Cálculos iluminancia'!FW58/1000</f>
        <v>54.923158510566076</v>
      </c>
      <c r="L16" s="160">
        <f>'Cálculos iluminancia'!ID58/1000</f>
        <v>77.364728490517592</v>
      </c>
      <c r="M16" s="160">
        <f>'Cálculos iluminancia'!KK58/1000</f>
        <v>84.186854066288205</v>
      </c>
      <c r="N16" s="161">
        <f>'Cálculos iluminancia'!MR58/1000</f>
        <v>74.012109138324021</v>
      </c>
    </row>
    <row r="17" spans="2:14" x14ac:dyDescent="0.25">
      <c r="B17" s="228">
        <v>0.45833333333333298</v>
      </c>
      <c r="C17" s="159">
        <f>'Cálculos iluminancia'!BI28/1000</f>
        <v>79.954043339167967</v>
      </c>
      <c r="D17" s="160">
        <f>'Cálculos iluminancia'!DP28/1000</f>
        <v>68.183368822311053</v>
      </c>
      <c r="E17" s="160">
        <f>'Cálculos iluminancia'!FW28/1000</f>
        <v>53.848833238187957</v>
      </c>
      <c r="F17" s="160">
        <f>'Cálculos iluminancia'!ID28/1000</f>
        <v>36.413251254865514</v>
      </c>
      <c r="G17" s="160">
        <f>'Cálculos iluminancia'!KK28/1000</f>
        <v>21.944449583374684</v>
      </c>
      <c r="H17" s="160">
        <f>'Cálculos iluminancia'!MR28/1000</f>
        <v>15.180603554899818</v>
      </c>
      <c r="I17" s="160">
        <f>'Cálculos iluminancia'!BI59/1000</f>
        <v>21.365442266658835</v>
      </c>
      <c r="J17" s="160">
        <f>'Cálculos iluminancia'!DP59/1000</f>
        <v>38.460380520033105</v>
      </c>
      <c r="K17" s="160">
        <f>'Cálculos iluminancia'!FW59/1000</f>
        <v>63.544002091855809</v>
      </c>
      <c r="L17" s="160">
        <f>'Cálculos iluminancia'!ID59/1000</f>
        <v>87.959646526953534</v>
      </c>
      <c r="M17" s="160">
        <f>'Cálculos iluminancia'!KK59/1000</f>
        <v>95.378236298109272</v>
      </c>
      <c r="N17" s="161">
        <f>'Cálculos iluminancia'!MR59/1000</f>
        <v>85.271486521459025</v>
      </c>
    </row>
    <row r="18" spans="2:14" x14ac:dyDescent="0.25">
      <c r="B18" s="228">
        <v>0.5</v>
      </c>
      <c r="C18" s="159">
        <f>'Cálculos iluminancia'!BI29/1000</f>
        <v>83.775021942821638</v>
      </c>
      <c r="D18" s="160">
        <f>'Cálculos iluminancia'!DP29/1000</f>
        <v>71.55322097122361</v>
      </c>
      <c r="E18" s="160">
        <f>'Cálculos iluminancia'!FW29/1000</f>
        <v>56.660179840559543</v>
      </c>
      <c r="F18" s="160">
        <f>'Cálculos iluminancia'!ID29/1000</f>
        <v>38.491425333451019</v>
      </c>
      <c r="G18" s="160">
        <f>'Cálculos iluminancia'!KK29/1000</f>
        <v>23.762781852321719</v>
      </c>
      <c r="H18" s="160">
        <f>'Cálculos iluminancia'!MR29/1000</f>
        <v>16.79761969743566</v>
      </c>
      <c r="I18" s="160">
        <f>'Cálculos iluminancia'!BI60/1000</f>
        <v>22.676435419880239</v>
      </c>
      <c r="J18" s="160">
        <f>'Cálculos iluminancia'!DP60/1000</f>
        <v>40.698360154859799</v>
      </c>
      <c r="K18" s="160">
        <f>'Cálculos iluminancia'!FW60/1000</f>
        <v>66.559119936574632</v>
      </c>
      <c r="L18" s="160">
        <f>'Cálculos iluminancia'!ID60/1000</f>
        <v>91.671677971161046</v>
      </c>
      <c r="M18" s="160">
        <f>'Cálculos iluminancia'!KK60/1000</f>
        <v>99.325103378817062</v>
      </c>
      <c r="N18" s="161">
        <f>'Cálculos iluminancia'!MR60/1000</f>
        <v>89.262289348241268</v>
      </c>
    </row>
    <row r="19" spans="2:14" x14ac:dyDescent="0.25">
      <c r="B19" s="228">
        <v>0.54166666666666696</v>
      </c>
      <c r="C19" s="159">
        <f>'Cálculos iluminancia'!BI30/1000</f>
        <v>79.968898300617553</v>
      </c>
      <c r="D19" s="160">
        <f>'Cálculos iluminancia'!DP30/1000</f>
        <v>68.173959706515546</v>
      </c>
      <c r="E19" s="160">
        <f>'Cálculos iluminancia'!FW30/1000</f>
        <v>53.815031196098424</v>
      </c>
      <c r="F19" s="160">
        <f>'Cálculos iluminancia'!ID30/1000</f>
        <v>36.375472462260184</v>
      </c>
      <c r="G19" s="160">
        <f>'Cálculos iluminancia'!KK30/1000</f>
        <v>21.915524698508356</v>
      </c>
      <c r="H19" s="160">
        <f>'Cálculos iluminancia'!MR30/1000</f>
        <v>15.161918335015416</v>
      </c>
      <c r="I19" s="160">
        <f>'Cálculos iluminancia'!BI61/1000</f>
        <v>21.335324476690737</v>
      </c>
      <c r="J19" s="160">
        <f>'Cálculos iluminancia'!DP61/1000</f>
        <v>38.412661893798635</v>
      </c>
      <c r="K19" s="160">
        <f>'Cálculos iluminancia'!FW61/1000</f>
        <v>63.483409525044785</v>
      </c>
      <c r="L19" s="160">
        <f>'Cálculos iluminancia'!ID61/1000</f>
        <v>87.922110681678689</v>
      </c>
      <c r="M19" s="160">
        <f>'Cálculos iluminancia'!KK61/1000</f>
        <v>95.400014837840487</v>
      </c>
      <c r="N19" s="161">
        <f>'Cálculos iluminancia'!MR61/1000</f>
        <v>85.29496184048925</v>
      </c>
    </row>
    <row r="20" spans="2:14" x14ac:dyDescent="0.25">
      <c r="B20" s="228">
        <v>0.58333333333333304</v>
      </c>
      <c r="C20" s="159">
        <f>'Cálculos iluminancia'!BI31/1000</f>
        <v>69.273293217126692</v>
      </c>
      <c r="D20" s="160">
        <f>'Cálculos iluminancia'!DP31/1000</f>
        <v>58.764350323395064</v>
      </c>
      <c r="E20" s="160">
        <f>'Cálculos iluminancia'!FW31/1000</f>
        <v>45.988115187680634</v>
      </c>
      <c r="F20" s="160">
        <f>'Cálculos iluminancia'!ID31/1000</f>
        <v>31.16617246067733</v>
      </c>
      <c r="G20" s="160">
        <f>'Cálculos iluminancia'!KK31/1000</f>
        <v>16.409837230770165</v>
      </c>
      <c r="H20" s="160">
        <f>'Cálculos iluminancia'!MR31/1000</f>
        <v>9.9841624416699482</v>
      </c>
      <c r="I20" s="160">
        <f>'Cálculos iluminancia'!BI62/1000</f>
        <v>16.904837477661914</v>
      </c>
      <c r="J20" s="160">
        <f>'Cálculos iluminancia'!DP62/1000</f>
        <v>32.050121772109222</v>
      </c>
      <c r="K20" s="160">
        <f>'Cálculos iluminancia'!FW62/1000</f>
        <v>54.916538052294335</v>
      </c>
      <c r="L20" s="160">
        <f>'Cálculos iluminancia'!ID62/1000</f>
        <v>77.426594850649906</v>
      </c>
      <c r="M20" s="160">
        <f>'Cálculos iluminancia'!KK62/1000</f>
        <v>84.307041618367407</v>
      </c>
      <c r="N20" s="161">
        <f>'Cálculos iluminancia'!MR62/1000</f>
        <v>74.081872231042297</v>
      </c>
    </row>
    <row r="21" spans="2:14" x14ac:dyDescent="0.25">
      <c r="B21" s="228">
        <v>0.625</v>
      </c>
      <c r="C21" s="159">
        <f>'Cálculos iluminancia'!BI32/1000</f>
        <v>53.586040967119715</v>
      </c>
      <c r="D21" s="160">
        <f>'Cálculos iluminancia'!DP32/1000</f>
        <v>45.09384904024639</v>
      </c>
      <c r="E21" s="160">
        <f>'Cálculos iluminancia'!FW32/1000</f>
        <v>34.752677221020249</v>
      </c>
      <c r="F21" s="160">
        <f>'Cálculos iluminancia'!ID32/1000</f>
        <v>22.082598513044992</v>
      </c>
      <c r="G21" s="160">
        <f>'Cálculos iluminancia'!KK32/1000</f>
        <v>8.0818738510112578</v>
      </c>
      <c r="H21" s="160">
        <f>'Cálculos iluminancia'!MR32/1000</f>
        <v>5.6121242980463357</v>
      </c>
      <c r="I21" s="160">
        <f>'Cálculos iluminancia'!BI63/1000</f>
        <v>10.173792031955232</v>
      </c>
      <c r="J21" s="160">
        <f>'Cálculos iluminancia'!DP63/1000</f>
        <v>22.864007767240164</v>
      </c>
      <c r="K21" s="160">
        <f>'Cálculos iluminancia'!FW63/1000</f>
        <v>42.971073311846624</v>
      </c>
      <c r="L21" s="160">
        <f>'Cálculos iluminancia'!ID63/1000</f>
        <v>61.898903727484523</v>
      </c>
      <c r="M21" s="160">
        <f>'Cálculos iluminancia'!KK63/1000</f>
        <v>67.810736334869631</v>
      </c>
      <c r="N21" s="161">
        <f>'Cálculos iluminancia'!MR63/1000</f>
        <v>59.047014322453023</v>
      </c>
    </row>
    <row r="22" spans="2:14" x14ac:dyDescent="0.25">
      <c r="B22" s="228">
        <v>0.66666666666666696</v>
      </c>
      <c r="C22" s="159">
        <f>'Cálculos iluminancia'!BI33/1000</f>
        <v>35.421365769971636</v>
      </c>
      <c r="D22" s="160">
        <f>'Cálculos iluminancia'!DP33/1000</f>
        <v>29.437897834279152</v>
      </c>
      <c r="E22" s="160">
        <f>'Cálculos iluminancia'!FW33/1000</f>
        <v>22.089438033947314</v>
      </c>
      <c r="F22" s="160">
        <f>'Cálculos iluminancia'!ID33/1000</f>
        <v>11.923902723268373</v>
      </c>
      <c r="G22" s="160">
        <f>'Cálculos iluminancia'!KK33/1000</f>
        <v>5.2973916368615646</v>
      </c>
      <c r="H22" s="160">
        <f>'Cálculos iluminancia'!MR33/1000</f>
        <v>5.1937590157877933</v>
      </c>
      <c r="I22" s="160">
        <f>'Cálculos iluminancia'!BI64/1000</f>
        <v>8.3619227678809089</v>
      </c>
      <c r="J22" s="160">
        <f>'Cálculos iluminancia'!DP64/1000</f>
        <v>12.616257593754133</v>
      </c>
      <c r="K22" s="160">
        <f>'Cálculos iluminancia'!FW64/1000</f>
        <v>27.579986109820872</v>
      </c>
      <c r="L22" s="160">
        <f>'Cálculos iluminancia'!ID64/1000</f>
        <v>43.663836679601751</v>
      </c>
      <c r="M22" s="160">
        <f>'Cálculos iluminancia'!KK64/1000</f>
        <v>48.322583808602914</v>
      </c>
      <c r="N22" s="161">
        <f>'Cálculos iluminancia'!MR64/1000</f>
        <v>38.070565375309819</v>
      </c>
    </row>
    <row r="23" spans="2:14" x14ac:dyDescent="0.25">
      <c r="B23" s="228">
        <v>0.70833333333333304</v>
      </c>
      <c r="C23" s="159">
        <f>'Cálculos iluminancia'!BI34/1000</f>
        <v>17.574611873300029</v>
      </c>
      <c r="D23" s="160">
        <f>'Cálculos iluminancia'!DP34/1000</f>
        <v>14.130918734169954</v>
      </c>
      <c r="E23" s="160">
        <f>'Cálculos iluminancia'!FW34/1000</f>
        <v>10.004576061996138</v>
      </c>
      <c r="F23" s="160">
        <f>'Cálculos iluminancia'!ID34/1000</f>
        <v>5.4176388885068016</v>
      </c>
      <c r="G23" s="160">
        <f>'Cálculos iluminancia'!KK34/1000</f>
        <v>4.1025025886770212</v>
      </c>
      <c r="H23" s="160">
        <f>'Cálculos iluminancia'!MR34/1000</f>
        <v>4.1167380930536552</v>
      </c>
      <c r="I23" s="160">
        <f>'Cálculos iluminancia'!BI65/1000</f>
        <v>6.6982941542838477</v>
      </c>
      <c r="J23" s="160">
        <f>'Cálculos iluminancia'!DP65/1000</f>
        <v>6.126626004800511</v>
      </c>
      <c r="K23" s="160">
        <f>'Cálculos iluminancia'!FW65/1000</f>
        <v>12.65961712541969</v>
      </c>
      <c r="L23" s="160">
        <f>'Cálculos iluminancia'!ID65/1000</f>
        <v>25.29062010451808</v>
      </c>
      <c r="M23" s="160">
        <f>'Cálculos iluminancia'!KK65/1000</f>
        <v>27.513362616545699</v>
      </c>
      <c r="N23" s="161">
        <f>'Cálculos iluminancia'!MR65/1000</f>
        <v>19.388667343777172</v>
      </c>
    </row>
    <row r="24" spans="2:14" x14ac:dyDescent="0.25">
      <c r="B24" s="228">
        <v>0.75</v>
      </c>
      <c r="C24" s="159">
        <f>'Cálculos iluminancia'!BI35/1000</f>
        <v>0</v>
      </c>
      <c r="D24" s="160">
        <f>'Cálculos iluminancia'!DP35/1000</f>
        <v>0</v>
      </c>
      <c r="E24" s="160">
        <f>'Cálculos iluminancia'!FW35/1000</f>
        <v>0</v>
      </c>
      <c r="F24" s="160">
        <f>'Cálculos iluminancia'!ID35/1000</f>
        <v>2.1691333975771108</v>
      </c>
      <c r="G24" s="160">
        <f>'Cálculos iluminancia'!KK35/1000</f>
        <v>2.1198996007290156</v>
      </c>
      <c r="H24" s="160">
        <f>'Cálculos iluminancia'!MR35/1000</f>
        <v>2.317332582071288</v>
      </c>
      <c r="I24" s="160">
        <f>'Cálculos iluminancia'!BI66/1000</f>
        <v>3.5685999122192156</v>
      </c>
      <c r="J24" s="160">
        <f>'Cálculos iluminancia'!DP66/1000</f>
        <v>2.4574367943553064</v>
      </c>
      <c r="K24" s="160">
        <f>'Cálculos iluminancia'!FW66/1000</f>
        <v>0</v>
      </c>
      <c r="L24" s="160">
        <f>'Cálculos iluminancia'!ID66/1000</f>
        <v>0</v>
      </c>
      <c r="M24" s="160">
        <f>'Cálculos iluminancia'!KK66/1000</f>
        <v>0</v>
      </c>
      <c r="N24" s="161">
        <f>'Cálculos iluminancia'!MR66/1000</f>
        <v>0</v>
      </c>
    </row>
    <row r="25" spans="2:14" x14ac:dyDescent="0.25">
      <c r="B25" s="228">
        <v>0.79166666666666696</v>
      </c>
      <c r="C25" s="159">
        <f>'Cálculos iluminancia'!BI36/1000</f>
        <v>0</v>
      </c>
      <c r="D25" s="160">
        <f>'Cálculos iluminancia'!DP36/1000</f>
        <v>0</v>
      </c>
      <c r="E25" s="160">
        <f>'Cálculos iluminancia'!FW36/1000</f>
        <v>0</v>
      </c>
      <c r="F25" s="160">
        <f>'Cálculos iluminancia'!ID36/1000</f>
        <v>0</v>
      </c>
      <c r="G25" s="160">
        <f>'Cálculos iluminancia'!KK36/1000</f>
        <v>0</v>
      </c>
      <c r="H25" s="160">
        <f>'Cálculos iluminancia'!MR36/1000</f>
        <v>0</v>
      </c>
      <c r="I25" s="160">
        <f>'Cálculos iluminancia'!BI67/1000</f>
        <v>0</v>
      </c>
      <c r="J25" s="160">
        <f>'Cálculos iluminancia'!DP67/1000</f>
        <v>0</v>
      </c>
      <c r="K25" s="160">
        <f>'Cálculos iluminancia'!FW67/1000</f>
        <v>0</v>
      </c>
      <c r="L25" s="160">
        <f>'Cálculos iluminancia'!ID67/1000</f>
        <v>0</v>
      </c>
      <c r="M25" s="160">
        <f>'Cálculos iluminancia'!KK67/1000</f>
        <v>0</v>
      </c>
      <c r="N25" s="161">
        <f>'Cálculos iluminancia'!MR67/1000</f>
        <v>0</v>
      </c>
    </row>
    <row r="26" spans="2:14" x14ac:dyDescent="0.25">
      <c r="B26" s="228">
        <v>0.83333333333333304</v>
      </c>
      <c r="C26" s="159">
        <f>'Cálculos iluminancia'!BI37/1000</f>
        <v>0</v>
      </c>
      <c r="D26" s="160">
        <f>'Cálculos iluminancia'!DP37/1000</f>
        <v>0</v>
      </c>
      <c r="E26" s="160">
        <f>'Cálculos iluminancia'!FW37/1000</f>
        <v>0</v>
      </c>
      <c r="F26" s="160">
        <f>'Cálculos iluminancia'!ID37/1000</f>
        <v>0</v>
      </c>
      <c r="G26" s="160">
        <f>'Cálculos iluminancia'!KK37/1000</f>
        <v>0</v>
      </c>
      <c r="H26" s="160">
        <f>'Cálculos iluminancia'!MR37/1000</f>
        <v>0</v>
      </c>
      <c r="I26" s="160">
        <f>'Cálculos iluminancia'!BI68/1000</f>
        <v>0</v>
      </c>
      <c r="J26" s="160">
        <f>'Cálculos iluminancia'!DP68/1000</f>
        <v>0</v>
      </c>
      <c r="K26" s="160">
        <f>'Cálculos iluminancia'!FW68/1000</f>
        <v>0</v>
      </c>
      <c r="L26" s="160">
        <f>'Cálculos iluminancia'!ID68/1000</f>
        <v>0</v>
      </c>
      <c r="M26" s="160">
        <f>'Cálculos iluminancia'!KK68/1000</f>
        <v>0</v>
      </c>
      <c r="N26" s="161">
        <f>'Cálculos iluminancia'!MR68/1000</f>
        <v>0</v>
      </c>
    </row>
    <row r="27" spans="2:14" x14ac:dyDescent="0.25">
      <c r="B27" s="228">
        <v>0.875</v>
      </c>
      <c r="C27" s="159">
        <f>'Cálculos iluminancia'!BI38/1000</f>
        <v>0</v>
      </c>
      <c r="D27" s="160">
        <f>'Cálculos iluminancia'!DP38/1000</f>
        <v>0</v>
      </c>
      <c r="E27" s="160">
        <f>'Cálculos iluminancia'!FW38/1000</f>
        <v>0</v>
      </c>
      <c r="F27" s="160">
        <f>'Cálculos iluminancia'!ID38/1000</f>
        <v>0</v>
      </c>
      <c r="G27" s="160">
        <f>'Cálculos iluminancia'!KK38/1000</f>
        <v>0</v>
      </c>
      <c r="H27" s="160">
        <f>'Cálculos iluminancia'!MR38/1000</f>
        <v>0</v>
      </c>
      <c r="I27" s="160">
        <f>'Cálculos iluminancia'!BI69/1000</f>
        <v>0</v>
      </c>
      <c r="J27" s="160">
        <f>'Cálculos iluminancia'!DP69/1000</f>
        <v>0</v>
      </c>
      <c r="K27" s="160">
        <f>'Cálculos iluminancia'!FW69/1000</f>
        <v>0</v>
      </c>
      <c r="L27" s="160">
        <f>'Cálculos iluminancia'!ID69/1000</f>
        <v>0</v>
      </c>
      <c r="M27" s="160">
        <f>'Cálculos iluminancia'!KK69/1000</f>
        <v>0</v>
      </c>
      <c r="N27" s="161">
        <f>'Cálculos iluminancia'!MR69/1000</f>
        <v>0</v>
      </c>
    </row>
    <row r="28" spans="2:14" x14ac:dyDescent="0.25">
      <c r="B28" s="228">
        <v>0.91666666666666696</v>
      </c>
      <c r="C28" s="159">
        <f>'Cálculos iluminancia'!BI39/1000</f>
        <v>0</v>
      </c>
      <c r="D28" s="160">
        <f>'Cálculos iluminancia'!DP39/1000</f>
        <v>0</v>
      </c>
      <c r="E28" s="160">
        <f>'Cálculos iluminancia'!FW39/1000</f>
        <v>0</v>
      </c>
      <c r="F28" s="160">
        <f>'Cálculos iluminancia'!ID39/1000</f>
        <v>0</v>
      </c>
      <c r="G28" s="160">
        <f>'Cálculos iluminancia'!KK39/1000</f>
        <v>0</v>
      </c>
      <c r="H28" s="160">
        <f>'Cálculos iluminancia'!MR39/1000</f>
        <v>0</v>
      </c>
      <c r="I28" s="160">
        <f>'Cálculos iluminancia'!BI70/1000</f>
        <v>0</v>
      </c>
      <c r="J28" s="160">
        <f>'Cálculos iluminancia'!DP70/1000</f>
        <v>0</v>
      </c>
      <c r="K28" s="160">
        <f>'Cálculos iluminancia'!FW70/1000</f>
        <v>0</v>
      </c>
      <c r="L28" s="160">
        <f>'Cálculos iluminancia'!ID70/1000</f>
        <v>0</v>
      </c>
      <c r="M28" s="160">
        <f>'Cálculos iluminancia'!KK70/1000</f>
        <v>0</v>
      </c>
      <c r="N28" s="161">
        <f>'Cálculos iluminancia'!MR70/1000</f>
        <v>0</v>
      </c>
    </row>
    <row r="29" spans="2:14" x14ac:dyDescent="0.25">
      <c r="B29" s="228">
        <v>0.95833333333333304</v>
      </c>
      <c r="C29" s="159">
        <f>'Cálculos iluminancia'!BI40/1000</f>
        <v>0</v>
      </c>
      <c r="D29" s="160">
        <f>'Cálculos iluminancia'!DP40/1000</f>
        <v>0</v>
      </c>
      <c r="E29" s="160">
        <f>'Cálculos iluminancia'!FW40/1000</f>
        <v>0</v>
      </c>
      <c r="F29" s="160">
        <f>'Cálculos iluminancia'!ID40/1000</f>
        <v>0</v>
      </c>
      <c r="G29" s="160">
        <f>'Cálculos iluminancia'!KK40/1000</f>
        <v>0</v>
      </c>
      <c r="H29" s="160">
        <f>'Cálculos iluminancia'!MR40/1000</f>
        <v>0</v>
      </c>
      <c r="I29" s="160">
        <f>'Cálculos iluminancia'!BI71/1000</f>
        <v>0</v>
      </c>
      <c r="J29" s="160">
        <f>'Cálculos iluminancia'!DP71/1000</f>
        <v>0</v>
      </c>
      <c r="K29" s="160">
        <f>'Cálculos iluminancia'!FW71/1000</f>
        <v>0</v>
      </c>
      <c r="L29" s="160">
        <f>'Cálculos iluminancia'!ID71/1000</f>
        <v>0</v>
      </c>
      <c r="M29" s="160">
        <f>'Cálculos iluminancia'!KK71/1000</f>
        <v>0</v>
      </c>
      <c r="N29" s="161">
        <f>'Cálculos iluminancia'!MR71/1000</f>
        <v>0</v>
      </c>
    </row>
    <row r="30" spans="2:14" ht="15.75" thickBot="1" x14ac:dyDescent="0.3">
      <c r="B30" s="228">
        <v>1</v>
      </c>
      <c r="C30" s="162">
        <f>'Cálculos iluminancia'!BI41/1000</f>
        <v>0</v>
      </c>
      <c r="D30" s="163">
        <f>'Cálculos iluminancia'!DP41/1000</f>
        <v>0</v>
      </c>
      <c r="E30" s="163">
        <f>'Cálculos iluminancia'!FW41/1000</f>
        <v>0</v>
      </c>
      <c r="F30" s="163">
        <f>'Cálculos iluminancia'!ID41/1000</f>
        <v>0</v>
      </c>
      <c r="G30" s="163">
        <f>'Cálculos iluminancia'!KK41/1000</f>
        <v>0</v>
      </c>
      <c r="H30" s="163">
        <f>'Cálculos iluminancia'!MR41/1000</f>
        <v>0</v>
      </c>
      <c r="I30" s="163">
        <f>'Cálculos iluminancia'!BI72/1000</f>
        <v>0</v>
      </c>
      <c r="J30" s="163">
        <f>'Cálculos iluminancia'!DP72/1000</f>
        <v>0</v>
      </c>
      <c r="K30" s="163">
        <f>'Cálculos iluminancia'!FW72/1000</f>
        <v>0</v>
      </c>
      <c r="L30" s="163">
        <f>'Cálculos iluminancia'!ID72/1000</f>
        <v>0</v>
      </c>
      <c r="M30" s="163">
        <f>'Cálculos iluminancia'!KK72/1000</f>
        <v>0</v>
      </c>
      <c r="N30" s="164">
        <f>'Cálculos iluminancia'!MR72/1000</f>
        <v>0</v>
      </c>
    </row>
    <row r="32" spans="2:14" x14ac:dyDescent="0.25">
      <c r="B32" s="306" t="s">
        <v>217</v>
      </c>
      <c r="C32" s="307"/>
      <c r="D32" s="307"/>
      <c r="E32" s="307"/>
      <c r="F32" s="307"/>
      <c r="G32" s="307"/>
      <c r="H32" s="307"/>
      <c r="I32" s="307"/>
      <c r="J32" s="307"/>
      <c r="K32" s="307"/>
      <c r="L32" s="307"/>
      <c r="M32" s="307"/>
      <c r="N32" s="308"/>
    </row>
    <row r="33" spans="2:14" x14ac:dyDescent="0.25">
      <c r="B33" s="298" t="s">
        <v>1</v>
      </c>
      <c r="C33" s="299"/>
      <c r="D33" s="213" t="str">
        <f>D3</f>
        <v>Hermosillo, Son.</v>
      </c>
      <c r="E33" s="214"/>
      <c r="F33" s="298" t="s">
        <v>170</v>
      </c>
      <c r="G33" s="299"/>
      <c r="H33" s="216">
        <f>H3</f>
        <v>29.08</v>
      </c>
      <c r="I33" s="298" t="s">
        <v>202</v>
      </c>
      <c r="J33" s="299"/>
      <c r="K33" s="215">
        <f>K3</f>
        <v>-110.93</v>
      </c>
      <c r="L33" s="298" t="s">
        <v>201</v>
      </c>
      <c r="M33" s="299"/>
      <c r="N33" s="215">
        <f>N3</f>
        <v>211</v>
      </c>
    </row>
    <row r="34" spans="2:14" x14ac:dyDescent="0.25">
      <c r="B34" s="350"/>
      <c r="C34" s="338" t="s">
        <v>180</v>
      </c>
      <c r="D34" s="339"/>
      <c r="E34" s="339"/>
      <c r="F34" s="339"/>
      <c r="G34" s="339"/>
      <c r="H34" s="339"/>
      <c r="I34" s="339"/>
      <c r="J34" s="339"/>
      <c r="K34" s="339"/>
      <c r="L34" s="339"/>
      <c r="M34" s="339"/>
      <c r="N34" s="340"/>
    </row>
    <row r="35" spans="2:14" x14ac:dyDescent="0.25">
      <c r="B35" s="351"/>
      <c r="C35" s="347" t="s">
        <v>158</v>
      </c>
      <c r="D35" s="348"/>
      <c r="E35" s="348"/>
      <c r="F35" s="349"/>
      <c r="G35" s="309" t="str">
        <f>G5</f>
        <v>Sur</v>
      </c>
      <c r="H35" s="309"/>
      <c r="I35" s="347" t="s">
        <v>213</v>
      </c>
      <c r="J35" s="348"/>
      <c r="K35" s="348"/>
      <c r="L35" s="349"/>
      <c r="M35" s="347" t="str">
        <f>M5</f>
        <v>Vertical</v>
      </c>
      <c r="N35" s="349"/>
    </row>
    <row r="36" spans="2:14" ht="15.75" thickBot="1" x14ac:dyDescent="0.3">
      <c r="B36" s="210" t="s">
        <v>195</v>
      </c>
      <c r="C36" s="240" t="s">
        <v>5</v>
      </c>
      <c r="D36" s="240" t="s">
        <v>6</v>
      </c>
      <c r="E36" s="240" t="s">
        <v>7</v>
      </c>
      <c r="F36" s="240" t="s">
        <v>8</v>
      </c>
      <c r="G36" s="240" t="s">
        <v>9</v>
      </c>
      <c r="H36" s="240" t="s">
        <v>10</v>
      </c>
      <c r="I36" s="240" t="s">
        <v>11</v>
      </c>
      <c r="J36" s="240" t="s">
        <v>12</v>
      </c>
      <c r="K36" s="240" t="s">
        <v>13</v>
      </c>
      <c r="L36" s="240" t="s">
        <v>14</v>
      </c>
      <c r="M36" s="240" t="s">
        <v>15</v>
      </c>
      <c r="N36" s="240" t="s">
        <v>16</v>
      </c>
    </row>
    <row r="37" spans="2:14" x14ac:dyDescent="0.25">
      <c r="B37" s="228">
        <v>4.1666666666666699E-2</v>
      </c>
      <c r="C37" s="156">
        <f>'Cálculos iluminancia'!AR18/1000</f>
        <v>0</v>
      </c>
      <c r="D37" s="157">
        <f>'Cálculos iluminancia'!CY18/1000</f>
        <v>0</v>
      </c>
      <c r="E37" s="157">
        <f>'Cálculos iluminancia'!FF18/1000</f>
        <v>0</v>
      </c>
      <c r="F37" s="157">
        <f>'Cálculos iluminancia'!HM18/1000</f>
        <v>0</v>
      </c>
      <c r="G37" s="157">
        <f>'Cálculos iluminancia'!JT18/1000</f>
        <v>0</v>
      </c>
      <c r="H37" s="157">
        <f>'Cálculos iluminancia'!MA18/1000</f>
        <v>0</v>
      </c>
      <c r="I37" s="157">
        <f>'Cálculos iluminancia'!AR49/1000</f>
        <v>0</v>
      </c>
      <c r="J37" s="157">
        <f>'Cálculos iluminancia'!CY49/1000</f>
        <v>0</v>
      </c>
      <c r="K37" s="157">
        <f>'Cálculos iluminancia'!FF49/1000</f>
        <v>0</v>
      </c>
      <c r="L37" s="157">
        <f>'Cálculos iluminancia'!HM49/1000</f>
        <v>0</v>
      </c>
      <c r="M37" s="157">
        <f>'Cálculos iluminancia'!JT49/1000</f>
        <v>0</v>
      </c>
      <c r="N37" s="158">
        <f>'Cálculos iluminancia'!MA49/1000</f>
        <v>0</v>
      </c>
    </row>
    <row r="38" spans="2:14" x14ac:dyDescent="0.25">
      <c r="B38" s="228">
        <v>8.3333333333333301E-2</v>
      </c>
      <c r="C38" s="159">
        <f>'Cálculos iluminancia'!AR19/1000</f>
        <v>0</v>
      </c>
      <c r="D38" s="160">
        <f>'Cálculos iluminancia'!CY19/1000</f>
        <v>0</v>
      </c>
      <c r="E38" s="160">
        <f>'Cálculos iluminancia'!FF19/1000</f>
        <v>0</v>
      </c>
      <c r="F38" s="160">
        <f>'Cálculos iluminancia'!HM19/1000</f>
        <v>0</v>
      </c>
      <c r="G38" s="160">
        <f>'Cálculos iluminancia'!JT19/1000</f>
        <v>0</v>
      </c>
      <c r="H38" s="160">
        <f>'Cálculos iluminancia'!MA19/1000</f>
        <v>0</v>
      </c>
      <c r="I38" s="160">
        <f>'Cálculos iluminancia'!AR50/1000</f>
        <v>0</v>
      </c>
      <c r="J38" s="160">
        <f>'Cálculos iluminancia'!CY50/1000</f>
        <v>0</v>
      </c>
      <c r="K38" s="160">
        <f>'Cálculos iluminancia'!FF50/1000</f>
        <v>0</v>
      </c>
      <c r="L38" s="160">
        <f>'Cálculos iluminancia'!HM50/1000</f>
        <v>0</v>
      </c>
      <c r="M38" s="160">
        <f>'Cálculos iluminancia'!JT50/1000</f>
        <v>0</v>
      </c>
      <c r="N38" s="161">
        <f>'Cálculos iluminancia'!MA50/1000</f>
        <v>0</v>
      </c>
    </row>
    <row r="39" spans="2:14" x14ac:dyDescent="0.25">
      <c r="B39" s="228">
        <v>0.125</v>
      </c>
      <c r="C39" s="159">
        <f>'Cálculos iluminancia'!AR20/1000</f>
        <v>0</v>
      </c>
      <c r="D39" s="160">
        <f>'Cálculos iluminancia'!CY20/1000</f>
        <v>0</v>
      </c>
      <c r="E39" s="160">
        <f>'Cálculos iluminancia'!FF20/1000</f>
        <v>0</v>
      </c>
      <c r="F39" s="160">
        <f>'Cálculos iluminancia'!HM20/1000</f>
        <v>0</v>
      </c>
      <c r="G39" s="160">
        <f>'Cálculos iluminancia'!JT20/1000</f>
        <v>0</v>
      </c>
      <c r="H39" s="160">
        <f>'Cálculos iluminancia'!MA20/1000</f>
        <v>0</v>
      </c>
      <c r="I39" s="160">
        <f>'Cálculos iluminancia'!AR51/1000</f>
        <v>0</v>
      </c>
      <c r="J39" s="160">
        <f>'Cálculos iluminancia'!CY51/1000</f>
        <v>0</v>
      </c>
      <c r="K39" s="160">
        <f>'Cálculos iluminancia'!FF51/1000</f>
        <v>0</v>
      </c>
      <c r="L39" s="160">
        <f>'Cálculos iluminancia'!HM51/1000</f>
        <v>0</v>
      </c>
      <c r="M39" s="160">
        <f>'Cálculos iluminancia'!JT51/1000</f>
        <v>0</v>
      </c>
      <c r="N39" s="161">
        <f>'Cálculos iluminancia'!MA51/1000</f>
        <v>0</v>
      </c>
    </row>
    <row r="40" spans="2:14" x14ac:dyDescent="0.25">
      <c r="B40" s="228">
        <v>0.16666666666666699</v>
      </c>
      <c r="C40" s="159">
        <f>'Cálculos iluminancia'!AR21/1000</f>
        <v>0</v>
      </c>
      <c r="D40" s="160">
        <f>'Cálculos iluminancia'!CY21/1000</f>
        <v>0</v>
      </c>
      <c r="E40" s="160">
        <f>'Cálculos iluminancia'!FF21/1000</f>
        <v>0</v>
      </c>
      <c r="F40" s="160">
        <f>'Cálculos iluminancia'!HM21/1000</f>
        <v>0</v>
      </c>
      <c r="G40" s="160">
        <f>'Cálculos iluminancia'!JT21/1000</f>
        <v>0</v>
      </c>
      <c r="H40" s="160">
        <f>'Cálculos iluminancia'!MA21/1000</f>
        <v>0</v>
      </c>
      <c r="I40" s="160">
        <f>'Cálculos iluminancia'!AR52/1000</f>
        <v>0</v>
      </c>
      <c r="J40" s="160">
        <f>'Cálculos iluminancia'!CY52/1000</f>
        <v>0</v>
      </c>
      <c r="K40" s="160">
        <f>'Cálculos iluminancia'!FF52/1000</f>
        <v>0</v>
      </c>
      <c r="L40" s="160">
        <f>'Cálculos iluminancia'!HM52/1000</f>
        <v>0</v>
      </c>
      <c r="M40" s="160">
        <f>'Cálculos iluminancia'!JT52/1000</f>
        <v>0</v>
      </c>
      <c r="N40" s="161">
        <f>'Cálculos iluminancia'!MA52/1000</f>
        <v>0</v>
      </c>
    </row>
    <row r="41" spans="2:14" x14ac:dyDescent="0.25">
      <c r="B41" s="228">
        <v>0.20833333333333301</v>
      </c>
      <c r="C41" s="159">
        <f>'Cálculos iluminancia'!AR22/1000</f>
        <v>0</v>
      </c>
      <c r="D41" s="160">
        <f>'Cálculos iluminancia'!CY22/1000</f>
        <v>0</v>
      </c>
      <c r="E41" s="160">
        <f>'Cálculos iluminancia'!FF22/1000</f>
        <v>0</v>
      </c>
      <c r="F41" s="160">
        <f>'Cálculos iluminancia'!HM22/1000</f>
        <v>0</v>
      </c>
      <c r="G41" s="160">
        <f>'Cálculos iluminancia'!JT22/1000</f>
        <v>0</v>
      </c>
      <c r="H41" s="160">
        <f>'Cálculos iluminancia'!MA22/1000</f>
        <v>0</v>
      </c>
      <c r="I41" s="160">
        <f>'Cálculos iluminancia'!AR53/1000</f>
        <v>0</v>
      </c>
      <c r="J41" s="160">
        <f>'Cálculos iluminancia'!CY53/1000</f>
        <v>0</v>
      </c>
      <c r="K41" s="160">
        <f>'Cálculos iluminancia'!FF53/1000</f>
        <v>0</v>
      </c>
      <c r="L41" s="160">
        <f>'Cálculos iluminancia'!HM53/1000</f>
        <v>0</v>
      </c>
      <c r="M41" s="160">
        <f>'Cálculos iluminancia'!JT53/1000</f>
        <v>0</v>
      </c>
      <c r="N41" s="161">
        <f>'Cálculos iluminancia'!MA53/1000</f>
        <v>0</v>
      </c>
    </row>
    <row r="42" spans="2:14" x14ac:dyDescent="0.25">
      <c r="B42" s="228">
        <v>0.25</v>
      </c>
      <c r="C42" s="159">
        <f>'Cálculos iluminancia'!AR23/1000</f>
        <v>0</v>
      </c>
      <c r="D42" s="160">
        <f>'Cálculos iluminancia'!CY23/1000</f>
        <v>0</v>
      </c>
      <c r="E42" s="160">
        <f>'Cálculos iluminancia'!FF23/1000</f>
        <v>0</v>
      </c>
      <c r="F42" s="160">
        <f>'Cálculos iluminancia'!HM23/1000</f>
        <v>2.1577403965720272</v>
      </c>
      <c r="G42" s="160">
        <f>'Cálculos iluminancia'!JT23/1000</f>
        <v>2.1172942417642671</v>
      </c>
      <c r="H42" s="160">
        <f>'Cálculos iluminancia'!MA23/1000</f>
        <v>2.3139047055049784</v>
      </c>
      <c r="I42" s="160">
        <f>'Cálculos iluminancia'!AR54/1000</f>
        <v>3.5182941232040741</v>
      </c>
      <c r="J42" s="160">
        <f>'Cálculos iluminancia'!CY54/1000</f>
        <v>2.4399588731027548</v>
      </c>
      <c r="K42" s="160">
        <f>'Cálculos iluminancia'!FF54/1000</f>
        <v>0</v>
      </c>
      <c r="L42" s="160">
        <f>'Cálculos iluminancia'!HM54/1000</f>
        <v>0</v>
      </c>
      <c r="M42" s="160">
        <f>'Cálculos iluminancia'!JT54/1000</f>
        <v>0</v>
      </c>
      <c r="N42" s="161">
        <f>'Cálculos iluminancia'!MA54/1000</f>
        <v>0</v>
      </c>
    </row>
    <row r="43" spans="2:14" x14ac:dyDescent="0.25">
      <c r="B43" s="228">
        <v>0.29166666666666702</v>
      </c>
      <c r="C43" s="159">
        <f>'Cálculos iluminancia'!AR24/1000</f>
        <v>2.5593646040333309</v>
      </c>
      <c r="D43" s="160">
        <f>'Cálculos iluminancia'!CY24/1000</f>
        <v>4.906282494670994</v>
      </c>
      <c r="E43" s="160">
        <f>'Cálculos iluminancia'!FF24/1000</f>
        <v>5.7727544660073145</v>
      </c>
      <c r="F43" s="160">
        <f>'Cálculos iluminancia'!HM24/1000</f>
        <v>5.360739596616396</v>
      </c>
      <c r="G43" s="160">
        <f>'Cálculos iluminancia'!JT24/1000</f>
        <v>4.0977256210811994</v>
      </c>
      <c r="H43" s="160">
        <f>'Cálculos iluminancia'!MA24/1000</f>
        <v>4.1111618424797509</v>
      </c>
      <c r="I43" s="160">
        <f>'Cálculos iluminancia'!AR55/1000</f>
        <v>6.6124071496419647</v>
      </c>
      <c r="J43" s="160">
        <f>'Cálculos iluminancia'!CY55/1000</f>
        <v>6.0435668558335625</v>
      </c>
      <c r="K43" s="160">
        <f>'Cálculos iluminancia'!FF55/1000</f>
        <v>4.6808540344726488</v>
      </c>
      <c r="L43" s="160">
        <f>'Cálculos iluminancia'!HM55/1000</f>
        <v>3.3989877012076537</v>
      </c>
      <c r="M43" s="160">
        <f>'Cálculos iluminancia'!JT55/1000</f>
        <v>1.9008642974373067</v>
      </c>
      <c r="N43" s="161">
        <f>'Cálculos iluminancia'!MA55/1000</f>
        <v>0.90713159357532391</v>
      </c>
    </row>
    <row r="44" spans="2:14" x14ac:dyDescent="0.25">
      <c r="B44" s="228">
        <v>0.33333333333333298</v>
      </c>
      <c r="C44" s="159">
        <f>'Cálculos iluminancia'!AR25/1000</f>
        <v>9.7491183290310683</v>
      </c>
      <c r="D44" s="160">
        <f>'Cálculos iluminancia'!CY25/1000</f>
        <v>11.127774351788998</v>
      </c>
      <c r="E44" s="160">
        <f>'Cálculos iluminancia'!FF25/1000</f>
        <v>11.105658816503805</v>
      </c>
      <c r="F44" s="160">
        <f>'Cálculos iluminancia'!HM25/1000</f>
        <v>8.363107457605329</v>
      </c>
      <c r="G44" s="160">
        <f>'Cálculos iluminancia'!JT25/1000</f>
        <v>5.2932564561767013</v>
      </c>
      <c r="H44" s="160">
        <f>'Cálculos iluminancia'!MA25/1000</f>
        <v>5.1892775504473656</v>
      </c>
      <c r="I44" s="160">
        <f>'Cálculos iluminancia'!AR56/1000</f>
        <v>8.2940642804810505</v>
      </c>
      <c r="J44" s="160">
        <f>'Cálculos iluminancia'!CY56/1000</f>
        <v>9.3661318109113374</v>
      </c>
      <c r="K44" s="160">
        <f>'Cálculos iluminancia'!FF56/1000</f>
        <v>8.7623270637841912</v>
      </c>
      <c r="L44" s="160">
        <f>'Cálculos iluminancia'!HM56/1000</f>
        <v>7.2375885110722571</v>
      </c>
      <c r="M44" s="160">
        <f>'Cálculos iluminancia'!JT56/1000</f>
        <v>7.7739656496466107</v>
      </c>
      <c r="N44" s="161">
        <f>'Cálculos iluminancia'!MA56/1000</f>
        <v>8.8320471479829408</v>
      </c>
    </row>
    <row r="45" spans="2:14" x14ac:dyDescent="0.25">
      <c r="B45" s="228">
        <v>0.375</v>
      </c>
      <c r="C45" s="159">
        <f>'Cálculos iluminancia'!AR26/1000</f>
        <v>15.337435395537996</v>
      </c>
      <c r="D45" s="160">
        <f>'Cálculos iluminancia'!CY26/1000</f>
        <v>16.502559660477161</v>
      </c>
      <c r="E45" s="160">
        <f>'Cálculos iluminancia'!FF26/1000</f>
        <v>15.705496100371587</v>
      </c>
      <c r="F45" s="160">
        <f>'Cálculos iluminancia'!HM26/1000</f>
        <v>11.450046416582449</v>
      </c>
      <c r="G45" s="160">
        <f>'Cálculos iluminancia'!JT26/1000</f>
        <v>6.0289094122701892</v>
      </c>
      <c r="H45" s="160">
        <f>'Cálculos iluminancia'!MA26/1000</f>
        <v>5.6109018134155093</v>
      </c>
      <c r="I45" s="160">
        <f>'Cálculos iluminancia'!AR57/1000</f>
        <v>9.0951025586066141</v>
      </c>
      <c r="J45" s="160">
        <f>'Cálculos iluminancia'!CY57/1000</f>
        <v>12.845342821063339</v>
      </c>
      <c r="K45" s="160">
        <f>'Cálculos iluminancia'!FF57/1000</f>
        <v>12.063220886404935</v>
      </c>
      <c r="L45" s="160">
        <f>'Cálculos iluminancia'!HM57/1000</f>
        <v>10.343531821273897</v>
      </c>
      <c r="M45" s="160">
        <f>'Cálculos iluminancia'!JT57/1000</f>
        <v>11.654895934393275</v>
      </c>
      <c r="N45" s="161">
        <f>'Cálculos iluminancia'!MA57/1000</f>
        <v>14.62605997489255</v>
      </c>
    </row>
    <row r="46" spans="2:14" x14ac:dyDescent="0.25">
      <c r="B46" s="228">
        <v>0.41666666666666702</v>
      </c>
      <c r="C46" s="159">
        <f>'Cálculos iluminancia'!AR27/1000</f>
        <v>19.658529288682796</v>
      </c>
      <c r="D46" s="160">
        <f>'Cálculos iluminancia'!CY27/1000</f>
        <v>20.691988913857596</v>
      </c>
      <c r="E46" s="160">
        <f>'Cálculos iluminancia'!FF27/1000</f>
        <v>19.305578414101149</v>
      </c>
      <c r="F46" s="160">
        <f>'Cálculos iluminancia'!HM27/1000</f>
        <v>13.781564252580063</v>
      </c>
      <c r="G46" s="160">
        <f>'Cálculos iluminancia'!JT27/1000</f>
        <v>6.9510600802252842</v>
      </c>
      <c r="H46" s="160">
        <f>'Cálculos iluminancia'!MA27/1000</f>
        <v>5.9990626553874309</v>
      </c>
      <c r="I46" s="160">
        <f>'Cálculos iluminancia'!AR58/1000</f>
        <v>10.674249851301839</v>
      </c>
      <c r="J46" s="160">
        <f>'Cálculos iluminancia'!CY58/1000</f>
        <v>15.482685635315095</v>
      </c>
      <c r="K46" s="160">
        <f>'Cálculos iluminancia'!FF58/1000</f>
        <v>13.725625384937125</v>
      </c>
      <c r="L46" s="160">
        <f>'Cálculos iluminancia'!HM58/1000</f>
        <v>12.619907900107975</v>
      </c>
      <c r="M46" s="160">
        <f>'Cálculos iluminancia'!JT58/1000</f>
        <v>14.504961214357168</v>
      </c>
      <c r="N46" s="161">
        <f>'Cálculos iluminancia'!MA58/1000</f>
        <v>18.334918303339453</v>
      </c>
    </row>
    <row r="47" spans="2:14" x14ac:dyDescent="0.25">
      <c r="B47" s="228">
        <v>0.45833333333333298</v>
      </c>
      <c r="C47" s="159">
        <f>'Cálculos iluminancia'!AR28/1000</f>
        <v>22.423722404761026</v>
      </c>
      <c r="D47" s="160">
        <f>'Cálculos iluminancia'!CY28/1000</f>
        <v>23.402250285494265</v>
      </c>
      <c r="E47" s="160">
        <f>'Cálculos iluminancia'!FF28/1000</f>
        <v>21.647886982026417</v>
      </c>
      <c r="F47" s="160">
        <f>'Cálculos iluminancia'!HM28/1000</f>
        <v>14.318525924926236</v>
      </c>
      <c r="G47" s="160">
        <f>'Cálculos iluminancia'!JT28/1000</f>
        <v>7.3439594603592377</v>
      </c>
      <c r="H47" s="160">
        <f>'Cálculos iluminancia'!MA28/1000</f>
        <v>6.2384784348565816</v>
      </c>
      <c r="I47" s="160">
        <f>'Cálculos iluminancia'!AR59/1000</f>
        <v>11.316276704921636</v>
      </c>
      <c r="J47" s="160">
        <f>'Cálculos iluminancia'!CY59/1000</f>
        <v>17.07872065190903</v>
      </c>
      <c r="K47" s="160">
        <f>'Cálculos iluminancia'!FF59/1000</f>
        <v>15.115022742251158</v>
      </c>
      <c r="L47" s="160">
        <f>'Cálculos iluminancia'!HM59/1000</f>
        <v>14.020263066660483</v>
      </c>
      <c r="M47" s="160">
        <f>'Cálculos iluminancia'!JT59/1000</f>
        <v>16.253139726992419</v>
      </c>
      <c r="N47" s="161">
        <f>'Cálculos iluminancia'!MA59/1000</f>
        <v>20.804765066722485</v>
      </c>
    </row>
    <row r="48" spans="2:14" x14ac:dyDescent="0.25">
      <c r="B48" s="228">
        <v>0.5</v>
      </c>
      <c r="C48" s="159">
        <f>'Cálculos iluminancia'!AR29/1000</f>
        <v>23.38205109730114</v>
      </c>
      <c r="D48" s="160">
        <f>'Cálculos iluminancia'!CY29/1000</f>
        <v>24.343967090822922</v>
      </c>
      <c r="E48" s="160">
        <f>'Cálculos iluminancia'!FF29/1000</f>
        <v>22.461418054845641</v>
      </c>
      <c r="F48" s="160">
        <f>'Cálculos iluminancia'!HM29/1000</f>
        <v>14.630766267797533</v>
      </c>
      <c r="G48" s="160">
        <f>'Cálculos iluminancia'!JT29/1000</f>
        <v>7.3515261064259327</v>
      </c>
      <c r="H48" s="160">
        <f>'Cálculos iluminancia'!MA29/1000</f>
        <v>6.1033413710976987</v>
      </c>
      <c r="I48" s="160">
        <f>'Cálculos iluminancia'!AR60/1000</f>
        <v>11.240763912734177</v>
      </c>
      <c r="J48" s="160">
        <f>'Cálculos iluminancia'!CY60/1000</f>
        <v>17.578373878493242</v>
      </c>
      <c r="K48" s="160">
        <f>'Cálculos iluminancia'!FF60/1000</f>
        <v>15.588902801807491</v>
      </c>
      <c r="L48" s="160">
        <f>'Cálculos iluminancia'!HM60/1000</f>
        <v>14.495709456286498</v>
      </c>
      <c r="M48" s="160">
        <f>'Cálculos iluminancia'!JT60/1000</f>
        <v>16.844441924381453</v>
      </c>
      <c r="N48" s="161">
        <f>'Cálculos iluminancia'!MA60/1000</f>
        <v>21.640504118510442</v>
      </c>
    </row>
    <row r="49" spans="2:14" x14ac:dyDescent="0.25">
      <c r="B49" s="228">
        <v>0.54166666666666696</v>
      </c>
      <c r="C49" s="159">
        <f>'Cálculos iluminancia'!AR30/1000</f>
        <v>22.432385729761343</v>
      </c>
      <c r="D49" s="160">
        <f>'Cálculos iluminancia'!CY30/1000</f>
        <v>23.395639307027732</v>
      </c>
      <c r="E49" s="160">
        <f>'Cálculos iluminancia'!FF30/1000</f>
        <v>21.621189079357713</v>
      </c>
      <c r="F49" s="160">
        <f>'Cálculos iluminancia'!HM30/1000</f>
        <v>14.302130171698487</v>
      </c>
      <c r="G49" s="160">
        <f>'Cálculos iluminancia'!JT30/1000</f>
        <v>7.3420639323808778</v>
      </c>
      <c r="H49" s="160">
        <f>'Cálculos iluminancia'!MA30/1000</f>
        <v>6.2367878400429424</v>
      </c>
      <c r="I49" s="160">
        <f>'Cálculos iluminancia'!AR61/1000</f>
        <v>11.29085738370998</v>
      </c>
      <c r="J49" s="160">
        <f>'Cálculos iluminancia'!CY61/1000</f>
        <v>17.041107524769707</v>
      </c>
      <c r="K49" s="160">
        <f>'Cálculos iluminancia'!FF61/1000</f>
        <v>15.112621648379955</v>
      </c>
      <c r="L49" s="160">
        <f>'Cálculos iluminancia'!HM61/1000</f>
        <v>14.019360918045358</v>
      </c>
      <c r="M49" s="160">
        <f>'Cálculos iluminancia'!JT61/1000</f>
        <v>16.253664891651034</v>
      </c>
      <c r="N49" s="161">
        <f>'Cálculos iluminancia'!MA61/1000</f>
        <v>20.810313944212087</v>
      </c>
    </row>
    <row r="50" spans="2:14" x14ac:dyDescent="0.25">
      <c r="B50" s="228">
        <v>0.58333333333333304</v>
      </c>
      <c r="C50" s="159">
        <f>'Cálculos iluminancia'!AR31/1000</f>
        <v>19.690861003765637</v>
      </c>
      <c r="D50" s="160">
        <f>'Cálculos iluminancia'!CY31/1000</f>
        <v>20.7125255256041</v>
      </c>
      <c r="E50" s="160">
        <f>'Cálculos iluminancia'!FF31/1000</f>
        <v>19.304301670290993</v>
      </c>
      <c r="F50" s="160">
        <f>'Cálculos iluminancia'!HM31/1000</f>
        <v>13.764097606054795</v>
      </c>
      <c r="G50" s="160">
        <f>'Cálculos iluminancia'!JT31/1000</f>
        <v>6.9496406669875457</v>
      </c>
      <c r="H50" s="160">
        <f>'Cálculos iluminancia'!MA31/1000</f>
        <v>5.9976822246076429</v>
      </c>
      <c r="I50" s="160">
        <f>'Cálculos iluminancia'!AR62/1000</f>
        <v>10.654691506910568</v>
      </c>
      <c r="J50" s="160">
        <f>'Cálculos iluminancia'!CY62/1000</f>
        <v>15.46135472604036</v>
      </c>
      <c r="K50" s="160">
        <f>'Cálculos iluminancia'!FF62/1000</f>
        <v>13.725356825856039</v>
      </c>
      <c r="L50" s="160">
        <f>'Cálculos iluminancia'!HM62/1000</f>
        <v>12.621382380744105</v>
      </c>
      <c r="M50" s="160">
        <f>'Cálculos iluminancia'!JT62/1000</f>
        <v>14.507788559272532</v>
      </c>
      <c r="N50" s="161">
        <f>'Cálculos iluminancia'!MA62/1000</f>
        <v>18.351069016972698</v>
      </c>
    </row>
    <row r="51" spans="2:14" x14ac:dyDescent="0.25">
      <c r="B51" s="228">
        <v>0.625</v>
      </c>
      <c r="C51" s="159">
        <f>'Cálculos iluminancia'!AR32/1000</f>
        <v>15.391488834096846</v>
      </c>
      <c r="D51" s="160">
        <f>'Cálculos iluminancia'!CY32/1000</f>
        <v>16.562238296700841</v>
      </c>
      <c r="E51" s="160">
        <f>'Cálculos iluminancia'!FF32/1000</f>
        <v>15.759343145358507</v>
      </c>
      <c r="F51" s="160">
        <f>'Cálculos iluminancia'!HM32/1000</f>
        <v>11.481730071642538</v>
      </c>
      <c r="G51" s="160">
        <f>'Cálculos iluminancia'!JT32/1000</f>
        <v>6.0302394721847445</v>
      </c>
      <c r="H51" s="160">
        <f>'Cálculos iluminancia'!MA32/1000</f>
        <v>5.6121242980463357</v>
      </c>
      <c r="I51" s="160">
        <f>'Cálculos iluminancia'!AR63/1000</f>
        <v>9.1149613707238242</v>
      </c>
      <c r="J51" s="160">
        <f>'Cálculos iluminancia'!CY63/1000</f>
        <v>12.886617313901679</v>
      </c>
      <c r="K51" s="160">
        <f>'Cálculos iluminancia'!FF63/1000</f>
        <v>12.090864209377337</v>
      </c>
      <c r="L51" s="160">
        <f>'Cálculos iluminancia'!HM63/1000</f>
        <v>10.348854243555722</v>
      </c>
      <c r="M51" s="160">
        <f>'Cálculos iluminancia'!JT63/1000</f>
        <v>11.66017052265293</v>
      </c>
      <c r="N51" s="161">
        <f>'Cálculos iluminancia'!MA63/1000</f>
        <v>14.675282116662078</v>
      </c>
    </row>
    <row r="52" spans="2:14" x14ac:dyDescent="0.25">
      <c r="B52" s="228">
        <v>0.66666666666666696</v>
      </c>
      <c r="C52" s="159">
        <f>'Cálculos iluminancia'!AR33/1000</f>
        <v>9.7978157803006969</v>
      </c>
      <c r="D52" s="160">
        <f>'Cálculos iluminancia'!CY33/1000</f>
        <v>11.194777962758701</v>
      </c>
      <c r="E52" s="160">
        <f>'Cálculos iluminancia'!FF33/1000</f>
        <v>11.184385633672287</v>
      </c>
      <c r="F52" s="160">
        <f>'Cálculos iluminancia'!HM33/1000</f>
        <v>8.4269195992307466</v>
      </c>
      <c r="G52" s="160">
        <f>'Cálculos iluminancia'!JT33/1000</f>
        <v>5.2973916368615646</v>
      </c>
      <c r="H52" s="160">
        <f>'Cálculos iluminancia'!MA33/1000</f>
        <v>5.1937590157877933</v>
      </c>
      <c r="I52" s="160">
        <f>'Cálculos iluminancia'!AR64/1000</f>
        <v>8.3619227678809089</v>
      </c>
      <c r="J52" s="160">
        <f>'Cálculos iluminancia'!CY64/1000</f>
        <v>9.4541195010587895</v>
      </c>
      <c r="K52" s="160">
        <f>'Cálculos iluminancia'!FF64/1000</f>
        <v>8.8053804729102936</v>
      </c>
      <c r="L52" s="160">
        <f>'Cálculos iluminancia'!HM64/1000</f>
        <v>7.2440015470792511</v>
      </c>
      <c r="M52" s="160">
        <f>'Cálculos iluminancia'!JT64/1000</f>
        <v>7.7790869507025571</v>
      </c>
      <c r="N52" s="161">
        <f>'Cálculos iluminancia'!MA64/1000</f>
        <v>8.8520947982559015</v>
      </c>
    </row>
    <row r="53" spans="2:14" x14ac:dyDescent="0.25">
      <c r="B53" s="228">
        <v>0.70833333333333304</v>
      </c>
      <c r="C53" s="159">
        <f>'Cálculos iluminancia'!AR34/1000</f>
        <v>2.5606415650483765</v>
      </c>
      <c r="D53" s="160">
        <f>'Cálculos iluminancia'!CY34/1000</f>
        <v>4.9406034191984194</v>
      </c>
      <c r="E53" s="160">
        <f>'Cálculos iluminancia'!FF34/1000</f>
        <v>5.8243118845769963</v>
      </c>
      <c r="F53" s="160">
        <f>'Cálculos iluminancia'!HM34/1000</f>
        <v>5.4176388885068016</v>
      </c>
      <c r="G53" s="160">
        <f>'Cálculos iluminancia'!JT34/1000</f>
        <v>4.1025025886770212</v>
      </c>
      <c r="H53" s="160">
        <f>'Cálculos iluminancia'!MA34/1000</f>
        <v>4.1167380930536552</v>
      </c>
      <c r="I53" s="160">
        <f>'Cálculos iluminancia'!AR65/1000</f>
        <v>6.6982941542838477</v>
      </c>
      <c r="J53" s="160">
        <f>'Cálculos iluminancia'!CY65/1000</f>
        <v>6.126626004800511</v>
      </c>
      <c r="K53" s="160">
        <f>'Cálculos iluminancia'!FF65/1000</f>
        <v>4.7102047584778708</v>
      </c>
      <c r="L53" s="160">
        <f>'Cálculos iluminancia'!HM65/1000</f>
        <v>3.402525330365914</v>
      </c>
      <c r="M53" s="160">
        <f>'Cálculos iluminancia'!JT65/1000</f>
        <v>1.9022380817192535</v>
      </c>
      <c r="N53" s="161">
        <f>'Cálculos iluminancia'!MA65/1000</f>
        <v>0.90753045674895361</v>
      </c>
    </row>
    <row r="54" spans="2:14" x14ac:dyDescent="0.25">
      <c r="B54" s="228">
        <v>0.75</v>
      </c>
      <c r="C54" s="159">
        <f>'Cálculos iluminancia'!AR35/1000</f>
        <v>0</v>
      </c>
      <c r="D54" s="160">
        <f>'Cálculos iluminancia'!CY35/1000</f>
        <v>0</v>
      </c>
      <c r="E54" s="160">
        <f>'Cálculos iluminancia'!FF35/1000</f>
        <v>0</v>
      </c>
      <c r="F54" s="160">
        <f>'Cálculos iluminancia'!HM35/1000</f>
        <v>2.1691333975771108</v>
      </c>
      <c r="G54" s="160">
        <f>'Cálculos iluminancia'!JT35/1000</f>
        <v>2.1198996007290156</v>
      </c>
      <c r="H54" s="160">
        <f>'Cálculos iluminancia'!MA35/1000</f>
        <v>2.317332582071288</v>
      </c>
      <c r="I54" s="160">
        <f>'Cálculos iluminancia'!AR66/1000</f>
        <v>3.5685999122192156</v>
      </c>
      <c r="J54" s="160">
        <f>'Cálculos iluminancia'!CY66/1000</f>
        <v>2.4574367943553064</v>
      </c>
      <c r="K54" s="160">
        <f>'Cálculos iluminancia'!FF66/1000</f>
        <v>0</v>
      </c>
      <c r="L54" s="160">
        <f>'Cálculos iluminancia'!HM66/1000</f>
        <v>0</v>
      </c>
      <c r="M54" s="160">
        <f>'Cálculos iluminancia'!JT66/1000</f>
        <v>0</v>
      </c>
      <c r="N54" s="161">
        <f>'Cálculos iluminancia'!MA66/1000</f>
        <v>0</v>
      </c>
    </row>
    <row r="55" spans="2:14" x14ac:dyDescent="0.25">
      <c r="B55" s="228">
        <v>0.79166666666666696</v>
      </c>
      <c r="C55" s="159">
        <f>'Cálculos iluminancia'!AR36/1000</f>
        <v>0</v>
      </c>
      <c r="D55" s="160">
        <f>'Cálculos iluminancia'!CY36/1000</f>
        <v>0</v>
      </c>
      <c r="E55" s="160">
        <f>'Cálculos iluminancia'!FF36/1000</f>
        <v>0</v>
      </c>
      <c r="F55" s="160">
        <f>'Cálculos iluminancia'!HM36/1000</f>
        <v>0</v>
      </c>
      <c r="G55" s="160">
        <f>'Cálculos iluminancia'!JT36/1000</f>
        <v>0</v>
      </c>
      <c r="H55" s="160">
        <f>'Cálculos iluminancia'!MA36/1000</f>
        <v>0</v>
      </c>
      <c r="I55" s="160">
        <f>'Cálculos iluminancia'!AR67/1000</f>
        <v>0</v>
      </c>
      <c r="J55" s="160">
        <f>'Cálculos iluminancia'!CY67/1000</f>
        <v>0</v>
      </c>
      <c r="K55" s="160">
        <f>'Cálculos iluminancia'!FF67/1000</f>
        <v>0</v>
      </c>
      <c r="L55" s="160">
        <f>'Cálculos iluminancia'!HM67/1000</f>
        <v>0</v>
      </c>
      <c r="M55" s="160">
        <f>'Cálculos iluminancia'!JT67/1000</f>
        <v>0</v>
      </c>
      <c r="N55" s="161">
        <f>'Cálculos iluminancia'!MA67/1000</f>
        <v>0</v>
      </c>
    </row>
    <row r="56" spans="2:14" x14ac:dyDescent="0.25">
      <c r="B56" s="228">
        <v>0.83333333333333304</v>
      </c>
      <c r="C56" s="159">
        <f>'Cálculos iluminancia'!AR37/1000</f>
        <v>0</v>
      </c>
      <c r="D56" s="160">
        <f>'Cálculos iluminancia'!CY37/1000</f>
        <v>0</v>
      </c>
      <c r="E56" s="160">
        <f>'Cálculos iluminancia'!FF37/1000</f>
        <v>0</v>
      </c>
      <c r="F56" s="160">
        <f>'Cálculos iluminancia'!HM37/1000</f>
        <v>0</v>
      </c>
      <c r="G56" s="160">
        <f>'Cálculos iluminancia'!JT37/1000</f>
        <v>0</v>
      </c>
      <c r="H56" s="160">
        <f>'Cálculos iluminancia'!MA37/1000</f>
        <v>0</v>
      </c>
      <c r="I56" s="160">
        <f>'Cálculos iluminancia'!AR68/1000</f>
        <v>0</v>
      </c>
      <c r="J56" s="160">
        <f>'Cálculos iluminancia'!CY68/1000</f>
        <v>0</v>
      </c>
      <c r="K56" s="160">
        <f>'Cálculos iluminancia'!FF68/1000</f>
        <v>0</v>
      </c>
      <c r="L56" s="160">
        <f>'Cálculos iluminancia'!HM68/1000</f>
        <v>0</v>
      </c>
      <c r="M56" s="160">
        <f>'Cálculos iluminancia'!JT68/1000</f>
        <v>0</v>
      </c>
      <c r="N56" s="161">
        <f>'Cálculos iluminancia'!MA68/1000</f>
        <v>0</v>
      </c>
    </row>
    <row r="57" spans="2:14" x14ac:dyDescent="0.25">
      <c r="B57" s="228">
        <v>0.875</v>
      </c>
      <c r="C57" s="159">
        <f>'Cálculos iluminancia'!AR38/1000</f>
        <v>0</v>
      </c>
      <c r="D57" s="160">
        <f>'Cálculos iluminancia'!CY38/1000</f>
        <v>0</v>
      </c>
      <c r="E57" s="160">
        <f>'Cálculos iluminancia'!FF38/1000</f>
        <v>0</v>
      </c>
      <c r="F57" s="160">
        <f>'Cálculos iluminancia'!HM38/1000</f>
        <v>0</v>
      </c>
      <c r="G57" s="160">
        <f>'Cálculos iluminancia'!JT38/1000</f>
        <v>0</v>
      </c>
      <c r="H57" s="160">
        <f>'Cálculos iluminancia'!MA38/1000</f>
        <v>0</v>
      </c>
      <c r="I57" s="160">
        <f>'Cálculos iluminancia'!AR69/1000</f>
        <v>0</v>
      </c>
      <c r="J57" s="160">
        <f>'Cálculos iluminancia'!CY69/1000</f>
        <v>0</v>
      </c>
      <c r="K57" s="160">
        <f>'Cálculos iluminancia'!FF69/1000</f>
        <v>0</v>
      </c>
      <c r="L57" s="160">
        <f>'Cálculos iluminancia'!HM69/1000</f>
        <v>0</v>
      </c>
      <c r="M57" s="160">
        <f>'Cálculos iluminancia'!JT69/1000</f>
        <v>0</v>
      </c>
      <c r="N57" s="161">
        <f>'Cálculos iluminancia'!MA69/1000</f>
        <v>0</v>
      </c>
    </row>
    <row r="58" spans="2:14" x14ac:dyDescent="0.25">
      <c r="B58" s="228">
        <v>0.91666666666666696</v>
      </c>
      <c r="C58" s="159">
        <f>'Cálculos iluminancia'!AR39/1000</f>
        <v>0</v>
      </c>
      <c r="D58" s="160">
        <f>'Cálculos iluminancia'!CY39/1000</f>
        <v>0</v>
      </c>
      <c r="E58" s="160">
        <f>'Cálculos iluminancia'!FF39/1000</f>
        <v>0</v>
      </c>
      <c r="F58" s="160">
        <f>'Cálculos iluminancia'!HM39/1000</f>
        <v>0</v>
      </c>
      <c r="G58" s="160">
        <f>'Cálculos iluminancia'!JT39/1000</f>
        <v>0</v>
      </c>
      <c r="H58" s="160">
        <f>'Cálculos iluminancia'!MA39/1000</f>
        <v>0</v>
      </c>
      <c r="I58" s="160">
        <f>'Cálculos iluminancia'!AR70/1000</f>
        <v>0</v>
      </c>
      <c r="J58" s="160">
        <f>'Cálculos iluminancia'!CY70/1000</f>
        <v>0</v>
      </c>
      <c r="K58" s="160">
        <f>'Cálculos iluminancia'!FF70/1000</f>
        <v>0</v>
      </c>
      <c r="L58" s="160">
        <f>'Cálculos iluminancia'!HM70/1000</f>
        <v>0</v>
      </c>
      <c r="M58" s="160">
        <f>'Cálculos iluminancia'!JT70/1000</f>
        <v>0</v>
      </c>
      <c r="N58" s="161">
        <f>'Cálculos iluminancia'!MA70/1000</f>
        <v>0</v>
      </c>
    </row>
    <row r="59" spans="2:14" x14ac:dyDescent="0.25">
      <c r="B59" s="228">
        <v>0.95833333333333304</v>
      </c>
      <c r="C59" s="159">
        <f>'Cálculos iluminancia'!AR40/1000</f>
        <v>0</v>
      </c>
      <c r="D59" s="160">
        <f>'Cálculos iluminancia'!CY40/1000</f>
        <v>0</v>
      </c>
      <c r="E59" s="160">
        <f>'Cálculos iluminancia'!FF40/1000</f>
        <v>0</v>
      </c>
      <c r="F59" s="160">
        <f>'Cálculos iluminancia'!HM40/1000</f>
        <v>0</v>
      </c>
      <c r="G59" s="160">
        <f>'Cálculos iluminancia'!JT40/1000</f>
        <v>0</v>
      </c>
      <c r="H59" s="160">
        <f>'Cálculos iluminancia'!MA40/1000</f>
        <v>0</v>
      </c>
      <c r="I59" s="160">
        <f>'Cálculos iluminancia'!AR71/1000</f>
        <v>0</v>
      </c>
      <c r="J59" s="160">
        <f>'Cálculos iluminancia'!CY71/1000</f>
        <v>0</v>
      </c>
      <c r="K59" s="160">
        <f>'Cálculos iluminancia'!FF71/1000</f>
        <v>0</v>
      </c>
      <c r="L59" s="160">
        <f>'Cálculos iluminancia'!HM71/1000</f>
        <v>0</v>
      </c>
      <c r="M59" s="160">
        <f>'Cálculos iluminancia'!JT71/1000</f>
        <v>0</v>
      </c>
      <c r="N59" s="161">
        <f>'Cálculos iluminancia'!MA71/1000</f>
        <v>0</v>
      </c>
    </row>
    <row r="60" spans="2:14" ht="15.75" thickBot="1" x14ac:dyDescent="0.3">
      <c r="B60" s="228">
        <v>1</v>
      </c>
      <c r="C60" s="162">
        <f>'Cálculos iluminancia'!AR41/1000</f>
        <v>0</v>
      </c>
      <c r="D60" s="163">
        <f>'Cálculos iluminancia'!CY41/1000</f>
        <v>0</v>
      </c>
      <c r="E60" s="163">
        <f>'Cálculos iluminancia'!FF41/1000</f>
        <v>0</v>
      </c>
      <c r="F60" s="163">
        <f>'Cálculos iluminancia'!HM41/1000</f>
        <v>0</v>
      </c>
      <c r="G60" s="163">
        <f>'Cálculos iluminancia'!JT41/1000</f>
        <v>0</v>
      </c>
      <c r="H60" s="163">
        <f>'Cálculos iluminancia'!MA41/1000</f>
        <v>0</v>
      </c>
      <c r="I60" s="163">
        <f>'Cálculos iluminancia'!AR72/1000</f>
        <v>0</v>
      </c>
      <c r="J60" s="163">
        <f>'Cálculos iluminancia'!CY72/1000</f>
        <v>0</v>
      </c>
      <c r="K60" s="163">
        <f>'Cálculos iluminancia'!FF72/1000</f>
        <v>0</v>
      </c>
      <c r="L60" s="163">
        <f>'Cálculos iluminancia'!HM72/1000</f>
        <v>0</v>
      </c>
      <c r="M60" s="163">
        <f>'Cálculos iluminancia'!JT72/1000</f>
        <v>0</v>
      </c>
      <c r="N60" s="164">
        <f>'Cálculos iluminancia'!MA72/1000</f>
        <v>0</v>
      </c>
    </row>
    <row r="62" spans="2:14" x14ac:dyDescent="0.25">
      <c r="B62" s="306" t="s">
        <v>217</v>
      </c>
      <c r="C62" s="307"/>
      <c r="D62" s="307"/>
      <c r="E62" s="307"/>
      <c r="F62" s="307"/>
      <c r="G62" s="307"/>
      <c r="H62" s="307"/>
      <c r="I62" s="307"/>
      <c r="J62" s="307"/>
      <c r="K62" s="307"/>
      <c r="L62" s="307"/>
      <c r="M62" s="307"/>
      <c r="N62" s="308"/>
    </row>
    <row r="63" spans="2:14" x14ac:dyDescent="0.25">
      <c r="B63" s="298" t="s">
        <v>1</v>
      </c>
      <c r="C63" s="299"/>
      <c r="D63" s="213" t="str">
        <f>D33</f>
        <v>Hermosillo, Son.</v>
      </c>
      <c r="E63" s="214"/>
      <c r="F63" s="298" t="s">
        <v>170</v>
      </c>
      <c r="G63" s="299"/>
      <c r="H63" s="216">
        <f>H33</f>
        <v>29.08</v>
      </c>
      <c r="I63" s="298" t="s">
        <v>202</v>
      </c>
      <c r="J63" s="299"/>
      <c r="K63" s="215">
        <f>K33</f>
        <v>-110.93</v>
      </c>
      <c r="L63" s="298" t="s">
        <v>201</v>
      </c>
      <c r="M63" s="299"/>
      <c r="N63" s="215">
        <f>N33</f>
        <v>211</v>
      </c>
    </row>
    <row r="64" spans="2:14" x14ac:dyDescent="0.25">
      <c r="B64" s="350"/>
      <c r="C64" s="338" t="s">
        <v>181</v>
      </c>
      <c r="D64" s="339"/>
      <c r="E64" s="339"/>
      <c r="F64" s="339"/>
      <c r="G64" s="339"/>
      <c r="H64" s="339"/>
      <c r="I64" s="339"/>
      <c r="J64" s="339"/>
      <c r="K64" s="339"/>
      <c r="L64" s="339"/>
      <c r="M64" s="339"/>
      <c r="N64" s="340"/>
    </row>
    <row r="65" spans="2:14" x14ac:dyDescent="0.25">
      <c r="B65" s="351"/>
      <c r="C65" s="347" t="s">
        <v>158</v>
      </c>
      <c r="D65" s="348"/>
      <c r="E65" s="348"/>
      <c r="F65" s="349"/>
      <c r="G65" s="309" t="str">
        <f>G35</f>
        <v>Sur</v>
      </c>
      <c r="H65" s="309"/>
      <c r="I65" s="347" t="s">
        <v>213</v>
      </c>
      <c r="J65" s="348"/>
      <c r="K65" s="348"/>
      <c r="L65" s="349"/>
      <c r="M65" s="347" t="str">
        <f>M35</f>
        <v>Vertical</v>
      </c>
      <c r="N65" s="349"/>
    </row>
    <row r="66" spans="2:14" ht="15.75" thickBot="1" x14ac:dyDescent="0.3">
      <c r="B66" s="210" t="s">
        <v>195</v>
      </c>
      <c r="C66" s="240" t="s">
        <v>5</v>
      </c>
      <c r="D66" s="240" t="s">
        <v>6</v>
      </c>
      <c r="E66" s="240" t="s">
        <v>7</v>
      </c>
      <c r="F66" s="240" t="s">
        <v>8</v>
      </c>
      <c r="G66" s="240" t="s">
        <v>9</v>
      </c>
      <c r="H66" s="240" t="s">
        <v>10</v>
      </c>
      <c r="I66" s="240" t="s">
        <v>11</v>
      </c>
      <c r="J66" s="240" t="s">
        <v>12</v>
      </c>
      <c r="K66" s="240" t="s">
        <v>13</v>
      </c>
      <c r="L66" s="240" t="s">
        <v>14</v>
      </c>
      <c r="M66" s="240" t="s">
        <v>15</v>
      </c>
      <c r="N66" s="240" t="s">
        <v>16</v>
      </c>
    </row>
    <row r="67" spans="2:14" x14ac:dyDescent="0.25">
      <c r="B67" s="228">
        <v>4.1666666666666699E-2</v>
      </c>
      <c r="C67" s="176">
        <f>'Cálculos iluminancia'!BH18/1000</f>
        <v>0</v>
      </c>
      <c r="D67" s="177">
        <f>'Cálculos iluminancia'!DO18/1000</f>
        <v>0</v>
      </c>
      <c r="E67" s="177">
        <f>'Cálculos iluminancia'!FV18/1000</f>
        <v>0</v>
      </c>
      <c r="F67" s="177">
        <f>'Cálculos iluminancia'!IC18/1000</f>
        <v>0</v>
      </c>
      <c r="G67" s="177">
        <f>'Cálculos iluminancia'!KJ18/1000</f>
        <v>0</v>
      </c>
      <c r="H67" s="177">
        <f>'Cálculos iluminancia'!MQ18/1000</f>
        <v>0</v>
      </c>
      <c r="I67" s="177">
        <f>'Cálculos iluminancia'!BH49/1000</f>
        <v>0</v>
      </c>
      <c r="J67" s="177">
        <f>'Cálculos iluminancia'!DO49/1000</f>
        <v>0</v>
      </c>
      <c r="K67" s="177">
        <f>'Cálculos iluminancia'!FV49/1000</f>
        <v>0</v>
      </c>
      <c r="L67" s="177">
        <f>'Cálculos iluminancia'!IC49/1000</f>
        <v>0</v>
      </c>
      <c r="M67" s="177">
        <f>'Cálculos iluminancia'!KJ49/1000</f>
        <v>0</v>
      </c>
      <c r="N67" s="178">
        <f>'Cálculos iluminancia'!MQ49/1000</f>
        <v>0</v>
      </c>
    </row>
    <row r="68" spans="2:14" x14ac:dyDescent="0.25">
      <c r="B68" s="228">
        <v>8.3333333333333301E-2</v>
      </c>
      <c r="C68" s="179">
        <f>'Cálculos iluminancia'!BH19/1000</f>
        <v>0</v>
      </c>
      <c r="D68" s="166">
        <f>'Cálculos iluminancia'!DO19/1000</f>
        <v>0</v>
      </c>
      <c r="E68" s="166">
        <f>'Cálculos iluminancia'!FV19/1000</f>
        <v>0</v>
      </c>
      <c r="F68" s="166">
        <f>'Cálculos iluminancia'!IC19/1000</f>
        <v>0</v>
      </c>
      <c r="G68" s="166">
        <f>'Cálculos iluminancia'!KJ19/1000</f>
        <v>0</v>
      </c>
      <c r="H68" s="166">
        <f>'Cálculos iluminancia'!MQ19/1000</f>
        <v>0</v>
      </c>
      <c r="I68" s="166">
        <f>'Cálculos iluminancia'!BH50/1000</f>
        <v>0</v>
      </c>
      <c r="J68" s="166">
        <f>'Cálculos iluminancia'!DO50/1000</f>
        <v>0</v>
      </c>
      <c r="K68" s="166">
        <f>'Cálculos iluminancia'!FV50/1000</f>
        <v>0</v>
      </c>
      <c r="L68" s="166">
        <f>'Cálculos iluminancia'!IC50/1000</f>
        <v>0</v>
      </c>
      <c r="M68" s="166">
        <f>'Cálculos iluminancia'!KJ50/1000</f>
        <v>0</v>
      </c>
      <c r="N68" s="180">
        <f>'Cálculos iluminancia'!MQ50/1000</f>
        <v>0</v>
      </c>
    </row>
    <row r="69" spans="2:14" x14ac:dyDescent="0.25">
      <c r="B69" s="228">
        <v>0.125</v>
      </c>
      <c r="C69" s="179">
        <f>'Cálculos iluminancia'!BH20/1000</f>
        <v>0</v>
      </c>
      <c r="D69" s="166">
        <f>'Cálculos iluminancia'!DO20/1000</f>
        <v>0</v>
      </c>
      <c r="E69" s="166">
        <f>'Cálculos iluminancia'!FV20/1000</f>
        <v>0</v>
      </c>
      <c r="F69" s="166">
        <f>'Cálculos iluminancia'!IC20/1000</f>
        <v>0</v>
      </c>
      <c r="G69" s="166">
        <f>'Cálculos iluminancia'!KJ20/1000</f>
        <v>0</v>
      </c>
      <c r="H69" s="166">
        <f>'Cálculos iluminancia'!MQ20/1000</f>
        <v>0</v>
      </c>
      <c r="I69" s="166">
        <f>'Cálculos iluminancia'!BH51/1000</f>
        <v>0</v>
      </c>
      <c r="J69" s="166">
        <f>'Cálculos iluminancia'!DO51/1000</f>
        <v>0</v>
      </c>
      <c r="K69" s="166">
        <f>'Cálculos iluminancia'!FV51/1000</f>
        <v>0</v>
      </c>
      <c r="L69" s="166">
        <f>'Cálculos iluminancia'!IC51/1000</f>
        <v>0</v>
      </c>
      <c r="M69" s="166">
        <f>'Cálculos iluminancia'!KJ51/1000</f>
        <v>0</v>
      </c>
      <c r="N69" s="180">
        <f>'Cálculos iluminancia'!MQ51/1000</f>
        <v>0</v>
      </c>
    </row>
    <row r="70" spans="2:14" x14ac:dyDescent="0.25">
      <c r="B70" s="228">
        <v>0.16666666666666699</v>
      </c>
      <c r="C70" s="179">
        <f>'Cálculos iluminancia'!BH21/1000</f>
        <v>0</v>
      </c>
      <c r="D70" s="166">
        <f>'Cálculos iluminancia'!DO21/1000</f>
        <v>0</v>
      </c>
      <c r="E70" s="166">
        <f>'Cálculos iluminancia'!FV21/1000</f>
        <v>0</v>
      </c>
      <c r="F70" s="166">
        <f>'Cálculos iluminancia'!IC21/1000</f>
        <v>0</v>
      </c>
      <c r="G70" s="166">
        <f>'Cálculos iluminancia'!KJ21/1000</f>
        <v>0</v>
      </c>
      <c r="H70" s="166">
        <f>'Cálculos iluminancia'!MQ21/1000</f>
        <v>0</v>
      </c>
      <c r="I70" s="166">
        <f>'Cálculos iluminancia'!BH52/1000</f>
        <v>0</v>
      </c>
      <c r="J70" s="166">
        <f>'Cálculos iluminancia'!DO52/1000</f>
        <v>0</v>
      </c>
      <c r="K70" s="166">
        <f>'Cálculos iluminancia'!FV52/1000</f>
        <v>0</v>
      </c>
      <c r="L70" s="166">
        <f>'Cálculos iluminancia'!IC52/1000</f>
        <v>0</v>
      </c>
      <c r="M70" s="166">
        <f>'Cálculos iluminancia'!KJ52/1000</f>
        <v>0</v>
      </c>
      <c r="N70" s="180">
        <f>'Cálculos iluminancia'!MQ52/1000</f>
        <v>0</v>
      </c>
    </row>
    <row r="71" spans="2:14" x14ac:dyDescent="0.25">
      <c r="B71" s="228">
        <v>0.20833333333333301</v>
      </c>
      <c r="C71" s="179">
        <f>'Cálculos iluminancia'!BH22/1000</f>
        <v>0</v>
      </c>
      <c r="D71" s="166">
        <f>'Cálculos iluminancia'!DO22/1000</f>
        <v>0</v>
      </c>
      <c r="E71" s="166">
        <f>'Cálculos iluminancia'!FV22/1000</f>
        <v>0</v>
      </c>
      <c r="F71" s="166">
        <f>'Cálculos iluminancia'!IC22/1000</f>
        <v>0</v>
      </c>
      <c r="G71" s="166">
        <f>'Cálculos iluminancia'!KJ22/1000</f>
        <v>0</v>
      </c>
      <c r="H71" s="166">
        <f>'Cálculos iluminancia'!MQ22/1000</f>
        <v>0</v>
      </c>
      <c r="I71" s="166">
        <f>'Cálculos iluminancia'!BH53/1000</f>
        <v>0</v>
      </c>
      <c r="J71" s="166">
        <f>'Cálculos iluminancia'!DO53/1000</f>
        <v>0</v>
      </c>
      <c r="K71" s="166">
        <f>'Cálculos iluminancia'!FV53/1000</f>
        <v>0</v>
      </c>
      <c r="L71" s="166">
        <f>'Cálculos iluminancia'!IC53/1000</f>
        <v>0</v>
      </c>
      <c r="M71" s="166">
        <f>'Cálculos iluminancia'!KJ53/1000</f>
        <v>0</v>
      </c>
      <c r="N71" s="180">
        <f>'Cálculos iluminancia'!MQ53/1000</f>
        <v>0</v>
      </c>
    </row>
    <row r="72" spans="2:14" x14ac:dyDescent="0.25">
      <c r="B72" s="228">
        <v>0.25</v>
      </c>
      <c r="C72" s="179">
        <f>'Cálculos iluminancia'!BH23/1000</f>
        <v>0</v>
      </c>
      <c r="D72" s="166">
        <f>'Cálculos iluminancia'!DO23/1000</f>
        <v>0</v>
      </c>
      <c r="E72" s="166">
        <f>'Cálculos iluminancia'!FV23/1000</f>
        <v>0</v>
      </c>
      <c r="F72" s="166">
        <f>'Cálculos iluminancia'!IC23/1000</f>
        <v>0</v>
      </c>
      <c r="G72" s="166">
        <f>'Cálculos iluminancia'!KJ23/1000</f>
        <v>0</v>
      </c>
      <c r="H72" s="166">
        <f>'Cálculos iluminancia'!MQ23/1000</f>
        <v>0</v>
      </c>
      <c r="I72" s="166">
        <f>'Cálculos iluminancia'!BH54/1000</f>
        <v>0</v>
      </c>
      <c r="J72" s="166">
        <f>'Cálculos iluminancia'!DO54/1000</f>
        <v>0</v>
      </c>
      <c r="K72" s="166">
        <f>'Cálculos iluminancia'!FV54/1000</f>
        <v>0</v>
      </c>
      <c r="L72" s="166">
        <f>'Cálculos iluminancia'!IC54/1000</f>
        <v>0</v>
      </c>
      <c r="M72" s="166">
        <f>'Cálculos iluminancia'!KJ54/1000</f>
        <v>0</v>
      </c>
      <c r="N72" s="180">
        <f>'Cálculos iluminancia'!MQ54/1000</f>
        <v>0</v>
      </c>
    </row>
    <row r="73" spans="2:14" x14ac:dyDescent="0.25">
      <c r="B73" s="228">
        <v>0.29166666666666702</v>
      </c>
      <c r="C73" s="179">
        <f>'Cálculos iluminancia'!BH24/1000</f>
        <v>14.898750995160341</v>
      </c>
      <c r="D73" s="166">
        <f>'Cálculos iluminancia'!DO24/1000</f>
        <v>9.1884242726398746</v>
      </c>
      <c r="E73" s="166">
        <f>'Cálculos iluminancia'!FV24/1000</f>
        <v>4.1808048264066313</v>
      </c>
      <c r="F73" s="166">
        <f>'Cálculos iluminancia'!IC24/1000</f>
        <v>0</v>
      </c>
      <c r="G73" s="166">
        <f>'Cálculos iluminancia'!KJ24/1000</f>
        <v>0</v>
      </c>
      <c r="H73" s="166">
        <f>'Cálculos iluminancia'!MQ24/1000</f>
        <v>0</v>
      </c>
      <c r="I73" s="166">
        <f>'Cálculos iluminancia'!BH55/1000</f>
        <v>0</v>
      </c>
      <c r="J73" s="166">
        <f>'Cálculos iluminancia'!DO55/1000</f>
        <v>0</v>
      </c>
      <c r="K73" s="166">
        <f>'Cálculos iluminancia'!FV55/1000</f>
        <v>7.8870021447574015</v>
      </c>
      <c r="L73" s="166">
        <f>'Cálculos iluminancia'!IC55/1000</f>
        <v>21.660022946194328</v>
      </c>
      <c r="M73" s="166">
        <f>'Cálculos iluminancia'!KJ55/1000</f>
        <v>25.400893738849614</v>
      </c>
      <c r="N73" s="180">
        <f>'Cálculos iluminancia'!MQ55/1000</f>
        <v>18.358878753764692</v>
      </c>
    </row>
    <row r="74" spans="2:14" x14ac:dyDescent="0.25">
      <c r="B74" s="228">
        <v>0.33333333333333298</v>
      </c>
      <c r="C74" s="179">
        <f>'Cálculos iluminancia'!BH25/1000</f>
        <v>25.59528518360332</v>
      </c>
      <c r="D74" s="166">
        <f>'Cálculos iluminancia'!DO25/1000</f>
        <v>18.227242918268963</v>
      </c>
      <c r="E74" s="166">
        <f>'Cálculos iluminancia'!FV25/1000</f>
        <v>10.897520491065244</v>
      </c>
      <c r="F74" s="166">
        <f>'Cálculos iluminancia'!IC25/1000</f>
        <v>3.4912917596633779</v>
      </c>
      <c r="G74" s="166">
        <f>'Cálculos iluminancia'!KJ25/1000</f>
        <v>0</v>
      </c>
      <c r="H74" s="166">
        <f>'Cálculos iluminancia'!MQ25/1000</f>
        <v>0</v>
      </c>
      <c r="I74" s="166">
        <f>'Cálculos iluminancia'!BH56/1000</f>
        <v>0</v>
      </c>
      <c r="J74" s="166">
        <f>'Cálculos iluminancia'!DO56/1000</f>
        <v>3.1570977527971062</v>
      </c>
      <c r="K74" s="166">
        <f>'Cálculos iluminancia'!FV56/1000</f>
        <v>18.671741855390888</v>
      </c>
      <c r="L74" s="166">
        <f>'Cálculos iluminancia'!IC56/1000</f>
        <v>36.126746067008476</v>
      </c>
      <c r="M74" s="166">
        <f>'Cálculos iluminancia'!KJ56/1000</f>
        <v>40.276409183841722</v>
      </c>
      <c r="N74" s="180">
        <f>'Cálculos iluminancia'!MQ56/1000</f>
        <v>29.130729880558359</v>
      </c>
    </row>
    <row r="75" spans="2:14" x14ac:dyDescent="0.25">
      <c r="B75" s="228">
        <v>0.375</v>
      </c>
      <c r="C75" s="179">
        <f>'Cálculos iluminancia'!BH26/1000</f>
        <v>38.159862929686554</v>
      </c>
      <c r="D75" s="166">
        <f>'Cálculos iluminancia'!DO26/1000</f>
        <v>28.511816812629874</v>
      </c>
      <c r="E75" s="166">
        <f>'Cálculos iluminancia'!FV26/1000</f>
        <v>18.983793901017222</v>
      </c>
      <c r="F75" s="166">
        <f>'Cálculos iluminancia'!IC26/1000</f>
        <v>10.594141947273819</v>
      </c>
      <c r="G75" s="166">
        <f>'Cálculos iluminancia'!KJ26/1000</f>
        <v>2.0480966101818696</v>
      </c>
      <c r="H75" s="166">
        <f>'Cálculos iluminancia'!MQ26/1000</f>
        <v>0</v>
      </c>
      <c r="I75" s="166">
        <f>'Cálculos iluminancia'!BH57/1000</f>
        <v>1.0583810766790311</v>
      </c>
      <c r="J75" s="166">
        <f>'Cálculos iluminancia'!DO57/1000</f>
        <v>9.9710714444828099</v>
      </c>
      <c r="K75" s="166">
        <f>'Cálculos iluminancia'!FV57/1000</f>
        <v>30.808304663739847</v>
      </c>
      <c r="L75" s="166">
        <f>'Cálculos iluminancia'!IC57/1000</f>
        <v>51.326494034719254</v>
      </c>
      <c r="M75" s="166">
        <f>'Cálculos iluminancia'!KJ57/1000</f>
        <v>55.917568827473723</v>
      </c>
      <c r="N75" s="180">
        <f>'Cálculos iluminancia'!MQ57/1000</f>
        <v>44.327955866999602</v>
      </c>
    </row>
    <row r="76" spans="2:14" x14ac:dyDescent="0.25">
      <c r="B76" s="228">
        <v>0.41666666666666702</v>
      </c>
      <c r="C76" s="179">
        <f>'Cálculos iluminancia'!BH27/1000</f>
        <v>49.560189174830313</v>
      </c>
      <c r="D76" s="166">
        <f>'Cálculos iluminancia'!DO27/1000</f>
        <v>38.043796260370073</v>
      </c>
      <c r="E76" s="166">
        <f>'Cálculos iluminancia'!FV27/1000</f>
        <v>26.684112020633883</v>
      </c>
      <c r="F76" s="166">
        <f>'Cálculos iluminancia'!IC27/1000</f>
        <v>17.407272087992204</v>
      </c>
      <c r="G76" s="166">
        <f>'Cálculos iluminancia'!KJ27/1000</f>
        <v>9.474542564349953</v>
      </c>
      <c r="H76" s="166">
        <f>'Cálculos iluminancia'!MQ27/1000</f>
        <v>3.9931308125514886</v>
      </c>
      <c r="I76" s="166">
        <f>'Cálculos iluminancia'!BH58/1000</f>
        <v>6.252487306333558</v>
      </c>
      <c r="J76" s="166">
        <f>'Cálculos iluminancia'!DO58/1000</f>
        <v>16.593560441180859</v>
      </c>
      <c r="K76" s="166">
        <f>'Cálculos iluminancia'!FV58/1000</f>
        <v>41.197533125628951</v>
      </c>
      <c r="L76" s="166">
        <f>'Cálculos iluminancia'!IC58/1000</f>
        <v>64.744820590409617</v>
      </c>
      <c r="M76" s="166">
        <f>'Cálculos iluminancia'!KJ58/1000</f>
        <v>69.681892851931025</v>
      </c>
      <c r="N76" s="180">
        <f>'Cálculos iluminancia'!MQ58/1000</f>
        <v>55.677190834984579</v>
      </c>
    </row>
    <row r="77" spans="2:14" x14ac:dyDescent="0.25">
      <c r="B77" s="228">
        <v>0.45833333333333298</v>
      </c>
      <c r="C77" s="179">
        <f>'Cálculos iluminancia'!BH28/1000</f>
        <v>57.530320934406937</v>
      </c>
      <c r="D77" s="166">
        <f>'Cálculos iluminancia'!DO28/1000</f>
        <v>44.781118536816784</v>
      </c>
      <c r="E77" s="166">
        <f>'Cálculos iluminancia'!FV28/1000</f>
        <v>32.200946256161544</v>
      </c>
      <c r="F77" s="166">
        <f>'Cálculos iluminancia'!IC28/1000</f>
        <v>22.09472532993928</v>
      </c>
      <c r="G77" s="166">
        <f>'Cálculos iluminancia'!KJ28/1000</f>
        <v>14.600490123015444</v>
      </c>
      <c r="H77" s="166">
        <f>'Cálculos iluminancia'!MQ28/1000</f>
        <v>8.9421251200432383</v>
      </c>
      <c r="I77" s="166">
        <f>'Cálculos iluminancia'!BH59/1000</f>
        <v>10.049165561737199</v>
      </c>
      <c r="J77" s="166">
        <f>'Cálculos iluminancia'!DO59/1000</f>
        <v>21.381659868124075</v>
      </c>
      <c r="K77" s="166">
        <f>'Cálculos iluminancia'!FV59/1000</f>
        <v>48.428979349604646</v>
      </c>
      <c r="L77" s="166">
        <f>'Cálculos iluminancia'!IC59/1000</f>
        <v>73.939383460293058</v>
      </c>
      <c r="M77" s="166">
        <f>'Cálculos iluminancia'!KJ59/1000</f>
        <v>79.125096571116856</v>
      </c>
      <c r="N77" s="180">
        <f>'Cálculos iluminancia'!MQ59/1000</f>
        <v>64.466721454736543</v>
      </c>
    </row>
    <row r="78" spans="2:14" x14ac:dyDescent="0.25">
      <c r="B78" s="228">
        <v>0.5</v>
      </c>
      <c r="C78" s="179">
        <f>'Cálculos iluminancia'!BH29/1000</f>
        <v>60.392970845520495</v>
      </c>
      <c r="D78" s="166">
        <f>'Cálculos iluminancia'!DO29/1000</f>
        <v>47.209253880400681</v>
      </c>
      <c r="E78" s="166">
        <f>'Cálculos iluminancia'!FV29/1000</f>
        <v>34.198761785713899</v>
      </c>
      <c r="F78" s="166">
        <f>'Cálculos iluminancia'!IC29/1000</f>
        <v>23.86065906565349</v>
      </c>
      <c r="G78" s="166">
        <f>'Cálculos iluminancia'!KJ29/1000</f>
        <v>16.41125574589579</v>
      </c>
      <c r="H78" s="166">
        <f>'Cálculos iluminancia'!MQ29/1000</f>
        <v>10.694278326337962</v>
      </c>
      <c r="I78" s="166">
        <f>'Cálculos iluminancia'!BH60/1000</f>
        <v>11.435671507146061</v>
      </c>
      <c r="J78" s="166">
        <f>'Cálculos iluminancia'!DO60/1000</f>
        <v>23.119986276366557</v>
      </c>
      <c r="K78" s="166">
        <f>'Cálculos iluminancia'!FV60/1000</f>
        <v>50.97021713476714</v>
      </c>
      <c r="L78" s="166">
        <f>'Cálculos iluminancia'!IC60/1000</f>
        <v>77.175968514874555</v>
      </c>
      <c r="M78" s="166">
        <f>'Cálculos iluminancia'!KJ60/1000</f>
        <v>82.480661454435619</v>
      </c>
      <c r="N78" s="180">
        <f>'Cálculos iluminancia'!MQ60/1000</f>
        <v>67.621785229730818</v>
      </c>
    </row>
    <row r="79" spans="2:14" x14ac:dyDescent="0.25">
      <c r="B79" s="228">
        <v>0.54166666666666696</v>
      </c>
      <c r="C79" s="179">
        <f>'Cálculos iluminancia'!BH30/1000</f>
        <v>57.53651257085621</v>
      </c>
      <c r="D79" s="166">
        <f>'Cálculos iluminancia'!DO30/1000</f>
        <v>44.778320399487804</v>
      </c>
      <c r="E79" s="166">
        <f>'Cálculos iluminancia'!FV30/1000</f>
        <v>32.193842116740711</v>
      </c>
      <c r="F79" s="166">
        <f>'Cálculos iluminancia'!IC30/1000</f>
        <v>22.073342290561701</v>
      </c>
      <c r="G79" s="166">
        <f>'Cálculos iluminancia'!KJ30/1000</f>
        <v>14.57346076612748</v>
      </c>
      <c r="H79" s="166">
        <f>'Cálculos iluminancia'!MQ30/1000</f>
        <v>8.925130494972473</v>
      </c>
      <c r="I79" s="166">
        <f>'Cálculos iluminancia'!BH61/1000</f>
        <v>10.044467092980756</v>
      </c>
      <c r="J79" s="166">
        <f>'Cálculos iluminancia'!DO61/1000</f>
        <v>21.371554369028924</v>
      </c>
      <c r="K79" s="166">
        <f>'Cálculos iluminancia'!FV61/1000</f>
        <v>48.370787876664835</v>
      </c>
      <c r="L79" s="166">
        <f>'Cálculos iluminancia'!IC61/1000</f>
        <v>73.902749763633324</v>
      </c>
      <c r="M79" s="166">
        <f>'Cálculos iluminancia'!KJ61/1000</f>
        <v>79.14634994618946</v>
      </c>
      <c r="N79" s="180">
        <f>'Cálculos iluminancia'!MQ61/1000</f>
        <v>64.484647896277167</v>
      </c>
    </row>
    <row r="80" spans="2:14" x14ac:dyDescent="0.25">
      <c r="B80" s="228">
        <v>0.58333333333333304</v>
      </c>
      <c r="C80" s="179">
        <f>'Cálculos iluminancia'!BH31/1000</f>
        <v>49.582432213361045</v>
      </c>
      <c r="D80" s="166">
        <f>'Cálculos iluminancia'!DO31/1000</f>
        <v>38.051824797790964</v>
      </c>
      <c r="E80" s="166">
        <f>'Cálculos iluminancia'!FV31/1000</f>
        <v>26.683813517389641</v>
      </c>
      <c r="F80" s="166">
        <f>'Cálculos iluminancia'!IC31/1000</f>
        <v>17.402074854622537</v>
      </c>
      <c r="G80" s="166">
        <f>'Cálculos iluminancia'!KJ31/1000</f>
        <v>9.4601965637826186</v>
      </c>
      <c r="H80" s="166">
        <f>'Cálculos iluminancia'!MQ31/1000</f>
        <v>3.9864802170623066</v>
      </c>
      <c r="I80" s="166">
        <f>'Cálculos iluminancia'!BH62/1000</f>
        <v>6.250145970751344</v>
      </c>
      <c r="J80" s="166">
        <f>'Cálculos iluminancia'!DO62/1000</f>
        <v>16.588767046068863</v>
      </c>
      <c r="K80" s="166">
        <f>'Cálculos iluminancia'!FV62/1000</f>
        <v>41.191181226438296</v>
      </c>
      <c r="L80" s="166">
        <f>'Cálculos iluminancia'!IC62/1000</f>
        <v>64.805212469905811</v>
      </c>
      <c r="M80" s="166">
        <f>'Cálculos iluminancia'!KJ62/1000</f>
        <v>69.79925305909488</v>
      </c>
      <c r="N80" s="180">
        <f>'Cálculos iluminancia'!MQ62/1000</f>
        <v>55.730803214069603</v>
      </c>
    </row>
    <row r="81" spans="2:14" x14ac:dyDescent="0.25">
      <c r="B81" s="228">
        <v>0.625</v>
      </c>
      <c r="C81" s="179">
        <f>'Cálculos iluminancia'!BH32/1000</f>
        <v>38.194552133022867</v>
      </c>
      <c r="D81" s="166">
        <f>'Cálculos iluminancia'!DO32/1000</f>
        <v>28.531610743545546</v>
      </c>
      <c r="E81" s="166">
        <f>'Cálculos iluminancia'!FV32/1000</f>
        <v>18.993334075661743</v>
      </c>
      <c r="F81" s="166">
        <f>'Cálculos iluminancia'!IC32/1000</f>
        <v>10.600868441402456</v>
      </c>
      <c r="G81" s="166">
        <f>'Cálculos iluminancia'!KJ32/1000</f>
        <v>2.0516343788265137</v>
      </c>
      <c r="H81" s="166">
        <f>'Cálculos iluminancia'!MQ32/1000</f>
        <v>0</v>
      </c>
      <c r="I81" s="166">
        <f>'Cálculos iluminancia'!BH63/1000</f>
        <v>1.0588306612314085</v>
      </c>
      <c r="J81" s="166">
        <f>'Cálculos iluminancia'!DO63/1000</f>
        <v>9.9773904533384847</v>
      </c>
      <c r="K81" s="166">
        <f>'Cálculos iluminancia'!FV63/1000</f>
        <v>30.880209102469287</v>
      </c>
      <c r="L81" s="166">
        <f>'Cálculos iluminancia'!IC63/1000</f>
        <v>51.550049483928802</v>
      </c>
      <c r="M81" s="166">
        <f>'Cálculos iluminancia'!KJ63/1000</f>
        <v>56.150565812216712</v>
      </c>
      <c r="N81" s="180">
        <f>'Cálculos iluminancia'!MQ63/1000</f>
        <v>44.371732205790948</v>
      </c>
    </row>
    <row r="82" spans="2:14" x14ac:dyDescent="0.25">
      <c r="B82" s="228">
        <v>0.66666666666666696</v>
      </c>
      <c r="C82" s="179">
        <f>'Cálculos iluminancia'!BH33/1000</f>
        <v>25.623549989670941</v>
      </c>
      <c r="D82" s="166">
        <f>'Cálculos iluminancia'!DO33/1000</f>
        <v>18.243119871520452</v>
      </c>
      <c r="E82" s="166">
        <f>'Cálculos iluminancia'!FV33/1000</f>
        <v>10.905052400275025</v>
      </c>
      <c r="F82" s="166">
        <f>'Cálculos iluminancia'!IC33/1000</f>
        <v>3.4969831240376261</v>
      </c>
      <c r="G82" s="166">
        <f>'Cálculos iluminancia'!KJ33/1000</f>
        <v>0</v>
      </c>
      <c r="H82" s="166">
        <f>'Cálculos iluminancia'!MQ33/1000</f>
        <v>0</v>
      </c>
      <c r="I82" s="166">
        <f>'Cálculos iluminancia'!BH64/1000</f>
        <v>0</v>
      </c>
      <c r="J82" s="166">
        <f>'Cálculos iluminancia'!DO64/1000</f>
        <v>3.162138092695344</v>
      </c>
      <c r="K82" s="166">
        <f>'Cálculos iluminancia'!FV64/1000</f>
        <v>18.774605636910575</v>
      </c>
      <c r="L82" s="166">
        <f>'Cálculos iluminancia'!IC64/1000</f>
        <v>36.4198351325225</v>
      </c>
      <c r="M82" s="166">
        <f>'Cálculos iluminancia'!KJ64/1000</f>
        <v>40.543496857900351</v>
      </c>
      <c r="N82" s="180">
        <f>'Cálculos iluminancia'!MQ64/1000</f>
        <v>29.218470577053917</v>
      </c>
    </row>
    <row r="83" spans="2:14" x14ac:dyDescent="0.25">
      <c r="B83" s="228">
        <v>0.70833333333333304</v>
      </c>
      <c r="C83" s="179">
        <f>'Cálculos iluminancia'!BH34/1000</f>
        <v>15.013970308251652</v>
      </c>
      <c r="D83" s="166">
        <f>'Cálculos iluminancia'!DO34/1000</f>
        <v>9.1903153149715369</v>
      </c>
      <c r="E83" s="166">
        <f>'Cálculos iluminancia'!FV34/1000</f>
        <v>4.1802641774191427</v>
      </c>
      <c r="F83" s="166">
        <f>'Cálculos iluminancia'!IC34/1000</f>
        <v>0</v>
      </c>
      <c r="G83" s="166">
        <f>'Cálculos iluminancia'!KJ34/1000</f>
        <v>0</v>
      </c>
      <c r="H83" s="166">
        <f>'Cálculos iluminancia'!MQ34/1000</f>
        <v>0</v>
      </c>
      <c r="I83" s="166">
        <f>'Cálculos iluminancia'!BH65/1000</f>
        <v>0</v>
      </c>
      <c r="J83" s="166">
        <f>'Cálculos iluminancia'!DO65/1000</f>
        <v>0</v>
      </c>
      <c r="K83" s="166">
        <f>'Cálculos iluminancia'!FV65/1000</f>
        <v>7.9494123669418189</v>
      </c>
      <c r="L83" s="166">
        <f>'Cálculos iluminancia'!IC65/1000</f>
        <v>21.888094774152165</v>
      </c>
      <c r="M83" s="166">
        <f>'Cálculos iluminancia'!KJ65/1000</f>
        <v>25.611124534826445</v>
      </c>
      <c r="N83" s="180">
        <f>'Cálculos iluminancia'!MQ65/1000</f>
        <v>18.481136887028217</v>
      </c>
    </row>
    <row r="84" spans="2:14" x14ac:dyDescent="0.25">
      <c r="B84" s="228">
        <v>0.75</v>
      </c>
      <c r="C84" s="179">
        <f>'Cálculos iluminancia'!BH35/1000</f>
        <v>0</v>
      </c>
      <c r="D84" s="166">
        <f>'Cálculos iluminancia'!DO35/1000</f>
        <v>0</v>
      </c>
      <c r="E84" s="166">
        <f>'Cálculos iluminancia'!FV35/1000</f>
        <v>0</v>
      </c>
      <c r="F84" s="166">
        <f>'Cálculos iluminancia'!IC35/1000</f>
        <v>0</v>
      </c>
      <c r="G84" s="166">
        <f>'Cálculos iluminancia'!KJ35/1000</f>
        <v>0</v>
      </c>
      <c r="H84" s="166">
        <f>'Cálculos iluminancia'!MQ35/1000</f>
        <v>0</v>
      </c>
      <c r="I84" s="166">
        <f>'Cálculos iluminancia'!BH66/1000</f>
        <v>0</v>
      </c>
      <c r="J84" s="166">
        <f>'Cálculos iluminancia'!DO66/1000</f>
        <v>0</v>
      </c>
      <c r="K84" s="166">
        <f>'Cálculos iluminancia'!FV66/1000</f>
        <v>0</v>
      </c>
      <c r="L84" s="166">
        <f>'Cálculos iluminancia'!IC66/1000</f>
        <v>0</v>
      </c>
      <c r="M84" s="166">
        <f>'Cálculos iluminancia'!KJ66/1000</f>
        <v>0</v>
      </c>
      <c r="N84" s="180">
        <f>'Cálculos iluminancia'!MQ66/1000</f>
        <v>0</v>
      </c>
    </row>
    <row r="85" spans="2:14" x14ac:dyDescent="0.25">
      <c r="B85" s="228">
        <v>0.79166666666666696</v>
      </c>
      <c r="C85" s="179">
        <f>'Cálculos iluminancia'!BH36/1000</f>
        <v>0</v>
      </c>
      <c r="D85" s="166">
        <f>'Cálculos iluminancia'!DO36/1000</f>
        <v>0</v>
      </c>
      <c r="E85" s="166">
        <f>'Cálculos iluminancia'!FV36/1000</f>
        <v>0</v>
      </c>
      <c r="F85" s="166">
        <f>'Cálculos iluminancia'!IC36/1000</f>
        <v>0</v>
      </c>
      <c r="G85" s="166">
        <f>'Cálculos iluminancia'!KJ36/1000</f>
        <v>0</v>
      </c>
      <c r="H85" s="166">
        <f>'Cálculos iluminancia'!MQ36/1000</f>
        <v>0</v>
      </c>
      <c r="I85" s="166">
        <f>'Cálculos iluminancia'!BH67/1000</f>
        <v>0</v>
      </c>
      <c r="J85" s="166">
        <f>'Cálculos iluminancia'!DO67/1000</f>
        <v>0</v>
      </c>
      <c r="K85" s="166">
        <f>'Cálculos iluminancia'!FV67/1000</f>
        <v>0</v>
      </c>
      <c r="L85" s="166">
        <f>'Cálculos iluminancia'!IC67/1000</f>
        <v>0</v>
      </c>
      <c r="M85" s="166">
        <f>'Cálculos iluminancia'!KJ67/1000</f>
        <v>0</v>
      </c>
      <c r="N85" s="180">
        <f>'Cálculos iluminancia'!MQ67/1000</f>
        <v>0</v>
      </c>
    </row>
    <row r="86" spans="2:14" x14ac:dyDescent="0.25">
      <c r="B86" s="228">
        <v>0.83333333333333304</v>
      </c>
      <c r="C86" s="179">
        <f>'Cálculos iluminancia'!BH37/1000</f>
        <v>0</v>
      </c>
      <c r="D86" s="166">
        <f>'Cálculos iluminancia'!DO37/1000</f>
        <v>0</v>
      </c>
      <c r="E86" s="166">
        <f>'Cálculos iluminancia'!FV37/1000</f>
        <v>0</v>
      </c>
      <c r="F86" s="166">
        <f>'Cálculos iluminancia'!IC37/1000</f>
        <v>0</v>
      </c>
      <c r="G86" s="166">
        <f>'Cálculos iluminancia'!KJ37/1000</f>
        <v>0</v>
      </c>
      <c r="H86" s="166">
        <f>'Cálculos iluminancia'!MQ37/1000</f>
        <v>0</v>
      </c>
      <c r="I86" s="166">
        <f>'Cálculos iluminancia'!BH68/1000</f>
        <v>0</v>
      </c>
      <c r="J86" s="166">
        <f>'Cálculos iluminancia'!DO68/1000</f>
        <v>0</v>
      </c>
      <c r="K86" s="166">
        <f>'Cálculos iluminancia'!FV68/1000</f>
        <v>0</v>
      </c>
      <c r="L86" s="166">
        <f>'Cálculos iluminancia'!IC68/1000</f>
        <v>0</v>
      </c>
      <c r="M86" s="166">
        <f>'Cálculos iluminancia'!KJ68/1000</f>
        <v>0</v>
      </c>
      <c r="N86" s="180">
        <f>'Cálculos iluminancia'!MQ68/1000</f>
        <v>0</v>
      </c>
    </row>
    <row r="87" spans="2:14" x14ac:dyDescent="0.25">
      <c r="B87" s="228">
        <v>0.875</v>
      </c>
      <c r="C87" s="179">
        <f>'Cálculos iluminancia'!BH38/1000</f>
        <v>0</v>
      </c>
      <c r="D87" s="166">
        <f>'Cálculos iluminancia'!DO38/1000</f>
        <v>0</v>
      </c>
      <c r="E87" s="166">
        <f>'Cálculos iluminancia'!FV38/1000</f>
        <v>0</v>
      </c>
      <c r="F87" s="166">
        <f>'Cálculos iluminancia'!IC38/1000</f>
        <v>0</v>
      </c>
      <c r="G87" s="166">
        <f>'Cálculos iluminancia'!KJ38/1000</f>
        <v>0</v>
      </c>
      <c r="H87" s="166">
        <f>'Cálculos iluminancia'!MQ38/1000</f>
        <v>0</v>
      </c>
      <c r="I87" s="166">
        <f>'Cálculos iluminancia'!BH69/1000</f>
        <v>0</v>
      </c>
      <c r="J87" s="166">
        <f>'Cálculos iluminancia'!DO69/1000</f>
        <v>0</v>
      </c>
      <c r="K87" s="166">
        <f>'Cálculos iluminancia'!FV69/1000</f>
        <v>0</v>
      </c>
      <c r="L87" s="166">
        <f>'Cálculos iluminancia'!IC69/1000</f>
        <v>0</v>
      </c>
      <c r="M87" s="166">
        <f>'Cálculos iluminancia'!KJ69/1000</f>
        <v>0</v>
      </c>
      <c r="N87" s="180">
        <f>'Cálculos iluminancia'!MQ69/1000</f>
        <v>0</v>
      </c>
    </row>
    <row r="88" spans="2:14" x14ac:dyDescent="0.25">
      <c r="B88" s="228">
        <v>0.91666666666666696</v>
      </c>
      <c r="C88" s="179">
        <f>'Cálculos iluminancia'!BH39/1000</f>
        <v>0</v>
      </c>
      <c r="D88" s="166">
        <f>'Cálculos iluminancia'!DO39/1000</f>
        <v>0</v>
      </c>
      <c r="E88" s="166">
        <f>'Cálculos iluminancia'!FV39/1000</f>
        <v>0</v>
      </c>
      <c r="F88" s="166">
        <f>'Cálculos iluminancia'!IC39/1000</f>
        <v>0</v>
      </c>
      <c r="G88" s="166">
        <f>'Cálculos iluminancia'!KJ39/1000</f>
        <v>0</v>
      </c>
      <c r="H88" s="166">
        <f>'Cálculos iluminancia'!MQ39/1000</f>
        <v>0</v>
      </c>
      <c r="I88" s="166">
        <f>'Cálculos iluminancia'!BH70/1000</f>
        <v>0</v>
      </c>
      <c r="J88" s="166">
        <f>'Cálculos iluminancia'!DO70/1000</f>
        <v>0</v>
      </c>
      <c r="K88" s="166">
        <f>'Cálculos iluminancia'!FV70/1000</f>
        <v>0</v>
      </c>
      <c r="L88" s="166">
        <f>'Cálculos iluminancia'!IC70/1000</f>
        <v>0</v>
      </c>
      <c r="M88" s="166">
        <f>'Cálculos iluminancia'!KJ70/1000</f>
        <v>0</v>
      </c>
      <c r="N88" s="180">
        <f>'Cálculos iluminancia'!MQ70/1000</f>
        <v>0</v>
      </c>
    </row>
    <row r="89" spans="2:14" x14ac:dyDescent="0.25">
      <c r="B89" s="228">
        <v>0.95833333333333304</v>
      </c>
      <c r="C89" s="179">
        <f>'Cálculos iluminancia'!BH40/1000</f>
        <v>0</v>
      </c>
      <c r="D89" s="166">
        <f>'Cálculos iluminancia'!DO40/1000</f>
        <v>0</v>
      </c>
      <c r="E89" s="166">
        <f>'Cálculos iluminancia'!FV40/1000</f>
        <v>0</v>
      </c>
      <c r="F89" s="166">
        <f>'Cálculos iluminancia'!IC40/1000</f>
        <v>0</v>
      </c>
      <c r="G89" s="166">
        <f>'Cálculos iluminancia'!KJ40/1000</f>
        <v>0</v>
      </c>
      <c r="H89" s="166">
        <f>'Cálculos iluminancia'!MQ40/1000</f>
        <v>0</v>
      </c>
      <c r="I89" s="166">
        <f>'Cálculos iluminancia'!BH71/1000</f>
        <v>0</v>
      </c>
      <c r="J89" s="166">
        <f>'Cálculos iluminancia'!DO71/1000</f>
        <v>0</v>
      </c>
      <c r="K89" s="166">
        <f>'Cálculos iluminancia'!FV71/1000</f>
        <v>0</v>
      </c>
      <c r="L89" s="166">
        <f>'Cálculos iluminancia'!IC71/1000</f>
        <v>0</v>
      </c>
      <c r="M89" s="166">
        <f>'Cálculos iluminancia'!KJ71/1000</f>
        <v>0</v>
      </c>
      <c r="N89" s="180">
        <f>'Cálculos iluminancia'!MQ71/1000</f>
        <v>0</v>
      </c>
    </row>
    <row r="90" spans="2:14" ht="15.75" thickBot="1" x14ac:dyDescent="0.3">
      <c r="B90" s="228">
        <v>1</v>
      </c>
      <c r="C90" s="181">
        <f>'Cálculos iluminancia'!BH41/1000</f>
        <v>0</v>
      </c>
      <c r="D90" s="182">
        <f>'Cálculos iluminancia'!DO41/1000</f>
        <v>0</v>
      </c>
      <c r="E90" s="182">
        <f>'Cálculos iluminancia'!FV41/1000</f>
        <v>0</v>
      </c>
      <c r="F90" s="182">
        <f>'Cálculos iluminancia'!IC41/1000</f>
        <v>0</v>
      </c>
      <c r="G90" s="182">
        <f>'Cálculos iluminancia'!KJ41/1000</f>
        <v>0</v>
      </c>
      <c r="H90" s="182">
        <f>'Cálculos iluminancia'!MQ41/1000</f>
        <v>0</v>
      </c>
      <c r="I90" s="182">
        <f>'Cálculos iluminancia'!BH72/1000</f>
        <v>0</v>
      </c>
      <c r="J90" s="182">
        <f>'Cálculos iluminancia'!DO72/1000</f>
        <v>0</v>
      </c>
      <c r="K90" s="182">
        <f>'Cálculos iluminancia'!FV72/1000</f>
        <v>0</v>
      </c>
      <c r="L90" s="182">
        <f>'Cálculos iluminancia'!IC72/1000</f>
        <v>0</v>
      </c>
      <c r="M90" s="182">
        <f>'Cálculos iluminancia'!KJ72/1000</f>
        <v>0</v>
      </c>
      <c r="N90" s="183">
        <f>'Cálculos iluminancia'!MQ72/1000</f>
        <v>0</v>
      </c>
    </row>
  </sheetData>
  <sheetProtection password="E6CB" sheet="1" objects="1" scenarios="1"/>
  <mergeCells count="33">
    <mergeCell ref="B32:N32"/>
    <mergeCell ref="B33:C33"/>
    <mergeCell ref="F33:G33"/>
    <mergeCell ref="M35:N35"/>
    <mergeCell ref="G65:H65"/>
    <mergeCell ref="M65:N65"/>
    <mergeCell ref="B64:B65"/>
    <mergeCell ref="C64:N64"/>
    <mergeCell ref="C65:F65"/>
    <mergeCell ref="I65:L65"/>
    <mergeCell ref="I33:J33"/>
    <mergeCell ref="L33:M33"/>
    <mergeCell ref="B34:B35"/>
    <mergeCell ref="C34:N34"/>
    <mergeCell ref="C35:F35"/>
    <mergeCell ref="I35:L35"/>
    <mergeCell ref="B4:B5"/>
    <mergeCell ref="C4:N4"/>
    <mergeCell ref="C5:F5"/>
    <mergeCell ref="I5:L5"/>
    <mergeCell ref="G5:H5"/>
    <mergeCell ref="M5:N5"/>
    <mergeCell ref="B2:N2"/>
    <mergeCell ref="B3:C3"/>
    <mergeCell ref="F3:G3"/>
    <mergeCell ref="I3:J3"/>
    <mergeCell ref="L3:M3"/>
    <mergeCell ref="G35:H35"/>
    <mergeCell ref="B62:N62"/>
    <mergeCell ref="B63:C63"/>
    <mergeCell ref="F63:G63"/>
    <mergeCell ref="I63:J63"/>
    <mergeCell ref="L63:M63"/>
  </mergeCells>
  <conditionalFormatting sqref="C7:N30">
    <cfRule type="colorScale" priority="4">
      <colorScale>
        <cfvo type="min"/>
        <cfvo type="percentile" val="50"/>
        <cfvo type="max"/>
        <color rgb="FF5A8AC6"/>
        <color rgb="FFFFEB84"/>
        <color rgb="FFF8696B"/>
      </colorScale>
    </cfRule>
  </conditionalFormatting>
  <conditionalFormatting sqref="C37:N60">
    <cfRule type="colorScale" priority="3">
      <colorScale>
        <cfvo type="min"/>
        <cfvo type="percentile" val="50"/>
        <cfvo type="max"/>
        <color rgb="FF5A8AC6"/>
        <color rgb="FFFFEB84"/>
        <color rgb="FFF8696B"/>
      </colorScale>
    </cfRule>
  </conditionalFormatting>
  <conditionalFormatting sqref="C67:N90">
    <cfRule type="colorScale" priority="1">
      <colorScale>
        <cfvo type="min"/>
        <cfvo type="percentile" val="50"/>
        <cfvo type="max"/>
        <color rgb="FF5A8AC6"/>
        <color rgb="FFFFEB84"/>
        <color rgb="FFF8696B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21</vt:i4>
      </vt:variant>
      <vt:variant>
        <vt:lpstr>Rangos con nombre</vt:lpstr>
      </vt:variant>
      <vt:variant>
        <vt:i4>4</vt:i4>
      </vt:variant>
    </vt:vector>
  </HeadingPairs>
  <TitlesOfParts>
    <vt:vector size="25" baseType="lpstr">
      <vt:lpstr>Datos Entrada</vt:lpstr>
      <vt:lpstr>Temp</vt:lpstr>
      <vt:lpstr>HR</vt:lpstr>
      <vt:lpstr>Tn</vt:lpstr>
      <vt:lpstr>Olgyay</vt:lpstr>
      <vt:lpstr>Olgyay datos</vt:lpstr>
      <vt:lpstr>Isorreq</vt:lpstr>
      <vt:lpstr>Control Solar 1er Sem</vt:lpstr>
      <vt:lpstr>CS 1er sem datos</vt:lpstr>
      <vt:lpstr>CS 1er sem datos (2)</vt:lpstr>
      <vt:lpstr>Control Solar 2do Sem</vt:lpstr>
      <vt:lpstr>CS 2do sem datos</vt:lpstr>
      <vt:lpstr>Eficiencia Alero</vt:lpstr>
      <vt:lpstr>Eficiencia Partesol</vt:lpstr>
      <vt:lpstr>Irradiancia Horizontal</vt:lpstr>
      <vt:lpstr>Irradiancia Sup Inclinadas</vt:lpstr>
      <vt:lpstr>Cálculos irradiancia</vt:lpstr>
      <vt:lpstr>Cálculos iluminancia</vt:lpstr>
      <vt:lpstr>Eficacia Luminosa</vt:lpstr>
      <vt:lpstr>Iluminancia Horizontal</vt:lpstr>
      <vt:lpstr>Iluminancia Sup Inclinadas</vt:lpstr>
      <vt:lpstr>'Cálculos iluminancia'!Área_de_impresión</vt:lpstr>
      <vt:lpstr>'CS 1er sem datos'!Área_de_impresión</vt:lpstr>
      <vt:lpstr>'CS 1er sem datos (2)'!Área_de_impresión</vt:lpstr>
      <vt:lpstr>'CS 2do sem datos'!Área_de_impresión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Ulises Preciado</dc:creator>
  <cp:lastModifiedBy>David Morillón Gálvez</cp:lastModifiedBy>
  <dcterms:created xsi:type="dcterms:W3CDTF">2010-06-22T03:38:22Z</dcterms:created>
  <dcterms:modified xsi:type="dcterms:W3CDTF">2017-02-09T00:59:36Z</dcterms:modified>
</cp:coreProperties>
</file>